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BUSINESS OFFICE\Budget\2021-22 Budget\Tentative Budget\"/>
    </mc:Choice>
  </mc:AlternateContent>
  <bookViews>
    <workbookView xWindow="0" yWindow="0" windowWidth="21600" windowHeight="9585"/>
  </bookViews>
  <sheets>
    <sheet name="Tentative Budget Summary" sheetId="6" r:id="rId1"/>
    <sheet name="Actions to reduce $1.7M deficit" sheetId="13" r:id="rId2"/>
    <sheet name="Fund 11 Revenue" sheetId="1" r:id="rId3"/>
    <sheet name="Vacancies Budgeted (F11)" sheetId="11" r:id="rId4"/>
    <sheet name="Vacancies Not Budgeted (F11)" sheetId="12" r:id="rId5"/>
    <sheet name="Total FT Payroll" sheetId="5" r:id="rId6"/>
    <sheet name="Total PT-Hourly Budgets" sheetId="7" r:id="rId7"/>
    <sheet name="Total Discretionary Budgets" sheetId="8" r:id="rId8"/>
    <sheet name="21-22 Position Control Data" sheetId="4" r:id="rId9"/>
    <sheet name="GL Listing" sheetId="9" r:id="rId10"/>
    <sheet name="GLBR-5-5-21" sheetId="10" r:id="rId11"/>
  </sheets>
  <definedNames>
    <definedName name="_xlnm._FilterDatabase" localSheetId="8" hidden="1">'21-22 Position Control Data'!$A$1:$BA$515</definedName>
    <definedName name="_xlnm._FilterDatabase" localSheetId="2" hidden="1">'Fund 11 Revenue'!$A$1:$L$3634</definedName>
    <definedName name="_xlnm._FilterDatabase" localSheetId="10" hidden="1">'GLBR-5-5-21'!$A$1:$N$2810</definedName>
    <definedName name="_xlnm._FilterDatabase" localSheetId="7" hidden="1">'Total Discretionary Budgets'!$A$1:$N$1</definedName>
    <definedName name="_xlnm._FilterDatabase" localSheetId="6" hidden="1">'Total PT-Hourly Budgets'!$A$1:$P$1</definedName>
  </definedNames>
  <calcPr calcId="162913"/>
  <pivotCaches>
    <pivotCache cacheId="0" r:id="rId12"/>
    <pivotCache cacheId="25" r:id="rId13"/>
  </pivotCaches>
</workbook>
</file>

<file path=xl/calcChain.xml><?xml version="1.0" encoding="utf-8"?>
<calcChain xmlns="http://schemas.openxmlformats.org/spreadsheetml/2006/main">
  <c r="E17" i="6" l="1"/>
  <c r="E16" i="6"/>
  <c r="E15" i="6"/>
  <c r="E14" i="6"/>
  <c r="E5" i="6"/>
  <c r="E4" i="6"/>
  <c r="E3" i="6"/>
  <c r="C21" i="6"/>
  <c r="B21" i="6"/>
  <c r="C19" i="6"/>
  <c r="B19" i="6"/>
  <c r="C18" i="6"/>
  <c r="B18" i="6"/>
  <c r="C12" i="6"/>
  <c r="B12" i="6"/>
  <c r="C6" i="6"/>
  <c r="B6" i="6"/>
  <c r="K1609" i="1" l="1"/>
  <c r="M5" i="1"/>
  <c r="K5" i="1"/>
  <c r="K13" i="1"/>
  <c r="K7" i="1"/>
  <c r="K257" i="7" l="1"/>
  <c r="L257" i="7"/>
  <c r="M257" i="7"/>
  <c r="N257" i="7"/>
  <c r="D10" i="6"/>
  <c r="E10" i="6" s="1"/>
  <c r="D9" i="6"/>
  <c r="E9" i="6" s="1"/>
  <c r="F9" i="13"/>
  <c r="O257" i="7" l="1"/>
  <c r="P257" i="7" s="1"/>
  <c r="B9" i="13" l="1"/>
  <c r="D135" i="7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285" i="8"/>
  <c r="E548" i="8"/>
  <c r="E546" i="8"/>
  <c r="E544" i="8"/>
  <c r="E541" i="8"/>
  <c r="E539" i="8"/>
  <c r="E535" i="8"/>
  <c r="E533" i="8"/>
  <c r="E516" i="8"/>
  <c r="E513" i="8"/>
  <c r="E511" i="8"/>
  <c r="E508" i="8"/>
  <c r="E502" i="8"/>
  <c r="E500" i="8"/>
  <c r="E498" i="8"/>
  <c r="E495" i="8"/>
  <c r="E493" i="8"/>
  <c r="E491" i="8"/>
  <c r="E485" i="8"/>
  <c r="E483" i="8"/>
  <c r="E480" i="8"/>
  <c r="E475" i="8"/>
  <c r="E472" i="8"/>
  <c r="E464" i="8"/>
  <c r="E462" i="8"/>
  <c r="E459" i="8"/>
  <c r="E457" i="8"/>
  <c r="E455" i="8"/>
  <c r="E440" i="8"/>
  <c r="E413" i="8"/>
  <c r="E401" i="8"/>
  <c r="E284" i="8"/>
  <c r="E281" i="8"/>
  <c r="E277" i="8"/>
  <c r="E271" i="8"/>
  <c r="E270" i="8"/>
  <c r="E266" i="8"/>
  <c r="E261" i="8"/>
  <c r="E258" i="8"/>
  <c r="E252" i="8"/>
  <c r="E250" i="8"/>
  <c r="E242" i="8"/>
  <c r="E237" i="8"/>
  <c r="E233" i="8"/>
  <c r="E230" i="8" s="1"/>
  <c r="E226" i="8"/>
  <c r="E215" i="8"/>
  <c r="E195" i="8"/>
  <c r="E188" i="8" s="1"/>
  <c r="E186" i="8"/>
  <c r="E184" i="8"/>
  <c r="E181" i="8"/>
  <c r="E133" i="8"/>
  <c r="E131" i="8"/>
  <c r="E109" i="8"/>
  <c r="E105" i="8"/>
  <c r="E98" i="8"/>
  <c r="E93" i="8"/>
  <c r="E91" i="8"/>
  <c r="E89" i="8"/>
  <c r="E87" i="8"/>
  <c r="E85" i="8"/>
  <c r="E82" i="8"/>
  <c r="E80" i="8"/>
  <c r="E10" i="8"/>
  <c r="E3" i="8"/>
  <c r="B13" i="13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44" i="8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4" i="7"/>
  <c r="B30" i="6" l="1"/>
  <c r="B16" i="13"/>
  <c r="B18" i="13" s="1"/>
  <c r="B22" i="13" s="1"/>
  <c r="E2" i="8"/>
  <c r="E497" i="8"/>
  <c r="E538" i="8"/>
  <c r="E97" i="8"/>
  <c r="E554" i="8" s="1"/>
  <c r="I53" i="7"/>
  <c r="N53" i="7"/>
  <c r="M53" i="7" l="1"/>
  <c r="L53" i="7"/>
  <c r="D233" i="8"/>
  <c r="E27" i="12"/>
  <c r="O53" i="7" l="1"/>
  <c r="P53" i="7" s="1"/>
  <c r="E9" i="11"/>
  <c r="G5" i="7" l="1"/>
  <c r="H5" i="7" s="1"/>
  <c r="G6" i="7"/>
  <c r="H6" i="7" s="1"/>
  <c r="G7" i="7"/>
  <c r="H7" i="7" s="1"/>
  <c r="G8" i="7"/>
  <c r="H8" i="7" s="1"/>
  <c r="G9" i="7"/>
  <c r="H9" i="7" s="1"/>
  <c r="G10" i="7"/>
  <c r="H10" i="7" s="1"/>
  <c r="G11" i="7"/>
  <c r="H11" i="7" s="1"/>
  <c r="G12" i="7"/>
  <c r="H12" i="7" s="1"/>
  <c r="G13" i="7"/>
  <c r="H13" i="7" s="1"/>
  <c r="G14" i="7"/>
  <c r="H14" i="7" s="1"/>
  <c r="G15" i="7"/>
  <c r="H15" i="7" s="1"/>
  <c r="G16" i="7"/>
  <c r="H16" i="7" s="1"/>
  <c r="G17" i="7"/>
  <c r="H17" i="7" s="1"/>
  <c r="G18" i="7"/>
  <c r="H18" i="7" s="1"/>
  <c r="G19" i="7"/>
  <c r="H19" i="7" s="1"/>
  <c r="G20" i="7"/>
  <c r="H20" i="7" s="1"/>
  <c r="G21" i="7"/>
  <c r="H21" i="7" s="1"/>
  <c r="G22" i="7"/>
  <c r="H22" i="7" s="1"/>
  <c r="G23" i="7"/>
  <c r="H23" i="7" s="1"/>
  <c r="G24" i="7"/>
  <c r="H24" i="7" s="1"/>
  <c r="G25" i="7"/>
  <c r="H25" i="7" s="1"/>
  <c r="G26" i="7"/>
  <c r="H26" i="7" s="1"/>
  <c r="G27" i="7"/>
  <c r="H27" i="7" s="1"/>
  <c r="G28" i="7"/>
  <c r="H28" i="7" s="1"/>
  <c r="G29" i="7"/>
  <c r="H29" i="7" s="1"/>
  <c r="G30" i="7"/>
  <c r="H30" i="7" s="1"/>
  <c r="G31" i="7"/>
  <c r="H31" i="7" s="1"/>
  <c r="G32" i="7"/>
  <c r="H32" i="7" s="1"/>
  <c r="G33" i="7"/>
  <c r="H33" i="7" s="1"/>
  <c r="G34" i="7"/>
  <c r="H34" i="7" s="1"/>
  <c r="G35" i="7"/>
  <c r="H35" i="7" s="1"/>
  <c r="G36" i="7"/>
  <c r="H36" i="7" s="1"/>
  <c r="G37" i="7"/>
  <c r="H37" i="7" s="1"/>
  <c r="G38" i="7"/>
  <c r="H38" i="7" s="1"/>
  <c r="G39" i="7"/>
  <c r="H39" i="7" s="1"/>
  <c r="G40" i="7"/>
  <c r="H40" i="7" s="1"/>
  <c r="G41" i="7"/>
  <c r="H41" i="7" s="1"/>
  <c r="G42" i="7"/>
  <c r="H42" i="7" s="1"/>
  <c r="G43" i="7"/>
  <c r="H43" i="7" s="1"/>
  <c r="G44" i="7"/>
  <c r="H44" i="7" s="1"/>
  <c r="G45" i="7"/>
  <c r="H45" i="7" s="1"/>
  <c r="G46" i="7"/>
  <c r="H46" i="7" s="1"/>
  <c r="G47" i="7"/>
  <c r="H47" i="7" s="1"/>
  <c r="G48" i="7"/>
  <c r="H48" i="7" s="1"/>
  <c r="G49" i="7"/>
  <c r="H49" i="7" s="1"/>
  <c r="G50" i="7"/>
  <c r="H50" i="7" s="1"/>
  <c r="G51" i="7"/>
  <c r="H51" i="7" s="1"/>
  <c r="G54" i="7"/>
  <c r="H54" i="7" s="1"/>
  <c r="G55" i="7"/>
  <c r="H55" i="7" s="1"/>
  <c r="G56" i="7"/>
  <c r="H56" i="7" s="1"/>
  <c r="G57" i="7"/>
  <c r="H57" i="7" s="1"/>
  <c r="G58" i="7"/>
  <c r="H58" i="7" s="1"/>
  <c r="G59" i="7"/>
  <c r="H59" i="7" s="1"/>
  <c r="G60" i="7"/>
  <c r="H60" i="7" s="1"/>
  <c r="G61" i="7"/>
  <c r="H61" i="7" s="1"/>
  <c r="G62" i="7"/>
  <c r="H62" i="7" s="1"/>
  <c r="G63" i="7"/>
  <c r="H63" i="7" s="1"/>
  <c r="G64" i="7"/>
  <c r="H64" i="7" s="1"/>
  <c r="G65" i="7"/>
  <c r="H65" i="7" s="1"/>
  <c r="G66" i="7"/>
  <c r="H66" i="7" s="1"/>
  <c r="G67" i="7"/>
  <c r="H67" i="7" s="1"/>
  <c r="G68" i="7"/>
  <c r="H68" i="7" s="1"/>
  <c r="G69" i="7"/>
  <c r="H69" i="7" s="1"/>
  <c r="G70" i="7"/>
  <c r="H70" i="7" s="1"/>
  <c r="G71" i="7"/>
  <c r="H71" i="7" s="1"/>
  <c r="G72" i="7"/>
  <c r="H72" i="7" s="1"/>
  <c r="G73" i="7"/>
  <c r="H73" i="7" s="1"/>
  <c r="G74" i="7"/>
  <c r="H74" i="7" s="1"/>
  <c r="G75" i="7"/>
  <c r="H75" i="7" s="1"/>
  <c r="G76" i="7"/>
  <c r="H76" i="7" s="1"/>
  <c r="G77" i="7"/>
  <c r="H77" i="7" s="1"/>
  <c r="G78" i="7"/>
  <c r="H78" i="7" s="1"/>
  <c r="G79" i="7"/>
  <c r="H79" i="7" s="1"/>
  <c r="G80" i="7"/>
  <c r="H80" i="7" s="1"/>
  <c r="G81" i="7"/>
  <c r="H81" i="7" s="1"/>
  <c r="G82" i="7"/>
  <c r="H82" i="7" s="1"/>
  <c r="G83" i="7"/>
  <c r="H83" i="7" s="1"/>
  <c r="G84" i="7"/>
  <c r="H84" i="7" s="1"/>
  <c r="G85" i="7"/>
  <c r="H85" i="7" s="1"/>
  <c r="G86" i="7"/>
  <c r="H86" i="7" s="1"/>
  <c r="G87" i="7"/>
  <c r="H87" i="7" s="1"/>
  <c r="G88" i="7"/>
  <c r="H88" i="7" s="1"/>
  <c r="G89" i="7"/>
  <c r="H89" i="7" s="1"/>
  <c r="G90" i="7"/>
  <c r="H90" i="7" s="1"/>
  <c r="G91" i="7"/>
  <c r="H91" i="7" s="1"/>
  <c r="G92" i="7"/>
  <c r="H92" i="7" s="1"/>
  <c r="G93" i="7"/>
  <c r="H93" i="7" s="1"/>
  <c r="G94" i="7"/>
  <c r="H94" i="7" s="1"/>
  <c r="G95" i="7"/>
  <c r="H95" i="7" s="1"/>
  <c r="G96" i="7"/>
  <c r="H96" i="7" s="1"/>
  <c r="G97" i="7"/>
  <c r="H97" i="7" s="1"/>
  <c r="G98" i="7"/>
  <c r="H98" i="7" s="1"/>
  <c r="G99" i="7"/>
  <c r="H99" i="7" s="1"/>
  <c r="G100" i="7"/>
  <c r="H100" i="7" s="1"/>
  <c r="G101" i="7"/>
  <c r="H101" i="7" s="1"/>
  <c r="G102" i="7"/>
  <c r="H102" i="7" s="1"/>
  <c r="G103" i="7"/>
  <c r="H103" i="7" s="1"/>
  <c r="G104" i="7"/>
  <c r="H104" i="7" s="1"/>
  <c r="G105" i="7"/>
  <c r="H105" i="7" s="1"/>
  <c r="G106" i="7"/>
  <c r="H106" i="7" s="1"/>
  <c r="G107" i="7"/>
  <c r="H107" i="7" s="1"/>
  <c r="G108" i="7"/>
  <c r="H108" i="7" s="1"/>
  <c r="G109" i="7"/>
  <c r="H109" i="7" s="1"/>
  <c r="G110" i="7"/>
  <c r="H110" i="7" s="1"/>
  <c r="G111" i="7"/>
  <c r="H111" i="7" s="1"/>
  <c r="G112" i="7"/>
  <c r="H112" i="7" s="1"/>
  <c r="G113" i="7"/>
  <c r="H113" i="7" s="1"/>
  <c r="G114" i="7"/>
  <c r="H114" i="7" s="1"/>
  <c r="G115" i="7"/>
  <c r="H115" i="7" s="1"/>
  <c r="G116" i="7"/>
  <c r="H116" i="7" s="1"/>
  <c r="G117" i="7"/>
  <c r="H117" i="7" s="1"/>
  <c r="G118" i="7"/>
  <c r="H118" i="7" s="1"/>
  <c r="G119" i="7"/>
  <c r="H119" i="7" s="1"/>
  <c r="G120" i="7"/>
  <c r="H120" i="7" s="1"/>
  <c r="G121" i="7"/>
  <c r="H121" i="7" s="1"/>
  <c r="G122" i="7"/>
  <c r="H122" i="7" s="1"/>
  <c r="G123" i="7"/>
  <c r="H123" i="7" s="1"/>
  <c r="G124" i="7"/>
  <c r="H124" i="7" s="1"/>
  <c r="G125" i="7"/>
  <c r="H125" i="7" s="1"/>
  <c r="G126" i="7"/>
  <c r="H126" i="7" s="1"/>
  <c r="G127" i="7"/>
  <c r="H127" i="7" s="1"/>
  <c r="G128" i="7"/>
  <c r="H128" i="7" s="1"/>
  <c r="G129" i="7"/>
  <c r="H129" i="7" s="1"/>
  <c r="G130" i="7"/>
  <c r="H130" i="7" s="1"/>
  <c r="G131" i="7"/>
  <c r="H131" i="7" s="1"/>
  <c r="G132" i="7"/>
  <c r="H132" i="7" s="1"/>
  <c r="G134" i="7"/>
  <c r="H134" i="7" s="1"/>
  <c r="G135" i="7"/>
  <c r="H135" i="7" s="1"/>
  <c r="G137" i="7"/>
  <c r="H137" i="7" s="1"/>
  <c r="G138" i="7"/>
  <c r="H138" i="7" s="1"/>
  <c r="G139" i="7"/>
  <c r="H139" i="7" s="1"/>
  <c r="G140" i="7"/>
  <c r="H140" i="7" s="1"/>
  <c r="G141" i="7"/>
  <c r="H141" i="7" s="1"/>
  <c r="G142" i="7"/>
  <c r="H142" i="7" s="1"/>
  <c r="G144" i="7"/>
  <c r="H144" i="7" s="1"/>
  <c r="G145" i="7"/>
  <c r="H145" i="7" s="1"/>
  <c r="G146" i="7"/>
  <c r="H146" i="7" s="1"/>
  <c r="G147" i="7"/>
  <c r="H147" i="7" s="1"/>
  <c r="G148" i="7"/>
  <c r="H148" i="7" s="1"/>
  <c r="G149" i="7"/>
  <c r="H149" i="7" s="1"/>
  <c r="G150" i="7"/>
  <c r="H150" i="7" s="1"/>
  <c r="G151" i="7"/>
  <c r="H151" i="7" s="1"/>
  <c r="G152" i="7"/>
  <c r="H152" i="7" s="1"/>
  <c r="G153" i="7"/>
  <c r="H153" i="7" s="1"/>
  <c r="G154" i="7"/>
  <c r="H154" i="7" s="1"/>
  <c r="G155" i="7"/>
  <c r="H155" i="7" s="1"/>
  <c r="G156" i="7"/>
  <c r="H156" i="7" s="1"/>
  <c r="G157" i="7"/>
  <c r="H157" i="7" s="1"/>
  <c r="G158" i="7"/>
  <c r="H158" i="7" s="1"/>
  <c r="G159" i="7"/>
  <c r="H159" i="7" s="1"/>
  <c r="G160" i="7"/>
  <c r="H160" i="7" s="1"/>
  <c r="G161" i="7"/>
  <c r="H161" i="7" s="1"/>
  <c r="G162" i="7"/>
  <c r="H162" i="7" s="1"/>
  <c r="G163" i="7"/>
  <c r="H163" i="7" s="1"/>
  <c r="G164" i="7"/>
  <c r="H164" i="7" s="1"/>
  <c r="G165" i="7"/>
  <c r="H165" i="7" s="1"/>
  <c r="G166" i="7"/>
  <c r="H166" i="7" s="1"/>
  <c r="G167" i="7"/>
  <c r="H167" i="7" s="1"/>
  <c r="G170" i="7"/>
  <c r="H170" i="7" s="1"/>
  <c r="G171" i="7"/>
  <c r="H171" i="7" s="1"/>
  <c r="G172" i="7"/>
  <c r="H172" i="7" s="1"/>
  <c r="G173" i="7"/>
  <c r="H173" i="7" s="1"/>
  <c r="G174" i="7"/>
  <c r="H174" i="7" s="1"/>
  <c r="G175" i="7"/>
  <c r="H175" i="7" s="1"/>
  <c r="G176" i="7"/>
  <c r="H176" i="7" s="1"/>
  <c r="G177" i="7"/>
  <c r="H177" i="7" s="1"/>
  <c r="G178" i="7"/>
  <c r="H178" i="7" s="1"/>
  <c r="G179" i="7"/>
  <c r="H179" i="7" s="1"/>
  <c r="G180" i="7"/>
  <c r="H180" i="7" s="1"/>
  <c r="G181" i="7"/>
  <c r="H181" i="7" s="1"/>
  <c r="G182" i="7"/>
  <c r="H182" i="7" s="1"/>
  <c r="G183" i="7"/>
  <c r="H183" i="7" s="1"/>
  <c r="G184" i="7"/>
  <c r="H184" i="7" s="1"/>
  <c r="G185" i="7"/>
  <c r="H185" i="7" s="1"/>
  <c r="G186" i="7"/>
  <c r="H186" i="7" s="1"/>
  <c r="G187" i="7"/>
  <c r="H187" i="7" s="1"/>
  <c r="G188" i="7"/>
  <c r="H188" i="7" s="1"/>
  <c r="G189" i="7"/>
  <c r="H189" i="7" s="1"/>
  <c r="G190" i="7"/>
  <c r="H190" i="7" s="1"/>
  <c r="G191" i="7"/>
  <c r="H191" i="7" s="1"/>
  <c r="G192" i="7"/>
  <c r="H192" i="7" s="1"/>
  <c r="G193" i="7"/>
  <c r="H193" i="7" s="1"/>
  <c r="G194" i="7"/>
  <c r="H194" i="7" s="1"/>
  <c r="G195" i="7"/>
  <c r="H195" i="7" s="1"/>
  <c r="G196" i="7"/>
  <c r="H196" i="7" s="1"/>
  <c r="G197" i="7"/>
  <c r="H197" i="7" s="1"/>
  <c r="G198" i="7"/>
  <c r="H198" i="7" s="1"/>
  <c r="G199" i="7"/>
  <c r="H199" i="7" s="1"/>
  <c r="G200" i="7"/>
  <c r="H200" i="7" s="1"/>
  <c r="G201" i="7"/>
  <c r="H201" i="7" s="1"/>
  <c r="G202" i="7"/>
  <c r="H202" i="7" s="1"/>
  <c r="G203" i="7"/>
  <c r="H203" i="7" s="1"/>
  <c r="G204" i="7"/>
  <c r="H204" i="7" s="1"/>
  <c r="G205" i="7"/>
  <c r="H205" i="7" s="1"/>
  <c r="G206" i="7"/>
  <c r="H206" i="7" s="1"/>
  <c r="G207" i="7"/>
  <c r="H207" i="7" s="1"/>
  <c r="G208" i="7"/>
  <c r="H208" i="7" s="1"/>
  <c r="G209" i="7"/>
  <c r="H209" i="7" s="1"/>
  <c r="G211" i="7"/>
  <c r="H211" i="7" s="1"/>
  <c r="G212" i="7"/>
  <c r="H212" i="7" s="1"/>
  <c r="G213" i="7"/>
  <c r="H213" i="7" s="1"/>
  <c r="G215" i="7"/>
  <c r="H215" i="7" s="1"/>
  <c r="G216" i="7"/>
  <c r="H216" i="7" s="1"/>
  <c r="G218" i="7"/>
  <c r="H218" i="7" s="1"/>
  <c r="G219" i="7"/>
  <c r="H219" i="7" s="1"/>
  <c r="G220" i="7"/>
  <c r="H220" i="7" s="1"/>
  <c r="G221" i="7"/>
  <c r="H221" i="7" s="1"/>
  <c r="G222" i="7"/>
  <c r="H222" i="7" s="1"/>
  <c r="G223" i="7"/>
  <c r="H223" i="7" s="1"/>
  <c r="G224" i="7"/>
  <c r="H224" i="7" s="1"/>
  <c r="G225" i="7"/>
  <c r="H225" i="7" s="1"/>
  <c r="G226" i="7"/>
  <c r="H226" i="7" s="1"/>
  <c r="G227" i="7"/>
  <c r="H227" i="7" s="1"/>
  <c r="G228" i="7"/>
  <c r="H228" i="7" s="1"/>
  <c r="G229" i="7"/>
  <c r="H229" i="7" s="1"/>
  <c r="G231" i="7"/>
  <c r="H231" i="7" s="1"/>
  <c r="G232" i="7"/>
  <c r="H232" i="7" s="1"/>
  <c r="G233" i="7"/>
  <c r="H233" i="7" s="1"/>
  <c r="G234" i="7"/>
  <c r="H234" i="7" s="1"/>
  <c r="G235" i="7"/>
  <c r="H235" i="7" s="1"/>
  <c r="G236" i="7"/>
  <c r="H236" i="7" s="1"/>
  <c r="G237" i="7"/>
  <c r="H237" i="7" s="1"/>
  <c r="G238" i="7"/>
  <c r="H238" i="7" s="1"/>
  <c r="G239" i="7"/>
  <c r="H239" i="7" s="1"/>
  <c r="G240" i="7"/>
  <c r="H240" i="7" s="1"/>
  <c r="G241" i="7"/>
  <c r="H241" i="7" s="1"/>
  <c r="G242" i="7"/>
  <c r="H242" i="7" s="1"/>
  <c r="G243" i="7"/>
  <c r="H243" i="7" s="1"/>
  <c r="G244" i="7"/>
  <c r="H244" i="7" s="1"/>
  <c r="G245" i="7"/>
  <c r="H245" i="7" s="1"/>
  <c r="G246" i="7"/>
  <c r="H246" i="7" s="1"/>
  <c r="G247" i="7"/>
  <c r="H247" i="7" s="1"/>
  <c r="G248" i="7"/>
  <c r="H248" i="7" s="1"/>
  <c r="G249" i="7"/>
  <c r="H249" i="7" s="1"/>
  <c r="G250" i="7"/>
  <c r="H250" i="7" s="1"/>
  <c r="G251" i="7"/>
  <c r="H251" i="7" s="1"/>
  <c r="G252" i="7"/>
  <c r="H252" i="7" s="1"/>
  <c r="G253" i="7"/>
  <c r="H253" i="7" s="1"/>
  <c r="G254" i="7"/>
  <c r="H254" i="7" s="1"/>
  <c r="G255" i="7"/>
  <c r="H255" i="7" s="1"/>
  <c r="G257" i="7"/>
  <c r="H257" i="7" s="1"/>
  <c r="G258" i="7"/>
  <c r="H258" i="7" s="1"/>
  <c r="G259" i="7"/>
  <c r="H259" i="7" s="1"/>
  <c r="G260" i="7"/>
  <c r="H260" i="7" s="1"/>
  <c r="G261" i="7"/>
  <c r="H261" i="7" s="1"/>
  <c r="G262" i="7"/>
  <c r="H262" i="7" s="1"/>
  <c r="G263" i="7"/>
  <c r="H263" i="7" s="1"/>
  <c r="G265" i="7"/>
  <c r="H265" i="7" s="1"/>
  <c r="G266" i="7"/>
  <c r="H266" i="7" s="1"/>
  <c r="G267" i="7"/>
  <c r="H267" i="7" s="1"/>
  <c r="G4" i="7"/>
  <c r="H4" i="7" s="1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4" i="7"/>
  <c r="F135" i="7"/>
  <c r="F137" i="7"/>
  <c r="F138" i="7"/>
  <c r="F139" i="7"/>
  <c r="F140" i="7"/>
  <c r="F141" i="7"/>
  <c r="F142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1" i="7"/>
  <c r="F212" i="7"/>
  <c r="F213" i="7"/>
  <c r="F215" i="7"/>
  <c r="F216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7" i="7"/>
  <c r="F258" i="7"/>
  <c r="F259" i="7"/>
  <c r="F260" i="7"/>
  <c r="F261" i="7"/>
  <c r="F262" i="7"/>
  <c r="F263" i="7"/>
  <c r="F265" i="7"/>
  <c r="F266" i="7"/>
  <c r="F267" i="7"/>
  <c r="F4" i="7"/>
  <c r="G4" i="8"/>
  <c r="I4" i="8" s="1"/>
  <c r="G5" i="8"/>
  <c r="I5" i="8" s="1"/>
  <c r="G6" i="8"/>
  <c r="I6" i="8" s="1"/>
  <c r="G7" i="8"/>
  <c r="I7" i="8" s="1"/>
  <c r="G8" i="8"/>
  <c r="I8" i="8" s="1"/>
  <c r="G9" i="8"/>
  <c r="I9" i="8" s="1"/>
  <c r="G11" i="8"/>
  <c r="I11" i="8" s="1"/>
  <c r="G12" i="8"/>
  <c r="I12" i="8" s="1"/>
  <c r="G13" i="8"/>
  <c r="I13" i="8" s="1"/>
  <c r="G14" i="8"/>
  <c r="I14" i="8" s="1"/>
  <c r="G15" i="8"/>
  <c r="I15" i="8" s="1"/>
  <c r="G16" i="8"/>
  <c r="I16" i="8" s="1"/>
  <c r="G17" i="8"/>
  <c r="I17" i="8" s="1"/>
  <c r="G18" i="8"/>
  <c r="I18" i="8" s="1"/>
  <c r="G19" i="8"/>
  <c r="I19" i="8" s="1"/>
  <c r="G20" i="8"/>
  <c r="I20" i="8" s="1"/>
  <c r="G21" i="8"/>
  <c r="I21" i="8" s="1"/>
  <c r="G22" i="8"/>
  <c r="I22" i="8" s="1"/>
  <c r="G23" i="8"/>
  <c r="I23" i="8" s="1"/>
  <c r="G24" i="8"/>
  <c r="I24" i="8" s="1"/>
  <c r="G25" i="8"/>
  <c r="I25" i="8" s="1"/>
  <c r="G26" i="8"/>
  <c r="I26" i="8" s="1"/>
  <c r="G27" i="8"/>
  <c r="I27" i="8" s="1"/>
  <c r="G28" i="8"/>
  <c r="I28" i="8" s="1"/>
  <c r="G29" i="8"/>
  <c r="I29" i="8" s="1"/>
  <c r="G30" i="8"/>
  <c r="I30" i="8" s="1"/>
  <c r="G31" i="8"/>
  <c r="I31" i="8" s="1"/>
  <c r="G32" i="8"/>
  <c r="I32" i="8" s="1"/>
  <c r="G33" i="8"/>
  <c r="I33" i="8" s="1"/>
  <c r="G34" i="8"/>
  <c r="I34" i="8" s="1"/>
  <c r="G35" i="8"/>
  <c r="I35" i="8" s="1"/>
  <c r="G36" i="8"/>
  <c r="I36" i="8" s="1"/>
  <c r="G37" i="8"/>
  <c r="I37" i="8" s="1"/>
  <c r="G38" i="8"/>
  <c r="I38" i="8" s="1"/>
  <c r="G39" i="8"/>
  <c r="I39" i="8" s="1"/>
  <c r="G40" i="8"/>
  <c r="I40" i="8" s="1"/>
  <c r="G41" i="8"/>
  <c r="I41" i="8" s="1"/>
  <c r="G42" i="8"/>
  <c r="I42" i="8" s="1"/>
  <c r="G43" i="8"/>
  <c r="I43" i="8" s="1"/>
  <c r="G44" i="8"/>
  <c r="I44" i="8" s="1"/>
  <c r="G45" i="8"/>
  <c r="I45" i="8" s="1"/>
  <c r="G46" i="8"/>
  <c r="I46" i="8" s="1"/>
  <c r="G47" i="8"/>
  <c r="I47" i="8" s="1"/>
  <c r="G48" i="8"/>
  <c r="I48" i="8" s="1"/>
  <c r="G49" i="8"/>
  <c r="I49" i="8" s="1"/>
  <c r="G50" i="8"/>
  <c r="I50" i="8" s="1"/>
  <c r="G51" i="8"/>
  <c r="I51" i="8" s="1"/>
  <c r="G52" i="8"/>
  <c r="I52" i="8" s="1"/>
  <c r="G53" i="8"/>
  <c r="I53" i="8" s="1"/>
  <c r="G54" i="8"/>
  <c r="I54" i="8" s="1"/>
  <c r="G55" i="8"/>
  <c r="I55" i="8" s="1"/>
  <c r="G56" i="8"/>
  <c r="I56" i="8" s="1"/>
  <c r="G57" i="8"/>
  <c r="I57" i="8" s="1"/>
  <c r="G58" i="8"/>
  <c r="I58" i="8" s="1"/>
  <c r="G59" i="8"/>
  <c r="I59" i="8" s="1"/>
  <c r="G60" i="8"/>
  <c r="I60" i="8" s="1"/>
  <c r="G61" i="8"/>
  <c r="I61" i="8" s="1"/>
  <c r="G62" i="8"/>
  <c r="I62" i="8" s="1"/>
  <c r="G63" i="8"/>
  <c r="I63" i="8" s="1"/>
  <c r="G64" i="8"/>
  <c r="I64" i="8" s="1"/>
  <c r="G65" i="8"/>
  <c r="I65" i="8" s="1"/>
  <c r="G66" i="8"/>
  <c r="I66" i="8" s="1"/>
  <c r="G67" i="8"/>
  <c r="I67" i="8" s="1"/>
  <c r="G68" i="8"/>
  <c r="I68" i="8" s="1"/>
  <c r="G69" i="8"/>
  <c r="I69" i="8" s="1"/>
  <c r="G70" i="8"/>
  <c r="I70" i="8" s="1"/>
  <c r="G71" i="8"/>
  <c r="I71" i="8" s="1"/>
  <c r="G72" i="8"/>
  <c r="I72" i="8" s="1"/>
  <c r="G73" i="8"/>
  <c r="I73" i="8" s="1"/>
  <c r="G74" i="8"/>
  <c r="I74" i="8" s="1"/>
  <c r="G75" i="8"/>
  <c r="I75" i="8" s="1"/>
  <c r="G76" i="8"/>
  <c r="I76" i="8" s="1"/>
  <c r="G77" i="8"/>
  <c r="I77" i="8" s="1"/>
  <c r="G78" i="8"/>
  <c r="I78" i="8" s="1"/>
  <c r="G79" i="8"/>
  <c r="I79" i="8" s="1"/>
  <c r="G81" i="8"/>
  <c r="I81" i="8" s="1"/>
  <c r="G83" i="8"/>
  <c r="I83" i="8" s="1"/>
  <c r="G84" i="8"/>
  <c r="I84" i="8" s="1"/>
  <c r="G86" i="8"/>
  <c r="I86" i="8" s="1"/>
  <c r="G88" i="8"/>
  <c r="I88" i="8" s="1"/>
  <c r="G90" i="8"/>
  <c r="I90" i="8" s="1"/>
  <c r="G92" i="8"/>
  <c r="I92" i="8" s="1"/>
  <c r="G94" i="8"/>
  <c r="I94" i="8" s="1"/>
  <c r="G95" i="8"/>
  <c r="I95" i="8" s="1"/>
  <c r="G96" i="8"/>
  <c r="I96" i="8" s="1"/>
  <c r="G99" i="8"/>
  <c r="I99" i="8" s="1"/>
  <c r="G100" i="8"/>
  <c r="I100" i="8" s="1"/>
  <c r="G101" i="8"/>
  <c r="I101" i="8" s="1"/>
  <c r="G102" i="8"/>
  <c r="I102" i="8" s="1"/>
  <c r="G103" i="8"/>
  <c r="I103" i="8" s="1"/>
  <c r="G104" i="8"/>
  <c r="I104" i="8" s="1"/>
  <c r="G106" i="8"/>
  <c r="I106" i="8" s="1"/>
  <c r="G107" i="8"/>
  <c r="I107" i="8" s="1"/>
  <c r="G108" i="8"/>
  <c r="I108" i="8" s="1"/>
  <c r="G109" i="8"/>
  <c r="I109" i="8" s="1"/>
  <c r="G110" i="8"/>
  <c r="I110" i="8" s="1"/>
  <c r="G111" i="8"/>
  <c r="I111" i="8" s="1"/>
  <c r="G112" i="8"/>
  <c r="I112" i="8" s="1"/>
  <c r="G113" i="8"/>
  <c r="I113" i="8" s="1"/>
  <c r="G114" i="8"/>
  <c r="I114" i="8" s="1"/>
  <c r="G115" i="8"/>
  <c r="I115" i="8" s="1"/>
  <c r="G116" i="8"/>
  <c r="I116" i="8" s="1"/>
  <c r="G117" i="8"/>
  <c r="I117" i="8" s="1"/>
  <c r="G118" i="8"/>
  <c r="I118" i="8" s="1"/>
  <c r="G119" i="8"/>
  <c r="I119" i="8" s="1"/>
  <c r="G120" i="8"/>
  <c r="I120" i="8" s="1"/>
  <c r="G121" i="8"/>
  <c r="I121" i="8" s="1"/>
  <c r="G122" i="8"/>
  <c r="I122" i="8" s="1"/>
  <c r="G123" i="8"/>
  <c r="I123" i="8" s="1"/>
  <c r="G124" i="8"/>
  <c r="I124" i="8" s="1"/>
  <c r="G125" i="8"/>
  <c r="I125" i="8" s="1"/>
  <c r="G126" i="8"/>
  <c r="I126" i="8" s="1"/>
  <c r="G127" i="8"/>
  <c r="I127" i="8" s="1"/>
  <c r="G128" i="8"/>
  <c r="I128" i="8" s="1"/>
  <c r="G129" i="8"/>
  <c r="I129" i="8" s="1"/>
  <c r="G130" i="8"/>
  <c r="I130" i="8" s="1"/>
  <c r="G132" i="8"/>
  <c r="I132" i="8" s="1"/>
  <c r="G134" i="8"/>
  <c r="I134" i="8" s="1"/>
  <c r="G135" i="8"/>
  <c r="I135" i="8" s="1"/>
  <c r="G136" i="8"/>
  <c r="I136" i="8" s="1"/>
  <c r="G137" i="8"/>
  <c r="I137" i="8" s="1"/>
  <c r="G138" i="8"/>
  <c r="I138" i="8" s="1"/>
  <c r="G139" i="8"/>
  <c r="I139" i="8" s="1"/>
  <c r="G140" i="8"/>
  <c r="I140" i="8" s="1"/>
  <c r="G141" i="8"/>
  <c r="I141" i="8" s="1"/>
  <c r="G142" i="8"/>
  <c r="I142" i="8" s="1"/>
  <c r="G144" i="8"/>
  <c r="I144" i="8" s="1"/>
  <c r="G145" i="8"/>
  <c r="I145" i="8" s="1"/>
  <c r="G146" i="8"/>
  <c r="I146" i="8" s="1"/>
  <c r="G147" i="8"/>
  <c r="I147" i="8" s="1"/>
  <c r="G148" i="8"/>
  <c r="I148" i="8" s="1"/>
  <c r="G149" i="8"/>
  <c r="I149" i="8" s="1"/>
  <c r="G150" i="8"/>
  <c r="I150" i="8" s="1"/>
  <c r="G151" i="8"/>
  <c r="I151" i="8" s="1"/>
  <c r="G152" i="8"/>
  <c r="I152" i="8" s="1"/>
  <c r="G153" i="8"/>
  <c r="I153" i="8" s="1"/>
  <c r="G154" i="8"/>
  <c r="I154" i="8" s="1"/>
  <c r="G155" i="8"/>
  <c r="I155" i="8" s="1"/>
  <c r="G156" i="8"/>
  <c r="I156" i="8" s="1"/>
  <c r="G157" i="8"/>
  <c r="I157" i="8" s="1"/>
  <c r="G158" i="8"/>
  <c r="I158" i="8" s="1"/>
  <c r="G159" i="8"/>
  <c r="I159" i="8" s="1"/>
  <c r="G160" i="8"/>
  <c r="I160" i="8" s="1"/>
  <c r="G161" i="8"/>
  <c r="I161" i="8" s="1"/>
  <c r="G162" i="8"/>
  <c r="I162" i="8" s="1"/>
  <c r="G163" i="8"/>
  <c r="I163" i="8" s="1"/>
  <c r="G164" i="8"/>
  <c r="I164" i="8" s="1"/>
  <c r="G165" i="8"/>
  <c r="I165" i="8" s="1"/>
  <c r="G166" i="8"/>
  <c r="I166" i="8" s="1"/>
  <c r="G167" i="8"/>
  <c r="I167" i="8" s="1"/>
  <c r="G168" i="8"/>
  <c r="I168" i="8" s="1"/>
  <c r="G169" i="8"/>
  <c r="I169" i="8" s="1"/>
  <c r="G170" i="8"/>
  <c r="I170" i="8" s="1"/>
  <c r="G171" i="8"/>
  <c r="I171" i="8" s="1"/>
  <c r="G172" i="8"/>
  <c r="I172" i="8" s="1"/>
  <c r="G173" i="8"/>
  <c r="I173" i="8" s="1"/>
  <c r="G174" i="8"/>
  <c r="I174" i="8" s="1"/>
  <c r="G175" i="8"/>
  <c r="I175" i="8" s="1"/>
  <c r="G176" i="8"/>
  <c r="I176" i="8" s="1"/>
  <c r="G177" i="8"/>
  <c r="I177" i="8" s="1"/>
  <c r="G178" i="8"/>
  <c r="I178" i="8" s="1"/>
  <c r="G179" i="8"/>
  <c r="I179" i="8" s="1"/>
  <c r="G180" i="8"/>
  <c r="I180" i="8" s="1"/>
  <c r="G182" i="8"/>
  <c r="I182" i="8" s="1"/>
  <c r="G183" i="8"/>
  <c r="I183" i="8" s="1"/>
  <c r="G185" i="8"/>
  <c r="I185" i="8" s="1"/>
  <c r="G187" i="8"/>
  <c r="I187" i="8" s="1"/>
  <c r="G189" i="8"/>
  <c r="I189" i="8" s="1"/>
  <c r="G190" i="8"/>
  <c r="I190" i="8" s="1"/>
  <c r="G191" i="8"/>
  <c r="I191" i="8" s="1"/>
  <c r="G192" i="8"/>
  <c r="I192" i="8" s="1"/>
  <c r="G193" i="8"/>
  <c r="I193" i="8" s="1"/>
  <c r="G194" i="8"/>
  <c r="I194" i="8" s="1"/>
  <c r="G195" i="8"/>
  <c r="I195" i="8" s="1"/>
  <c r="G196" i="8"/>
  <c r="I196" i="8" s="1"/>
  <c r="G197" i="8"/>
  <c r="I197" i="8" s="1"/>
  <c r="G198" i="8"/>
  <c r="I198" i="8" s="1"/>
  <c r="G199" i="8"/>
  <c r="I199" i="8" s="1"/>
  <c r="G200" i="8"/>
  <c r="I200" i="8" s="1"/>
  <c r="G201" i="8"/>
  <c r="I201" i="8" s="1"/>
  <c r="G202" i="8"/>
  <c r="I202" i="8" s="1"/>
  <c r="G203" i="8"/>
  <c r="I203" i="8" s="1"/>
  <c r="G204" i="8"/>
  <c r="I204" i="8" s="1"/>
  <c r="G205" i="8"/>
  <c r="I205" i="8" s="1"/>
  <c r="G206" i="8"/>
  <c r="I206" i="8" s="1"/>
  <c r="G207" i="8"/>
  <c r="I207" i="8" s="1"/>
  <c r="G208" i="8"/>
  <c r="I208" i="8" s="1"/>
  <c r="G209" i="8"/>
  <c r="I209" i="8" s="1"/>
  <c r="G210" i="8"/>
  <c r="I210" i="8" s="1"/>
  <c r="G211" i="8"/>
  <c r="I211" i="8" s="1"/>
  <c r="G212" i="8"/>
  <c r="I212" i="8" s="1"/>
  <c r="G213" i="8"/>
  <c r="I213" i="8" s="1"/>
  <c r="G214" i="8"/>
  <c r="I214" i="8" s="1"/>
  <c r="G216" i="8"/>
  <c r="I216" i="8" s="1"/>
  <c r="G217" i="8"/>
  <c r="I217" i="8" s="1"/>
  <c r="G218" i="8"/>
  <c r="I218" i="8" s="1"/>
  <c r="G219" i="8"/>
  <c r="I219" i="8" s="1"/>
  <c r="G220" i="8"/>
  <c r="I220" i="8" s="1"/>
  <c r="G221" i="8"/>
  <c r="I221" i="8" s="1"/>
  <c r="G222" i="8"/>
  <c r="I222" i="8" s="1"/>
  <c r="G223" i="8"/>
  <c r="I223" i="8" s="1"/>
  <c r="G224" i="8"/>
  <c r="I224" i="8" s="1"/>
  <c r="G225" i="8"/>
  <c r="I225" i="8" s="1"/>
  <c r="G227" i="8"/>
  <c r="I227" i="8" s="1"/>
  <c r="G228" i="8"/>
  <c r="I228" i="8" s="1"/>
  <c r="G229" i="8"/>
  <c r="I229" i="8" s="1"/>
  <c r="G231" i="8"/>
  <c r="I231" i="8" s="1"/>
  <c r="G232" i="8"/>
  <c r="I232" i="8" s="1"/>
  <c r="G233" i="8"/>
  <c r="I233" i="8" s="1"/>
  <c r="G234" i="8"/>
  <c r="I234" i="8" s="1"/>
  <c r="G235" i="8"/>
  <c r="I235" i="8" s="1"/>
  <c r="G236" i="8"/>
  <c r="I236" i="8" s="1"/>
  <c r="G238" i="8"/>
  <c r="I238" i="8" s="1"/>
  <c r="G239" i="8"/>
  <c r="I239" i="8" s="1"/>
  <c r="G240" i="8"/>
  <c r="I240" i="8" s="1"/>
  <c r="G241" i="8"/>
  <c r="I241" i="8" s="1"/>
  <c r="G243" i="8"/>
  <c r="I243" i="8" s="1"/>
  <c r="G244" i="8"/>
  <c r="I244" i="8" s="1"/>
  <c r="G245" i="8"/>
  <c r="I245" i="8" s="1"/>
  <c r="G246" i="8"/>
  <c r="I246" i="8" s="1"/>
  <c r="G247" i="8"/>
  <c r="I247" i="8" s="1"/>
  <c r="G248" i="8"/>
  <c r="I248" i="8" s="1"/>
  <c r="G249" i="8"/>
  <c r="I249" i="8" s="1"/>
  <c r="G251" i="8"/>
  <c r="I251" i="8" s="1"/>
  <c r="G253" i="8"/>
  <c r="I253" i="8" s="1"/>
  <c r="G254" i="8"/>
  <c r="I254" i="8" s="1"/>
  <c r="G255" i="8"/>
  <c r="I255" i="8" s="1"/>
  <c r="G256" i="8"/>
  <c r="I256" i="8" s="1"/>
  <c r="G257" i="8"/>
  <c r="I257" i="8" s="1"/>
  <c r="G259" i="8"/>
  <c r="I259" i="8" s="1"/>
  <c r="G260" i="8"/>
  <c r="I260" i="8" s="1"/>
  <c r="G262" i="8"/>
  <c r="I262" i="8" s="1"/>
  <c r="G263" i="8"/>
  <c r="I263" i="8" s="1"/>
  <c r="G264" i="8"/>
  <c r="I264" i="8" s="1"/>
  <c r="G265" i="8"/>
  <c r="I265" i="8" s="1"/>
  <c r="G267" i="8"/>
  <c r="I267" i="8" s="1"/>
  <c r="G268" i="8"/>
  <c r="I268" i="8" s="1"/>
  <c r="G269" i="8"/>
  <c r="I269" i="8" s="1"/>
  <c r="G271" i="8"/>
  <c r="I271" i="8" s="1"/>
  <c r="G272" i="8"/>
  <c r="I272" i="8" s="1"/>
  <c r="G273" i="8"/>
  <c r="I273" i="8" s="1"/>
  <c r="G274" i="8"/>
  <c r="I274" i="8" s="1"/>
  <c r="G275" i="8"/>
  <c r="I275" i="8" s="1"/>
  <c r="G276" i="8"/>
  <c r="I276" i="8" s="1"/>
  <c r="G278" i="8"/>
  <c r="I278" i="8" s="1"/>
  <c r="G279" i="8"/>
  <c r="I279" i="8" s="1"/>
  <c r="G280" i="8"/>
  <c r="I280" i="8" s="1"/>
  <c r="G282" i="8"/>
  <c r="I282" i="8" s="1"/>
  <c r="G283" i="8"/>
  <c r="I283" i="8" s="1"/>
  <c r="G285" i="8"/>
  <c r="I285" i="8" s="1"/>
  <c r="G286" i="8"/>
  <c r="I286" i="8" s="1"/>
  <c r="G287" i="8"/>
  <c r="I287" i="8" s="1"/>
  <c r="I288" i="8"/>
  <c r="G289" i="8"/>
  <c r="I289" i="8" s="1"/>
  <c r="G290" i="8"/>
  <c r="I290" i="8" s="1"/>
  <c r="G291" i="8"/>
  <c r="I291" i="8" s="1"/>
  <c r="G292" i="8"/>
  <c r="I292" i="8" s="1"/>
  <c r="G293" i="8"/>
  <c r="I293" i="8" s="1"/>
  <c r="G294" i="8"/>
  <c r="I294" i="8" s="1"/>
  <c r="G295" i="8"/>
  <c r="I295" i="8" s="1"/>
  <c r="G296" i="8"/>
  <c r="I296" i="8" s="1"/>
  <c r="G297" i="8"/>
  <c r="I297" i="8" s="1"/>
  <c r="G298" i="8"/>
  <c r="I298" i="8" s="1"/>
  <c r="G299" i="8"/>
  <c r="I299" i="8" s="1"/>
  <c r="G300" i="8"/>
  <c r="I300" i="8" s="1"/>
  <c r="G301" i="8"/>
  <c r="I301" i="8" s="1"/>
  <c r="G302" i="8"/>
  <c r="I302" i="8" s="1"/>
  <c r="G303" i="8"/>
  <c r="I303" i="8" s="1"/>
  <c r="G304" i="8"/>
  <c r="I304" i="8" s="1"/>
  <c r="G305" i="8"/>
  <c r="I305" i="8" s="1"/>
  <c r="G306" i="8"/>
  <c r="I306" i="8" s="1"/>
  <c r="G307" i="8"/>
  <c r="I307" i="8" s="1"/>
  <c r="G308" i="8"/>
  <c r="I308" i="8" s="1"/>
  <c r="G309" i="8"/>
  <c r="I309" i="8" s="1"/>
  <c r="G310" i="8"/>
  <c r="I310" i="8" s="1"/>
  <c r="G311" i="8"/>
  <c r="I311" i="8" s="1"/>
  <c r="G312" i="8"/>
  <c r="I312" i="8" s="1"/>
  <c r="G313" i="8"/>
  <c r="I313" i="8" s="1"/>
  <c r="G314" i="8"/>
  <c r="I314" i="8" s="1"/>
  <c r="G315" i="8"/>
  <c r="I315" i="8" s="1"/>
  <c r="G316" i="8"/>
  <c r="I316" i="8" s="1"/>
  <c r="G317" i="8"/>
  <c r="I317" i="8" s="1"/>
  <c r="G318" i="8"/>
  <c r="I318" i="8" s="1"/>
  <c r="G319" i="8"/>
  <c r="I319" i="8" s="1"/>
  <c r="G320" i="8"/>
  <c r="I320" i="8" s="1"/>
  <c r="G321" i="8"/>
  <c r="I321" i="8" s="1"/>
  <c r="G322" i="8"/>
  <c r="I322" i="8" s="1"/>
  <c r="G323" i="8"/>
  <c r="I323" i="8" s="1"/>
  <c r="G324" i="8"/>
  <c r="I324" i="8" s="1"/>
  <c r="G325" i="8"/>
  <c r="I325" i="8" s="1"/>
  <c r="G326" i="8"/>
  <c r="I326" i="8" s="1"/>
  <c r="G327" i="8"/>
  <c r="I327" i="8" s="1"/>
  <c r="G328" i="8"/>
  <c r="I328" i="8" s="1"/>
  <c r="G329" i="8"/>
  <c r="I329" i="8" s="1"/>
  <c r="G330" i="8"/>
  <c r="I330" i="8" s="1"/>
  <c r="G331" i="8"/>
  <c r="I331" i="8" s="1"/>
  <c r="G332" i="8"/>
  <c r="I332" i="8" s="1"/>
  <c r="G333" i="8"/>
  <c r="I333" i="8" s="1"/>
  <c r="G334" i="8"/>
  <c r="I334" i="8" s="1"/>
  <c r="G335" i="8"/>
  <c r="I335" i="8" s="1"/>
  <c r="G336" i="8"/>
  <c r="I336" i="8" s="1"/>
  <c r="G337" i="8"/>
  <c r="I337" i="8" s="1"/>
  <c r="G338" i="8"/>
  <c r="I338" i="8" s="1"/>
  <c r="G339" i="8"/>
  <c r="I339" i="8" s="1"/>
  <c r="G340" i="8"/>
  <c r="I340" i="8" s="1"/>
  <c r="G341" i="8"/>
  <c r="I341" i="8" s="1"/>
  <c r="G342" i="8"/>
  <c r="I342" i="8" s="1"/>
  <c r="G343" i="8"/>
  <c r="I343" i="8" s="1"/>
  <c r="G344" i="8"/>
  <c r="I344" i="8" s="1"/>
  <c r="G345" i="8"/>
  <c r="I345" i="8" s="1"/>
  <c r="G346" i="8"/>
  <c r="I346" i="8" s="1"/>
  <c r="G347" i="8"/>
  <c r="I347" i="8" s="1"/>
  <c r="G348" i="8"/>
  <c r="I348" i="8" s="1"/>
  <c r="G349" i="8"/>
  <c r="I349" i="8" s="1"/>
  <c r="G350" i="8"/>
  <c r="I350" i="8" s="1"/>
  <c r="G351" i="8"/>
  <c r="I351" i="8" s="1"/>
  <c r="G352" i="8"/>
  <c r="I352" i="8" s="1"/>
  <c r="G353" i="8"/>
  <c r="I353" i="8" s="1"/>
  <c r="G354" i="8"/>
  <c r="I354" i="8" s="1"/>
  <c r="G355" i="8"/>
  <c r="I355" i="8" s="1"/>
  <c r="G356" i="8"/>
  <c r="I356" i="8" s="1"/>
  <c r="G357" i="8"/>
  <c r="I357" i="8" s="1"/>
  <c r="G358" i="8"/>
  <c r="I358" i="8" s="1"/>
  <c r="G359" i="8"/>
  <c r="I359" i="8" s="1"/>
  <c r="G360" i="8"/>
  <c r="I360" i="8" s="1"/>
  <c r="G361" i="8"/>
  <c r="I361" i="8" s="1"/>
  <c r="G362" i="8"/>
  <c r="I362" i="8" s="1"/>
  <c r="G363" i="8"/>
  <c r="I363" i="8" s="1"/>
  <c r="G364" i="8"/>
  <c r="I364" i="8" s="1"/>
  <c r="G365" i="8"/>
  <c r="I365" i="8" s="1"/>
  <c r="G366" i="8"/>
  <c r="I366" i="8" s="1"/>
  <c r="G367" i="8"/>
  <c r="I367" i="8" s="1"/>
  <c r="G368" i="8"/>
  <c r="I368" i="8" s="1"/>
  <c r="G369" i="8"/>
  <c r="I369" i="8" s="1"/>
  <c r="G370" i="8"/>
  <c r="I370" i="8" s="1"/>
  <c r="G371" i="8"/>
  <c r="I371" i="8" s="1"/>
  <c r="G372" i="8"/>
  <c r="I372" i="8" s="1"/>
  <c r="G373" i="8"/>
  <c r="I373" i="8" s="1"/>
  <c r="G374" i="8"/>
  <c r="I374" i="8" s="1"/>
  <c r="G375" i="8"/>
  <c r="I375" i="8" s="1"/>
  <c r="G376" i="8"/>
  <c r="I376" i="8" s="1"/>
  <c r="G377" i="8"/>
  <c r="I377" i="8" s="1"/>
  <c r="G378" i="8"/>
  <c r="I378" i="8" s="1"/>
  <c r="G379" i="8"/>
  <c r="I379" i="8" s="1"/>
  <c r="G380" i="8"/>
  <c r="I380" i="8" s="1"/>
  <c r="G381" i="8"/>
  <c r="I381" i="8" s="1"/>
  <c r="G382" i="8"/>
  <c r="I382" i="8" s="1"/>
  <c r="G383" i="8"/>
  <c r="I383" i="8" s="1"/>
  <c r="G384" i="8"/>
  <c r="I384" i="8" s="1"/>
  <c r="G385" i="8"/>
  <c r="I385" i="8" s="1"/>
  <c r="G386" i="8"/>
  <c r="I386" i="8" s="1"/>
  <c r="G387" i="8"/>
  <c r="I387" i="8" s="1"/>
  <c r="G388" i="8"/>
  <c r="I388" i="8" s="1"/>
  <c r="G389" i="8"/>
  <c r="I389" i="8" s="1"/>
  <c r="G390" i="8"/>
  <c r="I390" i="8" s="1"/>
  <c r="G391" i="8"/>
  <c r="I391" i="8" s="1"/>
  <c r="G392" i="8"/>
  <c r="I392" i="8" s="1"/>
  <c r="G393" i="8"/>
  <c r="I393" i="8" s="1"/>
  <c r="G394" i="8"/>
  <c r="I394" i="8" s="1"/>
  <c r="G395" i="8"/>
  <c r="I395" i="8" s="1"/>
  <c r="G396" i="8"/>
  <c r="I396" i="8" s="1"/>
  <c r="G397" i="8"/>
  <c r="I397" i="8" s="1"/>
  <c r="G398" i="8"/>
  <c r="I398" i="8" s="1"/>
  <c r="G399" i="8"/>
  <c r="I399" i="8" s="1"/>
  <c r="G400" i="8"/>
  <c r="I400" i="8" s="1"/>
  <c r="G402" i="8"/>
  <c r="I402" i="8" s="1"/>
  <c r="G403" i="8"/>
  <c r="I403" i="8" s="1"/>
  <c r="G404" i="8"/>
  <c r="I404" i="8" s="1"/>
  <c r="G405" i="8"/>
  <c r="I405" i="8" s="1"/>
  <c r="G406" i="8"/>
  <c r="I406" i="8" s="1"/>
  <c r="G407" i="8"/>
  <c r="I407" i="8" s="1"/>
  <c r="G408" i="8"/>
  <c r="I408" i="8" s="1"/>
  <c r="G409" i="8"/>
  <c r="I409" i="8" s="1"/>
  <c r="G410" i="8"/>
  <c r="I410" i="8" s="1"/>
  <c r="G411" i="8"/>
  <c r="I411" i="8" s="1"/>
  <c r="G412" i="8"/>
  <c r="I412" i="8" s="1"/>
  <c r="G414" i="8"/>
  <c r="I414" i="8" s="1"/>
  <c r="G415" i="8"/>
  <c r="I415" i="8" s="1"/>
  <c r="G416" i="8"/>
  <c r="I416" i="8" s="1"/>
  <c r="G417" i="8"/>
  <c r="I417" i="8" s="1"/>
  <c r="G418" i="8"/>
  <c r="I418" i="8" s="1"/>
  <c r="G419" i="8"/>
  <c r="I419" i="8" s="1"/>
  <c r="G420" i="8"/>
  <c r="I420" i="8" s="1"/>
  <c r="G421" i="8"/>
  <c r="I421" i="8" s="1"/>
  <c r="G422" i="8"/>
  <c r="I422" i="8" s="1"/>
  <c r="G423" i="8"/>
  <c r="I423" i="8" s="1"/>
  <c r="G424" i="8"/>
  <c r="I424" i="8" s="1"/>
  <c r="G425" i="8"/>
  <c r="I425" i="8" s="1"/>
  <c r="G426" i="8"/>
  <c r="I426" i="8" s="1"/>
  <c r="G427" i="8"/>
  <c r="I427" i="8" s="1"/>
  <c r="G428" i="8"/>
  <c r="I428" i="8" s="1"/>
  <c r="G429" i="8"/>
  <c r="I429" i="8" s="1"/>
  <c r="G430" i="8"/>
  <c r="I430" i="8" s="1"/>
  <c r="G431" i="8"/>
  <c r="I431" i="8" s="1"/>
  <c r="G432" i="8"/>
  <c r="I432" i="8" s="1"/>
  <c r="G433" i="8"/>
  <c r="I433" i="8" s="1"/>
  <c r="G434" i="8"/>
  <c r="I434" i="8" s="1"/>
  <c r="G435" i="8"/>
  <c r="I435" i="8" s="1"/>
  <c r="G436" i="8"/>
  <c r="I436" i="8" s="1"/>
  <c r="G437" i="8"/>
  <c r="I437" i="8" s="1"/>
  <c r="G438" i="8"/>
  <c r="I438" i="8" s="1"/>
  <c r="G439" i="8"/>
  <c r="I439" i="8" s="1"/>
  <c r="G441" i="8"/>
  <c r="I441" i="8" s="1"/>
  <c r="G442" i="8"/>
  <c r="I442" i="8" s="1"/>
  <c r="G443" i="8"/>
  <c r="I443" i="8" s="1"/>
  <c r="G444" i="8"/>
  <c r="I444" i="8" s="1"/>
  <c r="G445" i="8"/>
  <c r="I445" i="8" s="1"/>
  <c r="G446" i="8"/>
  <c r="I446" i="8" s="1"/>
  <c r="G447" i="8"/>
  <c r="I447" i="8" s="1"/>
  <c r="G448" i="8"/>
  <c r="I448" i="8" s="1"/>
  <c r="G449" i="8"/>
  <c r="I449" i="8" s="1"/>
  <c r="G450" i="8"/>
  <c r="I450" i="8" s="1"/>
  <c r="G451" i="8"/>
  <c r="I451" i="8" s="1"/>
  <c r="G452" i="8"/>
  <c r="I452" i="8" s="1"/>
  <c r="G453" i="8"/>
  <c r="I453" i="8" s="1"/>
  <c r="G454" i="8"/>
  <c r="I454" i="8" s="1"/>
  <c r="G456" i="8"/>
  <c r="I456" i="8" s="1"/>
  <c r="G458" i="8"/>
  <c r="I458" i="8" s="1"/>
  <c r="G460" i="8"/>
  <c r="I460" i="8" s="1"/>
  <c r="G461" i="8"/>
  <c r="I461" i="8" s="1"/>
  <c r="G463" i="8"/>
  <c r="I463" i="8" s="1"/>
  <c r="G465" i="8"/>
  <c r="I465" i="8" s="1"/>
  <c r="G466" i="8"/>
  <c r="I466" i="8" s="1"/>
  <c r="G467" i="8"/>
  <c r="I467" i="8" s="1"/>
  <c r="G468" i="8"/>
  <c r="I468" i="8" s="1"/>
  <c r="G469" i="8"/>
  <c r="I469" i="8" s="1"/>
  <c r="G470" i="8"/>
  <c r="I470" i="8" s="1"/>
  <c r="G471" i="8"/>
  <c r="I471" i="8" s="1"/>
  <c r="G473" i="8"/>
  <c r="I473" i="8" s="1"/>
  <c r="G474" i="8"/>
  <c r="I474" i="8" s="1"/>
  <c r="G476" i="8"/>
  <c r="I476" i="8" s="1"/>
  <c r="G477" i="8"/>
  <c r="I477" i="8" s="1"/>
  <c r="G478" i="8"/>
  <c r="I478" i="8" s="1"/>
  <c r="G479" i="8"/>
  <c r="I479" i="8" s="1"/>
  <c r="G481" i="8"/>
  <c r="I481" i="8" s="1"/>
  <c r="G482" i="8"/>
  <c r="I482" i="8" s="1"/>
  <c r="G484" i="8"/>
  <c r="I484" i="8" s="1"/>
  <c r="G486" i="8"/>
  <c r="I486" i="8" s="1"/>
  <c r="G487" i="8"/>
  <c r="I487" i="8" s="1"/>
  <c r="G488" i="8"/>
  <c r="I488" i="8" s="1"/>
  <c r="G489" i="8"/>
  <c r="I489" i="8" s="1"/>
  <c r="G490" i="8"/>
  <c r="I490" i="8" s="1"/>
  <c r="G492" i="8"/>
  <c r="I492" i="8" s="1"/>
  <c r="G494" i="8"/>
  <c r="I494" i="8" s="1"/>
  <c r="G496" i="8"/>
  <c r="I496" i="8" s="1"/>
  <c r="G499" i="8"/>
  <c r="I499" i="8" s="1"/>
  <c r="G501" i="8"/>
  <c r="I501" i="8" s="1"/>
  <c r="G503" i="8"/>
  <c r="I503" i="8" s="1"/>
  <c r="G504" i="8"/>
  <c r="I504" i="8" s="1"/>
  <c r="G505" i="8"/>
  <c r="I505" i="8" s="1"/>
  <c r="G506" i="8"/>
  <c r="I506" i="8" s="1"/>
  <c r="G507" i="8"/>
  <c r="I507" i="8" s="1"/>
  <c r="G509" i="8"/>
  <c r="I509" i="8" s="1"/>
  <c r="G510" i="8"/>
  <c r="I510" i="8" s="1"/>
  <c r="G512" i="8"/>
  <c r="I512" i="8" s="1"/>
  <c r="G514" i="8"/>
  <c r="I514" i="8" s="1"/>
  <c r="G515" i="8"/>
  <c r="I515" i="8" s="1"/>
  <c r="G517" i="8"/>
  <c r="I517" i="8" s="1"/>
  <c r="G518" i="8"/>
  <c r="I518" i="8" s="1"/>
  <c r="G519" i="8"/>
  <c r="I519" i="8" s="1"/>
  <c r="G520" i="8"/>
  <c r="I520" i="8" s="1"/>
  <c r="G521" i="8"/>
  <c r="I521" i="8" s="1"/>
  <c r="G522" i="8"/>
  <c r="I522" i="8" s="1"/>
  <c r="G523" i="8"/>
  <c r="I523" i="8" s="1"/>
  <c r="G524" i="8"/>
  <c r="I524" i="8" s="1"/>
  <c r="G525" i="8"/>
  <c r="I525" i="8" s="1"/>
  <c r="G526" i="8"/>
  <c r="I526" i="8" s="1"/>
  <c r="G527" i="8"/>
  <c r="I527" i="8" s="1"/>
  <c r="G528" i="8"/>
  <c r="I528" i="8" s="1"/>
  <c r="G529" i="8"/>
  <c r="I529" i="8" s="1"/>
  <c r="G530" i="8"/>
  <c r="I530" i="8" s="1"/>
  <c r="G531" i="8"/>
  <c r="I531" i="8" s="1"/>
  <c r="G532" i="8"/>
  <c r="I532" i="8" s="1"/>
  <c r="G534" i="8"/>
  <c r="I534" i="8" s="1"/>
  <c r="G536" i="8"/>
  <c r="I536" i="8" s="1"/>
  <c r="G537" i="8"/>
  <c r="I537" i="8" s="1"/>
  <c r="G540" i="8"/>
  <c r="I540" i="8" s="1"/>
  <c r="G542" i="8"/>
  <c r="I542" i="8" s="1"/>
  <c r="G543" i="8"/>
  <c r="I543" i="8" s="1"/>
  <c r="G545" i="8"/>
  <c r="I545" i="8" s="1"/>
  <c r="G547" i="8"/>
  <c r="I547" i="8" s="1"/>
  <c r="G549" i="8"/>
  <c r="I549" i="8" s="1"/>
  <c r="G550" i="8"/>
  <c r="I550" i="8" s="1"/>
  <c r="G551" i="8"/>
  <c r="I551" i="8" s="1"/>
  <c r="G552" i="8"/>
  <c r="I552" i="8" s="1"/>
  <c r="G553" i="8"/>
  <c r="I553" i="8" s="1"/>
  <c r="F4" i="8"/>
  <c r="F5" i="8"/>
  <c r="F6" i="8"/>
  <c r="F7" i="8"/>
  <c r="F8" i="8"/>
  <c r="F9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1" i="8"/>
  <c r="F83" i="8"/>
  <c r="F84" i="8"/>
  <c r="F86" i="8"/>
  <c r="F88" i="8"/>
  <c r="F90" i="8"/>
  <c r="F92" i="8"/>
  <c r="F94" i="8"/>
  <c r="F95" i="8"/>
  <c r="F96" i="8"/>
  <c r="F99" i="8"/>
  <c r="F100" i="8"/>
  <c r="F101" i="8"/>
  <c r="F102" i="8"/>
  <c r="F103" i="8"/>
  <c r="F104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4" i="8"/>
  <c r="F135" i="8"/>
  <c r="F136" i="8"/>
  <c r="F137" i="8"/>
  <c r="F138" i="8"/>
  <c r="F139" i="8"/>
  <c r="F140" i="8"/>
  <c r="F141" i="8"/>
  <c r="F142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2" i="8"/>
  <c r="F183" i="8"/>
  <c r="F185" i="8"/>
  <c r="F187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6" i="8"/>
  <c r="F217" i="8"/>
  <c r="F218" i="8"/>
  <c r="F219" i="8"/>
  <c r="F220" i="8"/>
  <c r="F221" i="8"/>
  <c r="F222" i="8"/>
  <c r="F223" i="8"/>
  <c r="F224" i="8"/>
  <c r="F225" i="8"/>
  <c r="F227" i="8"/>
  <c r="F228" i="8"/>
  <c r="F229" i="8"/>
  <c r="F231" i="8"/>
  <c r="F232" i="8"/>
  <c r="F233" i="8"/>
  <c r="F234" i="8"/>
  <c r="F235" i="8"/>
  <c r="F236" i="8"/>
  <c r="F238" i="8"/>
  <c r="F239" i="8"/>
  <c r="F240" i="8"/>
  <c r="F241" i="8"/>
  <c r="F243" i="8"/>
  <c r="F244" i="8"/>
  <c r="F245" i="8"/>
  <c r="F246" i="8"/>
  <c r="F247" i="8"/>
  <c r="F248" i="8"/>
  <c r="F249" i="8"/>
  <c r="F251" i="8"/>
  <c r="F253" i="8"/>
  <c r="F254" i="8"/>
  <c r="F255" i="8"/>
  <c r="F256" i="8"/>
  <c r="F257" i="8"/>
  <c r="F259" i="8"/>
  <c r="F260" i="8"/>
  <c r="F262" i="8"/>
  <c r="F263" i="8"/>
  <c r="F264" i="8"/>
  <c r="F265" i="8"/>
  <c r="F267" i="8"/>
  <c r="F268" i="8"/>
  <c r="F269" i="8"/>
  <c r="F271" i="8"/>
  <c r="F272" i="8"/>
  <c r="F273" i="8"/>
  <c r="F274" i="8"/>
  <c r="F275" i="8"/>
  <c r="F276" i="8"/>
  <c r="F278" i="8"/>
  <c r="F279" i="8"/>
  <c r="F280" i="8"/>
  <c r="F282" i="8"/>
  <c r="F283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2" i="8"/>
  <c r="F403" i="8"/>
  <c r="F404" i="8"/>
  <c r="F405" i="8"/>
  <c r="F406" i="8"/>
  <c r="F407" i="8"/>
  <c r="F408" i="8"/>
  <c r="F409" i="8"/>
  <c r="F410" i="8"/>
  <c r="F411" i="8"/>
  <c r="F412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6" i="8"/>
  <c r="F458" i="8"/>
  <c r="F460" i="8"/>
  <c r="F461" i="8"/>
  <c r="F463" i="8"/>
  <c r="F465" i="8"/>
  <c r="F466" i="8"/>
  <c r="F467" i="8"/>
  <c r="F468" i="8"/>
  <c r="F469" i="8"/>
  <c r="F470" i="8"/>
  <c r="F471" i="8"/>
  <c r="F473" i="8"/>
  <c r="F474" i="8"/>
  <c r="F476" i="8"/>
  <c r="F477" i="8"/>
  <c r="F478" i="8"/>
  <c r="F479" i="8"/>
  <c r="F481" i="8"/>
  <c r="F482" i="8"/>
  <c r="F484" i="8"/>
  <c r="F486" i="8"/>
  <c r="F487" i="8"/>
  <c r="F488" i="8"/>
  <c r="F489" i="8"/>
  <c r="F490" i="8"/>
  <c r="F492" i="8"/>
  <c r="F494" i="8"/>
  <c r="F496" i="8"/>
  <c r="F499" i="8"/>
  <c r="F501" i="8"/>
  <c r="F503" i="8"/>
  <c r="F504" i="8"/>
  <c r="F505" i="8"/>
  <c r="F506" i="8"/>
  <c r="F507" i="8"/>
  <c r="F509" i="8"/>
  <c r="F510" i="8"/>
  <c r="F512" i="8"/>
  <c r="F514" i="8"/>
  <c r="F515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4" i="8"/>
  <c r="F536" i="8"/>
  <c r="F537" i="8"/>
  <c r="F540" i="8"/>
  <c r="F542" i="8"/>
  <c r="F543" i="8"/>
  <c r="F545" i="8"/>
  <c r="F547" i="8"/>
  <c r="F549" i="8"/>
  <c r="F550" i="8"/>
  <c r="F551" i="8"/>
  <c r="F552" i="8"/>
  <c r="F553" i="8"/>
  <c r="B469" i="8" l="1"/>
  <c r="D109" i="8" l="1"/>
  <c r="K26" i="1" l="1"/>
  <c r="K14" i="1"/>
  <c r="D271" i="8" l="1"/>
  <c r="D195" i="8"/>
  <c r="J4966" i="10" l="1"/>
  <c r="I4966" i="10"/>
  <c r="H4966" i="10"/>
  <c r="J4965" i="10"/>
  <c r="I4965" i="10"/>
  <c r="H4965" i="10"/>
  <c r="J4964" i="10"/>
  <c r="I4964" i="10"/>
  <c r="H4964" i="10"/>
  <c r="J4963" i="10"/>
  <c r="I4963" i="10"/>
  <c r="H4963" i="10"/>
  <c r="J4962" i="10"/>
  <c r="I4962" i="10"/>
  <c r="H4962" i="10"/>
  <c r="J4961" i="10"/>
  <c r="I4961" i="10"/>
  <c r="H4961" i="10"/>
  <c r="J4960" i="10"/>
  <c r="I4960" i="10"/>
  <c r="H4960" i="10"/>
  <c r="J4959" i="10"/>
  <c r="I4959" i="10"/>
  <c r="H4959" i="10"/>
  <c r="J4958" i="10"/>
  <c r="I4958" i="10"/>
  <c r="H4958" i="10"/>
  <c r="J4957" i="10"/>
  <c r="I4957" i="10"/>
  <c r="H4957" i="10"/>
  <c r="J4956" i="10"/>
  <c r="I4956" i="10"/>
  <c r="H4956" i="10"/>
  <c r="J4955" i="10"/>
  <c r="I4955" i="10"/>
  <c r="H4955" i="10"/>
  <c r="J4954" i="10"/>
  <c r="I4954" i="10"/>
  <c r="H4954" i="10"/>
  <c r="J4953" i="10"/>
  <c r="I4953" i="10"/>
  <c r="H4953" i="10"/>
  <c r="J4952" i="10"/>
  <c r="I4952" i="10"/>
  <c r="H4952" i="10"/>
  <c r="J4951" i="10"/>
  <c r="I4951" i="10"/>
  <c r="H4951" i="10"/>
  <c r="J4950" i="10"/>
  <c r="I4950" i="10"/>
  <c r="H4950" i="10"/>
  <c r="J4949" i="10"/>
  <c r="I4949" i="10"/>
  <c r="H4949" i="10"/>
  <c r="J4948" i="10"/>
  <c r="I4948" i="10"/>
  <c r="H4948" i="10"/>
  <c r="J4947" i="10"/>
  <c r="I4947" i="10"/>
  <c r="H4947" i="10"/>
  <c r="J4946" i="10"/>
  <c r="I4946" i="10"/>
  <c r="H4946" i="10"/>
  <c r="J4945" i="10"/>
  <c r="I4945" i="10"/>
  <c r="H4945" i="10"/>
  <c r="J4944" i="10"/>
  <c r="I4944" i="10"/>
  <c r="H4944" i="10"/>
  <c r="J4943" i="10"/>
  <c r="I4943" i="10"/>
  <c r="H4943" i="10"/>
  <c r="J4942" i="10"/>
  <c r="I4942" i="10"/>
  <c r="H4942" i="10"/>
  <c r="J4941" i="10"/>
  <c r="I4941" i="10"/>
  <c r="H4941" i="10"/>
  <c r="J4940" i="10"/>
  <c r="I4940" i="10"/>
  <c r="H4940" i="10"/>
  <c r="J4939" i="10"/>
  <c r="I4939" i="10"/>
  <c r="H4939" i="10"/>
  <c r="J4938" i="10"/>
  <c r="I4938" i="10"/>
  <c r="H4938" i="10"/>
  <c r="J4937" i="10"/>
  <c r="I4937" i="10"/>
  <c r="H4937" i="10"/>
  <c r="J4936" i="10"/>
  <c r="I4936" i="10"/>
  <c r="H4936" i="10"/>
  <c r="J4935" i="10"/>
  <c r="I4935" i="10"/>
  <c r="H4935" i="10"/>
  <c r="J4934" i="10"/>
  <c r="I4934" i="10"/>
  <c r="H4934" i="10"/>
  <c r="J4933" i="10"/>
  <c r="I4933" i="10"/>
  <c r="H4933" i="10"/>
  <c r="J4932" i="10"/>
  <c r="I4932" i="10"/>
  <c r="H4932" i="10"/>
  <c r="J4931" i="10"/>
  <c r="I4931" i="10"/>
  <c r="H4931" i="10"/>
  <c r="J4930" i="10"/>
  <c r="I4930" i="10"/>
  <c r="H4930" i="10"/>
  <c r="J4929" i="10"/>
  <c r="I4929" i="10"/>
  <c r="H4929" i="10"/>
  <c r="J4928" i="10"/>
  <c r="I4928" i="10"/>
  <c r="H4928" i="10"/>
  <c r="J4927" i="10"/>
  <c r="I4927" i="10"/>
  <c r="H4927" i="10"/>
  <c r="J4926" i="10"/>
  <c r="I4926" i="10"/>
  <c r="H4926" i="10"/>
  <c r="J4925" i="10"/>
  <c r="I4925" i="10"/>
  <c r="H4925" i="10"/>
  <c r="J4924" i="10"/>
  <c r="I4924" i="10"/>
  <c r="H4924" i="10"/>
  <c r="J4923" i="10"/>
  <c r="I4923" i="10"/>
  <c r="H4923" i="10"/>
  <c r="J4922" i="10"/>
  <c r="I4922" i="10"/>
  <c r="H4922" i="10"/>
  <c r="J4921" i="10"/>
  <c r="I4921" i="10"/>
  <c r="H4921" i="10"/>
  <c r="J4920" i="10"/>
  <c r="I4920" i="10"/>
  <c r="H4920" i="10"/>
  <c r="J4919" i="10"/>
  <c r="I4919" i="10"/>
  <c r="H4919" i="10"/>
  <c r="J4918" i="10"/>
  <c r="I4918" i="10"/>
  <c r="H4918" i="10"/>
  <c r="J4917" i="10"/>
  <c r="I4917" i="10"/>
  <c r="H4917" i="10"/>
  <c r="J4916" i="10"/>
  <c r="I4916" i="10"/>
  <c r="H4916" i="10"/>
  <c r="J4915" i="10"/>
  <c r="I4915" i="10"/>
  <c r="H4915" i="10"/>
  <c r="J4914" i="10"/>
  <c r="I4914" i="10"/>
  <c r="H4914" i="10"/>
  <c r="J4913" i="10"/>
  <c r="I4913" i="10"/>
  <c r="H4913" i="10"/>
  <c r="J4912" i="10"/>
  <c r="I4912" i="10"/>
  <c r="H4912" i="10"/>
  <c r="J4911" i="10"/>
  <c r="I4911" i="10"/>
  <c r="H4911" i="10"/>
  <c r="J4910" i="10"/>
  <c r="I4910" i="10"/>
  <c r="H4910" i="10"/>
  <c r="J4909" i="10"/>
  <c r="I4909" i="10"/>
  <c r="H4909" i="10"/>
  <c r="J4908" i="10"/>
  <c r="I4908" i="10"/>
  <c r="H4908" i="10"/>
  <c r="J4907" i="10"/>
  <c r="I4907" i="10"/>
  <c r="H4907" i="10"/>
  <c r="J4906" i="10"/>
  <c r="I4906" i="10"/>
  <c r="H4906" i="10"/>
  <c r="J4905" i="10"/>
  <c r="I4905" i="10"/>
  <c r="H4905" i="10"/>
  <c r="J4904" i="10"/>
  <c r="I4904" i="10"/>
  <c r="H4904" i="10"/>
  <c r="J4903" i="10"/>
  <c r="I4903" i="10"/>
  <c r="H4903" i="10"/>
  <c r="J4902" i="10"/>
  <c r="I4902" i="10"/>
  <c r="H4902" i="10"/>
  <c r="J4901" i="10"/>
  <c r="I4901" i="10"/>
  <c r="H4901" i="10"/>
  <c r="J4900" i="10"/>
  <c r="I4900" i="10"/>
  <c r="H4900" i="10"/>
  <c r="J4899" i="10"/>
  <c r="I4899" i="10"/>
  <c r="H4899" i="10"/>
  <c r="J4898" i="10"/>
  <c r="I4898" i="10"/>
  <c r="H4898" i="10"/>
  <c r="J4897" i="10"/>
  <c r="I4897" i="10"/>
  <c r="H4897" i="10"/>
  <c r="J4896" i="10"/>
  <c r="I4896" i="10"/>
  <c r="H4896" i="10"/>
  <c r="J4895" i="10"/>
  <c r="I4895" i="10"/>
  <c r="H4895" i="10"/>
  <c r="J4894" i="10"/>
  <c r="I4894" i="10"/>
  <c r="H4894" i="10"/>
  <c r="J4893" i="10"/>
  <c r="I4893" i="10"/>
  <c r="H4893" i="10"/>
  <c r="J4892" i="10"/>
  <c r="I4892" i="10"/>
  <c r="H4892" i="10"/>
  <c r="J4891" i="10"/>
  <c r="I4891" i="10"/>
  <c r="H4891" i="10"/>
  <c r="J4890" i="10"/>
  <c r="I4890" i="10"/>
  <c r="H4890" i="10"/>
  <c r="J4889" i="10"/>
  <c r="I4889" i="10"/>
  <c r="H4889" i="10"/>
  <c r="J4888" i="10"/>
  <c r="I4888" i="10"/>
  <c r="H4888" i="10"/>
  <c r="J4887" i="10"/>
  <c r="I4887" i="10"/>
  <c r="H4887" i="10"/>
  <c r="J4886" i="10"/>
  <c r="I4886" i="10"/>
  <c r="H4886" i="10"/>
  <c r="J4885" i="10"/>
  <c r="I4885" i="10"/>
  <c r="H4885" i="10"/>
  <c r="J4884" i="10"/>
  <c r="I4884" i="10"/>
  <c r="H4884" i="10"/>
  <c r="J4883" i="10"/>
  <c r="I4883" i="10"/>
  <c r="H4883" i="10"/>
  <c r="J4882" i="10"/>
  <c r="I4882" i="10"/>
  <c r="H4882" i="10"/>
  <c r="J4881" i="10"/>
  <c r="I4881" i="10"/>
  <c r="H4881" i="10"/>
  <c r="J4880" i="10"/>
  <c r="I4880" i="10"/>
  <c r="H4880" i="10"/>
  <c r="J4879" i="10"/>
  <c r="I4879" i="10"/>
  <c r="H4879" i="10"/>
  <c r="J4878" i="10"/>
  <c r="I4878" i="10"/>
  <c r="H4878" i="10"/>
  <c r="J4877" i="10"/>
  <c r="I4877" i="10"/>
  <c r="H4877" i="10"/>
  <c r="J4876" i="10"/>
  <c r="I4876" i="10"/>
  <c r="H4876" i="10"/>
  <c r="J4875" i="10"/>
  <c r="I4875" i="10"/>
  <c r="H4875" i="10"/>
  <c r="J4874" i="10"/>
  <c r="I4874" i="10"/>
  <c r="H4874" i="10"/>
  <c r="J4873" i="10"/>
  <c r="I4873" i="10"/>
  <c r="H4873" i="10"/>
  <c r="J4872" i="10"/>
  <c r="I4872" i="10"/>
  <c r="H4872" i="10"/>
  <c r="J4871" i="10"/>
  <c r="I4871" i="10"/>
  <c r="H4871" i="10"/>
  <c r="J4870" i="10"/>
  <c r="I4870" i="10"/>
  <c r="H4870" i="10"/>
  <c r="J4869" i="10"/>
  <c r="I4869" i="10"/>
  <c r="H4869" i="10"/>
  <c r="J4868" i="10"/>
  <c r="I4868" i="10"/>
  <c r="H4868" i="10"/>
  <c r="J4867" i="10"/>
  <c r="I4867" i="10"/>
  <c r="H4867" i="10"/>
  <c r="J4866" i="10"/>
  <c r="I4866" i="10"/>
  <c r="H4866" i="10"/>
  <c r="J4865" i="10"/>
  <c r="I4865" i="10"/>
  <c r="H4865" i="10"/>
  <c r="J4864" i="10"/>
  <c r="I4864" i="10"/>
  <c r="H4864" i="10"/>
  <c r="J4863" i="10"/>
  <c r="I4863" i="10"/>
  <c r="H4863" i="10"/>
  <c r="J4862" i="10"/>
  <c r="I4862" i="10"/>
  <c r="H4862" i="10"/>
  <c r="J4861" i="10"/>
  <c r="I4861" i="10"/>
  <c r="H4861" i="10"/>
  <c r="J4860" i="10"/>
  <c r="I4860" i="10"/>
  <c r="H4860" i="10"/>
  <c r="J4859" i="10"/>
  <c r="I4859" i="10"/>
  <c r="H4859" i="10"/>
  <c r="J4858" i="10"/>
  <c r="I4858" i="10"/>
  <c r="H4858" i="10"/>
  <c r="J4857" i="10"/>
  <c r="I4857" i="10"/>
  <c r="H4857" i="10"/>
  <c r="J4856" i="10"/>
  <c r="I4856" i="10"/>
  <c r="H4856" i="10"/>
  <c r="J4855" i="10"/>
  <c r="I4855" i="10"/>
  <c r="H4855" i="10"/>
  <c r="J4854" i="10"/>
  <c r="I4854" i="10"/>
  <c r="H4854" i="10"/>
  <c r="J4853" i="10"/>
  <c r="I4853" i="10"/>
  <c r="H4853" i="10"/>
  <c r="J4852" i="10"/>
  <c r="I4852" i="10"/>
  <c r="H4852" i="10"/>
  <c r="J4851" i="10"/>
  <c r="I4851" i="10"/>
  <c r="H4851" i="10"/>
  <c r="J4850" i="10"/>
  <c r="I4850" i="10"/>
  <c r="H4850" i="10"/>
  <c r="J4849" i="10"/>
  <c r="I4849" i="10"/>
  <c r="H4849" i="10"/>
  <c r="J4848" i="10"/>
  <c r="I4848" i="10"/>
  <c r="H4848" i="10"/>
  <c r="J4847" i="10"/>
  <c r="I4847" i="10"/>
  <c r="H4847" i="10"/>
  <c r="J4846" i="10"/>
  <c r="I4846" i="10"/>
  <c r="H4846" i="10"/>
  <c r="J4845" i="10"/>
  <c r="I4845" i="10"/>
  <c r="H4845" i="10"/>
  <c r="J4844" i="10"/>
  <c r="I4844" i="10"/>
  <c r="H4844" i="10"/>
  <c r="J4843" i="10"/>
  <c r="I4843" i="10"/>
  <c r="H4843" i="10"/>
  <c r="J4842" i="10"/>
  <c r="I4842" i="10"/>
  <c r="H4842" i="10"/>
  <c r="J4841" i="10"/>
  <c r="I4841" i="10"/>
  <c r="H4841" i="10"/>
  <c r="J4840" i="10"/>
  <c r="I4840" i="10"/>
  <c r="H4840" i="10"/>
  <c r="J4839" i="10"/>
  <c r="I4839" i="10"/>
  <c r="H4839" i="10"/>
  <c r="J4838" i="10"/>
  <c r="I4838" i="10"/>
  <c r="H4838" i="10"/>
  <c r="J4837" i="10"/>
  <c r="I4837" i="10"/>
  <c r="H4837" i="10"/>
  <c r="J4836" i="10"/>
  <c r="I4836" i="10"/>
  <c r="H4836" i="10"/>
  <c r="J4835" i="10"/>
  <c r="I4835" i="10"/>
  <c r="H4835" i="10"/>
  <c r="J4834" i="10"/>
  <c r="I4834" i="10"/>
  <c r="H4834" i="10"/>
  <c r="J4833" i="10"/>
  <c r="I4833" i="10"/>
  <c r="H4833" i="10"/>
  <c r="J4832" i="10"/>
  <c r="I4832" i="10"/>
  <c r="H4832" i="10"/>
  <c r="J4831" i="10"/>
  <c r="I4831" i="10"/>
  <c r="H4831" i="10"/>
  <c r="J4830" i="10"/>
  <c r="I4830" i="10"/>
  <c r="H4830" i="10"/>
  <c r="J4829" i="10"/>
  <c r="I4829" i="10"/>
  <c r="H4829" i="10"/>
  <c r="J4828" i="10"/>
  <c r="I4828" i="10"/>
  <c r="H4828" i="10"/>
  <c r="J4827" i="10"/>
  <c r="I4827" i="10"/>
  <c r="H4827" i="10"/>
  <c r="J4826" i="10"/>
  <c r="I4826" i="10"/>
  <c r="H4826" i="10"/>
  <c r="J4825" i="10"/>
  <c r="I4825" i="10"/>
  <c r="H4825" i="10"/>
  <c r="J4824" i="10"/>
  <c r="I4824" i="10"/>
  <c r="H4824" i="10"/>
  <c r="J4823" i="10"/>
  <c r="I4823" i="10"/>
  <c r="H4823" i="10"/>
  <c r="J4822" i="10"/>
  <c r="I4822" i="10"/>
  <c r="H4822" i="10"/>
  <c r="J4821" i="10"/>
  <c r="I4821" i="10"/>
  <c r="H4821" i="10"/>
  <c r="J4820" i="10"/>
  <c r="I4820" i="10"/>
  <c r="H4820" i="10"/>
  <c r="J4819" i="10"/>
  <c r="I4819" i="10"/>
  <c r="H4819" i="10"/>
  <c r="J4818" i="10"/>
  <c r="I4818" i="10"/>
  <c r="H4818" i="10"/>
  <c r="J4817" i="10"/>
  <c r="I4817" i="10"/>
  <c r="H4817" i="10"/>
  <c r="J4816" i="10"/>
  <c r="I4816" i="10"/>
  <c r="H4816" i="10"/>
  <c r="J4815" i="10"/>
  <c r="I4815" i="10"/>
  <c r="H4815" i="10"/>
  <c r="J4814" i="10"/>
  <c r="I4814" i="10"/>
  <c r="H4814" i="10"/>
  <c r="J4813" i="10"/>
  <c r="I4813" i="10"/>
  <c r="H4813" i="10"/>
  <c r="J4812" i="10"/>
  <c r="I4812" i="10"/>
  <c r="H4812" i="10"/>
  <c r="J4811" i="10"/>
  <c r="I4811" i="10"/>
  <c r="H4811" i="10"/>
  <c r="J4810" i="10"/>
  <c r="I4810" i="10"/>
  <c r="H4810" i="10"/>
  <c r="J4809" i="10"/>
  <c r="I4809" i="10"/>
  <c r="H4809" i="10"/>
  <c r="J4808" i="10"/>
  <c r="I4808" i="10"/>
  <c r="H4808" i="10"/>
  <c r="J4807" i="10"/>
  <c r="I4807" i="10"/>
  <c r="H4807" i="10"/>
  <c r="J4806" i="10"/>
  <c r="I4806" i="10"/>
  <c r="H4806" i="10"/>
  <c r="J4805" i="10"/>
  <c r="I4805" i="10"/>
  <c r="H4805" i="10"/>
  <c r="J4804" i="10"/>
  <c r="I4804" i="10"/>
  <c r="H4804" i="10"/>
  <c r="J4803" i="10"/>
  <c r="I4803" i="10"/>
  <c r="H4803" i="10"/>
  <c r="J4802" i="10"/>
  <c r="I4802" i="10"/>
  <c r="H4802" i="10"/>
  <c r="J4801" i="10"/>
  <c r="I4801" i="10"/>
  <c r="H4801" i="10"/>
  <c r="J4800" i="10"/>
  <c r="I4800" i="10"/>
  <c r="H4800" i="10"/>
  <c r="J4799" i="10"/>
  <c r="I4799" i="10"/>
  <c r="H4799" i="10"/>
  <c r="J4798" i="10"/>
  <c r="I4798" i="10"/>
  <c r="H4798" i="10"/>
  <c r="J4797" i="10"/>
  <c r="I4797" i="10"/>
  <c r="H4797" i="10"/>
  <c r="J4796" i="10"/>
  <c r="I4796" i="10"/>
  <c r="H4796" i="10"/>
  <c r="J4795" i="10"/>
  <c r="I4795" i="10"/>
  <c r="H4795" i="10"/>
  <c r="J4794" i="10"/>
  <c r="I4794" i="10"/>
  <c r="H4794" i="10"/>
  <c r="J4793" i="10"/>
  <c r="I4793" i="10"/>
  <c r="H4793" i="10"/>
  <c r="J4792" i="10"/>
  <c r="I4792" i="10"/>
  <c r="H4792" i="10"/>
  <c r="J4791" i="10"/>
  <c r="I4791" i="10"/>
  <c r="H4791" i="10"/>
  <c r="J4790" i="10"/>
  <c r="I4790" i="10"/>
  <c r="H4790" i="10"/>
  <c r="J4789" i="10"/>
  <c r="I4789" i="10"/>
  <c r="H4789" i="10"/>
  <c r="J4788" i="10"/>
  <c r="I4788" i="10"/>
  <c r="H4788" i="10"/>
  <c r="J4787" i="10"/>
  <c r="I4787" i="10"/>
  <c r="H4787" i="10"/>
  <c r="J4786" i="10"/>
  <c r="I4786" i="10"/>
  <c r="H4786" i="10"/>
  <c r="J4785" i="10"/>
  <c r="I4785" i="10"/>
  <c r="H4785" i="10"/>
  <c r="J4784" i="10"/>
  <c r="I4784" i="10"/>
  <c r="H4784" i="10"/>
  <c r="J4783" i="10"/>
  <c r="I4783" i="10"/>
  <c r="H4783" i="10"/>
  <c r="J4782" i="10"/>
  <c r="I4782" i="10"/>
  <c r="H4782" i="10"/>
  <c r="J4781" i="10"/>
  <c r="I4781" i="10"/>
  <c r="H4781" i="10"/>
  <c r="J4780" i="10"/>
  <c r="I4780" i="10"/>
  <c r="H4780" i="10"/>
  <c r="J4779" i="10"/>
  <c r="I4779" i="10"/>
  <c r="H4779" i="10"/>
  <c r="J4778" i="10"/>
  <c r="I4778" i="10"/>
  <c r="H4778" i="10"/>
  <c r="J4777" i="10"/>
  <c r="I4777" i="10"/>
  <c r="H4777" i="10"/>
  <c r="J4776" i="10"/>
  <c r="I4776" i="10"/>
  <c r="H4776" i="10"/>
  <c r="J4775" i="10"/>
  <c r="I4775" i="10"/>
  <c r="H4775" i="10"/>
  <c r="J4774" i="10"/>
  <c r="I4774" i="10"/>
  <c r="H4774" i="10"/>
  <c r="J4773" i="10"/>
  <c r="I4773" i="10"/>
  <c r="H4773" i="10"/>
  <c r="J4772" i="10"/>
  <c r="I4772" i="10"/>
  <c r="H4772" i="10"/>
  <c r="J4771" i="10"/>
  <c r="I4771" i="10"/>
  <c r="H4771" i="10"/>
  <c r="J4770" i="10"/>
  <c r="I4770" i="10"/>
  <c r="H4770" i="10"/>
  <c r="J4769" i="10"/>
  <c r="I4769" i="10"/>
  <c r="H4769" i="10"/>
  <c r="J4768" i="10"/>
  <c r="I4768" i="10"/>
  <c r="H4768" i="10"/>
  <c r="J4767" i="10"/>
  <c r="I4767" i="10"/>
  <c r="H4767" i="10"/>
  <c r="J4766" i="10"/>
  <c r="I4766" i="10"/>
  <c r="H4766" i="10"/>
  <c r="J4765" i="10"/>
  <c r="I4765" i="10"/>
  <c r="H4765" i="10"/>
  <c r="J4764" i="10"/>
  <c r="I4764" i="10"/>
  <c r="H4764" i="10"/>
  <c r="J4763" i="10"/>
  <c r="I4763" i="10"/>
  <c r="H4763" i="10"/>
  <c r="J4762" i="10"/>
  <c r="I4762" i="10"/>
  <c r="H4762" i="10"/>
  <c r="J4761" i="10"/>
  <c r="I4761" i="10"/>
  <c r="H4761" i="10"/>
  <c r="J4760" i="10"/>
  <c r="I4760" i="10"/>
  <c r="H4760" i="10"/>
  <c r="J4759" i="10"/>
  <c r="I4759" i="10"/>
  <c r="H4759" i="10"/>
  <c r="J4758" i="10"/>
  <c r="I4758" i="10"/>
  <c r="H4758" i="10"/>
  <c r="J4757" i="10"/>
  <c r="I4757" i="10"/>
  <c r="H4757" i="10"/>
  <c r="J4756" i="10"/>
  <c r="I4756" i="10"/>
  <c r="H4756" i="10"/>
  <c r="J4755" i="10"/>
  <c r="I4755" i="10"/>
  <c r="H4755" i="10"/>
  <c r="J4754" i="10"/>
  <c r="I4754" i="10"/>
  <c r="H4754" i="10"/>
  <c r="J4753" i="10"/>
  <c r="I4753" i="10"/>
  <c r="H4753" i="10"/>
  <c r="J4752" i="10"/>
  <c r="I4752" i="10"/>
  <c r="H4752" i="10"/>
  <c r="J4751" i="10"/>
  <c r="I4751" i="10"/>
  <c r="H4751" i="10"/>
  <c r="J4750" i="10"/>
  <c r="I4750" i="10"/>
  <c r="H4750" i="10"/>
  <c r="J4749" i="10"/>
  <c r="I4749" i="10"/>
  <c r="H4749" i="10"/>
  <c r="J4748" i="10"/>
  <c r="I4748" i="10"/>
  <c r="H4748" i="10"/>
  <c r="J4747" i="10"/>
  <c r="I4747" i="10"/>
  <c r="H4747" i="10"/>
  <c r="J4746" i="10"/>
  <c r="I4746" i="10"/>
  <c r="H4746" i="10"/>
  <c r="J4745" i="10"/>
  <c r="I4745" i="10"/>
  <c r="H4745" i="10"/>
  <c r="J4744" i="10"/>
  <c r="I4744" i="10"/>
  <c r="H4744" i="10"/>
  <c r="J4743" i="10"/>
  <c r="I4743" i="10"/>
  <c r="H4743" i="10"/>
  <c r="J4742" i="10"/>
  <c r="I4742" i="10"/>
  <c r="H4742" i="10"/>
  <c r="J4741" i="10"/>
  <c r="I4741" i="10"/>
  <c r="H4741" i="10"/>
  <c r="J4740" i="10"/>
  <c r="I4740" i="10"/>
  <c r="H4740" i="10"/>
  <c r="J4739" i="10"/>
  <c r="I4739" i="10"/>
  <c r="H4739" i="10"/>
  <c r="J4738" i="10"/>
  <c r="I4738" i="10"/>
  <c r="H4738" i="10"/>
  <c r="J4737" i="10"/>
  <c r="I4737" i="10"/>
  <c r="H4737" i="10"/>
  <c r="J4736" i="10"/>
  <c r="I4736" i="10"/>
  <c r="H4736" i="10"/>
  <c r="J4735" i="10"/>
  <c r="I4735" i="10"/>
  <c r="H4735" i="10"/>
  <c r="J4734" i="10"/>
  <c r="I4734" i="10"/>
  <c r="H4734" i="10"/>
  <c r="J4733" i="10"/>
  <c r="I4733" i="10"/>
  <c r="H4733" i="10"/>
  <c r="J4732" i="10"/>
  <c r="I4732" i="10"/>
  <c r="H4732" i="10"/>
  <c r="J4731" i="10"/>
  <c r="I4731" i="10"/>
  <c r="H4731" i="10"/>
  <c r="J4730" i="10"/>
  <c r="I4730" i="10"/>
  <c r="H4730" i="10"/>
  <c r="J4729" i="10"/>
  <c r="I4729" i="10"/>
  <c r="H4729" i="10"/>
  <c r="J4728" i="10"/>
  <c r="I4728" i="10"/>
  <c r="H4728" i="10"/>
  <c r="J4727" i="10"/>
  <c r="I4727" i="10"/>
  <c r="H4727" i="10"/>
  <c r="J4726" i="10"/>
  <c r="I4726" i="10"/>
  <c r="H4726" i="10"/>
  <c r="J4725" i="10"/>
  <c r="I4725" i="10"/>
  <c r="H4725" i="10"/>
  <c r="J4724" i="10"/>
  <c r="I4724" i="10"/>
  <c r="H4724" i="10"/>
  <c r="J4723" i="10"/>
  <c r="I4723" i="10"/>
  <c r="H4723" i="10"/>
  <c r="J4722" i="10"/>
  <c r="I4722" i="10"/>
  <c r="H4722" i="10"/>
  <c r="J4721" i="10"/>
  <c r="I4721" i="10"/>
  <c r="H4721" i="10"/>
  <c r="J4720" i="10"/>
  <c r="I4720" i="10"/>
  <c r="H4720" i="10"/>
  <c r="J4719" i="10"/>
  <c r="I4719" i="10"/>
  <c r="H4719" i="10"/>
  <c r="J4718" i="10"/>
  <c r="I4718" i="10"/>
  <c r="H4718" i="10"/>
  <c r="J4717" i="10"/>
  <c r="I4717" i="10"/>
  <c r="H4717" i="10"/>
  <c r="J4716" i="10"/>
  <c r="I4716" i="10"/>
  <c r="H4716" i="10"/>
  <c r="J4715" i="10"/>
  <c r="I4715" i="10"/>
  <c r="H4715" i="10"/>
  <c r="J4714" i="10"/>
  <c r="I4714" i="10"/>
  <c r="H4714" i="10"/>
  <c r="J4713" i="10"/>
  <c r="I4713" i="10"/>
  <c r="H4713" i="10"/>
  <c r="J4712" i="10"/>
  <c r="I4712" i="10"/>
  <c r="H4712" i="10"/>
  <c r="J4711" i="10"/>
  <c r="I4711" i="10"/>
  <c r="H4711" i="10"/>
  <c r="J4710" i="10"/>
  <c r="I4710" i="10"/>
  <c r="H4710" i="10"/>
  <c r="J4709" i="10"/>
  <c r="I4709" i="10"/>
  <c r="H4709" i="10"/>
  <c r="J4708" i="10"/>
  <c r="I4708" i="10"/>
  <c r="H4708" i="10"/>
  <c r="J4707" i="10"/>
  <c r="I4707" i="10"/>
  <c r="H4707" i="10"/>
  <c r="J4706" i="10"/>
  <c r="I4706" i="10"/>
  <c r="H4706" i="10"/>
  <c r="J4705" i="10"/>
  <c r="I4705" i="10"/>
  <c r="H4705" i="10"/>
  <c r="J4704" i="10"/>
  <c r="I4704" i="10"/>
  <c r="H4704" i="10"/>
  <c r="J4703" i="10"/>
  <c r="I4703" i="10"/>
  <c r="H4703" i="10"/>
  <c r="J4702" i="10"/>
  <c r="I4702" i="10"/>
  <c r="H4702" i="10"/>
  <c r="J4701" i="10"/>
  <c r="I4701" i="10"/>
  <c r="H4701" i="10"/>
  <c r="J4700" i="10"/>
  <c r="I4700" i="10"/>
  <c r="H4700" i="10"/>
  <c r="J4699" i="10"/>
  <c r="I4699" i="10"/>
  <c r="H4699" i="10"/>
  <c r="J4698" i="10"/>
  <c r="I4698" i="10"/>
  <c r="H4698" i="10"/>
  <c r="J4697" i="10"/>
  <c r="I4697" i="10"/>
  <c r="H4697" i="10"/>
  <c r="J4696" i="10"/>
  <c r="I4696" i="10"/>
  <c r="H4696" i="10"/>
  <c r="J4695" i="10"/>
  <c r="I4695" i="10"/>
  <c r="H4695" i="10"/>
  <c r="J4694" i="10"/>
  <c r="I4694" i="10"/>
  <c r="H4694" i="10"/>
  <c r="J4693" i="10"/>
  <c r="I4693" i="10"/>
  <c r="H4693" i="10"/>
  <c r="J4692" i="10"/>
  <c r="I4692" i="10"/>
  <c r="H4692" i="10"/>
  <c r="J4691" i="10"/>
  <c r="I4691" i="10"/>
  <c r="H4691" i="10"/>
  <c r="J4690" i="10"/>
  <c r="I4690" i="10"/>
  <c r="H4690" i="10"/>
  <c r="J4689" i="10"/>
  <c r="I4689" i="10"/>
  <c r="H4689" i="10"/>
  <c r="J4688" i="10"/>
  <c r="I4688" i="10"/>
  <c r="H4688" i="10"/>
  <c r="J4687" i="10"/>
  <c r="I4687" i="10"/>
  <c r="H4687" i="10"/>
  <c r="J4686" i="10"/>
  <c r="I4686" i="10"/>
  <c r="H4686" i="10"/>
  <c r="J4685" i="10"/>
  <c r="I4685" i="10"/>
  <c r="H4685" i="10"/>
  <c r="J4684" i="10"/>
  <c r="I4684" i="10"/>
  <c r="H4684" i="10"/>
  <c r="J4683" i="10"/>
  <c r="I4683" i="10"/>
  <c r="H4683" i="10"/>
  <c r="J4682" i="10"/>
  <c r="I4682" i="10"/>
  <c r="H4682" i="10"/>
  <c r="J4681" i="10"/>
  <c r="I4681" i="10"/>
  <c r="H4681" i="10"/>
  <c r="J4680" i="10"/>
  <c r="I4680" i="10"/>
  <c r="H4680" i="10"/>
  <c r="J4679" i="10"/>
  <c r="I4679" i="10"/>
  <c r="H4679" i="10"/>
  <c r="J4678" i="10"/>
  <c r="I4678" i="10"/>
  <c r="H4678" i="10"/>
  <c r="J4677" i="10"/>
  <c r="I4677" i="10"/>
  <c r="H4677" i="10"/>
  <c r="J4676" i="10"/>
  <c r="I4676" i="10"/>
  <c r="H4676" i="10"/>
  <c r="J4675" i="10"/>
  <c r="I4675" i="10"/>
  <c r="H4675" i="10"/>
  <c r="J4674" i="10"/>
  <c r="I4674" i="10"/>
  <c r="H4674" i="10"/>
  <c r="J4673" i="10"/>
  <c r="I4673" i="10"/>
  <c r="H4673" i="10"/>
  <c r="J4672" i="10"/>
  <c r="I4672" i="10"/>
  <c r="H4672" i="10"/>
  <c r="J4671" i="10"/>
  <c r="I4671" i="10"/>
  <c r="H4671" i="10"/>
  <c r="J4670" i="10"/>
  <c r="I4670" i="10"/>
  <c r="H4670" i="10"/>
  <c r="J4669" i="10"/>
  <c r="I4669" i="10"/>
  <c r="H4669" i="10"/>
  <c r="J4668" i="10"/>
  <c r="I4668" i="10"/>
  <c r="H4668" i="10"/>
  <c r="J4667" i="10"/>
  <c r="I4667" i="10"/>
  <c r="H4667" i="10"/>
  <c r="J4666" i="10"/>
  <c r="I4666" i="10"/>
  <c r="H4666" i="10"/>
  <c r="J4665" i="10"/>
  <c r="I4665" i="10"/>
  <c r="H4665" i="10"/>
  <c r="J4664" i="10"/>
  <c r="I4664" i="10"/>
  <c r="H4664" i="10"/>
  <c r="J4663" i="10"/>
  <c r="I4663" i="10"/>
  <c r="H4663" i="10"/>
  <c r="J4662" i="10"/>
  <c r="I4662" i="10"/>
  <c r="H4662" i="10"/>
  <c r="J4661" i="10"/>
  <c r="I4661" i="10"/>
  <c r="H4661" i="10"/>
  <c r="J4660" i="10"/>
  <c r="I4660" i="10"/>
  <c r="H4660" i="10"/>
  <c r="J4659" i="10"/>
  <c r="I4659" i="10"/>
  <c r="H4659" i="10"/>
  <c r="J4658" i="10"/>
  <c r="I4658" i="10"/>
  <c r="H4658" i="10"/>
  <c r="J4657" i="10"/>
  <c r="I4657" i="10"/>
  <c r="H4657" i="10"/>
  <c r="J4656" i="10"/>
  <c r="I4656" i="10"/>
  <c r="H4656" i="10"/>
  <c r="J4655" i="10"/>
  <c r="I4655" i="10"/>
  <c r="H4655" i="10"/>
  <c r="J4654" i="10"/>
  <c r="I4654" i="10"/>
  <c r="H4654" i="10"/>
  <c r="J4653" i="10"/>
  <c r="I4653" i="10"/>
  <c r="H4653" i="10"/>
  <c r="J4652" i="10"/>
  <c r="I4652" i="10"/>
  <c r="H4652" i="10"/>
  <c r="J4651" i="10"/>
  <c r="I4651" i="10"/>
  <c r="H4651" i="10"/>
  <c r="J4650" i="10"/>
  <c r="I4650" i="10"/>
  <c r="H4650" i="10"/>
  <c r="J4649" i="10"/>
  <c r="I4649" i="10"/>
  <c r="H4649" i="10"/>
  <c r="J4648" i="10"/>
  <c r="I4648" i="10"/>
  <c r="H4648" i="10"/>
  <c r="J4647" i="10"/>
  <c r="I4647" i="10"/>
  <c r="H4647" i="10"/>
  <c r="J4646" i="10"/>
  <c r="I4646" i="10"/>
  <c r="H4646" i="10"/>
  <c r="J4645" i="10"/>
  <c r="I4645" i="10"/>
  <c r="H4645" i="10"/>
  <c r="J4644" i="10"/>
  <c r="I4644" i="10"/>
  <c r="H4644" i="10"/>
  <c r="J4643" i="10"/>
  <c r="I4643" i="10"/>
  <c r="H4643" i="10"/>
  <c r="J4642" i="10"/>
  <c r="I4642" i="10"/>
  <c r="H4642" i="10"/>
  <c r="J4641" i="10"/>
  <c r="I4641" i="10"/>
  <c r="H4641" i="10"/>
  <c r="J4640" i="10"/>
  <c r="I4640" i="10"/>
  <c r="H4640" i="10"/>
  <c r="J4639" i="10"/>
  <c r="I4639" i="10"/>
  <c r="H4639" i="10"/>
  <c r="J4638" i="10"/>
  <c r="I4638" i="10"/>
  <c r="H4638" i="10"/>
  <c r="J4637" i="10"/>
  <c r="I4637" i="10"/>
  <c r="H4637" i="10"/>
  <c r="J4636" i="10"/>
  <c r="I4636" i="10"/>
  <c r="H4636" i="10"/>
  <c r="J4635" i="10"/>
  <c r="I4635" i="10"/>
  <c r="H4635" i="10"/>
  <c r="J4634" i="10"/>
  <c r="I4634" i="10"/>
  <c r="H4634" i="10"/>
  <c r="J4633" i="10"/>
  <c r="I4633" i="10"/>
  <c r="H4633" i="10"/>
  <c r="J4632" i="10"/>
  <c r="I4632" i="10"/>
  <c r="H4632" i="10"/>
  <c r="J4631" i="10"/>
  <c r="I4631" i="10"/>
  <c r="H4631" i="10"/>
  <c r="J4630" i="10"/>
  <c r="I4630" i="10"/>
  <c r="H4630" i="10"/>
  <c r="J4629" i="10"/>
  <c r="I4629" i="10"/>
  <c r="H4629" i="10"/>
  <c r="J4628" i="10"/>
  <c r="I4628" i="10"/>
  <c r="H4628" i="10"/>
  <c r="J4627" i="10"/>
  <c r="I4627" i="10"/>
  <c r="H4627" i="10"/>
  <c r="J4626" i="10"/>
  <c r="I4626" i="10"/>
  <c r="H4626" i="10"/>
  <c r="J4625" i="10"/>
  <c r="I4625" i="10"/>
  <c r="H4625" i="10"/>
  <c r="J4624" i="10"/>
  <c r="I4624" i="10"/>
  <c r="H4624" i="10"/>
  <c r="J4623" i="10"/>
  <c r="I4623" i="10"/>
  <c r="H4623" i="10"/>
  <c r="J4622" i="10"/>
  <c r="I4622" i="10"/>
  <c r="H4622" i="10"/>
  <c r="J4621" i="10"/>
  <c r="I4621" i="10"/>
  <c r="H4621" i="10"/>
  <c r="J4620" i="10"/>
  <c r="I4620" i="10"/>
  <c r="H4620" i="10"/>
  <c r="J4619" i="10"/>
  <c r="I4619" i="10"/>
  <c r="H4619" i="10"/>
  <c r="J4618" i="10"/>
  <c r="I4618" i="10"/>
  <c r="H4618" i="10"/>
  <c r="J4617" i="10"/>
  <c r="I4617" i="10"/>
  <c r="H4617" i="10"/>
  <c r="J4616" i="10"/>
  <c r="I4616" i="10"/>
  <c r="H4616" i="10"/>
  <c r="J4615" i="10"/>
  <c r="I4615" i="10"/>
  <c r="H4615" i="10"/>
  <c r="J4614" i="10"/>
  <c r="I4614" i="10"/>
  <c r="H4614" i="10"/>
  <c r="J4613" i="10"/>
  <c r="I4613" i="10"/>
  <c r="H4613" i="10"/>
  <c r="J4612" i="10"/>
  <c r="I4612" i="10"/>
  <c r="H4612" i="10"/>
  <c r="J4611" i="10"/>
  <c r="I4611" i="10"/>
  <c r="H4611" i="10"/>
  <c r="J4610" i="10"/>
  <c r="I4610" i="10"/>
  <c r="H4610" i="10"/>
  <c r="J4609" i="10"/>
  <c r="I4609" i="10"/>
  <c r="H4609" i="10"/>
  <c r="J4608" i="10"/>
  <c r="I4608" i="10"/>
  <c r="H4608" i="10"/>
  <c r="J4607" i="10"/>
  <c r="I4607" i="10"/>
  <c r="H4607" i="10"/>
  <c r="J4606" i="10"/>
  <c r="I4606" i="10"/>
  <c r="H4606" i="10"/>
  <c r="J4605" i="10"/>
  <c r="I4605" i="10"/>
  <c r="H4605" i="10"/>
  <c r="J4604" i="10"/>
  <c r="I4604" i="10"/>
  <c r="H4604" i="10"/>
  <c r="J4603" i="10"/>
  <c r="I4603" i="10"/>
  <c r="H4603" i="10"/>
  <c r="J4602" i="10"/>
  <c r="I4602" i="10"/>
  <c r="H4602" i="10"/>
  <c r="J4601" i="10"/>
  <c r="I4601" i="10"/>
  <c r="H4601" i="10"/>
  <c r="J4600" i="10"/>
  <c r="I4600" i="10"/>
  <c r="H4600" i="10"/>
  <c r="J4599" i="10"/>
  <c r="I4599" i="10"/>
  <c r="H4599" i="10"/>
  <c r="J4598" i="10"/>
  <c r="I4598" i="10"/>
  <c r="H4598" i="10"/>
  <c r="J4597" i="10"/>
  <c r="I4597" i="10"/>
  <c r="H4597" i="10"/>
  <c r="J4596" i="10"/>
  <c r="I4596" i="10"/>
  <c r="H4596" i="10"/>
  <c r="J4595" i="10"/>
  <c r="I4595" i="10"/>
  <c r="H4595" i="10"/>
  <c r="J4594" i="10"/>
  <c r="I4594" i="10"/>
  <c r="H4594" i="10"/>
  <c r="J4593" i="10"/>
  <c r="I4593" i="10"/>
  <c r="H4593" i="10"/>
  <c r="J4592" i="10"/>
  <c r="I4592" i="10"/>
  <c r="H4592" i="10"/>
  <c r="J4591" i="10"/>
  <c r="I4591" i="10"/>
  <c r="H4591" i="10"/>
  <c r="J4590" i="10"/>
  <c r="I4590" i="10"/>
  <c r="H4590" i="10"/>
  <c r="J4589" i="10"/>
  <c r="I4589" i="10"/>
  <c r="H4589" i="10"/>
  <c r="J4588" i="10"/>
  <c r="I4588" i="10"/>
  <c r="H4588" i="10"/>
  <c r="J4587" i="10"/>
  <c r="I4587" i="10"/>
  <c r="H4587" i="10"/>
  <c r="J4586" i="10"/>
  <c r="I4586" i="10"/>
  <c r="H4586" i="10"/>
  <c r="J4585" i="10"/>
  <c r="I4585" i="10"/>
  <c r="H4585" i="10"/>
  <c r="J4584" i="10"/>
  <c r="I4584" i="10"/>
  <c r="H4584" i="10"/>
  <c r="J4583" i="10"/>
  <c r="I4583" i="10"/>
  <c r="H4583" i="10"/>
  <c r="J4582" i="10"/>
  <c r="I4582" i="10"/>
  <c r="H4582" i="10"/>
  <c r="J4581" i="10"/>
  <c r="I4581" i="10"/>
  <c r="H4581" i="10"/>
  <c r="J4580" i="10"/>
  <c r="I4580" i="10"/>
  <c r="H4580" i="10"/>
  <c r="J4579" i="10"/>
  <c r="I4579" i="10"/>
  <c r="H4579" i="10"/>
  <c r="J4578" i="10"/>
  <c r="I4578" i="10"/>
  <c r="H4578" i="10"/>
  <c r="J4577" i="10"/>
  <c r="I4577" i="10"/>
  <c r="H4577" i="10"/>
  <c r="J4576" i="10"/>
  <c r="I4576" i="10"/>
  <c r="H4576" i="10"/>
  <c r="J4575" i="10"/>
  <c r="I4575" i="10"/>
  <c r="H4575" i="10"/>
  <c r="J4574" i="10"/>
  <c r="I4574" i="10"/>
  <c r="H4574" i="10"/>
  <c r="J4573" i="10"/>
  <c r="I4573" i="10"/>
  <c r="H4573" i="10"/>
  <c r="J4572" i="10"/>
  <c r="I4572" i="10"/>
  <c r="H4572" i="10"/>
  <c r="J4571" i="10"/>
  <c r="I4571" i="10"/>
  <c r="H4571" i="10"/>
  <c r="J4570" i="10"/>
  <c r="I4570" i="10"/>
  <c r="H4570" i="10"/>
  <c r="J4569" i="10"/>
  <c r="I4569" i="10"/>
  <c r="H4569" i="10"/>
  <c r="J4568" i="10"/>
  <c r="I4568" i="10"/>
  <c r="H4568" i="10"/>
  <c r="J4567" i="10"/>
  <c r="I4567" i="10"/>
  <c r="H4567" i="10"/>
  <c r="J4566" i="10"/>
  <c r="I4566" i="10"/>
  <c r="H4566" i="10"/>
  <c r="J4565" i="10"/>
  <c r="I4565" i="10"/>
  <c r="H4565" i="10"/>
  <c r="J4564" i="10"/>
  <c r="I4564" i="10"/>
  <c r="H4564" i="10"/>
  <c r="J4563" i="10"/>
  <c r="I4563" i="10"/>
  <c r="H4563" i="10"/>
  <c r="J4562" i="10"/>
  <c r="I4562" i="10"/>
  <c r="H4562" i="10"/>
  <c r="J4561" i="10"/>
  <c r="I4561" i="10"/>
  <c r="H4561" i="10"/>
  <c r="J4560" i="10"/>
  <c r="I4560" i="10"/>
  <c r="H4560" i="10"/>
  <c r="J4559" i="10"/>
  <c r="I4559" i="10"/>
  <c r="H4559" i="10"/>
  <c r="J4558" i="10"/>
  <c r="I4558" i="10"/>
  <c r="H4558" i="10"/>
  <c r="J4557" i="10"/>
  <c r="I4557" i="10"/>
  <c r="H4557" i="10"/>
  <c r="J4556" i="10"/>
  <c r="I4556" i="10"/>
  <c r="H4556" i="10"/>
  <c r="J4555" i="10"/>
  <c r="I4555" i="10"/>
  <c r="H4555" i="10"/>
  <c r="J4554" i="10"/>
  <c r="I4554" i="10"/>
  <c r="H4554" i="10"/>
  <c r="J4553" i="10"/>
  <c r="I4553" i="10"/>
  <c r="H4553" i="10"/>
  <c r="J4552" i="10"/>
  <c r="I4552" i="10"/>
  <c r="H4552" i="10"/>
  <c r="J4551" i="10"/>
  <c r="I4551" i="10"/>
  <c r="H4551" i="10"/>
  <c r="J4550" i="10"/>
  <c r="I4550" i="10"/>
  <c r="H4550" i="10"/>
  <c r="J4549" i="10"/>
  <c r="I4549" i="10"/>
  <c r="H4549" i="10"/>
  <c r="J4548" i="10"/>
  <c r="I4548" i="10"/>
  <c r="H4548" i="10"/>
  <c r="J4547" i="10"/>
  <c r="I4547" i="10"/>
  <c r="H4547" i="10"/>
  <c r="J4546" i="10"/>
  <c r="I4546" i="10"/>
  <c r="H4546" i="10"/>
  <c r="J4545" i="10"/>
  <c r="I4545" i="10"/>
  <c r="H4545" i="10"/>
  <c r="J4544" i="10"/>
  <c r="I4544" i="10"/>
  <c r="H4544" i="10"/>
  <c r="J4543" i="10"/>
  <c r="I4543" i="10"/>
  <c r="H4543" i="10"/>
  <c r="J4542" i="10"/>
  <c r="I4542" i="10"/>
  <c r="H4542" i="10"/>
  <c r="J4541" i="10"/>
  <c r="I4541" i="10"/>
  <c r="H4541" i="10"/>
  <c r="J4540" i="10"/>
  <c r="I4540" i="10"/>
  <c r="H4540" i="10"/>
  <c r="J4539" i="10"/>
  <c r="I4539" i="10"/>
  <c r="H4539" i="10"/>
  <c r="J4538" i="10"/>
  <c r="I4538" i="10"/>
  <c r="H4538" i="10"/>
  <c r="J4537" i="10"/>
  <c r="I4537" i="10"/>
  <c r="H4537" i="10"/>
  <c r="J4536" i="10"/>
  <c r="I4536" i="10"/>
  <c r="H4536" i="10"/>
  <c r="J4535" i="10"/>
  <c r="I4535" i="10"/>
  <c r="H4535" i="10"/>
  <c r="J4534" i="10"/>
  <c r="I4534" i="10"/>
  <c r="H4534" i="10"/>
  <c r="J4533" i="10"/>
  <c r="I4533" i="10"/>
  <c r="H4533" i="10"/>
  <c r="J4532" i="10"/>
  <c r="I4532" i="10"/>
  <c r="H4532" i="10"/>
  <c r="J4531" i="10"/>
  <c r="I4531" i="10"/>
  <c r="H4531" i="10"/>
  <c r="J4530" i="10"/>
  <c r="I4530" i="10"/>
  <c r="H4530" i="10"/>
  <c r="J4529" i="10"/>
  <c r="I4529" i="10"/>
  <c r="H4529" i="10"/>
  <c r="J4528" i="10"/>
  <c r="I4528" i="10"/>
  <c r="H4528" i="10"/>
  <c r="J4527" i="10"/>
  <c r="I4527" i="10"/>
  <c r="H4527" i="10"/>
  <c r="J4526" i="10"/>
  <c r="I4526" i="10"/>
  <c r="H4526" i="10"/>
  <c r="J4525" i="10"/>
  <c r="I4525" i="10"/>
  <c r="H4525" i="10"/>
  <c r="J4524" i="10"/>
  <c r="I4524" i="10"/>
  <c r="H4524" i="10"/>
  <c r="J4523" i="10"/>
  <c r="I4523" i="10"/>
  <c r="H4523" i="10"/>
  <c r="J4522" i="10"/>
  <c r="I4522" i="10"/>
  <c r="H4522" i="10"/>
  <c r="J4521" i="10"/>
  <c r="I4521" i="10"/>
  <c r="H4521" i="10"/>
  <c r="J4520" i="10"/>
  <c r="I4520" i="10"/>
  <c r="H4520" i="10"/>
  <c r="J4519" i="10"/>
  <c r="I4519" i="10"/>
  <c r="H4519" i="10"/>
  <c r="J4518" i="10"/>
  <c r="I4518" i="10"/>
  <c r="H4518" i="10"/>
  <c r="J4517" i="10"/>
  <c r="I4517" i="10"/>
  <c r="H4517" i="10"/>
  <c r="J4516" i="10"/>
  <c r="I4516" i="10"/>
  <c r="H4516" i="10"/>
  <c r="J4515" i="10"/>
  <c r="I4515" i="10"/>
  <c r="H4515" i="10"/>
  <c r="J4514" i="10"/>
  <c r="I4514" i="10"/>
  <c r="H4514" i="10"/>
  <c r="J4513" i="10"/>
  <c r="I4513" i="10"/>
  <c r="H4513" i="10"/>
  <c r="J4512" i="10"/>
  <c r="I4512" i="10"/>
  <c r="H4512" i="10"/>
  <c r="J4511" i="10"/>
  <c r="I4511" i="10"/>
  <c r="H4511" i="10"/>
  <c r="J4510" i="10"/>
  <c r="I4510" i="10"/>
  <c r="H4510" i="10"/>
  <c r="J4509" i="10"/>
  <c r="I4509" i="10"/>
  <c r="H4509" i="10"/>
  <c r="J4508" i="10"/>
  <c r="I4508" i="10"/>
  <c r="H4508" i="10"/>
  <c r="J4507" i="10"/>
  <c r="I4507" i="10"/>
  <c r="H4507" i="10"/>
  <c r="J4506" i="10"/>
  <c r="I4506" i="10"/>
  <c r="H4506" i="10"/>
  <c r="J4505" i="10"/>
  <c r="I4505" i="10"/>
  <c r="H4505" i="10"/>
  <c r="J4504" i="10"/>
  <c r="I4504" i="10"/>
  <c r="H4504" i="10"/>
  <c r="J4503" i="10"/>
  <c r="I4503" i="10"/>
  <c r="H4503" i="10"/>
  <c r="J4502" i="10"/>
  <c r="I4502" i="10"/>
  <c r="H4502" i="10"/>
  <c r="J4501" i="10"/>
  <c r="I4501" i="10"/>
  <c r="H4501" i="10"/>
  <c r="J4500" i="10"/>
  <c r="I4500" i="10"/>
  <c r="H4500" i="10"/>
  <c r="J4499" i="10"/>
  <c r="I4499" i="10"/>
  <c r="H4499" i="10"/>
  <c r="J4498" i="10"/>
  <c r="I4498" i="10"/>
  <c r="H4498" i="10"/>
  <c r="J4497" i="10"/>
  <c r="I4497" i="10"/>
  <c r="H4497" i="10"/>
  <c r="J4496" i="10"/>
  <c r="I4496" i="10"/>
  <c r="H4496" i="10"/>
  <c r="J4495" i="10"/>
  <c r="I4495" i="10"/>
  <c r="H4495" i="10"/>
  <c r="J4494" i="10"/>
  <c r="I4494" i="10"/>
  <c r="H4494" i="10"/>
  <c r="J4493" i="10"/>
  <c r="I4493" i="10"/>
  <c r="H4493" i="10"/>
  <c r="J4492" i="10"/>
  <c r="I4492" i="10"/>
  <c r="H4492" i="10"/>
  <c r="J4491" i="10"/>
  <c r="I4491" i="10"/>
  <c r="H4491" i="10"/>
  <c r="J4490" i="10"/>
  <c r="I4490" i="10"/>
  <c r="H4490" i="10"/>
  <c r="J4489" i="10"/>
  <c r="I4489" i="10"/>
  <c r="H4489" i="10"/>
  <c r="J4488" i="10"/>
  <c r="I4488" i="10"/>
  <c r="H4488" i="10"/>
  <c r="J4487" i="10"/>
  <c r="I4487" i="10"/>
  <c r="H4487" i="10"/>
  <c r="J4486" i="10"/>
  <c r="I4486" i="10"/>
  <c r="H4486" i="10"/>
  <c r="J4485" i="10"/>
  <c r="I4485" i="10"/>
  <c r="H4485" i="10"/>
  <c r="J4484" i="10"/>
  <c r="I4484" i="10"/>
  <c r="H4484" i="10"/>
  <c r="J4483" i="10"/>
  <c r="I4483" i="10"/>
  <c r="H4483" i="10"/>
  <c r="J4482" i="10"/>
  <c r="I4482" i="10"/>
  <c r="H4482" i="10"/>
  <c r="J4481" i="10"/>
  <c r="I4481" i="10"/>
  <c r="H4481" i="10"/>
  <c r="J4480" i="10"/>
  <c r="I4480" i="10"/>
  <c r="H4480" i="10"/>
  <c r="N4479" i="10"/>
  <c r="J4479" i="10"/>
  <c r="I4479" i="10"/>
  <c r="H4479" i="10"/>
  <c r="J4478" i="10"/>
  <c r="I4478" i="10"/>
  <c r="H4478" i="10"/>
  <c r="J4477" i="10"/>
  <c r="I4477" i="10"/>
  <c r="H4477" i="10"/>
  <c r="J4476" i="10"/>
  <c r="I4476" i="10"/>
  <c r="H4476" i="10"/>
  <c r="J4475" i="10"/>
  <c r="I4475" i="10"/>
  <c r="H4475" i="10"/>
  <c r="J4474" i="10"/>
  <c r="I4474" i="10"/>
  <c r="H4474" i="10"/>
  <c r="J4473" i="10"/>
  <c r="I4473" i="10"/>
  <c r="H4473" i="10"/>
  <c r="J4472" i="10"/>
  <c r="I4472" i="10"/>
  <c r="H4472" i="10"/>
  <c r="J4471" i="10"/>
  <c r="I4471" i="10"/>
  <c r="H4471" i="10"/>
  <c r="J4470" i="10"/>
  <c r="I4470" i="10"/>
  <c r="H4470" i="10"/>
  <c r="J4469" i="10"/>
  <c r="I4469" i="10"/>
  <c r="H4469" i="10"/>
  <c r="J4468" i="10"/>
  <c r="I4468" i="10"/>
  <c r="H4468" i="10"/>
  <c r="J4467" i="10"/>
  <c r="I4467" i="10"/>
  <c r="H4467" i="10"/>
  <c r="J4466" i="10"/>
  <c r="I4466" i="10"/>
  <c r="H4466" i="10"/>
  <c r="J4465" i="10"/>
  <c r="I4465" i="10"/>
  <c r="H4465" i="10"/>
  <c r="J4464" i="10"/>
  <c r="I4464" i="10"/>
  <c r="H4464" i="10"/>
  <c r="J4463" i="10"/>
  <c r="I4463" i="10"/>
  <c r="H4463" i="10"/>
  <c r="J4462" i="10"/>
  <c r="I4462" i="10"/>
  <c r="H4462" i="10"/>
  <c r="J4461" i="10"/>
  <c r="I4461" i="10"/>
  <c r="H4461" i="10"/>
  <c r="J4460" i="10"/>
  <c r="I4460" i="10"/>
  <c r="H4460" i="10"/>
  <c r="J4459" i="10"/>
  <c r="I4459" i="10"/>
  <c r="H4459" i="10"/>
  <c r="J4458" i="10"/>
  <c r="I4458" i="10"/>
  <c r="H4458" i="10"/>
  <c r="J4457" i="10"/>
  <c r="I4457" i="10"/>
  <c r="H4457" i="10"/>
  <c r="J4456" i="10"/>
  <c r="I4456" i="10"/>
  <c r="H4456" i="10"/>
  <c r="J4455" i="10"/>
  <c r="I4455" i="10"/>
  <c r="H4455" i="10"/>
  <c r="J4454" i="10"/>
  <c r="I4454" i="10"/>
  <c r="H4454" i="10"/>
  <c r="J4453" i="10"/>
  <c r="I4453" i="10"/>
  <c r="H4453" i="10"/>
  <c r="J4452" i="10"/>
  <c r="I4452" i="10"/>
  <c r="H4452" i="10"/>
  <c r="J4451" i="10"/>
  <c r="I4451" i="10"/>
  <c r="H4451" i="10"/>
  <c r="J4450" i="10"/>
  <c r="I4450" i="10"/>
  <c r="H4450" i="10"/>
  <c r="J4449" i="10"/>
  <c r="I4449" i="10"/>
  <c r="H4449" i="10"/>
  <c r="J4448" i="10"/>
  <c r="I4448" i="10"/>
  <c r="H4448" i="10"/>
  <c r="J4447" i="10"/>
  <c r="I4447" i="10"/>
  <c r="H4447" i="10"/>
  <c r="J4446" i="10"/>
  <c r="I4446" i="10"/>
  <c r="H4446" i="10"/>
  <c r="J4445" i="10"/>
  <c r="I4445" i="10"/>
  <c r="H4445" i="10"/>
  <c r="J4444" i="10"/>
  <c r="I4444" i="10"/>
  <c r="H4444" i="10"/>
  <c r="J4443" i="10"/>
  <c r="I4443" i="10"/>
  <c r="H4443" i="10"/>
  <c r="J4442" i="10"/>
  <c r="I4442" i="10"/>
  <c r="H4442" i="10"/>
  <c r="J4441" i="10"/>
  <c r="I4441" i="10"/>
  <c r="H4441" i="10"/>
  <c r="J4440" i="10"/>
  <c r="I4440" i="10"/>
  <c r="H4440" i="10"/>
  <c r="J4439" i="10"/>
  <c r="I4439" i="10"/>
  <c r="H4439" i="10"/>
  <c r="J4438" i="10"/>
  <c r="I4438" i="10"/>
  <c r="H4438" i="10"/>
  <c r="J4437" i="10"/>
  <c r="I4437" i="10"/>
  <c r="H4437" i="10"/>
  <c r="J4436" i="10"/>
  <c r="I4436" i="10"/>
  <c r="H4436" i="10"/>
  <c r="J4435" i="10"/>
  <c r="I4435" i="10"/>
  <c r="H4435" i="10"/>
  <c r="J4434" i="10"/>
  <c r="I4434" i="10"/>
  <c r="H4434" i="10"/>
  <c r="J4433" i="10"/>
  <c r="I4433" i="10"/>
  <c r="H4433" i="10"/>
  <c r="J4432" i="10"/>
  <c r="I4432" i="10"/>
  <c r="H4432" i="10"/>
  <c r="J4431" i="10"/>
  <c r="I4431" i="10"/>
  <c r="H4431" i="10"/>
  <c r="J4430" i="10"/>
  <c r="I4430" i="10"/>
  <c r="H4430" i="10"/>
  <c r="J4429" i="10"/>
  <c r="I4429" i="10"/>
  <c r="H4429" i="10"/>
  <c r="J4428" i="10"/>
  <c r="I4428" i="10"/>
  <c r="H4428" i="10"/>
  <c r="J4427" i="10"/>
  <c r="I4427" i="10"/>
  <c r="H4427" i="10"/>
  <c r="J4426" i="10"/>
  <c r="I4426" i="10"/>
  <c r="H4426" i="10"/>
  <c r="J4425" i="10"/>
  <c r="I4425" i="10"/>
  <c r="H4425" i="10"/>
  <c r="J4424" i="10"/>
  <c r="I4424" i="10"/>
  <c r="H4424" i="10"/>
  <c r="J4423" i="10"/>
  <c r="I4423" i="10"/>
  <c r="H4423" i="10"/>
  <c r="J4422" i="10"/>
  <c r="I4422" i="10"/>
  <c r="H4422" i="10"/>
  <c r="J4421" i="10"/>
  <c r="I4421" i="10"/>
  <c r="H4421" i="10"/>
  <c r="J4420" i="10"/>
  <c r="I4420" i="10"/>
  <c r="H4420" i="10"/>
  <c r="J4419" i="10"/>
  <c r="I4419" i="10"/>
  <c r="H4419" i="10"/>
  <c r="J4418" i="10"/>
  <c r="I4418" i="10"/>
  <c r="H4418" i="10"/>
  <c r="J4417" i="10"/>
  <c r="I4417" i="10"/>
  <c r="H4417" i="10"/>
  <c r="J4416" i="10"/>
  <c r="I4416" i="10"/>
  <c r="H4416" i="10"/>
  <c r="J4415" i="10"/>
  <c r="I4415" i="10"/>
  <c r="H4415" i="10"/>
  <c r="J4414" i="10"/>
  <c r="I4414" i="10"/>
  <c r="H4414" i="10"/>
  <c r="J4413" i="10"/>
  <c r="I4413" i="10"/>
  <c r="H4413" i="10"/>
  <c r="J4412" i="10"/>
  <c r="I4412" i="10"/>
  <c r="H4412" i="10"/>
  <c r="J4411" i="10"/>
  <c r="I4411" i="10"/>
  <c r="H4411" i="10"/>
  <c r="J4410" i="10"/>
  <c r="I4410" i="10"/>
  <c r="H4410" i="10"/>
  <c r="J4409" i="10"/>
  <c r="I4409" i="10"/>
  <c r="H4409" i="10"/>
  <c r="J4408" i="10"/>
  <c r="I4408" i="10"/>
  <c r="H4408" i="10"/>
  <c r="J4407" i="10"/>
  <c r="I4407" i="10"/>
  <c r="H4407" i="10"/>
  <c r="J4406" i="10"/>
  <c r="I4406" i="10"/>
  <c r="H4406" i="10"/>
  <c r="J4405" i="10"/>
  <c r="I4405" i="10"/>
  <c r="H4405" i="10"/>
  <c r="J4404" i="10"/>
  <c r="I4404" i="10"/>
  <c r="H4404" i="10"/>
  <c r="J4403" i="10"/>
  <c r="I4403" i="10"/>
  <c r="H4403" i="10"/>
  <c r="J4402" i="10"/>
  <c r="I4402" i="10"/>
  <c r="H4402" i="10"/>
  <c r="J4401" i="10"/>
  <c r="I4401" i="10"/>
  <c r="H4401" i="10"/>
  <c r="J4400" i="10"/>
  <c r="I4400" i="10"/>
  <c r="H4400" i="10"/>
  <c r="J4399" i="10"/>
  <c r="I4399" i="10"/>
  <c r="H4399" i="10"/>
  <c r="J4398" i="10"/>
  <c r="I4398" i="10"/>
  <c r="H4398" i="10"/>
  <c r="J4397" i="10"/>
  <c r="I4397" i="10"/>
  <c r="H4397" i="10"/>
  <c r="J4396" i="10"/>
  <c r="I4396" i="10"/>
  <c r="H4396" i="10"/>
  <c r="J4395" i="10"/>
  <c r="I4395" i="10"/>
  <c r="H4395" i="10"/>
  <c r="J4394" i="10"/>
  <c r="I4394" i="10"/>
  <c r="H4394" i="10"/>
  <c r="J4393" i="10"/>
  <c r="I4393" i="10"/>
  <c r="H4393" i="10"/>
  <c r="J4392" i="10"/>
  <c r="I4392" i="10"/>
  <c r="H4392" i="10"/>
  <c r="J4391" i="10"/>
  <c r="I4391" i="10"/>
  <c r="H4391" i="10"/>
  <c r="J4390" i="10"/>
  <c r="I4390" i="10"/>
  <c r="H4390" i="10"/>
  <c r="J4389" i="10"/>
  <c r="I4389" i="10"/>
  <c r="H4389" i="10"/>
  <c r="J4388" i="10"/>
  <c r="I4388" i="10"/>
  <c r="H4388" i="10"/>
  <c r="J4387" i="10"/>
  <c r="I4387" i="10"/>
  <c r="H4387" i="10"/>
  <c r="J4386" i="10"/>
  <c r="I4386" i="10"/>
  <c r="H4386" i="10"/>
  <c r="J4385" i="10"/>
  <c r="I4385" i="10"/>
  <c r="H4385" i="10"/>
  <c r="J4384" i="10"/>
  <c r="I4384" i="10"/>
  <c r="H4384" i="10"/>
  <c r="J4383" i="10"/>
  <c r="I4383" i="10"/>
  <c r="H4383" i="10"/>
  <c r="J4382" i="10"/>
  <c r="I4382" i="10"/>
  <c r="H4382" i="10"/>
  <c r="J4381" i="10"/>
  <c r="I4381" i="10"/>
  <c r="H4381" i="10"/>
  <c r="J4380" i="10"/>
  <c r="I4380" i="10"/>
  <c r="H4380" i="10"/>
  <c r="J4379" i="10"/>
  <c r="I4379" i="10"/>
  <c r="H4379" i="10"/>
  <c r="J4378" i="10"/>
  <c r="I4378" i="10"/>
  <c r="H4378" i="10"/>
  <c r="J4377" i="10"/>
  <c r="I4377" i="10"/>
  <c r="H4377" i="10"/>
  <c r="J4376" i="10"/>
  <c r="I4376" i="10"/>
  <c r="H4376" i="10"/>
  <c r="J4375" i="10"/>
  <c r="I4375" i="10"/>
  <c r="H4375" i="10"/>
  <c r="J4374" i="10"/>
  <c r="I4374" i="10"/>
  <c r="H4374" i="10"/>
  <c r="J4373" i="10"/>
  <c r="I4373" i="10"/>
  <c r="H4373" i="10"/>
  <c r="J4372" i="10"/>
  <c r="I4372" i="10"/>
  <c r="H4372" i="10"/>
  <c r="J4371" i="10"/>
  <c r="I4371" i="10"/>
  <c r="H4371" i="10"/>
  <c r="J4370" i="10"/>
  <c r="I4370" i="10"/>
  <c r="H4370" i="10"/>
  <c r="J4369" i="10"/>
  <c r="I4369" i="10"/>
  <c r="H4369" i="10"/>
  <c r="J4368" i="10"/>
  <c r="I4368" i="10"/>
  <c r="H4368" i="10"/>
  <c r="J4367" i="10"/>
  <c r="I4367" i="10"/>
  <c r="H4367" i="10"/>
  <c r="J4366" i="10"/>
  <c r="I4366" i="10"/>
  <c r="H4366" i="10"/>
  <c r="J4365" i="10"/>
  <c r="I4365" i="10"/>
  <c r="H4365" i="10"/>
  <c r="J4364" i="10"/>
  <c r="I4364" i="10"/>
  <c r="H4364" i="10"/>
  <c r="J4363" i="10"/>
  <c r="I4363" i="10"/>
  <c r="H4363" i="10"/>
  <c r="J4362" i="10"/>
  <c r="I4362" i="10"/>
  <c r="H4362" i="10"/>
  <c r="J4361" i="10"/>
  <c r="I4361" i="10"/>
  <c r="H4361" i="10"/>
  <c r="J4360" i="10"/>
  <c r="I4360" i="10"/>
  <c r="H4360" i="10"/>
  <c r="J4359" i="10"/>
  <c r="I4359" i="10"/>
  <c r="H4359" i="10"/>
  <c r="J4358" i="10"/>
  <c r="I4358" i="10"/>
  <c r="H4358" i="10"/>
  <c r="J4357" i="10"/>
  <c r="I4357" i="10"/>
  <c r="H4357" i="10"/>
  <c r="J4356" i="10"/>
  <c r="I4356" i="10"/>
  <c r="H4356" i="10"/>
  <c r="J4355" i="10"/>
  <c r="I4355" i="10"/>
  <c r="H4355" i="10"/>
  <c r="J4354" i="10"/>
  <c r="I4354" i="10"/>
  <c r="H4354" i="10"/>
  <c r="J4353" i="10"/>
  <c r="I4353" i="10"/>
  <c r="H4353" i="10"/>
  <c r="J4352" i="10"/>
  <c r="I4352" i="10"/>
  <c r="H4352" i="10"/>
  <c r="J4351" i="10"/>
  <c r="I4351" i="10"/>
  <c r="H4351" i="10"/>
  <c r="J4350" i="10"/>
  <c r="I4350" i="10"/>
  <c r="H4350" i="10"/>
  <c r="J4349" i="10"/>
  <c r="I4349" i="10"/>
  <c r="H4349" i="10"/>
  <c r="J4348" i="10"/>
  <c r="I4348" i="10"/>
  <c r="H4348" i="10"/>
  <c r="J4347" i="10"/>
  <c r="I4347" i="10"/>
  <c r="H4347" i="10"/>
  <c r="J4346" i="10"/>
  <c r="I4346" i="10"/>
  <c r="H4346" i="10"/>
  <c r="J4345" i="10"/>
  <c r="I4345" i="10"/>
  <c r="H4345" i="10"/>
  <c r="J4344" i="10"/>
  <c r="I4344" i="10"/>
  <c r="H4344" i="10"/>
  <c r="J4343" i="10"/>
  <c r="I4343" i="10"/>
  <c r="H4343" i="10"/>
  <c r="J4342" i="10"/>
  <c r="I4342" i="10"/>
  <c r="H4342" i="10"/>
  <c r="J4341" i="10"/>
  <c r="I4341" i="10"/>
  <c r="H4341" i="10"/>
  <c r="J4340" i="10"/>
  <c r="I4340" i="10"/>
  <c r="H4340" i="10"/>
  <c r="J4339" i="10"/>
  <c r="I4339" i="10"/>
  <c r="H4339" i="10"/>
  <c r="J4338" i="10"/>
  <c r="I4338" i="10"/>
  <c r="H4338" i="10"/>
  <c r="J4337" i="10"/>
  <c r="I4337" i="10"/>
  <c r="H4337" i="10"/>
  <c r="J4336" i="10"/>
  <c r="I4336" i="10"/>
  <c r="H4336" i="10"/>
  <c r="J4335" i="10"/>
  <c r="I4335" i="10"/>
  <c r="H4335" i="10"/>
  <c r="J4334" i="10"/>
  <c r="I4334" i="10"/>
  <c r="H4334" i="10"/>
  <c r="J4333" i="10"/>
  <c r="I4333" i="10"/>
  <c r="H4333" i="10"/>
  <c r="J4332" i="10"/>
  <c r="I4332" i="10"/>
  <c r="H4332" i="10"/>
  <c r="J4331" i="10"/>
  <c r="I4331" i="10"/>
  <c r="H4331" i="10"/>
  <c r="J4330" i="10"/>
  <c r="I4330" i="10"/>
  <c r="H4330" i="10"/>
  <c r="J4329" i="10"/>
  <c r="I4329" i="10"/>
  <c r="H4329" i="10"/>
  <c r="J4328" i="10"/>
  <c r="I4328" i="10"/>
  <c r="H4328" i="10"/>
  <c r="J4327" i="10"/>
  <c r="I4327" i="10"/>
  <c r="H4327" i="10"/>
  <c r="J4326" i="10"/>
  <c r="I4326" i="10"/>
  <c r="H4326" i="10"/>
  <c r="J4325" i="10"/>
  <c r="I4325" i="10"/>
  <c r="H4325" i="10"/>
  <c r="J4324" i="10"/>
  <c r="I4324" i="10"/>
  <c r="H4324" i="10"/>
  <c r="J4323" i="10"/>
  <c r="I4323" i="10"/>
  <c r="H4323" i="10"/>
  <c r="J4322" i="10"/>
  <c r="I4322" i="10"/>
  <c r="H4322" i="10"/>
  <c r="J4321" i="10"/>
  <c r="I4321" i="10"/>
  <c r="H4321" i="10"/>
  <c r="J4320" i="10"/>
  <c r="I4320" i="10"/>
  <c r="H4320" i="10"/>
  <c r="J4319" i="10"/>
  <c r="I4319" i="10"/>
  <c r="H4319" i="10"/>
  <c r="J4318" i="10"/>
  <c r="I4318" i="10"/>
  <c r="H4318" i="10"/>
  <c r="J4317" i="10"/>
  <c r="I4317" i="10"/>
  <c r="H4317" i="10"/>
  <c r="J4316" i="10"/>
  <c r="I4316" i="10"/>
  <c r="H4316" i="10"/>
  <c r="J4315" i="10"/>
  <c r="I4315" i="10"/>
  <c r="H4315" i="10"/>
  <c r="J4314" i="10"/>
  <c r="I4314" i="10"/>
  <c r="H4314" i="10"/>
  <c r="J4313" i="10"/>
  <c r="I4313" i="10"/>
  <c r="H4313" i="10"/>
  <c r="J4312" i="10"/>
  <c r="I4312" i="10"/>
  <c r="H4312" i="10"/>
  <c r="J4311" i="10"/>
  <c r="I4311" i="10"/>
  <c r="H4311" i="10"/>
  <c r="J4310" i="10"/>
  <c r="I4310" i="10"/>
  <c r="H4310" i="10"/>
  <c r="J4309" i="10"/>
  <c r="I4309" i="10"/>
  <c r="H4309" i="10"/>
  <c r="J4308" i="10"/>
  <c r="I4308" i="10"/>
  <c r="H4308" i="10"/>
  <c r="J4307" i="10"/>
  <c r="I4307" i="10"/>
  <c r="H4307" i="10"/>
  <c r="J4306" i="10"/>
  <c r="I4306" i="10"/>
  <c r="H4306" i="10"/>
  <c r="J4305" i="10"/>
  <c r="I4305" i="10"/>
  <c r="H4305" i="10"/>
  <c r="J4304" i="10"/>
  <c r="I4304" i="10"/>
  <c r="H4304" i="10"/>
  <c r="J4303" i="10"/>
  <c r="I4303" i="10"/>
  <c r="H4303" i="10"/>
  <c r="J4302" i="10"/>
  <c r="I4302" i="10"/>
  <c r="H4302" i="10"/>
  <c r="J4301" i="10"/>
  <c r="I4301" i="10"/>
  <c r="H4301" i="10"/>
  <c r="J4300" i="10"/>
  <c r="I4300" i="10"/>
  <c r="H4300" i="10"/>
  <c r="J4299" i="10"/>
  <c r="I4299" i="10"/>
  <c r="H4299" i="10"/>
  <c r="J4298" i="10"/>
  <c r="I4298" i="10"/>
  <c r="H4298" i="10"/>
  <c r="J4297" i="10"/>
  <c r="I4297" i="10"/>
  <c r="H4297" i="10"/>
  <c r="J4296" i="10"/>
  <c r="I4296" i="10"/>
  <c r="H4296" i="10"/>
  <c r="J4295" i="10"/>
  <c r="I4295" i="10"/>
  <c r="H4295" i="10"/>
  <c r="J4294" i="10"/>
  <c r="I4294" i="10"/>
  <c r="H4294" i="10"/>
  <c r="J4293" i="10"/>
  <c r="I4293" i="10"/>
  <c r="H4293" i="10"/>
  <c r="J4292" i="10"/>
  <c r="I4292" i="10"/>
  <c r="H4292" i="10"/>
  <c r="J4291" i="10"/>
  <c r="I4291" i="10"/>
  <c r="H4291" i="10"/>
  <c r="J4290" i="10"/>
  <c r="I4290" i="10"/>
  <c r="H4290" i="10"/>
  <c r="J4289" i="10"/>
  <c r="I4289" i="10"/>
  <c r="H4289" i="10"/>
  <c r="J4288" i="10"/>
  <c r="I4288" i="10"/>
  <c r="H4288" i="10"/>
  <c r="J4287" i="10"/>
  <c r="I4287" i="10"/>
  <c r="H4287" i="10"/>
  <c r="J4286" i="10"/>
  <c r="I4286" i="10"/>
  <c r="H4286" i="10"/>
  <c r="J4285" i="10"/>
  <c r="I4285" i="10"/>
  <c r="H4285" i="10"/>
  <c r="J4284" i="10"/>
  <c r="I4284" i="10"/>
  <c r="H4284" i="10"/>
  <c r="J4283" i="10"/>
  <c r="I4283" i="10"/>
  <c r="H4283" i="10"/>
  <c r="J4282" i="10"/>
  <c r="I4282" i="10"/>
  <c r="H4282" i="10"/>
  <c r="J4281" i="10"/>
  <c r="I4281" i="10"/>
  <c r="H4281" i="10"/>
  <c r="J4280" i="10"/>
  <c r="I4280" i="10"/>
  <c r="H4280" i="10"/>
  <c r="J4279" i="10"/>
  <c r="I4279" i="10"/>
  <c r="H4279" i="10"/>
  <c r="J4278" i="10"/>
  <c r="I4278" i="10"/>
  <c r="H4278" i="10"/>
  <c r="J4277" i="10"/>
  <c r="I4277" i="10"/>
  <c r="H4277" i="10"/>
  <c r="J4276" i="10"/>
  <c r="I4276" i="10"/>
  <c r="H4276" i="10"/>
  <c r="J4275" i="10"/>
  <c r="I4275" i="10"/>
  <c r="H4275" i="10"/>
  <c r="J4274" i="10"/>
  <c r="I4274" i="10"/>
  <c r="H4274" i="10"/>
  <c r="J4273" i="10"/>
  <c r="I4273" i="10"/>
  <c r="H4273" i="10"/>
  <c r="J4272" i="10"/>
  <c r="I4272" i="10"/>
  <c r="H4272" i="10"/>
  <c r="J4271" i="10"/>
  <c r="I4271" i="10"/>
  <c r="H4271" i="10"/>
  <c r="J4270" i="10"/>
  <c r="I4270" i="10"/>
  <c r="H4270" i="10"/>
  <c r="J4269" i="10"/>
  <c r="I4269" i="10"/>
  <c r="H4269" i="10"/>
  <c r="J4268" i="10"/>
  <c r="I4268" i="10"/>
  <c r="H4268" i="10"/>
  <c r="J4267" i="10"/>
  <c r="I4267" i="10"/>
  <c r="H4267" i="10"/>
  <c r="J4266" i="10"/>
  <c r="I4266" i="10"/>
  <c r="H4266" i="10"/>
  <c r="J4265" i="10"/>
  <c r="I4265" i="10"/>
  <c r="H4265" i="10"/>
  <c r="J4264" i="10"/>
  <c r="I4264" i="10"/>
  <c r="H4264" i="10"/>
  <c r="J4263" i="10"/>
  <c r="I4263" i="10"/>
  <c r="H4263" i="10"/>
  <c r="J4262" i="10"/>
  <c r="I4262" i="10"/>
  <c r="H4262" i="10"/>
  <c r="J4261" i="10"/>
  <c r="I4261" i="10"/>
  <c r="H4261" i="10"/>
  <c r="J4260" i="10"/>
  <c r="I4260" i="10"/>
  <c r="H4260" i="10"/>
  <c r="J4259" i="10"/>
  <c r="I4259" i="10"/>
  <c r="H4259" i="10"/>
  <c r="J4258" i="10"/>
  <c r="I4258" i="10"/>
  <c r="H4258" i="10"/>
  <c r="J4257" i="10"/>
  <c r="I4257" i="10"/>
  <c r="H4257" i="10"/>
  <c r="J4256" i="10"/>
  <c r="I4256" i="10"/>
  <c r="H4256" i="10"/>
  <c r="J4255" i="10"/>
  <c r="I4255" i="10"/>
  <c r="H4255" i="10"/>
  <c r="J4254" i="10"/>
  <c r="I4254" i="10"/>
  <c r="H4254" i="10"/>
  <c r="J4253" i="10"/>
  <c r="I4253" i="10"/>
  <c r="H4253" i="10"/>
  <c r="J4252" i="10"/>
  <c r="I4252" i="10"/>
  <c r="H4252" i="10"/>
  <c r="J4251" i="10"/>
  <c r="I4251" i="10"/>
  <c r="H4251" i="10"/>
  <c r="J4250" i="10"/>
  <c r="I4250" i="10"/>
  <c r="H4250" i="10"/>
  <c r="J4249" i="10"/>
  <c r="I4249" i="10"/>
  <c r="H4249" i="10"/>
  <c r="J4248" i="10"/>
  <c r="I4248" i="10"/>
  <c r="H4248" i="10"/>
  <c r="J4247" i="10"/>
  <c r="I4247" i="10"/>
  <c r="H4247" i="10"/>
  <c r="J4246" i="10"/>
  <c r="I4246" i="10"/>
  <c r="H4246" i="10"/>
  <c r="J4245" i="10"/>
  <c r="I4245" i="10"/>
  <c r="H4245" i="10"/>
  <c r="J4244" i="10"/>
  <c r="I4244" i="10"/>
  <c r="H4244" i="10"/>
  <c r="J4243" i="10"/>
  <c r="I4243" i="10"/>
  <c r="H4243" i="10"/>
  <c r="J4242" i="10"/>
  <c r="I4242" i="10"/>
  <c r="H4242" i="10"/>
  <c r="J4241" i="10"/>
  <c r="I4241" i="10"/>
  <c r="H4241" i="10"/>
  <c r="J4240" i="10"/>
  <c r="I4240" i="10"/>
  <c r="H4240" i="10"/>
  <c r="J4239" i="10"/>
  <c r="I4239" i="10"/>
  <c r="H4239" i="10"/>
  <c r="J4238" i="10"/>
  <c r="I4238" i="10"/>
  <c r="H4238" i="10"/>
  <c r="J4237" i="10"/>
  <c r="I4237" i="10"/>
  <c r="H4237" i="10"/>
  <c r="J4236" i="10"/>
  <c r="I4236" i="10"/>
  <c r="H4236" i="10"/>
  <c r="J4235" i="10"/>
  <c r="I4235" i="10"/>
  <c r="H4235" i="10"/>
  <c r="J4234" i="10"/>
  <c r="I4234" i="10"/>
  <c r="H4234" i="10"/>
  <c r="J4233" i="10"/>
  <c r="I4233" i="10"/>
  <c r="H4233" i="10"/>
  <c r="J4232" i="10"/>
  <c r="I4232" i="10"/>
  <c r="H4232" i="10"/>
  <c r="J4231" i="10"/>
  <c r="I4231" i="10"/>
  <c r="H4231" i="10"/>
  <c r="J4230" i="10"/>
  <c r="I4230" i="10"/>
  <c r="H4230" i="10"/>
  <c r="J4229" i="10"/>
  <c r="I4229" i="10"/>
  <c r="H4229" i="10"/>
  <c r="J4228" i="10"/>
  <c r="I4228" i="10"/>
  <c r="H4228" i="10"/>
  <c r="J4227" i="10"/>
  <c r="I4227" i="10"/>
  <c r="H4227" i="10"/>
  <c r="J4226" i="10"/>
  <c r="I4226" i="10"/>
  <c r="H4226" i="10"/>
  <c r="J4225" i="10"/>
  <c r="I4225" i="10"/>
  <c r="H4225" i="10"/>
  <c r="J4224" i="10"/>
  <c r="I4224" i="10"/>
  <c r="H4224" i="10"/>
  <c r="J4223" i="10"/>
  <c r="I4223" i="10"/>
  <c r="H4223" i="10"/>
  <c r="J4222" i="10"/>
  <c r="I4222" i="10"/>
  <c r="H4222" i="10"/>
  <c r="J4221" i="10"/>
  <c r="I4221" i="10"/>
  <c r="H4221" i="10"/>
  <c r="J4220" i="10"/>
  <c r="I4220" i="10"/>
  <c r="H4220" i="10"/>
  <c r="J4219" i="10"/>
  <c r="I4219" i="10"/>
  <c r="H4219" i="10"/>
  <c r="J4218" i="10"/>
  <c r="I4218" i="10"/>
  <c r="H4218" i="10"/>
  <c r="J4217" i="10"/>
  <c r="I4217" i="10"/>
  <c r="H4217" i="10"/>
  <c r="J4216" i="10"/>
  <c r="I4216" i="10"/>
  <c r="H4216" i="10"/>
  <c r="J4215" i="10"/>
  <c r="I4215" i="10"/>
  <c r="H4215" i="10"/>
  <c r="J4214" i="10"/>
  <c r="I4214" i="10"/>
  <c r="H4214" i="10"/>
  <c r="J4213" i="10"/>
  <c r="I4213" i="10"/>
  <c r="H4213" i="10"/>
  <c r="J4212" i="10"/>
  <c r="I4212" i="10"/>
  <c r="H4212" i="10"/>
  <c r="J4211" i="10"/>
  <c r="I4211" i="10"/>
  <c r="H4211" i="10"/>
  <c r="J4210" i="10"/>
  <c r="I4210" i="10"/>
  <c r="H4210" i="10"/>
  <c r="J4209" i="10"/>
  <c r="I4209" i="10"/>
  <c r="H4209" i="10"/>
  <c r="J4208" i="10"/>
  <c r="I4208" i="10"/>
  <c r="H4208" i="10"/>
  <c r="J4207" i="10"/>
  <c r="I4207" i="10"/>
  <c r="H4207" i="10"/>
  <c r="J4206" i="10"/>
  <c r="I4206" i="10"/>
  <c r="H4206" i="10"/>
  <c r="J4205" i="10"/>
  <c r="I4205" i="10"/>
  <c r="H4205" i="10"/>
  <c r="J4204" i="10"/>
  <c r="I4204" i="10"/>
  <c r="H4204" i="10"/>
  <c r="J4203" i="10"/>
  <c r="I4203" i="10"/>
  <c r="H4203" i="10"/>
  <c r="J4202" i="10"/>
  <c r="I4202" i="10"/>
  <c r="H4202" i="10"/>
  <c r="J4201" i="10"/>
  <c r="I4201" i="10"/>
  <c r="H4201" i="10"/>
  <c r="J4200" i="10"/>
  <c r="I4200" i="10"/>
  <c r="H4200" i="10"/>
  <c r="J4199" i="10"/>
  <c r="I4199" i="10"/>
  <c r="H4199" i="10"/>
  <c r="J4198" i="10"/>
  <c r="I4198" i="10"/>
  <c r="H4198" i="10"/>
  <c r="J4197" i="10"/>
  <c r="I4197" i="10"/>
  <c r="H4197" i="10"/>
  <c r="J4196" i="10"/>
  <c r="I4196" i="10"/>
  <c r="H4196" i="10"/>
  <c r="J4195" i="10"/>
  <c r="I4195" i="10"/>
  <c r="H4195" i="10"/>
  <c r="J4194" i="10"/>
  <c r="I4194" i="10"/>
  <c r="H4194" i="10"/>
  <c r="J4193" i="10"/>
  <c r="I4193" i="10"/>
  <c r="H4193" i="10"/>
  <c r="J4192" i="10"/>
  <c r="I4192" i="10"/>
  <c r="H4192" i="10"/>
  <c r="J4191" i="10"/>
  <c r="I4191" i="10"/>
  <c r="H4191" i="10"/>
  <c r="J4190" i="10"/>
  <c r="I4190" i="10"/>
  <c r="H4190" i="10"/>
  <c r="J4189" i="10"/>
  <c r="I4189" i="10"/>
  <c r="H4189" i="10"/>
  <c r="J4188" i="10"/>
  <c r="I4188" i="10"/>
  <c r="H4188" i="10"/>
  <c r="J4187" i="10"/>
  <c r="I4187" i="10"/>
  <c r="H4187" i="10"/>
  <c r="J4186" i="10"/>
  <c r="I4186" i="10"/>
  <c r="H4186" i="10"/>
  <c r="J4185" i="10"/>
  <c r="I4185" i="10"/>
  <c r="H4185" i="10"/>
  <c r="J4184" i="10"/>
  <c r="I4184" i="10"/>
  <c r="H4184" i="10"/>
  <c r="J4183" i="10"/>
  <c r="I4183" i="10"/>
  <c r="H4183" i="10"/>
  <c r="J4182" i="10"/>
  <c r="I4182" i="10"/>
  <c r="H4182" i="10"/>
  <c r="J4181" i="10"/>
  <c r="I4181" i="10"/>
  <c r="H4181" i="10"/>
  <c r="J4180" i="10"/>
  <c r="I4180" i="10"/>
  <c r="H4180" i="10"/>
  <c r="J4179" i="10"/>
  <c r="I4179" i="10"/>
  <c r="H4179" i="10"/>
  <c r="J4178" i="10"/>
  <c r="I4178" i="10"/>
  <c r="H4178" i="10"/>
  <c r="J4177" i="10"/>
  <c r="I4177" i="10"/>
  <c r="H4177" i="10"/>
  <c r="J4176" i="10"/>
  <c r="I4176" i="10"/>
  <c r="H4176" i="10"/>
  <c r="J4175" i="10"/>
  <c r="I4175" i="10"/>
  <c r="H4175" i="10"/>
  <c r="J4174" i="10"/>
  <c r="I4174" i="10"/>
  <c r="H4174" i="10"/>
  <c r="J4173" i="10"/>
  <c r="I4173" i="10"/>
  <c r="H4173" i="10"/>
  <c r="J4172" i="10"/>
  <c r="I4172" i="10"/>
  <c r="H4172" i="10"/>
  <c r="J4171" i="10"/>
  <c r="I4171" i="10"/>
  <c r="H4171" i="10"/>
  <c r="J4170" i="10"/>
  <c r="I4170" i="10"/>
  <c r="H4170" i="10"/>
  <c r="J4169" i="10"/>
  <c r="I4169" i="10"/>
  <c r="H4169" i="10"/>
  <c r="J4168" i="10"/>
  <c r="I4168" i="10"/>
  <c r="H4168" i="10"/>
  <c r="J4167" i="10"/>
  <c r="I4167" i="10"/>
  <c r="H4167" i="10"/>
  <c r="J4166" i="10"/>
  <c r="I4166" i="10"/>
  <c r="H4166" i="10"/>
  <c r="J4165" i="10"/>
  <c r="I4165" i="10"/>
  <c r="H4165" i="10"/>
  <c r="J4164" i="10"/>
  <c r="I4164" i="10"/>
  <c r="H4164" i="10"/>
  <c r="J4163" i="10"/>
  <c r="I4163" i="10"/>
  <c r="H4163" i="10"/>
  <c r="J4162" i="10"/>
  <c r="I4162" i="10"/>
  <c r="H4162" i="10"/>
  <c r="J4161" i="10"/>
  <c r="I4161" i="10"/>
  <c r="H4161" i="10"/>
  <c r="J4160" i="10"/>
  <c r="I4160" i="10"/>
  <c r="H4160" i="10"/>
  <c r="J4159" i="10"/>
  <c r="I4159" i="10"/>
  <c r="H4159" i="10"/>
  <c r="J4158" i="10"/>
  <c r="I4158" i="10"/>
  <c r="H4158" i="10"/>
  <c r="J4157" i="10"/>
  <c r="I4157" i="10"/>
  <c r="H4157" i="10"/>
  <c r="J4156" i="10"/>
  <c r="I4156" i="10"/>
  <c r="H4156" i="10"/>
  <c r="J4155" i="10"/>
  <c r="I4155" i="10"/>
  <c r="H4155" i="10"/>
  <c r="J4154" i="10"/>
  <c r="I4154" i="10"/>
  <c r="H4154" i="10"/>
  <c r="J4153" i="10"/>
  <c r="I4153" i="10"/>
  <c r="H4153" i="10"/>
  <c r="J4152" i="10"/>
  <c r="I4152" i="10"/>
  <c r="H4152" i="10"/>
  <c r="J4151" i="10"/>
  <c r="I4151" i="10"/>
  <c r="H4151" i="10"/>
  <c r="J4150" i="10"/>
  <c r="I4150" i="10"/>
  <c r="H4150" i="10"/>
  <c r="J4149" i="10"/>
  <c r="I4149" i="10"/>
  <c r="H4149" i="10"/>
  <c r="J4148" i="10"/>
  <c r="I4148" i="10"/>
  <c r="H4148" i="10"/>
  <c r="J4147" i="10"/>
  <c r="I4147" i="10"/>
  <c r="H4147" i="10"/>
  <c r="J4146" i="10"/>
  <c r="I4146" i="10"/>
  <c r="H4146" i="10"/>
  <c r="J4145" i="10"/>
  <c r="I4145" i="10"/>
  <c r="H4145" i="10"/>
  <c r="J4144" i="10"/>
  <c r="I4144" i="10"/>
  <c r="H4144" i="10"/>
  <c r="J4143" i="10"/>
  <c r="I4143" i="10"/>
  <c r="H4143" i="10"/>
  <c r="J4142" i="10"/>
  <c r="I4142" i="10"/>
  <c r="H4142" i="10"/>
  <c r="J4141" i="10"/>
  <c r="I4141" i="10"/>
  <c r="H4141" i="10"/>
  <c r="J4140" i="10"/>
  <c r="I4140" i="10"/>
  <c r="H4140" i="10"/>
  <c r="J4139" i="10"/>
  <c r="I4139" i="10"/>
  <c r="H4139" i="10"/>
  <c r="J4138" i="10"/>
  <c r="I4138" i="10"/>
  <c r="H4138" i="10"/>
  <c r="J4137" i="10"/>
  <c r="I4137" i="10"/>
  <c r="H4137" i="10"/>
  <c r="J4136" i="10"/>
  <c r="I4136" i="10"/>
  <c r="H4136" i="10"/>
  <c r="J4135" i="10"/>
  <c r="I4135" i="10"/>
  <c r="H4135" i="10"/>
  <c r="J4134" i="10"/>
  <c r="I4134" i="10"/>
  <c r="H4134" i="10"/>
  <c r="J4133" i="10"/>
  <c r="I4133" i="10"/>
  <c r="H4133" i="10"/>
  <c r="J4132" i="10"/>
  <c r="I4132" i="10"/>
  <c r="H4132" i="10"/>
  <c r="J4131" i="10"/>
  <c r="I4131" i="10"/>
  <c r="H4131" i="10"/>
  <c r="J4130" i="10"/>
  <c r="I4130" i="10"/>
  <c r="H4130" i="10"/>
  <c r="J4129" i="10"/>
  <c r="I4129" i="10"/>
  <c r="H4129" i="10"/>
  <c r="J4128" i="10"/>
  <c r="I4128" i="10"/>
  <c r="H4128" i="10"/>
  <c r="J4127" i="10"/>
  <c r="I4127" i="10"/>
  <c r="H4127" i="10"/>
  <c r="J4126" i="10"/>
  <c r="I4126" i="10"/>
  <c r="H4126" i="10"/>
  <c r="J4125" i="10"/>
  <c r="I4125" i="10"/>
  <c r="H4125" i="10"/>
  <c r="J4124" i="10"/>
  <c r="I4124" i="10"/>
  <c r="H4124" i="10"/>
  <c r="J4123" i="10"/>
  <c r="I4123" i="10"/>
  <c r="H4123" i="10"/>
  <c r="J4122" i="10"/>
  <c r="I4122" i="10"/>
  <c r="H4122" i="10"/>
  <c r="J4121" i="10"/>
  <c r="I4121" i="10"/>
  <c r="H4121" i="10"/>
  <c r="J4120" i="10"/>
  <c r="I4120" i="10"/>
  <c r="H4120" i="10"/>
  <c r="J4119" i="10"/>
  <c r="I4119" i="10"/>
  <c r="H4119" i="10"/>
  <c r="J4118" i="10"/>
  <c r="I4118" i="10"/>
  <c r="H4118" i="10"/>
  <c r="J4117" i="10"/>
  <c r="I4117" i="10"/>
  <c r="H4117" i="10"/>
  <c r="J4116" i="10"/>
  <c r="I4116" i="10"/>
  <c r="H4116" i="10"/>
  <c r="J4115" i="10"/>
  <c r="I4115" i="10"/>
  <c r="H4115" i="10"/>
  <c r="J4114" i="10"/>
  <c r="I4114" i="10"/>
  <c r="H4114" i="10"/>
  <c r="J4113" i="10"/>
  <c r="I4113" i="10"/>
  <c r="H4113" i="10"/>
  <c r="J4112" i="10"/>
  <c r="I4112" i="10"/>
  <c r="H4112" i="10"/>
  <c r="J4111" i="10"/>
  <c r="I4111" i="10"/>
  <c r="H4111" i="10"/>
  <c r="J4110" i="10"/>
  <c r="I4110" i="10"/>
  <c r="H4110" i="10"/>
  <c r="J4109" i="10"/>
  <c r="I4109" i="10"/>
  <c r="H4109" i="10"/>
  <c r="J4108" i="10"/>
  <c r="I4108" i="10"/>
  <c r="H4108" i="10"/>
  <c r="J4107" i="10"/>
  <c r="I4107" i="10"/>
  <c r="H4107" i="10"/>
  <c r="J4106" i="10"/>
  <c r="I4106" i="10"/>
  <c r="H4106" i="10"/>
  <c r="J4105" i="10"/>
  <c r="I4105" i="10"/>
  <c r="H4105" i="10"/>
  <c r="J4104" i="10"/>
  <c r="I4104" i="10"/>
  <c r="H4104" i="10"/>
  <c r="J4103" i="10"/>
  <c r="I4103" i="10"/>
  <c r="H4103" i="10"/>
  <c r="J4102" i="10"/>
  <c r="I4102" i="10"/>
  <c r="H4102" i="10"/>
  <c r="J4101" i="10"/>
  <c r="I4101" i="10"/>
  <c r="H4101" i="10"/>
  <c r="J4100" i="10"/>
  <c r="I4100" i="10"/>
  <c r="H4100" i="10"/>
  <c r="J4099" i="10"/>
  <c r="I4099" i="10"/>
  <c r="H4099" i="10"/>
  <c r="J4098" i="10"/>
  <c r="I4098" i="10"/>
  <c r="H4098" i="10"/>
  <c r="J4097" i="10"/>
  <c r="I4097" i="10"/>
  <c r="H4097" i="10"/>
  <c r="J4096" i="10"/>
  <c r="I4096" i="10"/>
  <c r="H4096" i="10"/>
  <c r="J4095" i="10"/>
  <c r="I4095" i="10"/>
  <c r="H4095" i="10"/>
  <c r="J4094" i="10"/>
  <c r="I4094" i="10"/>
  <c r="H4094" i="10"/>
  <c r="J4093" i="10"/>
  <c r="I4093" i="10"/>
  <c r="H4093" i="10"/>
  <c r="J4092" i="10"/>
  <c r="I4092" i="10"/>
  <c r="H4092" i="10"/>
  <c r="J4091" i="10"/>
  <c r="I4091" i="10"/>
  <c r="H4091" i="10"/>
  <c r="J4090" i="10"/>
  <c r="I4090" i="10"/>
  <c r="H4090" i="10"/>
  <c r="J4089" i="10"/>
  <c r="I4089" i="10"/>
  <c r="H4089" i="10"/>
  <c r="J4088" i="10"/>
  <c r="I4088" i="10"/>
  <c r="H4088" i="10"/>
  <c r="J4087" i="10"/>
  <c r="I4087" i="10"/>
  <c r="H4087" i="10"/>
  <c r="J4086" i="10"/>
  <c r="I4086" i="10"/>
  <c r="H4086" i="10"/>
  <c r="J4085" i="10"/>
  <c r="I4085" i="10"/>
  <c r="H4085" i="10"/>
  <c r="J4084" i="10"/>
  <c r="I4084" i="10"/>
  <c r="H4084" i="10"/>
  <c r="J4083" i="10"/>
  <c r="I4083" i="10"/>
  <c r="H4083" i="10"/>
  <c r="J4082" i="10"/>
  <c r="I4082" i="10"/>
  <c r="H4082" i="10"/>
  <c r="J4081" i="10"/>
  <c r="I4081" i="10"/>
  <c r="H4081" i="10"/>
  <c r="J4080" i="10"/>
  <c r="I4080" i="10"/>
  <c r="H4080" i="10"/>
  <c r="J4079" i="10"/>
  <c r="I4079" i="10"/>
  <c r="H4079" i="10"/>
  <c r="J4078" i="10"/>
  <c r="I4078" i="10"/>
  <c r="H4078" i="10"/>
  <c r="J4077" i="10"/>
  <c r="I4077" i="10"/>
  <c r="H4077" i="10"/>
  <c r="J4076" i="10"/>
  <c r="I4076" i="10"/>
  <c r="H4076" i="10"/>
  <c r="J4075" i="10"/>
  <c r="I4075" i="10"/>
  <c r="H4075" i="10"/>
  <c r="J4074" i="10"/>
  <c r="I4074" i="10"/>
  <c r="H4074" i="10"/>
  <c r="J4073" i="10"/>
  <c r="I4073" i="10"/>
  <c r="H4073" i="10"/>
  <c r="J4072" i="10"/>
  <c r="I4072" i="10"/>
  <c r="H4072" i="10"/>
  <c r="J4071" i="10"/>
  <c r="I4071" i="10"/>
  <c r="H4071" i="10"/>
  <c r="J4070" i="10"/>
  <c r="I4070" i="10"/>
  <c r="H4070" i="10"/>
  <c r="J4069" i="10"/>
  <c r="I4069" i="10"/>
  <c r="H4069" i="10"/>
  <c r="J4068" i="10"/>
  <c r="I4068" i="10"/>
  <c r="H4068" i="10"/>
  <c r="J4067" i="10"/>
  <c r="I4067" i="10"/>
  <c r="H4067" i="10"/>
  <c r="J4066" i="10"/>
  <c r="I4066" i="10"/>
  <c r="H4066" i="10"/>
  <c r="J4065" i="10"/>
  <c r="I4065" i="10"/>
  <c r="H4065" i="10"/>
  <c r="J4064" i="10"/>
  <c r="I4064" i="10"/>
  <c r="H4064" i="10"/>
  <c r="J4063" i="10"/>
  <c r="I4063" i="10"/>
  <c r="H4063" i="10"/>
  <c r="J4062" i="10"/>
  <c r="I4062" i="10"/>
  <c r="H4062" i="10"/>
  <c r="J4061" i="10"/>
  <c r="I4061" i="10"/>
  <c r="H4061" i="10"/>
  <c r="J4060" i="10"/>
  <c r="I4060" i="10"/>
  <c r="H4060" i="10"/>
  <c r="J4059" i="10"/>
  <c r="I4059" i="10"/>
  <c r="H4059" i="10"/>
  <c r="J4058" i="10"/>
  <c r="I4058" i="10"/>
  <c r="H4058" i="10"/>
  <c r="J4057" i="10"/>
  <c r="I4057" i="10"/>
  <c r="H4057" i="10"/>
  <c r="J4056" i="10"/>
  <c r="I4056" i="10"/>
  <c r="H4056" i="10"/>
  <c r="J4055" i="10"/>
  <c r="I4055" i="10"/>
  <c r="H4055" i="10"/>
  <c r="J4054" i="10"/>
  <c r="I4054" i="10"/>
  <c r="H4054" i="10"/>
  <c r="J4053" i="10"/>
  <c r="I4053" i="10"/>
  <c r="H4053" i="10"/>
  <c r="J4052" i="10"/>
  <c r="I4052" i="10"/>
  <c r="H4052" i="10"/>
  <c r="J4051" i="10"/>
  <c r="I4051" i="10"/>
  <c r="H4051" i="10"/>
  <c r="J4050" i="10"/>
  <c r="I4050" i="10"/>
  <c r="H4050" i="10"/>
  <c r="J4049" i="10"/>
  <c r="I4049" i="10"/>
  <c r="H4049" i="10"/>
  <c r="J4048" i="10"/>
  <c r="I4048" i="10"/>
  <c r="H4048" i="10"/>
  <c r="J4047" i="10"/>
  <c r="I4047" i="10"/>
  <c r="H4047" i="10"/>
  <c r="J4046" i="10"/>
  <c r="I4046" i="10"/>
  <c r="H4046" i="10"/>
  <c r="J4045" i="10"/>
  <c r="I4045" i="10"/>
  <c r="H4045" i="10"/>
  <c r="J4044" i="10"/>
  <c r="I4044" i="10"/>
  <c r="H4044" i="10"/>
  <c r="J4043" i="10"/>
  <c r="I4043" i="10"/>
  <c r="H4043" i="10"/>
  <c r="J4042" i="10"/>
  <c r="I4042" i="10"/>
  <c r="H4042" i="10"/>
  <c r="J4041" i="10"/>
  <c r="I4041" i="10"/>
  <c r="H4041" i="10"/>
  <c r="J4040" i="10"/>
  <c r="I4040" i="10"/>
  <c r="H4040" i="10"/>
  <c r="J4039" i="10"/>
  <c r="I4039" i="10"/>
  <c r="H4039" i="10"/>
  <c r="J4038" i="10"/>
  <c r="I4038" i="10"/>
  <c r="H4038" i="10"/>
  <c r="J4037" i="10"/>
  <c r="I4037" i="10"/>
  <c r="H4037" i="10"/>
  <c r="J4036" i="10"/>
  <c r="I4036" i="10"/>
  <c r="H4036" i="10"/>
  <c r="J4035" i="10"/>
  <c r="I4035" i="10"/>
  <c r="H4035" i="10"/>
  <c r="J4034" i="10"/>
  <c r="I4034" i="10"/>
  <c r="H4034" i="10"/>
  <c r="J4033" i="10"/>
  <c r="I4033" i="10"/>
  <c r="H4033" i="10"/>
  <c r="J4032" i="10"/>
  <c r="I4032" i="10"/>
  <c r="H4032" i="10"/>
  <c r="J4031" i="10"/>
  <c r="I4031" i="10"/>
  <c r="H4031" i="10"/>
  <c r="J4030" i="10"/>
  <c r="I4030" i="10"/>
  <c r="H4030" i="10"/>
  <c r="J4029" i="10"/>
  <c r="I4029" i="10"/>
  <c r="H4029" i="10"/>
  <c r="J4028" i="10"/>
  <c r="I4028" i="10"/>
  <c r="H4028" i="10"/>
  <c r="J4027" i="10"/>
  <c r="I4027" i="10"/>
  <c r="H4027" i="10"/>
  <c r="J4026" i="10"/>
  <c r="I4026" i="10"/>
  <c r="H4026" i="10"/>
  <c r="J4025" i="10"/>
  <c r="I4025" i="10"/>
  <c r="H4025" i="10"/>
  <c r="J4024" i="10"/>
  <c r="I4024" i="10"/>
  <c r="H4024" i="10"/>
  <c r="J4023" i="10"/>
  <c r="I4023" i="10"/>
  <c r="H4023" i="10"/>
  <c r="J4022" i="10"/>
  <c r="I4022" i="10"/>
  <c r="H4022" i="10"/>
  <c r="J4021" i="10"/>
  <c r="I4021" i="10"/>
  <c r="H4021" i="10"/>
  <c r="J4020" i="10"/>
  <c r="I4020" i="10"/>
  <c r="H4020" i="10"/>
  <c r="J4019" i="10"/>
  <c r="I4019" i="10"/>
  <c r="H4019" i="10"/>
  <c r="J4018" i="10"/>
  <c r="I4018" i="10"/>
  <c r="H4018" i="10"/>
  <c r="J4017" i="10"/>
  <c r="I4017" i="10"/>
  <c r="H4017" i="10"/>
  <c r="J4016" i="10"/>
  <c r="I4016" i="10"/>
  <c r="H4016" i="10"/>
  <c r="J4015" i="10"/>
  <c r="I4015" i="10"/>
  <c r="H4015" i="10"/>
  <c r="J4014" i="10"/>
  <c r="I4014" i="10"/>
  <c r="H4014" i="10"/>
  <c r="J4013" i="10"/>
  <c r="I4013" i="10"/>
  <c r="H4013" i="10"/>
  <c r="J4012" i="10"/>
  <c r="I4012" i="10"/>
  <c r="H4012" i="10"/>
  <c r="J4011" i="10"/>
  <c r="I4011" i="10"/>
  <c r="H4011" i="10"/>
  <c r="J4010" i="10"/>
  <c r="I4010" i="10"/>
  <c r="H4010" i="10"/>
  <c r="J4009" i="10"/>
  <c r="I4009" i="10"/>
  <c r="H4009" i="10"/>
  <c r="J4008" i="10"/>
  <c r="I4008" i="10"/>
  <c r="H4008" i="10"/>
  <c r="J4007" i="10"/>
  <c r="I4007" i="10"/>
  <c r="H4007" i="10"/>
  <c r="J4006" i="10"/>
  <c r="I4006" i="10"/>
  <c r="H4006" i="10"/>
  <c r="J4005" i="10"/>
  <c r="I4005" i="10"/>
  <c r="H4005" i="10"/>
  <c r="J4004" i="10"/>
  <c r="I4004" i="10"/>
  <c r="H4004" i="10"/>
  <c r="J4003" i="10"/>
  <c r="I4003" i="10"/>
  <c r="H4003" i="10"/>
  <c r="J4002" i="10"/>
  <c r="I4002" i="10"/>
  <c r="H4002" i="10"/>
  <c r="J4001" i="10"/>
  <c r="I4001" i="10"/>
  <c r="H4001" i="10"/>
  <c r="J4000" i="10"/>
  <c r="I4000" i="10"/>
  <c r="H4000" i="10"/>
  <c r="J3999" i="10"/>
  <c r="I3999" i="10"/>
  <c r="H3999" i="10"/>
  <c r="J3998" i="10"/>
  <c r="I3998" i="10"/>
  <c r="H3998" i="10"/>
  <c r="J3997" i="10"/>
  <c r="I3997" i="10"/>
  <c r="H3997" i="10"/>
  <c r="J3996" i="10"/>
  <c r="I3996" i="10"/>
  <c r="H3996" i="10"/>
  <c r="J3995" i="10"/>
  <c r="I3995" i="10"/>
  <c r="H3995" i="10"/>
  <c r="J3994" i="10"/>
  <c r="I3994" i="10"/>
  <c r="H3994" i="10"/>
  <c r="J3993" i="10"/>
  <c r="I3993" i="10"/>
  <c r="H3993" i="10"/>
  <c r="J3992" i="10"/>
  <c r="I3992" i="10"/>
  <c r="H3992" i="10"/>
  <c r="J3991" i="10"/>
  <c r="I3991" i="10"/>
  <c r="H3991" i="10"/>
  <c r="J3990" i="10"/>
  <c r="I3990" i="10"/>
  <c r="H3990" i="10"/>
  <c r="J3989" i="10"/>
  <c r="I3989" i="10"/>
  <c r="H3989" i="10"/>
  <c r="J3988" i="10"/>
  <c r="I3988" i="10"/>
  <c r="H3988" i="10"/>
  <c r="J3987" i="10"/>
  <c r="I3987" i="10"/>
  <c r="H3987" i="10"/>
  <c r="J3986" i="10"/>
  <c r="I3986" i="10"/>
  <c r="H3986" i="10"/>
  <c r="J3985" i="10"/>
  <c r="I3985" i="10"/>
  <c r="H3985" i="10"/>
  <c r="J3984" i="10"/>
  <c r="I3984" i="10"/>
  <c r="H3984" i="10"/>
  <c r="J3983" i="10"/>
  <c r="I3983" i="10"/>
  <c r="H3983" i="10"/>
  <c r="J3982" i="10"/>
  <c r="I3982" i="10"/>
  <c r="H3982" i="10"/>
  <c r="J3981" i="10"/>
  <c r="I3981" i="10"/>
  <c r="H3981" i="10"/>
  <c r="J3980" i="10"/>
  <c r="I3980" i="10"/>
  <c r="H3980" i="10"/>
  <c r="J3979" i="10"/>
  <c r="I3979" i="10"/>
  <c r="H3979" i="10"/>
  <c r="J3978" i="10"/>
  <c r="I3978" i="10"/>
  <c r="H3978" i="10"/>
  <c r="J3977" i="10"/>
  <c r="I3977" i="10"/>
  <c r="H3977" i="10"/>
  <c r="J3976" i="10"/>
  <c r="I3976" i="10"/>
  <c r="H3976" i="10"/>
  <c r="J3975" i="10"/>
  <c r="I3975" i="10"/>
  <c r="H3975" i="10"/>
  <c r="J3974" i="10"/>
  <c r="I3974" i="10"/>
  <c r="H3974" i="10"/>
  <c r="J3973" i="10"/>
  <c r="I3973" i="10"/>
  <c r="H3973" i="10"/>
  <c r="J3972" i="10"/>
  <c r="I3972" i="10"/>
  <c r="H3972" i="10"/>
  <c r="J3971" i="10"/>
  <c r="I3971" i="10"/>
  <c r="H3971" i="10"/>
  <c r="J3970" i="10"/>
  <c r="I3970" i="10"/>
  <c r="H3970" i="10"/>
  <c r="J3969" i="10"/>
  <c r="I3969" i="10"/>
  <c r="H3969" i="10"/>
  <c r="J3968" i="10"/>
  <c r="I3968" i="10"/>
  <c r="H3968" i="10"/>
  <c r="J3967" i="10"/>
  <c r="I3967" i="10"/>
  <c r="H3967" i="10"/>
  <c r="J3966" i="10"/>
  <c r="I3966" i="10"/>
  <c r="H3966" i="10"/>
  <c r="J3965" i="10"/>
  <c r="I3965" i="10"/>
  <c r="H3965" i="10"/>
  <c r="J3964" i="10"/>
  <c r="I3964" i="10"/>
  <c r="H3964" i="10"/>
  <c r="J3963" i="10"/>
  <c r="I3963" i="10"/>
  <c r="H3963" i="10"/>
  <c r="J3962" i="10"/>
  <c r="I3962" i="10"/>
  <c r="H3962" i="10"/>
  <c r="J3961" i="10"/>
  <c r="I3961" i="10"/>
  <c r="H3961" i="10"/>
  <c r="J3960" i="10"/>
  <c r="I3960" i="10"/>
  <c r="H3960" i="10"/>
  <c r="J3959" i="10"/>
  <c r="I3959" i="10"/>
  <c r="H3959" i="10"/>
  <c r="J3958" i="10"/>
  <c r="I3958" i="10"/>
  <c r="H3958" i="10"/>
  <c r="J3957" i="10"/>
  <c r="I3957" i="10"/>
  <c r="H3957" i="10"/>
  <c r="J3956" i="10"/>
  <c r="I3956" i="10"/>
  <c r="H3956" i="10"/>
  <c r="J3955" i="10"/>
  <c r="I3955" i="10"/>
  <c r="H3955" i="10"/>
  <c r="J3954" i="10"/>
  <c r="I3954" i="10"/>
  <c r="H3954" i="10"/>
  <c r="J3953" i="10"/>
  <c r="I3953" i="10"/>
  <c r="H3953" i="10"/>
  <c r="J3952" i="10"/>
  <c r="I3952" i="10"/>
  <c r="H3952" i="10"/>
  <c r="J3951" i="10"/>
  <c r="I3951" i="10"/>
  <c r="H3951" i="10"/>
  <c r="J3950" i="10"/>
  <c r="I3950" i="10"/>
  <c r="H3950" i="10"/>
  <c r="J3949" i="10"/>
  <c r="I3949" i="10"/>
  <c r="H3949" i="10"/>
  <c r="J3948" i="10"/>
  <c r="I3948" i="10"/>
  <c r="H3948" i="10"/>
  <c r="J3947" i="10"/>
  <c r="I3947" i="10"/>
  <c r="H3947" i="10"/>
  <c r="J3946" i="10"/>
  <c r="I3946" i="10"/>
  <c r="H3946" i="10"/>
  <c r="J3945" i="10"/>
  <c r="I3945" i="10"/>
  <c r="H3945" i="10"/>
  <c r="J3944" i="10"/>
  <c r="I3944" i="10"/>
  <c r="H3944" i="10"/>
  <c r="J3943" i="10"/>
  <c r="I3943" i="10"/>
  <c r="H3943" i="10"/>
  <c r="J3942" i="10"/>
  <c r="I3942" i="10"/>
  <c r="H3942" i="10"/>
  <c r="J3941" i="10"/>
  <c r="I3941" i="10"/>
  <c r="H3941" i="10"/>
  <c r="J3940" i="10"/>
  <c r="I3940" i="10"/>
  <c r="H3940" i="10"/>
  <c r="J3939" i="10"/>
  <c r="I3939" i="10"/>
  <c r="H3939" i="10"/>
  <c r="J3938" i="10"/>
  <c r="I3938" i="10"/>
  <c r="H3938" i="10"/>
  <c r="J3937" i="10"/>
  <c r="I3937" i="10"/>
  <c r="H3937" i="10"/>
  <c r="J3936" i="10"/>
  <c r="I3936" i="10"/>
  <c r="H3936" i="10"/>
  <c r="J3935" i="10"/>
  <c r="I3935" i="10"/>
  <c r="H3935" i="10"/>
  <c r="J3934" i="10"/>
  <c r="I3934" i="10"/>
  <c r="H3934" i="10"/>
  <c r="J3933" i="10"/>
  <c r="I3933" i="10"/>
  <c r="H3933" i="10"/>
  <c r="J3932" i="10"/>
  <c r="I3932" i="10"/>
  <c r="H3932" i="10"/>
  <c r="J3931" i="10"/>
  <c r="I3931" i="10"/>
  <c r="H3931" i="10"/>
  <c r="J3930" i="10"/>
  <c r="I3930" i="10"/>
  <c r="H3930" i="10"/>
  <c r="J3929" i="10"/>
  <c r="I3929" i="10"/>
  <c r="H3929" i="10"/>
  <c r="J3928" i="10"/>
  <c r="I3928" i="10"/>
  <c r="H3928" i="10"/>
  <c r="J3927" i="10"/>
  <c r="I3927" i="10"/>
  <c r="H3927" i="10"/>
  <c r="J3926" i="10"/>
  <c r="I3926" i="10"/>
  <c r="H3926" i="10"/>
  <c r="J3925" i="10"/>
  <c r="I3925" i="10"/>
  <c r="H3925" i="10"/>
  <c r="J3924" i="10"/>
  <c r="I3924" i="10"/>
  <c r="H3924" i="10"/>
  <c r="J3923" i="10"/>
  <c r="I3923" i="10"/>
  <c r="H3923" i="10"/>
  <c r="J3922" i="10"/>
  <c r="I3922" i="10"/>
  <c r="H3922" i="10"/>
  <c r="J3921" i="10"/>
  <c r="I3921" i="10"/>
  <c r="H3921" i="10"/>
  <c r="J3920" i="10"/>
  <c r="I3920" i="10"/>
  <c r="H3920" i="10"/>
  <c r="J3919" i="10"/>
  <c r="I3919" i="10"/>
  <c r="H3919" i="10"/>
  <c r="J3918" i="10"/>
  <c r="I3918" i="10"/>
  <c r="H3918" i="10"/>
  <c r="J3917" i="10"/>
  <c r="I3917" i="10"/>
  <c r="H3917" i="10"/>
  <c r="J3916" i="10"/>
  <c r="I3916" i="10"/>
  <c r="H3916" i="10"/>
  <c r="J3915" i="10"/>
  <c r="I3915" i="10"/>
  <c r="H3915" i="10"/>
  <c r="J3914" i="10"/>
  <c r="I3914" i="10"/>
  <c r="H3914" i="10"/>
  <c r="J3913" i="10"/>
  <c r="I3913" i="10"/>
  <c r="H3913" i="10"/>
  <c r="J3912" i="10"/>
  <c r="I3912" i="10"/>
  <c r="H3912" i="10"/>
  <c r="J3911" i="10"/>
  <c r="I3911" i="10"/>
  <c r="H3911" i="10"/>
  <c r="J3910" i="10"/>
  <c r="I3910" i="10"/>
  <c r="H3910" i="10"/>
  <c r="J3909" i="10"/>
  <c r="I3909" i="10"/>
  <c r="H3909" i="10"/>
  <c r="J3908" i="10"/>
  <c r="I3908" i="10"/>
  <c r="H3908" i="10"/>
  <c r="J3907" i="10"/>
  <c r="I3907" i="10"/>
  <c r="H3907" i="10"/>
  <c r="J3906" i="10"/>
  <c r="I3906" i="10"/>
  <c r="H3906" i="10"/>
  <c r="J3905" i="10"/>
  <c r="I3905" i="10"/>
  <c r="H3905" i="10"/>
  <c r="J3904" i="10"/>
  <c r="I3904" i="10"/>
  <c r="H3904" i="10"/>
  <c r="J3903" i="10"/>
  <c r="I3903" i="10"/>
  <c r="H3903" i="10"/>
  <c r="J3902" i="10"/>
  <c r="I3902" i="10"/>
  <c r="H3902" i="10"/>
  <c r="J3901" i="10"/>
  <c r="I3901" i="10"/>
  <c r="H3901" i="10"/>
  <c r="J3900" i="10"/>
  <c r="I3900" i="10"/>
  <c r="H3900" i="10"/>
  <c r="J3899" i="10"/>
  <c r="I3899" i="10"/>
  <c r="H3899" i="10"/>
  <c r="J3898" i="10"/>
  <c r="I3898" i="10"/>
  <c r="H3898" i="10"/>
  <c r="J3897" i="10"/>
  <c r="I3897" i="10"/>
  <c r="H3897" i="10"/>
  <c r="J3896" i="10"/>
  <c r="I3896" i="10"/>
  <c r="H3896" i="10"/>
  <c r="J3895" i="10"/>
  <c r="I3895" i="10"/>
  <c r="H3895" i="10"/>
  <c r="J3894" i="10"/>
  <c r="I3894" i="10"/>
  <c r="H3894" i="10"/>
  <c r="J3893" i="10"/>
  <c r="I3893" i="10"/>
  <c r="H3893" i="10"/>
  <c r="J3892" i="10"/>
  <c r="I3892" i="10"/>
  <c r="H3892" i="10"/>
  <c r="J3891" i="10"/>
  <c r="I3891" i="10"/>
  <c r="H3891" i="10"/>
  <c r="J3890" i="10"/>
  <c r="I3890" i="10"/>
  <c r="H3890" i="10"/>
  <c r="J3889" i="10"/>
  <c r="I3889" i="10"/>
  <c r="H3889" i="10"/>
  <c r="J3888" i="10"/>
  <c r="I3888" i="10"/>
  <c r="H3888" i="10"/>
  <c r="J3887" i="10"/>
  <c r="I3887" i="10"/>
  <c r="H3887" i="10"/>
  <c r="J3886" i="10"/>
  <c r="I3886" i="10"/>
  <c r="H3886" i="10"/>
  <c r="J3885" i="10"/>
  <c r="I3885" i="10"/>
  <c r="H3885" i="10"/>
  <c r="J3884" i="10"/>
  <c r="I3884" i="10"/>
  <c r="H3884" i="10"/>
  <c r="J3883" i="10"/>
  <c r="I3883" i="10"/>
  <c r="H3883" i="10"/>
  <c r="J3882" i="10"/>
  <c r="I3882" i="10"/>
  <c r="H3882" i="10"/>
  <c r="J3881" i="10"/>
  <c r="I3881" i="10"/>
  <c r="H3881" i="10"/>
  <c r="J3880" i="10"/>
  <c r="I3880" i="10"/>
  <c r="H3880" i="10"/>
  <c r="J3879" i="10"/>
  <c r="I3879" i="10"/>
  <c r="H3879" i="10"/>
  <c r="J3878" i="10"/>
  <c r="I3878" i="10"/>
  <c r="H3878" i="10"/>
  <c r="J3877" i="10"/>
  <c r="I3877" i="10"/>
  <c r="H3877" i="10"/>
  <c r="J3876" i="10"/>
  <c r="I3876" i="10"/>
  <c r="H3876" i="10"/>
  <c r="J3875" i="10"/>
  <c r="I3875" i="10"/>
  <c r="H3875" i="10"/>
  <c r="J3874" i="10"/>
  <c r="I3874" i="10"/>
  <c r="H3874" i="10"/>
  <c r="J3873" i="10"/>
  <c r="I3873" i="10"/>
  <c r="H3873" i="10"/>
  <c r="J3872" i="10"/>
  <c r="I3872" i="10"/>
  <c r="H3872" i="10"/>
  <c r="J3871" i="10"/>
  <c r="I3871" i="10"/>
  <c r="H3871" i="10"/>
  <c r="J3870" i="10"/>
  <c r="I3870" i="10"/>
  <c r="H3870" i="10"/>
  <c r="J3869" i="10"/>
  <c r="I3869" i="10"/>
  <c r="H3869" i="10"/>
  <c r="J3868" i="10"/>
  <c r="I3868" i="10"/>
  <c r="H3868" i="10"/>
  <c r="J3867" i="10"/>
  <c r="I3867" i="10"/>
  <c r="H3867" i="10"/>
  <c r="J3866" i="10"/>
  <c r="I3866" i="10"/>
  <c r="H3866" i="10"/>
  <c r="J3865" i="10"/>
  <c r="I3865" i="10"/>
  <c r="H3865" i="10"/>
  <c r="J3864" i="10"/>
  <c r="I3864" i="10"/>
  <c r="H3864" i="10"/>
  <c r="J3863" i="10"/>
  <c r="I3863" i="10"/>
  <c r="H3863" i="10"/>
  <c r="J3862" i="10"/>
  <c r="I3862" i="10"/>
  <c r="H3862" i="10"/>
  <c r="J3861" i="10"/>
  <c r="I3861" i="10"/>
  <c r="H3861" i="10"/>
  <c r="J3860" i="10"/>
  <c r="I3860" i="10"/>
  <c r="H3860" i="10"/>
  <c r="J3859" i="10"/>
  <c r="I3859" i="10"/>
  <c r="H3859" i="10"/>
  <c r="J3858" i="10"/>
  <c r="I3858" i="10"/>
  <c r="H3858" i="10"/>
  <c r="J3857" i="10"/>
  <c r="I3857" i="10"/>
  <c r="H3857" i="10"/>
  <c r="J3856" i="10"/>
  <c r="I3856" i="10"/>
  <c r="H3856" i="10"/>
  <c r="J3855" i="10"/>
  <c r="I3855" i="10"/>
  <c r="H3855" i="10"/>
  <c r="J3854" i="10"/>
  <c r="I3854" i="10"/>
  <c r="H3854" i="10"/>
  <c r="J3853" i="10"/>
  <c r="I3853" i="10"/>
  <c r="H3853" i="10"/>
  <c r="J3852" i="10"/>
  <c r="I3852" i="10"/>
  <c r="H3852" i="10"/>
  <c r="J3851" i="10"/>
  <c r="I3851" i="10"/>
  <c r="H3851" i="10"/>
  <c r="J3850" i="10"/>
  <c r="I3850" i="10"/>
  <c r="H3850" i="10"/>
  <c r="J3849" i="10"/>
  <c r="I3849" i="10"/>
  <c r="H3849" i="10"/>
  <c r="J3848" i="10"/>
  <c r="I3848" i="10"/>
  <c r="H3848" i="10"/>
  <c r="J3847" i="10"/>
  <c r="I3847" i="10"/>
  <c r="H3847" i="10"/>
  <c r="J3846" i="10"/>
  <c r="I3846" i="10"/>
  <c r="H3846" i="10"/>
  <c r="J3845" i="10"/>
  <c r="I3845" i="10"/>
  <c r="H3845" i="10"/>
  <c r="J3844" i="10"/>
  <c r="I3844" i="10"/>
  <c r="H3844" i="10"/>
  <c r="J3843" i="10"/>
  <c r="I3843" i="10"/>
  <c r="H3843" i="10"/>
  <c r="J3842" i="10"/>
  <c r="I3842" i="10"/>
  <c r="H3842" i="10"/>
  <c r="J3841" i="10"/>
  <c r="I3841" i="10"/>
  <c r="H3841" i="10"/>
  <c r="J3840" i="10"/>
  <c r="I3840" i="10"/>
  <c r="H3840" i="10"/>
  <c r="J3839" i="10"/>
  <c r="I3839" i="10"/>
  <c r="H3839" i="10"/>
  <c r="J3838" i="10"/>
  <c r="I3838" i="10"/>
  <c r="H3838" i="10"/>
  <c r="J3837" i="10"/>
  <c r="I3837" i="10"/>
  <c r="H3837" i="10"/>
  <c r="J3836" i="10"/>
  <c r="I3836" i="10"/>
  <c r="H3836" i="10"/>
  <c r="J3835" i="10"/>
  <c r="I3835" i="10"/>
  <c r="H3835" i="10"/>
  <c r="J3834" i="10"/>
  <c r="I3834" i="10"/>
  <c r="H3834" i="10"/>
  <c r="J3833" i="10"/>
  <c r="I3833" i="10"/>
  <c r="H3833" i="10"/>
  <c r="J3832" i="10"/>
  <c r="I3832" i="10"/>
  <c r="H3832" i="10"/>
  <c r="J3831" i="10"/>
  <c r="I3831" i="10"/>
  <c r="H3831" i="10"/>
  <c r="J3830" i="10"/>
  <c r="I3830" i="10"/>
  <c r="H3830" i="10"/>
  <c r="J3829" i="10"/>
  <c r="I3829" i="10"/>
  <c r="H3829" i="10"/>
  <c r="J3828" i="10"/>
  <c r="I3828" i="10"/>
  <c r="H3828" i="10"/>
  <c r="J3827" i="10"/>
  <c r="I3827" i="10"/>
  <c r="H3827" i="10"/>
  <c r="J3826" i="10"/>
  <c r="I3826" i="10"/>
  <c r="H3826" i="10"/>
  <c r="J3825" i="10"/>
  <c r="I3825" i="10"/>
  <c r="H3825" i="10"/>
  <c r="J3824" i="10"/>
  <c r="I3824" i="10"/>
  <c r="H3824" i="10"/>
  <c r="J3823" i="10"/>
  <c r="I3823" i="10"/>
  <c r="H3823" i="10"/>
  <c r="J3822" i="10"/>
  <c r="I3822" i="10"/>
  <c r="H3822" i="10"/>
  <c r="J3821" i="10"/>
  <c r="I3821" i="10"/>
  <c r="H3821" i="10"/>
  <c r="J3820" i="10"/>
  <c r="I3820" i="10"/>
  <c r="H3820" i="10"/>
  <c r="J3819" i="10"/>
  <c r="I3819" i="10"/>
  <c r="H3819" i="10"/>
  <c r="J3818" i="10"/>
  <c r="I3818" i="10"/>
  <c r="H3818" i="10"/>
  <c r="J3817" i="10"/>
  <c r="I3817" i="10"/>
  <c r="H3817" i="10"/>
  <c r="J3816" i="10"/>
  <c r="I3816" i="10"/>
  <c r="H3816" i="10"/>
  <c r="J3815" i="10"/>
  <c r="I3815" i="10"/>
  <c r="H3815" i="10"/>
  <c r="J3814" i="10"/>
  <c r="I3814" i="10"/>
  <c r="H3814" i="10"/>
  <c r="J3813" i="10"/>
  <c r="I3813" i="10"/>
  <c r="H3813" i="10"/>
  <c r="J3812" i="10"/>
  <c r="I3812" i="10"/>
  <c r="H3812" i="10"/>
  <c r="J3811" i="10"/>
  <c r="I3811" i="10"/>
  <c r="H3811" i="10"/>
  <c r="J3810" i="10"/>
  <c r="I3810" i="10"/>
  <c r="H3810" i="10"/>
  <c r="J3809" i="10"/>
  <c r="I3809" i="10"/>
  <c r="H3809" i="10"/>
  <c r="J3808" i="10"/>
  <c r="I3808" i="10"/>
  <c r="H3808" i="10"/>
  <c r="J3807" i="10"/>
  <c r="I3807" i="10"/>
  <c r="H3807" i="10"/>
  <c r="J3806" i="10"/>
  <c r="I3806" i="10"/>
  <c r="H3806" i="10"/>
  <c r="J3805" i="10"/>
  <c r="I3805" i="10"/>
  <c r="H3805" i="10"/>
  <c r="J3804" i="10"/>
  <c r="I3804" i="10"/>
  <c r="H3804" i="10"/>
  <c r="J3803" i="10"/>
  <c r="I3803" i="10"/>
  <c r="H3803" i="10"/>
  <c r="J3802" i="10"/>
  <c r="I3802" i="10"/>
  <c r="H3802" i="10"/>
  <c r="J3801" i="10"/>
  <c r="I3801" i="10"/>
  <c r="H3801" i="10"/>
  <c r="J3800" i="10"/>
  <c r="I3800" i="10"/>
  <c r="H3800" i="10"/>
  <c r="J3799" i="10"/>
  <c r="I3799" i="10"/>
  <c r="H3799" i="10"/>
  <c r="J3798" i="10"/>
  <c r="I3798" i="10"/>
  <c r="H3798" i="10"/>
  <c r="J3797" i="10"/>
  <c r="I3797" i="10"/>
  <c r="H3797" i="10"/>
  <c r="J3796" i="10"/>
  <c r="I3796" i="10"/>
  <c r="H3796" i="10"/>
  <c r="J3795" i="10"/>
  <c r="I3795" i="10"/>
  <c r="H3795" i="10"/>
  <c r="J3794" i="10"/>
  <c r="I3794" i="10"/>
  <c r="H3794" i="10"/>
  <c r="J3793" i="10"/>
  <c r="I3793" i="10"/>
  <c r="H3793" i="10"/>
  <c r="J3792" i="10"/>
  <c r="I3792" i="10"/>
  <c r="H3792" i="10"/>
  <c r="J3791" i="10"/>
  <c r="I3791" i="10"/>
  <c r="H3791" i="10"/>
  <c r="J3790" i="10"/>
  <c r="I3790" i="10"/>
  <c r="H3790" i="10"/>
  <c r="J3789" i="10"/>
  <c r="I3789" i="10"/>
  <c r="H3789" i="10"/>
  <c r="J3788" i="10"/>
  <c r="I3788" i="10"/>
  <c r="H3788" i="10"/>
  <c r="J3787" i="10"/>
  <c r="I3787" i="10"/>
  <c r="H3787" i="10"/>
  <c r="J3786" i="10"/>
  <c r="I3786" i="10"/>
  <c r="H3786" i="10"/>
  <c r="J3785" i="10"/>
  <c r="I3785" i="10"/>
  <c r="H3785" i="10"/>
  <c r="J3784" i="10"/>
  <c r="I3784" i="10"/>
  <c r="H3784" i="10"/>
  <c r="J3783" i="10"/>
  <c r="I3783" i="10"/>
  <c r="H3783" i="10"/>
  <c r="J3782" i="10"/>
  <c r="I3782" i="10"/>
  <c r="H3782" i="10"/>
  <c r="J3781" i="10"/>
  <c r="I3781" i="10"/>
  <c r="H3781" i="10"/>
  <c r="J3780" i="10"/>
  <c r="I3780" i="10"/>
  <c r="H3780" i="10"/>
  <c r="J3779" i="10"/>
  <c r="I3779" i="10"/>
  <c r="H3779" i="10"/>
  <c r="J3778" i="10"/>
  <c r="I3778" i="10"/>
  <c r="H3778" i="10"/>
  <c r="J3777" i="10"/>
  <c r="I3777" i="10"/>
  <c r="H3777" i="10"/>
  <c r="J3776" i="10"/>
  <c r="I3776" i="10"/>
  <c r="H3776" i="10"/>
  <c r="J3775" i="10"/>
  <c r="I3775" i="10"/>
  <c r="H3775" i="10"/>
  <c r="J3774" i="10"/>
  <c r="I3774" i="10"/>
  <c r="H3774" i="10"/>
  <c r="J3773" i="10"/>
  <c r="I3773" i="10"/>
  <c r="H3773" i="10"/>
  <c r="J3772" i="10"/>
  <c r="I3772" i="10"/>
  <c r="H3772" i="10"/>
  <c r="J3771" i="10"/>
  <c r="I3771" i="10"/>
  <c r="H3771" i="10"/>
  <c r="J3770" i="10"/>
  <c r="I3770" i="10"/>
  <c r="H3770" i="10"/>
  <c r="J3769" i="10"/>
  <c r="I3769" i="10"/>
  <c r="H3769" i="10"/>
  <c r="J3768" i="10"/>
  <c r="I3768" i="10"/>
  <c r="H3768" i="10"/>
  <c r="J3767" i="10"/>
  <c r="I3767" i="10"/>
  <c r="H3767" i="10"/>
  <c r="J3766" i="10"/>
  <c r="I3766" i="10"/>
  <c r="H3766" i="10"/>
  <c r="J3765" i="10"/>
  <c r="I3765" i="10"/>
  <c r="H3765" i="10"/>
  <c r="J3764" i="10"/>
  <c r="I3764" i="10"/>
  <c r="H3764" i="10"/>
  <c r="J3763" i="10"/>
  <c r="I3763" i="10"/>
  <c r="H3763" i="10"/>
  <c r="J3762" i="10"/>
  <c r="I3762" i="10"/>
  <c r="H3762" i="10"/>
  <c r="J3761" i="10"/>
  <c r="I3761" i="10"/>
  <c r="H3761" i="10"/>
  <c r="J3760" i="10"/>
  <c r="I3760" i="10"/>
  <c r="H3760" i="10"/>
  <c r="J3759" i="10"/>
  <c r="I3759" i="10"/>
  <c r="H3759" i="10"/>
  <c r="J3758" i="10"/>
  <c r="I3758" i="10"/>
  <c r="H3758" i="10"/>
  <c r="J3757" i="10"/>
  <c r="I3757" i="10"/>
  <c r="H3757" i="10"/>
  <c r="J3756" i="10"/>
  <c r="I3756" i="10"/>
  <c r="H3756" i="10"/>
  <c r="J3755" i="10"/>
  <c r="I3755" i="10"/>
  <c r="H3755" i="10"/>
  <c r="J3754" i="10"/>
  <c r="I3754" i="10"/>
  <c r="H3754" i="10"/>
  <c r="J3753" i="10"/>
  <c r="I3753" i="10"/>
  <c r="H3753" i="10"/>
  <c r="J3752" i="10"/>
  <c r="I3752" i="10"/>
  <c r="H3752" i="10"/>
  <c r="J3751" i="10"/>
  <c r="I3751" i="10"/>
  <c r="H3751" i="10"/>
  <c r="J3750" i="10"/>
  <c r="I3750" i="10"/>
  <c r="H3750" i="10"/>
  <c r="J3749" i="10"/>
  <c r="I3749" i="10"/>
  <c r="H3749" i="10"/>
  <c r="J3748" i="10"/>
  <c r="I3748" i="10"/>
  <c r="H3748" i="10"/>
  <c r="J3747" i="10"/>
  <c r="I3747" i="10"/>
  <c r="H3747" i="10"/>
  <c r="J3746" i="10"/>
  <c r="I3746" i="10"/>
  <c r="H3746" i="10"/>
  <c r="J3745" i="10"/>
  <c r="I3745" i="10"/>
  <c r="H3745" i="10"/>
  <c r="J3744" i="10"/>
  <c r="I3744" i="10"/>
  <c r="H3744" i="10"/>
  <c r="J3743" i="10"/>
  <c r="I3743" i="10"/>
  <c r="H3743" i="10"/>
  <c r="J3742" i="10"/>
  <c r="I3742" i="10"/>
  <c r="H3742" i="10"/>
  <c r="J3741" i="10"/>
  <c r="I3741" i="10"/>
  <c r="H3741" i="10"/>
  <c r="J3740" i="10"/>
  <c r="I3740" i="10"/>
  <c r="H3740" i="10"/>
  <c r="J3739" i="10"/>
  <c r="I3739" i="10"/>
  <c r="H3739" i="10"/>
  <c r="J3738" i="10"/>
  <c r="I3738" i="10"/>
  <c r="H3738" i="10"/>
  <c r="J3737" i="10"/>
  <c r="I3737" i="10"/>
  <c r="H3737" i="10"/>
  <c r="J3736" i="10"/>
  <c r="I3736" i="10"/>
  <c r="H3736" i="10"/>
  <c r="J3735" i="10"/>
  <c r="I3735" i="10"/>
  <c r="H3735" i="10"/>
  <c r="J3734" i="10"/>
  <c r="I3734" i="10"/>
  <c r="H3734" i="10"/>
  <c r="J3733" i="10"/>
  <c r="I3733" i="10"/>
  <c r="H3733" i="10"/>
  <c r="J3732" i="10"/>
  <c r="I3732" i="10"/>
  <c r="H3732" i="10"/>
  <c r="J3731" i="10"/>
  <c r="I3731" i="10"/>
  <c r="H3731" i="10"/>
  <c r="J3730" i="10"/>
  <c r="I3730" i="10"/>
  <c r="H3730" i="10"/>
  <c r="J3729" i="10"/>
  <c r="I3729" i="10"/>
  <c r="H3729" i="10"/>
  <c r="J3728" i="10"/>
  <c r="I3728" i="10"/>
  <c r="H3728" i="10"/>
  <c r="J3727" i="10"/>
  <c r="I3727" i="10"/>
  <c r="H3727" i="10"/>
  <c r="J3726" i="10"/>
  <c r="I3726" i="10"/>
  <c r="H3726" i="10"/>
  <c r="J3725" i="10"/>
  <c r="I3725" i="10"/>
  <c r="H3725" i="10"/>
  <c r="J3724" i="10"/>
  <c r="I3724" i="10"/>
  <c r="H3724" i="10"/>
  <c r="J3723" i="10"/>
  <c r="I3723" i="10"/>
  <c r="H3723" i="10"/>
  <c r="J3722" i="10"/>
  <c r="I3722" i="10"/>
  <c r="H3722" i="10"/>
  <c r="J3721" i="10"/>
  <c r="I3721" i="10"/>
  <c r="H3721" i="10"/>
  <c r="J3720" i="10"/>
  <c r="I3720" i="10"/>
  <c r="H3720" i="10"/>
  <c r="J3719" i="10"/>
  <c r="I3719" i="10"/>
  <c r="H3719" i="10"/>
  <c r="J3718" i="10"/>
  <c r="I3718" i="10"/>
  <c r="H3718" i="10"/>
  <c r="J3717" i="10"/>
  <c r="I3717" i="10"/>
  <c r="H3717" i="10"/>
  <c r="J3716" i="10"/>
  <c r="I3716" i="10"/>
  <c r="H3716" i="10"/>
  <c r="J3715" i="10"/>
  <c r="I3715" i="10"/>
  <c r="H3715" i="10"/>
  <c r="J3714" i="10"/>
  <c r="I3714" i="10"/>
  <c r="H3714" i="10"/>
  <c r="J3713" i="10"/>
  <c r="I3713" i="10"/>
  <c r="H3713" i="10"/>
  <c r="J3712" i="10"/>
  <c r="I3712" i="10"/>
  <c r="H3712" i="10"/>
  <c r="J3711" i="10"/>
  <c r="I3711" i="10"/>
  <c r="H3711" i="10"/>
  <c r="J3710" i="10"/>
  <c r="I3710" i="10"/>
  <c r="H3710" i="10"/>
  <c r="J3709" i="10"/>
  <c r="I3709" i="10"/>
  <c r="H3709" i="10"/>
  <c r="J3708" i="10"/>
  <c r="I3708" i="10"/>
  <c r="H3708" i="10"/>
  <c r="J3707" i="10"/>
  <c r="I3707" i="10"/>
  <c r="H3707" i="10"/>
  <c r="J3706" i="10"/>
  <c r="I3706" i="10"/>
  <c r="H3706" i="10"/>
  <c r="J3705" i="10"/>
  <c r="I3705" i="10"/>
  <c r="H3705" i="10"/>
  <c r="J3704" i="10"/>
  <c r="I3704" i="10"/>
  <c r="H3704" i="10"/>
  <c r="J3703" i="10"/>
  <c r="I3703" i="10"/>
  <c r="H3703" i="10"/>
  <c r="J3702" i="10"/>
  <c r="I3702" i="10"/>
  <c r="H3702" i="10"/>
  <c r="J3701" i="10"/>
  <c r="I3701" i="10"/>
  <c r="H3701" i="10"/>
  <c r="J3700" i="10"/>
  <c r="I3700" i="10"/>
  <c r="H3700" i="10"/>
  <c r="J3699" i="10"/>
  <c r="I3699" i="10"/>
  <c r="H3699" i="10"/>
  <c r="J3698" i="10"/>
  <c r="I3698" i="10"/>
  <c r="H3698" i="10"/>
  <c r="J3697" i="10"/>
  <c r="I3697" i="10"/>
  <c r="H3697" i="10"/>
  <c r="J3696" i="10"/>
  <c r="I3696" i="10"/>
  <c r="H3696" i="10"/>
  <c r="J3695" i="10"/>
  <c r="I3695" i="10"/>
  <c r="H3695" i="10"/>
  <c r="J3694" i="10"/>
  <c r="I3694" i="10"/>
  <c r="H3694" i="10"/>
  <c r="J3693" i="10"/>
  <c r="I3693" i="10"/>
  <c r="H3693" i="10"/>
  <c r="J3692" i="10"/>
  <c r="I3692" i="10"/>
  <c r="H3692" i="10"/>
  <c r="J3691" i="10"/>
  <c r="I3691" i="10"/>
  <c r="H3691" i="10"/>
  <c r="J3690" i="10"/>
  <c r="I3690" i="10"/>
  <c r="H3690" i="10"/>
  <c r="J3689" i="10"/>
  <c r="I3689" i="10"/>
  <c r="H3689" i="10"/>
  <c r="J3688" i="10"/>
  <c r="I3688" i="10"/>
  <c r="H3688" i="10"/>
  <c r="J3687" i="10"/>
  <c r="I3687" i="10"/>
  <c r="H3687" i="10"/>
  <c r="J3686" i="10"/>
  <c r="I3686" i="10"/>
  <c r="H3686" i="10"/>
  <c r="J3685" i="10"/>
  <c r="I3685" i="10"/>
  <c r="H3685" i="10"/>
  <c r="J3684" i="10"/>
  <c r="I3684" i="10"/>
  <c r="H3684" i="10"/>
  <c r="J3683" i="10"/>
  <c r="I3683" i="10"/>
  <c r="H3683" i="10"/>
  <c r="J3682" i="10"/>
  <c r="I3682" i="10"/>
  <c r="H3682" i="10"/>
  <c r="J3681" i="10"/>
  <c r="I3681" i="10"/>
  <c r="H3681" i="10"/>
  <c r="J3680" i="10"/>
  <c r="I3680" i="10"/>
  <c r="H3680" i="10"/>
  <c r="J3679" i="10"/>
  <c r="I3679" i="10"/>
  <c r="H3679" i="10"/>
  <c r="J3678" i="10"/>
  <c r="I3678" i="10"/>
  <c r="H3678" i="10"/>
  <c r="J3677" i="10"/>
  <c r="I3677" i="10"/>
  <c r="H3677" i="10"/>
  <c r="J3676" i="10"/>
  <c r="I3676" i="10"/>
  <c r="H3676" i="10"/>
  <c r="J3675" i="10"/>
  <c r="I3675" i="10"/>
  <c r="H3675" i="10"/>
  <c r="J3674" i="10"/>
  <c r="I3674" i="10"/>
  <c r="H3674" i="10"/>
  <c r="J3673" i="10"/>
  <c r="I3673" i="10"/>
  <c r="H3673" i="10"/>
  <c r="J3672" i="10"/>
  <c r="I3672" i="10"/>
  <c r="H3672" i="10"/>
  <c r="J3671" i="10"/>
  <c r="I3671" i="10"/>
  <c r="H3671" i="10"/>
  <c r="J3670" i="10"/>
  <c r="I3670" i="10"/>
  <c r="H3670" i="10"/>
  <c r="J3669" i="10"/>
  <c r="I3669" i="10"/>
  <c r="H3669" i="10"/>
  <c r="J3668" i="10"/>
  <c r="I3668" i="10"/>
  <c r="H3668" i="10"/>
  <c r="J3667" i="10"/>
  <c r="I3667" i="10"/>
  <c r="H3667" i="10"/>
  <c r="J3666" i="10"/>
  <c r="I3666" i="10"/>
  <c r="H3666" i="10"/>
  <c r="J3665" i="10"/>
  <c r="I3665" i="10"/>
  <c r="H3665" i="10"/>
  <c r="J3664" i="10"/>
  <c r="I3664" i="10"/>
  <c r="H3664" i="10"/>
  <c r="J3663" i="10"/>
  <c r="I3663" i="10"/>
  <c r="H3663" i="10"/>
  <c r="J3662" i="10"/>
  <c r="I3662" i="10"/>
  <c r="H3662" i="10"/>
  <c r="J3661" i="10"/>
  <c r="I3661" i="10"/>
  <c r="H3661" i="10"/>
  <c r="J3660" i="10"/>
  <c r="I3660" i="10"/>
  <c r="H3660" i="10"/>
  <c r="J3659" i="10"/>
  <c r="I3659" i="10"/>
  <c r="H3659" i="10"/>
  <c r="J3658" i="10"/>
  <c r="I3658" i="10"/>
  <c r="H3658" i="10"/>
  <c r="J3657" i="10"/>
  <c r="I3657" i="10"/>
  <c r="H3657" i="10"/>
  <c r="J3656" i="10"/>
  <c r="I3656" i="10"/>
  <c r="H3656" i="10"/>
  <c r="J3655" i="10"/>
  <c r="I3655" i="10"/>
  <c r="H3655" i="10"/>
  <c r="J3654" i="10"/>
  <c r="I3654" i="10"/>
  <c r="H3654" i="10"/>
  <c r="J3653" i="10"/>
  <c r="I3653" i="10"/>
  <c r="H3653" i="10"/>
  <c r="J3652" i="10"/>
  <c r="I3652" i="10"/>
  <c r="H3652" i="10"/>
  <c r="J3651" i="10"/>
  <c r="I3651" i="10"/>
  <c r="H3651" i="10"/>
  <c r="J3650" i="10"/>
  <c r="I3650" i="10"/>
  <c r="H3650" i="10"/>
  <c r="J3649" i="10"/>
  <c r="I3649" i="10"/>
  <c r="H3649" i="10"/>
  <c r="J3648" i="10"/>
  <c r="I3648" i="10"/>
  <c r="H3648" i="10"/>
  <c r="J3647" i="10"/>
  <c r="I3647" i="10"/>
  <c r="H3647" i="10"/>
  <c r="J3646" i="10"/>
  <c r="I3646" i="10"/>
  <c r="H3646" i="10"/>
  <c r="J3645" i="10"/>
  <c r="I3645" i="10"/>
  <c r="H3645" i="10"/>
  <c r="J3644" i="10"/>
  <c r="I3644" i="10"/>
  <c r="H3644" i="10"/>
  <c r="J3643" i="10"/>
  <c r="I3643" i="10"/>
  <c r="H3643" i="10"/>
  <c r="J3642" i="10"/>
  <c r="I3642" i="10"/>
  <c r="H3642" i="10"/>
  <c r="J3641" i="10"/>
  <c r="I3641" i="10"/>
  <c r="H3641" i="10"/>
  <c r="J3640" i="10"/>
  <c r="I3640" i="10"/>
  <c r="H3640" i="10"/>
  <c r="J3639" i="10"/>
  <c r="I3639" i="10"/>
  <c r="H3639" i="10"/>
  <c r="J3638" i="10"/>
  <c r="I3638" i="10"/>
  <c r="H3638" i="10"/>
  <c r="J3637" i="10"/>
  <c r="I3637" i="10"/>
  <c r="H3637" i="10"/>
  <c r="J3636" i="10"/>
  <c r="I3636" i="10"/>
  <c r="H3636" i="10"/>
  <c r="J3635" i="10"/>
  <c r="I3635" i="10"/>
  <c r="H3635" i="10"/>
  <c r="J3634" i="10"/>
  <c r="I3634" i="10"/>
  <c r="H3634" i="10"/>
  <c r="J3633" i="10"/>
  <c r="I3633" i="10"/>
  <c r="H3633" i="10"/>
  <c r="J3632" i="10"/>
  <c r="I3632" i="10"/>
  <c r="H3632" i="10"/>
  <c r="J3631" i="10"/>
  <c r="I3631" i="10"/>
  <c r="H3631" i="10"/>
  <c r="J3630" i="10"/>
  <c r="I3630" i="10"/>
  <c r="H3630" i="10"/>
  <c r="J3629" i="10"/>
  <c r="I3629" i="10"/>
  <c r="H3629" i="10"/>
  <c r="J3628" i="10"/>
  <c r="I3628" i="10"/>
  <c r="H3628" i="10"/>
  <c r="J3627" i="10"/>
  <c r="I3627" i="10"/>
  <c r="H3627" i="10"/>
  <c r="J3626" i="10"/>
  <c r="I3626" i="10"/>
  <c r="H3626" i="10"/>
  <c r="J3625" i="10"/>
  <c r="I3625" i="10"/>
  <c r="H3625" i="10"/>
  <c r="J3624" i="10"/>
  <c r="I3624" i="10"/>
  <c r="H3624" i="10"/>
  <c r="J3623" i="10"/>
  <c r="I3623" i="10"/>
  <c r="H3623" i="10"/>
  <c r="J3622" i="10"/>
  <c r="I3622" i="10"/>
  <c r="H3622" i="10"/>
  <c r="J3621" i="10"/>
  <c r="I3621" i="10"/>
  <c r="H3621" i="10"/>
  <c r="J3620" i="10"/>
  <c r="I3620" i="10"/>
  <c r="H3620" i="10"/>
  <c r="J3619" i="10"/>
  <c r="I3619" i="10"/>
  <c r="H3619" i="10"/>
  <c r="J3618" i="10"/>
  <c r="I3618" i="10"/>
  <c r="H3618" i="10"/>
  <c r="J3617" i="10"/>
  <c r="I3617" i="10"/>
  <c r="H3617" i="10"/>
  <c r="J3616" i="10"/>
  <c r="I3616" i="10"/>
  <c r="H3616" i="10"/>
  <c r="J3615" i="10"/>
  <c r="I3615" i="10"/>
  <c r="H3615" i="10"/>
  <c r="J3614" i="10"/>
  <c r="I3614" i="10"/>
  <c r="H3614" i="10"/>
  <c r="J3613" i="10"/>
  <c r="I3613" i="10"/>
  <c r="H3613" i="10"/>
  <c r="J3612" i="10"/>
  <c r="I3612" i="10"/>
  <c r="H3612" i="10"/>
  <c r="J3611" i="10"/>
  <c r="I3611" i="10"/>
  <c r="H3611" i="10"/>
  <c r="J3610" i="10"/>
  <c r="I3610" i="10"/>
  <c r="H3610" i="10"/>
  <c r="J3609" i="10"/>
  <c r="I3609" i="10"/>
  <c r="H3609" i="10"/>
  <c r="J3608" i="10"/>
  <c r="I3608" i="10"/>
  <c r="H3608" i="10"/>
  <c r="J3607" i="10"/>
  <c r="I3607" i="10"/>
  <c r="H3607" i="10"/>
  <c r="J3606" i="10"/>
  <c r="I3606" i="10"/>
  <c r="H3606" i="10"/>
  <c r="J3605" i="10"/>
  <c r="I3605" i="10"/>
  <c r="H3605" i="10"/>
  <c r="J3604" i="10"/>
  <c r="I3604" i="10"/>
  <c r="H3604" i="10"/>
  <c r="J3603" i="10"/>
  <c r="I3603" i="10"/>
  <c r="H3603" i="10"/>
  <c r="J3602" i="10"/>
  <c r="I3602" i="10"/>
  <c r="H3602" i="10"/>
  <c r="J3601" i="10"/>
  <c r="I3601" i="10"/>
  <c r="H3601" i="10"/>
  <c r="J3600" i="10"/>
  <c r="I3600" i="10"/>
  <c r="H3600" i="10"/>
  <c r="J3599" i="10"/>
  <c r="I3599" i="10"/>
  <c r="H3599" i="10"/>
  <c r="J3598" i="10"/>
  <c r="I3598" i="10"/>
  <c r="H3598" i="10"/>
  <c r="J3597" i="10"/>
  <c r="I3597" i="10"/>
  <c r="H3597" i="10"/>
  <c r="J3596" i="10"/>
  <c r="I3596" i="10"/>
  <c r="H3596" i="10"/>
  <c r="J3595" i="10"/>
  <c r="I3595" i="10"/>
  <c r="H3595" i="10"/>
  <c r="J3594" i="10"/>
  <c r="I3594" i="10"/>
  <c r="H3594" i="10"/>
  <c r="J3593" i="10"/>
  <c r="I3593" i="10"/>
  <c r="H3593" i="10"/>
  <c r="J3592" i="10"/>
  <c r="I3592" i="10"/>
  <c r="H3592" i="10"/>
  <c r="J3591" i="10"/>
  <c r="I3591" i="10"/>
  <c r="H3591" i="10"/>
  <c r="J3590" i="10"/>
  <c r="I3590" i="10"/>
  <c r="H3590" i="10"/>
  <c r="J3589" i="10"/>
  <c r="I3589" i="10"/>
  <c r="H3589" i="10"/>
  <c r="J3588" i="10"/>
  <c r="I3588" i="10"/>
  <c r="H3588" i="10"/>
  <c r="J3587" i="10"/>
  <c r="I3587" i="10"/>
  <c r="H3587" i="10"/>
  <c r="J3586" i="10"/>
  <c r="I3586" i="10"/>
  <c r="H3586" i="10"/>
  <c r="J3585" i="10"/>
  <c r="I3585" i="10"/>
  <c r="H3585" i="10"/>
  <c r="J3584" i="10"/>
  <c r="I3584" i="10"/>
  <c r="H3584" i="10"/>
  <c r="J3583" i="10"/>
  <c r="I3583" i="10"/>
  <c r="H3583" i="10"/>
  <c r="J3582" i="10"/>
  <c r="I3582" i="10"/>
  <c r="H3582" i="10"/>
  <c r="J3581" i="10"/>
  <c r="I3581" i="10"/>
  <c r="H3581" i="10"/>
  <c r="J3580" i="10"/>
  <c r="I3580" i="10"/>
  <c r="H3580" i="10"/>
  <c r="J3579" i="10"/>
  <c r="I3579" i="10"/>
  <c r="H3579" i="10"/>
  <c r="J3578" i="10"/>
  <c r="I3578" i="10"/>
  <c r="H3578" i="10"/>
  <c r="J3577" i="10"/>
  <c r="I3577" i="10"/>
  <c r="H3577" i="10"/>
  <c r="J3576" i="10"/>
  <c r="I3576" i="10"/>
  <c r="H3576" i="10"/>
  <c r="J3575" i="10"/>
  <c r="I3575" i="10"/>
  <c r="H3575" i="10"/>
  <c r="J3574" i="10"/>
  <c r="I3574" i="10"/>
  <c r="H3574" i="10"/>
  <c r="J3573" i="10"/>
  <c r="I3573" i="10"/>
  <c r="H3573" i="10"/>
  <c r="J3572" i="10"/>
  <c r="I3572" i="10"/>
  <c r="H3572" i="10"/>
  <c r="J3571" i="10"/>
  <c r="I3571" i="10"/>
  <c r="H3571" i="10"/>
  <c r="J3570" i="10"/>
  <c r="I3570" i="10"/>
  <c r="H3570" i="10"/>
  <c r="J3569" i="10"/>
  <c r="I3569" i="10"/>
  <c r="H3569" i="10"/>
  <c r="J3568" i="10"/>
  <c r="I3568" i="10"/>
  <c r="H3568" i="10"/>
  <c r="J3567" i="10"/>
  <c r="I3567" i="10"/>
  <c r="H3567" i="10"/>
  <c r="J3566" i="10"/>
  <c r="I3566" i="10"/>
  <c r="H3566" i="10"/>
  <c r="J3565" i="10"/>
  <c r="I3565" i="10"/>
  <c r="H3565" i="10"/>
  <c r="J3564" i="10"/>
  <c r="I3564" i="10"/>
  <c r="H3564" i="10"/>
  <c r="J3563" i="10"/>
  <c r="I3563" i="10"/>
  <c r="H3563" i="10"/>
  <c r="J3562" i="10"/>
  <c r="I3562" i="10"/>
  <c r="H3562" i="10"/>
  <c r="J3561" i="10"/>
  <c r="I3561" i="10"/>
  <c r="H3561" i="10"/>
  <c r="J3560" i="10"/>
  <c r="I3560" i="10"/>
  <c r="H3560" i="10"/>
  <c r="J3559" i="10"/>
  <c r="I3559" i="10"/>
  <c r="H3559" i="10"/>
  <c r="J3558" i="10"/>
  <c r="I3558" i="10"/>
  <c r="H3558" i="10"/>
  <c r="J3557" i="10"/>
  <c r="I3557" i="10"/>
  <c r="H3557" i="10"/>
  <c r="J3556" i="10"/>
  <c r="I3556" i="10"/>
  <c r="H3556" i="10"/>
  <c r="J3555" i="10"/>
  <c r="I3555" i="10"/>
  <c r="H3555" i="10"/>
  <c r="J3554" i="10"/>
  <c r="I3554" i="10"/>
  <c r="H3554" i="10"/>
  <c r="J3553" i="10"/>
  <c r="I3553" i="10"/>
  <c r="H3553" i="10"/>
  <c r="J3552" i="10"/>
  <c r="I3552" i="10"/>
  <c r="H3552" i="10"/>
  <c r="J3551" i="10"/>
  <c r="I3551" i="10"/>
  <c r="H3551" i="10"/>
  <c r="J3550" i="10"/>
  <c r="I3550" i="10"/>
  <c r="H3550" i="10"/>
  <c r="J3549" i="10"/>
  <c r="I3549" i="10"/>
  <c r="H3549" i="10"/>
  <c r="J3548" i="10"/>
  <c r="I3548" i="10"/>
  <c r="H3548" i="10"/>
  <c r="J3547" i="10"/>
  <c r="I3547" i="10"/>
  <c r="H3547" i="10"/>
  <c r="J3546" i="10"/>
  <c r="I3546" i="10"/>
  <c r="H3546" i="10"/>
  <c r="J3545" i="10"/>
  <c r="I3545" i="10"/>
  <c r="H3545" i="10"/>
  <c r="J3544" i="10"/>
  <c r="I3544" i="10"/>
  <c r="H3544" i="10"/>
  <c r="J3543" i="10"/>
  <c r="I3543" i="10"/>
  <c r="H3543" i="10"/>
  <c r="J3542" i="10"/>
  <c r="I3542" i="10"/>
  <c r="H3542" i="10"/>
  <c r="J3541" i="10"/>
  <c r="I3541" i="10"/>
  <c r="H3541" i="10"/>
  <c r="J3540" i="10"/>
  <c r="I3540" i="10"/>
  <c r="H3540" i="10"/>
  <c r="J3539" i="10"/>
  <c r="I3539" i="10"/>
  <c r="H3539" i="10"/>
  <c r="J3538" i="10"/>
  <c r="I3538" i="10"/>
  <c r="H3538" i="10"/>
  <c r="J3537" i="10"/>
  <c r="I3537" i="10"/>
  <c r="H3537" i="10"/>
  <c r="J3536" i="10"/>
  <c r="I3536" i="10"/>
  <c r="H3536" i="10"/>
  <c r="J3535" i="10"/>
  <c r="I3535" i="10"/>
  <c r="H3535" i="10"/>
  <c r="J3534" i="10"/>
  <c r="I3534" i="10"/>
  <c r="H3534" i="10"/>
  <c r="J3533" i="10"/>
  <c r="I3533" i="10"/>
  <c r="H3533" i="10"/>
  <c r="J3532" i="10"/>
  <c r="I3532" i="10"/>
  <c r="H3532" i="10"/>
  <c r="J3531" i="10"/>
  <c r="I3531" i="10"/>
  <c r="H3531" i="10"/>
  <c r="J3530" i="10"/>
  <c r="I3530" i="10"/>
  <c r="H3530" i="10"/>
  <c r="J3529" i="10"/>
  <c r="I3529" i="10"/>
  <c r="H3529" i="10"/>
  <c r="J3528" i="10"/>
  <c r="I3528" i="10"/>
  <c r="H3528" i="10"/>
  <c r="J3527" i="10"/>
  <c r="I3527" i="10"/>
  <c r="H3527" i="10"/>
  <c r="J3526" i="10"/>
  <c r="I3526" i="10"/>
  <c r="H3526" i="10"/>
  <c r="J3525" i="10"/>
  <c r="I3525" i="10"/>
  <c r="H3525" i="10"/>
  <c r="J3524" i="10"/>
  <c r="I3524" i="10"/>
  <c r="H3524" i="10"/>
  <c r="J3523" i="10"/>
  <c r="I3523" i="10"/>
  <c r="H3523" i="10"/>
  <c r="J3522" i="10"/>
  <c r="I3522" i="10"/>
  <c r="H3522" i="10"/>
  <c r="J3521" i="10"/>
  <c r="I3521" i="10"/>
  <c r="H3521" i="10"/>
  <c r="J3520" i="10"/>
  <c r="I3520" i="10"/>
  <c r="H3520" i="10"/>
  <c r="J3519" i="10"/>
  <c r="I3519" i="10"/>
  <c r="H3519" i="10"/>
  <c r="J3518" i="10"/>
  <c r="I3518" i="10"/>
  <c r="H3518" i="10"/>
  <c r="J3517" i="10"/>
  <c r="I3517" i="10"/>
  <c r="H3517" i="10"/>
  <c r="J3516" i="10"/>
  <c r="I3516" i="10"/>
  <c r="H3516" i="10"/>
  <c r="J3515" i="10"/>
  <c r="I3515" i="10"/>
  <c r="H3515" i="10"/>
  <c r="J3514" i="10"/>
  <c r="I3514" i="10"/>
  <c r="H3514" i="10"/>
  <c r="J3513" i="10"/>
  <c r="I3513" i="10"/>
  <c r="H3513" i="10"/>
  <c r="J3512" i="10"/>
  <c r="I3512" i="10"/>
  <c r="H3512" i="10"/>
  <c r="J3511" i="10"/>
  <c r="I3511" i="10"/>
  <c r="H3511" i="10"/>
  <c r="J3510" i="10"/>
  <c r="I3510" i="10"/>
  <c r="H3510" i="10"/>
  <c r="J3509" i="10"/>
  <c r="I3509" i="10"/>
  <c r="H3509" i="10"/>
  <c r="J3508" i="10"/>
  <c r="I3508" i="10"/>
  <c r="H3508" i="10"/>
  <c r="J3507" i="10"/>
  <c r="I3507" i="10"/>
  <c r="H3507" i="10"/>
  <c r="J3506" i="10"/>
  <c r="I3506" i="10"/>
  <c r="H3506" i="10"/>
  <c r="J3505" i="10"/>
  <c r="I3505" i="10"/>
  <c r="H3505" i="10"/>
  <c r="J3504" i="10"/>
  <c r="I3504" i="10"/>
  <c r="H3504" i="10"/>
  <c r="J3503" i="10"/>
  <c r="I3503" i="10"/>
  <c r="H3503" i="10"/>
  <c r="J3502" i="10"/>
  <c r="I3502" i="10"/>
  <c r="H3502" i="10"/>
  <c r="J3501" i="10"/>
  <c r="I3501" i="10"/>
  <c r="H3501" i="10"/>
  <c r="J3500" i="10"/>
  <c r="I3500" i="10"/>
  <c r="H3500" i="10"/>
  <c r="J3499" i="10"/>
  <c r="I3499" i="10"/>
  <c r="H3499" i="10"/>
  <c r="J3498" i="10"/>
  <c r="I3498" i="10"/>
  <c r="H3498" i="10"/>
  <c r="J3497" i="10"/>
  <c r="I3497" i="10"/>
  <c r="H3497" i="10"/>
  <c r="J3496" i="10"/>
  <c r="I3496" i="10"/>
  <c r="H3496" i="10"/>
  <c r="J3495" i="10"/>
  <c r="I3495" i="10"/>
  <c r="H3495" i="10"/>
  <c r="J3494" i="10"/>
  <c r="I3494" i="10"/>
  <c r="H3494" i="10"/>
  <c r="J3493" i="10"/>
  <c r="I3493" i="10"/>
  <c r="H3493" i="10"/>
  <c r="J3492" i="10"/>
  <c r="I3492" i="10"/>
  <c r="H3492" i="10"/>
  <c r="J3491" i="10"/>
  <c r="I3491" i="10"/>
  <c r="H3491" i="10"/>
  <c r="J3490" i="10"/>
  <c r="I3490" i="10"/>
  <c r="H3490" i="10"/>
  <c r="J3489" i="10"/>
  <c r="I3489" i="10"/>
  <c r="H3489" i="10"/>
  <c r="J3488" i="10"/>
  <c r="I3488" i="10"/>
  <c r="H3488" i="10"/>
  <c r="J3487" i="10"/>
  <c r="I3487" i="10"/>
  <c r="H3487" i="10"/>
  <c r="J3486" i="10"/>
  <c r="I3486" i="10"/>
  <c r="H3486" i="10"/>
  <c r="J3485" i="10"/>
  <c r="I3485" i="10"/>
  <c r="H3485" i="10"/>
  <c r="J3484" i="10"/>
  <c r="I3484" i="10"/>
  <c r="H3484" i="10"/>
  <c r="J3483" i="10"/>
  <c r="I3483" i="10"/>
  <c r="H3483" i="10"/>
  <c r="J3482" i="10"/>
  <c r="I3482" i="10"/>
  <c r="H3482" i="10"/>
  <c r="J3481" i="10"/>
  <c r="I3481" i="10"/>
  <c r="H3481" i="10"/>
  <c r="J3480" i="10"/>
  <c r="I3480" i="10"/>
  <c r="H3480" i="10"/>
  <c r="J3479" i="10"/>
  <c r="I3479" i="10"/>
  <c r="H3479" i="10"/>
  <c r="J3478" i="10"/>
  <c r="I3478" i="10"/>
  <c r="H3478" i="10"/>
  <c r="J3477" i="10"/>
  <c r="I3477" i="10"/>
  <c r="H3477" i="10"/>
  <c r="J3476" i="10"/>
  <c r="I3476" i="10"/>
  <c r="H3476" i="10"/>
  <c r="J3475" i="10"/>
  <c r="I3475" i="10"/>
  <c r="H3475" i="10"/>
  <c r="J3474" i="10"/>
  <c r="I3474" i="10"/>
  <c r="H3474" i="10"/>
  <c r="J3473" i="10"/>
  <c r="I3473" i="10"/>
  <c r="H3473" i="10"/>
  <c r="J3472" i="10"/>
  <c r="I3472" i="10"/>
  <c r="H3472" i="10"/>
  <c r="J3471" i="10"/>
  <c r="I3471" i="10"/>
  <c r="H3471" i="10"/>
  <c r="J3470" i="10"/>
  <c r="I3470" i="10"/>
  <c r="H3470" i="10"/>
  <c r="J3469" i="10"/>
  <c r="I3469" i="10"/>
  <c r="H3469" i="10"/>
  <c r="J3468" i="10"/>
  <c r="I3468" i="10"/>
  <c r="H3468" i="10"/>
  <c r="J3467" i="10"/>
  <c r="I3467" i="10"/>
  <c r="H3467" i="10"/>
  <c r="J3466" i="10"/>
  <c r="I3466" i="10"/>
  <c r="H3466" i="10"/>
  <c r="J3465" i="10"/>
  <c r="I3465" i="10"/>
  <c r="H3465" i="10"/>
  <c r="J3464" i="10"/>
  <c r="I3464" i="10"/>
  <c r="H3464" i="10"/>
  <c r="J3463" i="10"/>
  <c r="I3463" i="10"/>
  <c r="H3463" i="10"/>
  <c r="J3462" i="10"/>
  <c r="I3462" i="10"/>
  <c r="H3462" i="10"/>
  <c r="J3461" i="10"/>
  <c r="I3461" i="10"/>
  <c r="H3461" i="10"/>
  <c r="J3460" i="10"/>
  <c r="I3460" i="10"/>
  <c r="H3460" i="10"/>
  <c r="J3459" i="10"/>
  <c r="I3459" i="10"/>
  <c r="H3459" i="10"/>
  <c r="J3458" i="10"/>
  <c r="I3458" i="10"/>
  <c r="H3458" i="10"/>
  <c r="J3457" i="10"/>
  <c r="I3457" i="10"/>
  <c r="H3457" i="10"/>
  <c r="J3456" i="10"/>
  <c r="I3456" i="10"/>
  <c r="H3456" i="10"/>
  <c r="J3455" i="10"/>
  <c r="I3455" i="10"/>
  <c r="H3455" i="10"/>
  <c r="J3454" i="10"/>
  <c r="I3454" i="10"/>
  <c r="H3454" i="10"/>
  <c r="J3453" i="10"/>
  <c r="I3453" i="10"/>
  <c r="H3453" i="10"/>
  <c r="J3452" i="10"/>
  <c r="I3452" i="10"/>
  <c r="H3452" i="10"/>
  <c r="J3451" i="10"/>
  <c r="I3451" i="10"/>
  <c r="H3451" i="10"/>
  <c r="J3450" i="10"/>
  <c r="I3450" i="10"/>
  <c r="H3450" i="10"/>
  <c r="J3449" i="10"/>
  <c r="I3449" i="10"/>
  <c r="H3449" i="10"/>
  <c r="J3448" i="10"/>
  <c r="I3448" i="10"/>
  <c r="H3448" i="10"/>
  <c r="J3447" i="10"/>
  <c r="I3447" i="10"/>
  <c r="H3447" i="10"/>
  <c r="J3446" i="10"/>
  <c r="I3446" i="10"/>
  <c r="H3446" i="10"/>
  <c r="J3445" i="10"/>
  <c r="I3445" i="10"/>
  <c r="H3445" i="10"/>
  <c r="J3444" i="10"/>
  <c r="I3444" i="10"/>
  <c r="H3444" i="10"/>
  <c r="J3443" i="10"/>
  <c r="I3443" i="10"/>
  <c r="H3443" i="10"/>
  <c r="J3442" i="10"/>
  <c r="I3442" i="10"/>
  <c r="H3442" i="10"/>
  <c r="J3441" i="10"/>
  <c r="I3441" i="10"/>
  <c r="H3441" i="10"/>
  <c r="J3440" i="10"/>
  <c r="I3440" i="10"/>
  <c r="H3440" i="10"/>
  <c r="J3439" i="10"/>
  <c r="I3439" i="10"/>
  <c r="H3439" i="10"/>
  <c r="J3438" i="10"/>
  <c r="I3438" i="10"/>
  <c r="H3438" i="10"/>
  <c r="J3437" i="10"/>
  <c r="I3437" i="10"/>
  <c r="H3437" i="10"/>
  <c r="J3436" i="10"/>
  <c r="I3436" i="10"/>
  <c r="H3436" i="10"/>
  <c r="J3435" i="10"/>
  <c r="I3435" i="10"/>
  <c r="H3435" i="10"/>
  <c r="J3434" i="10"/>
  <c r="I3434" i="10"/>
  <c r="H3434" i="10"/>
  <c r="J3433" i="10"/>
  <c r="I3433" i="10"/>
  <c r="H3433" i="10"/>
  <c r="J3432" i="10"/>
  <c r="I3432" i="10"/>
  <c r="H3432" i="10"/>
  <c r="J3431" i="10"/>
  <c r="I3431" i="10"/>
  <c r="H3431" i="10"/>
  <c r="J3430" i="10"/>
  <c r="I3430" i="10"/>
  <c r="H3430" i="10"/>
  <c r="J3429" i="10"/>
  <c r="I3429" i="10"/>
  <c r="H3429" i="10"/>
  <c r="J3428" i="10"/>
  <c r="I3428" i="10"/>
  <c r="H3428" i="10"/>
  <c r="J3427" i="10"/>
  <c r="I3427" i="10"/>
  <c r="H3427" i="10"/>
  <c r="J3426" i="10"/>
  <c r="I3426" i="10"/>
  <c r="H3426" i="10"/>
  <c r="J3425" i="10"/>
  <c r="I3425" i="10"/>
  <c r="H3425" i="10"/>
  <c r="J3424" i="10"/>
  <c r="I3424" i="10"/>
  <c r="H3424" i="10"/>
  <c r="J3423" i="10"/>
  <c r="I3423" i="10"/>
  <c r="H3423" i="10"/>
  <c r="J3422" i="10"/>
  <c r="I3422" i="10"/>
  <c r="H3422" i="10"/>
  <c r="J3421" i="10"/>
  <c r="I3421" i="10"/>
  <c r="H3421" i="10"/>
  <c r="J3420" i="10"/>
  <c r="I3420" i="10"/>
  <c r="H3420" i="10"/>
  <c r="J3419" i="10"/>
  <c r="I3419" i="10"/>
  <c r="H3419" i="10"/>
  <c r="J3418" i="10"/>
  <c r="I3418" i="10"/>
  <c r="H3418" i="10"/>
  <c r="J3417" i="10"/>
  <c r="I3417" i="10"/>
  <c r="H3417" i="10"/>
  <c r="J3416" i="10"/>
  <c r="I3416" i="10"/>
  <c r="H3416" i="10"/>
  <c r="J3415" i="10"/>
  <c r="I3415" i="10"/>
  <c r="H3415" i="10"/>
  <c r="J3414" i="10"/>
  <c r="I3414" i="10"/>
  <c r="H3414" i="10"/>
  <c r="J3413" i="10"/>
  <c r="I3413" i="10"/>
  <c r="H3413" i="10"/>
  <c r="J3412" i="10"/>
  <c r="I3412" i="10"/>
  <c r="H3412" i="10"/>
  <c r="J3411" i="10"/>
  <c r="I3411" i="10"/>
  <c r="H3411" i="10"/>
  <c r="J3410" i="10"/>
  <c r="I3410" i="10"/>
  <c r="H3410" i="10"/>
  <c r="J3409" i="10"/>
  <c r="I3409" i="10"/>
  <c r="H3409" i="10"/>
  <c r="J3408" i="10"/>
  <c r="I3408" i="10"/>
  <c r="H3408" i="10"/>
  <c r="J3407" i="10"/>
  <c r="I3407" i="10"/>
  <c r="H3407" i="10"/>
  <c r="J3406" i="10"/>
  <c r="I3406" i="10"/>
  <c r="H3406" i="10"/>
  <c r="J3405" i="10"/>
  <c r="I3405" i="10"/>
  <c r="H3405" i="10"/>
  <c r="J3404" i="10"/>
  <c r="I3404" i="10"/>
  <c r="H3404" i="10"/>
  <c r="J3403" i="10"/>
  <c r="I3403" i="10"/>
  <c r="H3403" i="10"/>
  <c r="J3402" i="10"/>
  <c r="I3402" i="10"/>
  <c r="H3402" i="10"/>
  <c r="J3401" i="10"/>
  <c r="I3401" i="10"/>
  <c r="H3401" i="10"/>
  <c r="J3400" i="10"/>
  <c r="I3400" i="10"/>
  <c r="H3400" i="10"/>
  <c r="J3399" i="10"/>
  <c r="I3399" i="10"/>
  <c r="H3399" i="10"/>
  <c r="J3398" i="10"/>
  <c r="I3398" i="10"/>
  <c r="H3398" i="10"/>
  <c r="J3397" i="10"/>
  <c r="I3397" i="10"/>
  <c r="H3397" i="10"/>
  <c r="J3396" i="10"/>
  <c r="I3396" i="10"/>
  <c r="H3396" i="10"/>
  <c r="J3395" i="10"/>
  <c r="I3395" i="10"/>
  <c r="H3395" i="10"/>
  <c r="J3394" i="10"/>
  <c r="I3394" i="10"/>
  <c r="H3394" i="10"/>
  <c r="J3393" i="10"/>
  <c r="I3393" i="10"/>
  <c r="H3393" i="10"/>
  <c r="J3392" i="10"/>
  <c r="I3392" i="10"/>
  <c r="H3392" i="10"/>
  <c r="J3391" i="10"/>
  <c r="I3391" i="10"/>
  <c r="H3391" i="10"/>
  <c r="J3390" i="10"/>
  <c r="I3390" i="10"/>
  <c r="H3390" i="10"/>
  <c r="J3389" i="10"/>
  <c r="I3389" i="10"/>
  <c r="H3389" i="10"/>
  <c r="J3388" i="10"/>
  <c r="I3388" i="10"/>
  <c r="H3388" i="10"/>
  <c r="J3387" i="10"/>
  <c r="I3387" i="10"/>
  <c r="H3387" i="10"/>
  <c r="J3386" i="10"/>
  <c r="I3386" i="10"/>
  <c r="H3386" i="10"/>
  <c r="J3385" i="10"/>
  <c r="I3385" i="10"/>
  <c r="H3385" i="10"/>
  <c r="J3384" i="10"/>
  <c r="I3384" i="10"/>
  <c r="H3384" i="10"/>
  <c r="J3383" i="10"/>
  <c r="I3383" i="10"/>
  <c r="H3383" i="10"/>
  <c r="J3382" i="10"/>
  <c r="I3382" i="10"/>
  <c r="H3382" i="10"/>
  <c r="J3381" i="10"/>
  <c r="I3381" i="10"/>
  <c r="H3381" i="10"/>
  <c r="J3380" i="10"/>
  <c r="I3380" i="10"/>
  <c r="H3380" i="10"/>
  <c r="J3379" i="10"/>
  <c r="I3379" i="10"/>
  <c r="H3379" i="10"/>
  <c r="J3378" i="10"/>
  <c r="I3378" i="10"/>
  <c r="H3378" i="10"/>
  <c r="J3377" i="10"/>
  <c r="I3377" i="10"/>
  <c r="H3377" i="10"/>
  <c r="J3376" i="10"/>
  <c r="I3376" i="10"/>
  <c r="H3376" i="10"/>
  <c r="J3375" i="10"/>
  <c r="I3375" i="10"/>
  <c r="H3375" i="10"/>
  <c r="J3374" i="10"/>
  <c r="I3374" i="10"/>
  <c r="H3374" i="10"/>
  <c r="J3373" i="10"/>
  <c r="I3373" i="10"/>
  <c r="H3373" i="10"/>
  <c r="J3372" i="10"/>
  <c r="I3372" i="10"/>
  <c r="H3372" i="10"/>
  <c r="J3371" i="10"/>
  <c r="I3371" i="10"/>
  <c r="H3371" i="10"/>
  <c r="J3370" i="10"/>
  <c r="I3370" i="10"/>
  <c r="H3370" i="10"/>
  <c r="J3369" i="10"/>
  <c r="I3369" i="10"/>
  <c r="H3369" i="10"/>
  <c r="J3368" i="10"/>
  <c r="I3368" i="10"/>
  <c r="H3368" i="10"/>
  <c r="J3367" i="10"/>
  <c r="I3367" i="10"/>
  <c r="H3367" i="10"/>
  <c r="J3366" i="10"/>
  <c r="I3366" i="10"/>
  <c r="H3366" i="10"/>
  <c r="J3365" i="10"/>
  <c r="I3365" i="10"/>
  <c r="H3365" i="10"/>
  <c r="J3364" i="10"/>
  <c r="I3364" i="10"/>
  <c r="H3364" i="10"/>
  <c r="J3363" i="10"/>
  <c r="I3363" i="10"/>
  <c r="H3363" i="10"/>
  <c r="J3362" i="10"/>
  <c r="I3362" i="10"/>
  <c r="H3362" i="10"/>
  <c r="J3361" i="10"/>
  <c r="I3361" i="10"/>
  <c r="H3361" i="10"/>
  <c r="J3360" i="10"/>
  <c r="I3360" i="10"/>
  <c r="H3360" i="10"/>
  <c r="J3359" i="10"/>
  <c r="I3359" i="10"/>
  <c r="H3359" i="10"/>
  <c r="J3358" i="10"/>
  <c r="I3358" i="10"/>
  <c r="H3358" i="10"/>
  <c r="J3357" i="10"/>
  <c r="I3357" i="10"/>
  <c r="H3357" i="10"/>
  <c r="J3356" i="10"/>
  <c r="I3356" i="10"/>
  <c r="H3356" i="10"/>
  <c r="J3355" i="10"/>
  <c r="I3355" i="10"/>
  <c r="H3355" i="10"/>
  <c r="J3354" i="10"/>
  <c r="I3354" i="10"/>
  <c r="H3354" i="10"/>
  <c r="J3353" i="10"/>
  <c r="I3353" i="10"/>
  <c r="H3353" i="10"/>
  <c r="J3352" i="10"/>
  <c r="I3352" i="10"/>
  <c r="H3352" i="10"/>
  <c r="J3351" i="10"/>
  <c r="I3351" i="10"/>
  <c r="H3351" i="10"/>
  <c r="J3350" i="10"/>
  <c r="I3350" i="10"/>
  <c r="H3350" i="10"/>
  <c r="J3349" i="10"/>
  <c r="I3349" i="10"/>
  <c r="H3349" i="10"/>
  <c r="J3348" i="10"/>
  <c r="I3348" i="10"/>
  <c r="H3348" i="10"/>
  <c r="J3347" i="10"/>
  <c r="I3347" i="10"/>
  <c r="H3347" i="10"/>
  <c r="J3346" i="10"/>
  <c r="I3346" i="10"/>
  <c r="H3346" i="10"/>
  <c r="J3345" i="10"/>
  <c r="I3345" i="10"/>
  <c r="H3345" i="10"/>
  <c r="J3344" i="10"/>
  <c r="I3344" i="10"/>
  <c r="H3344" i="10"/>
  <c r="J3343" i="10"/>
  <c r="I3343" i="10"/>
  <c r="H3343" i="10"/>
  <c r="J3342" i="10"/>
  <c r="I3342" i="10"/>
  <c r="H3342" i="10"/>
  <c r="J3341" i="10"/>
  <c r="I3341" i="10"/>
  <c r="H3341" i="10"/>
  <c r="J3340" i="10"/>
  <c r="I3340" i="10"/>
  <c r="H3340" i="10"/>
  <c r="J3339" i="10"/>
  <c r="I3339" i="10"/>
  <c r="H3339" i="10"/>
  <c r="J3338" i="10"/>
  <c r="I3338" i="10"/>
  <c r="H3338" i="10"/>
  <c r="J3337" i="10"/>
  <c r="I3337" i="10"/>
  <c r="H3337" i="10"/>
  <c r="J3336" i="10"/>
  <c r="I3336" i="10"/>
  <c r="H3336" i="10"/>
  <c r="J3335" i="10"/>
  <c r="I3335" i="10"/>
  <c r="H3335" i="10"/>
  <c r="J3334" i="10"/>
  <c r="I3334" i="10"/>
  <c r="H3334" i="10"/>
  <c r="J3333" i="10"/>
  <c r="I3333" i="10"/>
  <c r="H3333" i="10"/>
  <c r="J3332" i="10"/>
  <c r="I3332" i="10"/>
  <c r="H3332" i="10"/>
  <c r="J3331" i="10"/>
  <c r="I3331" i="10"/>
  <c r="H3331" i="10"/>
  <c r="J3330" i="10"/>
  <c r="I3330" i="10"/>
  <c r="H3330" i="10"/>
  <c r="J3329" i="10"/>
  <c r="I3329" i="10"/>
  <c r="H3329" i="10"/>
  <c r="J3328" i="10"/>
  <c r="I3328" i="10"/>
  <c r="H3328" i="10"/>
  <c r="J3327" i="10"/>
  <c r="I3327" i="10"/>
  <c r="H3327" i="10"/>
  <c r="J3326" i="10"/>
  <c r="I3326" i="10"/>
  <c r="H3326" i="10"/>
  <c r="J3325" i="10"/>
  <c r="I3325" i="10"/>
  <c r="H3325" i="10"/>
  <c r="J3324" i="10"/>
  <c r="I3324" i="10"/>
  <c r="H3324" i="10"/>
  <c r="J3323" i="10"/>
  <c r="I3323" i="10"/>
  <c r="H3323" i="10"/>
  <c r="J3322" i="10"/>
  <c r="I3322" i="10"/>
  <c r="H3322" i="10"/>
  <c r="J3321" i="10"/>
  <c r="I3321" i="10"/>
  <c r="H3321" i="10"/>
  <c r="J3320" i="10"/>
  <c r="I3320" i="10"/>
  <c r="H3320" i="10"/>
  <c r="J3319" i="10"/>
  <c r="I3319" i="10"/>
  <c r="H3319" i="10"/>
  <c r="J3318" i="10"/>
  <c r="I3318" i="10"/>
  <c r="H3318" i="10"/>
  <c r="J3317" i="10"/>
  <c r="I3317" i="10"/>
  <c r="H3317" i="10"/>
  <c r="J3316" i="10"/>
  <c r="I3316" i="10"/>
  <c r="H3316" i="10"/>
  <c r="J3315" i="10"/>
  <c r="I3315" i="10"/>
  <c r="H3315" i="10"/>
  <c r="J3314" i="10"/>
  <c r="I3314" i="10"/>
  <c r="H3314" i="10"/>
  <c r="J3313" i="10"/>
  <c r="I3313" i="10"/>
  <c r="H3313" i="10"/>
  <c r="J3312" i="10"/>
  <c r="I3312" i="10"/>
  <c r="H3312" i="10"/>
  <c r="J3311" i="10"/>
  <c r="I3311" i="10"/>
  <c r="H3311" i="10"/>
  <c r="J3310" i="10"/>
  <c r="I3310" i="10"/>
  <c r="H3310" i="10"/>
  <c r="J3309" i="10"/>
  <c r="I3309" i="10"/>
  <c r="H3309" i="10"/>
  <c r="J3308" i="10"/>
  <c r="I3308" i="10"/>
  <c r="H3308" i="10"/>
  <c r="J3307" i="10"/>
  <c r="I3307" i="10"/>
  <c r="H3307" i="10"/>
  <c r="J3306" i="10"/>
  <c r="I3306" i="10"/>
  <c r="H3306" i="10"/>
  <c r="J3305" i="10"/>
  <c r="I3305" i="10"/>
  <c r="H3305" i="10"/>
  <c r="J3304" i="10"/>
  <c r="I3304" i="10"/>
  <c r="H3304" i="10"/>
  <c r="J3303" i="10"/>
  <c r="I3303" i="10"/>
  <c r="H3303" i="10"/>
  <c r="J3302" i="10"/>
  <c r="I3302" i="10"/>
  <c r="H3302" i="10"/>
  <c r="J3301" i="10"/>
  <c r="I3301" i="10"/>
  <c r="H3301" i="10"/>
  <c r="J3300" i="10"/>
  <c r="I3300" i="10"/>
  <c r="H3300" i="10"/>
  <c r="J3299" i="10"/>
  <c r="I3299" i="10"/>
  <c r="H3299" i="10"/>
  <c r="J3298" i="10"/>
  <c r="I3298" i="10"/>
  <c r="H3298" i="10"/>
  <c r="J3297" i="10"/>
  <c r="I3297" i="10"/>
  <c r="H3297" i="10"/>
  <c r="J3296" i="10"/>
  <c r="I3296" i="10"/>
  <c r="H3296" i="10"/>
  <c r="J3295" i="10"/>
  <c r="I3295" i="10"/>
  <c r="H3295" i="10"/>
  <c r="J3294" i="10"/>
  <c r="I3294" i="10"/>
  <c r="H3294" i="10"/>
  <c r="J3293" i="10"/>
  <c r="I3293" i="10"/>
  <c r="H3293" i="10"/>
  <c r="J3292" i="10"/>
  <c r="I3292" i="10"/>
  <c r="H3292" i="10"/>
  <c r="J3291" i="10"/>
  <c r="I3291" i="10"/>
  <c r="H3291" i="10"/>
  <c r="J3290" i="10"/>
  <c r="I3290" i="10"/>
  <c r="H3290" i="10"/>
  <c r="J3289" i="10"/>
  <c r="I3289" i="10"/>
  <c r="H3289" i="10"/>
  <c r="J3288" i="10"/>
  <c r="I3288" i="10"/>
  <c r="H3288" i="10"/>
  <c r="J3287" i="10"/>
  <c r="I3287" i="10"/>
  <c r="H3287" i="10"/>
  <c r="J3286" i="10"/>
  <c r="I3286" i="10"/>
  <c r="H3286" i="10"/>
  <c r="J3285" i="10"/>
  <c r="I3285" i="10"/>
  <c r="H3285" i="10"/>
  <c r="J3284" i="10"/>
  <c r="I3284" i="10"/>
  <c r="H3284" i="10"/>
  <c r="J3283" i="10"/>
  <c r="I3283" i="10"/>
  <c r="H3283" i="10"/>
  <c r="J3282" i="10"/>
  <c r="I3282" i="10"/>
  <c r="H3282" i="10"/>
  <c r="J3281" i="10"/>
  <c r="I3281" i="10"/>
  <c r="H3281" i="10"/>
  <c r="J3280" i="10"/>
  <c r="I3280" i="10"/>
  <c r="H3280" i="10"/>
  <c r="J3279" i="10"/>
  <c r="I3279" i="10"/>
  <c r="H3279" i="10"/>
  <c r="J3278" i="10"/>
  <c r="I3278" i="10"/>
  <c r="H3278" i="10"/>
  <c r="J3277" i="10"/>
  <c r="I3277" i="10"/>
  <c r="H3277" i="10"/>
  <c r="J3276" i="10"/>
  <c r="I3276" i="10"/>
  <c r="H3276" i="10"/>
  <c r="J3275" i="10"/>
  <c r="I3275" i="10"/>
  <c r="H3275" i="10"/>
  <c r="J3274" i="10"/>
  <c r="I3274" i="10"/>
  <c r="H3274" i="10"/>
  <c r="J3273" i="10"/>
  <c r="I3273" i="10"/>
  <c r="H3273" i="10"/>
  <c r="J3272" i="10"/>
  <c r="I3272" i="10"/>
  <c r="H3272" i="10"/>
  <c r="J3271" i="10"/>
  <c r="I3271" i="10"/>
  <c r="H3271" i="10"/>
  <c r="J3270" i="10"/>
  <c r="I3270" i="10"/>
  <c r="H3270" i="10"/>
  <c r="J3269" i="10"/>
  <c r="I3269" i="10"/>
  <c r="H3269" i="10"/>
  <c r="J3268" i="10"/>
  <c r="I3268" i="10"/>
  <c r="H3268" i="10"/>
  <c r="J3267" i="10"/>
  <c r="I3267" i="10"/>
  <c r="H3267" i="10"/>
  <c r="J3266" i="10"/>
  <c r="I3266" i="10"/>
  <c r="H3266" i="10"/>
  <c r="J3265" i="10"/>
  <c r="I3265" i="10"/>
  <c r="H3265" i="10"/>
  <c r="J3264" i="10"/>
  <c r="I3264" i="10"/>
  <c r="H3264" i="10"/>
  <c r="J3263" i="10"/>
  <c r="I3263" i="10"/>
  <c r="H3263" i="10"/>
  <c r="J3262" i="10"/>
  <c r="I3262" i="10"/>
  <c r="H3262" i="10"/>
  <c r="J3261" i="10"/>
  <c r="I3261" i="10"/>
  <c r="H3261" i="10"/>
  <c r="J3260" i="10"/>
  <c r="I3260" i="10"/>
  <c r="H3260" i="10"/>
  <c r="J3259" i="10"/>
  <c r="I3259" i="10"/>
  <c r="H3259" i="10"/>
  <c r="J3258" i="10"/>
  <c r="I3258" i="10"/>
  <c r="H3258" i="10"/>
  <c r="J3257" i="10"/>
  <c r="I3257" i="10"/>
  <c r="H3257" i="10"/>
  <c r="J3256" i="10"/>
  <c r="I3256" i="10"/>
  <c r="H3256" i="10"/>
  <c r="J3255" i="10"/>
  <c r="I3255" i="10"/>
  <c r="H3255" i="10"/>
  <c r="J3254" i="10"/>
  <c r="I3254" i="10"/>
  <c r="H3254" i="10"/>
  <c r="J3253" i="10"/>
  <c r="I3253" i="10"/>
  <c r="H3253" i="10"/>
  <c r="J3252" i="10"/>
  <c r="I3252" i="10"/>
  <c r="H3252" i="10"/>
  <c r="J3251" i="10"/>
  <c r="I3251" i="10"/>
  <c r="H3251" i="10"/>
  <c r="J3250" i="10"/>
  <c r="I3250" i="10"/>
  <c r="H3250" i="10"/>
  <c r="J3249" i="10"/>
  <c r="I3249" i="10"/>
  <c r="H3249" i="10"/>
  <c r="J3248" i="10"/>
  <c r="I3248" i="10"/>
  <c r="H3248" i="10"/>
  <c r="J3247" i="10"/>
  <c r="I3247" i="10"/>
  <c r="H3247" i="10"/>
  <c r="J3246" i="10"/>
  <c r="I3246" i="10"/>
  <c r="H3246" i="10"/>
  <c r="J3245" i="10"/>
  <c r="I3245" i="10"/>
  <c r="H3245" i="10"/>
  <c r="J3244" i="10"/>
  <c r="I3244" i="10"/>
  <c r="H3244" i="10"/>
  <c r="J3243" i="10"/>
  <c r="I3243" i="10"/>
  <c r="H3243" i="10"/>
  <c r="J3242" i="10"/>
  <c r="I3242" i="10"/>
  <c r="H3242" i="10"/>
  <c r="J3241" i="10"/>
  <c r="I3241" i="10"/>
  <c r="H3241" i="10"/>
  <c r="J3240" i="10"/>
  <c r="I3240" i="10"/>
  <c r="H3240" i="10"/>
  <c r="J3239" i="10"/>
  <c r="I3239" i="10"/>
  <c r="H3239" i="10"/>
  <c r="J3238" i="10"/>
  <c r="I3238" i="10"/>
  <c r="H3238" i="10"/>
  <c r="J3237" i="10"/>
  <c r="I3237" i="10"/>
  <c r="H3237" i="10"/>
  <c r="J3236" i="10"/>
  <c r="I3236" i="10"/>
  <c r="H3236" i="10"/>
  <c r="J3235" i="10"/>
  <c r="I3235" i="10"/>
  <c r="H3235" i="10"/>
  <c r="J3234" i="10"/>
  <c r="I3234" i="10"/>
  <c r="H3234" i="10"/>
  <c r="J3233" i="10"/>
  <c r="I3233" i="10"/>
  <c r="H3233" i="10"/>
  <c r="J3232" i="10"/>
  <c r="I3232" i="10"/>
  <c r="H3232" i="10"/>
  <c r="J3231" i="10"/>
  <c r="I3231" i="10"/>
  <c r="H3231" i="10"/>
  <c r="J3230" i="10"/>
  <c r="I3230" i="10"/>
  <c r="H3230" i="10"/>
  <c r="J3229" i="10"/>
  <c r="I3229" i="10"/>
  <c r="H3229" i="10"/>
  <c r="J3228" i="10"/>
  <c r="I3228" i="10"/>
  <c r="H3228" i="10"/>
  <c r="J3227" i="10"/>
  <c r="I3227" i="10"/>
  <c r="H3227" i="10"/>
  <c r="J3226" i="10"/>
  <c r="I3226" i="10"/>
  <c r="H3226" i="10"/>
  <c r="J3225" i="10"/>
  <c r="I3225" i="10"/>
  <c r="H3225" i="10"/>
  <c r="J3224" i="10"/>
  <c r="I3224" i="10"/>
  <c r="H3224" i="10"/>
  <c r="J3223" i="10"/>
  <c r="I3223" i="10"/>
  <c r="H3223" i="10"/>
  <c r="J3222" i="10"/>
  <c r="I3222" i="10"/>
  <c r="H3222" i="10"/>
  <c r="J3221" i="10"/>
  <c r="I3221" i="10"/>
  <c r="H3221" i="10"/>
  <c r="J3220" i="10"/>
  <c r="I3220" i="10"/>
  <c r="H3220" i="10"/>
  <c r="J3219" i="10"/>
  <c r="I3219" i="10"/>
  <c r="H3219" i="10"/>
  <c r="J3218" i="10"/>
  <c r="I3218" i="10"/>
  <c r="H3218" i="10"/>
  <c r="J3217" i="10"/>
  <c r="I3217" i="10"/>
  <c r="H3217" i="10"/>
  <c r="J3216" i="10"/>
  <c r="I3216" i="10"/>
  <c r="H3216" i="10"/>
  <c r="J3215" i="10"/>
  <c r="I3215" i="10"/>
  <c r="H3215" i="10"/>
  <c r="J3214" i="10"/>
  <c r="I3214" i="10"/>
  <c r="H3214" i="10"/>
  <c r="J3213" i="10"/>
  <c r="I3213" i="10"/>
  <c r="H3213" i="10"/>
  <c r="J3212" i="10"/>
  <c r="I3212" i="10"/>
  <c r="H3212" i="10"/>
  <c r="J3211" i="10"/>
  <c r="I3211" i="10"/>
  <c r="H3211" i="10"/>
  <c r="J3210" i="10"/>
  <c r="I3210" i="10"/>
  <c r="H3210" i="10"/>
  <c r="J3209" i="10"/>
  <c r="I3209" i="10"/>
  <c r="H3209" i="10"/>
  <c r="J3208" i="10"/>
  <c r="I3208" i="10"/>
  <c r="H3208" i="10"/>
  <c r="J3207" i="10"/>
  <c r="I3207" i="10"/>
  <c r="H3207" i="10"/>
  <c r="J3206" i="10"/>
  <c r="I3206" i="10"/>
  <c r="H3206" i="10"/>
  <c r="J3205" i="10"/>
  <c r="I3205" i="10"/>
  <c r="H3205" i="10"/>
  <c r="J3204" i="10"/>
  <c r="I3204" i="10"/>
  <c r="H3204" i="10"/>
  <c r="J3203" i="10"/>
  <c r="I3203" i="10"/>
  <c r="H3203" i="10"/>
  <c r="J3202" i="10"/>
  <c r="I3202" i="10"/>
  <c r="H3202" i="10"/>
  <c r="J3201" i="10"/>
  <c r="I3201" i="10"/>
  <c r="H3201" i="10"/>
  <c r="J3200" i="10"/>
  <c r="I3200" i="10"/>
  <c r="H3200" i="10"/>
  <c r="J3199" i="10"/>
  <c r="I3199" i="10"/>
  <c r="H3199" i="10"/>
  <c r="J3198" i="10"/>
  <c r="I3198" i="10"/>
  <c r="H3198" i="10"/>
  <c r="J3197" i="10"/>
  <c r="I3197" i="10"/>
  <c r="H3197" i="10"/>
  <c r="J3196" i="10"/>
  <c r="I3196" i="10"/>
  <c r="H3196" i="10"/>
  <c r="J3195" i="10"/>
  <c r="I3195" i="10"/>
  <c r="H3195" i="10"/>
  <c r="J3194" i="10"/>
  <c r="I3194" i="10"/>
  <c r="H3194" i="10"/>
  <c r="J3193" i="10"/>
  <c r="I3193" i="10"/>
  <c r="H3193" i="10"/>
  <c r="J3192" i="10"/>
  <c r="I3192" i="10"/>
  <c r="H3192" i="10"/>
  <c r="J3191" i="10"/>
  <c r="I3191" i="10"/>
  <c r="H3191" i="10"/>
  <c r="J3190" i="10"/>
  <c r="I3190" i="10"/>
  <c r="H3190" i="10"/>
  <c r="J3189" i="10"/>
  <c r="I3189" i="10"/>
  <c r="H3189" i="10"/>
  <c r="J3188" i="10"/>
  <c r="I3188" i="10"/>
  <c r="H3188" i="10"/>
  <c r="J3187" i="10"/>
  <c r="I3187" i="10"/>
  <c r="H3187" i="10"/>
  <c r="J3186" i="10"/>
  <c r="I3186" i="10"/>
  <c r="H3186" i="10"/>
  <c r="J3185" i="10"/>
  <c r="I3185" i="10"/>
  <c r="H3185" i="10"/>
  <c r="J3184" i="10"/>
  <c r="I3184" i="10"/>
  <c r="H3184" i="10"/>
  <c r="J3183" i="10"/>
  <c r="I3183" i="10"/>
  <c r="H3183" i="10"/>
  <c r="J3182" i="10"/>
  <c r="I3182" i="10"/>
  <c r="H3182" i="10"/>
  <c r="J3181" i="10"/>
  <c r="I3181" i="10"/>
  <c r="H3181" i="10"/>
  <c r="J3180" i="10"/>
  <c r="I3180" i="10"/>
  <c r="H3180" i="10"/>
  <c r="J3179" i="10"/>
  <c r="I3179" i="10"/>
  <c r="H3179" i="10"/>
  <c r="J3178" i="10"/>
  <c r="I3178" i="10"/>
  <c r="H3178" i="10"/>
  <c r="J3177" i="10"/>
  <c r="I3177" i="10"/>
  <c r="H3177" i="10"/>
  <c r="J3176" i="10"/>
  <c r="I3176" i="10"/>
  <c r="H3176" i="10"/>
  <c r="J3175" i="10"/>
  <c r="I3175" i="10"/>
  <c r="H3175" i="10"/>
  <c r="J3174" i="10"/>
  <c r="I3174" i="10"/>
  <c r="H3174" i="10"/>
  <c r="J3173" i="10"/>
  <c r="I3173" i="10"/>
  <c r="H3173" i="10"/>
  <c r="J3172" i="10"/>
  <c r="I3172" i="10"/>
  <c r="H3172" i="10"/>
  <c r="J3171" i="10"/>
  <c r="I3171" i="10"/>
  <c r="H3171" i="10"/>
  <c r="J3170" i="10"/>
  <c r="I3170" i="10"/>
  <c r="H3170" i="10"/>
  <c r="J3169" i="10"/>
  <c r="I3169" i="10"/>
  <c r="H3169" i="10"/>
  <c r="J3168" i="10"/>
  <c r="I3168" i="10"/>
  <c r="H3168" i="10"/>
  <c r="J3167" i="10"/>
  <c r="I3167" i="10"/>
  <c r="H3167" i="10"/>
  <c r="J3166" i="10"/>
  <c r="I3166" i="10"/>
  <c r="H3166" i="10"/>
  <c r="J3165" i="10"/>
  <c r="I3165" i="10"/>
  <c r="H3165" i="10"/>
  <c r="J3164" i="10"/>
  <c r="I3164" i="10"/>
  <c r="H3164" i="10"/>
  <c r="J3163" i="10"/>
  <c r="I3163" i="10"/>
  <c r="H3163" i="10"/>
  <c r="J3162" i="10"/>
  <c r="I3162" i="10"/>
  <c r="H3162" i="10"/>
  <c r="J3161" i="10"/>
  <c r="I3161" i="10"/>
  <c r="H3161" i="10"/>
  <c r="J3160" i="10"/>
  <c r="I3160" i="10"/>
  <c r="H3160" i="10"/>
  <c r="J3159" i="10"/>
  <c r="I3159" i="10"/>
  <c r="H3159" i="10"/>
  <c r="J3158" i="10"/>
  <c r="I3158" i="10"/>
  <c r="H3158" i="10"/>
  <c r="J3157" i="10"/>
  <c r="I3157" i="10"/>
  <c r="H3157" i="10"/>
  <c r="J3156" i="10"/>
  <c r="I3156" i="10"/>
  <c r="H3156" i="10"/>
  <c r="J3155" i="10"/>
  <c r="I3155" i="10"/>
  <c r="H3155" i="10"/>
  <c r="J3154" i="10"/>
  <c r="I3154" i="10"/>
  <c r="H3154" i="10"/>
  <c r="J3153" i="10"/>
  <c r="I3153" i="10"/>
  <c r="H3153" i="10"/>
  <c r="J3152" i="10"/>
  <c r="I3152" i="10"/>
  <c r="H3152" i="10"/>
  <c r="J3151" i="10"/>
  <c r="I3151" i="10"/>
  <c r="H3151" i="10"/>
  <c r="J3150" i="10"/>
  <c r="I3150" i="10"/>
  <c r="H3150" i="10"/>
  <c r="J3149" i="10"/>
  <c r="I3149" i="10"/>
  <c r="H3149" i="10"/>
  <c r="J3148" i="10"/>
  <c r="I3148" i="10"/>
  <c r="H3148" i="10"/>
  <c r="J3147" i="10"/>
  <c r="I3147" i="10"/>
  <c r="H3147" i="10"/>
  <c r="J3146" i="10"/>
  <c r="I3146" i="10"/>
  <c r="H3146" i="10"/>
  <c r="J3145" i="10"/>
  <c r="I3145" i="10"/>
  <c r="H3145" i="10"/>
  <c r="J3144" i="10"/>
  <c r="I3144" i="10"/>
  <c r="H3144" i="10"/>
  <c r="J3143" i="10"/>
  <c r="I3143" i="10"/>
  <c r="H3143" i="10"/>
  <c r="J3142" i="10"/>
  <c r="I3142" i="10"/>
  <c r="H3142" i="10"/>
  <c r="J3141" i="10"/>
  <c r="I3141" i="10"/>
  <c r="H3141" i="10"/>
  <c r="J3140" i="10"/>
  <c r="I3140" i="10"/>
  <c r="H3140" i="10"/>
  <c r="J3139" i="10"/>
  <c r="I3139" i="10"/>
  <c r="H3139" i="10"/>
  <c r="J3138" i="10"/>
  <c r="I3138" i="10"/>
  <c r="H3138" i="10"/>
  <c r="J3137" i="10"/>
  <c r="I3137" i="10"/>
  <c r="H3137" i="10"/>
  <c r="J3136" i="10"/>
  <c r="I3136" i="10"/>
  <c r="H3136" i="10"/>
  <c r="J3135" i="10"/>
  <c r="I3135" i="10"/>
  <c r="H3135" i="10"/>
  <c r="J3134" i="10"/>
  <c r="I3134" i="10"/>
  <c r="H3134" i="10"/>
  <c r="J3133" i="10"/>
  <c r="I3133" i="10"/>
  <c r="H3133" i="10"/>
  <c r="J3132" i="10"/>
  <c r="I3132" i="10"/>
  <c r="H3132" i="10"/>
  <c r="J3131" i="10"/>
  <c r="I3131" i="10"/>
  <c r="H3131" i="10"/>
  <c r="J3130" i="10"/>
  <c r="I3130" i="10"/>
  <c r="H3130" i="10"/>
  <c r="J3129" i="10"/>
  <c r="I3129" i="10"/>
  <c r="H3129" i="10"/>
  <c r="J3128" i="10"/>
  <c r="I3128" i="10"/>
  <c r="H3128" i="10"/>
  <c r="J3127" i="10"/>
  <c r="I3127" i="10"/>
  <c r="H3127" i="10"/>
  <c r="J3126" i="10"/>
  <c r="I3126" i="10"/>
  <c r="H3126" i="10"/>
  <c r="J3125" i="10"/>
  <c r="I3125" i="10"/>
  <c r="H3125" i="10"/>
  <c r="J3124" i="10"/>
  <c r="I3124" i="10"/>
  <c r="H3124" i="10"/>
  <c r="J3123" i="10"/>
  <c r="I3123" i="10"/>
  <c r="H3123" i="10"/>
  <c r="J3122" i="10"/>
  <c r="I3122" i="10"/>
  <c r="H3122" i="10"/>
  <c r="J3121" i="10"/>
  <c r="I3121" i="10"/>
  <c r="H3121" i="10"/>
  <c r="J3120" i="10"/>
  <c r="I3120" i="10"/>
  <c r="H3120" i="10"/>
  <c r="J3119" i="10"/>
  <c r="I3119" i="10"/>
  <c r="H3119" i="10"/>
  <c r="J3118" i="10"/>
  <c r="I3118" i="10"/>
  <c r="H3118" i="10"/>
  <c r="J3117" i="10"/>
  <c r="I3117" i="10"/>
  <c r="H3117" i="10"/>
  <c r="J3116" i="10"/>
  <c r="I3116" i="10"/>
  <c r="H3116" i="10"/>
  <c r="J3115" i="10"/>
  <c r="I3115" i="10"/>
  <c r="H3115" i="10"/>
  <c r="J3114" i="10"/>
  <c r="I3114" i="10"/>
  <c r="H3114" i="10"/>
  <c r="J3113" i="10"/>
  <c r="I3113" i="10"/>
  <c r="H3113" i="10"/>
  <c r="J3112" i="10"/>
  <c r="I3112" i="10"/>
  <c r="H3112" i="10"/>
  <c r="J3111" i="10"/>
  <c r="I3111" i="10"/>
  <c r="H3111" i="10"/>
  <c r="J3110" i="10"/>
  <c r="I3110" i="10"/>
  <c r="H3110" i="10"/>
  <c r="J3109" i="10"/>
  <c r="I3109" i="10"/>
  <c r="H3109" i="10"/>
  <c r="J3108" i="10"/>
  <c r="I3108" i="10"/>
  <c r="H3108" i="10"/>
  <c r="J3107" i="10"/>
  <c r="I3107" i="10"/>
  <c r="H3107" i="10"/>
  <c r="J3106" i="10"/>
  <c r="I3106" i="10"/>
  <c r="H3106" i="10"/>
  <c r="J3105" i="10"/>
  <c r="I3105" i="10"/>
  <c r="H3105" i="10"/>
  <c r="J3104" i="10"/>
  <c r="I3104" i="10"/>
  <c r="H3104" i="10"/>
  <c r="J3103" i="10"/>
  <c r="I3103" i="10"/>
  <c r="H3103" i="10"/>
  <c r="J3102" i="10"/>
  <c r="I3102" i="10"/>
  <c r="H3102" i="10"/>
  <c r="J3101" i="10"/>
  <c r="I3101" i="10"/>
  <c r="H3101" i="10"/>
  <c r="J3100" i="10"/>
  <c r="I3100" i="10"/>
  <c r="H3100" i="10"/>
  <c r="J3099" i="10"/>
  <c r="I3099" i="10"/>
  <c r="H3099" i="10"/>
  <c r="J3098" i="10"/>
  <c r="I3098" i="10"/>
  <c r="H3098" i="10"/>
  <c r="J3097" i="10"/>
  <c r="I3097" i="10"/>
  <c r="H3097" i="10"/>
  <c r="J3096" i="10"/>
  <c r="I3096" i="10"/>
  <c r="H3096" i="10"/>
  <c r="J3095" i="10"/>
  <c r="I3095" i="10"/>
  <c r="H3095" i="10"/>
  <c r="J3094" i="10"/>
  <c r="I3094" i="10"/>
  <c r="H3094" i="10"/>
  <c r="J3093" i="10"/>
  <c r="I3093" i="10"/>
  <c r="H3093" i="10"/>
  <c r="J3092" i="10"/>
  <c r="I3092" i="10"/>
  <c r="H3092" i="10"/>
  <c r="J3091" i="10"/>
  <c r="I3091" i="10"/>
  <c r="H3091" i="10"/>
  <c r="J3090" i="10"/>
  <c r="I3090" i="10"/>
  <c r="H3090" i="10"/>
  <c r="J3089" i="10"/>
  <c r="I3089" i="10"/>
  <c r="H3089" i="10"/>
  <c r="J3088" i="10"/>
  <c r="I3088" i="10"/>
  <c r="H3088" i="10"/>
  <c r="J3087" i="10"/>
  <c r="I3087" i="10"/>
  <c r="H3087" i="10"/>
  <c r="J3086" i="10"/>
  <c r="I3086" i="10"/>
  <c r="H3086" i="10"/>
  <c r="J3085" i="10"/>
  <c r="I3085" i="10"/>
  <c r="H3085" i="10"/>
  <c r="J3084" i="10"/>
  <c r="I3084" i="10"/>
  <c r="H3084" i="10"/>
  <c r="J3083" i="10"/>
  <c r="I3083" i="10"/>
  <c r="H3083" i="10"/>
  <c r="J3082" i="10"/>
  <c r="I3082" i="10"/>
  <c r="H3082" i="10"/>
  <c r="J3081" i="10"/>
  <c r="I3081" i="10"/>
  <c r="H3081" i="10"/>
  <c r="J3080" i="10"/>
  <c r="I3080" i="10"/>
  <c r="H3080" i="10"/>
  <c r="J3079" i="10"/>
  <c r="I3079" i="10"/>
  <c r="H3079" i="10"/>
  <c r="J3078" i="10"/>
  <c r="I3078" i="10"/>
  <c r="H3078" i="10"/>
  <c r="J3077" i="10"/>
  <c r="I3077" i="10"/>
  <c r="H3077" i="10"/>
  <c r="J3076" i="10"/>
  <c r="I3076" i="10"/>
  <c r="H3076" i="10"/>
  <c r="J3075" i="10"/>
  <c r="I3075" i="10"/>
  <c r="H3075" i="10"/>
  <c r="J3074" i="10"/>
  <c r="I3074" i="10"/>
  <c r="H3074" i="10"/>
  <c r="J3073" i="10"/>
  <c r="I3073" i="10"/>
  <c r="H3073" i="10"/>
  <c r="J3072" i="10"/>
  <c r="I3072" i="10"/>
  <c r="H3072" i="10"/>
  <c r="J3071" i="10"/>
  <c r="I3071" i="10"/>
  <c r="H3071" i="10"/>
  <c r="J3070" i="10"/>
  <c r="I3070" i="10"/>
  <c r="H3070" i="10"/>
  <c r="J3069" i="10"/>
  <c r="I3069" i="10"/>
  <c r="H3069" i="10"/>
  <c r="J3068" i="10"/>
  <c r="I3068" i="10"/>
  <c r="H3068" i="10"/>
  <c r="J3067" i="10"/>
  <c r="I3067" i="10"/>
  <c r="H3067" i="10"/>
  <c r="J3066" i="10"/>
  <c r="I3066" i="10"/>
  <c r="H3066" i="10"/>
  <c r="J3065" i="10"/>
  <c r="I3065" i="10"/>
  <c r="H3065" i="10"/>
  <c r="J3064" i="10"/>
  <c r="I3064" i="10"/>
  <c r="H3064" i="10"/>
  <c r="J3063" i="10"/>
  <c r="I3063" i="10"/>
  <c r="H3063" i="10"/>
  <c r="J3062" i="10"/>
  <c r="I3062" i="10"/>
  <c r="H3062" i="10"/>
  <c r="J3061" i="10"/>
  <c r="I3061" i="10"/>
  <c r="H3061" i="10"/>
  <c r="J3060" i="10"/>
  <c r="I3060" i="10"/>
  <c r="H3060" i="10"/>
  <c r="J3059" i="10"/>
  <c r="I3059" i="10"/>
  <c r="H3059" i="10"/>
  <c r="J3058" i="10"/>
  <c r="I3058" i="10"/>
  <c r="H3058" i="10"/>
  <c r="J3057" i="10"/>
  <c r="I3057" i="10"/>
  <c r="H3057" i="10"/>
  <c r="J3056" i="10"/>
  <c r="I3056" i="10"/>
  <c r="H3056" i="10"/>
  <c r="J3055" i="10"/>
  <c r="I3055" i="10"/>
  <c r="H3055" i="10"/>
  <c r="J3054" i="10"/>
  <c r="I3054" i="10"/>
  <c r="H3054" i="10"/>
  <c r="J3053" i="10"/>
  <c r="I3053" i="10"/>
  <c r="H3053" i="10"/>
  <c r="J3052" i="10"/>
  <c r="I3052" i="10"/>
  <c r="H3052" i="10"/>
  <c r="J3051" i="10"/>
  <c r="I3051" i="10"/>
  <c r="H3051" i="10"/>
  <c r="J3050" i="10"/>
  <c r="I3050" i="10"/>
  <c r="H3050" i="10"/>
  <c r="J3049" i="10"/>
  <c r="I3049" i="10"/>
  <c r="H3049" i="10"/>
  <c r="J3048" i="10"/>
  <c r="I3048" i="10"/>
  <c r="H3048" i="10"/>
  <c r="J3047" i="10"/>
  <c r="I3047" i="10"/>
  <c r="H3047" i="10"/>
  <c r="J3046" i="10"/>
  <c r="I3046" i="10"/>
  <c r="H3046" i="10"/>
  <c r="J3045" i="10"/>
  <c r="I3045" i="10"/>
  <c r="H3045" i="10"/>
  <c r="J3044" i="10"/>
  <c r="I3044" i="10"/>
  <c r="H3044" i="10"/>
  <c r="J3043" i="10"/>
  <c r="I3043" i="10"/>
  <c r="H3043" i="10"/>
  <c r="J3042" i="10"/>
  <c r="I3042" i="10"/>
  <c r="H3042" i="10"/>
  <c r="J3041" i="10"/>
  <c r="I3041" i="10"/>
  <c r="H3041" i="10"/>
  <c r="J3040" i="10"/>
  <c r="I3040" i="10"/>
  <c r="H3040" i="10"/>
  <c r="J3039" i="10"/>
  <c r="I3039" i="10"/>
  <c r="H3039" i="10"/>
  <c r="J3038" i="10"/>
  <c r="I3038" i="10"/>
  <c r="H3038" i="10"/>
  <c r="J3037" i="10"/>
  <c r="I3037" i="10"/>
  <c r="H3037" i="10"/>
  <c r="J3036" i="10"/>
  <c r="I3036" i="10"/>
  <c r="H3036" i="10"/>
  <c r="J3035" i="10"/>
  <c r="I3035" i="10"/>
  <c r="H3035" i="10"/>
  <c r="J3034" i="10"/>
  <c r="I3034" i="10"/>
  <c r="H3034" i="10"/>
  <c r="J3033" i="10"/>
  <c r="I3033" i="10"/>
  <c r="H3033" i="10"/>
  <c r="J3032" i="10"/>
  <c r="I3032" i="10"/>
  <c r="H3032" i="10"/>
  <c r="J3031" i="10"/>
  <c r="I3031" i="10"/>
  <c r="H3031" i="10"/>
  <c r="J3030" i="10"/>
  <c r="I3030" i="10"/>
  <c r="H3030" i="10"/>
  <c r="J3029" i="10"/>
  <c r="I3029" i="10"/>
  <c r="H3029" i="10"/>
  <c r="J3028" i="10"/>
  <c r="I3028" i="10"/>
  <c r="H3028" i="10"/>
  <c r="J3027" i="10"/>
  <c r="I3027" i="10"/>
  <c r="H3027" i="10"/>
  <c r="J3026" i="10"/>
  <c r="I3026" i="10"/>
  <c r="H3026" i="10"/>
  <c r="J3025" i="10"/>
  <c r="I3025" i="10"/>
  <c r="H3025" i="10"/>
  <c r="J3024" i="10"/>
  <c r="I3024" i="10"/>
  <c r="H3024" i="10"/>
  <c r="J3023" i="10"/>
  <c r="I3023" i="10"/>
  <c r="H3023" i="10"/>
  <c r="J3022" i="10"/>
  <c r="I3022" i="10"/>
  <c r="H3022" i="10"/>
  <c r="J3021" i="10"/>
  <c r="I3021" i="10"/>
  <c r="H3021" i="10"/>
  <c r="J3020" i="10"/>
  <c r="I3020" i="10"/>
  <c r="H3020" i="10"/>
  <c r="J3019" i="10"/>
  <c r="I3019" i="10"/>
  <c r="H3019" i="10"/>
  <c r="J3018" i="10"/>
  <c r="I3018" i="10"/>
  <c r="H3018" i="10"/>
  <c r="J3017" i="10"/>
  <c r="I3017" i="10"/>
  <c r="H3017" i="10"/>
  <c r="J3016" i="10"/>
  <c r="I3016" i="10"/>
  <c r="H3016" i="10"/>
  <c r="J3015" i="10"/>
  <c r="I3015" i="10"/>
  <c r="H3015" i="10"/>
  <c r="J3014" i="10"/>
  <c r="I3014" i="10"/>
  <c r="H3014" i="10"/>
  <c r="J3013" i="10"/>
  <c r="I3013" i="10"/>
  <c r="H3013" i="10"/>
  <c r="J3012" i="10"/>
  <c r="I3012" i="10"/>
  <c r="H3012" i="10"/>
  <c r="J3011" i="10"/>
  <c r="I3011" i="10"/>
  <c r="H3011" i="10"/>
  <c r="J3010" i="10"/>
  <c r="I3010" i="10"/>
  <c r="H3010" i="10"/>
  <c r="J3009" i="10"/>
  <c r="I3009" i="10"/>
  <c r="H3009" i="10"/>
  <c r="J3008" i="10"/>
  <c r="I3008" i="10"/>
  <c r="H3008" i="10"/>
  <c r="J3007" i="10"/>
  <c r="I3007" i="10"/>
  <c r="H3007" i="10"/>
  <c r="J3006" i="10"/>
  <c r="I3006" i="10"/>
  <c r="H3006" i="10"/>
  <c r="J3005" i="10"/>
  <c r="I3005" i="10"/>
  <c r="H3005" i="10"/>
  <c r="J3004" i="10"/>
  <c r="I3004" i="10"/>
  <c r="H3004" i="10"/>
  <c r="J3003" i="10"/>
  <c r="I3003" i="10"/>
  <c r="H3003" i="10"/>
  <c r="J3002" i="10"/>
  <c r="I3002" i="10"/>
  <c r="H3002" i="10"/>
  <c r="J3001" i="10"/>
  <c r="I3001" i="10"/>
  <c r="H3001" i="10"/>
  <c r="J3000" i="10"/>
  <c r="I3000" i="10"/>
  <c r="H3000" i="10"/>
  <c r="J2999" i="10"/>
  <c r="I2999" i="10"/>
  <c r="H2999" i="10"/>
  <c r="J2998" i="10"/>
  <c r="I2998" i="10"/>
  <c r="H2998" i="10"/>
  <c r="J2997" i="10"/>
  <c r="I2997" i="10"/>
  <c r="H2997" i="10"/>
  <c r="J2996" i="10"/>
  <c r="I2996" i="10"/>
  <c r="H2996" i="10"/>
  <c r="J2995" i="10"/>
  <c r="I2995" i="10"/>
  <c r="H2995" i="10"/>
  <c r="J2994" i="10"/>
  <c r="I2994" i="10"/>
  <c r="H2994" i="10"/>
  <c r="J2993" i="10"/>
  <c r="I2993" i="10"/>
  <c r="H2993" i="10"/>
  <c r="J2992" i="10"/>
  <c r="I2992" i="10"/>
  <c r="H2992" i="10"/>
  <c r="J2991" i="10"/>
  <c r="I2991" i="10"/>
  <c r="H2991" i="10"/>
  <c r="J2990" i="10"/>
  <c r="I2990" i="10"/>
  <c r="H2990" i="10"/>
  <c r="J2989" i="10"/>
  <c r="I2989" i="10"/>
  <c r="H2989" i="10"/>
  <c r="J2988" i="10"/>
  <c r="I2988" i="10"/>
  <c r="H2988" i="10"/>
  <c r="J2987" i="10"/>
  <c r="I2987" i="10"/>
  <c r="H2987" i="10"/>
  <c r="J2986" i="10"/>
  <c r="I2986" i="10"/>
  <c r="H2986" i="10"/>
  <c r="J2985" i="10"/>
  <c r="I2985" i="10"/>
  <c r="H2985" i="10"/>
  <c r="J2984" i="10"/>
  <c r="I2984" i="10"/>
  <c r="H2984" i="10"/>
  <c r="J2983" i="10"/>
  <c r="I2983" i="10"/>
  <c r="H2983" i="10"/>
  <c r="J2982" i="10"/>
  <c r="I2982" i="10"/>
  <c r="H2982" i="10"/>
  <c r="J2981" i="10"/>
  <c r="I2981" i="10"/>
  <c r="H2981" i="10"/>
  <c r="J2980" i="10"/>
  <c r="I2980" i="10"/>
  <c r="H2980" i="10"/>
  <c r="J2979" i="10"/>
  <c r="I2979" i="10"/>
  <c r="H2979" i="10"/>
  <c r="J2978" i="10"/>
  <c r="I2978" i="10"/>
  <c r="H2978" i="10"/>
  <c r="J2977" i="10"/>
  <c r="I2977" i="10"/>
  <c r="H2977" i="10"/>
  <c r="J2976" i="10"/>
  <c r="I2976" i="10"/>
  <c r="H2976" i="10"/>
  <c r="J2975" i="10"/>
  <c r="I2975" i="10"/>
  <c r="H2975" i="10"/>
  <c r="J2974" i="10"/>
  <c r="I2974" i="10"/>
  <c r="H2974" i="10"/>
  <c r="J2973" i="10"/>
  <c r="I2973" i="10"/>
  <c r="H2973" i="10"/>
  <c r="J2972" i="10"/>
  <c r="I2972" i="10"/>
  <c r="H2972" i="10"/>
  <c r="J2971" i="10"/>
  <c r="I2971" i="10"/>
  <c r="H2971" i="10"/>
  <c r="J2970" i="10"/>
  <c r="I2970" i="10"/>
  <c r="H2970" i="10"/>
  <c r="J2969" i="10"/>
  <c r="I2969" i="10"/>
  <c r="H2969" i="10"/>
  <c r="J2968" i="10"/>
  <c r="I2968" i="10"/>
  <c r="H2968" i="10"/>
  <c r="J2967" i="10"/>
  <c r="I2967" i="10"/>
  <c r="H2967" i="10"/>
  <c r="J2966" i="10"/>
  <c r="I2966" i="10"/>
  <c r="H2966" i="10"/>
  <c r="J2965" i="10"/>
  <c r="I2965" i="10"/>
  <c r="H2965" i="10"/>
  <c r="J2964" i="10"/>
  <c r="I2964" i="10"/>
  <c r="H2964" i="10"/>
  <c r="J2963" i="10"/>
  <c r="I2963" i="10"/>
  <c r="H2963" i="10"/>
  <c r="J2962" i="10"/>
  <c r="I2962" i="10"/>
  <c r="H2962" i="10"/>
  <c r="J2961" i="10"/>
  <c r="I2961" i="10"/>
  <c r="H2961" i="10"/>
  <c r="J2960" i="10"/>
  <c r="I2960" i="10"/>
  <c r="H2960" i="10"/>
  <c r="J2959" i="10"/>
  <c r="I2959" i="10"/>
  <c r="H2959" i="10"/>
  <c r="J2958" i="10"/>
  <c r="I2958" i="10"/>
  <c r="H2958" i="10"/>
  <c r="J2957" i="10"/>
  <c r="I2957" i="10"/>
  <c r="H2957" i="10"/>
  <c r="J2956" i="10"/>
  <c r="I2956" i="10"/>
  <c r="H2956" i="10"/>
  <c r="J2955" i="10"/>
  <c r="I2955" i="10"/>
  <c r="H2955" i="10"/>
  <c r="J2954" i="10"/>
  <c r="I2954" i="10"/>
  <c r="H2954" i="10"/>
  <c r="J2953" i="10"/>
  <c r="I2953" i="10"/>
  <c r="H2953" i="10"/>
  <c r="J2952" i="10"/>
  <c r="I2952" i="10"/>
  <c r="H2952" i="10"/>
  <c r="J2951" i="10"/>
  <c r="I2951" i="10"/>
  <c r="H2951" i="10"/>
  <c r="J2950" i="10"/>
  <c r="I2950" i="10"/>
  <c r="H2950" i="10"/>
  <c r="J2949" i="10"/>
  <c r="I2949" i="10"/>
  <c r="H2949" i="10"/>
  <c r="J2948" i="10"/>
  <c r="I2948" i="10"/>
  <c r="H2948" i="10"/>
  <c r="J2947" i="10"/>
  <c r="I2947" i="10"/>
  <c r="H2947" i="10"/>
  <c r="J2946" i="10"/>
  <c r="I2946" i="10"/>
  <c r="H2946" i="10"/>
  <c r="J2945" i="10"/>
  <c r="I2945" i="10"/>
  <c r="H2945" i="10"/>
  <c r="J2944" i="10"/>
  <c r="I2944" i="10"/>
  <c r="H2944" i="10"/>
  <c r="J2943" i="10"/>
  <c r="I2943" i="10"/>
  <c r="H2943" i="10"/>
  <c r="J2942" i="10"/>
  <c r="I2942" i="10"/>
  <c r="H2942" i="10"/>
  <c r="J2941" i="10"/>
  <c r="I2941" i="10"/>
  <c r="H2941" i="10"/>
  <c r="J2940" i="10"/>
  <c r="I2940" i="10"/>
  <c r="H2940" i="10"/>
  <c r="J2939" i="10"/>
  <c r="I2939" i="10"/>
  <c r="H2939" i="10"/>
  <c r="J2938" i="10"/>
  <c r="I2938" i="10"/>
  <c r="H2938" i="10"/>
  <c r="J2937" i="10"/>
  <c r="I2937" i="10"/>
  <c r="H2937" i="10"/>
  <c r="J2936" i="10"/>
  <c r="I2936" i="10"/>
  <c r="H2936" i="10"/>
  <c r="J2935" i="10"/>
  <c r="I2935" i="10"/>
  <c r="H2935" i="10"/>
  <c r="J2934" i="10"/>
  <c r="I2934" i="10"/>
  <c r="H2934" i="10"/>
  <c r="J2933" i="10"/>
  <c r="I2933" i="10"/>
  <c r="H2933" i="10"/>
  <c r="J2932" i="10"/>
  <c r="I2932" i="10"/>
  <c r="H2932" i="10"/>
  <c r="J2931" i="10"/>
  <c r="I2931" i="10"/>
  <c r="H2931" i="10"/>
  <c r="J2930" i="10"/>
  <c r="I2930" i="10"/>
  <c r="H2930" i="10"/>
  <c r="J2929" i="10"/>
  <c r="I2929" i="10"/>
  <c r="H2929" i="10"/>
  <c r="J2928" i="10"/>
  <c r="I2928" i="10"/>
  <c r="H2928" i="10"/>
  <c r="J2927" i="10"/>
  <c r="I2927" i="10"/>
  <c r="H2927" i="10"/>
  <c r="J2926" i="10"/>
  <c r="I2926" i="10"/>
  <c r="H2926" i="10"/>
  <c r="J2925" i="10"/>
  <c r="I2925" i="10"/>
  <c r="H2925" i="10"/>
  <c r="J2924" i="10"/>
  <c r="I2924" i="10"/>
  <c r="H2924" i="10"/>
  <c r="J2923" i="10"/>
  <c r="I2923" i="10"/>
  <c r="H2923" i="10"/>
  <c r="J2922" i="10"/>
  <c r="I2922" i="10"/>
  <c r="H2922" i="10"/>
  <c r="J2921" i="10"/>
  <c r="I2921" i="10"/>
  <c r="H2921" i="10"/>
  <c r="J2920" i="10"/>
  <c r="I2920" i="10"/>
  <c r="H2920" i="10"/>
  <c r="J2919" i="10"/>
  <c r="I2919" i="10"/>
  <c r="H2919" i="10"/>
  <c r="J2918" i="10"/>
  <c r="I2918" i="10"/>
  <c r="H2918" i="10"/>
  <c r="J2917" i="10"/>
  <c r="I2917" i="10"/>
  <c r="H2917" i="10"/>
  <c r="J2916" i="10"/>
  <c r="I2916" i="10"/>
  <c r="H2916" i="10"/>
  <c r="J2915" i="10"/>
  <c r="I2915" i="10"/>
  <c r="H2915" i="10"/>
  <c r="J2914" i="10"/>
  <c r="I2914" i="10"/>
  <c r="H2914" i="10"/>
  <c r="J2913" i="10"/>
  <c r="I2913" i="10"/>
  <c r="H2913" i="10"/>
  <c r="J2912" i="10"/>
  <c r="I2912" i="10"/>
  <c r="H2912" i="10"/>
  <c r="J2911" i="10"/>
  <c r="I2911" i="10"/>
  <c r="H2911" i="10"/>
  <c r="J2910" i="10"/>
  <c r="I2910" i="10"/>
  <c r="H2910" i="10"/>
  <c r="J2909" i="10"/>
  <c r="I2909" i="10"/>
  <c r="H2909" i="10"/>
  <c r="J2908" i="10"/>
  <c r="I2908" i="10"/>
  <c r="H2908" i="10"/>
  <c r="J2907" i="10"/>
  <c r="I2907" i="10"/>
  <c r="H2907" i="10"/>
  <c r="J2906" i="10"/>
  <c r="I2906" i="10"/>
  <c r="H2906" i="10"/>
  <c r="J2905" i="10"/>
  <c r="I2905" i="10"/>
  <c r="H2905" i="10"/>
  <c r="J2904" i="10"/>
  <c r="I2904" i="10"/>
  <c r="H2904" i="10"/>
  <c r="J2903" i="10"/>
  <c r="I2903" i="10"/>
  <c r="H2903" i="10"/>
  <c r="J2902" i="10"/>
  <c r="I2902" i="10"/>
  <c r="H2902" i="10"/>
  <c r="J2901" i="10"/>
  <c r="I2901" i="10"/>
  <c r="H2901" i="10"/>
  <c r="J2900" i="10"/>
  <c r="I2900" i="10"/>
  <c r="H2900" i="10"/>
  <c r="J2899" i="10"/>
  <c r="I2899" i="10"/>
  <c r="H2899" i="10"/>
  <c r="J2898" i="10"/>
  <c r="I2898" i="10"/>
  <c r="H2898" i="10"/>
  <c r="J2897" i="10"/>
  <c r="I2897" i="10"/>
  <c r="H2897" i="10"/>
  <c r="J2896" i="10"/>
  <c r="I2896" i="10"/>
  <c r="H2896" i="10"/>
  <c r="J2895" i="10"/>
  <c r="I2895" i="10"/>
  <c r="H2895" i="10"/>
  <c r="J2894" i="10"/>
  <c r="I2894" i="10"/>
  <c r="H2894" i="10"/>
  <c r="J2893" i="10"/>
  <c r="I2893" i="10"/>
  <c r="H2893" i="10"/>
  <c r="J2892" i="10"/>
  <c r="I2892" i="10"/>
  <c r="H2892" i="10"/>
  <c r="J2891" i="10"/>
  <c r="I2891" i="10"/>
  <c r="H2891" i="10"/>
  <c r="J2890" i="10"/>
  <c r="I2890" i="10"/>
  <c r="H2890" i="10"/>
  <c r="J2889" i="10"/>
  <c r="I2889" i="10"/>
  <c r="H2889" i="10"/>
  <c r="J2888" i="10"/>
  <c r="I2888" i="10"/>
  <c r="H2888" i="10"/>
  <c r="J2887" i="10"/>
  <c r="I2887" i="10"/>
  <c r="H2887" i="10"/>
  <c r="J2886" i="10"/>
  <c r="I2886" i="10"/>
  <c r="H2886" i="10"/>
  <c r="J2885" i="10"/>
  <c r="I2885" i="10"/>
  <c r="H2885" i="10"/>
  <c r="J2884" i="10"/>
  <c r="I2884" i="10"/>
  <c r="H2884" i="10"/>
  <c r="J2883" i="10"/>
  <c r="I2883" i="10"/>
  <c r="H2883" i="10"/>
  <c r="J2882" i="10"/>
  <c r="I2882" i="10"/>
  <c r="H2882" i="10"/>
  <c r="J2881" i="10"/>
  <c r="I2881" i="10"/>
  <c r="H2881" i="10"/>
  <c r="J2880" i="10"/>
  <c r="I2880" i="10"/>
  <c r="H2880" i="10"/>
  <c r="J2879" i="10"/>
  <c r="I2879" i="10"/>
  <c r="H2879" i="10"/>
  <c r="J2878" i="10"/>
  <c r="I2878" i="10"/>
  <c r="H2878" i="10"/>
  <c r="J2877" i="10"/>
  <c r="I2877" i="10"/>
  <c r="H2877" i="10"/>
  <c r="J2876" i="10"/>
  <c r="I2876" i="10"/>
  <c r="H2876" i="10"/>
  <c r="J2875" i="10"/>
  <c r="I2875" i="10"/>
  <c r="H2875" i="10"/>
  <c r="J2874" i="10"/>
  <c r="I2874" i="10"/>
  <c r="H2874" i="10"/>
  <c r="J2873" i="10"/>
  <c r="I2873" i="10"/>
  <c r="H2873" i="10"/>
  <c r="J2872" i="10"/>
  <c r="I2872" i="10"/>
  <c r="H2872" i="10"/>
  <c r="J2871" i="10"/>
  <c r="I2871" i="10"/>
  <c r="H2871" i="10"/>
  <c r="J2870" i="10"/>
  <c r="I2870" i="10"/>
  <c r="H2870" i="10"/>
  <c r="J2869" i="10"/>
  <c r="I2869" i="10"/>
  <c r="H2869" i="10"/>
  <c r="J2868" i="10"/>
  <c r="I2868" i="10"/>
  <c r="H2868" i="10"/>
  <c r="J2867" i="10"/>
  <c r="I2867" i="10"/>
  <c r="H2867" i="10"/>
  <c r="J2866" i="10"/>
  <c r="I2866" i="10"/>
  <c r="H2866" i="10"/>
  <c r="J2865" i="10"/>
  <c r="I2865" i="10"/>
  <c r="H2865" i="10"/>
  <c r="J2864" i="10"/>
  <c r="I2864" i="10"/>
  <c r="H2864" i="10"/>
  <c r="J2863" i="10"/>
  <c r="I2863" i="10"/>
  <c r="H2863" i="10"/>
  <c r="J2862" i="10"/>
  <c r="I2862" i="10"/>
  <c r="H2862" i="10"/>
  <c r="J2861" i="10"/>
  <c r="I2861" i="10"/>
  <c r="H2861" i="10"/>
  <c r="J2860" i="10"/>
  <c r="I2860" i="10"/>
  <c r="H2860" i="10"/>
  <c r="J2859" i="10"/>
  <c r="I2859" i="10"/>
  <c r="H2859" i="10"/>
  <c r="J2858" i="10"/>
  <c r="I2858" i="10"/>
  <c r="H2858" i="10"/>
  <c r="J2857" i="10"/>
  <c r="I2857" i="10"/>
  <c r="H2857" i="10"/>
  <c r="J2856" i="10"/>
  <c r="I2856" i="10"/>
  <c r="H2856" i="10"/>
  <c r="J2855" i="10"/>
  <c r="I2855" i="10"/>
  <c r="H2855" i="10"/>
  <c r="J2854" i="10"/>
  <c r="I2854" i="10"/>
  <c r="H2854" i="10"/>
  <c r="J2853" i="10"/>
  <c r="I2853" i="10"/>
  <c r="H2853" i="10"/>
  <c r="J2852" i="10"/>
  <c r="I2852" i="10"/>
  <c r="H2852" i="10"/>
  <c r="J2851" i="10"/>
  <c r="I2851" i="10"/>
  <c r="H2851" i="10"/>
  <c r="J2850" i="10"/>
  <c r="I2850" i="10"/>
  <c r="H2850" i="10"/>
  <c r="J2849" i="10"/>
  <c r="I2849" i="10"/>
  <c r="H2849" i="10"/>
  <c r="J2848" i="10"/>
  <c r="I2848" i="10"/>
  <c r="H2848" i="10"/>
  <c r="J2847" i="10"/>
  <c r="I2847" i="10"/>
  <c r="H2847" i="10"/>
  <c r="J2846" i="10"/>
  <c r="I2846" i="10"/>
  <c r="H2846" i="10"/>
  <c r="J2845" i="10"/>
  <c r="I2845" i="10"/>
  <c r="H2845" i="10"/>
  <c r="J2844" i="10"/>
  <c r="I2844" i="10"/>
  <c r="H2844" i="10"/>
  <c r="J2843" i="10"/>
  <c r="I2843" i="10"/>
  <c r="H2843" i="10"/>
  <c r="J2842" i="10"/>
  <c r="I2842" i="10"/>
  <c r="H2842" i="10"/>
  <c r="J2841" i="10"/>
  <c r="I2841" i="10"/>
  <c r="H2841" i="10"/>
  <c r="J2840" i="10"/>
  <c r="I2840" i="10"/>
  <c r="H2840" i="10"/>
  <c r="J2839" i="10"/>
  <c r="I2839" i="10"/>
  <c r="H2839" i="10"/>
  <c r="J2838" i="10"/>
  <c r="I2838" i="10"/>
  <c r="H2838" i="10"/>
  <c r="J2837" i="10"/>
  <c r="I2837" i="10"/>
  <c r="H2837" i="10"/>
  <c r="J2836" i="10"/>
  <c r="I2836" i="10"/>
  <c r="H2836" i="10"/>
  <c r="J2835" i="10"/>
  <c r="I2835" i="10"/>
  <c r="H2835" i="10"/>
  <c r="J2834" i="10"/>
  <c r="I2834" i="10"/>
  <c r="H2834" i="10"/>
  <c r="J2833" i="10"/>
  <c r="I2833" i="10"/>
  <c r="H2833" i="10"/>
  <c r="J2832" i="10"/>
  <c r="I2832" i="10"/>
  <c r="H2832" i="10"/>
  <c r="J2831" i="10"/>
  <c r="I2831" i="10"/>
  <c r="H2831" i="10"/>
  <c r="J2830" i="10"/>
  <c r="I2830" i="10"/>
  <c r="H2830" i="10"/>
  <c r="J2829" i="10"/>
  <c r="I2829" i="10"/>
  <c r="H2829" i="10"/>
  <c r="J2828" i="10"/>
  <c r="I2828" i="10"/>
  <c r="H2828" i="10"/>
  <c r="J2827" i="10"/>
  <c r="I2827" i="10"/>
  <c r="H2827" i="10"/>
  <c r="J2826" i="10"/>
  <c r="I2826" i="10"/>
  <c r="H2826" i="10"/>
  <c r="J2825" i="10"/>
  <c r="I2825" i="10"/>
  <c r="H2825" i="10"/>
  <c r="J2824" i="10"/>
  <c r="I2824" i="10"/>
  <c r="H2824" i="10"/>
  <c r="J2823" i="10"/>
  <c r="I2823" i="10"/>
  <c r="H2823" i="10"/>
  <c r="J2822" i="10"/>
  <c r="I2822" i="10"/>
  <c r="H2822" i="10"/>
  <c r="J2821" i="10"/>
  <c r="I2821" i="10"/>
  <c r="H2821" i="10"/>
  <c r="J2820" i="10"/>
  <c r="I2820" i="10"/>
  <c r="H2820" i="10"/>
  <c r="J2819" i="10"/>
  <c r="I2819" i="10"/>
  <c r="H2819" i="10"/>
  <c r="J2818" i="10"/>
  <c r="I2818" i="10"/>
  <c r="H2818" i="10"/>
  <c r="J2817" i="10"/>
  <c r="I2817" i="10"/>
  <c r="H2817" i="10"/>
  <c r="J2816" i="10"/>
  <c r="I2816" i="10"/>
  <c r="H2816" i="10"/>
  <c r="J2815" i="10"/>
  <c r="I2815" i="10"/>
  <c r="H2815" i="10"/>
  <c r="J2814" i="10"/>
  <c r="I2814" i="10"/>
  <c r="H2814" i="10"/>
  <c r="J2813" i="10"/>
  <c r="I2813" i="10"/>
  <c r="H2813" i="10"/>
  <c r="J2812" i="10"/>
  <c r="I2812" i="10"/>
  <c r="H2812" i="10"/>
  <c r="J2811" i="10"/>
  <c r="I2811" i="10"/>
  <c r="H2811" i="10"/>
  <c r="J2810" i="10"/>
  <c r="I2810" i="10"/>
  <c r="H2810" i="10"/>
  <c r="J2809" i="10"/>
  <c r="I2809" i="10"/>
  <c r="H2809" i="10"/>
  <c r="M2808" i="10"/>
  <c r="J2808" i="10"/>
  <c r="I2808" i="10"/>
  <c r="H2808" i="10"/>
  <c r="J2807" i="10"/>
  <c r="I2807" i="10"/>
  <c r="H2807" i="10"/>
  <c r="J2806" i="10"/>
  <c r="I2806" i="10"/>
  <c r="H2806" i="10"/>
  <c r="J2805" i="10"/>
  <c r="I2805" i="10"/>
  <c r="H2805" i="10"/>
  <c r="J2804" i="10"/>
  <c r="I2804" i="10"/>
  <c r="H2804" i="10"/>
  <c r="J2803" i="10"/>
  <c r="I2803" i="10"/>
  <c r="H2803" i="10"/>
  <c r="J2802" i="10"/>
  <c r="I2802" i="10"/>
  <c r="H2802" i="10"/>
  <c r="J2801" i="10"/>
  <c r="I2801" i="10"/>
  <c r="H2801" i="10"/>
  <c r="J2800" i="10"/>
  <c r="I2800" i="10"/>
  <c r="H2800" i="10"/>
  <c r="J2799" i="10"/>
  <c r="I2799" i="10"/>
  <c r="H2799" i="10"/>
  <c r="J2798" i="10"/>
  <c r="I2798" i="10"/>
  <c r="H2798" i="10"/>
  <c r="J2797" i="10"/>
  <c r="I2797" i="10"/>
  <c r="H2797" i="10"/>
  <c r="J2796" i="10"/>
  <c r="I2796" i="10"/>
  <c r="H2796" i="10"/>
  <c r="J2795" i="10"/>
  <c r="I2795" i="10"/>
  <c r="H2795" i="10"/>
  <c r="J2794" i="10"/>
  <c r="I2794" i="10"/>
  <c r="H2794" i="10"/>
  <c r="J2793" i="10"/>
  <c r="I2793" i="10"/>
  <c r="H2793" i="10"/>
  <c r="J2792" i="10"/>
  <c r="I2792" i="10"/>
  <c r="H2792" i="10"/>
  <c r="J2791" i="10"/>
  <c r="I2791" i="10"/>
  <c r="H2791" i="10"/>
  <c r="J2790" i="10"/>
  <c r="I2790" i="10"/>
  <c r="H2790" i="10"/>
  <c r="J2789" i="10"/>
  <c r="I2789" i="10"/>
  <c r="H2789" i="10"/>
  <c r="J2788" i="10"/>
  <c r="I2788" i="10"/>
  <c r="H2788" i="10"/>
  <c r="J2787" i="10"/>
  <c r="I2787" i="10"/>
  <c r="H2787" i="10"/>
  <c r="J2786" i="10"/>
  <c r="I2786" i="10"/>
  <c r="H2786" i="10"/>
  <c r="J2785" i="10"/>
  <c r="I2785" i="10"/>
  <c r="H2785" i="10"/>
  <c r="J2784" i="10"/>
  <c r="I2784" i="10"/>
  <c r="H2784" i="10"/>
  <c r="J2783" i="10"/>
  <c r="I2783" i="10"/>
  <c r="H2783" i="10"/>
  <c r="J2782" i="10"/>
  <c r="I2782" i="10"/>
  <c r="H2782" i="10"/>
  <c r="J2781" i="10"/>
  <c r="I2781" i="10"/>
  <c r="H2781" i="10"/>
  <c r="J2780" i="10"/>
  <c r="I2780" i="10"/>
  <c r="H2780" i="10"/>
  <c r="J2779" i="10"/>
  <c r="I2779" i="10"/>
  <c r="H2779" i="10"/>
  <c r="J2778" i="10"/>
  <c r="I2778" i="10"/>
  <c r="H2778" i="10"/>
  <c r="J2777" i="10"/>
  <c r="I2777" i="10"/>
  <c r="H2777" i="10"/>
  <c r="J2776" i="10"/>
  <c r="I2776" i="10"/>
  <c r="H2776" i="10"/>
  <c r="J2775" i="10"/>
  <c r="I2775" i="10"/>
  <c r="H2775" i="10"/>
  <c r="J2774" i="10"/>
  <c r="I2774" i="10"/>
  <c r="H2774" i="10"/>
  <c r="J2773" i="10"/>
  <c r="I2773" i="10"/>
  <c r="H2773" i="10"/>
  <c r="J2772" i="10"/>
  <c r="I2772" i="10"/>
  <c r="H2772" i="10"/>
  <c r="J2771" i="10"/>
  <c r="I2771" i="10"/>
  <c r="H2771" i="10"/>
  <c r="J2770" i="10"/>
  <c r="I2770" i="10"/>
  <c r="H2770" i="10"/>
  <c r="J2769" i="10"/>
  <c r="I2769" i="10"/>
  <c r="H2769" i="10"/>
  <c r="J2768" i="10"/>
  <c r="I2768" i="10"/>
  <c r="H2768" i="10"/>
  <c r="J2767" i="10"/>
  <c r="I2767" i="10"/>
  <c r="H2767" i="10"/>
  <c r="J2766" i="10"/>
  <c r="I2766" i="10"/>
  <c r="H2766" i="10"/>
  <c r="J2765" i="10"/>
  <c r="I2765" i="10"/>
  <c r="H2765" i="10"/>
  <c r="J2764" i="10"/>
  <c r="I2764" i="10"/>
  <c r="H2764" i="10"/>
  <c r="J2763" i="10"/>
  <c r="I2763" i="10"/>
  <c r="H2763" i="10"/>
  <c r="J2762" i="10"/>
  <c r="I2762" i="10"/>
  <c r="H2762" i="10"/>
  <c r="J2761" i="10"/>
  <c r="I2761" i="10"/>
  <c r="H2761" i="10"/>
  <c r="J2760" i="10"/>
  <c r="I2760" i="10"/>
  <c r="H2760" i="10"/>
  <c r="J2759" i="10"/>
  <c r="I2759" i="10"/>
  <c r="H2759" i="10"/>
  <c r="J2758" i="10"/>
  <c r="I2758" i="10"/>
  <c r="H2758" i="10"/>
  <c r="J2757" i="10"/>
  <c r="I2757" i="10"/>
  <c r="H2757" i="10"/>
  <c r="J2756" i="10"/>
  <c r="I2756" i="10"/>
  <c r="H2756" i="10"/>
  <c r="J2755" i="10"/>
  <c r="I2755" i="10"/>
  <c r="H2755" i="10"/>
  <c r="J2754" i="10"/>
  <c r="I2754" i="10"/>
  <c r="H2754" i="10"/>
  <c r="J2753" i="10"/>
  <c r="I2753" i="10"/>
  <c r="H2753" i="10"/>
  <c r="J2752" i="10"/>
  <c r="I2752" i="10"/>
  <c r="H2752" i="10"/>
  <c r="J2751" i="10"/>
  <c r="I2751" i="10"/>
  <c r="H2751" i="10"/>
  <c r="J2750" i="10"/>
  <c r="I2750" i="10"/>
  <c r="H2750" i="10"/>
  <c r="J2749" i="10"/>
  <c r="I2749" i="10"/>
  <c r="H2749" i="10"/>
  <c r="J2748" i="10"/>
  <c r="I2748" i="10"/>
  <c r="H2748" i="10"/>
  <c r="J2747" i="10"/>
  <c r="I2747" i="10"/>
  <c r="H2747" i="10"/>
  <c r="J2746" i="10"/>
  <c r="I2746" i="10"/>
  <c r="H2746" i="10"/>
  <c r="J2745" i="10"/>
  <c r="I2745" i="10"/>
  <c r="H2745" i="10"/>
  <c r="J2744" i="10"/>
  <c r="I2744" i="10"/>
  <c r="H2744" i="10"/>
  <c r="J2743" i="10"/>
  <c r="I2743" i="10"/>
  <c r="H2743" i="10"/>
  <c r="J2742" i="10"/>
  <c r="I2742" i="10"/>
  <c r="H2742" i="10"/>
  <c r="J2741" i="10"/>
  <c r="I2741" i="10"/>
  <c r="H2741" i="10"/>
  <c r="J2740" i="10"/>
  <c r="I2740" i="10"/>
  <c r="H2740" i="10"/>
  <c r="J2739" i="10"/>
  <c r="I2739" i="10"/>
  <c r="H2739" i="10"/>
  <c r="J2738" i="10"/>
  <c r="I2738" i="10"/>
  <c r="H2738" i="10"/>
  <c r="J2737" i="10"/>
  <c r="I2737" i="10"/>
  <c r="H2737" i="10"/>
  <c r="J2736" i="10"/>
  <c r="I2736" i="10"/>
  <c r="H2736" i="10"/>
  <c r="J2735" i="10"/>
  <c r="I2735" i="10"/>
  <c r="H2735" i="10"/>
  <c r="J2734" i="10"/>
  <c r="I2734" i="10"/>
  <c r="H2734" i="10"/>
  <c r="J2733" i="10"/>
  <c r="I2733" i="10"/>
  <c r="H2733" i="10"/>
  <c r="J2732" i="10"/>
  <c r="I2732" i="10"/>
  <c r="H2732" i="10"/>
  <c r="J2731" i="10"/>
  <c r="I2731" i="10"/>
  <c r="H2731" i="10"/>
  <c r="J2730" i="10"/>
  <c r="I2730" i="10"/>
  <c r="H2730" i="10"/>
  <c r="J2729" i="10"/>
  <c r="I2729" i="10"/>
  <c r="H2729" i="10"/>
  <c r="J2728" i="10"/>
  <c r="I2728" i="10"/>
  <c r="H2728" i="10"/>
  <c r="J2727" i="10"/>
  <c r="I2727" i="10"/>
  <c r="H2727" i="10"/>
  <c r="J2726" i="10"/>
  <c r="I2726" i="10"/>
  <c r="H2726" i="10"/>
  <c r="J2725" i="10"/>
  <c r="I2725" i="10"/>
  <c r="H2725" i="10"/>
  <c r="J2724" i="10"/>
  <c r="I2724" i="10"/>
  <c r="H2724" i="10"/>
  <c r="J2723" i="10"/>
  <c r="I2723" i="10"/>
  <c r="H2723" i="10"/>
  <c r="J2722" i="10"/>
  <c r="I2722" i="10"/>
  <c r="H2722" i="10"/>
  <c r="J2721" i="10"/>
  <c r="I2721" i="10"/>
  <c r="H2721" i="10"/>
  <c r="J2720" i="10"/>
  <c r="I2720" i="10"/>
  <c r="H2720" i="10"/>
  <c r="J2719" i="10"/>
  <c r="I2719" i="10"/>
  <c r="H2719" i="10"/>
  <c r="J2718" i="10"/>
  <c r="I2718" i="10"/>
  <c r="H2718" i="10"/>
  <c r="J2717" i="10"/>
  <c r="I2717" i="10"/>
  <c r="H2717" i="10"/>
  <c r="J2716" i="10"/>
  <c r="I2716" i="10"/>
  <c r="H2716" i="10"/>
  <c r="J2715" i="10"/>
  <c r="I2715" i="10"/>
  <c r="H2715" i="10"/>
  <c r="J2714" i="10"/>
  <c r="I2714" i="10"/>
  <c r="H2714" i="10"/>
  <c r="J2713" i="10"/>
  <c r="I2713" i="10"/>
  <c r="H2713" i="10"/>
  <c r="J2712" i="10"/>
  <c r="I2712" i="10"/>
  <c r="H2712" i="10"/>
  <c r="J2711" i="10"/>
  <c r="I2711" i="10"/>
  <c r="H2711" i="10"/>
  <c r="J2710" i="10"/>
  <c r="I2710" i="10"/>
  <c r="H2710" i="10"/>
  <c r="J2709" i="10"/>
  <c r="I2709" i="10"/>
  <c r="H2709" i="10"/>
  <c r="J2708" i="10"/>
  <c r="I2708" i="10"/>
  <c r="H2708" i="10"/>
  <c r="J2707" i="10"/>
  <c r="I2707" i="10"/>
  <c r="H2707" i="10"/>
  <c r="J2706" i="10"/>
  <c r="I2706" i="10"/>
  <c r="H2706" i="10"/>
  <c r="J2705" i="10"/>
  <c r="I2705" i="10"/>
  <c r="H2705" i="10"/>
  <c r="J2704" i="10"/>
  <c r="I2704" i="10"/>
  <c r="H2704" i="10"/>
  <c r="J2703" i="10"/>
  <c r="I2703" i="10"/>
  <c r="H2703" i="10"/>
  <c r="J2702" i="10"/>
  <c r="I2702" i="10"/>
  <c r="H2702" i="10"/>
  <c r="J2701" i="10"/>
  <c r="I2701" i="10"/>
  <c r="H2701" i="10"/>
  <c r="J2700" i="10"/>
  <c r="I2700" i="10"/>
  <c r="H2700" i="10"/>
  <c r="J2699" i="10"/>
  <c r="I2699" i="10"/>
  <c r="H2699" i="10"/>
  <c r="J2698" i="10"/>
  <c r="I2698" i="10"/>
  <c r="H2698" i="10"/>
  <c r="J2697" i="10"/>
  <c r="I2697" i="10"/>
  <c r="H2697" i="10"/>
  <c r="M2696" i="10"/>
  <c r="J2696" i="10"/>
  <c r="I2696" i="10"/>
  <c r="H2696" i="10"/>
  <c r="J2695" i="10"/>
  <c r="I2695" i="10"/>
  <c r="H2695" i="10"/>
  <c r="J2694" i="10"/>
  <c r="I2694" i="10"/>
  <c r="H2694" i="10"/>
  <c r="J2693" i="10"/>
  <c r="I2693" i="10"/>
  <c r="H2693" i="10"/>
  <c r="J2692" i="10"/>
  <c r="I2692" i="10"/>
  <c r="H2692" i="10"/>
  <c r="J2691" i="10"/>
  <c r="I2691" i="10"/>
  <c r="H2691" i="10"/>
  <c r="J2690" i="10"/>
  <c r="I2690" i="10"/>
  <c r="H2690" i="10"/>
  <c r="J2689" i="10"/>
  <c r="I2689" i="10"/>
  <c r="H2689" i="10"/>
  <c r="J2688" i="10"/>
  <c r="I2688" i="10"/>
  <c r="H2688" i="10"/>
  <c r="J2687" i="10"/>
  <c r="I2687" i="10"/>
  <c r="H2687" i="10"/>
  <c r="J2686" i="10"/>
  <c r="I2686" i="10"/>
  <c r="H2686" i="10"/>
  <c r="J2685" i="10"/>
  <c r="I2685" i="10"/>
  <c r="H2685" i="10"/>
  <c r="J2684" i="10"/>
  <c r="I2684" i="10"/>
  <c r="H2684" i="10"/>
  <c r="J2683" i="10"/>
  <c r="I2683" i="10"/>
  <c r="H2683" i="10"/>
  <c r="J2682" i="10"/>
  <c r="I2682" i="10"/>
  <c r="H2682" i="10"/>
  <c r="J2681" i="10"/>
  <c r="I2681" i="10"/>
  <c r="H2681" i="10"/>
  <c r="J2680" i="10"/>
  <c r="I2680" i="10"/>
  <c r="H2680" i="10"/>
  <c r="J2679" i="10"/>
  <c r="I2679" i="10"/>
  <c r="H2679" i="10"/>
  <c r="J2678" i="10"/>
  <c r="I2678" i="10"/>
  <c r="H2678" i="10"/>
  <c r="J2677" i="10"/>
  <c r="I2677" i="10"/>
  <c r="H2677" i="10"/>
  <c r="J2676" i="10"/>
  <c r="I2676" i="10"/>
  <c r="H2676" i="10"/>
  <c r="J2675" i="10"/>
  <c r="I2675" i="10"/>
  <c r="H2675" i="10"/>
  <c r="J2674" i="10"/>
  <c r="I2674" i="10"/>
  <c r="H2674" i="10"/>
  <c r="J2673" i="10"/>
  <c r="I2673" i="10"/>
  <c r="H2673" i="10"/>
  <c r="J2672" i="10"/>
  <c r="I2672" i="10"/>
  <c r="H2672" i="10"/>
  <c r="J2671" i="10"/>
  <c r="I2671" i="10"/>
  <c r="H2671" i="10"/>
  <c r="J2670" i="10"/>
  <c r="I2670" i="10"/>
  <c r="H2670" i="10"/>
  <c r="J2669" i="10"/>
  <c r="I2669" i="10"/>
  <c r="H2669" i="10"/>
  <c r="J2668" i="10"/>
  <c r="I2668" i="10"/>
  <c r="H2668" i="10"/>
  <c r="J2667" i="10"/>
  <c r="I2667" i="10"/>
  <c r="H2667" i="10"/>
  <c r="J2666" i="10"/>
  <c r="I2666" i="10"/>
  <c r="H2666" i="10"/>
  <c r="J2665" i="10"/>
  <c r="I2665" i="10"/>
  <c r="H2665" i="10"/>
  <c r="J2664" i="10"/>
  <c r="I2664" i="10"/>
  <c r="H2664" i="10"/>
  <c r="J2663" i="10"/>
  <c r="I2663" i="10"/>
  <c r="H2663" i="10"/>
  <c r="J2662" i="10"/>
  <c r="I2662" i="10"/>
  <c r="H2662" i="10"/>
  <c r="J2661" i="10"/>
  <c r="I2661" i="10"/>
  <c r="H2661" i="10"/>
  <c r="J2660" i="10"/>
  <c r="I2660" i="10"/>
  <c r="H2660" i="10"/>
  <c r="J2659" i="10"/>
  <c r="I2659" i="10"/>
  <c r="H2659" i="10"/>
  <c r="J2658" i="10"/>
  <c r="I2658" i="10"/>
  <c r="H2658" i="10"/>
  <c r="J2657" i="10"/>
  <c r="I2657" i="10"/>
  <c r="H2657" i="10"/>
  <c r="J2656" i="10"/>
  <c r="I2656" i="10"/>
  <c r="H2656" i="10"/>
  <c r="J2655" i="10"/>
  <c r="I2655" i="10"/>
  <c r="H2655" i="10"/>
  <c r="J2654" i="10"/>
  <c r="I2654" i="10"/>
  <c r="H2654" i="10"/>
  <c r="J2653" i="10"/>
  <c r="I2653" i="10"/>
  <c r="H2653" i="10"/>
  <c r="J2652" i="10"/>
  <c r="I2652" i="10"/>
  <c r="H2652" i="10"/>
  <c r="J2651" i="10"/>
  <c r="I2651" i="10"/>
  <c r="H2651" i="10"/>
  <c r="J2650" i="10"/>
  <c r="I2650" i="10"/>
  <c r="H2650" i="10"/>
  <c r="J2649" i="10"/>
  <c r="I2649" i="10"/>
  <c r="H2649" i="10"/>
  <c r="J2648" i="10"/>
  <c r="I2648" i="10"/>
  <c r="H2648" i="10"/>
  <c r="J2647" i="10"/>
  <c r="I2647" i="10"/>
  <c r="H2647" i="10"/>
  <c r="J2646" i="10"/>
  <c r="I2646" i="10"/>
  <c r="H2646" i="10"/>
  <c r="J2645" i="10"/>
  <c r="I2645" i="10"/>
  <c r="H2645" i="10"/>
  <c r="J2644" i="10"/>
  <c r="I2644" i="10"/>
  <c r="H2644" i="10"/>
  <c r="J2643" i="10"/>
  <c r="I2643" i="10"/>
  <c r="H2643" i="10"/>
  <c r="J2642" i="10"/>
  <c r="I2642" i="10"/>
  <c r="H2642" i="10"/>
  <c r="J2641" i="10"/>
  <c r="I2641" i="10"/>
  <c r="H2641" i="10"/>
  <c r="J2640" i="10"/>
  <c r="I2640" i="10"/>
  <c r="H2640" i="10"/>
  <c r="J2639" i="10"/>
  <c r="I2639" i="10"/>
  <c r="H2639" i="10"/>
  <c r="J2638" i="10"/>
  <c r="I2638" i="10"/>
  <c r="H2638" i="10"/>
  <c r="J2637" i="10"/>
  <c r="I2637" i="10"/>
  <c r="H2637" i="10"/>
  <c r="J2636" i="10"/>
  <c r="I2636" i="10"/>
  <c r="H2636" i="10"/>
  <c r="J2635" i="10"/>
  <c r="I2635" i="10"/>
  <c r="H2635" i="10"/>
  <c r="J2634" i="10"/>
  <c r="I2634" i="10"/>
  <c r="H2634" i="10"/>
  <c r="J2633" i="10"/>
  <c r="I2633" i="10"/>
  <c r="H2633" i="10"/>
  <c r="J2632" i="10"/>
  <c r="I2632" i="10"/>
  <c r="H2632" i="10"/>
  <c r="J2631" i="10"/>
  <c r="I2631" i="10"/>
  <c r="H2631" i="10"/>
  <c r="J2630" i="10"/>
  <c r="I2630" i="10"/>
  <c r="H2630" i="10"/>
  <c r="J2629" i="10"/>
  <c r="I2629" i="10"/>
  <c r="H2629" i="10"/>
  <c r="J2628" i="10"/>
  <c r="I2628" i="10"/>
  <c r="H2628" i="10"/>
  <c r="J2627" i="10"/>
  <c r="I2627" i="10"/>
  <c r="H2627" i="10"/>
  <c r="J2626" i="10"/>
  <c r="I2626" i="10"/>
  <c r="H2626" i="10"/>
  <c r="J2625" i="10"/>
  <c r="I2625" i="10"/>
  <c r="H2625" i="10"/>
  <c r="J2624" i="10"/>
  <c r="I2624" i="10"/>
  <c r="H2624" i="10"/>
  <c r="J2623" i="10"/>
  <c r="I2623" i="10"/>
  <c r="H2623" i="10"/>
  <c r="J2622" i="10"/>
  <c r="I2622" i="10"/>
  <c r="H2622" i="10"/>
  <c r="J2621" i="10"/>
  <c r="I2621" i="10"/>
  <c r="H2621" i="10"/>
  <c r="J2620" i="10"/>
  <c r="I2620" i="10"/>
  <c r="H2620" i="10"/>
  <c r="J2619" i="10"/>
  <c r="I2619" i="10"/>
  <c r="H2619" i="10"/>
  <c r="J2618" i="10"/>
  <c r="I2618" i="10"/>
  <c r="H2618" i="10"/>
  <c r="J2617" i="10"/>
  <c r="I2617" i="10"/>
  <c r="H2617" i="10"/>
  <c r="J2616" i="10"/>
  <c r="I2616" i="10"/>
  <c r="H2616" i="10"/>
  <c r="J2615" i="10"/>
  <c r="I2615" i="10"/>
  <c r="H2615" i="10"/>
  <c r="J2614" i="10"/>
  <c r="I2614" i="10"/>
  <c r="H2614" i="10"/>
  <c r="J2613" i="10"/>
  <c r="I2613" i="10"/>
  <c r="H2613" i="10"/>
  <c r="J2612" i="10"/>
  <c r="I2612" i="10"/>
  <c r="H2612" i="10"/>
  <c r="J2611" i="10"/>
  <c r="I2611" i="10"/>
  <c r="H2611" i="10"/>
  <c r="J2610" i="10"/>
  <c r="I2610" i="10"/>
  <c r="H2610" i="10"/>
  <c r="J2609" i="10"/>
  <c r="I2609" i="10"/>
  <c r="H2609" i="10"/>
  <c r="J2608" i="10"/>
  <c r="I2608" i="10"/>
  <c r="H2608" i="10"/>
  <c r="J2607" i="10"/>
  <c r="I2607" i="10"/>
  <c r="H2607" i="10"/>
  <c r="J2606" i="10"/>
  <c r="I2606" i="10"/>
  <c r="H2606" i="10"/>
  <c r="J2605" i="10"/>
  <c r="I2605" i="10"/>
  <c r="H2605" i="10"/>
  <c r="J2604" i="10"/>
  <c r="I2604" i="10"/>
  <c r="H2604" i="10"/>
  <c r="J2603" i="10"/>
  <c r="I2603" i="10"/>
  <c r="H2603" i="10"/>
  <c r="J2602" i="10"/>
  <c r="I2602" i="10"/>
  <c r="H2602" i="10"/>
  <c r="J2601" i="10"/>
  <c r="I2601" i="10"/>
  <c r="H2601" i="10"/>
  <c r="J2600" i="10"/>
  <c r="I2600" i="10"/>
  <c r="H2600" i="10"/>
  <c r="J2599" i="10"/>
  <c r="I2599" i="10"/>
  <c r="H2599" i="10"/>
  <c r="J2598" i="10"/>
  <c r="I2598" i="10"/>
  <c r="H2598" i="10"/>
  <c r="J2597" i="10"/>
  <c r="I2597" i="10"/>
  <c r="H2597" i="10"/>
  <c r="J2596" i="10"/>
  <c r="I2596" i="10"/>
  <c r="H2596" i="10"/>
  <c r="J2595" i="10"/>
  <c r="I2595" i="10"/>
  <c r="H2595" i="10"/>
  <c r="J2594" i="10"/>
  <c r="I2594" i="10"/>
  <c r="H2594" i="10"/>
  <c r="J2593" i="10"/>
  <c r="I2593" i="10"/>
  <c r="H2593" i="10"/>
  <c r="J2592" i="10"/>
  <c r="I2592" i="10"/>
  <c r="H2592" i="10"/>
  <c r="J2591" i="10"/>
  <c r="I2591" i="10"/>
  <c r="H2591" i="10"/>
  <c r="J2590" i="10"/>
  <c r="I2590" i="10"/>
  <c r="H2590" i="10"/>
  <c r="J2589" i="10"/>
  <c r="I2589" i="10"/>
  <c r="H2589" i="10"/>
  <c r="J2588" i="10"/>
  <c r="I2588" i="10"/>
  <c r="H2588" i="10"/>
  <c r="J2587" i="10"/>
  <c r="I2587" i="10"/>
  <c r="H2587" i="10"/>
  <c r="J2586" i="10"/>
  <c r="I2586" i="10"/>
  <c r="H2586" i="10"/>
  <c r="J2585" i="10"/>
  <c r="I2585" i="10"/>
  <c r="H2585" i="10"/>
  <c r="J2584" i="10"/>
  <c r="I2584" i="10"/>
  <c r="H2584" i="10"/>
  <c r="J2583" i="10"/>
  <c r="I2583" i="10"/>
  <c r="H2583" i="10"/>
  <c r="J2582" i="10"/>
  <c r="I2582" i="10"/>
  <c r="H2582" i="10"/>
  <c r="J2581" i="10"/>
  <c r="I2581" i="10"/>
  <c r="H2581" i="10"/>
  <c r="J2580" i="10"/>
  <c r="I2580" i="10"/>
  <c r="H2580" i="10"/>
  <c r="J2579" i="10"/>
  <c r="I2579" i="10"/>
  <c r="H2579" i="10"/>
  <c r="J2578" i="10"/>
  <c r="I2578" i="10"/>
  <c r="H2578" i="10"/>
  <c r="J2577" i="10"/>
  <c r="I2577" i="10"/>
  <c r="H2577" i="10"/>
  <c r="J2576" i="10"/>
  <c r="I2576" i="10"/>
  <c r="H2576" i="10"/>
  <c r="J2575" i="10"/>
  <c r="I2575" i="10"/>
  <c r="H2575" i="10"/>
  <c r="J2574" i="10"/>
  <c r="I2574" i="10"/>
  <c r="H2574" i="10"/>
  <c r="J2573" i="10"/>
  <c r="I2573" i="10"/>
  <c r="H2573" i="10"/>
  <c r="J2572" i="10"/>
  <c r="I2572" i="10"/>
  <c r="H2572" i="10"/>
  <c r="J2571" i="10"/>
  <c r="I2571" i="10"/>
  <c r="H2571" i="10"/>
  <c r="J2570" i="10"/>
  <c r="I2570" i="10"/>
  <c r="H2570" i="10"/>
  <c r="J2569" i="10"/>
  <c r="I2569" i="10"/>
  <c r="H2569" i="10"/>
  <c r="J2568" i="10"/>
  <c r="I2568" i="10"/>
  <c r="H2568" i="10"/>
  <c r="J2567" i="10"/>
  <c r="I2567" i="10"/>
  <c r="H2567" i="10"/>
  <c r="J2566" i="10"/>
  <c r="I2566" i="10"/>
  <c r="H2566" i="10"/>
  <c r="J2565" i="10"/>
  <c r="I2565" i="10"/>
  <c r="H2565" i="10"/>
  <c r="J2564" i="10"/>
  <c r="I2564" i="10"/>
  <c r="H2564" i="10"/>
  <c r="J2563" i="10"/>
  <c r="I2563" i="10"/>
  <c r="H2563" i="10"/>
  <c r="J2562" i="10"/>
  <c r="I2562" i="10"/>
  <c r="H2562" i="10"/>
  <c r="J2561" i="10"/>
  <c r="I2561" i="10"/>
  <c r="H2561" i="10"/>
  <c r="J2560" i="10"/>
  <c r="I2560" i="10"/>
  <c r="H2560" i="10"/>
  <c r="J2559" i="10"/>
  <c r="I2559" i="10"/>
  <c r="H2559" i="10"/>
  <c r="J2558" i="10"/>
  <c r="I2558" i="10"/>
  <c r="H2558" i="10"/>
  <c r="J2557" i="10"/>
  <c r="I2557" i="10"/>
  <c r="H2557" i="10"/>
  <c r="J2556" i="10"/>
  <c r="I2556" i="10"/>
  <c r="H2556" i="10"/>
  <c r="J2555" i="10"/>
  <c r="I2555" i="10"/>
  <c r="H2555" i="10"/>
  <c r="J2554" i="10"/>
  <c r="I2554" i="10"/>
  <c r="H2554" i="10"/>
  <c r="J2553" i="10"/>
  <c r="I2553" i="10"/>
  <c r="H2553" i="10"/>
  <c r="J2552" i="10"/>
  <c r="I2552" i="10"/>
  <c r="H2552" i="10"/>
  <c r="J2551" i="10"/>
  <c r="I2551" i="10"/>
  <c r="H2551" i="10"/>
  <c r="J2550" i="10"/>
  <c r="I2550" i="10"/>
  <c r="H2550" i="10"/>
  <c r="J2549" i="10"/>
  <c r="I2549" i="10"/>
  <c r="H2549" i="10"/>
  <c r="J2548" i="10"/>
  <c r="I2548" i="10"/>
  <c r="H2548" i="10"/>
  <c r="J2547" i="10"/>
  <c r="I2547" i="10"/>
  <c r="H2547" i="10"/>
  <c r="J2546" i="10"/>
  <c r="I2546" i="10"/>
  <c r="H2546" i="10"/>
  <c r="J2545" i="10"/>
  <c r="I2545" i="10"/>
  <c r="H2545" i="10"/>
  <c r="J2544" i="10"/>
  <c r="I2544" i="10"/>
  <c r="H2544" i="10"/>
  <c r="J2543" i="10"/>
  <c r="I2543" i="10"/>
  <c r="H2543" i="10"/>
  <c r="J2542" i="10"/>
  <c r="I2542" i="10"/>
  <c r="H2542" i="10"/>
  <c r="J2541" i="10"/>
  <c r="I2541" i="10"/>
  <c r="H2541" i="10"/>
  <c r="J2540" i="10"/>
  <c r="I2540" i="10"/>
  <c r="H2540" i="10"/>
  <c r="J2539" i="10"/>
  <c r="I2539" i="10"/>
  <c r="H2539" i="10"/>
  <c r="J2538" i="10"/>
  <c r="I2538" i="10"/>
  <c r="H2538" i="10"/>
  <c r="J2537" i="10"/>
  <c r="I2537" i="10"/>
  <c r="H2537" i="10"/>
  <c r="J2536" i="10"/>
  <c r="I2536" i="10"/>
  <c r="H2536" i="10"/>
  <c r="J2535" i="10"/>
  <c r="I2535" i="10"/>
  <c r="H2535" i="10"/>
  <c r="J2534" i="10"/>
  <c r="I2534" i="10"/>
  <c r="H2534" i="10"/>
  <c r="J2533" i="10"/>
  <c r="I2533" i="10"/>
  <c r="H2533" i="10"/>
  <c r="J2532" i="10"/>
  <c r="I2532" i="10"/>
  <c r="H2532" i="10"/>
  <c r="J2531" i="10"/>
  <c r="I2531" i="10"/>
  <c r="H2531" i="10"/>
  <c r="J2530" i="10"/>
  <c r="I2530" i="10"/>
  <c r="H2530" i="10"/>
  <c r="J2529" i="10"/>
  <c r="I2529" i="10"/>
  <c r="H2529" i="10"/>
  <c r="J2528" i="10"/>
  <c r="I2528" i="10"/>
  <c r="H2528" i="10"/>
  <c r="J2527" i="10"/>
  <c r="I2527" i="10"/>
  <c r="H2527" i="10"/>
  <c r="J2526" i="10"/>
  <c r="I2526" i="10"/>
  <c r="H2526" i="10"/>
  <c r="J2525" i="10"/>
  <c r="I2525" i="10"/>
  <c r="H2525" i="10"/>
  <c r="J2524" i="10"/>
  <c r="I2524" i="10"/>
  <c r="H2524" i="10"/>
  <c r="J2523" i="10"/>
  <c r="I2523" i="10"/>
  <c r="H2523" i="10"/>
  <c r="J2522" i="10"/>
  <c r="I2522" i="10"/>
  <c r="H2522" i="10"/>
  <c r="J2521" i="10"/>
  <c r="I2521" i="10"/>
  <c r="H2521" i="10"/>
  <c r="J2520" i="10"/>
  <c r="I2520" i="10"/>
  <c r="H2520" i="10"/>
  <c r="J2519" i="10"/>
  <c r="I2519" i="10"/>
  <c r="H2519" i="10"/>
  <c r="J2518" i="10"/>
  <c r="I2518" i="10"/>
  <c r="H2518" i="10"/>
  <c r="J2517" i="10"/>
  <c r="I2517" i="10"/>
  <c r="H2517" i="10"/>
  <c r="J2516" i="10"/>
  <c r="I2516" i="10"/>
  <c r="H2516" i="10"/>
  <c r="J2515" i="10"/>
  <c r="I2515" i="10"/>
  <c r="H2515" i="10"/>
  <c r="J2514" i="10"/>
  <c r="I2514" i="10"/>
  <c r="H2514" i="10"/>
  <c r="J2513" i="10"/>
  <c r="I2513" i="10"/>
  <c r="H2513" i="10"/>
  <c r="J2512" i="10"/>
  <c r="I2512" i="10"/>
  <c r="H2512" i="10"/>
  <c r="J2511" i="10"/>
  <c r="I2511" i="10"/>
  <c r="H2511" i="10"/>
  <c r="J2510" i="10"/>
  <c r="I2510" i="10"/>
  <c r="H2510" i="10"/>
  <c r="J2509" i="10"/>
  <c r="I2509" i="10"/>
  <c r="H2509" i="10"/>
  <c r="J2508" i="10"/>
  <c r="I2508" i="10"/>
  <c r="H2508" i="10"/>
  <c r="J2507" i="10"/>
  <c r="I2507" i="10"/>
  <c r="H2507" i="10"/>
  <c r="J2506" i="10"/>
  <c r="I2506" i="10"/>
  <c r="H2506" i="10"/>
  <c r="J2505" i="10"/>
  <c r="I2505" i="10"/>
  <c r="H2505" i="10"/>
  <c r="J2504" i="10"/>
  <c r="I2504" i="10"/>
  <c r="H2504" i="10"/>
  <c r="J2503" i="10"/>
  <c r="I2503" i="10"/>
  <c r="H2503" i="10"/>
  <c r="J2502" i="10"/>
  <c r="I2502" i="10"/>
  <c r="H2502" i="10"/>
  <c r="J2501" i="10"/>
  <c r="I2501" i="10"/>
  <c r="H2501" i="10"/>
  <c r="J2500" i="10"/>
  <c r="I2500" i="10"/>
  <c r="H2500" i="10"/>
  <c r="J2499" i="10"/>
  <c r="I2499" i="10"/>
  <c r="H2499" i="10"/>
  <c r="J2498" i="10"/>
  <c r="I2498" i="10"/>
  <c r="H2498" i="10"/>
  <c r="J2497" i="10"/>
  <c r="I2497" i="10"/>
  <c r="H2497" i="10"/>
  <c r="J2496" i="10"/>
  <c r="I2496" i="10"/>
  <c r="H2496" i="10"/>
  <c r="J2495" i="10"/>
  <c r="I2495" i="10"/>
  <c r="H2495" i="10"/>
  <c r="J2494" i="10"/>
  <c r="I2494" i="10"/>
  <c r="H2494" i="10"/>
  <c r="J2493" i="10"/>
  <c r="I2493" i="10"/>
  <c r="H2493" i="10"/>
  <c r="J2492" i="10"/>
  <c r="I2492" i="10"/>
  <c r="H2492" i="10"/>
  <c r="J2491" i="10"/>
  <c r="I2491" i="10"/>
  <c r="H2491" i="10"/>
  <c r="J2490" i="10"/>
  <c r="I2490" i="10"/>
  <c r="H2490" i="10"/>
  <c r="J2489" i="10"/>
  <c r="I2489" i="10"/>
  <c r="H2489" i="10"/>
  <c r="J2488" i="10"/>
  <c r="I2488" i="10"/>
  <c r="H2488" i="10"/>
  <c r="J2487" i="10"/>
  <c r="I2487" i="10"/>
  <c r="H2487" i="10"/>
  <c r="J2486" i="10"/>
  <c r="I2486" i="10"/>
  <c r="H2486" i="10"/>
  <c r="J2485" i="10"/>
  <c r="I2485" i="10"/>
  <c r="H2485" i="10"/>
  <c r="J2484" i="10"/>
  <c r="I2484" i="10"/>
  <c r="H2484" i="10"/>
  <c r="J2483" i="10"/>
  <c r="I2483" i="10"/>
  <c r="H2483" i="10"/>
  <c r="J2482" i="10"/>
  <c r="I2482" i="10"/>
  <c r="H2482" i="10"/>
  <c r="J2481" i="10"/>
  <c r="I2481" i="10"/>
  <c r="H2481" i="10"/>
  <c r="J2480" i="10"/>
  <c r="I2480" i="10"/>
  <c r="H2480" i="10"/>
  <c r="J2479" i="10"/>
  <c r="I2479" i="10"/>
  <c r="H2479" i="10"/>
  <c r="J2478" i="10"/>
  <c r="I2478" i="10"/>
  <c r="H2478" i="10"/>
  <c r="J2477" i="10"/>
  <c r="I2477" i="10"/>
  <c r="H2477" i="10"/>
  <c r="J2476" i="10"/>
  <c r="I2476" i="10"/>
  <c r="H2476" i="10"/>
  <c r="J2475" i="10"/>
  <c r="I2475" i="10"/>
  <c r="H2475" i="10"/>
  <c r="J2474" i="10"/>
  <c r="I2474" i="10"/>
  <c r="H2474" i="10"/>
  <c r="J2473" i="10"/>
  <c r="I2473" i="10"/>
  <c r="H2473" i="10"/>
  <c r="J2472" i="10"/>
  <c r="I2472" i="10"/>
  <c r="H2472" i="10"/>
  <c r="J2471" i="10"/>
  <c r="I2471" i="10"/>
  <c r="H2471" i="10"/>
  <c r="J2470" i="10"/>
  <c r="I2470" i="10"/>
  <c r="H2470" i="10"/>
  <c r="J2469" i="10"/>
  <c r="I2469" i="10"/>
  <c r="H2469" i="10"/>
  <c r="J2468" i="10"/>
  <c r="I2468" i="10"/>
  <c r="H2468" i="10"/>
  <c r="J2467" i="10"/>
  <c r="I2467" i="10"/>
  <c r="H2467" i="10"/>
  <c r="J2466" i="10"/>
  <c r="I2466" i="10"/>
  <c r="H2466" i="10"/>
  <c r="J2465" i="10"/>
  <c r="I2465" i="10"/>
  <c r="H2465" i="10"/>
  <c r="J2464" i="10"/>
  <c r="I2464" i="10"/>
  <c r="H2464" i="10"/>
  <c r="J2463" i="10"/>
  <c r="I2463" i="10"/>
  <c r="H2463" i="10"/>
  <c r="J2462" i="10"/>
  <c r="I2462" i="10"/>
  <c r="H2462" i="10"/>
  <c r="J2461" i="10"/>
  <c r="I2461" i="10"/>
  <c r="H2461" i="10"/>
  <c r="J2460" i="10"/>
  <c r="I2460" i="10"/>
  <c r="H2460" i="10"/>
  <c r="J2459" i="10"/>
  <c r="I2459" i="10"/>
  <c r="H2459" i="10"/>
  <c r="J2458" i="10"/>
  <c r="I2458" i="10"/>
  <c r="H2458" i="10"/>
  <c r="J2457" i="10"/>
  <c r="I2457" i="10"/>
  <c r="H2457" i="10"/>
  <c r="J2456" i="10"/>
  <c r="I2456" i="10"/>
  <c r="H2456" i="10"/>
  <c r="J2455" i="10"/>
  <c r="I2455" i="10"/>
  <c r="H2455" i="10"/>
  <c r="J2454" i="10"/>
  <c r="I2454" i="10"/>
  <c r="H2454" i="10"/>
  <c r="J2453" i="10"/>
  <c r="I2453" i="10"/>
  <c r="H2453" i="10"/>
  <c r="J2452" i="10"/>
  <c r="I2452" i="10"/>
  <c r="H2452" i="10"/>
  <c r="J2451" i="10"/>
  <c r="I2451" i="10"/>
  <c r="H2451" i="10"/>
  <c r="J2450" i="10"/>
  <c r="I2450" i="10"/>
  <c r="H2450" i="10"/>
  <c r="J2449" i="10"/>
  <c r="I2449" i="10"/>
  <c r="H2449" i="10"/>
  <c r="J2448" i="10"/>
  <c r="I2448" i="10"/>
  <c r="H2448" i="10"/>
  <c r="J2447" i="10"/>
  <c r="I2447" i="10"/>
  <c r="H2447" i="10"/>
  <c r="J2446" i="10"/>
  <c r="I2446" i="10"/>
  <c r="H2446" i="10"/>
  <c r="J2445" i="10"/>
  <c r="I2445" i="10"/>
  <c r="H2445" i="10"/>
  <c r="J2444" i="10"/>
  <c r="I2444" i="10"/>
  <c r="H2444" i="10"/>
  <c r="J2443" i="10"/>
  <c r="I2443" i="10"/>
  <c r="H2443" i="10"/>
  <c r="J2442" i="10"/>
  <c r="I2442" i="10"/>
  <c r="H2442" i="10"/>
  <c r="J2441" i="10"/>
  <c r="I2441" i="10"/>
  <c r="H2441" i="10"/>
  <c r="J2440" i="10"/>
  <c r="I2440" i="10"/>
  <c r="H2440" i="10"/>
  <c r="J2439" i="10"/>
  <c r="I2439" i="10"/>
  <c r="H2439" i="10"/>
  <c r="J2438" i="10"/>
  <c r="I2438" i="10"/>
  <c r="H2438" i="10"/>
  <c r="J2437" i="10"/>
  <c r="I2437" i="10"/>
  <c r="H2437" i="10"/>
  <c r="J2436" i="10"/>
  <c r="I2436" i="10"/>
  <c r="H2436" i="10"/>
  <c r="J2435" i="10"/>
  <c r="I2435" i="10"/>
  <c r="H2435" i="10"/>
  <c r="J2434" i="10"/>
  <c r="I2434" i="10"/>
  <c r="H2434" i="10"/>
  <c r="J2433" i="10"/>
  <c r="I2433" i="10"/>
  <c r="H2433" i="10"/>
  <c r="J2432" i="10"/>
  <c r="I2432" i="10"/>
  <c r="H2432" i="10"/>
  <c r="J2431" i="10"/>
  <c r="I2431" i="10"/>
  <c r="H2431" i="10"/>
  <c r="J2430" i="10"/>
  <c r="I2430" i="10"/>
  <c r="H2430" i="10"/>
  <c r="J2429" i="10"/>
  <c r="I2429" i="10"/>
  <c r="H2429" i="10"/>
  <c r="J2428" i="10"/>
  <c r="I2428" i="10"/>
  <c r="H2428" i="10"/>
  <c r="J2427" i="10"/>
  <c r="I2427" i="10"/>
  <c r="H2427" i="10"/>
  <c r="J2426" i="10"/>
  <c r="I2426" i="10"/>
  <c r="H2426" i="10"/>
  <c r="J2425" i="10"/>
  <c r="I2425" i="10"/>
  <c r="H2425" i="10"/>
  <c r="J2424" i="10"/>
  <c r="I2424" i="10"/>
  <c r="H2424" i="10"/>
  <c r="J2423" i="10"/>
  <c r="I2423" i="10"/>
  <c r="H2423" i="10"/>
  <c r="J2422" i="10"/>
  <c r="I2422" i="10"/>
  <c r="H2422" i="10"/>
  <c r="J2421" i="10"/>
  <c r="I2421" i="10"/>
  <c r="H2421" i="10"/>
  <c r="J2420" i="10"/>
  <c r="I2420" i="10"/>
  <c r="H2420" i="10"/>
  <c r="J2419" i="10"/>
  <c r="I2419" i="10"/>
  <c r="H2419" i="10"/>
  <c r="J2418" i="10"/>
  <c r="I2418" i="10"/>
  <c r="H2418" i="10"/>
  <c r="J2417" i="10"/>
  <c r="I2417" i="10"/>
  <c r="H2417" i="10"/>
  <c r="J2416" i="10"/>
  <c r="I2416" i="10"/>
  <c r="H2416" i="10"/>
  <c r="J2415" i="10"/>
  <c r="I2415" i="10"/>
  <c r="H2415" i="10"/>
  <c r="J2414" i="10"/>
  <c r="I2414" i="10"/>
  <c r="H2414" i="10"/>
  <c r="J2413" i="10"/>
  <c r="I2413" i="10"/>
  <c r="H2413" i="10"/>
  <c r="J2412" i="10"/>
  <c r="I2412" i="10"/>
  <c r="H2412" i="10"/>
  <c r="J2411" i="10"/>
  <c r="I2411" i="10"/>
  <c r="H2411" i="10"/>
  <c r="J2410" i="10"/>
  <c r="I2410" i="10"/>
  <c r="H2410" i="10"/>
  <c r="J2409" i="10"/>
  <c r="I2409" i="10"/>
  <c r="H2409" i="10"/>
  <c r="J2408" i="10"/>
  <c r="I2408" i="10"/>
  <c r="H2408" i="10"/>
  <c r="J2407" i="10"/>
  <c r="I2407" i="10"/>
  <c r="H2407" i="10"/>
  <c r="J2406" i="10"/>
  <c r="I2406" i="10"/>
  <c r="H2406" i="10"/>
  <c r="J2405" i="10"/>
  <c r="I2405" i="10"/>
  <c r="H2405" i="10"/>
  <c r="J2404" i="10"/>
  <c r="I2404" i="10"/>
  <c r="H2404" i="10"/>
  <c r="J2403" i="10"/>
  <c r="I2403" i="10"/>
  <c r="H2403" i="10"/>
  <c r="J2402" i="10"/>
  <c r="I2402" i="10"/>
  <c r="H2402" i="10"/>
  <c r="J2401" i="10"/>
  <c r="I2401" i="10"/>
  <c r="H2401" i="10"/>
  <c r="J2400" i="10"/>
  <c r="I2400" i="10"/>
  <c r="H2400" i="10"/>
  <c r="J2399" i="10"/>
  <c r="I2399" i="10"/>
  <c r="H2399" i="10"/>
  <c r="J2398" i="10"/>
  <c r="I2398" i="10"/>
  <c r="H2398" i="10"/>
  <c r="J2397" i="10"/>
  <c r="I2397" i="10"/>
  <c r="H2397" i="10"/>
  <c r="J2396" i="10"/>
  <c r="I2396" i="10"/>
  <c r="H2396" i="10"/>
  <c r="J2395" i="10"/>
  <c r="I2395" i="10"/>
  <c r="H2395" i="10"/>
  <c r="J2394" i="10"/>
  <c r="I2394" i="10"/>
  <c r="H2394" i="10"/>
  <c r="J2393" i="10"/>
  <c r="I2393" i="10"/>
  <c r="H2393" i="10"/>
  <c r="J2392" i="10"/>
  <c r="I2392" i="10"/>
  <c r="H2392" i="10"/>
  <c r="J2391" i="10"/>
  <c r="I2391" i="10"/>
  <c r="H2391" i="10"/>
  <c r="J2390" i="10"/>
  <c r="I2390" i="10"/>
  <c r="H2390" i="10"/>
  <c r="J2389" i="10"/>
  <c r="I2389" i="10"/>
  <c r="H2389" i="10"/>
  <c r="J2388" i="10"/>
  <c r="I2388" i="10"/>
  <c r="H2388" i="10"/>
  <c r="J2387" i="10"/>
  <c r="I2387" i="10"/>
  <c r="H2387" i="10"/>
  <c r="J2386" i="10"/>
  <c r="I2386" i="10"/>
  <c r="H2386" i="10"/>
  <c r="J2385" i="10"/>
  <c r="I2385" i="10"/>
  <c r="H2385" i="10"/>
  <c r="J2384" i="10"/>
  <c r="I2384" i="10"/>
  <c r="H2384" i="10"/>
  <c r="J2383" i="10"/>
  <c r="I2383" i="10"/>
  <c r="H2383" i="10"/>
  <c r="J2382" i="10"/>
  <c r="I2382" i="10"/>
  <c r="H2382" i="10"/>
  <c r="J2381" i="10"/>
  <c r="I2381" i="10"/>
  <c r="H2381" i="10"/>
  <c r="J2380" i="10"/>
  <c r="I2380" i="10"/>
  <c r="H2380" i="10"/>
  <c r="J2379" i="10"/>
  <c r="I2379" i="10"/>
  <c r="H2379" i="10"/>
  <c r="J2378" i="10"/>
  <c r="I2378" i="10"/>
  <c r="H2378" i="10"/>
  <c r="J2377" i="10"/>
  <c r="I2377" i="10"/>
  <c r="H2377" i="10"/>
  <c r="J2376" i="10"/>
  <c r="I2376" i="10"/>
  <c r="H2376" i="10"/>
  <c r="J2375" i="10"/>
  <c r="I2375" i="10"/>
  <c r="H2375" i="10"/>
  <c r="J2374" i="10"/>
  <c r="I2374" i="10"/>
  <c r="H2374" i="10"/>
  <c r="J2373" i="10"/>
  <c r="I2373" i="10"/>
  <c r="H2373" i="10"/>
  <c r="J2372" i="10"/>
  <c r="I2372" i="10"/>
  <c r="H2372" i="10"/>
  <c r="J2371" i="10"/>
  <c r="I2371" i="10"/>
  <c r="H2371" i="10"/>
  <c r="J2370" i="10"/>
  <c r="I2370" i="10"/>
  <c r="H2370" i="10"/>
  <c r="J2369" i="10"/>
  <c r="I2369" i="10"/>
  <c r="H2369" i="10"/>
  <c r="J2368" i="10"/>
  <c r="I2368" i="10"/>
  <c r="H2368" i="10"/>
  <c r="J2367" i="10"/>
  <c r="I2367" i="10"/>
  <c r="H2367" i="10"/>
  <c r="J2366" i="10"/>
  <c r="I2366" i="10"/>
  <c r="H2366" i="10"/>
  <c r="J2365" i="10"/>
  <c r="I2365" i="10"/>
  <c r="H2365" i="10"/>
  <c r="J2364" i="10"/>
  <c r="I2364" i="10"/>
  <c r="H2364" i="10"/>
  <c r="J2363" i="10"/>
  <c r="I2363" i="10"/>
  <c r="H2363" i="10"/>
  <c r="J2362" i="10"/>
  <c r="I2362" i="10"/>
  <c r="H2362" i="10"/>
  <c r="J2361" i="10"/>
  <c r="I2361" i="10"/>
  <c r="H2361" i="10"/>
  <c r="J2360" i="10"/>
  <c r="I2360" i="10"/>
  <c r="H2360" i="10"/>
  <c r="J2359" i="10"/>
  <c r="I2359" i="10"/>
  <c r="H2359" i="10"/>
  <c r="J2358" i="10"/>
  <c r="I2358" i="10"/>
  <c r="H2358" i="10"/>
  <c r="J2357" i="10"/>
  <c r="I2357" i="10"/>
  <c r="H2357" i="10"/>
  <c r="J2356" i="10"/>
  <c r="I2356" i="10"/>
  <c r="H2356" i="10"/>
  <c r="J2355" i="10"/>
  <c r="I2355" i="10"/>
  <c r="H2355" i="10"/>
  <c r="J2354" i="10"/>
  <c r="I2354" i="10"/>
  <c r="H2354" i="10"/>
  <c r="J2353" i="10"/>
  <c r="I2353" i="10"/>
  <c r="H2353" i="10"/>
  <c r="J2352" i="10"/>
  <c r="I2352" i="10"/>
  <c r="H2352" i="10"/>
  <c r="J2351" i="10"/>
  <c r="I2351" i="10"/>
  <c r="H2351" i="10"/>
  <c r="J2350" i="10"/>
  <c r="I2350" i="10"/>
  <c r="H2350" i="10"/>
  <c r="J2349" i="10"/>
  <c r="I2349" i="10"/>
  <c r="H2349" i="10"/>
  <c r="J2348" i="10"/>
  <c r="I2348" i="10"/>
  <c r="H2348" i="10"/>
  <c r="J2347" i="10"/>
  <c r="I2347" i="10"/>
  <c r="H2347" i="10"/>
  <c r="J2346" i="10"/>
  <c r="I2346" i="10"/>
  <c r="H2346" i="10"/>
  <c r="J2345" i="10"/>
  <c r="I2345" i="10"/>
  <c r="H2345" i="10"/>
  <c r="J2344" i="10"/>
  <c r="I2344" i="10"/>
  <c r="H2344" i="10"/>
  <c r="J2343" i="10"/>
  <c r="I2343" i="10"/>
  <c r="H2343" i="10"/>
  <c r="J2342" i="10"/>
  <c r="I2342" i="10"/>
  <c r="H2342" i="10"/>
  <c r="J2341" i="10"/>
  <c r="I2341" i="10"/>
  <c r="H2341" i="10"/>
  <c r="J2340" i="10"/>
  <c r="I2340" i="10"/>
  <c r="H2340" i="10"/>
  <c r="J2339" i="10"/>
  <c r="I2339" i="10"/>
  <c r="H2339" i="10"/>
  <c r="J2338" i="10"/>
  <c r="I2338" i="10"/>
  <c r="H2338" i="10"/>
  <c r="J2337" i="10"/>
  <c r="I2337" i="10"/>
  <c r="H2337" i="10"/>
  <c r="J2336" i="10"/>
  <c r="I2336" i="10"/>
  <c r="H2336" i="10"/>
  <c r="J2335" i="10"/>
  <c r="I2335" i="10"/>
  <c r="H2335" i="10"/>
  <c r="J2334" i="10"/>
  <c r="I2334" i="10"/>
  <c r="H2334" i="10"/>
  <c r="J2333" i="10"/>
  <c r="I2333" i="10"/>
  <c r="H2333" i="10"/>
  <c r="J2332" i="10"/>
  <c r="I2332" i="10"/>
  <c r="H2332" i="10"/>
  <c r="J2331" i="10"/>
  <c r="I2331" i="10"/>
  <c r="H2331" i="10"/>
  <c r="J2330" i="10"/>
  <c r="I2330" i="10"/>
  <c r="H2330" i="10"/>
  <c r="J2329" i="10"/>
  <c r="I2329" i="10"/>
  <c r="H2329" i="10"/>
  <c r="J2328" i="10"/>
  <c r="I2328" i="10"/>
  <c r="H2328" i="10"/>
  <c r="J2327" i="10"/>
  <c r="I2327" i="10"/>
  <c r="H2327" i="10"/>
  <c r="M2326" i="10"/>
  <c r="J2326" i="10"/>
  <c r="I2326" i="10"/>
  <c r="H2326" i="10"/>
  <c r="J2325" i="10"/>
  <c r="I2325" i="10"/>
  <c r="H2325" i="10"/>
  <c r="J2324" i="10"/>
  <c r="I2324" i="10"/>
  <c r="H2324" i="10"/>
  <c r="J2323" i="10"/>
  <c r="I2323" i="10"/>
  <c r="H2323" i="10"/>
  <c r="J2322" i="10"/>
  <c r="I2322" i="10"/>
  <c r="H2322" i="10"/>
  <c r="J2321" i="10"/>
  <c r="I2321" i="10"/>
  <c r="H2321" i="10"/>
  <c r="J2320" i="10"/>
  <c r="I2320" i="10"/>
  <c r="H2320" i="10"/>
  <c r="J2319" i="10"/>
  <c r="I2319" i="10"/>
  <c r="H2319" i="10"/>
  <c r="J2318" i="10"/>
  <c r="I2318" i="10"/>
  <c r="H2318" i="10"/>
  <c r="J2317" i="10"/>
  <c r="I2317" i="10"/>
  <c r="H2317" i="10"/>
  <c r="J2316" i="10"/>
  <c r="I2316" i="10"/>
  <c r="H2316" i="10"/>
  <c r="J2315" i="10"/>
  <c r="I2315" i="10"/>
  <c r="H2315" i="10"/>
  <c r="J2314" i="10"/>
  <c r="I2314" i="10"/>
  <c r="H2314" i="10"/>
  <c r="J2313" i="10"/>
  <c r="I2313" i="10"/>
  <c r="H2313" i="10"/>
  <c r="J2312" i="10"/>
  <c r="I2312" i="10"/>
  <c r="H2312" i="10"/>
  <c r="J2311" i="10"/>
  <c r="I2311" i="10"/>
  <c r="H2311" i="10"/>
  <c r="J2310" i="10"/>
  <c r="I2310" i="10"/>
  <c r="H2310" i="10"/>
  <c r="J2309" i="10"/>
  <c r="I2309" i="10"/>
  <c r="H2309" i="10"/>
  <c r="J2308" i="10"/>
  <c r="I2308" i="10"/>
  <c r="H2308" i="10"/>
  <c r="J2307" i="10"/>
  <c r="I2307" i="10"/>
  <c r="H2307" i="10"/>
  <c r="J2306" i="10"/>
  <c r="I2306" i="10"/>
  <c r="H2306" i="10"/>
  <c r="J2305" i="10"/>
  <c r="I2305" i="10"/>
  <c r="H2305" i="10"/>
  <c r="J2304" i="10"/>
  <c r="I2304" i="10"/>
  <c r="H2304" i="10"/>
  <c r="J2303" i="10"/>
  <c r="I2303" i="10"/>
  <c r="H2303" i="10"/>
  <c r="J2302" i="10"/>
  <c r="I2302" i="10"/>
  <c r="H2302" i="10"/>
  <c r="J2301" i="10"/>
  <c r="I2301" i="10"/>
  <c r="H2301" i="10"/>
  <c r="J2300" i="10"/>
  <c r="I2300" i="10"/>
  <c r="H2300" i="10"/>
  <c r="J2299" i="10"/>
  <c r="I2299" i="10"/>
  <c r="H2299" i="10"/>
  <c r="J2298" i="10"/>
  <c r="I2298" i="10"/>
  <c r="H2298" i="10"/>
  <c r="J2297" i="10"/>
  <c r="I2297" i="10"/>
  <c r="H2297" i="10"/>
  <c r="J2296" i="10"/>
  <c r="I2296" i="10"/>
  <c r="H2296" i="10"/>
  <c r="J2295" i="10"/>
  <c r="I2295" i="10"/>
  <c r="H2295" i="10"/>
  <c r="J2294" i="10"/>
  <c r="I2294" i="10"/>
  <c r="H2294" i="10"/>
  <c r="J2293" i="10"/>
  <c r="I2293" i="10"/>
  <c r="H2293" i="10"/>
  <c r="J2292" i="10"/>
  <c r="I2292" i="10"/>
  <c r="H2292" i="10"/>
  <c r="J2291" i="10"/>
  <c r="I2291" i="10"/>
  <c r="H2291" i="10"/>
  <c r="J2290" i="10"/>
  <c r="I2290" i="10"/>
  <c r="H2290" i="10"/>
  <c r="J2289" i="10"/>
  <c r="I2289" i="10"/>
  <c r="H2289" i="10"/>
  <c r="J2288" i="10"/>
  <c r="I2288" i="10"/>
  <c r="H2288" i="10"/>
  <c r="J2287" i="10"/>
  <c r="I2287" i="10"/>
  <c r="H2287" i="10"/>
  <c r="J2286" i="10"/>
  <c r="I2286" i="10"/>
  <c r="H2286" i="10"/>
  <c r="J2285" i="10"/>
  <c r="I2285" i="10"/>
  <c r="H2285" i="10"/>
  <c r="J2284" i="10"/>
  <c r="I2284" i="10"/>
  <c r="H2284" i="10"/>
  <c r="J2283" i="10"/>
  <c r="I2283" i="10"/>
  <c r="H2283" i="10"/>
  <c r="J2282" i="10"/>
  <c r="I2282" i="10"/>
  <c r="H2282" i="10"/>
  <c r="J2281" i="10"/>
  <c r="I2281" i="10"/>
  <c r="H2281" i="10"/>
  <c r="J2280" i="10"/>
  <c r="I2280" i="10"/>
  <c r="H2280" i="10"/>
  <c r="J2279" i="10"/>
  <c r="I2279" i="10"/>
  <c r="H2279" i="10"/>
  <c r="J2278" i="10"/>
  <c r="I2278" i="10"/>
  <c r="H2278" i="10"/>
  <c r="J2277" i="10"/>
  <c r="I2277" i="10"/>
  <c r="H2277" i="10"/>
  <c r="J2276" i="10"/>
  <c r="I2276" i="10"/>
  <c r="H2276" i="10"/>
  <c r="J2275" i="10"/>
  <c r="I2275" i="10"/>
  <c r="H2275" i="10"/>
  <c r="J2274" i="10"/>
  <c r="I2274" i="10"/>
  <c r="H2274" i="10"/>
  <c r="J2273" i="10"/>
  <c r="I2273" i="10"/>
  <c r="H2273" i="10"/>
  <c r="J2272" i="10"/>
  <c r="I2272" i="10"/>
  <c r="H2272" i="10"/>
  <c r="J2271" i="10"/>
  <c r="I2271" i="10"/>
  <c r="H2271" i="10"/>
  <c r="J2270" i="10"/>
  <c r="I2270" i="10"/>
  <c r="H2270" i="10"/>
  <c r="J2269" i="10"/>
  <c r="I2269" i="10"/>
  <c r="H2269" i="10"/>
  <c r="J2268" i="10"/>
  <c r="I2268" i="10"/>
  <c r="H2268" i="10"/>
  <c r="J2267" i="10"/>
  <c r="I2267" i="10"/>
  <c r="H2267" i="10"/>
  <c r="J2266" i="10"/>
  <c r="I2266" i="10"/>
  <c r="H2266" i="10"/>
  <c r="J2265" i="10"/>
  <c r="I2265" i="10"/>
  <c r="H2265" i="10"/>
  <c r="J2264" i="10"/>
  <c r="I2264" i="10"/>
  <c r="H2264" i="10"/>
  <c r="J2263" i="10"/>
  <c r="I2263" i="10"/>
  <c r="H2263" i="10"/>
  <c r="J2262" i="10"/>
  <c r="I2262" i="10"/>
  <c r="H2262" i="10"/>
  <c r="J2261" i="10"/>
  <c r="I2261" i="10"/>
  <c r="H2261" i="10"/>
  <c r="J2260" i="10"/>
  <c r="I2260" i="10"/>
  <c r="H2260" i="10"/>
  <c r="J2259" i="10"/>
  <c r="I2259" i="10"/>
  <c r="H2259" i="10"/>
  <c r="J2258" i="10"/>
  <c r="I2258" i="10"/>
  <c r="H2258" i="10"/>
  <c r="J2257" i="10"/>
  <c r="I2257" i="10"/>
  <c r="H2257" i="10"/>
  <c r="J2256" i="10"/>
  <c r="I2256" i="10"/>
  <c r="H2256" i="10"/>
  <c r="J2255" i="10"/>
  <c r="I2255" i="10"/>
  <c r="H2255" i="10"/>
  <c r="J2254" i="10"/>
  <c r="I2254" i="10"/>
  <c r="H2254" i="10"/>
  <c r="J2253" i="10"/>
  <c r="I2253" i="10"/>
  <c r="H2253" i="10"/>
  <c r="J2252" i="10"/>
  <c r="I2252" i="10"/>
  <c r="H2252" i="10"/>
  <c r="J2251" i="10"/>
  <c r="I2251" i="10"/>
  <c r="H2251" i="10"/>
  <c r="J2250" i="10"/>
  <c r="I2250" i="10"/>
  <c r="H2250" i="10"/>
  <c r="J2249" i="10"/>
  <c r="I2249" i="10"/>
  <c r="H2249" i="10"/>
  <c r="J2248" i="10"/>
  <c r="I2248" i="10"/>
  <c r="H2248" i="10"/>
  <c r="J2247" i="10"/>
  <c r="I2247" i="10"/>
  <c r="H2247" i="10"/>
  <c r="J2246" i="10"/>
  <c r="I2246" i="10"/>
  <c r="H2246" i="10"/>
  <c r="J2245" i="10"/>
  <c r="I2245" i="10"/>
  <c r="H2245" i="10"/>
  <c r="J2244" i="10"/>
  <c r="I2244" i="10"/>
  <c r="H2244" i="10"/>
  <c r="J2243" i="10"/>
  <c r="I2243" i="10"/>
  <c r="H2243" i="10"/>
  <c r="J2242" i="10"/>
  <c r="I2242" i="10"/>
  <c r="H2242" i="10"/>
  <c r="J2241" i="10"/>
  <c r="I2241" i="10"/>
  <c r="H2241" i="10"/>
  <c r="J2240" i="10"/>
  <c r="I2240" i="10"/>
  <c r="H2240" i="10"/>
  <c r="J2239" i="10"/>
  <c r="I2239" i="10"/>
  <c r="H2239" i="10"/>
  <c r="J2238" i="10"/>
  <c r="I2238" i="10"/>
  <c r="H2238" i="10"/>
  <c r="J2237" i="10"/>
  <c r="I2237" i="10"/>
  <c r="H2237" i="10"/>
  <c r="J2236" i="10"/>
  <c r="I2236" i="10"/>
  <c r="H2236" i="10"/>
  <c r="J2235" i="10"/>
  <c r="I2235" i="10"/>
  <c r="H2235" i="10"/>
  <c r="J2234" i="10"/>
  <c r="I2234" i="10"/>
  <c r="H2234" i="10"/>
  <c r="J2233" i="10"/>
  <c r="I2233" i="10"/>
  <c r="H2233" i="10"/>
  <c r="J2232" i="10"/>
  <c r="I2232" i="10"/>
  <c r="H2232" i="10"/>
  <c r="J2231" i="10"/>
  <c r="I2231" i="10"/>
  <c r="H2231" i="10"/>
  <c r="J2230" i="10"/>
  <c r="I2230" i="10"/>
  <c r="H2230" i="10"/>
  <c r="J2229" i="10"/>
  <c r="I2229" i="10"/>
  <c r="H2229" i="10"/>
  <c r="J2228" i="10"/>
  <c r="I2228" i="10"/>
  <c r="H2228" i="10"/>
  <c r="J2227" i="10"/>
  <c r="I2227" i="10"/>
  <c r="H2227" i="10"/>
  <c r="J2226" i="10"/>
  <c r="I2226" i="10"/>
  <c r="H2226" i="10"/>
  <c r="J2225" i="10"/>
  <c r="I2225" i="10"/>
  <c r="H2225" i="10"/>
  <c r="J2224" i="10"/>
  <c r="I2224" i="10"/>
  <c r="H2224" i="10"/>
  <c r="J2223" i="10"/>
  <c r="I2223" i="10"/>
  <c r="H2223" i="10"/>
  <c r="J2222" i="10"/>
  <c r="I2222" i="10"/>
  <c r="H2222" i="10"/>
  <c r="J2221" i="10"/>
  <c r="I2221" i="10"/>
  <c r="H2221" i="10"/>
  <c r="J2220" i="10"/>
  <c r="I2220" i="10"/>
  <c r="H2220" i="10"/>
  <c r="J2219" i="10"/>
  <c r="I2219" i="10"/>
  <c r="H2219" i="10"/>
  <c r="J2218" i="10"/>
  <c r="I2218" i="10"/>
  <c r="H2218" i="10"/>
  <c r="J2217" i="10"/>
  <c r="I2217" i="10"/>
  <c r="H2217" i="10"/>
  <c r="J2216" i="10"/>
  <c r="I2216" i="10"/>
  <c r="H2216" i="10"/>
  <c r="J2215" i="10"/>
  <c r="I2215" i="10"/>
  <c r="H2215" i="10"/>
  <c r="J2214" i="10"/>
  <c r="I2214" i="10"/>
  <c r="H2214" i="10"/>
  <c r="J2213" i="10"/>
  <c r="I2213" i="10"/>
  <c r="H2213" i="10"/>
  <c r="J2212" i="10"/>
  <c r="I2212" i="10"/>
  <c r="H2212" i="10"/>
  <c r="J2211" i="10"/>
  <c r="I2211" i="10"/>
  <c r="H2211" i="10"/>
  <c r="J2210" i="10"/>
  <c r="I2210" i="10"/>
  <c r="H2210" i="10"/>
  <c r="J2209" i="10"/>
  <c r="I2209" i="10"/>
  <c r="H2209" i="10"/>
  <c r="J2208" i="10"/>
  <c r="I2208" i="10"/>
  <c r="H2208" i="10"/>
  <c r="J2207" i="10"/>
  <c r="I2207" i="10"/>
  <c r="H2207" i="10"/>
  <c r="J2206" i="10"/>
  <c r="I2206" i="10"/>
  <c r="H2206" i="10"/>
  <c r="J2205" i="10"/>
  <c r="I2205" i="10"/>
  <c r="H2205" i="10"/>
  <c r="J2204" i="10"/>
  <c r="I2204" i="10"/>
  <c r="H2204" i="10"/>
  <c r="J2203" i="10"/>
  <c r="I2203" i="10"/>
  <c r="H2203" i="10"/>
  <c r="J2202" i="10"/>
  <c r="I2202" i="10"/>
  <c r="H2202" i="10"/>
  <c r="J2201" i="10"/>
  <c r="I2201" i="10"/>
  <c r="H2201" i="10"/>
  <c r="J2200" i="10"/>
  <c r="I2200" i="10"/>
  <c r="H2200" i="10"/>
  <c r="J2199" i="10"/>
  <c r="I2199" i="10"/>
  <c r="H2199" i="10"/>
  <c r="J2198" i="10"/>
  <c r="I2198" i="10"/>
  <c r="H2198" i="10"/>
  <c r="J2197" i="10"/>
  <c r="I2197" i="10"/>
  <c r="H2197" i="10"/>
  <c r="J2196" i="10"/>
  <c r="I2196" i="10"/>
  <c r="H2196" i="10"/>
  <c r="J2195" i="10"/>
  <c r="I2195" i="10"/>
  <c r="H2195" i="10"/>
  <c r="J2194" i="10"/>
  <c r="I2194" i="10"/>
  <c r="H2194" i="10"/>
  <c r="J2193" i="10"/>
  <c r="I2193" i="10"/>
  <c r="H2193" i="10"/>
  <c r="J2192" i="10"/>
  <c r="I2192" i="10"/>
  <c r="H2192" i="10"/>
  <c r="J2191" i="10"/>
  <c r="I2191" i="10"/>
  <c r="H2191" i="10"/>
  <c r="J2190" i="10"/>
  <c r="I2190" i="10"/>
  <c r="H2190" i="10"/>
  <c r="J2189" i="10"/>
  <c r="I2189" i="10"/>
  <c r="H2189" i="10"/>
  <c r="J2188" i="10"/>
  <c r="I2188" i="10"/>
  <c r="H2188" i="10"/>
  <c r="J2187" i="10"/>
  <c r="I2187" i="10"/>
  <c r="H2187" i="10"/>
  <c r="J2186" i="10"/>
  <c r="I2186" i="10"/>
  <c r="H2186" i="10"/>
  <c r="J2185" i="10"/>
  <c r="I2185" i="10"/>
  <c r="H2185" i="10"/>
  <c r="J2184" i="10"/>
  <c r="I2184" i="10"/>
  <c r="H2184" i="10"/>
  <c r="J2183" i="10"/>
  <c r="I2183" i="10"/>
  <c r="H2183" i="10"/>
  <c r="J2182" i="10"/>
  <c r="I2182" i="10"/>
  <c r="H2182" i="10"/>
  <c r="J2181" i="10"/>
  <c r="I2181" i="10"/>
  <c r="H2181" i="10"/>
  <c r="J2180" i="10"/>
  <c r="I2180" i="10"/>
  <c r="H2180" i="10"/>
  <c r="J2179" i="10"/>
  <c r="I2179" i="10"/>
  <c r="H2179" i="10"/>
  <c r="J2178" i="10"/>
  <c r="I2178" i="10"/>
  <c r="H2178" i="10"/>
  <c r="J2177" i="10"/>
  <c r="I2177" i="10"/>
  <c r="H2177" i="10"/>
  <c r="J2176" i="10"/>
  <c r="I2176" i="10"/>
  <c r="H2176" i="10"/>
  <c r="J2175" i="10"/>
  <c r="I2175" i="10"/>
  <c r="H2175" i="10"/>
  <c r="J2174" i="10"/>
  <c r="I2174" i="10"/>
  <c r="H2174" i="10"/>
  <c r="J2173" i="10"/>
  <c r="I2173" i="10"/>
  <c r="H2173" i="10"/>
  <c r="J2172" i="10"/>
  <c r="I2172" i="10"/>
  <c r="H2172" i="10"/>
  <c r="J2171" i="10"/>
  <c r="I2171" i="10"/>
  <c r="H2171" i="10"/>
  <c r="J2170" i="10"/>
  <c r="I2170" i="10"/>
  <c r="H2170" i="10"/>
  <c r="J2169" i="10"/>
  <c r="I2169" i="10"/>
  <c r="H2169" i="10"/>
  <c r="J2168" i="10"/>
  <c r="I2168" i="10"/>
  <c r="H2168" i="10"/>
  <c r="J2167" i="10"/>
  <c r="I2167" i="10"/>
  <c r="H2167" i="10"/>
  <c r="J2166" i="10"/>
  <c r="I2166" i="10"/>
  <c r="H2166" i="10"/>
  <c r="J2165" i="10"/>
  <c r="I2165" i="10"/>
  <c r="H2165" i="10"/>
  <c r="J2164" i="10"/>
  <c r="I2164" i="10"/>
  <c r="H2164" i="10"/>
  <c r="J2163" i="10"/>
  <c r="I2163" i="10"/>
  <c r="H2163" i="10"/>
  <c r="J2162" i="10"/>
  <c r="I2162" i="10"/>
  <c r="H2162" i="10"/>
  <c r="J2161" i="10"/>
  <c r="I2161" i="10"/>
  <c r="H2161" i="10"/>
  <c r="J2160" i="10"/>
  <c r="I2160" i="10"/>
  <c r="H2160" i="10"/>
  <c r="J2159" i="10"/>
  <c r="I2159" i="10"/>
  <c r="H2159" i="10"/>
  <c r="J2158" i="10"/>
  <c r="I2158" i="10"/>
  <c r="H2158" i="10"/>
  <c r="J2157" i="10"/>
  <c r="I2157" i="10"/>
  <c r="H2157" i="10"/>
  <c r="J2156" i="10"/>
  <c r="I2156" i="10"/>
  <c r="H2156" i="10"/>
  <c r="J2155" i="10"/>
  <c r="I2155" i="10"/>
  <c r="H2155" i="10"/>
  <c r="J2154" i="10"/>
  <c r="I2154" i="10"/>
  <c r="H2154" i="10"/>
  <c r="J2153" i="10"/>
  <c r="I2153" i="10"/>
  <c r="H2153" i="10"/>
  <c r="J2152" i="10"/>
  <c r="I2152" i="10"/>
  <c r="H2152" i="10"/>
  <c r="J2151" i="10"/>
  <c r="I2151" i="10"/>
  <c r="H2151" i="10"/>
  <c r="J2150" i="10"/>
  <c r="I2150" i="10"/>
  <c r="H2150" i="10"/>
  <c r="J2149" i="10"/>
  <c r="I2149" i="10"/>
  <c r="H2149" i="10"/>
  <c r="J2148" i="10"/>
  <c r="I2148" i="10"/>
  <c r="H2148" i="10"/>
  <c r="J2147" i="10"/>
  <c r="I2147" i="10"/>
  <c r="H2147" i="10"/>
  <c r="J2146" i="10"/>
  <c r="I2146" i="10"/>
  <c r="H2146" i="10"/>
  <c r="J2145" i="10"/>
  <c r="I2145" i="10"/>
  <c r="H2145" i="10"/>
  <c r="J2144" i="10"/>
  <c r="I2144" i="10"/>
  <c r="H2144" i="10"/>
  <c r="J2143" i="10"/>
  <c r="I2143" i="10"/>
  <c r="H2143" i="10"/>
  <c r="J2142" i="10"/>
  <c r="I2142" i="10"/>
  <c r="H2142" i="10"/>
  <c r="J2141" i="10"/>
  <c r="I2141" i="10"/>
  <c r="H2141" i="10"/>
  <c r="J2140" i="10"/>
  <c r="I2140" i="10"/>
  <c r="H2140" i="10"/>
  <c r="J2139" i="10"/>
  <c r="I2139" i="10"/>
  <c r="H2139" i="10"/>
  <c r="J2138" i="10"/>
  <c r="I2138" i="10"/>
  <c r="H2138" i="10"/>
  <c r="J2137" i="10"/>
  <c r="I2137" i="10"/>
  <c r="H2137" i="10"/>
  <c r="J2136" i="10"/>
  <c r="I2136" i="10"/>
  <c r="H2136" i="10"/>
  <c r="J2135" i="10"/>
  <c r="I2135" i="10"/>
  <c r="H2135" i="10"/>
  <c r="J2134" i="10"/>
  <c r="I2134" i="10"/>
  <c r="H2134" i="10"/>
  <c r="J2133" i="10"/>
  <c r="I2133" i="10"/>
  <c r="H2133" i="10"/>
  <c r="J2132" i="10"/>
  <c r="I2132" i="10"/>
  <c r="H2132" i="10"/>
  <c r="J2131" i="10"/>
  <c r="I2131" i="10"/>
  <c r="H2131" i="10"/>
  <c r="J2130" i="10"/>
  <c r="I2130" i="10"/>
  <c r="H2130" i="10"/>
  <c r="J2129" i="10"/>
  <c r="I2129" i="10"/>
  <c r="H2129" i="10"/>
  <c r="J2128" i="10"/>
  <c r="I2128" i="10"/>
  <c r="H2128" i="10"/>
  <c r="J2127" i="10"/>
  <c r="I2127" i="10"/>
  <c r="H2127" i="10"/>
  <c r="J2126" i="10"/>
  <c r="I2126" i="10"/>
  <c r="H2126" i="10"/>
  <c r="J2125" i="10"/>
  <c r="I2125" i="10"/>
  <c r="H2125" i="10"/>
  <c r="J2124" i="10"/>
  <c r="I2124" i="10"/>
  <c r="H2124" i="10"/>
  <c r="J2123" i="10"/>
  <c r="I2123" i="10"/>
  <c r="H2123" i="10"/>
  <c r="J2122" i="10"/>
  <c r="I2122" i="10"/>
  <c r="H2122" i="10"/>
  <c r="J2121" i="10"/>
  <c r="I2121" i="10"/>
  <c r="H2121" i="10"/>
  <c r="J2120" i="10"/>
  <c r="I2120" i="10"/>
  <c r="H2120" i="10"/>
  <c r="J2119" i="10"/>
  <c r="I2119" i="10"/>
  <c r="H2119" i="10"/>
  <c r="J2118" i="10"/>
  <c r="I2118" i="10"/>
  <c r="H2118" i="10"/>
  <c r="J2117" i="10"/>
  <c r="I2117" i="10"/>
  <c r="H2117" i="10"/>
  <c r="J2116" i="10"/>
  <c r="I2116" i="10"/>
  <c r="H2116" i="10"/>
  <c r="J2115" i="10"/>
  <c r="I2115" i="10"/>
  <c r="H2115" i="10"/>
  <c r="J2114" i="10"/>
  <c r="I2114" i="10"/>
  <c r="H2114" i="10"/>
  <c r="J2113" i="10"/>
  <c r="I2113" i="10"/>
  <c r="H2113" i="10"/>
  <c r="J2112" i="10"/>
  <c r="I2112" i="10"/>
  <c r="H2112" i="10"/>
  <c r="J2111" i="10"/>
  <c r="I2111" i="10"/>
  <c r="H2111" i="10"/>
  <c r="J2110" i="10"/>
  <c r="I2110" i="10"/>
  <c r="H2110" i="10"/>
  <c r="J2109" i="10"/>
  <c r="I2109" i="10"/>
  <c r="H2109" i="10"/>
  <c r="J2108" i="10"/>
  <c r="I2108" i="10"/>
  <c r="H2108" i="10"/>
  <c r="J2107" i="10"/>
  <c r="I2107" i="10"/>
  <c r="H2107" i="10"/>
  <c r="J2106" i="10"/>
  <c r="I2106" i="10"/>
  <c r="H2106" i="10"/>
  <c r="J2105" i="10"/>
  <c r="I2105" i="10"/>
  <c r="H2105" i="10"/>
  <c r="J2104" i="10"/>
  <c r="I2104" i="10"/>
  <c r="H2104" i="10"/>
  <c r="J2103" i="10"/>
  <c r="I2103" i="10"/>
  <c r="H2103" i="10"/>
  <c r="J2102" i="10"/>
  <c r="I2102" i="10"/>
  <c r="H2102" i="10"/>
  <c r="J2101" i="10"/>
  <c r="I2101" i="10"/>
  <c r="H2101" i="10"/>
  <c r="J2100" i="10"/>
  <c r="I2100" i="10"/>
  <c r="H2100" i="10"/>
  <c r="J2099" i="10"/>
  <c r="I2099" i="10"/>
  <c r="H2099" i="10"/>
  <c r="J2098" i="10"/>
  <c r="I2098" i="10"/>
  <c r="H2098" i="10"/>
  <c r="J2097" i="10"/>
  <c r="I2097" i="10"/>
  <c r="H2097" i="10"/>
  <c r="J2096" i="10"/>
  <c r="I2096" i="10"/>
  <c r="H2096" i="10"/>
  <c r="J2095" i="10"/>
  <c r="I2095" i="10"/>
  <c r="H2095" i="10"/>
  <c r="J2094" i="10"/>
  <c r="I2094" i="10"/>
  <c r="H2094" i="10"/>
  <c r="J2093" i="10"/>
  <c r="I2093" i="10"/>
  <c r="H2093" i="10"/>
  <c r="J2092" i="10"/>
  <c r="I2092" i="10"/>
  <c r="H2092" i="10"/>
  <c r="J2091" i="10"/>
  <c r="I2091" i="10"/>
  <c r="H2091" i="10"/>
  <c r="J2090" i="10"/>
  <c r="I2090" i="10"/>
  <c r="H2090" i="10"/>
  <c r="J2089" i="10"/>
  <c r="I2089" i="10"/>
  <c r="H2089" i="10"/>
  <c r="J2088" i="10"/>
  <c r="I2088" i="10"/>
  <c r="H2088" i="10"/>
  <c r="J2087" i="10"/>
  <c r="I2087" i="10"/>
  <c r="H2087" i="10"/>
  <c r="J2086" i="10"/>
  <c r="I2086" i="10"/>
  <c r="H2086" i="10"/>
  <c r="J2085" i="10"/>
  <c r="I2085" i="10"/>
  <c r="H2085" i="10"/>
  <c r="J2084" i="10"/>
  <c r="I2084" i="10"/>
  <c r="H2084" i="10"/>
  <c r="J2083" i="10"/>
  <c r="I2083" i="10"/>
  <c r="H2083" i="10"/>
  <c r="J2082" i="10"/>
  <c r="I2082" i="10"/>
  <c r="H2082" i="10"/>
  <c r="J2081" i="10"/>
  <c r="I2081" i="10"/>
  <c r="H2081" i="10"/>
  <c r="J2080" i="10"/>
  <c r="I2080" i="10"/>
  <c r="H2080" i="10"/>
  <c r="J2079" i="10"/>
  <c r="I2079" i="10"/>
  <c r="H2079" i="10"/>
  <c r="J2078" i="10"/>
  <c r="I2078" i="10"/>
  <c r="H2078" i="10"/>
  <c r="J2077" i="10"/>
  <c r="I2077" i="10"/>
  <c r="H2077" i="10"/>
  <c r="J2076" i="10"/>
  <c r="I2076" i="10"/>
  <c r="H2076" i="10"/>
  <c r="J2075" i="10"/>
  <c r="I2075" i="10"/>
  <c r="H2075" i="10"/>
  <c r="J2074" i="10"/>
  <c r="I2074" i="10"/>
  <c r="H2074" i="10"/>
  <c r="J2073" i="10"/>
  <c r="I2073" i="10"/>
  <c r="H2073" i="10"/>
  <c r="J2072" i="10"/>
  <c r="I2072" i="10"/>
  <c r="H2072" i="10"/>
  <c r="J2071" i="10"/>
  <c r="I2071" i="10"/>
  <c r="H2071" i="10"/>
  <c r="J2070" i="10"/>
  <c r="I2070" i="10"/>
  <c r="H2070" i="10"/>
  <c r="J2069" i="10"/>
  <c r="I2069" i="10"/>
  <c r="H2069" i="10"/>
  <c r="J2068" i="10"/>
  <c r="I2068" i="10"/>
  <c r="H2068" i="10"/>
  <c r="J2067" i="10"/>
  <c r="I2067" i="10"/>
  <c r="H2067" i="10"/>
  <c r="J2066" i="10"/>
  <c r="I2066" i="10"/>
  <c r="H2066" i="10"/>
  <c r="J2065" i="10"/>
  <c r="I2065" i="10"/>
  <c r="H2065" i="10"/>
  <c r="J2064" i="10"/>
  <c r="I2064" i="10"/>
  <c r="H2064" i="10"/>
  <c r="J2063" i="10"/>
  <c r="I2063" i="10"/>
  <c r="H2063" i="10"/>
  <c r="J2062" i="10"/>
  <c r="I2062" i="10"/>
  <c r="H2062" i="10"/>
  <c r="J2061" i="10"/>
  <c r="I2061" i="10"/>
  <c r="H2061" i="10"/>
  <c r="J2060" i="10"/>
  <c r="I2060" i="10"/>
  <c r="H2060" i="10"/>
  <c r="J2059" i="10"/>
  <c r="I2059" i="10"/>
  <c r="H2059" i="10"/>
  <c r="J2058" i="10"/>
  <c r="I2058" i="10"/>
  <c r="H2058" i="10"/>
  <c r="J2057" i="10"/>
  <c r="I2057" i="10"/>
  <c r="H2057" i="10"/>
  <c r="J2056" i="10"/>
  <c r="I2056" i="10"/>
  <c r="H2056" i="10"/>
  <c r="J2055" i="10"/>
  <c r="I2055" i="10"/>
  <c r="H2055" i="10"/>
  <c r="J2054" i="10"/>
  <c r="I2054" i="10"/>
  <c r="H2054" i="10"/>
  <c r="J2053" i="10"/>
  <c r="I2053" i="10"/>
  <c r="H2053" i="10"/>
  <c r="J2052" i="10"/>
  <c r="I2052" i="10"/>
  <c r="H2052" i="10"/>
  <c r="J2051" i="10"/>
  <c r="I2051" i="10"/>
  <c r="H2051" i="10"/>
  <c r="J2050" i="10"/>
  <c r="I2050" i="10"/>
  <c r="H2050" i="10"/>
  <c r="J2049" i="10"/>
  <c r="I2049" i="10"/>
  <c r="H2049" i="10"/>
  <c r="J2048" i="10"/>
  <c r="I2048" i="10"/>
  <c r="H2048" i="10"/>
  <c r="J2047" i="10"/>
  <c r="I2047" i="10"/>
  <c r="H2047" i="10"/>
  <c r="J2046" i="10"/>
  <c r="I2046" i="10"/>
  <c r="H2046" i="10"/>
  <c r="J2045" i="10"/>
  <c r="I2045" i="10"/>
  <c r="H2045" i="10"/>
  <c r="J2044" i="10"/>
  <c r="I2044" i="10"/>
  <c r="H2044" i="10"/>
  <c r="J2043" i="10"/>
  <c r="I2043" i="10"/>
  <c r="H2043" i="10"/>
  <c r="J2042" i="10"/>
  <c r="I2042" i="10"/>
  <c r="H2042" i="10"/>
  <c r="J2041" i="10"/>
  <c r="I2041" i="10"/>
  <c r="H2041" i="10"/>
  <c r="J2040" i="10"/>
  <c r="I2040" i="10"/>
  <c r="H2040" i="10"/>
  <c r="J2039" i="10"/>
  <c r="I2039" i="10"/>
  <c r="H2039" i="10"/>
  <c r="J2038" i="10"/>
  <c r="I2038" i="10"/>
  <c r="H2038" i="10"/>
  <c r="J2037" i="10"/>
  <c r="I2037" i="10"/>
  <c r="H2037" i="10"/>
  <c r="J2036" i="10"/>
  <c r="I2036" i="10"/>
  <c r="H2036" i="10"/>
  <c r="J2035" i="10"/>
  <c r="I2035" i="10"/>
  <c r="H2035" i="10"/>
  <c r="J2034" i="10"/>
  <c r="I2034" i="10"/>
  <c r="H2034" i="10"/>
  <c r="J2033" i="10"/>
  <c r="I2033" i="10"/>
  <c r="H2033" i="10"/>
  <c r="J2032" i="10"/>
  <c r="I2032" i="10"/>
  <c r="H2032" i="10"/>
  <c r="J2031" i="10"/>
  <c r="I2031" i="10"/>
  <c r="H2031" i="10"/>
  <c r="J2030" i="10"/>
  <c r="I2030" i="10"/>
  <c r="H2030" i="10"/>
  <c r="J2029" i="10"/>
  <c r="I2029" i="10"/>
  <c r="H2029" i="10"/>
  <c r="J2028" i="10"/>
  <c r="I2028" i="10"/>
  <c r="H2028" i="10"/>
  <c r="J2027" i="10"/>
  <c r="I2027" i="10"/>
  <c r="H2027" i="10"/>
  <c r="J2026" i="10"/>
  <c r="I2026" i="10"/>
  <c r="H2026" i="10"/>
  <c r="J2025" i="10"/>
  <c r="I2025" i="10"/>
  <c r="H2025" i="10"/>
  <c r="J2024" i="10"/>
  <c r="I2024" i="10"/>
  <c r="H2024" i="10"/>
  <c r="J2023" i="10"/>
  <c r="I2023" i="10"/>
  <c r="H2023" i="10"/>
  <c r="J2022" i="10"/>
  <c r="I2022" i="10"/>
  <c r="H2022" i="10"/>
  <c r="J2021" i="10"/>
  <c r="I2021" i="10"/>
  <c r="H2021" i="10"/>
  <c r="J2020" i="10"/>
  <c r="I2020" i="10"/>
  <c r="H2020" i="10"/>
  <c r="J2019" i="10"/>
  <c r="I2019" i="10"/>
  <c r="H2019" i="10"/>
  <c r="J2018" i="10"/>
  <c r="I2018" i="10"/>
  <c r="H2018" i="10"/>
  <c r="J2017" i="10"/>
  <c r="I2017" i="10"/>
  <c r="H2017" i="10"/>
  <c r="J2016" i="10"/>
  <c r="I2016" i="10"/>
  <c r="H2016" i="10"/>
  <c r="J2015" i="10"/>
  <c r="I2015" i="10"/>
  <c r="H2015" i="10"/>
  <c r="J2014" i="10"/>
  <c r="I2014" i="10"/>
  <c r="H2014" i="10"/>
  <c r="J2013" i="10"/>
  <c r="I2013" i="10"/>
  <c r="H2013" i="10"/>
  <c r="J2012" i="10"/>
  <c r="I2012" i="10"/>
  <c r="H2012" i="10"/>
  <c r="J2011" i="10"/>
  <c r="I2011" i="10"/>
  <c r="H2011" i="10"/>
  <c r="J2010" i="10"/>
  <c r="I2010" i="10"/>
  <c r="H2010" i="10"/>
  <c r="J2009" i="10"/>
  <c r="I2009" i="10"/>
  <c r="H2009" i="10"/>
  <c r="J2008" i="10"/>
  <c r="I2008" i="10"/>
  <c r="H2008" i="10"/>
  <c r="J2007" i="10"/>
  <c r="I2007" i="10"/>
  <c r="H2007" i="10"/>
  <c r="J2006" i="10"/>
  <c r="I2006" i="10"/>
  <c r="H2006" i="10"/>
  <c r="J2005" i="10"/>
  <c r="I2005" i="10"/>
  <c r="H2005" i="10"/>
  <c r="J2004" i="10"/>
  <c r="I2004" i="10"/>
  <c r="H2004" i="10"/>
  <c r="J2003" i="10"/>
  <c r="I2003" i="10"/>
  <c r="H2003" i="10"/>
  <c r="J2002" i="10"/>
  <c r="I2002" i="10"/>
  <c r="H2002" i="10"/>
  <c r="J2001" i="10"/>
  <c r="I2001" i="10"/>
  <c r="H2001" i="10"/>
  <c r="J2000" i="10"/>
  <c r="I2000" i="10"/>
  <c r="H2000" i="10"/>
  <c r="J1999" i="10"/>
  <c r="I1999" i="10"/>
  <c r="H1999" i="10"/>
  <c r="J1998" i="10"/>
  <c r="I1998" i="10"/>
  <c r="H1998" i="10"/>
  <c r="J1997" i="10"/>
  <c r="I1997" i="10"/>
  <c r="H1997" i="10"/>
  <c r="J1996" i="10"/>
  <c r="I1996" i="10"/>
  <c r="H1996" i="10"/>
  <c r="J1995" i="10"/>
  <c r="I1995" i="10"/>
  <c r="H1995" i="10"/>
  <c r="J1994" i="10"/>
  <c r="I1994" i="10"/>
  <c r="H1994" i="10"/>
  <c r="J1993" i="10"/>
  <c r="I1993" i="10"/>
  <c r="H1993" i="10"/>
  <c r="J1992" i="10"/>
  <c r="I1992" i="10"/>
  <c r="H1992" i="10"/>
  <c r="J1991" i="10"/>
  <c r="I1991" i="10"/>
  <c r="H1991" i="10"/>
  <c r="J1990" i="10"/>
  <c r="I1990" i="10"/>
  <c r="H1990" i="10"/>
  <c r="J1989" i="10"/>
  <c r="I1989" i="10"/>
  <c r="H1989" i="10"/>
  <c r="J1988" i="10"/>
  <c r="I1988" i="10"/>
  <c r="H1988" i="10"/>
  <c r="J1987" i="10"/>
  <c r="I1987" i="10"/>
  <c r="H1987" i="10"/>
  <c r="J1986" i="10"/>
  <c r="I1986" i="10"/>
  <c r="H1986" i="10"/>
  <c r="J1985" i="10"/>
  <c r="I1985" i="10"/>
  <c r="H1985" i="10"/>
  <c r="J1984" i="10"/>
  <c r="I1984" i="10"/>
  <c r="H1984" i="10"/>
  <c r="J1983" i="10"/>
  <c r="I1983" i="10"/>
  <c r="H1983" i="10"/>
  <c r="J1982" i="10"/>
  <c r="I1982" i="10"/>
  <c r="H1982" i="10"/>
  <c r="J1981" i="10"/>
  <c r="I1981" i="10"/>
  <c r="H1981" i="10"/>
  <c r="J1980" i="10"/>
  <c r="I1980" i="10"/>
  <c r="H1980" i="10"/>
  <c r="J1979" i="10"/>
  <c r="I1979" i="10"/>
  <c r="H1979" i="10"/>
  <c r="J1978" i="10"/>
  <c r="I1978" i="10"/>
  <c r="H1978" i="10"/>
  <c r="J1977" i="10"/>
  <c r="I1977" i="10"/>
  <c r="H1977" i="10"/>
  <c r="J1976" i="10"/>
  <c r="I1976" i="10"/>
  <c r="H1976" i="10"/>
  <c r="J1975" i="10"/>
  <c r="I1975" i="10"/>
  <c r="H1975" i="10"/>
  <c r="J1974" i="10"/>
  <c r="I1974" i="10"/>
  <c r="H1974" i="10"/>
  <c r="J1973" i="10"/>
  <c r="I1973" i="10"/>
  <c r="H1973" i="10"/>
  <c r="J1972" i="10"/>
  <c r="I1972" i="10"/>
  <c r="H1972" i="10"/>
  <c r="J1971" i="10"/>
  <c r="I1971" i="10"/>
  <c r="H1971" i="10"/>
  <c r="J1970" i="10"/>
  <c r="I1970" i="10"/>
  <c r="H1970" i="10"/>
  <c r="J1969" i="10"/>
  <c r="I1969" i="10"/>
  <c r="H1969" i="10"/>
  <c r="J1968" i="10"/>
  <c r="I1968" i="10"/>
  <c r="H1968" i="10"/>
  <c r="J1967" i="10"/>
  <c r="I1967" i="10"/>
  <c r="H1967" i="10"/>
  <c r="J1966" i="10"/>
  <c r="I1966" i="10"/>
  <c r="H1966" i="10"/>
  <c r="J1965" i="10"/>
  <c r="I1965" i="10"/>
  <c r="H1965" i="10"/>
  <c r="J1964" i="10"/>
  <c r="I1964" i="10"/>
  <c r="H1964" i="10"/>
  <c r="J1963" i="10"/>
  <c r="I1963" i="10"/>
  <c r="H1963" i="10"/>
  <c r="J1962" i="10"/>
  <c r="I1962" i="10"/>
  <c r="H1962" i="10"/>
  <c r="J1961" i="10"/>
  <c r="I1961" i="10"/>
  <c r="H1961" i="10"/>
  <c r="J1960" i="10"/>
  <c r="I1960" i="10"/>
  <c r="H1960" i="10"/>
  <c r="J1959" i="10"/>
  <c r="I1959" i="10"/>
  <c r="H1959" i="10"/>
  <c r="J1958" i="10"/>
  <c r="I1958" i="10"/>
  <c r="H1958" i="10"/>
  <c r="J1957" i="10"/>
  <c r="I1957" i="10"/>
  <c r="H1957" i="10"/>
  <c r="J1956" i="10"/>
  <c r="I1956" i="10"/>
  <c r="H1956" i="10"/>
  <c r="J1955" i="10"/>
  <c r="I1955" i="10"/>
  <c r="H1955" i="10"/>
  <c r="J1954" i="10"/>
  <c r="I1954" i="10"/>
  <c r="H1954" i="10"/>
  <c r="J1953" i="10"/>
  <c r="I1953" i="10"/>
  <c r="H1953" i="10"/>
  <c r="J1952" i="10"/>
  <c r="I1952" i="10"/>
  <c r="H1952" i="10"/>
  <c r="J1951" i="10"/>
  <c r="I1951" i="10"/>
  <c r="H1951" i="10"/>
  <c r="J1950" i="10"/>
  <c r="I1950" i="10"/>
  <c r="H1950" i="10"/>
  <c r="J1949" i="10"/>
  <c r="I1949" i="10"/>
  <c r="H1949" i="10"/>
  <c r="J1948" i="10"/>
  <c r="I1948" i="10"/>
  <c r="H1948" i="10"/>
  <c r="J1947" i="10"/>
  <c r="I1947" i="10"/>
  <c r="H1947" i="10"/>
  <c r="J1946" i="10"/>
  <c r="I1946" i="10"/>
  <c r="H1946" i="10"/>
  <c r="J1945" i="10"/>
  <c r="I1945" i="10"/>
  <c r="H1945" i="10"/>
  <c r="J1944" i="10"/>
  <c r="I1944" i="10"/>
  <c r="H1944" i="10"/>
  <c r="J1943" i="10"/>
  <c r="I1943" i="10"/>
  <c r="H1943" i="10"/>
  <c r="J1942" i="10"/>
  <c r="I1942" i="10"/>
  <c r="H1942" i="10"/>
  <c r="J1941" i="10"/>
  <c r="I1941" i="10"/>
  <c r="H1941" i="10"/>
  <c r="J1940" i="10"/>
  <c r="I1940" i="10"/>
  <c r="H1940" i="10"/>
  <c r="J1939" i="10"/>
  <c r="I1939" i="10"/>
  <c r="H1939" i="10"/>
  <c r="J1938" i="10"/>
  <c r="I1938" i="10"/>
  <c r="H1938" i="10"/>
  <c r="J1937" i="10"/>
  <c r="I1937" i="10"/>
  <c r="H1937" i="10"/>
  <c r="J1936" i="10"/>
  <c r="I1936" i="10"/>
  <c r="H1936" i="10"/>
  <c r="J1935" i="10"/>
  <c r="I1935" i="10"/>
  <c r="H1935" i="10"/>
  <c r="J1934" i="10"/>
  <c r="I1934" i="10"/>
  <c r="H1934" i="10"/>
  <c r="J1933" i="10"/>
  <c r="I1933" i="10"/>
  <c r="H1933" i="10"/>
  <c r="J1932" i="10"/>
  <c r="I1932" i="10"/>
  <c r="H1932" i="10"/>
  <c r="J1931" i="10"/>
  <c r="I1931" i="10"/>
  <c r="H1931" i="10"/>
  <c r="J1930" i="10"/>
  <c r="I1930" i="10"/>
  <c r="H1930" i="10"/>
  <c r="J1929" i="10"/>
  <c r="I1929" i="10"/>
  <c r="H1929" i="10"/>
  <c r="J1928" i="10"/>
  <c r="I1928" i="10"/>
  <c r="H1928" i="10"/>
  <c r="J1927" i="10"/>
  <c r="I1927" i="10"/>
  <c r="H1927" i="10"/>
  <c r="J1926" i="10"/>
  <c r="I1926" i="10"/>
  <c r="H1926" i="10"/>
  <c r="J1925" i="10"/>
  <c r="I1925" i="10"/>
  <c r="H1925" i="10"/>
  <c r="J1924" i="10"/>
  <c r="I1924" i="10"/>
  <c r="H1924" i="10"/>
  <c r="J1923" i="10"/>
  <c r="I1923" i="10"/>
  <c r="H1923" i="10"/>
  <c r="J1922" i="10"/>
  <c r="I1922" i="10"/>
  <c r="H1922" i="10"/>
  <c r="J1921" i="10"/>
  <c r="I1921" i="10"/>
  <c r="H1921" i="10"/>
  <c r="J1920" i="10"/>
  <c r="I1920" i="10"/>
  <c r="H1920" i="10"/>
  <c r="J1919" i="10"/>
  <c r="I1919" i="10"/>
  <c r="H1919" i="10"/>
  <c r="J1918" i="10"/>
  <c r="I1918" i="10"/>
  <c r="H1918" i="10"/>
  <c r="J1917" i="10"/>
  <c r="I1917" i="10"/>
  <c r="H1917" i="10"/>
  <c r="J1916" i="10"/>
  <c r="I1916" i="10"/>
  <c r="H1916" i="10"/>
  <c r="J1915" i="10"/>
  <c r="I1915" i="10"/>
  <c r="H1915" i="10"/>
  <c r="J1914" i="10"/>
  <c r="I1914" i="10"/>
  <c r="H1914" i="10"/>
  <c r="J1913" i="10"/>
  <c r="I1913" i="10"/>
  <c r="H1913" i="10"/>
  <c r="J1912" i="10"/>
  <c r="I1912" i="10"/>
  <c r="H1912" i="10"/>
  <c r="J1911" i="10"/>
  <c r="I1911" i="10"/>
  <c r="H1911" i="10"/>
  <c r="J1910" i="10"/>
  <c r="I1910" i="10"/>
  <c r="H1910" i="10"/>
  <c r="J1909" i="10"/>
  <c r="I1909" i="10"/>
  <c r="H1909" i="10"/>
  <c r="J1908" i="10"/>
  <c r="I1908" i="10"/>
  <c r="H1908" i="10"/>
  <c r="J1907" i="10"/>
  <c r="I1907" i="10"/>
  <c r="H1907" i="10"/>
  <c r="J1906" i="10"/>
  <c r="I1906" i="10"/>
  <c r="H1906" i="10"/>
  <c r="J1905" i="10"/>
  <c r="I1905" i="10"/>
  <c r="H1905" i="10"/>
  <c r="J1904" i="10"/>
  <c r="I1904" i="10"/>
  <c r="H1904" i="10"/>
  <c r="J1903" i="10"/>
  <c r="I1903" i="10"/>
  <c r="H1903" i="10"/>
  <c r="J1902" i="10"/>
  <c r="I1902" i="10"/>
  <c r="H1902" i="10"/>
  <c r="J1901" i="10"/>
  <c r="I1901" i="10"/>
  <c r="H1901" i="10"/>
  <c r="J1900" i="10"/>
  <c r="I1900" i="10"/>
  <c r="H1900" i="10"/>
  <c r="J1899" i="10"/>
  <c r="I1899" i="10"/>
  <c r="H1899" i="10"/>
  <c r="J1898" i="10"/>
  <c r="I1898" i="10"/>
  <c r="H1898" i="10"/>
  <c r="J1897" i="10"/>
  <c r="I1897" i="10"/>
  <c r="H1897" i="10"/>
  <c r="J1896" i="10"/>
  <c r="I1896" i="10"/>
  <c r="H1896" i="10"/>
  <c r="J1895" i="10"/>
  <c r="I1895" i="10"/>
  <c r="H1895" i="10"/>
  <c r="J1894" i="10"/>
  <c r="I1894" i="10"/>
  <c r="H1894" i="10"/>
  <c r="J1893" i="10"/>
  <c r="I1893" i="10"/>
  <c r="H1893" i="10"/>
  <c r="J1892" i="10"/>
  <c r="I1892" i="10"/>
  <c r="H1892" i="10"/>
  <c r="J1891" i="10"/>
  <c r="I1891" i="10"/>
  <c r="H1891" i="10"/>
  <c r="J1890" i="10"/>
  <c r="I1890" i="10"/>
  <c r="H1890" i="10"/>
  <c r="J1889" i="10"/>
  <c r="I1889" i="10"/>
  <c r="H1889" i="10"/>
  <c r="J1888" i="10"/>
  <c r="I1888" i="10"/>
  <c r="H1888" i="10"/>
  <c r="J1887" i="10"/>
  <c r="I1887" i="10"/>
  <c r="H1887" i="10"/>
  <c r="J1886" i="10"/>
  <c r="I1886" i="10"/>
  <c r="H1886" i="10"/>
  <c r="J1885" i="10"/>
  <c r="I1885" i="10"/>
  <c r="H1885" i="10"/>
  <c r="J1884" i="10"/>
  <c r="I1884" i="10"/>
  <c r="H1884" i="10"/>
  <c r="J1883" i="10"/>
  <c r="I1883" i="10"/>
  <c r="H1883" i="10"/>
  <c r="J1882" i="10"/>
  <c r="I1882" i="10"/>
  <c r="H1882" i="10"/>
  <c r="J1881" i="10"/>
  <c r="I1881" i="10"/>
  <c r="H1881" i="10"/>
  <c r="J1880" i="10"/>
  <c r="I1880" i="10"/>
  <c r="H1880" i="10"/>
  <c r="J1879" i="10"/>
  <c r="I1879" i="10"/>
  <c r="H1879" i="10"/>
  <c r="J1878" i="10"/>
  <c r="I1878" i="10"/>
  <c r="H1878" i="10"/>
  <c r="J1877" i="10"/>
  <c r="I1877" i="10"/>
  <c r="H1877" i="10"/>
  <c r="J1876" i="10"/>
  <c r="I1876" i="10"/>
  <c r="H1876" i="10"/>
  <c r="J1875" i="10"/>
  <c r="I1875" i="10"/>
  <c r="H1875" i="10"/>
  <c r="J1874" i="10"/>
  <c r="I1874" i="10"/>
  <c r="H1874" i="10"/>
  <c r="J1873" i="10"/>
  <c r="I1873" i="10"/>
  <c r="H1873" i="10"/>
  <c r="J1872" i="10"/>
  <c r="I1872" i="10"/>
  <c r="H1872" i="10"/>
  <c r="J1871" i="10"/>
  <c r="I1871" i="10"/>
  <c r="H1871" i="10"/>
  <c r="J1870" i="10"/>
  <c r="I1870" i="10"/>
  <c r="H1870" i="10"/>
  <c r="J1869" i="10"/>
  <c r="I1869" i="10"/>
  <c r="H1869" i="10"/>
  <c r="J1868" i="10"/>
  <c r="I1868" i="10"/>
  <c r="H1868" i="10"/>
  <c r="J1867" i="10"/>
  <c r="I1867" i="10"/>
  <c r="H1867" i="10"/>
  <c r="J1866" i="10"/>
  <c r="I1866" i="10"/>
  <c r="H1866" i="10"/>
  <c r="J1865" i="10"/>
  <c r="I1865" i="10"/>
  <c r="H1865" i="10"/>
  <c r="J1864" i="10"/>
  <c r="I1864" i="10"/>
  <c r="H1864" i="10"/>
  <c r="J1863" i="10"/>
  <c r="I1863" i="10"/>
  <c r="H1863" i="10"/>
  <c r="J1862" i="10"/>
  <c r="I1862" i="10"/>
  <c r="H1862" i="10"/>
  <c r="J1861" i="10"/>
  <c r="I1861" i="10"/>
  <c r="H1861" i="10"/>
  <c r="J1860" i="10"/>
  <c r="I1860" i="10"/>
  <c r="H1860" i="10"/>
  <c r="J1859" i="10"/>
  <c r="I1859" i="10"/>
  <c r="H1859" i="10"/>
  <c r="J1858" i="10"/>
  <c r="I1858" i="10"/>
  <c r="H1858" i="10"/>
  <c r="J1857" i="10"/>
  <c r="I1857" i="10"/>
  <c r="H1857" i="10"/>
  <c r="J1856" i="10"/>
  <c r="I1856" i="10"/>
  <c r="H1856" i="10"/>
  <c r="J1855" i="10"/>
  <c r="I1855" i="10"/>
  <c r="H1855" i="10"/>
  <c r="J1854" i="10"/>
  <c r="I1854" i="10"/>
  <c r="H1854" i="10"/>
  <c r="J1853" i="10"/>
  <c r="I1853" i="10"/>
  <c r="H1853" i="10"/>
  <c r="J1852" i="10"/>
  <c r="I1852" i="10"/>
  <c r="H1852" i="10"/>
  <c r="J1851" i="10"/>
  <c r="I1851" i="10"/>
  <c r="H1851" i="10"/>
  <c r="J1850" i="10"/>
  <c r="I1850" i="10"/>
  <c r="H1850" i="10"/>
  <c r="J1849" i="10"/>
  <c r="I1849" i="10"/>
  <c r="H1849" i="10"/>
  <c r="J1848" i="10"/>
  <c r="I1848" i="10"/>
  <c r="H1848" i="10"/>
  <c r="J1847" i="10"/>
  <c r="I1847" i="10"/>
  <c r="H1847" i="10"/>
  <c r="J1846" i="10"/>
  <c r="I1846" i="10"/>
  <c r="H1846" i="10"/>
  <c r="J1845" i="10"/>
  <c r="I1845" i="10"/>
  <c r="H1845" i="10"/>
  <c r="J1844" i="10"/>
  <c r="I1844" i="10"/>
  <c r="H1844" i="10"/>
  <c r="J1843" i="10"/>
  <c r="I1843" i="10"/>
  <c r="H1843" i="10"/>
  <c r="J1842" i="10"/>
  <c r="I1842" i="10"/>
  <c r="H1842" i="10"/>
  <c r="J1841" i="10"/>
  <c r="I1841" i="10"/>
  <c r="H1841" i="10"/>
  <c r="J1840" i="10"/>
  <c r="I1840" i="10"/>
  <c r="H1840" i="10"/>
  <c r="J1839" i="10"/>
  <c r="I1839" i="10"/>
  <c r="H1839" i="10"/>
  <c r="J1838" i="10"/>
  <c r="I1838" i="10"/>
  <c r="H1838" i="10"/>
  <c r="J1837" i="10"/>
  <c r="I1837" i="10"/>
  <c r="H1837" i="10"/>
  <c r="J1836" i="10"/>
  <c r="I1836" i="10"/>
  <c r="H1836" i="10"/>
  <c r="J1835" i="10"/>
  <c r="I1835" i="10"/>
  <c r="H1835" i="10"/>
  <c r="J1834" i="10"/>
  <c r="I1834" i="10"/>
  <c r="H1834" i="10"/>
  <c r="J1833" i="10"/>
  <c r="I1833" i="10"/>
  <c r="H1833" i="10"/>
  <c r="J1832" i="10"/>
  <c r="I1832" i="10"/>
  <c r="H1832" i="10"/>
  <c r="J1831" i="10"/>
  <c r="I1831" i="10"/>
  <c r="H1831" i="10"/>
  <c r="J1830" i="10"/>
  <c r="I1830" i="10"/>
  <c r="H1830" i="10"/>
  <c r="J1829" i="10"/>
  <c r="I1829" i="10"/>
  <c r="H1829" i="10"/>
  <c r="J1828" i="10"/>
  <c r="I1828" i="10"/>
  <c r="H1828" i="10"/>
  <c r="J1827" i="10"/>
  <c r="I1827" i="10"/>
  <c r="H1827" i="10"/>
  <c r="J1826" i="10"/>
  <c r="I1826" i="10"/>
  <c r="H1826" i="10"/>
  <c r="J1825" i="10"/>
  <c r="I1825" i="10"/>
  <c r="H1825" i="10"/>
  <c r="J1824" i="10"/>
  <c r="I1824" i="10"/>
  <c r="H1824" i="10"/>
  <c r="J1823" i="10"/>
  <c r="I1823" i="10"/>
  <c r="H1823" i="10"/>
  <c r="J1822" i="10"/>
  <c r="I1822" i="10"/>
  <c r="H1822" i="10"/>
  <c r="J1821" i="10"/>
  <c r="I1821" i="10"/>
  <c r="H1821" i="10"/>
  <c r="J1820" i="10"/>
  <c r="I1820" i="10"/>
  <c r="H1820" i="10"/>
  <c r="J1819" i="10"/>
  <c r="I1819" i="10"/>
  <c r="H1819" i="10"/>
  <c r="J1818" i="10"/>
  <c r="I1818" i="10"/>
  <c r="H1818" i="10"/>
  <c r="J1817" i="10"/>
  <c r="I1817" i="10"/>
  <c r="H1817" i="10"/>
  <c r="J1816" i="10"/>
  <c r="I1816" i="10"/>
  <c r="H1816" i="10"/>
  <c r="J1815" i="10"/>
  <c r="I1815" i="10"/>
  <c r="H1815" i="10"/>
  <c r="J1814" i="10"/>
  <c r="I1814" i="10"/>
  <c r="H1814" i="10"/>
  <c r="J1813" i="10"/>
  <c r="I1813" i="10"/>
  <c r="H1813" i="10"/>
  <c r="J1812" i="10"/>
  <c r="I1812" i="10"/>
  <c r="H1812" i="10"/>
  <c r="J1811" i="10"/>
  <c r="I1811" i="10"/>
  <c r="H1811" i="10"/>
  <c r="J1810" i="10"/>
  <c r="I1810" i="10"/>
  <c r="H1810" i="10"/>
  <c r="J1809" i="10"/>
  <c r="I1809" i="10"/>
  <c r="H1809" i="10"/>
  <c r="J1808" i="10"/>
  <c r="I1808" i="10"/>
  <c r="H1808" i="10"/>
  <c r="J1807" i="10"/>
  <c r="I1807" i="10"/>
  <c r="H1807" i="10"/>
  <c r="J1806" i="10"/>
  <c r="I1806" i="10"/>
  <c r="H1806" i="10"/>
  <c r="J1805" i="10"/>
  <c r="I1805" i="10"/>
  <c r="H1805" i="10"/>
  <c r="J1804" i="10"/>
  <c r="I1804" i="10"/>
  <c r="H1804" i="10"/>
  <c r="J1803" i="10"/>
  <c r="I1803" i="10"/>
  <c r="H1803" i="10"/>
  <c r="J1802" i="10"/>
  <c r="I1802" i="10"/>
  <c r="H1802" i="10"/>
  <c r="J1801" i="10"/>
  <c r="I1801" i="10"/>
  <c r="H1801" i="10"/>
  <c r="J1800" i="10"/>
  <c r="I1800" i="10"/>
  <c r="H1800" i="10"/>
  <c r="J1799" i="10"/>
  <c r="I1799" i="10"/>
  <c r="H1799" i="10"/>
  <c r="J1798" i="10"/>
  <c r="I1798" i="10"/>
  <c r="H1798" i="10"/>
  <c r="J1797" i="10"/>
  <c r="I1797" i="10"/>
  <c r="H1797" i="10"/>
  <c r="J1796" i="10"/>
  <c r="I1796" i="10"/>
  <c r="H1796" i="10"/>
  <c r="J1795" i="10"/>
  <c r="I1795" i="10"/>
  <c r="H1795" i="10"/>
  <c r="J1794" i="10"/>
  <c r="I1794" i="10"/>
  <c r="H1794" i="10"/>
  <c r="J1793" i="10"/>
  <c r="I1793" i="10"/>
  <c r="H1793" i="10"/>
  <c r="J1792" i="10"/>
  <c r="I1792" i="10"/>
  <c r="H1792" i="10"/>
  <c r="J1791" i="10"/>
  <c r="I1791" i="10"/>
  <c r="H1791" i="10"/>
  <c r="J1790" i="10"/>
  <c r="I1790" i="10"/>
  <c r="H1790" i="10"/>
  <c r="J1789" i="10"/>
  <c r="I1789" i="10"/>
  <c r="H1789" i="10"/>
  <c r="J1788" i="10"/>
  <c r="I1788" i="10"/>
  <c r="H1788" i="10"/>
  <c r="J1787" i="10"/>
  <c r="I1787" i="10"/>
  <c r="H1787" i="10"/>
  <c r="J1786" i="10"/>
  <c r="I1786" i="10"/>
  <c r="H1786" i="10"/>
  <c r="J1785" i="10"/>
  <c r="I1785" i="10"/>
  <c r="H1785" i="10"/>
  <c r="J1784" i="10"/>
  <c r="I1784" i="10"/>
  <c r="H1784" i="10"/>
  <c r="J1783" i="10"/>
  <c r="I1783" i="10"/>
  <c r="H1783" i="10"/>
  <c r="J1782" i="10"/>
  <c r="I1782" i="10"/>
  <c r="H1782" i="10"/>
  <c r="J1781" i="10"/>
  <c r="I1781" i="10"/>
  <c r="H1781" i="10"/>
  <c r="J1780" i="10"/>
  <c r="I1780" i="10"/>
  <c r="H1780" i="10"/>
  <c r="J1779" i="10"/>
  <c r="I1779" i="10"/>
  <c r="H1779" i="10"/>
  <c r="J1778" i="10"/>
  <c r="I1778" i="10"/>
  <c r="H1778" i="10"/>
  <c r="J1777" i="10"/>
  <c r="I1777" i="10"/>
  <c r="H1777" i="10"/>
  <c r="J1776" i="10"/>
  <c r="I1776" i="10"/>
  <c r="H1776" i="10"/>
  <c r="J1775" i="10"/>
  <c r="I1775" i="10"/>
  <c r="H1775" i="10"/>
  <c r="J1774" i="10"/>
  <c r="I1774" i="10"/>
  <c r="H1774" i="10"/>
  <c r="J1773" i="10"/>
  <c r="I1773" i="10"/>
  <c r="H1773" i="10"/>
  <c r="J1772" i="10"/>
  <c r="I1772" i="10"/>
  <c r="H1772" i="10"/>
  <c r="J1771" i="10"/>
  <c r="I1771" i="10"/>
  <c r="H1771" i="10"/>
  <c r="J1770" i="10"/>
  <c r="I1770" i="10"/>
  <c r="H1770" i="10"/>
  <c r="J1769" i="10"/>
  <c r="I1769" i="10"/>
  <c r="H1769" i="10"/>
  <c r="J1768" i="10"/>
  <c r="I1768" i="10"/>
  <c r="H1768" i="10"/>
  <c r="J1767" i="10"/>
  <c r="I1767" i="10"/>
  <c r="H1767" i="10"/>
  <c r="J1766" i="10"/>
  <c r="I1766" i="10"/>
  <c r="H1766" i="10"/>
  <c r="J1765" i="10"/>
  <c r="I1765" i="10"/>
  <c r="H1765" i="10"/>
  <c r="J1764" i="10"/>
  <c r="I1764" i="10"/>
  <c r="H1764" i="10"/>
  <c r="J1763" i="10"/>
  <c r="I1763" i="10"/>
  <c r="H1763" i="10"/>
  <c r="J1762" i="10"/>
  <c r="I1762" i="10"/>
  <c r="H1762" i="10"/>
  <c r="J1761" i="10"/>
  <c r="I1761" i="10"/>
  <c r="H1761" i="10"/>
  <c r="J1760" i="10"/>
  <c r="I1760" i="10"/>
  <c r="H1760" i="10"/>
  <c r="J1759" i="10"/>
  <c r="I1759" i="10"/>
  <c r="H1759" i="10"/>
  <c r="J1758" i="10"/>
  <c r="I1758" i="10"/>
  <c r="H1758" i="10"/>
  <c r="J1757" i="10"/>
  <c r="I1757" i="10"/>
  <c r="H1757" i="10"/>
  <c r="J1756" i="10"/>
  <c r="I1756" i="10"/>
  <c r="H1756" i="10"/>
  <c r="J1755" i="10"/>
  <c r="I1755" i="10"/>
  <c r="H1755" i="10"/>
  <c r="J1754" i="10"/>
  <c r="I1754" i="10"/>
  <c r="H1754" i="10"/>
  <c r="J1753" i="10"/>
  <c r="I1753" i="10"/>
  <c r="H1753" i="10"/>
  <c r="J1752" i="10"/>
  <c r="I1752" i="10"/>
  <c r="H1752" i="10"/>
  <c r="J1751" i="10"/>
  <c r="I1751" i="10"/>
  <c r="H1751" i="10"/>
  <c r="J1750" i="10"/>
  <c r="I1750" i="10"/>
  <c r="H1750" i="10"/>
  <c r="J1749" i="10"/>
  <c r="I1749" i="10"/>
  <c r="H1749" i="10"/>
  <c r="J1748" i="10"/>
  <c r="I1748" i="10"/>
  <c r="H1748" i="10"/>
  <c r="J1747" i="10"/>
  <c r="I1747" i="10"/>
  <c r="H1747" i="10"/>
  <c r="J1746" i="10"/>
  <c r="I1746" i="10"/>
  <c r="H1746" i="10"/>
  <c r="J1745" i="10"/>
  <c r="I1745" i="10"/>
  <c r="H1745" i="10"/>
  <c r="J1744" i="10"/>
  <c r="I1744" i="10"/>
  <c r="H1744" i="10"/>
  <c r="J1743" i="10"/>
  <c r="I1743" i="10"/>
  <c r="H1743" i="10"/>
  <c r="J1742" i="10"/>
  <c r="I1742" i="10"/>
  <c r="H1742" i="10"/>
  <c r="J1741" i="10"/>
  <c r="I1741" i="10"/>
  <c r="H1741" i="10"/>
  <c r="J1740" i="10"/>
  <c r="I1740" i="10"/>
  <c r="H1740" i="10"/>
  <c r="J1739" i="10"/>
  <c r="I1739" i="10"/>
  <c r="H1739" i="10"/>
  <c r="J1738" i="10"/>
  <c r="I1738" i="10"/>
  <c r="H1738" i="10"/>
  <c r="J1737" i="10"/>
  <c r="I1737" i="10"/>
  <c r="H1737" i="10"/>
  <c r="J1736" i="10"/>
  <c r="I1736" i="10"/>
  <c r="H1736" i="10"/>
  <c r="J1735" i="10"/>
  <c r="I1735" i="10"/>
  <c r="H1735" i="10"/>
  <c r="J1734" i="10"/>
  <c r="I1734" i="10"/>
  <c r="H1734" i="10"/>
  <c r="J1733" i="10"/>
  <c r="I1733" i="10"/>
  <c r="H1733" i="10"/>
  <c r="J1732" i="10"/>
  <c r="I1732" i="10"/>
  <c r="H1732" i="10"/>
  <c r="J1731" i="10"/>
  <c r="I1731" i="10"/>
  <c r="H1731" i="10"/>
  <c r="J1730" i="10"/>
  <c r="I1730" i="10"/>
  <c r="H1730" i="10"/>
  <c r="J1729" i="10"/>
  <c r="I1729" i="10"/>
  <c r="H1729" i="10"/>
  <c r="J1728" i="10"/>
  <c r="I1728" i="10"/>
  <c r="H1728" i="10"/>
  <c r="J1727" i="10"/>
  <c r="I1727" i="10"/>
  <c r="H1727" i="10"/>
  <c r="J1726" i="10"/>
  <c r="I1726" i="10"/>
  <c r="H1726" i="10"/>
  <c r="J1725" i="10"/>
  <c r="I1725" i="10"/>
  <c r="H1725" i="10"/>
  <c r="J1724" i="10"/>
  <c r="I1724" i="10"/>
  <c r="H1724" i="10"/>
  <c r="J1723" i="10"/>
  <c r="I1723" i="10"/>
  <c r="H1723" i="10"/>
  <c r="J1722" i="10"/>
  <c r="I1722" i="10"/>
  <c r="H1722" i="10"/>
  <c r="J1721" i="10"/>
  <c r="I1721" i="10"/>
  <c r="H1721" i="10"/>
  <c r="J1720" i="10"/>
  <c r="I1720" i="10"/>
  <c r="H1720" i="10"/>
  <c r="J1719" i="10"/>
  <c r="I1719" i="10"/>
  <c r="H1719" i="10"/>
  <c r="J1718" i="10"/>
  <c r="I1718" i="10"/>
  <c r="H1718" i="10"/>
  <c r="J1717" i="10"/>
  <c r="I1717" i="10"/>
  <c r="H1717" i="10"/>
  <c r="J1716" i="10"/>
  <c r="I1716" i="10"/>
  <c r="H1716" i="10"/>
  <c r="J1715" i="10"/>
  <c r="I1715" i="10"/>
  <c r="H1715" i="10"/>
  <c r="J1714" i="10"/>
  <c r="I1714" i="10"/>
  <c r="H1714" i="10"/>
  <c r="J1713" i="10"/>
  <c r="I1713" i="10"/>
  <c r="H1713" i="10"/>
  <c r="J1712" i="10"/>
  <c r="I1712" i="10"/>
  <c r="H1712" i="10"/>
  <c r="J1711" i="10"/>
  <c r="I1711" i="10"/>
  <c r="H1711" i="10"/>
  <c r="J1710" i="10"/>
  <c r="I1710" i="10"/>
  <c r="H1710" i="10"/>
  <c r="J1709" i="10"/>
  <c r="I1709" i="10"/>
  <c r="H1709" i="10"/>
  <c r="J1708" i="10"/>
  <c r="I1708" i="10"/>
  <c r="H1708" i="10"/>
  <c r="J1707" i="10"/>
  <c r="I1707" i="10"/>
  <c r="H1707" i="10"/>
  <c r="J1706" i="10"/>
  <c r="I1706" i="10"/>
  <c r="H1706" i="10"/>
  <c r="J1705" i="10"/>
  <c r="I1705" i="10"/>
  <c r="H1705" i="10"/>
  <c r="J1704" i="10"/>
  <c r="I1704" i="10"/>
  <c r="H1704" i="10"/>
  <c r="J1703" i="10"/>
  <c r="I1703" i="10"/>
  <c r="H1703" i="10"/>
  <c r="J1702" i="10"/>
  <c r="I1702" i="10"/>
  <c r="H1702" i="10"/>
  <c r="J1701" i="10"/>
  <c r="I1701" i="10"/>
  <c r="H1701" i="10"/>
  <c r="J1700" i="10"/>
  <c r="I1700" i="10"/>
  <c r="H1700" i="10"/>
  <c r="J1699" i="10"/>
  <c r="I1699" i="10"/>
  <c r="H1699" i="10"/>
  <c r="J1698" i="10"/>
  <c r="I1698" i="10"/>
  <c r="H1698" i="10"/>
  <c r="J1697" i="10"/>
  <c r="I1697" i="10"/>
  <c r="H1697" i="10"/>
  <c r="J1696" i="10"/>
  <c r="I1696" i="10"/>
  <c r="H1696" i="10"/>
  <c r="J1695" i="10"/>
  <c r="I1695" i="10"/>
  <c r="H1695" i="10"/>
  <c r="J1694" i="10"/>
  <c r="I1694" i="10"/>
  <c r="H1694" i="10"/>
  <c r="J1693" i="10"/>
  <c r="I1693" i="10"/>
  <c r="H1693" i="10"/>
  <c r="J1692" i="10"/>
  <c r="I1692" i="10"/>
  <c r="H1692" i="10"/>
  <c r="J1691" i="10"/>
  <c r="I1691" i="10"/>
  <c r="H1691" i="10"/>
  <c r="J1690" i="10"/>
  <c r="I1690" i="10"/>
  <c r="H1690" i="10"/>
  <c r="J1689" i="10"/>
  <c r="I1689" i="10"/>
  <c r="H1689" i="10"/>
  <c r="J1688" i="10"/>
  <c r="I1688" i="10"/>
  <c r="H1688" i="10"/>
  <c r="J1687" i="10"/>
  <c r="I1687" i="10"/>
  <c r="H1687" i="10"/>
  <c r="J1686" i="10"/>
  <c r="I1686" i="10"/>
  <c r="H1686" i="10"/>
  <c r="J1685" i="10"/>
  <c r="I1685" i="10"/>
  <c r="H1685" i="10"/>
  <c r="J1684" i="10"/>
  <c r="I1684" i="10"/>
  <c r="H1684" i="10"/>
  <c r="J1683" i="10"/>
  <c r="I1683" i="10"/>
  <c r="H1683" i="10"/>
  <c r="J1682" i="10"/>
  <c r="I1682" i="10"/>
  <c r="H1682" i="10"/>
  <c r="J1681" i="10"/>
  <c r="I1681" i="10"/>
  <c r="H1681" i="10"/>
  <c r="J1680" i="10"/>
  <c r="I1680" i="10"/>
  <c r="H1680" i="10"/>
  <c r="J1679" i="10"/>
  <c r="I1679" i="10"/>
  <c r="H1679" i="10"/>
  <c r="J1678" i="10"/>
  <c r="I1678" i="10"/>
  <c r="H1678" i="10"/>
  <c r="J1677" i="10"/>
  <c r="I1677" i="10"/>
  <c r="H1677" i="10"/>
  <c r="J1676" i="10"/>
  <c r="I1676" i="10"/>
  <c r="H1676" i="10"/>
  <c r="J1675" i="10"/>
  <c r="I1675" i="10"/>
  <c r="H1675" i="10"/>
  <c r="J1674" i="10"/>
  <c r="I1674" i="10"/>
  <c r="H1674" i="10"/>
  <c r="J1673" i="10"/>
  <c r="I1673" i="10"/>
  <c r="H1673" i="10"/>
  <c r="J1672" i="10"/>
  <c r="I1672" i="10"/>
  <c r="H1672" i="10"/>
  <c r="J1671" i="10"/>
  <c r="I1671" i="10"/>
  <c r="H1671" i="10"/>
  <c r="N1670" i="10"/>
  <c r="J1670" i="10"/>
  <c r="I1670" i="10"/>
  <c r="H1670" i="10"/>
  <c r="J1669" i="10"/>
  <c r="I1669" i="10"/>
  <c r="H1669" i="10"/>
  <c r="J1668" i="10"/>
  <c r="I1668" i="10"/>
  <c r="H1668" i="10"/>
  <c r="J1667" i="10"/>
  <c r="I1667" i="10"/>
  <c r="H1667" i="10"/>
  <c r="J1666" i="10"/>
  <c r="I1666" i="10"/>
  <c r="H1666" i="10"/>
  <c r="J1665" i="10"/>
  <c r="I1665" i="10"/>
  <c r="H1665" i="10"/>
  <c r="J1664" i="10"/>
  <c r="I1664" i="10"/>
  <c r="H1664" i="10"/>
  <c r="J1663" i="10"/>
  <c r="I1663" i="10"/>
  <c r="H1663" i="10"/>
  <c r="J1662" i="10"/>
  <c r="I1662" i="10"/>
  <c r="H1662" i="10"/>
  <c r="J1661" i="10"/>
  <c r="I1661" i="10"/>
  <c r="H1661" i="10"/>
  <c r="J1660" i="10"/>
  <c r="I1660" i="10"/>
  <c r="H1660" i="10"/>
  <c r="J1659" i="10"/>
  <c r="I1659" i="10"/>
  <c r="H1659" i="10"/>
  <c r="J1658" i="10"/>
  <c r="I1658" i="10"/>
  <c r="H1658" i="10"/>
  <c r="J1657" i="10"/>
  <c r="I1657" i="10"/>
  <c r="H1657" i="10"/>
  <c r="J1656" i="10"/>
  <c r="I1656" i="10"/>
  <c r="H1656" i="10"/>
  <c r="J1655" i="10"/>
  <c r="I1655" i="10"/>
  <c r="H1655" i="10"/>
  <c r="J1654" i="10"/>
  <c r="I1654" i="10"/>
  <c r="H1654" i="10"/>
  <c r="J1653" i="10"/>
  <c r="I1653" i="10"/>
  <c r="H1653" i="10"/>
  <c r="J1652" i="10"/>
  <c r="I1652" i="10"/>
  <c r="H1652" i="10"/>
  <c r="J1651" i="10"/>
  <c r="I1651" i="10"/>
  <c r="H1651" i="10"/>
  <c r="J1650" i="10"/>
  <c r="I1650" i="10"/>
  <c r="H1650" i="10"/>
  <c r="J1649" i="10"/>
  <c r="I1649" i="10"/>
  <c r="H1649" i="10"/>
  <c r="J1648" i="10"/>
  <c r="I1648" i="10"/>
  <c r="H1648" i="10"/>
  <c r="J1647" i="10"/>
  <c r="I1647" i="10"/>
  <c r="H1647" i="10"/>
  <c r="J1646" i="10"/>
  <c r="I1646" i="10"/>
  <c r="H1646" i="10"/>
  <c r="J1645" i="10"/>
  <c r="I1645" i="10"/>
  <c r="H1645" i="10"/>
  <c r="J1644" i="10"/>
  <c r="I1644" i="10"/>
  <c r="H1644" i="10"/>
  <c r="J1643" i="10"/>
  <c r="I1643" i="10"/>
  <c r="H1643" i="10"/>
  <c r="J1642" i="10"/>
  <c r="I1642" i="10"/>
  <c r="H1642" i="10"/>
  <c r="J1641" i="10"/>
  <c r="I1641" i="10"/>
  <c r="H1641" i="10"/>
  <c r="J1640" i="10"/>
  <c r="I1640" i="10"/>
  <c r="H1640" i="10"/>
  <c r="J1639" i="10"/>
  <c r="I1639" i="10"/>
  <c r="H1639" i="10"/>
  <c r="J1638" i="10"/>
  <c r="I1638" i="10"/>
  <c r="H1638" i="10"/>
  <c r="J1637" i="10"/>
  <c r="I1637" i="10"/>
  <c r="H1637" i="10"/>
  <c r="J1636" i="10"/>
  <c r="I1636" i="10"/>
  <c r="H1636" i="10"/>
  <c r="J1635" i="10"/>
  <c r="I1635" i="10"/>
  <c r="H1635" i="10"/>
  <c r="J1634" i="10"/>
  <c r="I1634" i="10"/>
  <c r="H1634" i="10"/>
  <c r="J1633" i="10"/>
  <c r="I1633" i="10"/>
  <c r="H1633" i="10"/>
  <c r="J1632" i="10"/>
  <c r="I1632" i="10"/>
  <c r="H1632" i="10"/>
  <c r="J1631" i="10"/>
  <c r="I1631" i="10"/>
  <c r="H1631" i="10"/>
  <c r="J1630" i="10"/>
  <c r="I1630" i="10"/>
  <c r="H1630" i="10"/>
  <c r="J1629" i="10"/>
  <c r="I1629" i="10"/>
  <c r="H1629" i="10"/>
  <c r="J1628" i="10"/>
  <c r="I1628" i="10"/>
  <c r="H1628" i="10"/>
  <c r="J1627" i="10"/>
  <c r="I1627" i="10"/>
  <c r="H1627" i="10"/>
  <c r="J1626" i="10"/>
  <c r="I1626" i="10"/>
  <c r="H1626" i="10"/>
  <c r="J1625" i="10"/>
  <c r="I1625" i="10"/>
  <c r="H1625" i="10"/>
  <c r="J1624" i="10"/>
  <c r="I1624" i="10"/>
  <c r="H1624" i="10"/>
  <c r="J1623" i="10"/>
  <c r="I1623" i="10"/>
  <c r="H1623" i="10"/>
  <c r="J1622" i="10"/>
  <c r="I1622" i="10"/>
  <c r="H1622" i="10"/>
  <c r="J1621" i="10"/>
  <c r="I1621" i="10"/>
  <c r="H1621" i="10"/>
  <c r="J1620" i="10"/>
  <c r="I1620" i="10"/>
  <c r="H1620" i="10"/>
  <c r="J1619" i="10"/>
  <c r="I1619" i="10"/>
  <c r="H1619" i="10"/>
  <c r="J1618" i="10"/>
  <c r="I1618" i="10"/>
  <c r="H1618" i="10"/>
  <c r="J1617" i="10"/>
  <c r="I1617" i="10"/>
  <c r="H1617" i="10"/>
  <c r="J1616" i="10"/>
  <c r="I1616" i="10"/>
  <c r="H1616" i="10"/>
  <c r="J1615" i="10"/>
  <c r="I1615" i="10"/>
  <c r="H1615" i="10"/>
  <c r="J1614" i="10"/>
  <c r="I1614" i="10"/>
  <c r="H1614" i="10"/>
  <c r="J1613" i="10"/>
  <c r="I1613" i="10"/>
  <c r="H1613" i="10"/>
  <c r="J1612" i="10"/>
  <c r="I1612" i="10"/>
  <c r="H1612" i="10"/>
  <c r="J1611" i="10"/>
  <c r="I1611" i="10"/>
  <c r="H1611" i="10"/>
  <c r="J1610" i="10"/>
  <c r="I1610" i="10"/>
  <c r="H1610" i="10"/>
  <c r="J1609" i="10"/>
  <c r="I1609" i="10"/>
  <c r="H1609" i="10"/>
  <c r="J1608" i="10"/>
  <c r="I1608" i="10"/>
  <c r="H1608" i="10"/>
  <c r="J1607" i="10"/>
  <c r="I1607" i="10"/>
  <c r="H1607" i="10"/>
  <c r="J1606" i="10"/>
  <c r="I1606" i="10"/>
  <c r="H1606" i="10"/>
  <c r="J1605" i="10"/>
  <c r="I1605" i="10"/>
  <c r="H1605" i="10"/>
  <c r="J1604" i="10"/>
  <c r="I1604" i="10"/>
  <c r="H1604" i="10"/>
  <c r="J1603" i="10"/>
  <c r="I1603" i="10"/>
  <c r="H1603" i="10"/>
  <c r="J1602" i="10"/>
  <c r="I1602" i="10"/>
  <c r="H1602" i="10"/>
  <c r="J1601" i="10"/>
  <c r="I1601" i="10"/>
  <c r="H1601" i="10"/>
  <c r="J1600" i="10"/>
  <c r="I1600" i="10"/>
  <c r="H1600" i="10"/>
  <c r="J1599" i="10"/>
  <c r="I1599" i="10"/>
  <c r="H1599" i="10"/>
  <c r="J1598" i="10"/>
  <c r="I1598" i="10"/>
  <c r="H1598" i="10"/>
  <c r="J1597" i="10"/>
  <c r="I1597" i="10"/>
  <c r="H1597" i="10"/>
  <c r="J1596" i="10"/>
  <c r="I1596" i="10"/>
  <c r="H1596" i="10"/>
  <c r="J1595" i="10"/>
  <c r="I1595" i="10"/>
  <c r="H1595" i="10"/>
  <c r="J1594" i="10"/>
  <c r="I1594" i="10"/>
  <c r="H1594" i="10"/>
  <c r="J1593" i="10"/>
  <c r="I1593" i="10"/>
  <c r="H1593" i="10"/>
  <c r="J1592" i="10"/>
  <c r="I1592" i="10"/>
  <c r="H1592" i="10"/>
  <c r="J1591" i="10"/>
  <c r="I1591" i="10"/>
  <c r="H1591" i="10"/>
  <c r="J1590" i="10"/>
  <c r="I1590" i="10"/>
  <c r="H1590" i="10"/>
  <c r="J1589" i="10"/>
  <c r="I1589" i="10"/>
  <c r="H1589" i="10"/>
  <c r="J1588" i="10"/>
  <c r="I1588" i="10"/>
  <c r="H1588" i="10"/>
  <c r="J1587" i="10"/>
  <c r="I1587" i="10"/>
  <c r="H1587" i="10"/>
  <c r="J1586" i="10"/>
  <c r="I1586" i="10"/>
  <c r="H1586" i="10"/>
  <c r="J1585" i="10"/>
  <c r="I1585" i="10"/>
  <c r="H1585" i="10"/>
  <c r="J1584" i="10"/>
  <c r="I1584" i="10"/>
  <c r="H1584" i="10"/>
  <c r="J1583" i="10"/>
  <c r="I1583" i="10"/>
  <c r="H1583" i="10"/>
  <c r="J1582" i="10"/>
  <c r="I1582" i="10"/>
  <c r="H1582" i="10"/>
  <c r="J1581" i="10"/>
  <c r="I1581" i="10"/>
  <c r="H1581" i="10"/>
  <c r="J1580" i="10"/>
  <c r="I1580" i="10"/>
  <c r="H1580" i="10"/>
  <c r="J1579" i="10"/>
  <c r="I1579" i="10"/>
  <c r="H1579" i="10"/>
  <c r="J1578" i="10"/>
  <c r="I1578" i="10"/>
  <c r="H1578" i="10"/>
  <c r="J1577" i="10"/>
  <c r="I1577" i="10"/>
  <c r="H1577" i="10"/>
  <c r="J1576" i="10"/>
  <c r="I1576" i="10"/>
  <c r="H1576" i="10"/>
  <c r="J1575" i="10"/>
  <c r="I1575" i="10"/>
  <c r="H1575" i="10"/>
  <c r="J1574" i="10"/>
  <c r="I1574" i="10"/>
  <c r="H1574" i="10"/>
  <c r="J1573" i="10"/>
  <c r="I1573" i="10"/>
  <c r="H1573" i="10"/>
  <c r="J1572" i="10"/>
  <c r="I1572" i="10"/>
  <c r="H1572" i="10"/>
  <c r="J1571" i="10"/>
  <c r="I1571" i="10"/>
  <c r="H1571" i="10"/>
  <c r="J1570" i="10"/>
  <c r="I1570" i="10"/>
  <c r="H1570" i="10"/>
  <c r="J1569" i="10"/>
  <c r="I1569" i="10"/>
  <c r="H1569" i="10"/>
  <c r="J1568" i="10"/>
  <c r="I1568" i="10"/>
  <c r="H1568" i="10"/>
  <c r="J1567" i="10"/>
  <c r="I1567" i="10"/>
  <c r="H1567" i="10"/>
  <c r="J1566" i="10"/>
  <c r="I1566" i="10"/>
  <c r="H1566" i="10"/>
  <c r="J1565" i="10"/>
  <c r="I1565" i="10"/>
  <c r="H1565" i="10"/>
  <c r="J1564" i="10"/>
  <c r="I1564" i="10"/>
  <c r="H1564" i="10"/>
  <c r="J1563" i="10"/>
  <c r="I1563" i="10"/>
  <c r="H1563" i="10"/>
  <c r="J1562" i="10"/>
  <c r="I1562" i="10"/>
  <c r="H1562" i="10"/>
  <c r="J1561" i="10"/>
  <c r="I1561" i="10"/>
  <c r="H1561" i="10"/>
  <c r="J1560" i="10"/>
  <c r="I1560" i="10"/>
  <c r="H1560" i="10"/>
  <c r="J1559" i="10"/>
  <c r="I1559" i="10"/>
  <c r="H1559" i="10"/>
  <c r="J1558" i="10"/>
  <c r="I1558" i="10"/>
  <c r="H1558" i="10"/>
  <c r="J1557" i="10"/>
  <c r="I1557" i="10"/>
  <c r="H1557" i="10"/>
  <c r="J1556" i="10"/>
  <c r="I1556" i="10"/>
  <c r="H1556" i="10"/>
  <c r="J1555" i="10"/>
  <c r="I1555" i="10"/>
  <c r="H1555" i="10"/>
  <c r="J1554" i="10"/>
  <c r="I1554" i="10"/>
  <c r="H1554" i="10"/>
  <c r="J1553" i="10"/>
  <c r="I1553" i="10"/>
  <c r="H1553" i="10"/>
  <c r="J1552" i="10"/>
  <c r="I1552" i="10"/>
  <c r="H1552" i="10"/>
  <c r="J1551" i="10"/>
  <c r="I1551" i="10"/>
  <c r="H1551" i="10"/>
  <c r="J1550" i="10"/>
  <c r="I1550" i="10"/>
  <c r="H1550" i="10"/>
  <c r="J1549" i="10"/>
  <c r="I1549" i="10"/>
  <c r="H1549" i="10"/>
  <c r="J1548" i="10"/>
  <c r="I1548" i="10"/>
  <c r="H1548" i="10"/>
  <c r="J1547" i="10"/>
  <c r="I1547" i="10"/>
  <c r="H1547" i="10"/>
  <c r="J1546" i="10"/>
  <c r="I1546" i="10"/>
  <c r="H1546" i="10"/>
  <c r="J1545" i="10"/>
  <c r="I1545" i="10"/>
  <c r="H1545" i="10"/>
  <c r="J1544" i="10"/>
  <c r="I1544" i="10"/>
  <c r="H1544" i="10"/>
  <c r="J1543" i="10"/>
  <c r="I1543" i="10"/>
  <c r="H1543" i="10"/>
  <c r="J1542" i="10"/>
  <c r="I1542" i="10"/>
  <c r="H1542" i="10"/>
  <c r="J1541" i="10"/>
  <c r="I1541" i="10"/>
  <c r="H1541" i="10"/>
  <c r="J1540" i="10"/>
  <c r="I1540" i="10"/>
  <c r="H1540" i="10"/>
  <c r="J1539" i="10"/>
  <c r="I1539" i="10"/>
  <c r="H1539" i="10"/>
  <c r="J1538" i="10"/>
  <c r="I1538" i="10"/>
  <c r="H1538" i="10"/>
  <c r="J1537" i="10"/>
  <c r="I1537" i="10"/>
  <c r="H1537" i="10"/>
  <c r="J1536" i="10"/>
  <c r="I1536" i="10"/>
  <c r="H1536" i="10"/>
  <c r="J1535" i="10"/>
  <c r="I1535" i="10"/>
  <c r="H1535" i="10"/>
  <c r="J1534" i="10"/>
  <c r="I1534" i="10"/>
  <c r="H1534" i="10"/>
  <c r="J1533" i="10"/>
  <c r="I1533" i="10"/>
  <c r="H1533" i="10"/>
  <c r="J1532" i="10"/>
  <c r="I1532" i="10"/>
  <c r="H1532" i="10"/>
  <c r="J1531" i="10"/>
  <c r="I1531" i="10"/>
  <c r="H1531" i="10"/>
  <c r="J1530" i="10"/>
  <c r="I1530" i="10"/>
  <c r="H1530" i="10"/>
  <c r="J1529" i="10"/>
  <c r="I1529" i="10"/>
  <c r="H1529" i="10"/>
  <c r="J1528" i="10"/>
  <c r="I1528" i="10"/>
  <c r="H1528" i="10"/>
  <c r="J1527" i="10"/>
  <c r="I1527" i="10"/>
  <c r="H1527" i="10"/>
  <c r="J1526" i="10"/>
  <c r="I1526" i="10"/>
  <c r="H1526" i="10"/>
  <c r="J1525" i="10"/>
  <c r="I1525" i="10"/>
  <c r="H1525" i="10"/>
  <c r="J1524" i="10"/>
  <c r="I1524" i="10"/>
  <c r="H1524" i="10"/>
  <c r="J1523" i="10"/>
  <c r="I1523" i="10"/>
  <c r="H1523" i="10"/>
  <c r="J1522" i="10"/>
  <c r="I1522" i="10"/>
  <c r="H1522" i="10"/>
  <c r="J1521" i="10"/>
  <c r="I1521" i="10"/>
  <c r="H1521" i="10"/>
  <c r="J1520" i="10"/>
  <c r="I1520" i="10"/>
  <c r="H1520" i="10"/>
  <c r="J1519" i="10"/>
  <c r="I1519" i="10"/>
  <c r="H1519" i="10"/>
  <c r="J1518" i="10"/>
  <c r="I1518" i="10"/>
  <c r="H1518" i="10"/>
  <c r="J1517" i="10"/>
  <c r="I1517" i="10"/>
  <c r="H1517" i="10"/>
  <c r="J1516" i="10"/>
  <c r="I1516" i="10"/>
  <c r="H1516" i="10"/>
  <c r="J1515" i="10"/>
  <c r="I1515" i="10"/>
  <c r="H1515" i="10"/>
  <c r="J1514" i="10"/>
  <c r="I1514" i="10"/>
  <c r="H1514" i="10"/>
  <c r="J1513" i="10"/>
  <c r="I1513" i="10"/>
  <c r="H1513" i="10"/>
  <c r="J1512" i="10"/>
  <c r="I1512" i="10"/>
  <c r="H1512" i="10"/>
  <c r="J1511" i="10"/>
  <c r="I1511" i="10"/>
  <c r="H1511" i="10"/>
  <c r="J1510" i="10"/>
  <c r="I1510" i="10"/>
  <c r="H1510" i="10"/>
  <c r="J1509" i="10"/>
  <c r="I1509" i="10"/>
  <c r="H1509" i="10"/>
  <c r="J1508" i="10"/>
  <c r="I1508" i="10"/>
  <c r="H1508" i="10"/>
  <c r="J1507" i="10"/>
  <c r="I1507" i="10"/>
  <c r="H1507" i="10"/>
  <c r="J1506" i="10"/>
  <c r="I1506" i="10"/>
  <c r="H1506" i="10"/>
  <c r="J1505" i="10"/>
  <c r="I1505" i="10"/>
  <c r="H1505" i="10"/>
  <c r="J1504" i="10"/>
  <c r="I1504" i="10"/>
  <c r="H1504" i="10"/>
  <c r="J1503" i="10"/>
  <c r="I1503" i="10"/>
  <c r="H1503" i="10"/>
  <c r="J1502" i="10"/>
  <c r="I1502" i="10"/>
  <c r="H1502" i="10"/>
  <c r="J1501" i="10"/>
  <c r="I1501" i="10"/>
  <c r="H1501" i="10"/>
  <c r="J1500" i="10"/>
  <c r="I1500" i="10"/>
  <c r="H1500" i="10"/>
  <c r="J1499" i="10"/>
  <c r="I1499" i="10"/>
  <c r="H1499" i="10"/>
  <c r="J1498" i="10"/>
  <c r="I1498" i="10"/>
  <c r="H1498" i="10"/>
  <c r="J1497" i="10"/>
  <c r="I1497" i="10"/>
  <c r="H1497" i="10"/>
  <c r="J1496" i="10"/>
  <c r="I1496" i="10"/>
  <c r="H1496" i="10"/>
  <c r="J1495" i="10"/>
  <c r="I1495" i="10"/>
  <c r="H1495" i="10"/>
  <c r="J1494" i="10"/>
  <c r="I1494" i="10"/>
  <c r="H1494" i="10"/>
  <c r="J1493" i="10"/>
  <c r="I1493" i="10"/>
  <c r="H1493" i="10"/>
  <c r="J1492" i="10"/>
  <c r="I1492" i="10"/>
  <c r="H1492" i="10"/>
  <c r="J1491" i="10"/>
  <c r="I1491" i="10"/>
  <c r="H1491" i="10"/>
  <c r="J1490" i="10"/>
  <c r="I1490" i="10"/>
  <c r="H1490" i="10"/>
  <c r="J1489" i="10"/>
  <c r="I1489" i="10"/>
  <c r="H1489" i="10"/>
  <c r="J1488" i="10"/>
  <c r="I1488" i="10"/>
  <c r="H1488" i="10"/>
  <c r="J1487" i="10"/>
  <c r="I1487" i="10"/>
  <c r="H1487" i="10"/>
  <c r="J1486" i="10"/>
  <c r="I1486" i="10"/>
  <c r="H1486" i="10"/>
  <c r="J1485" i="10"/>
  <c r="I1485" i="10"/>
  <c r="H1485" i="10"/>
  <c r="J1484" i="10"/>
  <c r="I1484" i="10"/>
  <c r="H1484" i="10"/>
  <c r="J1483" i="10"/>
  <c r="I1483" i="10"/>
  <c r="H1483" i="10"/>
  <c r="J1482" i="10"/>
  <c r="I1482" i="10"/>
  <c r="H1482" i="10"/>
  <c r="J1481" i="10"/>
  <c r="I1481" i="10"/>
  <c r="H1481" i="10"/>
  <c r="J1480" i="10"/>
  <c r="I1480" i="10"/>
  <c r="H1480" i="10"/>
  <c r="J1479" i="10"/>
  <c r="I1479" i="10"/>
  <c r="H1479" i="10"/>
  <c r="J1478" i="10"/>
  <c r="I1478" i="10"/>
  <c r="H1478" i="10"/>
  <c r="J1477" i="10"/>
  <c r="I1477" i="10"/>
  <c r="H1477" i="10"/>
  <c r="J1476" i="10"/>
  <c r="I1476" i="10"/>
  <c r="H1476" i="10"/>
  <c r="J1475" i="10"/>
  <c r="I1475" i="10"/>
  <c r="H1475" i="10"/>
  <c r="J1474" i="10"/>
  <c r="I1474" i="10"/>
  <c r="H1474" i="10"/>
  <c r="J1473" i="10"/>
  <c r="I1473" i="10"/>
  <c r="H1473" i="10"/>
  <c r="J1472" i="10"/>
  <c r="I1472" i="10"/>
  <c r="H1472" i="10"/>
  <c r="J1471" i="10"/>
  <c r="I1471" i="10"/>
  <c r="H1471" i="10"/>
  <c r="J1470" i="10"/>
  <c r="I1470" i="10"/>
  <c r="H1470" i="10"/>
  <c r="J1469" i="10"/>
  <c r="I1469" i="10"/>
  <c r="H1469" i="10"/>
  <c r="J1468" i="10"/>
  <c r="I1468" i="10"/>
  <c r="H1468" i="10"/>
  <c r="J1467" i="10"/>
  <c r="I1467" i="10"/>
  <c r="H1467" i="10"/>
  <c r="J1466" i="10"/>
  <c r="I1466" i="10"/>
  <c r="H1466" i="10"/>
  <c r="J1465" i="10"/>
  <c r="I1465" i="10"/>
  <c r="H1465" i="10"/>
  <c r="J1464" i="10"/>
  <c r="I1464" i="10"/>
  <c r="H1464" i="10"/>
  <c r="J1463" i="10"/>
  <c r="I1463" i="10"/>
  <c r="H1463" i="10"/>
  <c r="J1462" i="10"/>
  <c r="I1462" i="10"/>
  <c r="H1462" i="10"/>
  <c r="J1461" i="10"/>
  <c r="I1461" i="10"/>
  <c r="H1461" i="10"/>
  <c r="J1460" i="10"/>
  <c r="I1460" i="10"/>
  <c r="H1460" i="10"/>
  <c r="J1459" i="10"/>
  <c r="I1459" i="10"/>
  <c r="H1459" i="10"/>
  <c r="J1458" i="10"/>
  <c r="I1458" i="10"/>
  <c r="H1458" i="10"/>
  <c r="J1457" i="10"/>
  <c r="I1457" i="10"/>
  <c r="H1457" i="10"/>
  <c r="J1456" i="10"/>
  <c r="I1456" i="10"/>
  <c r="H1456" i="10"/>
  <c r="J1455" i="10"/>
  <c r="I1455" i="10"/>
  <c r="H1455" i="10"/>
  <c r="J1454" i="10"/>
  <c r="I1454" i="10"/>
  <c r="H1454" i="10"/>
  <c r="J1453" i="10"/>
  <c r="I1453" i="10"/>
  <c r="H1453" i="10"/>
  <c r="J1452" i="10"/>
  <c r="I1452" i="10"/>
  <c r="H1452" i="10"/>
  <c r="J1451" i="10"/>
  <c r="I1451" i="10"/>
  <c r="H1451" i="10"/>
  <c r="J1450" i="10"/>
  <c r="I1450" i="10"/>
  <c r="H1450" i="10"/>
  <c r="J1449" i="10"/>
  <c r="I1449" i="10"/>
  <c r="H1449" i="10"/>
  <c r="J1448" i="10"/>
  <c r="I1448" i="10"/>
  <c r="H1448" i="10"/>
  <c r="J1447" i="10"/>
  <c r="I1447" i="10"/>
  <c r="H1447" i="10"/>
  <c r="J1446" i="10"/>
  <c r="I1446" i="10"/>
  <c r="H1446" i="10"/>
  <c r="J1445" i="10"/>
  <c r="I1445" i="10"/>
  <c r="H1445" i="10"/>
  <c r="J1444" i="10"/>
  <c r="I1444" i="10"/>
  <c r="H1444" i="10"/>
  <c r="J1443" i="10"/>
  <c r="I1443" i="10"/>
  <c r="H1443" i="10"/>
  <c r="J1442" i="10"/>
  <c r="I1442" i="10"/>
  <c r="H1442" i="10"/>
  <c r="J1441" i="10"/>
  <c r="I1441" i="10"/>
  <c r="H1441" i="10"/>
  <c r="J1440" i="10"/>
  <c r="I1440" i="10"/>
  <c r="H1440" i="10"/>
  <c r="J1439" i="10"/>
  <c r="I1439" i="10"/>
  <c r="H1439" i="10"/>
  <c r="J1438" i="10"/>
  <c r="I1438" i="10"/>
  <c r="H1438" i="10"/>
  <c r="J1437" i="10"/>
  <c r="I1437" i="10"/>
  <c r="H1437" i="10"/>
  <c r="J1436" i="10"/>
  <c r="I1436" i="10"/>
  <c r="H1436" i="10"/>
  <c r="J1435" i="10"/>
  <c r="I1435" i="10"/>
  <c r="H1435" i="10"/>
  <c r="J1434" i="10"/>
  <c r="I1434" i="10"/>
  <c r="H1434" i="10"/>
  <c r="J1433" i="10"/>
  <c r="I1433" i="10"/>
  <c r="H1433" i="10"/>
  <c r="J1432" i="10"/>
  <c r="I1432" i="10"/>
  <c r="H1432" i="10"/>
  <c r="J1431" i="10"/>
  <c r="I1431" i="10"/>
  <c r="H1431" i="10"/>
  <c r="J1430" i="10"/>
  <c r="I1430" i="10"/>
  <c r="H1430" i="10"/>
  <c r="J1429" i="10"/>
  <c r="I1429" i="10"/>
  <c r="H1429" i="10"/>
  <c r="J1428" i="10"/>
  <c r="I1428" i="10"/>
  <c r="H1428" i="10"/>
  <c r="J1427" i="10"/>
  <c r="I1427" i="10"/>
  <c r="H1427" i="10"/>
  <c r="J1426" i="10"/>
  <c r="I1426" i="10"/>
  <c r="H1426" i="10"/>
  <c r="J1425" i="10"/>
  <c r="I1425" i="10"/>
  <c r="H1425" i="10"/>
  <c r="J1424" i="10"/>
  <c r="I1424" i="10"/>
  <c r="H1424" i="10"/>
  <c r="J1423" i="10"/>
  <c r="I1423" i="10"/>
  <c r="H1423" i="10"/>
  <c r="J1422" i="10"/>
  <c r="I1422" i="10"/>
  <c r="H1422" i="10"/>
  <c r="J1421" i="10"/>
  <c r="I1421" i="10"/>
  <c r="H1421" i="10"/>
  <c r="J1420" i="10"/>
  <c r="I1420" i="10"/>
  <c r="H1420" i="10"/>
  <c r="J1419" i="10"/>
  <c r="I1419" i="10"/>
  <c r="H1419" i="10"/>
  <c r="J1418" i="10"/>
  <c r="I1418" i="10"/>
  <c r="H1418" i="10"/>
  <c r="J1417" i="10"/>
  <c r="I1417" i="10"/>
  <c r="H1417" i="10"/>
  <c r="J1416" i="10"/>
  <c r="I1416" i="10"/>
  <c r="H1416" i="10"/>
  <c r="J1415" i="10"/>
  <c r="I1415" i="10"/>
  <c r="H1415" i="10"/>
  <c r="J1414" i="10"/>
  <c r="I1414" i="10"/>
  <c r="H1414" i="10"/>
  <c r="J1413" i="10"/>
  <c r="I1413" i="10"/>
  <c r="H1413" i="10"/>
  <c r="J1412" i="10"/>
  <c r="I1412" i="10"/>
  <c r="H1412" i="10"/>
  <c r="J1411" i="10"/>
  <c r="I1411" i="10"/>
  <c r="H1411" i="10"/>
  <c r="J1410" i="10"/>
  <c r="I1410" i="10"/>
  <c r="H1410" i="10"/>
  <c r="J1409" i="10"/>
  <c r="I1409" i="10"/>
  <c r="H1409" i="10"/>
  <c r="J1408" i="10"/>
  <c r="I1408" i="10"/>
  <c r="H1408" i="10"/>
  <c r="J1407" i="10"/>
  <c r="I1407" i="10"/>
  <c r="H1407" i="10"/>
  <c r="J1406" i="10"/>
  <c r="I1406" i="10"/>
  <c r="H1406" i="10"/>
  <c r="J1405" i="10"/>
  <c r="I1405" i="10"/>
  <c r="H1405" i="10"/>
  <c r="J1404" i="10"/>
  <c r="I1404" i="10"/>
  <c r="H1404" i="10"/>
  <c r="J1403" i="10"/>
  <c r="I1403" i="10"/>
  <c r="H1403" i="10"/>
  <c r="J1402" i="10"/>
  <c r="I1402" i="10"/>
  <c r="H1402" i="10"/>
  <c r="J1401" i="10"/>
  <c r="I1401" i="10"/>
  <c r="H1401" i="10"/>
  <c r="J1400" i="10"/>
  <c r="I1400" i="10"/>
  <c r="H1400" i="10"/>
  <c r="J1399" i="10"/>
  <c r="I1399" i="10"/>
  <c r="H1399" i="10"/>
  <c r="J1398" i="10"/>
  <c r="I1398" i="10"/>
  <c r="H1398" i="10"/>
  <c r="J1397" i="10"/>
  <c r="I1397" i="10"/>
  <c r="H1397" i="10"/>
  <c r="J1396" i="10"/>
  <c r="I1396" i="10"/>
  <c r="H1396" i="10"/>
  <c r="J1395" i="10"/>
  <c r="I1395" i="10"/>
  <c r="H1395" i="10"/>
  <c r="J1394" i="10"/>
  <c r="I1394" i="10"/>
  <c r="H1394" i="10"/>
  <c r="J1393" i="10"/>
  <c r="I1393" i="10"/>
  <c r="H1393" i="10"/>
  <c r="J1392" i="10"/>
  <c r="I1392" i="10"/>
  <c r="H1392" i="10"/>
  <c r="J1391" i="10"/>
  <c r="I1391" i="10"/>
  <c r="H1391" i="10"/>
  <c r="J1390" i="10"/>
  <c r="I1390" i="10"/>
  <c r="H1390" i="10"/>
  <c r="J1389" i="10"/>
  <c r="I1389" i="10"/>
  <c r="H1389" i="10"/>
  <c r="J1388" i="10"/>
  <c r="I1388" i="10"/>
  <c r="H1388" i="10"/>
  <c r="J1387" i="10"/>
  <c r="I1387" i="10"/>
  <c r="H1387" i="10"/>
  <c r="J1386" i="10"/>
  <c r="I1386" i="10"/>
  <c r="H1386" i="10"/>
  <c r="J1385" i="10"/>
  <c r="I1385" i="10"/>
  <c r="H1385" i="10"/>
  <c r="J1384" i="10"/>
  <c r="I1384" i="10"/>
  <c r="H1384" i="10"/>
  <c r="J1383" i="10"/>
  <c r="I1383" i="10"/>
  <c r="H1383" i="10"/>
  <c r="J1382" i="10"/>
  <c r="I1382" i="10"/>
  <c r="H1382" i="10"/>
  <c r="J1381" i="10"/>
  <c r="I1381" i="10"/>
  <c r="H1381" i="10"/>
  <c r="J1380" i="10"/>
  <c r="I1380" i="10"/>
  <c r="H1380" i="10"/>
  <c r="J1379" i="10"/>
  <c r="I1379" i="10"/>
  <c r="H1379" i="10"/>
  <c r="J1378" i="10"/>
  <c r="I1378" i="10"/>
  <c r="H1378" i="10"/>
  <c r="J1377" i="10"/>
  <c r="I1377" i="10"/>
  <c r="H1377" i="10"/>
  <c r="J1376" i="10"/>
  <c r="I1376" i="10"/>
  <c r="H1376" i="10"/>
  <c r="J1375" i="10"/>
  <c r="I1375" i="10"/>
  <c r="H1375" i="10"/>
  <c r="J1374" i="10"/>
  <c r="I1374" i="10"/>
  <c r="H1374" i="10"/>
  <c r="J1373" i="10"/>
  <c r="I1373" i="10"/>
  <c r="H1373" i="10"/>
  <c r="J1372" i="10"/>
  <c r="I1372" i="10"/>
  <c r="H1372" i="10"/>
  <c r="J1371" i="10"/>
  <c r="I1371" i="10"/>
  <c r="H1371" i="10"/>
  <c r="J1370" i="10"/>
  <c r="I1370" i="10"/>
  <c r="H1370" i="10"/>
  <c r="J1369" i="10"/>
  <c r="I1369" i="10"/>
  <c r="H1369" i="10"/>
  <c r="J1368" i="10"/>
  <c r="I1368" i="10"/>
  <c r="H1368" i="10"/>
  <c r="J1367" i="10"/>
  <c r="I1367" i="10"/>
  <c r="H1367" i="10"/>
  <c r="J1366" i="10"/>
  <c r="I1366" i="10"/>
  <c r="H1366" i="10"/>
  <c r="J1365" i="10"/>
  <c r="I1365" i="10"/>
  <c r="H1365" i="10"/>
  <c r="J1364" i="10"/>
  <c r="I1364" i="10"/>
  <c r="H1364" i="10"/>
  <c r="J1363" i="10"/>
  <c r="I1363" i="10"/>
  <c r="H1363" i="10"/>
  <c r="J1362" i="10"/>
  <c r="I1362" i="10"/>
  <c r="H1362" i="10"/>
  <c r="J1361" i="10"/>
  <c r="I1361" i="10"/>
  <c r="H1361" i="10"/>
  <c r="J1360" i="10"/>
  <c r="I1360" i="10"/>
  <c r="H1360" i="10"/>
  <c r="J1359" i="10"/>
  <c r="I1359" i="10"/>
  <c r="H1359" i="10"/>
  <c r="J1358" i="10"/>
  <c r="I1358" i="10"/>
  <c r="H1358" i="10"/>
  <c r="J1357" i="10"/>
  <c r="I1357" i="10"/>
  <c r="H1357" i="10"/>
  <c r="J1356" i="10"/>
  <c r="I1356" i="10"/>
  <c r="H1356" i="10"/>
  <c r="J1355" i="10"/>
  <c r="I1355" i="10"/>
  <c r="H1355" i="10"/>
  <c r="J1354" i="10"/>
  <c r="I1354" i="10"/>
  <c r="H1354" i="10"/>
  <c r="J1353" i="10"/>
  <c r="I1353" i="10"/>
  <c r="H1353" i="10"/>
  <c r="J1352" i="10"/>
  <c r="I1352" i="10"/>
  <c r="H1352" i="10"/>
  <c r="J1351" i="10"/>
  <c r="I1351" i="10"/>
  <c r="H1351" i="10"/>
  <c r="J1350" i="10"/>
  <c r="I1350" i="10"/>
  <c r="H1350" i="10"/>
  <c r="J1349" i="10"/>
  <c r="I1349" i="10"/>
  <c r="H1349" i="10"/>
  <c r="J1348" i="10"/>
  <c r="I1348" i="10"/>
  <c r="H1348" i="10"/>
  <c r="J1347" i="10"/>
  <c r="I1347" i="10"/>
  <c r="H1347" i="10"/>
  <c r="J1346" i="10"/>
  <c r="I1346" i="10"/>
  <c r="H1346" i="10"/>
  <c r="J1345" i="10"/>
  <c r="I1345" i="10"/>
  <c r="H1345" i="10"/>
  <c r="J1344" i="10"/>
  <c r="I1344" i="10"/>
  <c r="H1344" i="10"/>
  <c r="J1343" i="10"/>
  <c r="I1343" i="10"/>
  <c r="H1343" i="10"/>
  <c r="J1342" i="10"/>
  <c r="I1342" i="10"/>
  <c r="H1342" i="10"/>
  <c r="J1341" i="10"/>
  <c r="I1341" i="10"/>
  <c r="H1341" i="10"/>
  <c r="J1340" i="10"/>
  <c r="I1340" i="10"/>
  <c r="H1340" i="10"/>
  <c r="J1339" i="10"/>
  <c r="I1339" i="10"/>
  <c r="H1339" i="10"/>
  <c r="J1338" i="10"/>
  <c r="I1338" i="10"/>
  <c r="H1338" i="10"/>
  <c r="J1337" i="10"/>
  <c r="I1337" i="10"/>
  <c r="H1337" i="10"/>
  <c r="J1336" i="10"/>
  <c r="I1336" i="10"/>
  <c r="H1336" i="10"/>
  <c r="J1335" i="10"/>
  <c r="I1335" i="10"/>
  <c r="H1335" i="10"/>
  <c r="J1334" i="10"/>
  <c r="I1334" i="10"/>
  <c r="H1334" i="10"/>
  <c r="J1333" i="10"/>
  <c r="I1333" i="10"/>
  <c r="H1333" i="10"/>
  <c r="J1332" i="10"/>
  <c r="I1332" i="10"/>
  <c r="H1332" i="10"/>
  <c r="J1331" i="10"/>
  <c r="I1331" i="10"/>
  <c r="H1331" i="10"/>
  <c r="J1330" i="10"/>
  <c r="I1330" i="10"/>
  <c r="H1330" i="10"/>
  <c r="J1329" i="10"/>
  <c r="I1329" i="10"/>
  <c r="H1329" i="10"/>
  <c r="J1328" i="10"/>
  <c r="I1328" i="10"/>
  <c r="H1328" i="10"/>
  <c r="J1327" i="10"/>
  <c r="I1327" i="10"/>
  <c r="H1327" i="10"/>
  <c r="J1326" i="10"/>
  <c r="I1326" i="10"/>
  <c r="H1326" i="10"/>
  <c r="J1325" i="10"/>
  <c r="I1325" i="10"/>
  <c r="H1325" i="10"/>
  <c r="J1324" i="10"/>
  <c r="I1324" i="10"/>
  <c r="H1324" i="10"/>
  <c r="J1323" i="10"/>
  <c r="I1323" i="10"/>
  <c r="H1323" i="10"/>
  <c r="J1322" i="10"/>
  <c r="I1322" i="10"/>
  <c r="H1322" i="10"/>
  <c r="J1321" i="10"/>
  <c r="I1321" i="10"/>
  <c r="H1321" i="10"/>
  <c r="J1320" i="10"/>
  <c r="I1320" i="10"/>
  <c r="H1320" i="10"/>
  <c r="J1319" i="10"/>
  <c r="I1319" i="10"/>
  <c r="H1319" i="10"/>
  <c r="J1318" i="10"/>
  <c r="I1318" i="10"/>
  <c r="H1318" i="10"/>
  <c r="J1317" i="10"/>
  <c r="I1317" i="10"/>
  <c r="H1317" i="10"/>
  <c r="J1316" i="10"/>
  <c r="I1316" i="10"/>
  <c r="H1316" i="10"/>
  <c r="J1315" i="10"/>
  <c r="I1315" i="10"/>
  <c r="H1315" i="10"/>
  <c r="J1314" i="10"/>
  <c r="I1314" i="10"/>
  <c r="H1314" i="10"/>
  <c r="J1313" i="10"/>
  <c r="I1313" i="10"/>
  <c r="H1313" i="10"/>
  <c r="J1312" i="10"/>
  <c r="I1312" i="10"/>
  <c r="H1312" i="10"/>
  <c r="J1311" i="10"/>
  <c r="I1311" i="10"/>
  <c r="H1311" i="10"/>
  <c r="J1310" i="10"/>
  <c r="I1310" i="10"/>
  <c r="H1310" i="10"/>
  <c r="J1309" i="10"/>
  <c r="I1309" i="10"/>
  <c r="H1309" i="10"/>
  <c r="J1308" i="10"/>
  <c r="I1308" i="10"/>
  <c r="H1308" i="10"/>
  <c r="J1307" i="10"/>
  <c r="I1307" i="10"/>
  <c r="H1307" i="10"/>
  <c r="J1306" i="10"/>
  <c r="I1306" i="10"/>
  <c r="H1306" i="10"/>
  <c r="J1305" i="10"/>
  <c r="I1305" i="10"/>
  <c r="H1305" i="10"/>
  <c r="J1304" i="10"/>
  <c r="I1304" i="10"/>
  <c r="H1304" i="10"/>
  <c r="J1303" i="10"/>
  <c r="I1303" i="10"/>
  <c r="H1303" i="10"/>
  <c r="J1302" i="10"/>
  <c r="I1302" i="10"/>
  <c r="H1302" i="10"/>
  <c r="J1301" i="10"/>
  <c r="I1301" i="10"/>
  <c r="H1301" i="10"/>
  <c r="J1300" i="10"/>
  <c r="I1300" i="10"/>
  <c r="H1300" i="10"/>
  <c r="J1299" i="10"/>
  <c r="I1299" i="10"/>
  <c r="H1299" i="10"/>
  <c r="J1298" i="10"/>
  <c r="I1298" i="10"/>
  <c r="H1298" i="10"/>
  <c r="J1297" i="10"/>
  <c r="I1297" i="10"/>
  <c r="H1297" i="10"/>
  <c r="J1296" i="10"/>
  <c r="I1296" i="10"/>
  <c r="H1296" i="10"/>
  <c r="J1295" i="10"/>
  <c r="I1295" i="10"/>
  <c r="H1295" i="10"/>
  <c r="J1294" i="10"/>
  <c r="I1294" i="10"/>
  <c r="H1294" i="10"/>
  <c r="J1293" i="10"/>
  <c r="I1293" i="10"/>
  <c r="H1293" i="10"/>
  <c r="J1292" i="10"/>
  <c r="I1292" i="10"/>
  <c r="H1292" i="10"/>
  <c r="J1291" i="10"/>
  <c r="I1291" i="10"/>
  <c r="H1291" i="10"/>
  <c r="J1290" i="10"/>
  <c r="I1290" i="10"/>
  <c r="H1290" i="10"/>
  <c r="J1289" i="10"/>
  <c r="I1289" i="10"/>
  <c r="H1289" i="10"/>
  <c r="J1288" i="10"/>
  <c r="I1288" i="10"/>
  <c r="H1288" i="10"/>
  <c r="J1287" i="10"/>
  <c r="I1287" i="10"/>
  <c r="H1287" i="10"/>
  <c r="J1286" i="10"/>
  <c r="I1286" i="10"/>
  <c r="H1286" i="10"/>
  <c r="J1285" i="10"/>
  <c r="I1285" i="10"/>
  <c r="H1285" i="10"/>
  <c r="J1284" i="10"/>
  <c r="I1284" i="10"/>
  <c r="H1284" i="10"/>
  <c r="J1283" i="10"/>
  <c r="I1283" i="10"/>
  <c r="H1283" i="10"/>
  <c r="J1282" i="10"/>
  <c r="I1282" i="10"/>
  <c r="H1282" i="10"/>
  <c r="J1281" i="10"/>
  <c r="I1281" i="10"/>
  <c r="H1281" i="10"/>
  <c r="J1280" i="10"/>
  <c r="I1280" i="10"/>
  <c r="H1280" i="10"/>
  <c r="J1279" i="10"/>
  <c r="I1279" i="10"/>
  <c r="H1279" i="10"/>
  <c r="J1278" i="10"/>
  <c r="I1278" i="10"/>
  <c r="H1278" i="10"/>
  <c r="J1277" i="10"/>
  <c r="I1277" i="10"/>
  <c r="H1277" i="10"/>
  <c r="J1276" i="10"/>
  <c r="I1276" i="10"/>
  <c r="H1276" i="10"/>
  <c r="J1275" i="10"/>
  <c r="I1275" i="10"/>
  <c r="H1275" i="10"/>
  <c r="J1274" i="10"/>
  <c r="I1274" i="10"/>
  <c r="H1274" i="10"/>
  <c r="J1273" i="10"/>
  <c r="I1273" i="10"/>
  <c r="H1273" i="10"/>
  <c r="J1272" i="10"/>
  <c r="I1272" i="10"/>
  <c r="H1272" i="10"/>
  <c r="J1271" i="10"/>
  <c r="I1271" i="10"/>
  <c r="H1271" i="10"/>
  <c r="J1270" i="10"/>
  <c r="I1270" i="10"/>
  <c r="H1270" i="10"/>
  <c r="J1269" i="10"/>
  <c r="I1269" i="10"/>
  <c r="H1269" i="10"/>
  <c r="J1268" i="10"/>
  <c r="I1268" i="10"/>
  <c r="H1268" i="10"/>
  <c r="J1267" i="10"/>
  <c r="I1267" i="10"/>
  <c r="H1267" i="10"/>
  <c r="J1266" i="10"/>
  <c r="I1266" i="10"/>
  <c r="H1266" i="10"/>
  <c r="J1265" i="10"/>
  <c r="I1265" i="10"/>
  <c r="H1265" i="10"/>
  <c r="J1264" i="10"/>
  <c r="I1264" i="10"/>
  <c r="H1264" i="10"/>
  <c r="J1263" i="10"/>
  <c r="I1263" i="10"/>
  <c r="H1263" i="10"/>
  <c r="J1262" i="10"/>
  <c r="I1262" i="10"/>
  <c r="H1262" i="10"/>
  <c r="J1261" i="10"/>
  <c r="I1261" i="10"/>
  <c r="H1261" i="10"/>
  <c r="J1260" i="10"/>
  <c r="I1260" i="10"/>
  <c r="H1260" i="10"/>
  <c r="J1259" i="10"/>
  <c r="I1259" i="10"/>
  <c r="H1259" i="10"/>
  <c r="J1258" i="10"/>
  <c r="I1258" i="10"/>
  <c r="H1258" i="10"/>
  <c r="J1257" i="10"/>
  <c r="I1257" i="10"/>
  <c r="H1257" i="10"/>
  <c r="J1256" i="10"/>
  <c r="I1256" i="10"/>
  <c r="H1256" i="10"/>
  <c r="J1255" i="10"/>
  <c r="I1255" i="10"/>
  <c r="H1255" i="10"/>
  <c r="J1254" i="10"/>
  <c r="I1254" i="10"/>
  <c r="H1254" i="10"/>
  <c r="J1253" i="10"/>
  <c r="I1253" i="10"/>
  <c r="H1253" i="10"/>
  <c r="J1252" i="10"/>
  <c r="I1252" i="10"/>
  <c r="H1252" i="10"/>
  <c r="J1251" i="10"/>
  <c r="I1251" i="10"/>
  <c r="H1251" i="10"/>
  <c r="J1250" i="10"/>
  <c r="I1250" i="10"/>
  <c r="H1250" i="10"/>
  <c r="J1249" i="10"/>
  <c r="I1249" i="10"/>
  <c r="H1249" i="10"/>
  <c r="J1248" i="10"/>
  <c r="I1248" i="10"/>
  <c r="H1248" i="10"/>
  <c r="J1247" i="10"/>
  <c r="I1247" i="10"/>
  <c r="H1247" i="10"/>
  <c r="J1246" i="10"/>
  <c r="I1246" i="10"/>
  <c r="H1246" i="10"/>
  <c r="J1245" i="10"/>
  <c r="I1245" i="10"/>
  <c r="H1245" i="10"/>
  <c r="J1244" i="10"/>
  <c r="I1244" i="10"/>
  <c r="H1244" i="10"/>
  <c r="J1243" i="10"/>
  <c r="I1243" i="10"/>
  <c r="H1243" i="10"/>
  <c r="J1242" i="10"/>
  <c r="I1242" i="10"/>
  <c r="H1242" i="10"/>
  <c r="J1241" i="10"/>
  <c r="I1241" i="10"/>
  <c r="H1241" i="10"/>
  <c r="J1240" i="10"/>
  <c r="I1240" i="10"/>
  <c r="H1240" i="10"/>
  <c r="J1239" i="10"/>
  <c r="I1239" i="10"/>
  <c r="H1239" i="10"/>
  <c r="J1238" i="10"/>
  <c r="I1238" i="10"/>
  <c r="H1238" i="10"/>
  <c r="J1237" i="10"/>
  <c r="I1237" i="10"/>
  <c r="H1237" i="10"/>
  <c r="J1236" i="10"/>
  <c r="I1236" i="10"/>
  <c r="H1236" i="10"/>
  <c r="J1235" i="10"/>
  <c r="I1235" i="10"/>
  <c r="H1235" i="10"/>
  <c r="J1234" i="10"/>
  <c r="I1234" i="10"/>
  <c r="H1234" i="10"/>
  <c r="J1233" i="10"/>
  <c r="I1233" i="10"/>
  <c r="H1233" i="10"/>
  <c r="J1232" i="10"/>
  <c r="I1232" i="10"/>
  <c r="H1232" i="10"/>
  <c r="J1231" i="10"/>
  <c r="I1231" i="10"/>
  <c r="H1231" i="10"/>
  <c r="J1230" i="10"/>
  <c r="I1230" i="10"/>
  <c r="H1230" i="10"/>
  <c r="J1229" i="10"/>
  <c r="I1229" i="10"/>
  <c r="H1229" i="10"/>
  <c r="J1228" i="10"/>
  <c r="I1228" i="10"/>
  <c r="H1228" i="10"/>
  <c r="J1227" i="10"/>
  <c r="I1227" i="10"/>
  <c r="H1227" i="10"/>
  <c r="J1226" i="10"/>
  <c r="I1226" i="10"/>
  <c r="H1226" i="10"/>
  <c r="J1225" i="10"/>
  <c r="I1225" i="10"/>
  <c r="H1225" i="10"/>
  <c r="J1224" i="10"/>
  <c r="I1224" i="10"/>
  <c r="H1224" i="10"/>
  <c r="J1223" i="10"/>
  <c r="I1223" i="10"/>
  <c r="H1223" i="10"/>
  <c r="J1222" i="10"/>
  <c r="I1222" i="10"/>
  <c r="H1222" i="10"/>
  <c r="J1221" i="10"/>
  <c r="I1221" i="10"/>
  <c r="H1221" i="10"/>
  <c r="J1220" i="10"/>
  <c r="I1220" i="10"/>
  <c r="H1220" i="10"/>
  <c r="J1219" i="10"/>
  <c r="I1219" i="10"/>
  <c r="H1219" i="10"/>
  <c r="J1218" i="10"/>
  <c r="I1218" i="10"/>
  <c r="H1218" i="10"/>
  <c r="J1217" i="10"/>
  <c r="I1217" i="10"/>
  <c r="H1217" i="10"/>
  <c r="J1216" i="10"/>
  <c r="I1216" i="10"/>
  <c r="H1216" i="10"/>
  <c r="J1215" i="10"/>
  <c r="I1215" i="10"/>
  <c r="H1215" i="10"/>
  <c r="J1214" i="10"/>
  <c r="I1214" i="10"/>
  <c r="H1214" i="10"/>
  <c r="J1213" i="10"/>
  <c r="I1213" i="10"/>
  <c r="H1213" i="10"/>
  <c r="J1212" i="10"/>
  <c r="I1212" i="10"/>
  <c r="H1212" i="10"/>
  <c r="J1211" i="10"/>
  <c r="I1211" i="10"/>
  <c r="H1211" i="10"/>
  <c r="J1210" i="10"/>
  <c r="I1210" i="10"/>
  <c r="H1210" i="10"/>
  <c r="J1209" i="10"/>
  <c r="I1209" i="10"/>
  <c r="H1209" i="10"/>
  <c r="J1208" i="10"/>
  <c r="I1208" i="10"/>
  <c r="H1208" i="10"/>
  <c r="J1207" i="10"/>
  <c r="I1207" i="10"/>
  <c r="H1207" i="10"/>
  <c r="J1206" i="10"/>
  <c r="I1206" i="10"/>
  <c r="H1206" i="10"/>
  <c r="J1205" i="10"/>
  <c r="I1205" i="10"/>
  <c r="H1205" i="10"/>
  <c r="J1204" i="10"/>
  <c r="I1204" i="10"/>
  <c r="H1204" i="10"/>
  <c r="J1203" i="10"/>
  <c r="I1203" i="10"/>
  <c r="H1203" i="10"/>
  <c r="J1202" i="10"/>
  <c r="I1202" i="10"/>
  <c r="H1202" i="10"/>
  <c r="J1201" i="10"/>
  <c r="I1201" i="10"/>
  <c r="H1201" i="10"/>
  <c r="J1200" i="10"/>
  <c r="I1200" i="10"/>
  <c r="H1200" i="10"/>
  <c r="J1199" i="10"/>
  <c r="I1199" i="10"/>
  <c r="H1199" i="10"/>
  <c r="J1198" i="10"/>
  <c r="I1198" i="10"/>
  <c r="H1198" i="10"/>
  <c r="J1197" i="10"/>
  <c r="I1197" i="10"/>
  <c r="H1197" i="10"/>
  <c r="J1196" i="10"/>
  <c r="I1196" i="10"/>
  <c r="H1196" i="10"/>
  <c r="J1195" i="10"/>
  <c r="I1195" i="10"/>
  <c r="H1195" i="10"/>
  <c r="J1194" i="10"/>
  <c r="I1194" i="10"/>
  <c r="H1194" i="10"/>
  <c r="J1193" i="10"/>
  <c r="I1193" i="10"/>
  <c r="H1193" i="10"/>
  <c r="J1192" i="10"/>
  <c r="I1192" i="10"/>
  <c r="H1192" i="10"/>
  <c r="J1191" i="10"/>
  <c r="I1191" i="10"/>
  <c r="H1191" i="10"/>
  <c r="J1190" i="10"/>
  <c r="I1190" i="10"/>
  <c r="H1190" i="10"/>
  <c r="J1189" i="10"/>
  <c r="I1189" i="10"/>
  <c r="H1189" i="10"/>
  <c r="J1188" i="10"/>
  <c r="I1188" i="10"/>
  <c r="H1188" i="10"/>
  <c r="J1187" i="10"/>
  <c r="I1187" i="10"/>
  <c r="H1187" i="10"/>
  <c r="J1186" i="10"/>
  <c r="I1186" i="10"/>
  <c r="H1186" i="10"/>
  <c r="J1185" i="10"/>
  <c r="I1185" i="10"/>
  <c r="H1185" i="10"/>
  <c r="J1184" i="10"/>
  <c r="I1184" i="10"/>
  <c r="H1184" i="10"/>
  <c r="J1183" i="10"/>
  <c r="I1183" i="10"/>
  <c r="H1183" i="10"/>
  <c r="J1182" i="10"/>
  <c r="I1182" i="10"/>
  <c r="H1182" i="10"/>
  <c r="J1181" i="10"/>
  <c r="I1181" i="10"/>
  <c r="H1181" i="10"/>
  <c r="J1180" i="10"/>
  <c r="I1180" i="10"/>
  <c r="H1180" i="10"/>
  <c r="J1179" i="10"/>
  <c r="I1179" i="10"/>
  <c r="H1179" i="10"/>
  <c r="J1178" i="10"/>
  <c r="I1178" i="10"/>
  <c r="H1178" i="10"/>
  <c r="J1177" i="10"/>
  <c r="I1177" i="10"/>
  <c r="H1177" i="10"/>
  <c r="J1176" i="10"/>
  <c r="I1176" i="10"/>
  <c r="H1176" i="10"/>
  <c r="J1175" i="10"/>
  <c r="I1175" i="10"/>
  <c r="H1175" i="10"/>
  <c r="J1174" i="10"/>
  <c r="I1174" i="10"/>
  <c r="H1174" i="10"/>
  <c r="J1173" i="10"/>
  <c r="I1173" i="10"/>
  <c r="H1173" i="10"/>
  <c r="J1172" i="10"/>
  <c r="I1172" i="10"/>
  <c r="H1172" i="10"/>
  <c r="J1171" i="10"/>
  <c r="I1171" i="10"/>
  <c r="H1171" i="10"/>
  <c r="J1170" i="10"/>
  <c r="I1170" i="10"/>
  <c r="H1170" i="10"/>
  <c r="J1169" i="10"/>
  <c r="I1169" i="10"/>
  <c r="H1169" i="10"/>
  <c r="J1168" i="10"/>
  <c r="I1168" i="10"/>
  <c r="H1168" i="10"/>
  <c r="J1167" i="10"/>
  <c r="I1167" i="10"/>
  <c r="H1167" i="10"/>
  <c r="J1166" i="10"/>
  <c r="I1166" i="10"/>
  <c r="H1166" i="10"/>
  <c r="J1165" i="10"/>
  <c r="I1165" i="10"/>
  <c r="H1165" i="10"/>
  <c r="J1164" i="10"/>
  <c r="I1164" i="10"/>
  <c r="H1164" i="10"/>
  <c r="J1163" i="10"/>
  <c r="I1163" i="10"/>
  <c r="H1163" i="10"/>
  <c r="J1162" i="10"/>
  <c r="I1162" i="10"/>
  <c r="H1162" i="10"/>
  <c r="J1161" i="10"/>
  <c r="I1161" i="10"/>
  <c r="H1161" i="10"/>
  <c r="J1160" i="10"/>
  <c r="I1160" i="10"/>
  <c r="H1160" i="10"/>
  <c r="J1159" i="10"/>
  <c r="I1159" i="10"/>
  <c r="H1159" i="10"/>
  <c r="J1158" i="10"/>
  <c r="I1158" i="10"/>
  <c r="H1158" i="10"/>
  <c r="J1157" i="10"/>
  <c r="I1157" i="10"/>
  <c r="H1157" i="10"/>
  <c r="J1156" i="10"/>
  <c r="I1156" i="10"/>
  <c r="H1156" i="10"/>
  <c r="J1155" i="10"/>
  <c r="I1155" i="10"/>
  <c r="H1155" i="10"/>
  <c r="J1154" i="10"/>
  <c r="I1154" i="10"/>
  <c r="H1154" i="10"/>
  <c r="J1153" i="10"/>
  <c r="I1153" i="10"/>
  <c r="H1153" i="10"/>
  <c r="J1152" i="10"/>
  <c r="I1152" i="10"/>
  <c r="H1152" i="10"/>
  <c r="J1151" i="10"/>
  <c r="I1151" i="10"/>
  <c r="H1151" i="10"/>
  <c r="J1150" i="10"/>
  <c r="I1150" i="10"/>
  <c r="H1150" i="10"/>
  <c r="J1149" i="10"/>
  <c r="I1149" i="10"/>
  <c r="H1149" i="10"/>
  <c r="J1148" i="10"/>
  <c r="I1148" i="10"/>
  <c r="H1148" i="10"/>
  <c r="J1147" i="10"/>
  <c r="I1147" i="10"/>
  <c r="H1147" i="10"/>
  <c r="J1146" i="10"/>
  <c r="I1146" i="10"/>
  <c r="H1146" i="10"/>
  <c r="J1145" i="10"/>
  <c r="I1145" i="10"/>
  <c r="H1145" i="10"/>
  <c r="J1144" i="10"/>
  <c r="I1144" i="10"/>
  <c r="H1144" i="10"/>
  <c r="J1143" i="10"/>
  <c r="I1143" i="10"/>
  <c r="H1143" i="10"/>
  <c r="J1142" i="10"/>
  <c r="I1142" i="10"/>
  <c r="H1142" i="10"/>
  <c r="J1141" i="10"/>
  <c r="I1141" i="10"/>
  <c r="H1141" i="10"/>
  <c r="J1140" i="10"/>
  <c r="I1140" i="10"/>
  <c r="H1140" i="10"/>
  <c r="J1139" i="10"/>
  <c r="I1139" i="10"/>
  <c r="H1139" i="10"/>
  <c r="J1138" i="10"/>
  <c r="I1138" i="10"/>
  <c r="H1138" i="10"/>
  <c r="J1137" i="10"/>
  <c r="I1137" i="10"/>
  <c r="H1137" i="10"/>
  <c r="J1136" i="10"/>
  <c r="I1136" i="10"/>
  <c r="H1136" i="10"/>
  <c r="J1135" i="10"/>
  <c r="I1135" i="10"/>
  <c r="H1135" i="10"/>
  <c r="J1134" i="10"/>
  <c r="I1134" i="10"/>
  <c r="H1134" i="10"/>
  <c r="J1133" i="10"/>
  <c r="I1133" i="10"/>
  <c r="H1133" i="10"/>
  <c r="J1132" i="10"/>
  <c r="I1132" i="10"/>
  <c r="H1132" i="10"/>
  <c r="J1131" i="10"/>
  <c r="I1131" i="10"/>
  <c r="H1131" i="10"/>
  <c r="J1130" i="10"/>
  <c r="I1130" i="10"/>
  <c r="H1130" i="10"/>
  <c r="J1129" i="10"/>
  <c r="I1129" i="10"/>
  <c r="H1129" i="10"/>
  <c r="J1128" i="10"/>
  <c r="I1128" i="10"/>
  <c r="H1128" i="10"/>
  <c r="J1127" i="10"/>
  <c r="I1127" i="10"/>
  <c r="H1127" i="10"/>
  <c r="J1126" i="10"/>
  <c r="I1126" i="10"/>
  <c r="H1126" i="10"/>
  <c r="J1125" i="10"/>
  <c r="I1125" i="10"/>
  <c r="H1125" i="10"/>
  <c r="J1124" i="10"/>
  <c r="I1124" i="10"/>
  <c r="H1124" i="10"/>
  <c r="J1123" i="10"/>
  <c r="I1123" i="10"/>
  <c r="H1123" i="10"/>
  <c r="J1122" i="10"/>
  <c r="I1122" i="10"/>
  <c r="H1122" i="10"/>
  <c r="J1121" i="10"/>
  <c r="I1121" i="10"/>
  <c r="H1121" i="10"/>
  <c r="J1120" i="10"/>
  <c r="I1120" i="10"/>
  <c r="H1120" i="10"/>
  <c r="J1119" i="10"/>
  <c r="I1119" i="10"/>
  <c r="H1119" i="10"/>
  <c r="J1118" i="10"/>
  <c r="I1118" i="10"/>
  <c r="H1118" i="10"/>
  <c r="J1117" i="10"/>
  <c r="I1117" i="10"/>
  <c r="H1117" i="10"/>
  <c r="J1116" i="10"/>
  <c r="I1116" i="10"/>
  <c r="H1116" i="10"/>
  <c r="J1115" i="10"/>
  <c r="I1115" i="10"/>
  <c r="H1115" i="10"/>
  <c r="J1114" i="10"/>
  <c r="I1114" i="10"/>
  <c r="H1114" i="10"/>
  <c r="J1113" i="10"/>
  <c r="I1113" i="10"/>
  <c r="H1113" i="10"/>
  <c r="J1112" i="10"/>
  <c r="I1112" i="10"/>
  <c r="H1112" i="10"/>
  <c r="J1111" i="10"/>
  <c r="I1111" i="10"/>
  <c r="H1111" i="10"/>
  <c r="J1110" i="10"/>
  <c r="I1110" i="10"/>
  <c r="H1110" i="10"/>
  <c r="J1109" i="10"/>
  <c r="I1109" i="10"/>
  <c r="H1109" i="10"/>
  <c r="J1108" i="10"/>
  <c r="I1108" i="10"/>
  <c r="H1108" i="10"/>
  <c r="J1107" i="10"/>
  <c r="I1107" i="10"/>
  <c r="H1107" i="10"/>
  <c r="J1106" i="10"/>
  <c r="I1106" i="10"/>
  <c r="H1106" i="10"/>
  <c r="J1105" i="10"/>
  <c r="I1105" i="10"/>
  <c r="H1105" i="10"/>
  <c r="J1104" i="10"/>
  <c r="I1104" i="10"/>
  <c r="H1104" i="10"/>
  <c r="J1103" i="10"/>
  <c r="I1103" i="10"/>
  <c r="H1103" i="10"/>
  <c r="J1102" i="10"/>
  <c r="I1102" i="10"/>
  <c r="H1102" i="10"/>
  <c r="J1101" i="10"/>
  <c r="I1101" i="10"/>
  <c r="H1101" i="10"/>
  <c r="J1100" i="10"/>
  <c r="I1100" i="10"/>
  <c r="H1100" i="10"/>
  <c r="J1099" i="10"/>
  <c r="I1099" i="10"/>
  <c r="H1099" i="10"/>
  <c r="J1098" i="10"/>
  <c r="I1098" i="10"/>
  <c r="H1098" i="10"/>
  <c r="J1097" i="10"/>
  <c r="I1097" i="10"/>
  <c r="H1097" i="10"/>
  <c r="J1096" i="10"/>
  <c r="I1096" i="10"/>
  <c r="H1096" i="10"/>
  <c r="J1095" i="10"/>
  <c r="I1095" i="10"/>
  <c r="H1095" i="10"/>
  <c r="J1094" i="10"/>
  <c r="I1094" i="10"/>
  <c r="H1094" i="10"/>
  <c r="J1093" i="10"/>
  <c r="I1093" i="10"/>
  <c r="H1093" i="10"/>
  <c r="J1092" i="10"/>
  <c r="I1092" i="10"/>
  <c r="H1092" i="10"/>
  <c r="J1091" i="10"/>
  <c r="I1091" i="10"/>
  <c r="H1091" i="10"/>
  <c r="J1090" i="10"/>
  <c r="I1090" i="10"/>
  <c r="H1090" i="10"/>
  <c r="J1089" i="10"/>
  <c r="I1089" i="10"/>
  <c r="H1089" i="10"/>
  <c r="J1088" i="10"/>
  <c r="I1088" i="10"/>
  <c r="H1088" i="10"/>
  <c r="J1087" i="10"/>
  <c r="I1087" i="10"/>
  <c r="H1087" i="10"/>
  <c r="J1086" i="10"/>
  <c r="I1086" i="10"/>
  <c r="H1086" i="10"/>
  <c r="J1085" i="10"/>
  <c r="I1085" i="10"/>
  <c r="H1085" i="10"/>
  <c r="J1084" i="10"/>
  <c r="I1084" i="10"/>
  <c r="H1084" i="10"/>
  <c r="J1083" i="10"/>
  <c r="I1083" i="10"/>
  <c r="H1083" i="10"/>
  <c r="J1082" i="10"/>
  <c r="I1082" i="10"/>
  <c r="H1082" i="10"/>
  <c r="J1081" i="10"/>
  <c r="I1081" i="10"/>
  <c r="H1081" i="10"/>
  <c r="J1080" i="10"/>
  <c r="I1080" i="10"/>
  <c r="H1080" i="10"/>
  <c r="J1079" i="10"/>
  <c r="I1079" i="10"/>
  <c r="H1079" i="10"/>
  <c r="J1078" i="10"/>
  <c r="I1078" i="10"/>
  <c r="H1078" i="10"/>
  <c r="J1077" i="10"/>
  <c r="I1077" i="10"/>
  <c r="H1077" i="10"/>
  <c r="J1076" i="10"/>
  <c r="I1076" i="10"/>
  <c r="H1076" i="10"/>
  <c r="J1075" i="10"/>
  <c r="I1075" i="10"/>
  <c r="H1075" i="10"/>
  <c r="J1074" i="10"/>
  <c r="I1074" i="10"/>
  <c r="H1074" i="10"/>
  <c r="J1073" i="10"/>
  <c r="I1073" i="10"/>
  <c r="H1073" i="10"/>
  <c r="J1072" i="10"/>
  <c r="I1072" i="10"/>
  <c r="H1072" i="10"/>
  <c r="J1071" i="10"/>
  <c r="I1071" i="10"/>
  <c r="H1071" i="10"/>
  <c r="J1070" i="10"/>
  <c r="I1070" i="10"/>
  <c r="H1070" i="10"/>
  <c r="J1069" i="10"/>
  <c r="I1069" i="10"/>
  <c r="H1069" i="10"/>
  <c r="J1068" i="10"/>
  <c r="I1068" i="10"/>
  <c r="H1068" i="10"/>
  <c r="J1067" i="10"/>
  <c r="I1067" i="10"/>
  <c r="H1067" i="10"/>
  <c r="J1066" i="10"/>
  <c r="I1066" i="10"/>
  <c r="H1066" i="10"/>
  <c r="J1065" i="10"/>
  <c r="I1065" i="10"/>
  <c r="H1065" i="10"/>
  <c r="J1064" i="10"/>
  <c r="I1064" i="10"/>
  <c r="H1064" i="10"/>
  <c r="J1063" i="10"/>
  <c r="I1063" i="10"/>
  <c r="H1063" i="10"/>
  <c r="J1062" i="10"/>
  <c r="I1062" i="10"/>
  <c r="H1062" i="10"/>
  <c r="J1061" i="10"/>
  <c r="I1061" i="10"/>
  <c r="H1061" i="10"/>
  <c r="J1060" i="10"/>
  <c r="I1060" i="10"/>
  <c r="H1060" i="10"/>
  <c r="J1059" i="10"/>
  <c r="I1059" i="10"/>
  <c r="H1059" i="10"/>
  <c r="J1058" i="10"/>
  <c r="I1058" i="10"/>
  <c r="H1058" i="10"/>
  <c r="J1057" i="10"/>
  <c r="I1057" i="10"/>
  <c r="H1057" i="10"/>
  <c r="J1056" i="10"/>
  <c r="I1056" i="10"/>
  <c r="H1056" i="10"/>
  <c r="J1055" i="10"/>
  <c r="I1055" i="10"/>
  <c r="H1055" i="10"/>
  <c r="J1054" i="10"/>
  <c r="I1054" i="10"/>
  <c r="H1054" i="10"/>
  <c r="J1053" i="10"/>
  <c r="I1053" i="10"/>
  <c r="H1053" i="10"/>
  <c r="J1052" i="10"/>
  <c r="I1052" i="10"/>
  <c r="H1052" i="10"/>
  <c r="J1051" i="10"/>
  <c r="I1051" i="10"/>
  <c r="H1051" i="10"/>
  <c r="J1050" i="10"/>
  <c r="I1050" i="10"/>
  <c r="H1050" i="10"/>
  <c r="J1049" i="10"/>
  <c r="I1049" i="10"/>
  <c r="H1049" i="10"/>
  <c r="J1048" i="10"/>
  <c r="I1048" i="10"/>
  <c r="H1048" i="10"/>
  <c r="J1047" i="10"/>
  <c r="I1047" i="10"/>
  <c r="H1047" i="10"/>
  <c r="J1046" i="10"/>
  <c r="I1046" i="10"/>
  <c r="H1046" i="10"/>
  <c r="J1045" i="10"/>
  <c r="I1045" i="10"/>
  <c r="H1045" i="10"/>
  <c r="J1044" i="10"/>
  <c r="I1044" i="10"/>
  <c r="H1044" i="10"/>
  <c r="J1043" i="10"/>
  <c r="I1043" i="10"/>
  <c r="H1043" i="10"/>
  <c r="J1042" i="10"/>
  <c r="I1042" i="10"/>
  <c r="H1042" i="10"/>
  <c r="J1041" i="10"/>
  <c r="I1041" i="10"/>
  <c r="H1041" i="10"/>
  <c r="J1040" i="10"/>
  <c r="I1040" i="10"/>
  <c r="H1040" i="10"/>
  <c r="J1039" i="10"/>
  <c r="I1039" i="10"/>
  <c r="H1039" i="10"/>
  <c r="J1038" i="10"/>
  <c r="I1038" i="10"/>
  <c r="H1038" i="10"/>
  <c r="J1037" i="10"/>
  <c r="I1037" i="10"/>
  <c r="H1037" i="10"/>
  <c r="J1036" i="10"/>
  <c r="I1036" i="10"/>
  <c r="H1036" i="10"/>
  <c r="J1035" i="10"/>
  <c r="I1035" i="10"/>
  <c r="H1035" i="10"/>
  <c r="J1034" i="10"/>
  <c r="I1034" i="10"/>
  <c r="H1034" i="10"/>
  <c r="J1033" i="10"/>
  <c r="I1033" i="10"/>
  <c r="H1033" i="10"/>
  <c r="J1032" i="10"/>
  <c r="I1032" i="10"/>
  <c r="H1032" i="10"/>
  <c r="J1031" i="10"/>
  <c r="I1031" i="10"/>
  <c r="H1031" i="10"/>
  <c r="J1030" i="10"/>
  <c r="I1030" i="10"/>
  <c r="H1030" i="10"/>
  <c r="J1029" i="10"/>
  <c r="I1029" i="10"/>
  <c r="H1029" i="10"/>
  <c r="J1028" i="10"/>
  <c r="I1028" i="10"/>
  <c r="H1028" i="10"/>
  <c r="J1027" i="10"/>
  <c r="I1027" i="10"/>
  <c r="H1027" i="10"/>
  <c r="J1026" i="10"/>
  <c r="I1026" i="10"/>
  <c r="H1026" i="10"/>
  <c r="J1025" i="10"/>
  <c r="I1025" i="10"/>
  <c r="H1025" i="10"/>
  <c r="J1024" i="10"/>
  <c r="I1024" i="10"/>
  <c r="H1024" i="10"/>
  <c r="J1023" i="10"/>
  <c r="I1023" i="10"/>
  <c r="H1023" i="10"/>
  <c r="J1022" i="10"/>
  <c r="I1022" i="10"/>
  <c r="H1022" i="10"/>
  <c r="J1021" i="10"/>
  <c r="I1021" i="10"/>
  <c r="H1021" i="10"/>
  <c r="J1020" i="10"/>
  <c r="I1020" i="10"/>
  <c r="H1020" i="10"/>
  <c r="J1019" i="10"/>
  <c r="I1019" i="10"/>
  <c r="H1019" i="10"/>
  <c r="J1018" i="10"/>
  <c r="I1018" i="10"/>
  <c r="H1018" i="10"/>
  <c r="J1017" i="10"/>
  <c r="I1017" i="10"/>
  <c r="H1017" i="10"/>
  <c r="J1016" i="10"/>
  <c r="I1016" i="10"/>
  <c r="H1016" i="10"/>
  <c r="J1015" i="10"/>
  <c r="I1015" i="10"/>
  <c r="H1015" i="10"/>
  <c r="J1014" i="10"/>
  <c r="I1014" i="10"/>
  <c r="H1014" i="10"/>
  <c r="J1013" i="10"/>
  <c r="I1013" i="10"/>
  <c r="H1013" i="10"/>
  <c r="J1012" i="10"/>
  <c r="I1012" i="10"/>
  <c r="H1012" i="10"/>
  <c r="J1011" i="10"/>
  <c r="I1011" i="10"/>
  <c r="H1011" i="10"/>
  <c r="J1010" i="10"/>
  <c r="I1010" i="10"/>
  <c r="H1010" i="10"/>
  <c r="J1009" i="10"/>
  <c r="I1009" i="10"/>
  <c r="H1009" i="10"/>
  <c r="J1008" i="10"/>
  <c r="I1008" i="10"/>
  <c r="H1008" i="10"/>
  <c r="J1007" i="10"/>
  <c r="I1007" i="10"/>
  <c r="H1007" i="10"/>
  <c r="J1006" i="10"/>
  <c r="I1006" i="10"/>
  <c r="H1006" i="10"/>
  <c r="J1005" i="10"/>
  <c r="I1005" i="10"/>
  <c r="H1005" i="10"/>
  <c r="J1004" i="10"/>
  <c r="I1004" i="10"/>
  <c r="H1004" i="10"/>
  <c r="J1003" i="10"/>
  <c r="I1003" i="10"/>
  <c r="H1003" i="10"/>
  <c r="J1002" i="10"/>
  <c r="I1002" i="10"/>
  <c r="H1002" i="10"/>
  <c r="J1001" i="10"/>
  <c r="I1001" i="10"/>
  <c r="H1001" i="10"/>
  <c r="J1000" i="10"/>
  <c r="I1000" i="10"/>
  <c r="H1000" i="10"/>
  <c r="J999" i="10"/>
  <c r="I999" i="10"/>
  <c r="H999" i="10"/>
  <c r="J998" i="10"/>
  <c r="I998" i="10"/>
  <c r="H998" i="10"/>
  <c r="J997" i="10"/>
  <c r="I997" i="10"/>
  <c r="H997" i="10"/>
  <c r="J996" i="10"/>
  <c r="I996" i="10"/>
  <c r="H996" i="10"/>
  <c r="J995" i="10"/>
  <c r="I995" i="10"/>
  <c r="H995" i="10"/>
  <c r="J994" i="10"/>
  <c r="I994" i="10"/>
  <c r="H994" i="10"/>
  <c r="J993" i="10"/>
  <c r="I993" i="10"/>
  <c r="H993" i="10"/>
  <c r="J992" i="10"/>
  <c r="I992" i="10"/>
  <c r="H992" i="10"/>
  <c r="J991" i="10"/>
  <c r="I991" i="10"/>
  <c r="H991" i="10"/>
  <c r="J990" i="10"/>
  <c r="I990" i="10"/>
  <c r="H990" i="10"/>
  <c r="J989" i="10"/>
  <c r="I989" i="10"/>
  <c r="H989" i="10"/>
  <c r="J988" i="10"/>
  <c r="I988" i="10"/>
  <c r="H988" i="10"/>
  <c r="J987" i="10"/>
  <c r="I987" i="10"/>
  <c r="H987" i="10"/>
  <c r="J986" i="10"/>
  <c r="I986" i="10"/>
  <c r="H986" i="10"/>
  <c r="J985" i="10"/>
  <c r="I985" i="10"/>
  <c r="H985" i="10"/>
  <c r="J984" i="10"/>
  <c r="I984" i="10"/>
  <c r="H984" i="10"/>
  <c r="J983" i="10"/>
  <c r="I983" i="10"/>
  <c r="H983" i="10"/>
  <c r="J982" i="10"/>
  <c r="I982" i="10"/>
  <c r="H982" i="10"/>
  <c r="J981" i="10"/>
  <c r="I981" i="10"/>
  <c r="H981" i="10"/>
  <c r="J980" i="10"/>
  <c r="I980" i="10"/>
  <c r="H980" i="10"/>
  <c r="J979" i="10"/>
  <c r="I979" i="10"/>
  <c r="H979" i="10"/>
  <c r="J978" i="10"/>
  <c r="I978" i="10"/>
  <c r="H978" i="10"/>
  <c r="J977" i="10"/>
  <c r="I977" i="10"/>
  <c r="H977" i="10"/>
  <c r="J976" i="10"/>
  <c r="I976" i="10"/>
  <c r="H976" i="10"/>
  <c r="J975" i="10"/>
  <c r="I975" i="10"/>
  <c r="H975" i="10"/>
  <c r="J974" i="10"/>
  <c r="I974" i="10"/>
  <c r="H974" i="10"/>
  <c r="J973" i="10"/>
  <c r="I973" i="10"/>
  <c r="H973" i="10"/>
  <c r="J972" i="10"/>
  <c r="I972" i="10"/>
  <c r="H972" i="10"/>
  <c r="J971" i="10"/>
  <c r="I971" i="10"/>
  <c r="H971" i="10"/>
  <c r="J970" i="10"/>
  <c r="I970" i="10"/>
  <c r="H970" i="10"/>
  <c r="J969" i="10"/>
  <c r="I969" i="10"/>
  <c r="H969" i="10"/>
  <c r="J968" i="10"/>
  <c r="I968" i="10"/>
  <c r="H968" i="10"/>
  <c r="J967" i="10"/>
  <c r="I967" i="10"/>
  <c r="H967" i="10"/>
  <c r="J966" i="10"/>
  <c r="I966" i="10"/>
  <c r="H966" i="10"/>
  <c r="J965" i="10"/>
  <c r="I965" i="10"/>
  <c r="H965" i="10"/>
  <c r="J964" i="10"/>
  <c r="I964" i="10"/>
  <c r="H964" i="10"/>
  <c r="J963" i="10"/>
  <c r="I963" i="10"/>
  <c r="H963" i="10"/>
  <c r="J962" i="10"/>
  <c r="I962" i="10"/>
  <c r="H962" i="10"/>
  <c r="J961" i="10"/>
  <c r="I961" i="10"/>
  <c r="H961" i="10"/>
  <c r="J960" i="10"/>
  <c r="I960" i="10"/>
  <c r="H960" i="10"/>
  <c r="J959" i="10"/>
  <c r="I959" i="10"/>
  <c r="H959" i="10"/>
  <c r="J958" i="10"/>
  <c r="I958" i="10"/>
  <c r="H958" i="10"/>
  <c r="J957" i="10"/>
  <c r="I957" i="10"/>
  <c r="H957" i="10"/>
  <c r="J956" i="10"/>
  <c r="I956" i="10"/>
  <c r="H956" i="10"/>
  <c r="J955" i="10"/>
  <c r="I955" i="10"/>
  <c r="H955" i="10"/>
  <c r="J954" i="10"/>
  <c r="I954" i="10"/>
  <c r="H954" i="10"/>
  <c r="J953" i="10"/>
  <c r="I953" i="10"/>
  <c r="H953" i="10"/>
  <c r="J952" i="10"/>
  <c r="I952" i="10"/>
  <c r="H952" i="10"/>
  <c r="J951" i="10"/>
  <c r="I951" i="10"/>
  <c r="H951" i="10"/>
  <c r="J950" i="10"/>
  <c r="I950" i="10"/>
  <c r="H950" i="10"/>
  <c r="J949" i="10"/>
  <c r="I949" i="10"/>
  <c r="H949" i="10"/>
  <c r="J948" i="10"/>
  <c r="I948" i="10"/>
  <c r="H948" i="10"/>
  <c r="J947" i="10"/>
  <c r="I947" i="10"/>
  <c r="H947" i="10"/>
  <c r="J946" i="10"/>
  <c r="I946" i="10"/>
  <c r="H946" i="10"/>
  <c r="J945" i="10"/>
  <c r="I945" i="10"/>
  <c r="H945" i="10"/>
  <c r="J944" i="10"/>
  <c r="I944" i="10"/>
  <c r="H944" i="10"/>
  <c r="J943" i="10"/>
  <c r="I943" i="10"/>
  <c r="H943" i="10"/>
  <c r="J942" i="10"/>
  <c r="I942" i="10"/>
  <c r="H942" i="10"/>
  <c r="J941" i="10"/>
  <c r="I941" i="10"/>
  <c r="H941" i="10"/>
  <c r="J940" i="10"/>
  <c r="I940" i="10"/>
  <c r="H940" i="10"/>
  <c r="J939" i="10"/>
  <c r="I939" i="10"/>
  <c r="H939" i="10"/>
  <c r="J938" i="10"/>
  <c r="I938" i="10"/>
  <c r="H938" i="10"/>
  <c r="J937" i="10"/>
  <c r="I937" i="10"/>
  <c r="H937" i="10"/>
  <c r="J936" i="10"/>
  <c r="I936" i="10"/>
  <c r="H936" i="10"/>
  <c r="J935" i="10"/>
  <c r="I935" i="10"/>
  <c r="H935" i="10"/>
  <c r="J934" i="10"/>
  <c r="I934" i="10"/>
  <c r="H934" i="10"/>
  <c r="J933" i="10"/>
  <c r="I933" i="10"/>
  <c r="H933" i="10"/>
  <c r="J932" i="10"/>
  <c r="I932" i="10"/>
  <c r="H932" i="10"/>
  <c r="J931" i="10"/>
  <c r="I931" i="10"/>
  <c r="H931" i="10"/>
  <c r="J930" i="10"/>
  <c r="I930" i="10"/>
  <c r="H930" i="10"/>
  <c r="J929" i="10"/>
  <c r="I929" i="10"/>
  <c r="H929" i="10"/>
  <c r="J928" i="10"/>
  <c r="I928" i="10"/>
  <c r="H928" i="10"/>
  <c r="J927" i="10"/>
  <c r="I927" i="10"/>
  <c r="H927" i="10"/>
  <c r="J926" i="10"/>
  <c r="I926" i="10"/>
  <c r="H926" i="10"/>
  <c r="J925" i="10"/>
  <c r="I925" i="10"/>
  <c r="H925" i="10"/>
  <c r="J924" i="10"/>
  <c r="I924" i="10"/>
  <c r="H924" i="10"/>
  <c r="J923" i="10"/>
  <c r="I923" i="10"/>
  <c r="H923" i="10"/>
  <c r="J922" i="10"/>
  <c r="I922" i="10"/>
  <c r="H922" i="10"/>
  <c r="J921" i="10"/>
  <c r="I921" i="10"/>
  <c r="H921" i="10"/>
  <c r="J920" i="10"/>
  <c r="I920" i="10"/>
  <c r="H920" i="10"/>
  <c r="J919" i="10"/>
  <c r="I919" i="10"/>
  <c r="H919" i="10"/>
  <c r="J918" i="10"/>
  <c r="I918" i="10"/>
  <c r="H918" i="10"/>
  <c r="J917" i="10"/>
  <c r="I917" i="10"/>
  <c r="H917" i="10"/>
  <c r="J916" i="10"/>
  <c r="I916" i="10"/>
  <c r="H916" i="10"/>
  <c r="J915" i="10"/>
  <c r="I915" i="10"/>
  <c r="H915" i="10"/>
  <c r="J914" i="10"/>
  <c r="I914" i="10"/>
  <c r="H914" i="10"/>
  <c r="J913" i="10"/>
  <c r="I913" i="10"/>
  <c r="H913" i="10"/>
  <c r="J912" i="10"/>
  <c r="I912" i="10"/>
  <c r="H912" i="10"/>
  <c r="J911" i="10"/>
  <c r="I911" i="10"/>
  <c r="H911" i="10"/>
  <c r="J910" i="10"/>
  <c r="I910" i="10"/>
  <c r="H910" i="10"/>
  <c r="J909" i="10"/>
  <c r="I909" i="10"/>
  <c r="H909" i="10"/>
  <c r="J908" i="10"/>
  <c r="I908" i="10"/>
  <c r="H908" i="10"/>
  <c r="J907" i="10"/>
  <c r="I907" i="10"/>
  <c r="H907" i="10"/>
  <c r="J906" i="10"/>
  <c r="I906" i="10"/>
  <c r="H906" i="10"/>
  <c r="J905" i="10"/>
  <c r="I905" i="10"/>
  <c r="H905" i="10"/>
  <c r="J904" i="10"/>
  <c r="I904" i="10"/>
  <c r="H904" i="10"/>
  <c r="J903" i="10"/>
  <c r="I903" i="10"/>
  <c r="H903" i="10"/>
  <c r="J902" i="10"/>
  <c r="I902" i="10"/>
  <c r="H902" i="10"/>
  <c r="J901" i="10"/>
  <c r="I901" i="10"/>
  <c r="H901" i="10"/>
  <c r="J900" i="10"/>
  <c r="I900" i="10"/>
  <c r="H900" i="10"/>
  <c r="J899" i="10"/>
  <c r="I899" i="10"/>
  <c r="H899" i="10"/>
  <c r="J898" i="10"/>
  <c r="I898" i="10"/>
  <c r="H898" i="10"/>
  <c r="J897" i="10"/>
  <c r="I897" i="10"/>
  <c r="H897" i="10"/>
  <c r="J896" i="10"/>
  <c r="I896" i="10"/>
  <c r="H896" i="10"/>
  <c r="J895" i="10"/>
  <c r="I895" i="10"/>
  <c r="H895" i="10"/>
  <c r="J894" i="10"/>
  <c r="I894" i="10"/>
  <c r="H894" i="10"/>
  <c r="J893" i="10"/>
  <c r="I893" i="10"/>
  <c r="H893" i="10"/>
  <c r="J892" i="10"/>
  <c r="I892" i="10"/>
  <c r="H892" i="10"/>
  <c r="J891" i="10"/>
  <c r="I891" i="10"/>
  <c r="H891" i="10"/>
  <c r="J890" i="10"/>
  <c r="I890" i="10"/>
  <c r="H890" i="10"/>
  <c r="J889" i="10"/>
  <c r="I889" i="10"/>
  <c r="H889" i="10"/>
  <c r="J888" i="10"/>
  <c r="I888" i="10"/>
  <c r="H888" i="10"/>
  <c r="J887" i="10"/>
  <c r="I887" i="10"/>
  <c r="H887" i="10"/>
  <c r="J886" i="10"/>
  <c r="I886" i="10"/>
  <c r="H886" i="10"/>
  <c r="J885" i="10"/>
  <c r="I885" i="10"/>
  <c r="H885" i="10"/>
  <c r="J884" i="10"/>
  <c r="I884" i="10"/>
  <c r="H884" i="10"/>
  <c r="J883" i="10"/>
  <c r="I883" i="10"/>
  <c r="H883" i="10"/>
  <c r="J882" i="10"/>
  <c r="I882" i="10"/>
  <c r="H882" i="10"/>
  <c r="J881" i="10"/>
  <c r="I881" i="10"/>
  <c r="H881" i="10"/>
  <c r="J880" i="10"/>
  <c r="I880" i="10"/>
  <c r="H880" i="10"/>
  <c r="J879" i="10"/>
  <c r="I879" i="10"/>
  <c r="H879" i="10"/>
  <c r="J878" i="10"/>
  <c r="I878" i="10"/>
  <c r="H878" i="10"/>
  <c r="J877" i="10"/>
  <c r="I877" i="10"/>
  <c r="H877" i="10"/>
  <c r="J876" i="10"/>
  <c r="I876" i="10"/>
  <c r="H876" i="10"/>
  <c r="J875" i="10"/>
  <c r="I875" i="10"/>
  <c r="H875" i="10"/>
  <c r="J874" i="10"/>
  <c r="I874" i="10"/>
  <c r="H874" i="10"/>
  <c r="J873" i="10"/>
  <c r="I873" i="10"/>
  <c r="H873" i="10"/>
  <c r="J872" i="10"/>
  <c r="I872" i="10"/>
  <c r="H872" i="10"/>
  <c r="J871" i="10"/>
  <c r="I871" i="10"/>
  <c r="H871" i="10"/>
  <c r="J870" i="10"/>
  <c r="I870" i="10"/>
  <c r="H870" i="10"/>
  <c r="J869" i="10"/>
  <c r="I869" i="10"/>
  <c r="H869" i="10"/>
  <c r="J868" i="10"/>
  <c r="I868" i="10"/>
  <c r="H868" i="10"/>
  <c r="J867" i="10"/>
  <c r="I867" i="10"/>
  <c r="H867" i="10"/>
  <c r="J866" i="10"/>
  <c r="I866" i="10"/>
  <c r="H866" i="10"/>
  <c r="J865" i="10"/>
  <c r="I865" i="10"/>
  <c r="H865" i="10"/>
  <c r="J864" i="10"/>
  <c r="I864" i="10"/>
  <c r="H864" i="10"/>
  <c r="J863" i="10"/>
  <c r="I863" i="10"/>
  <c r="H863" i="10"/>
  <c r="J862" i="10"/>
  <c r="I862" i="10"/>
  <c r="H862" i="10"/>
  <c r="J861" i="10"/>
  <c r="I861" i="10"/>
  <c r="H861" i="10"/>
  <c r="J860" i="10"/>
  <c r="I860" i="10"/>
  <c r="H860" i="10"/>
  <c r="J859" i="10"/>
  <c r="I859" i="10"/>
  <c r="H859" i="10"/>
  <c r="J858" i="10"/>
  <c r="I858" i="10"/>
  <c r="H858" i="10"/>
  <c r="J857" i="10"/>
  <c r="I857" i="10"/>
  <c r="H857" i="10"/>
  <c r="J856" i="10"/>
  <c r="I856" i="10"/>
  <c r="H856" i="10"/>
  <c r="J855" i="10"/>
  <c r="I855" i="10"/>
  <c r="H855" i="10"/>
  <c r="J854" i="10"/>
  <c r="I854" i="10"/>
  <c r="H854" i="10"/>
  <c r="J853" i="10"/>
  <c r="I853" i="10"/>
  <c r="H853" i="10"/>
  <c r="J852" i="10"/>
  <c r="I852" i="10"/>
  <c r="H852" i="10"/>
  <c r="J851" i="10"/>
  <c r="I851" i="10"/>
  <c r="H851" i="10"/>
  <c r="J850" i="10"/>
  <c r="I850" i="10"/>
  <c r="H850" i="10"/>
  <c r="J849" i="10"/>
  <c r="I849" i="10"/>
  <c r="H849" i="10"/>
  <c r="J848" i="10"/>
  <c r="I848" i="10"/>
  <c r="H848" i="10"/>
  <c r="J847" i="10"/>
  <c r="I847" i="10"/>
  <c r="H847" i="10"/>
  <c r="J846" i="10"/>
  <c r="I846" i="10"/>
  <c r="H846" i="10"/>
  <c r="J845" i="10"/>
  <c r="I845" i="10"/>
  <c r="H845" i="10"/>
  <c r="J844" i="10"/>
  <c r="I844" i="10"/>
  <c r="H844" i="10"/>
  <c r="J843" i="10"/>
  <c r="I843" i="10"/>
  <c r="H843" i="10"/>
  <c r="J842" i="10"/>
  <c r="I842" i="10"/>
  <c r="H842" i="10"/>
  <c r="J841" i="10"/>
  <c r="I841" i="10"/>
  <c r="H841" i="10"/>
  <c r="J840" i="10"/>
  <c r="I840" i="10"/>
  <c r="H840" i="10"/>
  <c r="J839" i="10"/>
  <c r="I839" i="10"/>
  <c r="H839" i="10"/>
  <c r="J838" i="10"/>
  <c r="I838" i="10"/>
  <c r="H838" i="10"/>
  <c r="J837" i="10"/>
  <c r="I837" i="10"/>
  <c r="H837" i="10"/>
  <c r="J836" i="10"/>
  <c r="I836" i="10"/>
  <c r="H836" i="10"/>
  <c r="J835" i="10"/>
  <c r="I835" i="10"/>
  <c r="H835" i="10"/>
  <c r="J834" i="10"/>
  <c r="I834" i="10"/>
  <c r="H834" i="10"/>
  <c r="J833" i="10"/>
  <c r="I833" i="10"/>
  <c r="H833" i="10"/>
  <c r="J832" i="10"/>
  <c r="I832" i="10"/>
  <c r="H832" i="10"/>
  <c r="J831" i="10"/>
  <c r="I831" i="10"/>
  <c r="H831" i="10"/>
  <c r="J830" i="10"/>
  <c r="I830" i="10"/>
  <c r="H830" i="10"/>
  <c r="J829" i="10"/>
  <c r="I829" i="10"/>
  <c r="H829" i="10"/>
  <c r="J828" i="10"/>
  <c r="I828" i="10"/>
  <c r="H828" i="10"/>
  <c r="J827" i="10"/>
  <c r="I827" i="10"/>
  <c r="H827" i="10"/>
  <c r="J826" i="10"/>
  <c r="I826" i="10"/>
  <c r="H826" i="10"/>
  <c r="J825" i="10"/>
  <c r="I825" i="10"/>
  <c r="H825" i="10"/>
  <c r="J824" i="10"/>
  <c r="I824" i="10"/>
  <c r="H824" i="10"/>
  <c r="J823" i="10"/>
  <c r="I823" i="10"/>
  <c r="H823" i="10"/>
  <c r="J822" i="10"/>
  <c r="I822" i="10"/>
  <c r="H822" i="10"/>
  <c r="J821" i="10"/>
  <c r="I821" i="10"/>
  <c r="H821" i="10"/>
  <c r="J820" i="10"/>
  <c r="I820" i="10"/>
  <c r="H820" i="10"/>
  <c r="J819" i="10"/>
  <c r="I819" i="10"/>
  <c r="H819" i="10"/>
  <c r="J818" i="10"/>
  <c r="I818" i="10"/>
  <c r="H818" i="10"/>
  <c r="J817" i="10"/>
  <c r="I817" i="10"/>
  <c r="H817" i="10"/>
  <c r="J816" i="10"/>
  <c r="I816" i="10"/>
  <c r="H816" i="10"/>
  <c r="J815" i="10"/>
  <c r="I815" i="10"/>
  <c r="H815" i="10"/>
  <c r="J814" i="10"/>
  <c r="I814" i="10"/>
  <c r="H814" i="10"/>
  <c r="J813" i="10"/>
  <c r="I813" i="10"/>
  <c r="H813" i="10"/>
  <c r="J812" i="10"/>
  <c r="I812" i="10"/>
  <c r="H812" i="10"/>
  <c r="J811" i="10"/>
  <c r="I811" i="10"/>
  <c r="H811" i="10"/>
  <c r="J810" i="10"/>
  <c r="I810" i="10"/>
  <c r="H810" i="10"/>
  <c r="J809" i="10"/>
  <c r="I809" i="10"/>
  <c r="H809" i="10"/>
  <c r="J808" i="10"/>
  <c r="I808" i="10"/>
  <c r="H808" i="10"/>
  <c r="J807" i="10"/>
  <c r="I807" i="10"/>
  <c r="H807" i="10"/>
  <c r="J806" i="10"/>
  <c r="I806" i="10"/>
  <c r="H806" i="10"/>
  <c r="J805" i="10"/>
  <c r="I805" i="10"/>
  <c r="H805" i="10"/>
  <c r="J804" i="10"/>
  <c r="I804" i="10"/>
  <c r="H804" i="10"/>
  <c r="J803" i="10"/>
  <c r="I803" i="10"/>
  <c r="H803" i="10"/>
  <c r="J802" i="10"/>
  <c r="I802" i="10"/>
  <c r="H802" i="10"/>
  <c r="J801" i="10"/>
  <c r="I801" i="10"/>
  <c r="H801" i="10"/>
  <c r="J800" i="10"/>
  <c r="I800" i="10"/>
  <c r="H800" i="10"/>
  <c r="J799" i="10"/>
  <c r="I799" i="10"/>
  <c r="H799" i="10"/>
  <c r="J798" i="10"/>
  <c r="I798" i="10"/>
  <c r="H798" i="10"/>
  <c r="J797" i="10"/>
  <c r="I797" i="10"/>
  <c r="H797" i="10"/>
  <c r="J796" i="10"/>
  <c r="I796" i="10"/>
  <c r="H796" i="10"/>
  <c r="J795" i="10"/>
  <c r="I795" i="10"/>
  <c r="H795" i="10"/>
  <c r="J794" i="10"/>
  <c r="I794" i="10"/>
  <c r="H794" i="10"/>
  <c r="J793" i="10"/>
  <c r="I793" i="10"/>
  <c r="H793" i="10"/>
  <c r="J792" i="10"/>
  <c r="I792" i="10"/>
  <c r="H792" i="10"/>
  <c r="J791" i="10"/>
  <c r="I791" i="10"/>
  <c r="H791" i="10"/>
  <c r="J790" i="10"/>
  <c r="I790" i="10"/>
  <c r="H790" i="10"/>
  <c r="J789" i="10"/>
  <c r="I789" i="10"/>
  <c r="H789" i="10"/>
  <c r="J788" i="10"/>
  <c r="I788" i="10"/>
  <c r="H788" i="10"/>
  <c r="J787" i="10"/>
  <c r="I787" i="10"/>
  <c r="H787" i="10"/>
  <c r="J786" i="10"/>
  <c r="I786" i="10"/>
  <c r="H786" i="10"/>
  <c r="J785" i="10"/>
  <c r="I785" i="10"/>
  <c r="H785" i="10"/>
  <c r="J784" i="10"/>
  <c r="I784" i="10"/>
  <c r="H784" i="10"/>
  <c r="J783" i="10"/>
  <c r="I783" i="10"/>
  <c r="H783" i="10"/>
  <c r="J782" i="10"/>
  <c r="I782" i="10"/>
  <c r="H782" i="10"/>
  <c r="J781" i="10"/>
  <c r="I781" i="10"/>
  <c r="H781" i="10"/>
  <c r="J780" i="10"/>
  <c r="I780" i="10"/>
  <c r="H780" i="10"/>
  <c r="J779" i="10"/>
  <c r="I779" i="10"/>
  <c r="H779" i="10"/>
  <c r="J778" i="10"/>
  <c r="I778" i="10"/>
  <c r="H778" i="10"/>
  <c r="J777" i="10"/>
  <c r="I777" i="10"/>
  <c r="H777" i="10"/>
  <c r="J776" i="10"/>
  <c r="I776" i="10"/>
  <c r="H776" i="10"/>
  <c r="J775" i="10"/>
  <c r="I775" i="10"/>
  <c r="H775" i="10"/>
  <c r="J774" i="10"/>
  <c r="I774" i="10"/>
  <c r="H774" i="10"/>
  <c r="J773" i="10"/>
  <c r="I773" i="10"/>
  <c r="H773" i="10"/>
  <c r="J772" i="10"/>
  <c r="I772" i="10"/>
  <c r="H772" i="10"/>
  <c r="J771" i="10"/>
  <c r="I771" i="10"/>
  <c r="H771" i="10"/>
  <c r="J770" i="10"/>
  <c r="I770" i="10"/>
  <c r="H770" i="10"/>
  <c r="J769" i="10"/>
  <c r="I769" i="10"/>
  <c r="H769" i="10"/>
  <c r="J768" i="10"/>
  <c r="I768" i="10"/>
  <c r="H768" i="10"/>
  <c r="J767" i="10"/>
  <c r="I767" i="10"/>
  <c r="H767" i="10"/>
  <c r="J766" i="10"/>
  <c r="I766" i="10"/>
  <c r="H766" i="10"/>
  <c r="J765" i="10"/>
  <c r="I765" i="10"/>
  <c r="H765" i="10"/>
  <c r="J764" i="10"/>
  <c r="I764" i="10"/>
  <c r="H764" i="10"/>
  <c r="J763" i="10"/>
  <c r="I763" i="10"/>
  <c r="H763" i="10"/>
  <c r="J762" i="10"/>
  <c r="I762" i="10"/>
  <c r="H762" i="10"/>
  <c r="J761" i="10"/>
  <c r="I761" i="10"/>
  <c r="H761" i="10"/>
  <c r="J760" i="10"/>
  <c r="I760" i="10"/>
  <c r="H760" i="10"/>
  <c r="J759" i="10"/>
  <c r="I759" i="10"/>
  <c r="H759" i="10"/>
  <c r="J758" i="10"/>
  <c r="I758" i="10"/>
  <c r="H758" i="10"/>
  <c r="J757" i="10"/>
  <c r="I757" i="10"/>
  <c r="H757" i="10"/>
  <c r="J756" i="10"/>
  <c r="I756" i="10"/>
  <c r="H756" i="10"/>
  <c r="J755" i="10"/>
  <c r="I755" i="10"/>
  <c r="H755" i="10"/>
  <c r="J754" i="10"/>
  <c r="I754" i="10"/>
  <c r="H754" i="10"/>
  <c r="J753" i="10"/>
  <c r="I753" i="10"/>
  <c r="H753" i="10"/>
  <c r="J752" i="10"/>
  <c r="I752" i="10"/>
  <c r="H752" i="10"/>
  <c r="J751" i="10"/>
  <c r="I751" i="10"/>
  <c r="H751" i="10"/>
  <c r="J750" i="10"/>
  <c r="I750" i="10"/>
  <c r="H750" i="10"/>
  <c r="J749" i="10"/>
  <c r="I749" i="10"/>
  <c r="H749" i="10"/>
  <c r="J748" i="10"/>
  <c r="I748" i="10"/>
  <c r="H748" i="10"/>
  <c r="J747" i="10"/>
  <c r="I747" i="10"/>
  <c r="H747" i="10"/>
  <c r="J746" i="10"/>
  <c r="I746" i="10"/>
  <c r="H746" i="10"/>
  <c r="J745" i="10"/>
  <c r="I745" i="10"/>
  <c r="H745" i="10"/>
  <c r="J744" i="10"/>
  <c r="I744" i="10"/>
  <c r="H744" i="10"/>
  <c r="J743" i="10"/>
  <c r="I743" i="10"/>
  <c r="H743" i="10"/>
  <c r="J742" i="10"/>
  <c r="I742" i="10"/>
  <c r="H742" i="10"/>
  <c r="J741" i="10"/>
  <c r="I741" i="10"/>
  <c r="H741" i="10"/>
  <c r="J740" i="10"/>
  <c r="I740" i="10"/>
  <c r="H740" i="10"/>
  <c r="J739" i="10"/>
  <c r="I739" i="10"/>
  <c r="H739" i="10"/>
  <c r="J738" i="10"/>
  <c r="I738" i="10"/>
  <c r="H738" i="10"/>
  <c r="J737" i="10"/>
  <c r="I737" i="10"/>
  <c r="H737" i="10"/>
  <c r="J736" i="10"/>
  <c r="I736" i="10"/>
  <c r="H736" i="10"/>
  <c r="J735" i="10"/>
  <c r="I735" i="10"/>
  <c r="H735" i="10"/>
  <c r="J734" i="10"/>
  <c r="I734" i="10"/>
  <c r="H734" i="10"/>
  <c r="J733" i="10"/>
  <c r="I733" i="10"/>
  <c r="H733" i="10"/>
  <c r="J732" i="10"/>
  <c r="I732" i="10"/>
  <c r="H732" i="10"/>
  <c r="J731" i="10"/>
  <c r="I731" i="10"/>
  <c r="H731" i="10"/>
  <c r="J730" i="10"/>
  <c r="I730" i="10"/>
  <c r="H730" i="10"/>
  <c r="J729" i="10"/>
  <c r="I729" i="10"/>
  <c r="H729" i="10"/>
  <c r="J728" i="10"/>
  <c r="I728" i="10"/>
  <c r="H728" i="10"/>
  <c r="J727" i="10"/>
  <c r="I727" i="10"/>
  <c r="H727" i="10"/>
  <c r="J726" i="10"/>
  <c r="I726" i="10"/>
  <c r="H726" i="10"/>
  <c r="J725" i="10"/>
  <c r="I725" i="10"/>
  <c r="H725" i="10"/>
  <c r="J724" i="10"/>
  <c r="I724" i="10"/>
  <c r="H724" i="10"/>
  <c r="J723" i="10"/>
  <c r="I723" i="10"/>
  <c r="H723" i="10"/>
  <c r="J722" i="10"/>
  <c r="I722" i="10"/>
  <c r="H722" i="10"/>
  <c r="J721" i="10"/>
  <c r="I721" i="10"/>
  <c r="H721" i="10"/>
  <c r="J720" i="10"/>
  <c r="I720" i="10"/>
  <c r="H720" i="10"/>
  <c r="J719" i="10"/>
  <c r="I719" i="10"/>
  <c r="H719" i="10"/>
  <c r="J718" i="10"/>
  <c r="I718" i="10"/>
  <c r="H718" i="10"/>
  <c r="J717" i="10"/>
  <c r="I717" i="10"/>
  <c r="H717" i="10"/>
  <c r="J716" i="10"/>
  <c r="I716" i="10"/>
  <c r="H716" i="10"/>
  <c r="J715" i="10"/>
  <c r="I715" i="10"/>
  <c r="H715" i="10"/>
  <c r="J714" i="10"/>
  <c r="I714" i="10"/>
  <c r="H714" i="10"/>
  <c r="J713" i="10"/>
  <c r="I713" i="10"/>
  <c r="H713" i="10"/>
  <c r="J712" i="10"/>
  <c r="I712" i="10"/>
  <c r="H712" i="10"/>
  <c r="J711" i="10"/>
  <c r="I711" i="10"/>
  <c r="H711" i="10"/>
  <c r="J710" i="10"/>
  <c r="I710" i="10"/>
  <c r="H710" i="10"/>
  <c r="J709" i="10"/>
  <c r="I709" i="10"/>
  <c r="H709" i="10"/>
  <c r="J708" i="10"/>
  <c r="I708" i="10"/>
  <c r="H708" i="10"/>
  <c r="J707" i="10"/>
  <c r="I707" i="10"/>
  <c r="H707" i="10"/>
  <c r="J706" i="10"/>
  <c r="I706" i="10"/>
  <c r="H706" i="10"/>
  <c r="J705" i="10"/>
  <c r="I705" i="10"/>
  <c r="H705" i="10"/>
  <c r="J704" i="10"/>
  <c r="I704" i="10"/>
  <c r="H704" i="10"/>
  <c r="J703" i="10"/>
  <c r="I703" i="10"/>
  <c r="H703" i="10"/>
  <c r="J702" i="10"/>
  <c r="I702" i="10"/>
  <c r="H702" i="10"/>
  <c r="J701" i="10"/>
  <c r="I701" i="10"/>
  <c r="H701" i="10"/>
  <c r="J700" i="10"/>
  <c r="I700" i="10"/>
  <c r="H700" i="10"/>
  <c r="J699" i="10"/>
  <c r="I699" i="10"/>
  <c r="H699" i="10"/>
  <c r="J698" i="10"/>
  <c r="I698" i="10"/>
  <c r="H698" i="10"/>
  <c r="J697" i="10"/>
  <c r="I697" i="10"/>
  <c r="H697" i="10"/>
  <c r="J696" i="10"/>
  <c r="I696" i="10"/>
  <c r="H696" i="10"/>
  <c r="J695" i="10"/>
  <c r="I695" i="10"/>
  <c r="H695" i="10"/>
  <c r="J694" i="10"/>
  <c r="I694" i="10"/>
  <c r="H694" i="10"/>
  <c r="J693" i="10"/>
  <c r="I693" i="10"/>
  <c r="H693" i="10"/>
  <c r="J692" i="10"/>
  <c r="I692" i="10"/>
  <c r="H692" i="10"/>
  <c r="J691" i="10"/>
  <c r="I691" i="10"/>
  <c r="H691" i="10"/>
  <c r="J690" i="10"/>
  <c r="I690" i="10"/>
  <c r="H690" i="10"/>
  <c r="J689" i="10"/>
  <c r="I689" i="10"/>
  <c r="H689" i="10"/>
  <c r="J688" i="10"/>
  <c r="I688" i="10"/>
  <c r="H688" i="10"/>
  <c r="J687" i="10"/>
  <c r="I687" i="10"/>
  <c r="H687" i="10"/>
  <c r="J686" i="10"/>
  <c r="I686" i="10"/>
  <c r="H686" i="10"/>
  <c r="J685" i="10"/>
  <c r="I685" i="10"/>
  <c r="H685" i="10"/>
  <c r="J684" i="10"/>
  <c r="I684" i="10"/>
  <c r="H684" i="10"/>
  <c r="J683" i="10"/>
  <c r="I683" i="10"/>
  <c r="H683" i="10"/>
  <c r="J682" i="10"/>
  <c r="I682" i="10"/>
  <c r="H682" i="10"/>
  <c r="J681" i="10"/>
  <c r="I681" i="10"/>
  <c r="H681" i="10"/>
  <c r="J680" i="10"/>
  <c r="I680" i="10"/>
  <c r="H680" i="10"/>
  <c r="J679" i="10"/>
  <c r="I679" i="10"/>
  <c r="H679" i="10"/>
  <c r="J678" i="10"/>
  <c r="I678" i="10"/>
  <c r="H678" i="10"/>
  <c r="J677" i="10"/>
  <c r="I677" i="10"/>
  <c r="H677" i="10"/>
  <c r="J676" i="10"/>
  <c r="I676" i="10"/>
  <c r="H676" i="10"/>
  <c r="J675" i="10"/>
  <c r="I675" i="10"/>
  <c r="H675" i="10"/>
  <c r="J674" i="10"/>
  <c r="I674" i="10"/>
  <c r="H674" i="10"/>
  <c r="J673" i="10"/>
  <c r="I673" i="10"/>
  <c r="H673" i="10"/>
  <c r="J672" i="10"/>
  <c r="I672" i="10"/>
  <c r="H672" i="10"/>
  <c r="J671" i="10"/>
  <c r="I671" i="10"/>
  <c r="H671" i="10"/>
  <c r="J670" i="10"/>
  <c r="I670" i="10"/>
  <c r="H670" i="10"/>
  <c r="J669" i="10"/>
  <c r="I669" i="10"/>
  <c r="H669" i="10"/>
  <c r="J668" i="10"/>
  <c r="I668" i="10"/>
  <c r="H668" i="10"/>
  <c r="J667" i="10"/>
  <c r="I667" i="10"/>
  <c r="H667" i="10"/>
  <c r="J666" i="10"/>
  <c r="I666" i="10"/>
  <c r="H666" i="10"/>
  <c r="J665" i="10"/>
  <c r="I665" i="10"/>
  <c r="H665" i="10"/>
  <c r="J664" i="10"/>
  <c r="I664" i="10"/>
  <c r="H664" i="10"/>
  <c r="J663" i="10"/>
  <c r="I663" i="10"/>
  <c r="H663" i="10"/>
  <c r="J662" i="10"/>
  <c r="I662" i="10"/>
  <c r="H662" i="10"/>
  <c r="J661" i="10"/>
  <c r="I661" i="10"/>
  <c r="H661" i="10"/>
  <c r="J660" i="10"/>
  <c r="I660" i="10"/>
  <c r="H660" i="10"/>
  <c r="J659" i="10"/>
  <c r="I659" i="10"/>
  <c r="H659" i="10"/>
  <c r="J658" i="10"/>
  <c r="I658" i="10"/>
  <c r="H658" i="10"/>
  <c r="J657" i="10"/>
  <c r="I657" i="10"/>
  <c r="H657" i="10"/>
  <c r="J656" i="10"/>
  <c r="I656" i="10"/>
  <c r="H656" i="10"/>
  <c r="J655" i="10"/>
  <c r="I655" i="10"/>
  <c r="H655" i="10"/>
  <c r="J654" i="10"/>
  <c r="I654" i="10"/>
  <c r="H654" i="10"/>
  <c r="J653" i="10"/>
  <c r="I653" i="10"/>
  <c r="H653" i="10"/>
  <c r="J652" i="10"/>
  <c r="I652" i="10"/>
  <c r="H652" i="10"/>
  <c r="J651" i="10"/>
  <c r="I651" i="10"/>
  <c r="H651" i="10"/>
  <c r="J650" i="10"/>
  <c r="I650" i="10"/>
  <c r="H650" i="10"/>
  <c r="J649" i="10"/>
  <c r="I649" i="10"/>
  <c r="H649" i="10"/>
  <c r="J648" i="10"/>
  <c r="I648" i="10"/>
  <c r="H648" i="10"/>
  <c r="J647" i="10"/>
  <c r="I647" i="10"/>
  <c r="H647" i="10"/>
  <c r="J646" i="10"/>
  <c r="I646" i="10"/>
  <c r="H646" i="10"/>
  <c r="J645" i="10"/>
  <c r="I645" i="10"/>
  <c r="H645" i="10"/>
  <c r="J644" i="10"/>
  <c r="I644" i="10"/>
  <c r="H644" i="10"/>
  <c r="J643" i="10"/>
  <c r="I643" i="10"/>
  <c r="H643" i="10"/>
  <c r="J642" i="10"/>
  <c r="I642" i="10"/>
  <c r="H642" i="10"/>
  <c r="J641" i="10"/>
  <c r="I641" i="10"/>
  <c r="H641" i="10"/>
  <c r="J640" i="10"/>
  <c r="I640" i="10"/>
  <c r="H640" i="10"/>
  <c r="J639" i="10"/>
  <c r="I639" i="10"/>
  <c r="H639" i="10"/>
  <c r="J638" i="10"/>
  <c r="I638" i="10"/>
  <c r="H638" i="10"/>
  <c r="J637" i="10"/>
  <c r="I637" i="10"/>
  <c r="H637" i="10"/>
  <c r="J636" i="10"/>
  <c r="I636" i="10"/>
  <c r="H636" i="10"/>
  <c r="J635" i="10"/>
  <c r="I635" i="10"/>
  <c r="H635" i="10"/>
  <c r="J634" i="10"/>
  <c r="I634" i="10"/>
  <c r="H634" i="10"/>
  <c r="J633" i="10"/>
  <c r="I633" i="10"/>
  <c r="H633" i="10"/>
  <c r="J632" i="10"/>
  <c r="I632" i="10"/>
  <c r="H632" i="10"/>
  <c r="J631" i="10"/>
  <c r="I631" i="10"/>
  <c r="H631" i="10"/>
  <c r="J630" i="10"/>
  <c r="I630" i="10"/>
  <c r="H630" i="10"/>
  <c r="J629" i="10"/>
  <c r="I629" i="10"/>
  <c r="H629" i="10"/>
  <c r="J628" i="10"/>
  <c r="I628" i="10"/>
  <c r="H628" i="10"/>
  <c r="J627" i="10"/>
  <c r="I627" i="10"/>
  <c r="H627" i="10"/>
  <c r="J626" i="10"/>
  <c r="I626" i="10"/>
  <c r="H626" i="10"/>
  <c r="J625" i="10"/>
  <c r="I625" i="10"/>
  <c r="H625" i="10"/>
  <c r="J624" i="10"/>
  <c r="I624" i="10"/>
  <c r="H624" i="10"/>
  <c r="J623" i="10"/>
  <c r="I623" i="10"/>
  <c r="H623" i="10"/>
  <c r="J622" i="10"/>
  <c r="I622" i="10"/>
  <c r="H622" i="10"/>
  <c r="J621" i="10"/>
  <c r="I621" i="10"/>
  <c r="H621" i="10"/>
  <c r="J620" i="10"/>
  <c r="I620" i="10"/>
  <c r="H620" i="10"/>
  <c r="J619" i="10"/>
  <c r="I619" i="10"/>
  <c r="H619" i="10"/>
  <c r="J618" i="10"/>
  <c r="I618" i="10"/>
  <c r="H618" i="10"/>
  <c r="J617" i="10"/>
  <c r="I617" i="10"/>
  <c r="H617" i="10"/>
  <c r="J616" i="10"/>
  <c r="I616" i="10"/>
  <c r="H616" i="10"/>
  <c r="J615" i="10"/>
  <c r="I615" i="10"/>
  <c r="H615" i="10"/>
  <c r="J614" i="10"/>
  <c r="I614" i="10"/>
  <c r="H614" i="10"/>
  <c r="J613" i="10"/>
  <c r="I613" i="10"/>
  <c r="H613" i="10"/>
  <c r="J612" i="10"/>
  <c r="I612" i="10"/>
  <c r="H612" i="10"/>
  <c r="J611" i="10"/>
  <c r="I611" i="10"/>
  <c r="H611" i="10"/>
  <c r="J610" i="10"/>
  <c r="I610" i="10"/>
  <c r="H610" i="10"/>
  <c r="J609" i="10"/>
  <c r="I609" i="10"/>
  <c r="H609" i="10"/>
  <c r="J608" i="10"/>
  <c r="I608" i="10"/>
  <c r="H608" i="10"/>
  <c r="J607" i="10"/>
  <c r="I607" i="10"/>
  <c r="H607" i="10"/>
  <c r="J606" i="10"/>
  <c r="I606" i="10"/>
  <c r="H606" i="10"/>
  <c r="J605" i="10"/>
  <c r="I605" i="10"/>
  <c r="H605" i="10"/>
  <c r="J604" i="10"/>
  <c r="I604" i="10"/>
  <c r="H604" i="10"/>
  <c r="J603" i="10"/>
  <c r="I603" i="10"/>
  <c r="H603" i="10"/>
  <c r="J602" i="10"/>
  <c r="I602" i="10"/>
  <c r="H602" i="10"/>
  <c r="J601" i="10"/>
  <c r="I601" i="10"/>
  <c r="H601" i="10"/>
  <c r="J600" i="10"/>
  <c r="I600" i="10"/>
  <c r="H600" i="10"/>
  <c r="J599" i="10"/>
  <c r="I599" i="10"/>
  <c r="H599" i="10"/>
  <c r="J598" i="10"/>
  <c r="I598" i="10"/>
  <c r="H598" i="10"/>
  <c r="J597" i="10"/>
  <c r="I597" i="10"/>
  <c r="H597" i="10"/>
  <c r="J596" i="10"/>
  <c r="I596" i="10"/>
  <c r="H596" i="10"/>
  <c r="J595" i="10"/>
  <c r="I595" i="10"/>
  <c r="H595" i="10"/>
  <c r="J594" i="10"/>
  <c r="I594" i="10"/>
  <c r="H594" i="10"/>
  <c r="J593" i="10"/>
  <c r="I593" i="10"/>
  <c r="H593" i="10"/>
  <c r="J592" i="10"/>
  <c r="I592" i="10"/>
  <c r="H592" i="10"/>
  <c r="J591" i="10"/>
  <c r="I591" i="10"/>
  <c r="H591" i="10"/>
  <c r="J590" i="10"/>
  <c r="I590" i="10"/>
  <c r="H590" i="10"/>
  <c r="J589" i="10"/>
  <c r="I589" i="10"/>
  <c r="H589" i="10"/>
  <c r="J588" i="10"/>
  <c r="I588" i="10"/>
  <c r="H588" i="10"/>
  <c r="J587" i="10"/>
  <c r="I587" i="10"/>
  <c r="H587" i="10"/>
  <c r="J586" i="10"/>
  <c r="I586" i="10"/>
  <c r="H586" i="10"/>
  <c r="J585" i="10"/>
  <c r="I585" i="10"/>
  <c r="H585" i="10"/>
  <c r="J584" i="10"/>
  <c r="I584" i="10"/>
  <c r="H584" i="10"/>
  <c r="J583" i="10"/>
  <c r="I583" i="10"/>
  <c r="H583" i="10"/>
  <c r="J582" i="10"/>
  <c r="I582" i="10"/>
  <c r="H582" i="10"/>
  <c r="J581" i="10"/>
  <c r="I581" i="10"/>
  <c r="H581" i="10"/>
  <c r="J580" i="10"/>
  <c r="I580" i="10"/>
  <c r="H580" i="10"/>
  <c r="J579" i="10"/>
  <c r="I579" i="10"/>
  <c r="H579" i="10"/>
  <c r="J578" i="10"/>
  <c r="I578" i="10"/>
  <c r="H578" i="10"/>
  <c r="J577" i="10"/>
  <c r="I577" i="10"/>
  <c r="H577" i="10"/>
  <c r="J576" i="10"/>
  <c r="I576" i="10"/>
  <c r="H576" i="10"/>
  <c r="J575" i="10"/>
  <c r="I575" i="10"/>
  <c r="H575" i="10"/>
  <c r="J574" i="10"/>
  <c r="I574" i="10"/>
  <c r="H574" i="10"/>
  <c r="J573" i="10"/>
  <c r="I573" i="10"/>
  <c r="H573" i="10"/>
  <c r="J572" i="10"/>
  <c r="I572" i="10"/>
  <c r="H572" i="10"/>
  <c r="J571" i="10"/>
  <c r="I571" i="10"/>
  <c r="H571" i="10"/>
  <c r="J570" i="10"/>
  <c r="I570" i="10"/>
  <c r="H570" i="10"/>
  <c r="J569" i="10"/>
  <c r="I569" i="10"/>
  <c r="H569" i="10"/>
  <c r="J568" i="10"/>
  <c r="I568" i="10"/>
  <c r="H568" i="10"/>
  <c r="J567" i="10"/>
  <c r="I567" i="10"/>
  <c r="H567" i="10"/>
  <c r="J566" i="10"/>
  <c r="I566" i="10"/>
  <c r="H566" i="10"/>
  <c r="J565" i="10"/>
  <c r="I565" i="10"/>
  <c r="H565" i="10"/>
  <c r="J564" i="10"/>
  <c r="I564" i="10"/>
  <c r="H564" i="10"/>
  <c r="J563" i="10"/>
  <c r="I563" i="10"/>
  <c r="H563" i="10"/>
  <c r="J562" i="10"/>
  <c r="I562" i="10"/>
  <c r="H562" i="10"/>
  <c r="J561" i="10"/>
  <c r="I561" i="10"/>
  <c r="H561" i="10"/>
  <c r="J560" i="10"/>
  <c r="I560" i="10"/>
  <c r="H560" i="10"/>
  <c r="J559" i="10"/>
  <c r="I559" i="10"/>
  <c r="H559" i="10"/>
  <c r="J558" i="10"/>
  <c r="I558" i="10"/>
  <c r="H558" i="10"/>
  <c r="J557" i="10"/>
  <c r="I557" i="10"/>
  <c r="H557" i="10"/>
  <c r="J556" i="10"/>
  <c r="I556" i="10"/>
  <c r="H556" i="10"/>
  <c r="J555" i="10"/>
  <c r="I555" i="10"/>
  <c r="H555" i="10"/>
  <c r="J554" i="10"/>
  <c r="I554" i="10"/>
  <c r="H554" i="10"/>
  <c r="J553" i="10"/>
  <c r="I553" i="10"/>
  <c r="H553" i="10"/>
  <c r="J552" i="10"/>
  <c r="I552" i="10"/>
  <c r="H552" i="10"/>
  <c r="J551" i="10"/>
  <c r="I551" i="10"/>
  <c r="H551" i="10"/>
  <c r="J550" i="10"/>
  <c r="I550" i="10"/>
  <c r="H550" i="10"/>
  <c r="J549" i="10"/>
  <c r="I549" i="10"/>
  <c r="H549" i="10"/>
  <c r="J548" i="10"/>
  <c r="I548" i="10"/>
  <c r="H548" i="10"/>
  <c r="J547" i="10"/>
  <c r="I547" i="10"/>
  <c r="H547" i="10"/>
  <c r="J546" i="10"/>
  <c r="I546" i="10"/>
  <c r="H546" i="10"/>
  <c r="J545" i="10"/>
  <c r="I545" i="10"/>
  <c r="H545" i="10"/>
  <c r="J544" i="10"/>
  <c r="I544" i="10"/>
  <c r="H544" i="10"/>
  <c r="J543" i="10"/>
  <c r="I543" i="10"/>
  <c r="H543" i="10"/>
  <c r="J542" i="10"/>
  <c r="I542" i="10"/>
  <c r="H542" i="10"/>
  <c r="J541" i="10"/>
  <c r="I541" i="10"/>
  <c r="H541" i="10"/>
  <c r="J540" i="10"/>
  <c r="I540" i="10"/>
  <c r="H540" i="10"/>
  <c r="J539" i="10"/>
  <c r="I539" i="10"/>
  <c r="H539" i="10"/>
  <c r="J538" i="10"/>
  <c r="I538" i="10"/>
  <c r="H538" i="10"/>
  <c r="J537" i="10"/>
  <c r="I537" i="10"/>
  <c r="H537" i="10"/>
  <c r="J536" i="10"/>
  <c r="I536" i="10"/>
  <c r="H536" i="10"/>
  <c r="J535" i="10"/>
  <c r="I535" i="10"/>
  <c r="H535" i="10"/>
  <c r="J534" i="10"/>
  <c r="I534" i="10"/>
  <c r="H534" i="10"/>
  <c r="J533" i="10"/>
  <c r="I533" i="10"/>
  <c r="H533" i="10"/>
  <c r="J532" i="10"/>
  <c r="I532" i="10"/>
  <c r="H532" i="10"/>
  <c r="J531" i="10"/>
  <c r="I531" i="10"/>
  <c r="H531" i="10"/>
  <c r="J530" i="10"/>
  <c r="I530" i="10"/>
  <c r="H530" i="10"/>
  <c r="J529" i="10"/>
  <c r="I529" i="10"/>
  <c r="H529" i="10"/>
  <c r="J528" i="10"/>
  <c r="I528" i="10"/>
  <c r="H528" i="10"/>
  <c r="J527" i="10"/>
  <c r="I527" i="10"/>
  <c r="H527" i="10"/>
  <c r="J526" i="10"/>
  <c r="I526" i="10"/>
  <c r="H526" i="10"/>
  <c r="J525" i="10"/>
  <c r="I525" i="10"/>
  <c r="H525" i="10"/>
  <c r="J524" i="10"/>
  <c r="I524" i="10"/>
  <c r="H524" i="10"/>
  <c r="J523" i="10"/>
  <c r="I523" i="10"/>
  <c r="H523" i="10"/>
  <c r="J522" i="10"/>
  <c r="I522" i="10"/>
  <c r="H522" i="10"/>
  <c r="J521" i="10"/>
  <c r="I521" i="10"/>
  <c r="H521" i="10"/>
  <c r="J520" i="10"/>
  <c r="I520" i="10"/>
  <c r="H520" i="10"/>
  <c r="J519" i="10"/>
  <c r="I519" i="10"/>
  <c r="H519" i="10"/>
  <c r="J518" i="10"/>
  <c r="I518" i="10"/>
  <c r="H518" i="10"/>
  <c r="J517" i="10"/>
  <c r="I517" i="10"/>
  <c r="H517" i="10"/>
  <c r="J516" i="10"/>
  <c r="I516" i="10"/>
  <c r="H516" i="10"/>
  <c r="J515" i="10"/>
  <c r="I515" i="10"/>
  <c r="H515" i="10"/>
  <c r="J514" i="10"/>
  <c r="I514" i="10"/>
  <c r="H514" i="10"/>
  <c r="J513" i="10"/>
  <c r="I513" i="10"/>
  <c r="H513" i="10"/>
  <c r="J512" i="10"/>
  <c r="I512" i="10"/>
  <c r="H512" i="10"/>
  <c r="J511" i="10"/>
  <c r="I511" i="10"/>
  <c r="H511" i="10"/>
  <c r="J510" i="10"/>
  <c r="I510" i="10"/>
  <c r="H510" i="10"/>
  <c r="J509" i="10"/>
  <c r="I509" i="10"/>
  <c r="H509" i="10"/>
  <c r="J508" i="10"/>
  <c r="I508" i="10"/>
  <c r="H508" i="10"/>
  <c r="J507" i="10"/>
  <c r="I507" i="10"/>
  <c r="H507" i="10"/>
  <c r="J506" i="10"/>
  <c r="I506" i="10"/>
  <c r="H506" i="10"/>
  <c r="J505" i="10"/>
  <c r="I505" i="10"/>
  <c r="H505" i="10"/>
  <c r="J504" i="10"/>
  <c r="I504" i="10"/>
  <c r="H504" i="10"/>
  <c r="J503" i="10"/>
  <c r="I503" i="10"/>
  <c r="H503" i="10"/>
  <c r="J502" i="10"/>
  <c r="I502" i="10"/>
  <c r="H502" i="10"/>
  <c r="J501" i="10"/>
  <c r="I501" i="10"/>
  <c r="H501" i="10"/>
  <c r="J500" i="10"/>
  <c r="I500" i="10"/>
  <c r="H500" i="10"/>
  <c r="J499" i="10"/>
  <c r="I499" i="10"/>
  <c r="H499" i="10"/>
  <c r="J498" i="10"/>
  <c r="I498" i="10"/>
  <c r="H498" i="10"/>
  <c r="J497" i="10"/>
  <c r="I497" i="10"/>
  <c r="H497" i="10"/>
  <c r="J496" i="10"/>
  <c r="I496" i="10"/>
  <c r="H496" i="10"/>
  <c r="J495" i="10"/>
  <c r="I495" i="10"/>
  <c r="H495" i="10"/>
  <c r="J494" i="10"/>
  <c r="I494" i="10"/>
  <c r="H494" i="10"/>
  <c r="J493" i="10"/>
  <c r="I493" i="10"/>
  <c r="H493" i="10"/>
  <c r="J492" i="10"/>
  <c r="I492" i="10"/>
  <c r="H492" i="10"/>
  <c r="J491" i="10"/>
  <c r="I491" i="10"/>
  <c r="H491" i="10"/>
  <c r="J490" i="10"/>
  <c r="I490" i="10"/>
  <c r="H490" i="10"/>
  <c r="J489" i="10"/>
  <c r="I489" i="10"/>
  <c r="H489" i="10"/>
  <c r="J488" i="10"/>
  <c r="I488" i="10"/>
  <c r="H488" i="10"/>
  <c r="J487" i="10"/>
  <c r="I487" i="10"/>
  <c r="H487" i="10"/>
  <c r="J486" i="10"/>
  <c r="I486" i="10"/>
  <c r="H486" i="10"/>
  <c r="J485" i="10"/>
  <c r="I485" i="10"/>
  <c r="H485" i="10"/>
  <c r="J484" i="10"/>
  <c r="I484" i="10"/>
  <c r="H484" i="10"/>
  <c r="J483" i="10"/>
  <c r="I483" i="10"/>
  <c r="H483" i="10"/>
  <c r="J482" i="10"/>
  <c r="I482" i="10"/>
  <c r="H482" i="10"/>
  <c r="J481" i="10"/>
  <c r="I481" i="10"/>
  <c r="H481" i="10"/>
  <c r="J480" i="10"/>
  <c r="I480" i="10"/>
  <c r="H480" i="10"/>
  <c r="J479" i="10"/>
  <c r="I479" i="10"/>
  <c r="H479" i="10"/>
  <c r="J478" i="10"/>
  <c r="I478" i="10"/>
  <c r="H478" i="10"/>
  <c r="J477" i="10"/>
  <c r="I477" i="10"/>
  <c r="H477" i="10"/>
  <c r="J476" i="10"/>
  <c r="I476" i="10"/>
  <c r="H476" i="10"/>
  <c r="J475" i="10"/>
  <c r="I475" i="10"/>
  <c r="H475" i="10"/>
  <c r="J474" i="10"/>
  <c r="I474" i="10"/>
  <c r="H474" i="10"/>
  <c r="J473" i="10"/>
  <c r="I473" i="10"/>
  <c r="H473" i="10"/>
  <c r="J472" i="10"/>
  <c r="I472" i="10"/>
  <c r="H472" i="10"/>
  <c r="J471" i="10"/>
  <c r="I471" i="10"/>
  <c r="H471" i="10"/>
  <c r="J470" i="10"/>
  <c r="I470" i="10"/>
  <c r="H470" i="10"/>
  <c r="J469" i="10"/>
  <c r="I469" i="10"/>
  <c r="H469" i="10"/>
  <c r="J468" i="10"/>
  <c r="I468" i="10"/>
  <c r="H468" i="10"/>
  <c r="J467" i="10"/>
  <c r="I467" i="10"/>
  <c r="H467" i="10"/>
  <c r="J466" i="10"/>
  <c r="I466" i="10"/>
  <c r="H466" i="10"/>
  <c r="J465" i="10"/>
  <c r="I465" i="10"/>
  <c r="H465" i="10"/>
  <c r="J464" i="10"/>
  <c r="I464" i="10"/>
  <c r="H464" i="10"/>
  <c r="J463" i="10"/>
  <c r="I463" i="10"/>
  <c r="H463" i="10"/>
  <c r="J462" i="10"/>
  <c r="I462" i="10"/>
  <c r="H462" i="10"/>
  <c r="J461" i="10"/>
  <c r="I461" i="10"/>
  <c r="H461" i="10"/>
  <c r="J460" i="10"/>
  <c r="I460" i="10"/>
  <c r="H460" i="10"/>
  <c r="J459" i="10"/>
  <c r="I459" i="10"/>
  <c r="H459" i="10"/>
  <c r="J458" i="10"/>
  <c r="I458" i="10"/>
  <c r="H458" i="10"/>
  <c r="J457" i="10"/>
  <c r="I457" i="10"/>
  <c r="H457" i="10"/>
  <c r="J456" i="10"/>
  <c r="I456" i="10"/>
  <c r="H456" i="10"/>
  <c r="J455" i="10"/>
  <c r="I455" i="10"/>
  <c r="H455" i="10"/>
  <c r="J454" i="10"/>
  <c r="I454" i="10"/>
  <c r="H454" i="10"/>
  <c r="J453" i="10"/>
  <c r="I453" i="10"/>
  <c r="H453" i="10"/>
  <c r="J452" i="10"/>
  <c r="I452" i="10"/>
  <c r="H452" i="10"/>
  <c r="J451" i="10"/>
  <c r="I451" i="10"/>
  <c r="H451" i="10"/>
  <c r="J450" i="10"/>
  <c r="I450" i="10"/>
  <c r="H450" i="10"/>
  <c r="J449" i="10"/>
  <c r="I449" i="10"/>
  <c r="H449" i="10"/>
  <c r="J448" i="10"/>
  <c r="I448" i="10"/>
  <c r="H448" i="10"/>
  <c r="J447" i="10"/>
  <c r="I447" i="10"/>
  <c r="H447" i="10"/>
  <c r="J446" i="10"/>
  <c r="I446" i="10"/>
  <c r="H446" i="10"/>
  <c r="J445" i="10"/>
  <c r="I445" i="10"/>
  <c r="H445" i="10"/>
  <c r="J444" i="10"/>
  <c r="I444" i="10"/>
  <c r="H444" i="10"/>
  <c r="J443" i="10"/>
  <c r="I443" i="10"/>
  <c r="H443" i="10"/>
  <c r="J442" i="10"/>
  <c r="I442" i="10"/>
  <c r="H442" i="10"/>
  <c r="J441" i="10"/>
  <c r="I441" i="10"/>
  <c r="H441" i="10"/>
  <c r="J440" i="10"/>
  <c r="I440" i="10"/>
  <c r="H440" i="10"/>
  <c r="J439" i="10"/>
  <c r="I439" i="10"/>
  <c r="H439" i="10"/>
  <c r="J438" i="10"/>
  <c r="I438" i="10"/>
  <c r="H438" i="10"/>
  <c r="J437" i="10"/>
  <c r="I437" i="10"/>
  <c r="H437" i="10"/>
  <c r="J436" i="10"/>
  <c r="I436" i="10"/>
  <c r="H436" i="10"/>
  <c r="J435" i="10"/>
  <c r="I435" i="10"/>
  <c r="H435" i="10"/>
  <c r="J434" i="10"/>
  <c r="I434" i="10"/>
  <c r="H434" i="10"/>
  <c r="J433" i="10"/>
  <c r="I433" i="10"/>
  <c r="H433" i="10"/>
  <c r="J432" i="10"/>
  <c r="I432" i="10"/>
  <c r="H432" i="10"/>
  <c r="J431" i="10"/>
  <c r="I431" i="10"/>
  <c r="H431" i="10"/>
  <c r="J430" i="10"/>
  <c r="I430" i="10"/>
  <c r="H430" i="10"/>
  <c r="J429" i="10"/>
  <c r="I429" i="10"/>
  <c r="H429" i="10"/>
  <c r="J428" i="10"/>
  <c r="I428" i="10"/>
  <c r="H428" i="10"/>
  <c r="J427" i="10"/>
  <c r="I427" i="10"/>
  <c r="H427" i="10"/>
  <c r="J426" i="10"/>
  <c r="I426" i="10"/>
  <c r="H426" i="10"/>
  <c r="J425" i="10"/>
  <c r="I425" i="10"/>
  <c r="H425" i="10"/>
  <c r="J424" i="10"/>
  <c r="I424" i="10"/>
  <c r="H424" i="10"/>
  <c r="J423" i="10"/>
  <c r="I423" i="10"/>
  <c r="H423" i="10"/>
  <c r="J422" i="10"/>
  <c r="I422" i="10"/>
  <c r="H422" i="10"/>
  <c r="J421" i="10"/>
  <c r="I421" i="10"/>
  <c r="H421" i="10"/>
  <c r="J420" i="10"/>
  <c r="I420" i="10"/>
  <c r="H420" i="10"/>
  <c r="J419" i="10"/>
  <c r="I419" i="10"/>
  <c r="H419" i="10"/>
  <c r="J418" i="10"/>
  <c r="I418" i="10"/>
  <c r="H418" i="10"/>
  <c r="J417" i="10"/>
  <c r="I417" i="10"/>
  <c r="H417" i="10"/>
  <c r="J416" i="10"/>
  <c r="I416" i="10"/>
  <c r="H416" i="10"/>
  <c r="J415" i="10"/>
  <c r="I415" i="10"/>
  <c r="H415" i="10"/>
  <c r="J414" i="10"/>
  <c r="I414" i="10"/>
  <c r="H414" i="10"/>
  <c r="J413" i="10"/>
  <c r="I413" i="10"/>
  <c r="H413" i="10"/>
  <c r="J412" i="10"/>
  <c r="I412" i="10"/>
  <c r="H412" i="10"/>
  <c r="J411" i="10"/>
  <c r="I411" i="10"/>
  <c r="H411" i="10"/>
  <c r="J410" i="10"/>
  <c r="I410" i="10"/>
  <c r="H410" i="10"/>
  <c r="J409" i="10"/>
  <c r="I409" i="10"/>
  <c r="H409" i="10"/>
  <c r="J408" i="10"/>
  <c r="I408" i="10"/>
  <c r="H408" i="10"/>
  <c r="J407" i="10"/>
  <c r="I407" i="10"/>
  <c r="H407" i="10"/>
  <c r="J406" i="10"/>
  <c r="I406" i="10"/>
  <c r="H406" i="10"/>
  <c r="J405" i="10"/>
  <c r="I405" i="10"/>
  <c r="H405" i="10"/>
  <c r="J404" i="10"/>
  <c r="I404" i="10"/>
  <c r="H404" i="10"/>
  <c r="J403" i="10"/>
  <c r="I403" i="10"/>
  <c r="H403" i="10"/>
  <c r="J402" i="10"/>
  <c r="I402" i="10"/>
  <c r="H402" i="10"/>
  <c r="J401" i="10"/>
  <c r="I401" i="10"/>
  <c r="H401" i="10"/>
  <c r="J400" i="10"/>
  <c r="I400" i="10"/>
  <c r="H400" i="10"/>
  <c r="J399" i="10"/>
  <c r="I399" i="10"/>
  <c r="H399" i="10"/>
  <c r="J398" i="10"/>
  <c r="I398" i="10"/>
  <c r="H398" i="10"/>
  <c r="J397" i="10"/>
  <c r="I397" i="10"/>
  <c r="H397" i="10"/>
  <c r="J396" i="10"/>
  <c r="I396" i="10"/>
  <c r="H396" i="10"/>
  <c r="J395" i="10"/>
  <c r="I395" i="10"/>
  <c r="H395" i="10"/>
  <c r="J394" i="10"/>
  <c r="I394" i="10"/>
  <c r="H394" i="10"/>
  <c r="J393" i="10"/>
  <c r="I393" i="10"/>
  <c r="H393" i="10"/>
  <c r="J392" i="10"/>
  <c r="I392" i="10"/>
  <c r="H392" i="10"/>
  <c r="J391" i="10"/>
  <c r="I391" i="10"/>
  <c r="H391" i="10"/>
  <c r="J390" i="10"/>
  <c r="I390" i="10"/>
  <c r="H390" i="10"/>
  <c r="J389" i="10"/>
  <c r="I389" i="10"/>
  <c r="H389" i="10"/>
  <c r="J388" i="10"/>
  <c r="I388" i="10"/>
  <c r="H388" i="10"/>
  <c r="J387" i="10"/>
  <c r="I387" i="10"/>
  <c r="H387" i="10"/>
  <c r="J386" i="10"/>
  <c r="I386" i="10"/>
  <c r="H386" i="10"/>
  <c r="J385" i="10"/>
  <c r="I385" i="10"/>
  <c r="H385" i="10"/>
  <c r="J384" i="10"/>
  <c r="I384" i="10"/>
  <c r="H384" i="10"/>
  <c r="J383" i="10"/>
  <c r="I383" i="10"/>
  <c r="H383" i="10"/>
  <c r="J382" i="10"/>
  <c r="I382" i="10"/>
  <c r="H382" i="10"/>
  <c r="J381" i="10"/>
  <c r="I381" i="10"/>
  <c r="H381" i="10"/>
  <c r="J380" i="10"/>
  <c r="I380" i="10"/>
  <c r="H380" i="10"/>
  <c r="J379" i="10"/>
  <c r="I379" i="10"/>
  <c r="H379" i="10"/>
  <c r="J378" i="10"/>
  <c r="I378" i="10"/>
  <c r="H378" i="10"/>
  <c r="J377" i="10"/>
  <c r="I377" i="10"/>
  <c r="H377" i="10"/>
  <c r="J376" i="10"/>
  <c r="I376" i="10"/>
  <c r="H376" i="10"/>
  <c r="J375" i="10"/>
  <c r="I375" i="10"/>
  <c r="H375" i="10"/>
  <c r="J374" i="10"/>
  <c r="I374" i="10"/>
  <c r="H374" i="10"/>
  <c r="J373" i="10"/>
  <c r="I373" i="10"/>
  <c r="H373" i="10"/>
  <c r="J372" i="10"/>
  <c r="I372" i="10"/>
  <c r="H372" i="10"/>
  <c r="J371" i="10"/>
  <c r="I371" i="10"/>
  <c r="H371" i="10"/>
  <c r="J370" i="10"/>
  <c r="I370" i="10"/>
  <c r="H370" i="10"/>
  <c r="J369" i="10"/>
  <c r="I369" i="10"/>
  <c r="H369" i="10"/>
  <c r="J368" i="10"/>
  <c r="I368" i="10"/>
  <c r="H368" i="10"/>
  <c r="J367" i="10"/>
  <c r="I367" i="10"/>
  <c r="H367" i="10"/>
  <c r="J366" i="10"/>
  <c r="I366" i="10"/>
  <c r="H366" i="10"/>
  <c r="J365" i="10"/>
  <c r="I365" i="10"/>
  <c r="H365" i="10"/>
  <c r="J364" i="10"/>
  <c r="I364" i="10"/>
  <c r="H364" i="10"/>
  <c r="J363" i="10"/>
  <c r="I363" i="10"/>
  <c r="H363" i="10"/>
  <c r="J362" i="10"/>
  <c r="I362" i="10"/>
  <c r="H362" i="10"/>
  <c r="J361" i="10"/>
  <c r="I361" i="10"/>
  <c r="H361" i="10"/>
  <c r="J360" i="10"/>
  <c r="I360" i="10"/>
  <c r="H360" i="10"/>
  <c r="J359" i="10"/>
  <c r="I359" i="10"/>
  <c r="H359" i="10"/>
  <c r="J358" i="10"/>
  <c r="I358" i="10"/>
  <c r="H358" i="10"/>
  <c r="J357" i="10"/>
  <c r="I357" i="10"/>
  <c r="H357" i="10"/>
  <c r="J356" i="10"/>
  <c r="I356" i="10"/>
  <c r="H356" i="10"/>
  <c r="J355" i="10"/>
  <c r="I355" i="10"/>
  <c r="H355" i="10"/>
  <c r="J354" i="10"/>
  <c r="I354" i="10"/>
  <c r="H354" i="10"/>
  <c r="J353" i="10"/>
  <c r="I353" i="10"/>
  <c r="H353" i="10"/>
  <c r="J352" i="10"/>
  <c r="I352" i="10"/>
  <c r="H352" i="10"/>
  <c r="J351" i="10"/>
  <c r="I351" i="10"/>
  <c r="H351" i="10"/>
  <c r="J350" i="10"/>
  <c r="I350" i="10"/>
  <c r="H350" i="10"/>
  <c r="J349" i="10"/>
  <c r="I349" i="10"/>
  <c r="H349" i="10"/>
  <c r="J348" i="10"/>
  <c r="I348" i="10"/>
  <c r="H348" i="10"/>
  <c r="J347" i="10"/>
  <c r="I347" i="10"/>
  <c r="H347" i="10"/>
  <c r="J346" i="10"/>
  <c r="I346" i="10"/>
  <c r="H346" i="10"/>
  <c r="J345" i="10"/>
  <c r="I345" i="10"/>
  <c r="H345" i="10"/>
  <c r="J344" i="10"/>
  <c r="I344" i="10"/>
  <c r="H344" i="10"/>
  <c r="J343" i="10"/>
  <c r="I343" i="10"/>
  <c r="H343" i="10"/>
  <c r="J342" i="10"/>
  <c r="I342" i="10"/>
  <c r="H342" i="10"/>
  <c r="J341" i="10"/>
  <c r="I341" i="10"/>
  <c r="H341" i="10"/>
  <c r="J340" i="10"/>
  <c r="I340" i="10"/>
  <c r="H340" i="10"/>
  <c r="J339" i="10"/>
  <c r="I339" i="10"/>
  <c r="H339" i="10"/>
  <c r="J338" i="10"/>
  <c r="I338" i="10"/>
  <c r="H338" i="10"/>
  <c r="J337" i="10"/>
  <c r="I337" i="10"/>
  <c r="H337" i="10"/>
  <c r="J336" i="10"/>
  <c r="I336" i="10"/>
  <c r="H336" i="10"/>
  <c r="J335" i="10"/>
  <c r="I335" i="10"/>
  <c r="H335" i="10"/>
  <c r="J334" i="10"/>
  <c r="I334" i="10"/>
  <c r="H334" i="10"/>
  <c r="J333" i="10"/>
  <c r="I333" i="10"/>
  <c r="H333" i="10"/>
  <c r="J332" i="10"/>
  <c r="I332" i="10"/>
  <c r="H332" i="10"/>
  <c r="J331" i="10"/>
  <c r="I331" i="10"/>
  <c r="H331" i="10"/>
  <c r="J330" i="10"/>
  <c r="I330" i="10"/>
  <c r="H330" i="10"/>
  <c r="J329" i="10"/>
  <c r="I329" i="10"/>
  <c r="H329" i="10"/>
  <c r="J328" i="10"/>
  <c r="I328" i="10"/>
  <c r="H328" i="10"/>
  <c r="J327" i="10"/>
  <c r="I327" i="10"/>
  <c r="H327" i="10"/>
  <c r="J326" i="10"/>
  <c r="I326" i="10"/>
  <c r="H326" i="10"/>
  <c r="J325" i="10"/>
  <c r="I325" i="10"/>
  <c r="H325" i="10"/>
  <c r="J324" i="10"/>
  <c r="I324" i="10"/>
  <c r="H324" i="10"/>
  <c r="J323" i="10"/>
  <c r="I323" i="10"/>
  <c r="H323" i="10"/>
  <c r="J322" i="10"/>
  <c r="I322" i="10"/>
  <c r="H322" i="10"/>
  <c r="J321" i="10"/>
  <c r="I321" i="10"/>
  <c r="H321" i="10"/>
  <c r="J320" i="10"/>
  <c r="I320" i="10"/>
  <c r="H320" i="10"/>
  <c r="J319" i="10"/>
  <c r="I319" i="10"/>
  <c r="H319" i="10"/>
  <c r="J318" i="10"/>
  <c r="I318" i="10"/>
  <c r="H318" i="10"/>
  <c r="J317" i="10"/>
  <c r="I317" i="10"/>
  <c r="H317" i="10"/>
  <c r="J316" i="10"/>
  <c r="I316" i="10"/>
  <c r="H316" i="10"/>
  <c r="J315" i="10"/>
  <c r="I315" i="10"/>
  <c r="H315" i="10"/>
  <c r="J314" i="10"/>
  <c r="I314" i="10"/>
  <c r="H314" i="10"/>
  <c r="J313" i="10"/>
  <c r="I313" i="10"/>
  <c r="H313" i="10"/>
  <c r="J312" i="10"/>
  <c r="I312" i="10"/>
  <c r="H312" i="10"/>
  <c r="J311" i="10"/>
  <c r="I311" i="10"/>
  <c r="H311" i="10"/>
  <c r="J310" i="10"/>
  <c r="I310" i="10"/>
  <c r="H310" i="10"/>
  <c r="J309" i="10"/>
  <c r="I309" i="10"/>
  <c r="H309" i="10"/>
  <c r="J308" i="10"/>
  <c r="I308" i="10"/>
  <c r="H308" i="10"/>
  <c r="J307" i="10"/>
  <c r="I307" i="10"/>
  <c r="H307" i="10"/>
  <c r="J306" i="10"/>
  <c r="I306" i="10"/>
  <c r="H306" i="10"/>
  <c r="J305" i="10"/>
  <c r="I305" i="10"/>
  <c r="H305" i="10"/>
  <c r="J304" i="10"/>
  <c r="I304" i="10"/>
  <c r="H304" i="10"/>
  <c r="J303" i="10"/>
  <c r="I303" i="10"/>
  <c r="H303" i="10"/>
  <c r="J302" i="10"/>
  <c r="I302" i="10"/>
  <c r="H302" i="10"/>
  <c r="J301" i="10"/>
  <c r="I301" i="10"/>
  <c r="H301" i="10"/>
  <c r="J300" i="10"/>
  <c r="I300" i="10"/>
  <c r="H300" i="10"/>
  <c r="J299" i="10"/>
  <c r="I299" i="10"/>
  <c r="H299" i="10"/>
  <c r="J298" i="10"/>
  <c r="I298" i="10"/>
  <c r="H298" i="10"/>
  <c r="J297" i="10"/>
  <c r="I297" i="10"/>
  <c r="H297" i="10"/>
  <c r="J296" i="10"/>
  <c r="I296" i="10"/>
  <c r="H296" i="10"/>
  <c r="J295" i="10"/>
  <c r="I295" i="10"/>
  <c r="H295" i="10"/>
  <c r="J294" i="10"/>
  <c r="I294" i="10"/>
  <c r="H294" i="10"/>
  <c r="J293" i="10"/>
  <c r="I293" i="10"/>
  <c r="H293" i="10"/>
  <c r="J292" i="10"/>
  <c r="I292" i="10"/>
  <c r="H292" i="10"/>
  <c r="J291" i="10"/>
  <c r="I291" i="10"/>
  <c r="H291" i="10"/>
  <c r="J290" i="10"/>
  <c r="I290" i="10"/>
  <c r="H290" i="10"/>
  <c r="J289" i="10"/>
  <c r="I289" i="10"/>
  <c r="H289" i="10"/>
  <c r="J288" i="10"/>
  <c r="I288" i="10"/>
  <c r="H288" i="10"/>
  <c r="J287" i="10"/>
  <c r="I287" i="10"/>
  <c r="H287" i="10"/>
  <c r="J286" i="10"/>
  <c r="I286" i="10"/>
  <c r="H286" i="10"/>
  <c r="J285" i="10"/>
  <c r="I285" i="10"/>
  <c r="H285" i="10"/>
  <c r="J284" i="10"/>
  <c r="I284" i="10"/>
  <c r="H284" i="10"/>
  <c r="J283" i="10"/>
  <c r="I283" i="10"/>
  <c r="H283" i="10"/>
  <c r="J282" i="10"/>
  <c r="I282" i="10"/>
  <c r="H282" i="10"/>
  <c r="J281" i="10"/>
  <c r="I281" i="10"/>
  <c r="H281" i="10"/>
  <c r="J280" i="10"/>
  <c r="I280" i="10"/>
  <c r="H280" i="10"/>
  <c r="J279" i="10"/>
  <c r="I279" i="10"/>
  <c r="H279" i="10"/>
  <c r="J278" i="10"/>
  <c r="I278" i="10"/>
  <c r="H278" i="10"/>
  <c r="J277" i="10"/>
  <c r="I277" i="10"/>
  <c r="H277" i="10"/>
  <c r="J276" i="10"/>
  <c r="I276" i="10"/>
  <c r="H276" i="10"/>
  <c r="J275" i="10"/>
  <c r="I275" i="10"/>
  <c r="H275" i="10"/>
  <c r="J274" i="10"/>
  <c r="I274" i="10"/>
  <c r="H274" i="10"/>
  <c r="J273" i="10"/>
  <c r="I273" i="10"/>
  <c r="H273" i="10"/>
  <c r="J272" i="10"/>
  <c r="I272" i="10"/>
  <c r="H272" i="10"/>
  <c r="J271" i="10"/>
  <c r="I271" i="10"/>
  <c r="H271" i="10"/>
  <c r="J270" i="10"/>
  <c r="I270" i="10"/>
  <c r="H270" i="10"/>
  <c r="J269" i="10"/>
  <c r="I269" i="10"/>
  <c r="H269" i="10"/>
  <c r="J268" i="10"/>
  <c r="I268" i="10"/>
  <c r="H268" i="10"/>
  <c r="J267" i="10"/>
  <c r="I267" i="10"/>
  <c r="H267" i="10"/>
  <c r="J266" i="10"/>
  <c r="I266" i="10"/>
  <c r="H266" i="10"/>
  <c r="J265" i="10"/>
  <c r="I265" i="10"/>
  <c r="H265" i="10"/>
  <c r="J264" i="10"/>
  <c r="I264" i="10"/>
  <c r="H264" i="10"/>
  <c r="J263" i="10"/>
  <c r="I263" i="10"/>
  <c r="H263" i="10"/>
  <c r="J262" i="10"/>
  <c r="I262" i="10"/>
  <c r="H262" i="10"/>
  <c r="J261" i="10"/>
  <c r="I261" i="10"/>
  <c r="H261" i="10"/>
  <c r="J260" i="10"/>
  <c r="I260" i="10"/>
  <c r="H260" i="10"/>
  <c r="J259" i="10"/>
  <c r="I259" i="10"/>
  <c r="H259" i="10"/>
  <c r="J258" i="10"/>
  <c r="I258" i="10"/>
  <c r="H258" i="10"/>
  <c r="J257" i="10"/>
  <c r="I257" i="10"/>
  <c r="H257" i="10"/>
  <c r="J256" i="10"/>
  <c r="I256" i="10"/>
  <c r="H256" i="10"/>
  <c r="J255" i="10"/>
  <c r="I255" i="10"/>
  <c r="H255" i="10"/>
  <c r="J254" i="10"/>
  <c r="I254" i="10"/>
  <c r="H254" i="10"/>
  <c r="J253" i="10"/>
  <c r="I253" i="10"/>
  <c r="H253" i="10"/>
  <c r="J252" i="10"/>
  <c r="I252" i="10"/>
  <c r="H252" i="10"/>
  <c r="J251" i="10"/>
  <c r="I251" i="10"/>
  <c r="H251" i="10"/>
  <c r="J250" i="10"/>
  <c r="I250" i="10"/>
  <c r="H250" i="10"/>
  <c r="J249" i="10"/>
  <c r="I249" i="10"/>
  <c r="H249" i="10"/>
  <c r="J248" i="10"/>
  <c r="I248" i="10"/>
  <c r="H248" i="10"/>
  <c r="J247" i="10"/>
  <c r="I247" i="10"/>
  <c r="H247" i="10"/>
  <c r="J246" i="10"/>
  <c r="I246" i="10"/>
  <c r="H246" i="10"/>
  <c r="J245" i="10"/>
  <c r="I245" i="10"/>
  <c r="H245" i="10"/>
  <c r="J244" i="10"/>
  <c r="I244" i="10"/>
  <c r="H244" i="10"/>
  <c r="J243" i="10"/>
  <c r="I243" i="10"/>
  <c r="H243" i="10"/>
  <c r="J242" i="10"/>
  <c r="I242" i="10"/>
  <c r="H242" i="10"/>
  <c r="J241" i="10"/>
  <c r="I241" i="10"/>
  <c r="H241" i="10"/>
  <c r="J240" i="10"/>
  <c r="I240" i="10"/>
  <c r="H240" i="10"/>
  <c r="J239" i="10"/>
  <c r="I239" i="10"/>
  <c r="H239" i="10"/>
  <c r="J238" i="10"/>
  <c r="I238" i="10"/>
  <c r="H238" i="10"/>
  <c r="J237" i="10"/>
  <c r="I237" i="10"/>
  <c r="H237" i="10"/>
  <c r="J236" i="10"/>
  <c r="I236" i="10"/>
  <c r="H236" i="10"/>
  <c r="J235" i="10"/>
  <c r="I235" i="10"/>
  <c r="H235" i="10"/>
  <c r="J234" i="10"/>
  <c r="I234" i="10"/>
  <c r="H234" i="10"/>
  <c r="J233" i="10"/>
  <c r="I233" i="10"/>
  <c r="H233" i="10"/>
  <c r="J232" i="10"/>
  <c r="I232" i="10"/>
  <c r="H232" i="10"/>
  <c r="J231" i="10"/>
  <c r="I231" i="10"/>
  <c r="H231" i="10"/>
  <c r="J230" i="10"/>
  <c r="I230" i="10"/>
  <c r="H230" i="10"/>
  <c r="J229" i="10"/>
  <c r="I229" i="10"/>
  <c r="H229" i="10"/>
  <c r="J228" i="10"/>
  <c r="I228" i="10"/>
  <c r="H228" i="10"/>
  <c r="J227" i="10"/>
  <c r="I227" i="10"/>
  <c r="H227" i="10"/>
  <c r="J226" i="10"/>
  <c r="I226" i="10"/>
  <c r="H226" i="10"/>
  <c r="J225" i="10"/>
  <c r="I225" i="10"/>
  <c r="H225" i="10"/>
  <c r="J224" i="10"/>
  <c r="I224" i="10"/>
  <c r="H224" i="10"/>
  <c r="J223" i="10"/>
  <c r="I223" i="10"/>
  <c r="H223" i="10"/>
  <c r="J222" i="10"/>
  <c r="I222" i="10"/>
  <c r="H222" i="10"/>
  <c r="J221" i="10"/>
  <c r="I221" i="10"/>
  <c r="H221" i="10"/>
  <c r="J220" i="10"/>
  <c r="I220" i="10"/>
  <c r="H220" i="10"/>
  <c r="J219" i="10"/>
  <c r="I219" i="10"/>
  <c r="H219" i="10"/>
  <c r="J218" i="10"/>
  <c r="I218" i="10"/>
  <c r="H218" i="10"/>
  <c r="J217" i="10"/>
  <c r="I217" i="10"/>
  <c r="H217" i="10"/>
  <c r="J216" i="10"/>
  <c r="I216" i="10"/>
  <c r="H216" i="10"/>
  <c r="J215" i="10"/>
  <c r="I215" i="10"/>
  <c r="H215" i="10"/>
  <c r="J214" i="10"/>
  <c r="I214" i="10"/>
  <c r="H214" i="10"/>
  <c r="J213" i="10"/>
  <c r="I213" i="10"/>
  <c r="H213" i="10"/>
  <c r="J212" i="10"/>
  <c r="I212" i="10"/>
  <c r="H212" i="10"/>
  <c r="J211" i="10"/>
  <c r="I211" i="10"/>
  <c r="H211" i="10"/>
  <c r="J210" i="10"/>
  <c r="I210" i="10"/>
  <c r="H210" i="10"/>
  <c r="J209" i="10"/>
  <c r="I209" i="10"/>
  <c r="H209" i="10"/>
  <c r="J208" i="10"/>
  <c r="I208" i="10"/>
  <c r="H208" i="10"/>
  <c r="J207" i="10"/>
  <c r="I207" i="10"/>
  <c r="H207" i="10"/>
  <c r="J206" i="10"/>
  <c r="I206" i="10"/>
  <c r="H206" i="10"/>
  <c r="J205" i="10"/>
  <c r="I205" i="10"/>
  <c r="H205" i="10"/>
  <c r="J204" i="10"/>
  <c r="I204" i="10"/>
  <c r="H204" i="10"/>
  <c r="J203" i="10"/>
  <c r="I203" i="10"/>
  <c r="H203" i="10"/>
  <c r="J202" i="10"/>
  <c r="I202" i="10"/>
  <c r="H202" i="10"/>
  <c r="J201" i="10"/>
  <c r="I201" i="10"/>
  <c r="H201" i="10"/>
  <c r="J200" i="10"/>
  <c r="I200" i="10"/>
  <c r="H200" i="10"/>
  <c r="J199" i="10"/>
  <c r="I199" i="10"/>
  <c r="H199" i="10"/>
  <c r="J198" i="10"/>
  <c r="I198" i="10"/>
  <c r="H198" i="10"/>
  <c r="J197" i="10"/>
  <c r="I197" i="10"/>
  <c r="H197" i="10"/>
  <c r="J196" i="10"/>
  <c r="I196" i="10"/>
  <c r="H196" i="10"/>
  <c r="J195" i="10"/>
  <c r="I195" i="10"/>
  <c r="H195" i="10"/>
  <c r="J194" i="10"/>
  <c r="I194" i="10"/>
  <c r="H194" i="10"/>
  <c r="J193" i="10"/>
  <c r="I193" i="10"/>
  <c r="H193" i="10"/>
  <c r="J192" i="10"/>
  <c r="I192" i="10"/>
  <c r="H192" i="10"/>
  <c r="J191" i="10"/>
  <c r="I191" i="10"/>
  <c r="H191" i="10"/>
  <c r="J190" i="10"/>
  <c r="I190" i="10"/>
  <c r="H190" i="10"/>
  <c r="J189" i="10"/>
  <c r="I189" i="10"/>
  <c r="H189" i="10"/>
  <c r="J188" i="10"/>
  <c r="I188" i="10"/>
  <c r="H188" i="10"/>
  <c r="J187" i="10"/>
  <c r="I187" i="10"/>
  <c r="H187" i="10"/>
  <c r="J186" i="10"/>
  <c r="I186" i="10"/>
  <c r="H186" i="10"/>
  <c r="J185" i="10"/>
  <c r="I185" i="10"/>
  <c r="H185" i="10"/>
  <c r="J184" i="10"/>
  <c r="I184" i="10"/>
  <c r="H184" i="10"/>
  <c r="J183" i="10"/>
  <c r="I183" i="10"/>
  <c r="H183" i="10"/>
  <c r="J182" i="10"/>
  <c r="I182" i="10"/>
  <c r="H182" i="10"/>
  <c r="J181" i="10"/>
  <c r="I181" i="10"/>
  <c r="H181" i="10"/>
  <c r="J180" i="10"/>
  <c r="I180" i="10"/>
  <c r="H180" i="10"/>
  <c r="J179" i="10"/>
  <c r="I179" i="10"/>
  <c r="H179" i="10"/>
  <c r="J178" i="10"/>
  <c r="I178" i="10"/>
  <c r="H178" i="10"/>
  <c r="J177" i="10"/>
  <c r="I177" i="10"/>
  <c r="H177" i="10"/>
  <c r="J176" i="10"/>
  <c r="I176" i="10"/>
  <c r="H176" i="10"/>
  <c r="J175" i="10"/>
  <c r="I175" i="10"/>
  <c r="H175" i="10"/>
  <c r="J174" i="10"/>
  <c r="I174" i="10"/>
  <c r="H174" i="10"/>
  <c r="J173" i="10"/>
  <c r="I173" i="10"/>
  <c r="H173" i="10"/>
  <c r="J172" i="10"/>
  <c r="I172" i="10"/>
  <c r="H172" i="10"/>
  <c r="J171" i="10"/>
  <c r="I171" i="10"/>
  <c r="H171" i="10"/>
  <c r="J170" i="10"/>
  <c r="I170" i="10"/>
  <c r="H170" i="10"/>
  <c r="J169" i="10"/>
  <c r="I169" i="10"/>
  <c r="H169" i="10"/>
  <c r="J168" i="10"/>
  <c r="I168" i="10"/>
  <c r="H168" i="10"/>
  <c r="J167" i="10"/>
  <c r="I167" i="10"/>
  <c r="H167" i="10"/>
  <c r="J166" i="10"/>
  <c r="I166" i="10"/>
  <c r="H166" i="10"/>
  <c r="J165" i="10"/>
  <c r="I165" i="10"/>
  <c r="H165" i="10"/>
  <c r="J164" i="10"/>
  <c r="I164" i="10"/>
  <c r="H164" i="10"/>
  <c r="J163" i="10"/>
  <c r="I163" i="10"/>
  <c r="H163" i="10"/>
  <c r="J162" i="10"/>
  <c r="I162" i="10"/>
  <c r="H162" i="10"/>
  <c r="J161" i="10"/>
  <c r="I161" i="10"/>
  <c r="H161" i="10"/>
  <c r="J160" i="10"/>
  <c r="I160" i="10"/>
  <c r="H160" i="10"/>
  <c r="J159" i="10"/>
  <c r="I159" i="10"/>
  <c r="H159" i="10"/>
  <c r="J158" i="10"/>
  <c r="I158" i="10"/>
  <c r="H158" i="10"/>
  <c r="J157" i="10"/>
  <c r="I157" i="10"/>
  <c r="H157" i="10"/>
  <c r="J156" i="10"/>
  <c r="I156" i="10"/>
  <c r="H156" i="10"/>
  <c r="J155" i="10"/>
  <c r="I155" i="10"/>
  <c r="H155" i="10"/>
  <c r="J154" i="10"/>
  <c r="I154" i="10"/>
  <c r="H154" i="10"/>
  <c r="J153" i="10"/>
  <c r="I153" i="10"/>
  <c r="H153" i="10"/>
  <c r="J152" i="10"/>
  <c r="I152" i="10"/>
  <c r="H152" i="10"/>
  <c r="J151" i="10"/>
  <c r="I151" i="10"/>
  <c r="H151" i="10"/>
  <c r="J150" i="10"/>
  <c r="I150" i="10"/>
  <c r="H150" i="10"/>
  <c r="J149" i="10"/>
  <c r="I149" i="10"/>
  <c r="H149" i="10"/>
  <c r="J148" i="10"/>
  <c r="I148" i="10"/>
  <c r="H148" i="10"/>
  <c r="J147" i="10"/>
  <c r="I147" i="10"/>
  <c r="H147" i="10"/>
  <c r="J146" i="10"/>
  <c r="I146" i="10"/>
  <c r="H146" i="10"/>
  <c r="J145" i="10"/>
  <c r="I145" i="10"/>
  <c r="H145" i="10"/>
  <c r="J144" i="10"/>
  <c r="I144" i="10"/>
  <c r="H144" i="10"/>
  <c r="J143" i="10"/>
  <c r="I143" i="10"/>
  <c r="H143" i="10"/>
  <c r="J142" i="10"/>
  <c r="I142" i="10"/>
  <c r="H142" i="10"/>
  <c r="J141" i="10"/>
  <c r="I141" i="10"/>
  <c r="H141" i="10"/>
  <c r="J140" i="10"/>
  <c r="I140" i="10"/>
  <c r="H140" i="10"/>
  <c r="J139" i="10"/>
  <c r="I139" i="10"/>
  <c r="H139" i="10"/>
  <c r="J138" i="10"/>
  <c r="I138" i="10"/>
  <c r="H138" i="10"/>
  <c r="J137" i="10"/>
  <c r="I137" i="10"/>
  <c r="H137" i="10"/>
  <c r="J136" i="10"/>
  <c r="I136" i="10"/>
  <c r="H136" i="10"/>
  <c r="J135" i="10"/>
  <c r="I135" i="10"/>
  <c r="H135" i="10"/>
  <c r="J134" i="10"/>
  <c r="I134" i="10"/>
  <c r="H134" i="10"/>
  <c r="J133" i="10"/>
  <c r="I133" i="10"/>
  <c r="H133" i="10"/>
  <c r="J132" i="10"/>
  <c r="I132" i="10"/>
  <c r="H132" i="10"/>
  <c r="J131" i="10"/>
  <c r="I131" i="10"/>
  <c r="H131" i="10"/>
  <c r="J130" i="10"/>
  <c r="I130" i="10"/>
  <c r="H130" i="10"/>
  <c r="J129" i="10"/>
  <c r="I129" i="10"/>
  <c r="H129" i="10"/>
  <c r="J128" i="10"/>
  <c r="I128" i="10"/>
  <c r="H128" i="10"/>
  <c r="J127" i="10"/>
  <c r="I127" i="10"/>
  <c r="H127" i="10"/>
  <c r="J126" i="10"/>
  <c r="I126" i="10"/>
  <c r="H126" i="10"/>
  <c r="J125" i="10"/>
  <c r="I125" i="10"/>
  <c r="H125" i="10"/>
  <c r="J124" i="10"/>
  <c r="I124" i="10"/>
  <c r="H124" i="10"/>
  <c r="J123" i="10"/>
  <c r="I123" i="10"/>
  <c r="H123" i="10"/>
  <c r="J122" i="10"/>
  <c r="I122" i="10"/>
  <c r="H122" i="10"/>
  <c r="J121" i="10"/>
  <c r="I121" i="10"/>
  <c r="H121" i="10"/>
  <c r="J120" i="10"/>
  <c r="I120" i="10"/>
  <c r="H120" i="10"/>
  <c r="J119" i="10"/>
  <c r="I119" i="10"/>
  <c r="H119" i="10"/>
  <c r="J118" i="10"/>
  <c r="I118" i="10"/>
  <c r="H118" i="10"/>
  <c r="J117" i="10"/>
  <c r="I117" i="10"/>
  <c r="H117" i="10"/>
  <c r="J116" i="10"/>
  <c r="I116" i="10"/>
  <c r="H116" i="10"/>
  <c r="J115" i="10"/>
  <c r="I115" i="10"/>
  <c r="H115" i="10"/>
  <c r="J114" i="10"/>
  <c r="I114" i="10"/>
  <c r="H114" i="10"/>
  <c r="J113" i="10"/>
  <c r="I113" i="10"/>
  <c r="H113" i="10"/>
  <c r="J112" i="10"/>
  <c r="I112" i="10"/>
  <c r="H112" i="10"/>
  <c r="J111" i="10"/>
  <c r="I111" i="10"/>
  <c r="H111" i="10"/>
  <c r="J110" i="10"/>
  <c r="I110" i="10"/>
  <c r="H110" i="10"/>
  <c r="J109" i="10"/>
  <c r="I109" i="10"/>
  <c r="H109" i="10"/>
  <c r="J108" i="10"/>
  <c r="I108" i="10"/>
  <c r="H108" i="10"/>
  <c r="J107" i="10"/>
  <c r="I107" i="10"/>
  <c r="H107" i="10"/>
  <c r="J106" i="10"/>
  <c r="I106" i="10"/>
  <c r="H106" i="10"/>
  <c r="J105" i="10"/>
  <c r="I105" i="10"/>
  <c r="H105" i="10"/>
  <c r="J104" i="10"/>
  <c r="I104" i="10"/>
  <c r="H104" i="10"/>
  <c r="J103" i="10"/>
  <c r="I103" i="10"/>
  <c r="H103" i="10"/>
  <c r="J102" i="10"/>
  <c r="I102" i="10"/>
  <c r="H102" i="10"/>
  <c r="J101" i="10"/>
  <c r="I101" i="10"/>
  <c r="H101" i="10"/>
  <c r="J100" i="10"/>
  <c r="I100" i="10"/>
  <c r="H100" i="10"/>
  <c r="J99" i="10"/>
  <c r="I99" i="10"/>
  <c r="H99" i="10"/>
  <c r="J98" i="10"/>
  <c r="I98" i="10"/>
  <c r="H98" i="10"/>
  <c r="J97" i="10"/>
  <c r="I97" i="10"/>
  <c r="H97" i="10"/>
  <c r="J96" i="10"/>
  <c r="I96" i="10"/>
  <c r="H96" i="10"/>
  <c r="J95" i="10"/>
  <c r="I95" i="10"/>
  <c r="H95" i="10"/>
  <c r="J94" i="10"/>
  <c r="I94" i="10"/>
  <c r="H94" i="10"/>
  <c r="J93" i="10"/>
  <c r="I93" i="10"/>
  <c r="H93" i="10"/>
  <c r="J92" i="10"/>
  <c r="I92" i="10"/>
  <c r="H92" i="10"/>
  <c r="J91" i="10"/>
  <c r="I91" i="10"/>
  <c r="H91" i="10"/>
  <c r="J90" i="10"/>
  <c r="I90" i="10"/>
  <c r="H90" i="10"/>
  <c r="J89" i="10"/>
  <c r="I89" i="10"/>
  <c r="H89" i="10"/>
  <c r="J88" i="10"/>
  <c r="I88" i="10"/>
  <c r="H88" i="10"/>
  <c r="J87" i="10"/>
  <c r="I87" i="10"/>
  <c r="H87" i="10"/>
  <c r="J86" i="10"/>
  <c r="I86" i="10"/>
  <c r="H86" i="10"/>
  <c r="J85" i="10"/>
  <c r="I85" i="10"/>
  <c r="H85" i="10"/>
  <c r="J84" i="10"/>
  <c r="I84" i="10"/>
  <c r="H84" i="10"/>
  <c r="J83" i="10"/>
  <c r="I83" i="10"/>
  <c r="H83" i="10"/>
  <c r="J82" i="10"/>
  <c r="I82" i="10"/>
  <c r="H82" i="10"/>
  <c r="J81" i="10"/>
  <c r="I81" i="10"/>
  <c r="H81" i="10"/>
  <c r="J80" i="10"/>
  <c r="I80" i="10"/>
  <c r="H80" i="10"/>
  <c r="J79" i="10"/>
  <c r="I79" i="10"/>
  <c r="H79" i="10"/>
  <c r="J78" i="10"/>
  <c r="I78" i="10"/>
  <c r="H78" i="10"/>
  <c r="J77" i="10"/>
  <c r="I77" i="10"/>
  <c r="H77" i="10"/>
  <c r="J76" i="10"/>
  <c r="I76" i="10"/>
  <c r="H76" i="10"/>
  <c r="J75" i="10"/>
  <c r="I75" i="10"/>
  <c r="H75" i="10"/>
  <c r="J74" i="10"/>
  <c r="I74" i="10"/>
  <c r="H74" i="10"/>
  <c r="J73" i="10"/>
  <c r="I73" i="10"/>
  <c r="H73" i="10"/>
  <c r="J72" i="10"/>
  <c r="I72" i="10"/>
  <c r="H72" i="10"/>
  <c r="J71" i="10"/>
  <c r="I71" i="10"/>
  <c r="H71" i="10"/>
  <c r="J70" i="10"/>
  <c r="I70" i="10"/>
  <c r="H70" i="10"/>
  <c r="J69" i="10"/>
  <c r="I69" i="10"/>
  <c r="H69" i="10"/>
  <c r="J68" i="10"/>
  <c r="I68" i="10"/>
  <c r="H68" i="10"/>
  <c r="J67" i="10"/>
  <c r="I67" i="10"/>
  <c r="H67" i="10"/>
  <c r="J66" i="10"/>
  <c r="I66" i="10"/>
  <c r="H66" i="10"/>
  <c r="J65" i="10"/>
  <c r="I65" i="10"/>
  <c r="H65" i="10"/>
  <c r="J64" i="10"/>
  <c r="I64" i="10"/>
  <c r="H64" i="10"/>
  <c r="J63" i="10"/>
  <c r="I63" i="10"/>
  <c r="H63" i="10"/>
  <c r="J62" i="10"/>
  <c r="I62" i="10"/>
  <c r="H62" i="10"/>
  <c r="J61" i="10"/>
  <c r="I61" i="10"/>
  <c r="H61" i="10"/>
  <c r="J60" i="10"/>
  <c r="I60" i="10"/>
  <c r="H60" i="10"/>
  <c r="J59" i="10"/>
  <c r="I59" i="10"/>
  <c r="H59" i="10"/>
  <c r="J58" i="10"/>
  <c r="I58" i="10"/>
  <c r="H58" i="10"/>
  <c r="J57" i="10"/>
  <c r="I57" i="10"/>
  <c r="H57" i="10"/>
  <c r="J56" i="10"/>
  <c r="I56" i="10"/>
  <c r="H56" i="10"/>
  <c r="J55" i="10"/>
  <c r="I55" i="10"/>
  <c r="H55" i="10"/>
  <c r="J54" i="10"/>
  <c r="I54" i="10"/>
  <c r="H54" i="10"/>
  <c r="J53" i="10"/>
  <c r="I53" i="10"/>
  <c r="H53" i="10"/>
  <c r="J52" i="10"/>
  <c r="I52" i="10"/>
  <c r="H52" i="10"/>
  <c r="J51" i="10"/>
  <c r="I51" i="10"/>
  <c r="H51" i="10"/>
  <c r="J50" i="10"/>
  <c r="I50" i="10"/>
  <c r="H50" i="10"/>
  <c r="J49" i="10"/>
  <c r="I49" i="10"/>
  <c r="H49" i="10"/>
  <c r="J48" i="10"/>
  <c r="I48" i="10"/>
  <c r="H48" i="10"/>
  <c r="J47" i="10"/>
  <c r="I47" i="10"/>
  <c r="H47" i="10"/>
  <c r="J46" i="10"/>
  <c r="I46" i="10"/>
  <c r="H46" i="10"/>
  <c r="J45" i="10"/>
  <c r="I45" i="10"/>
  <c r="H45" i="10"/>
  <c r="J44" i="10"/>
  <c r="I44" i="10"/>
  <c r="H44" i="10"/>
  <c r="J43" i="10"/>
  <c r="I43" i="10"/>
  <c r="H43" i="10"/>
  <c r="J42" i="10"/>
  <c r="I42" i="10"/>
  <c r="H42" i="10"/>
  <c r="J41" i="10"/>
  <c r="I41" i="10"/>
  <c r="H41" i="10"/>
  <c r="J40" i="10"/>
  <c r="I40" i="10"/>
  <c r="H40" i="10"/>
  <c r="J39" i="10"/>
  <c r="I39" i="10"/>
  <c r="H39" i="10"/>
  <c r="J38" i="10"/>
  <c r="I38" i="10"/>
  <c r="H38" i="10"/>
  <c r="J37" i="10"/>
  <c r="I37" i="10"/>
  <c r="H37" i="10"/>
  <c r="J36" i="10"/>
  <c r="I36" i="10"/>
  <c r="H36" i="10"/>
  <c r="J35" i="10"/>
  <c r="I35" i="10"/>
  <c r="H35" i="10"/>
  <c r="J34" i="10"/>
  <c r="I34" i="10"/>
  <c r="H34" i="10"/>
  <c r="J33" i="10"/>
  <c r="I33" i="10"/>
  <c r="H33" i="10"/>
  <c r="J32" i="10"/>
  <c r="I32" i="10"/>
  <c r="H32" i="10"/>
  <c r="J31" i="10"/>
  <c r="I31" i="10"/>
  <c r="H31" i="10"/>
  <c r="J30" i="10"/>
  <c r="I30" i="10"/>
  <c r="H30" i="10"/>
  <c r="J29" i="10"/>
  <c r="I29" i="10"/>
  <c r="H29" i="10"/>
  <c r="J28" i="10"/>
  <c r="I28" i="10"/>
  <c r="H28" i="10"/>
  <c r="J27" i="10"/>
  <c r="I27" i="10"/>
  <c r="H27" i="10"/>
  <c r="J26" i="10"/>
  <c r="I26" i="10"/>
  <c r="H26" i="10"/>
  <c r="J25" i="10"/>
  <c r="I25" i="10"/>
  <c r="H25" i="10"/>
  <c r="J24" i="10"/>
  <c r="I24" i="10"/>
  <c r="H24" i="10"/>
  <c r="J23" i="10"/>
  <c r="I23" i="10"/>
  <c r="H23" i="10"/>
  <c r="J22" i="10"/>
  <c r="I22" i="10"/>
  <c r="H22" i="10"/>
  <c r="J21" i="10"/>
  <c r="I21" i="10"/>
  <c r="H21" i="10"/>
  <c r="J20" i="10"/>
  <c r="I20" i="10"/>
  <c r="H20" i="10"/>
  <c r="J19" i="10"/>
  <c r="I19" i="10"/>
  <c r="H19" i="10"/>
  <c r="J18" i="10"/>
  <c r="I18" i="10"/>
  <c r="H18" i="10"/>
  <c r="J17" i="10"/>
  <c r="I17" i="10"/>
  <c r="H17" i="10"/>
  <c r="J16" i="10"/>
  <c r="I16" i="10"/>
  <c r="H16" i="10"/>
  <c r="J15" i="10"/>
  <c r="I15" i="10"/>
  <c r="H15" i="10"/>
  <c r="J14" i="10"/>
  <c r="I14" i="10"/>
  <c r="H14" i="10"/>
  <c r="J13" i="10"/>
  <c r="I13" i="10"/>
  <c r="H13" i="10"/>
  <c r="J12" i="10"/>
  <c r="I12" i="10"/>
  <c r="H12" i="10"/>
  <c r="J11" i="10"/>
  <c r="I11" i="10"/>
  <c r="H11" i="10"/>
  <c r="J10" i="10"/>
  <c r="I10" i="10"/>
  <c r="H10" i="10"/>
  <c r="J9" i="10"/>
  <c r="I9" i="10"/>
  <c r="H9" i="10"/>
  <c r="J8" i="10"/>
  <c r="I8" i="10"/>
  <c r="H8" i="10"/>
  <c r="J7" i="10"/>
  <c r="I7" i="10"/>
  <c r="H7" i="10"/>
  <c r="J6" i="10"/>
  <c r="I6" i="10"/>
  <c r="H6" i="10"/>
  <c r="J5" i="10"/>
  <c r="I5" i="10"/>
  <c r="H5" i="10"/>
  <c r="J4" i="10"/>
  <c r="I4" i="10"/>
  <c r="H4" i="10"/>
  <c r="J3" i="10"/>
  <c r="I3" i="10"/>
  <c r="H3" i="10"/>
  <c r="J2" i="10"/>
  <c r="I2" i="10"/>
  <c r="H2" i="10"/>
  <c r="D548" i="8"/>
  <c r="C548" i="8"/>
  <c r="B548" i="8"/>
  <c r="D546" i="8"/>
  <c r="C546" i="8"/>
  <c r="B546" i="8"/>
  <c r="D544" i="8"/>
  <c r="G544" i="8" s="1"/>
  <c r="I544" i="8" s="1"/>
  <c r="C544" i="8"/>
  <c r="B544" i="8"/>
  <c r="D541" i="8"/>
  <c r="C541" i="8"/>
  <c r="B541" i="8"/>
  <c r="D539" i="8"/>
  <c r="C539" i="8"/>
  <c r="B539" i="8"/>
  <c r="D535" i="8"/>
  <c r="C535" i="8"/>
  <c r="B535" i="8"/>
  <c r="D533" i="8"/>
  <c r="C533" i="8"/>
  <c r="B533" i="8"/>
  <c r="D516" i="8"/>
  <c r="C516" i="8"/>
  <c r="B516" i="8"/>
  <c r="D513" i="8"/>
  <c r="C513" i="8"/>
  <c r="B513" i="8"/>
  <c r="D511" i="8"/>
  <c r="C511" i="8"/>
  <c r="B511" i="8"/>
  <c r="D508" i="8"/>
  <c r="G508" i="8" s="1"/>
  <c r="I508" i="8" s="1"/>
  <c r="C508" i="8"/>
  <c r="B508" i="8"/>
  <c r="D502" i="8"/>
  <c r="C502" i="8"/>
  <c r="B502" i="8"/>
  <c r="D500" i="8"/>
  <c r="C500" i="8"/>
  <c r="B500" i="8"/>
  <c r="D498" i="8"/>
  <c r="C498" i="8"/>
  <c r="B498" i="8"/>
  <c r="D495" i="8"/>
  <c r="G495" i="8" s="1"/>
  <c r="I495" i="8" s="1"/>
  <c r="C495" i="8"/>
  <c r="B495" i="8"/>
  <c r="D493" i="8"/>
  <c r="C493" i="8"/>
  <c r="B493" i="8"/>
  <c r="D491" i="8"/>
  <c r="C491" i="8"/>
  <c r="B491" i="8"/>
  <c r="D485" i="8"/>
  <c r="C485" i="8"/>
  <c r="B485" i="8"/>
  <c r="D483" i="8"/>
  <c r="G483" i="8" s="1"/>
  <c r="I483" i="8" s="1"/>
  <c r="C483" i="8"/>
  <c r="B483" i="8"/>
  <c r="D480" i="8"/>
  <c r="C480" i="8"/>
  <c r="B480" i="8"/>
  <c r="D475" i="8"/>
  <c r="C475" i="8"/>
  <c r="B475" i="8"/>
  <c r="D472" i="8"/>
  <c r="C472" i="8"/>
  <c r="B472" i="8"/>
  <c r="D464" i="8"/>
  <c r="G464" i="8" s="1"/>
  <c r="I464" i="8" s="1"/>
  <c r="C464" i="8"/>
  <c r="B464" i="8"/>
  <c r="D462" i="8"/>
  <c r="C462" i="8"/>
  <c r="B462" i="8"/>
  <c r="D459" i="8"/>
  <c r="C459" i="8"/>
  <c r="B459" i="8"/>
  <c r="D457" i="8"/>
  <c r="C457" i="8"/>
  <c r="B457" i="8"/>
  <c r="D455" i="8"/>
  <c r="G455" i="8" s="1"/>
  <c r="I455" i="8" s="1"/>
  <c r="C455" i="8"/>
  <c r="B455" i="8"/>
  <c r="D440" i="8"/>
  <c r="C440" i="8"/>
  <c r="B440" i="8"/>
  <c r="D413" i="8"/>
  <c r="C413" i="8"/>
  <c r="B413" i="8"/>
  <c r="D401" i="8"/>
  <c r="C401" i="8"/>
  <c r="B401" i="8"/>
  <c r="D284" i="8"/>
  <c r="H286" i="8" s="1"/>
  <c r="C284" i="8"/>
  <c r="B284" i="8"/>
  <c r="D281" i="8"/>
  <c r="C281" i="8"/>
  <c r="B281" i="8"/>
  <c r="D277" i="8"/>
  <c r="C277" i="8"/>
  <c r="B277" i="8"/>
  <c r="D270" i="8"/>
  <c r="C270" i="8"/>
  <c r="B270" i="8"/>
  <c r="D266" i="8"/>
  <c r="C266" i="8"/>
  <c r="B266" i="8"/>
  <c r="D261" i="8"/>
  <c r="C261" i="8"/>
  <c r="B261" i="8"/>
  <c r="D258" i="8"/>
  <c r="C258" i="8"/>
  <c r="B258" i="8"/>
  <c r="D252" i="8"/>
  <c r="C252" i="8"/>
  <c r="B252" i="8"/>
  <c r="D250" i="8"/>
  <c r="C250" i="8"/>
  <c r="B250" i="8"/>
  <c r="D242" i="8"/>
  <c r="C242" i="8"/>
  <c r="B242" i="8"/>
  <c r="D237" i="8"/>
  <c r="C237" i="8"/>
  <c r="B237" i="8"/>
  <c r="D230" i="8"/>
  <c r="C230" i="8"/>
  <c r="B230" i="8"/>
  <c r="D226" i="8"/>
  <c r="G226" i="8" s="1"/>
  <c r="I226" i="8" s="1"/>
  <c r="C226" i="8"/>
  <c r="B226" i="8"/>
  <c r="D215" i="8"/>
  <c r="C215" i="8"/>
  <c r="B215" i="8"/>
  <c r="D188" i="8"/>
  <c r="C188" i="8"/>
  <c r="B188" i="8"/>
  <c r="D186" i="8"/>
  <c r="C186" i="8"/>
  <c r="B186" i="8"/>
  <c r="D184" i="8"/>
  <c r="G184" i="8" s="1"/>
  <c r="I184" i="8" s="1"/>
  <c r="C184" i="8"/>
  <c r="B184" i="8"/>
  <c r="D181" i="8"/>
  <c r="C181" i="8"/>
  <c r="B181" i="8"/>
  <c r="D143" i="8"/>
  <c r="C143" i="8"/>
  <c r="B143" i="8"/>
  <c r="D133" i="8"/>
  <c r="C133" i="8"/>
  <c r="B133" i="8"/>
  <c r="D131" i="8"/>
  <c r="G131" i="8" s="1"/>
  <c r="I131" i="8" s="1"/>
  <c r="C131" i="8"/>
  <c r="B131" i="8"/>
  <c r="D105" i="8"/>
  <c r="C105" i="8"/>
  <c r="B105" i="8"/>
  <c r="D98" i="8"/>
  <c r="C98" i="8"/>
  <c r="B98" i="8"/>
  <c r="D93" i="8"/>
  <c r="C93" i="8"/>
  <c r="B93" i="8"/>
  <c r="D91" i="8"/>
  <c r="G91" i="8" s="1"/>
  <c r="I91" i="8" s="1"/>
  <c r="C91" i="8"/>
  <c r="B91" i="8"/>
  <c r="D89" i="8"/>
  <c r="C89" i="8"/>
  <c r="B89" i="8"/>
  <c r="D87" i="8"/>
  <c r="C87" i="8"/>
  <c r="B87" i="8"/>
  <c r="D85" i="8"/>
  <c r="C85" i="8"/>
  <c r="B85" i="8"/>
  <c r="D82" i="8"/>
  <c r="G82" i="8" s="1"/>
  <c r="I82" i="8" s="1"/>
  <c r="C82" i="8"/>
  <c r="B82" i="8"/>
  <c r="D80" i="8"/>
  <c r="C80" i="8"/>
  <c r="B80" i="8"/>
  <c r="D10" i="8"/>
  <c r="C10" i="8"/>
  <c r="B10" i="8"/>
  <c r="D3" i="8"/>
  <c r="C3" i="8"/>
  <c r="B3" i="8"/>
  <c r="I18" i="5"/>
  <c r="I13" i="5"/>
  <c r="I8" i="5"/>
  <c r="K12" i="5" s="1"/>
  <c r="K13" i="5" s="1"/>
  <c r="D8" i="5"/>
  <c r="J269" i="7"/>
  <c r="I269" i="7"/>
  <c r="D268" i="7"/>
  <c r="C268" i="7"/>
  <c r="B268" i="7"/>
  <c r="N267" i="7"/>
  <c r="O267" i="7" s="1"/>
  <c r="P267" i="7" s="1"/>
  <c r="N266" i="7"/>
  <c r="O266" i="7" s="1"/>
  <c r="P266" i="7" s="1"/>
  <c r="D264" i="7"/>
  <c r="N264" i="7" s="1"/>
  <c r="C264" i="7"/>
  <c r="B264" i="7"/>
  <c r="N263" i="7"/>
  <c r="M263" i="7"/>
  <c r="L263" i="7"/>
  <c r="K263" i="7"/>
  <c r="N262" i="7"/>
  <c r="M262" i="7"/>
  <c r="L262" i="7"/>
  <c r="K262" i="7"/>
  <c r="N261" i="7"/>
  <c r="M261" i="7"/>
  <c r="L261" i="7"/>
  <c r="K261" i="7"/>
  <c r="N260" i="7"/>
  <c r="M260" i="7"/>
  <c r="L260" i="7"/>
  <c r="K260" i="7"/>
  <c r="N259" i="7"/>
  <c r="M259" i="7"/>
  <c r="L259" i="7"/>
  <c r="K259" i="7"/>
  <c r="N258" i="7"/>
  <c r="M258" i="7"/>
  <c r="L258" i="7"/>
  <c r="K258" i="7"/>
  <c r="D256" i="7"/>
  <c r="C256" i="7"/>
  <c r="B256" i="7"/>
  <c r="N255" i="7"/>
  <c r="M255" i="7"/>
  <c r="L255" i="7"/>
  <c r="K255" i="7"/>
  <c r="N254" i="7"/>
  <c r="M254" i="7"/>
  <c r="L254" i="7"/>
  <c r="K254" i="7"/>
  <c r="N253" i="7"/>
  <c r="M253" i="7"/>
  <c r="L253" i="7"/>
  <c r="K253" i="7"/>
  <c r="N252" i="7"/>
  <c r="M252" i="7"/>
  <c r="L252" i="7"/>
  <c r="K252" i="7"/>
  <c r="N251" i="7"/>
  <c r="M251" i="7"/>
  <c r="L251" i="7"/>
  <c r="K251" i="7"/>
  <c r="N250" i="7"/>
  <c r="M250" i="7"/>
  <c r="L250" i="7"/>
  <c r="K250" i="7"/>
  <c r="N249" i="7"/>
  <c r="M249" i="7"/>
  <c r="L249" i="7"/>
  <c r="K249" i="7"/>
  <c r="N248" i="7"/>
  <c r="M248" i="7"/>
  <c r="L248" i="7"/>
  <c r="K248" i="7"/>
  <c r="N247" i="7"/>
  <c r="M247" i="7"/>
  <c r="L247" i="7"/>
  <c r="K247" i="7"/>
  <c r="N246" i="7"/>
  <c r="M246" i="7"/>
  <c r="L246" i="7"/>
  <c r="K246" i="7"/>
  <c r="N245" i="7"/>
  <c r="M245" i="7"/>
  <c r="L245" i="7"/>
  <c r="K245" i="7"/>
  <c r="N244" i="7"/>
  <c r="M244" i="7"/>
  <c r="L244" i="7"/>
  <c r="K244" i="7"/>
  <c r="N243" i="7"/>
  <c r="M243" i="7"/>
  <c r="L243" i="7"/>
  <c r="K243" i="7"/>
  <c r="N242" i="7"/>
  <c r="M242" i="7"/>
  <c r="L242" i="7"/>
  <c r="K242" i="7"/>
  <c r="N241" i="7"/>
  <c r="M241" i="7"/>
  <c r="L241" i="7"/>
  <c r="K241" i="7"/>
  <c r="N240" i="7"/>
  <c r="M240" i="7"/>
  <c r="L240" i="7"/>
  <c r="K240" i="7"/>
  <c r="N239" i="7"/>
  <c r="M239" i="7"/>
  <c r="L239" i="7"/>
  <c r="K239" i="7"/>
  <c r="N238" i="7"/>
  <c r="M238" i="7"/>
  <c r="L238" i="7"/>
  <c r="K238" i="7"/>
  <c r="N237" i="7"/>
  <c r="M237" i="7"/>
  <c r="L237" i="7"/>
  <c r="K237" i="7"/>
  <c r="N236" i="7"/>
  <c r="M236" i="7"/>
  <c r="L236" i="7"/>
  <c r="K236" i="7"/>
  <c r="N235" i="7"/>
  <c r="M235" i="7"/>
  <c r="L235" i="7"/>
  <c r="K235" i="7"/>
  <c r="N234" i="7"/>
  <c r="M234" i="7"/>
  <c r="L234" i="7"/>
  <c r="K234" i="7"/>
  <c r="N233" i="7"/>
  <c r="M233" i="7"/>
  <c r="L233" i="7"/>
  <c r="K233" i="7"/>
  <c r="N232" i="7"/>
  <c r="M232" i="7"/>
  <c r="L232" i="7"/>
  <c r="K232" i="7"/>
  <c r="D230" i="7"/>
  <c r="C230" i="7"/>
  <c r="B230" i="7"/>
  <c r="N229" i="7"/>
  <c r="O229" i="7" s="1"/>
  <c r="P229" i="7" s="1"/>
  <c r="N228" i="7"/>
  <c r="O228" i="7" s="1"/>
  <c r="P228" i="7" s="1"/>
  <c r="N227" i="7"/>
  <c r="O227" i="7" s="1"/>
  <c r="P227" i="7" s="1"/>
  <c r="N226" i="7"/>
  <c r="O226" i="7" s="1"/>
  <c r="P226" i="7" s="1"/>
  <c r="N225" i="7"/>
  <c r="O225" i="7" s="1"/>
  <c r="P225" i="7" s="1"/>
  <c r="N224" i="7"/>
  <c r="O224" i="7" s="1"/>
  <c r="P224" i="7" s="1"/>
  <c r="N223" i="7"/>
  <c r="O223" i="7" s="1"/>
  <c r="P223" i="7" s="1"/>
  <c r="N222" i="7"/>
  <c r="O222" i="7" s="1"/>
  <c r="P222" i="7" s="1"/>
  <c r="N221" i="7"/>
  <c r="O221" i="7" s="1"/>
  <c r="P221" i="7" s="1"/>
  <c r="N220" i="7"/>
  <c r="O220" i="7" s="1"/>
  <c r="P220" i="7" s="1"/>
  <c r="N219" i="7"/>
  <c r="O219" i="7" s="1"/>
  <c r="P219" i="7" s="1"/>
  <c r="D217" i="7"/>
  <c r="C217" i="7"/>
  <c r="B217" i="7"/>
  <c r="N216" i="7"/>
  <c r="O216" i="7" s="1"/>
  <c r="P216" i="7" s="1"/>
  <c r="D214" i="7"/>
  <c r="C214" i="7"/>
  <c r="B214" i="7"/>
  <c r="N213" i="7"/>
  <c r="O213" i="7" s="1"/>
  <c r="P213" i="7" s="1"/>
  <c r="N212" i="7"/>
  <c r="O212" i="7" s="1"/>
  <c r="P212" i="7" s="1"/>
  <c r="D210" i="7"/>
  <c r="C210" i="7"/>
  <c r="B210" i="7"/>
  <c r="N209" i="7"/>
  <c r="M209" i="7"/>
  <c r="L209" i="7"/>
  <c r="K209" i="7"/>
  <c r="N208" i="7"/>
  <c r="M208" i="7"/>
  <c r="L208" i="7"/>
  <c r="K208" i="7"/>
  <c r="N207" i="7"/>
  <c r="M207" i="7"/>
  <c r="L207" i="7"/>
  <c r="K207" i="7"/>
  <c r="N206" i="7"/>
  <c r="M206" i="7"/>
  <c r="L206" i="7"/>
  <c r="K206" i="7"/>
  <c r="N205" i="7"/>
  <c r="M205" i="7"/>
  <c r="L205" i="7"/>
  <c r="K205" i="7"/>
  <c r="N204" i="7"/>
  <c r="M204" i="7"/>
  <c r="L204" i="7"/>
  <c r="K204" i="7"/>
  <c r="N203" i="7"/>
  <c r="M203" i="7"/>
  <c r="L203" i="7"/>
  <c r="K203" i="7"/>
  <c r="N202" i="7"/>
  <c r="M202" i="7"/>
  <c r="L202" i="7"/>
  <c r="K202" i="7"/>
  <c r="N201" i="7"/>
  <c r="M201" i="7"/>
  <c r="L201" i="7"/>
  <c r="K201" i="7"/>
  <c r="N200" i="7"/>
  <c r="M200" i="7"/>
  <c r="L200" i="7"/>
  <c r="K200" i="7"/>
  <c r="N199" i="7"/>
  <c r="M199" i="7"/>
  <c r="L199" i="7"/>
  <c r="K199" i="7"/>
  <c r="N198" i="7"/>
  <c r="M198" i="7"/>
  <c r="L198" i="7"/>
  <c r="K198" i="7"/>
  <c r="N197" i="7"/>
  <c r="M197" i="7"/>
  <c r="L197" i="7"/>
  <c r="K197" i="7"/>
  <c r="N196" i="7"/>
  <c r="M196" i="7"/>
  <c r="L196" i="7"/>
  <c r="K196" i="7"/>
  <c r="N195" i="7"/>
  <c r="M195" i="7"/>
  <c r="L195" i="7"/>
  <c r="K195" i="7"/>
  <c r="N194" i="7"/>
  <c r="M194" i="7"/>
  <c r="L194" i="7"/>
  <c r="K194" i="7"/>
  <c r="N193" i="7"/>
  <c r="M193" i="7"/>
  <c r="L193" i="7"/>
  <c r="K193" i="7"/>
  <c r="N192" i="7"/>
  <c r="M192" i="7"/>
  <c r="L192" i="7"/>
  <c r="K192" i="7"/>
  <c r="N191" i="7"/>
  <c r="M191" i="7"/>
  <c r="L191" i="7"/>
  <c r="K191" i="7"/>
  <c r="N190" i="7"/>
  <c r="M190" i="7"/>
  <c r="L190" i="7"/>
  <c r="K190" i="7"/>
  <c r="N189" i="7"/>
  <c r="M189" i="7"/>
  <c r="L189" i="7"/>
  <c r="K189" i="7"/>
  <c r="N188" i="7"/>
  <c r="M188" i="7"/>
  <c r="L188" i="7"/>
  <c r="K188" i="7"/>
  <c r="N187" i="7"/>
  <c r="M187" i="7"/>
  <c r="L187" i="7"/>
  <c r="K187" i="7"/>
  <c r="N186" i="7"/>
  <c r="M186" i="7"/>
  <c r="L186" i="7"/>
  <c r="K186" i="7"/>
  <c r="N185" i="7"/>
  <c r="M185" i="7"/>
  <c r="L185" i="7"/>
  <c r="K185" i="7"/>
  <c r="N184" i="7"/>
  <c r="M184" i="7"/>
  <c r="L184" i="7"/>
  <c r="K184" i="7"/>
  <c r="N183" i="7"/>
  <c r="M183" i="7"/>
  <c r="L183" i="7"/>
  <c r="K183" i="7"/>
  <c r="N182" i="7"/>
  <c r="M182" i="7"/>
  <c r="L182" i="7"/>
  <c r="K182" i="7"/>
  <c r="N181" i="7"/>
  <c r="M181" i="7"/>
  <c r="L181" i="7"/>
  <c r="K181" i="7"/>
  <c r="N180" i="7"/>
  <c r="M180" i="7"/>
  <c r="L180" i="7"/>
  <c r="K180" i="7"/>
  <c r="N179" i="7"/>
  <c r="M179" i="7"/>
  <c r="L179" i="7"/>
  <c r="K179" i="7"/>
  <c r="N178" i="7"/>
  <c r="M178" i="7"/>
  <c r="L178" i="7"/>
  <c r="K178" i="7"/>
  <c r="N177" i="7"/>
  <c r="M177" i="7"/>
  <c r="L177" i="7"/>
  <c r="K177" i="7"/>
  <c r="N176" i="7"/>
  <c r="M176" i="7"/>
  <c r="L176" i="7"/>
  <c r="K176" i="7"/>
  <c r="N175" i="7"/>
  <c r="M175" i="7"/>
  <c r="L175" i="7"/>
  <c r="K175" i="7"/>
  <c r="N174" i="7"/>
  <c r="M174" i="7"/>
  <c r="L174" i="7"/>
  <c r="K174" i="7"/>
  <c r="N173" i="7"/>
  <c r="M173" i="7"/>
  <c r="L173" i="7"/>
  <c r="K173" i="7"/>
  <c r="N172" i="7"/>
  <c r="M172" i="7"/>
  <c r="L172" i="7"/>
  <c r="K172" i="7"/>
  <c r="K169" i="7"/>
  <c r="J169" i="7"/>
  <c r="D168" i="7"/>
  <c r="C168" i="7"/>
  <c r="B168" i="7"/>
  <c r="N167" i="7"/>
  <c r="M167" i="7"/>
  <c r="L167" i="7"/>
  <c r="I167" i="7"/>
  <c r="N166" i="7"/>
  <c r="M166" i="7"/>
  <c r="L166" i="7"/>
  <c r="I166" i="7"/>
  <c r="N165" i="7"/>
  <c r="M165" i="7"/>
  <c r="L165" i="7"/>
  <c r="I165" i="7"/>
  <c r="N164" i="7"/>
  <c r="M164" i="7"/>
  <c r="L164" i="7"/>
  <c r="I164" i="7"/>
  <c r="N163" i="7"/>
  <c r="M163" i="7"/>
  <c r="L163" i="7"/>
  <c r="I163" i="7"/>
  <c r="N162" i="7"/>
  <c r="M162" i="7"/>
  <c r="L162" i="7"/>
  <c r="I162" i="7"/>
  <c r="N161" i="7"/>
  <c r="M161" i="7"/>
  <c r="L161" i="7"/>
  <c r="I161" i="7"/>
  <c r="N160" i="7"/>
  <c r="M160" i="7"/>
  <c r="L160" i="7"/>
  <c r="I160" i="7"/>
  <c r="N159" i="7"/>
  <c r="M159" i="7"/>
  <c r="L159" i="7"/>
  <c r="I159" i="7"/>
  <c r="N158" i="7"/>
  <c r="M158" i="7"/>
  <c r="L158" i="7"/>
  <c r="I158" i="7"/>
  <c r="N157" i="7"/>
  <c r="M157" i="7"/>
  <c r="L157" i="7"/>
  <c r="I157" i="7"/>
  <c r="N156" i="7"/>
  <c r="M156" i="7"/>
  <c r="L156" i="7"/>
  <c r="I156" i="7"/>
  <c r="N155" i="7"/>
  <c r="M155" i="7"/>
  <c r="L155" i="7"/>
  <c r="I155" i="7"/>
  <c r="N154" i="7"/>
  <c r="M154" i="7"/>
  <c r="L154" i="7"/>
  <c r="I154" i="7"/>
  <c r="N153" i="7"/>
  <c r="M153" i="7"/>
  <c r="L153" i="7"/>
  <c r="I153" i="7"/>
  <c r="N152" i="7"/>
  <c r="M152" i="7"/>
  <c r="L152" i="7"/>
  <c r="I152" i="7"/>
  <c r="N151" i="7"/>
  <c r="M151" i="7"/>
  <c r="L151" i="7"/>
  <c r="I151" i="7"/>
  <c r="N150" i="7"/>
  <c r="M150" i="7"/>
  <c r="L150" i="7"/>
  <c r="I150" i="7"/>
  <c r="N149" i="7"/>
  <c r="M149" i="7"/>
  <c r="L149" i="7"/>
  <c r="I149" i="7"/>
  <c r="N148" i="7"/>
  <c r="M148" i="7"/>
  <c r="L148" i="7"/>
  <c r="I148" i="7"/>
  <c r="N147" i="7"/>
  <c r="M147" i="7"/>
  <c r="L147" i="7"/>
  <c r="I147" i="7"/>
  <c r="N146" i="7"/>
  <c r="M146" i="7"/>
  <c r="L146" i="7"/>
  <c r="I146" i="7"/>
  <c r="N145" i="7"/>
  <c r="M145" i="7"/>
  <c r="L145" i="7"/>
  <c r="I145" i="7"/>
  <c r="D143" i="7"/>
  <c r="C143" i="7"/>
  <c r="B143" i="7"/>
  <c r="N142" i="7"/>
  <c r="M142" i="7"/>
  <c r="L142" i="7"/>
  <c r="I142" i="7"/>
  <c r="N141" i="7"/>
  <c r="M141" i="7"/>
  <c r="L141" i="7"/>
  <c r="I141" i="7"/>
  <c r="N140" i="7"/>
  <c r="M140" i="7"/>
  <c r="L140" i="7"/>
  <c r="I140" i="7"/>
  <c r="N139" i="7"/>
  <c r="M139" i="7"/>
  <c r="L139" i="7"/>
  <c r="I139" i="7"/>
  <c r="N138" i="7"/>
  <c r="M138" i="7"/>
  <c r="L138" i="7"/>
  <c r="I138" i="7"/>
  <c r="D136" i="7"/>
  <c r="C136" i="7"/>
  <c r="B136" i="7"/>
  <c r="N135" i="7"/>
  <c r="M135" i="7"/>
  <c r="L135" i="7"/>
  <c r="I135" i="7"/>
  <c r="D133" i="7"/>
  <c r="C133" i="7"/>
  <c r="B133" i="7"/>
  <c r="N132" i="7"/>
  <c r="M132" i="7"/>
  <c r="L132" i="7"/>
  <c r="I132" i="7"/>
  <c r="N131" i="7"/>
  <c r="M131" i="7"/>
  <c r="L131" i="7"/>
  <c r="I131" i="7"/>
  <c r="N130" i="7"/>
  <c r="M130" i="7"/>
  <c r="L130" i="7"/>
  <c r="I130" i="7"/>
  <c r="N129" i="7"/>
  <c r="M129" i="7"/>
  <c r="L129" i="7"/>
  <c r="I129" i="7"/>
  <c r="N128" i="7"/>
  <c r="M128" i="7"/>
  <c r="L128" i="7"/>
  <c r="I128" i="7"/>
  <c r="N127" i="7"/>
  <c r="M127" i="7"/>
  <c r="L127" i="7"/>
  <c r="I127" i="7"/>
  <c r="N126" i="7"/>
  <c r="M126" i="7"/>
  <c r="L126" i="7"/>
  <c r="I126" i="7"/>
  <c r="N125" i="7"/>
  <c r="M125" i="7"/>
  <c r="L125" i="7"/>
  <c r="I125" i="7"/>
  <c r="N124" i="7"/>
  <c r="M124" i="7"/>
  <c r="L124" i="7"/>
  <c r="I124" i="7"/>
  <c r="N123" i="7"/>
  <c r="M123" i="7"/>
  <c r="L123" i="7"/>
  <c r="I123" i="7"/>
  <c r="N122" i="7"/>
  <c r="M122" i="7"/>
  <c r="L122" i="7"/>
  <c r="I122" i="7"/>
  <c r="N121" i="7"/>
  <c r="M121" i="7"/>
  <c r="L121" i="7"/>
  <c r="I121" i="7"/>
  <c r="N120" i="7"/>
  <c r="M120" i="7"/>
  <c r="L120" i="7"/>
  <c r="I120" i="7"/>
  <c r="N119" i="7"/>
  <c r="M119" i="7"/>
  <c r="L119" i="7"/>
  <c r="I119" i="7"/>
  <c r="N118" i="7"/>
  <c r="M118" i="7"/>
  <c r="L118" i="7"/>
  <c r="I118" i="7"/>
  <c r="N117" i="7"/>
  <c r="M117" i="7"/>
  <c r="L117" i="7"/>
  <c r="I117" i="7"/>
  <c r="N116" i="7"/>
  <c r="M116" i="7"/>
  <c r="L116" i="7"/>
  <c r="I116" i="7"/>
  <c r="N115" i="7"/>
  <c r="M115" i="7"/>
  <c r="L115" i="7"/>
  <c r="I115" i="7"/>
  <c r="N114" i="7"/>
  <c r="M114" i="7"/>
  <c r="L114" i="7"/>
  <c r="I114" i="7"/>
  <c r="N113" i="7"/>
  <c r="M113" i="7"/>
  <c r="L113" i="7"/>
  <c r="I113" i="7"/>
  <c r="N112" i="7"/>
  <c r="M112" i="7"/>
  <c r="L112" i="7"/>
  <c r="I112" i="7"/>
  <c r="N111" i="7"/>
  <c r="M111" i="7"/>
  <c r="L111" i="7"/>
  <c r="I111" i="7"/>
  <c r="N110" i="7"/>
  <c r="M110" i="7"/>
  <c r="L110" i="7"/>
  <c r="I110" i="7"/>
  <c r="N109" i="7"/>
  <c r="M109" i="7"/>
  <c r="L109" i="7"/>
  <c r="I109" i="7"/>
  <c r="N108" i="7"/>
  <c r="M108" i="7"/>
  <c r="L108" i="7"/>
  <c r="I108" i="7"/>
  <c r="N107" i="7"/>
  <c r="M107" i="7"/>
  <c r="L107" i="7"/>
  <c r="I107" i="7"/>
  <c r="N106" i="7"/>
  <c r="M106" i="7"/>
  <c r="L106" i="7"/>
  <c r="I106" i="7"/>
  <c r="N105" i="7"/>
  <c r="M105" i="7"/>
  <c r="L105" i="7"/>
  <c r="I105" i="7"/>
  <c r="N104" i="7"/>
  <c r="M104" i="7"/>
  <c r="L104" i="7"/>
  <c r="I104" i="7"/>
  <c r="N103" i="7"/>
  <c r="M103" i="7"/>
  <c r="L103" i="7"/>
  <c r="I103" i="7"/>
  <c r="N102" i="7"/>
  <c r="M102" i="7"/>
  <c r="L102" i="7"/>
  <c r="I102" i="7"/>
  <c r="N101" i="7"/>
  <c r="M101" i="7"/>
  <c r="L101" i="7"/>
  <c r="I101" i="7"/>
  <c r="N100" i="7"/>
  <c r="M100" i="7"/>
  <c r="L100" i="7"/>
  <c r="I100" i="7"/>
  <c r="N99" i="7"/>
  <c r="M99" i="7"/>
  <c r="L99" i="7"/>
  <c r="I99" i="7"/>
  <c r="N98" i="7"/>
  <c r="M98" i="7"/>
  <c r="L98" i="7"/>
  <c r="I98" i="7"/>
  <c r="N97" i="7"/>
  <c r="M97" i="7"/>
  <c r="L97" i="7"/>
  <c r="I97" i="7"/>
  <c r="N96" i="7"/>
  <c r="M96" i="7"/>
  <c r="L96" i="7"/>
  <c r="I96" i="7"/>
  <c r="N95" i="7"/>
  <c r="M95" i="7"/>
  <c r="L95" i="7"/>
  <c r="I95" i="7"/>
  <c r="N94" i="7"/>
  <c r="M94" i="7"/>
  <c r="L94" i="7"/>
  <c r="I94" i="7"/>
  <c r="N93" i="7"/>
  <c r="M93" i="7"/>
  <c r="L93" i="7"/>
  <c r="I93" i="7"/>
  <c r="N92" i="7"/>
  <c r="M92" i="7"/>
  <c r="L92" i="7"/>
  <c r="I92" i="7"/>
  <c r="N91" i="7"/>
  <c r="M91" i="7"/>
  <c r="L91" i="7"/>
  <c r="I91" i="7"/>
  <c r="N90" i="7"/>
  <c r="M90" i="7"/>
  <c r="L90" i="7"/>
  <c r="I90" i="7"/>
  <c r="N89" i="7"/>
  <c r="M89" i="7"/>
  <c r="L89" i="7"/>
  <c r="I89" i="7"/>
  <c r="N88" i="7"/>
  <c r="M88" i="7"/>
  <c r="L88" i="7"/>
  <c r="I88" i="7"/>
  <c r="N87" i="7"/>
  <c r="M87" i="7"/>
  <c r="L87" i="7"/>
  <c r="I87" i="7"/>
  <c r="N86" i="7"/>
  <c r="M86" i="7"/>
  <c r="L86" i="7"/>
  <c r="I86" i="7"/>
  <c r="N85" i="7"/>
  <c r="M85" i="7"/>
  <c r="L85" i="7"/>
  <c r="I85" i="7"/>
  <c r="N84" i="7"/>
  <c r="M84" i="7"/>
  <c r="L84" i="7"/>
  <c r="I84" i="7"/>
  <c r="N83" i="7"/>
  <c r="M83" i="7"/>
  <c r="L83" i="7"/>
  <c r="I83" i="7"/>
  <c r="N82" i="7"/>
  <c r="M82" i="7"/>
  <c r="L82" i="7"/>
  <c r="I82" i="7"/>
  <c r="N81" i="7"/>
  <c r="M81" i="7"/>
  <c r="L81" i="7"/>
  <c r="I81" i="7"/>
  <c r="N80" i="7"/>
  <c r="M80" i="7"/>
  <c r="L80" i="7"/>
  <c r="I80" i="7"/>
  <c r="N79" i="7"/>
  <c r="M79" i="7"/>
  <c r="L79" i="7"/>
  <c r="I79" i="7"/>
  <c r="N78" i="7"/>
  <c r="M78" i="7"/>
  <c r="L78" i="7"/>
  <c r="I78" i="7"/>
  <c r="N77" i="7"/>
  <c r="M77" i="7"/>
  <c r="L77" i="7"/>
  <c r="I77" i="7"/>
  <c r="N76" i="7"/>
  <c r="M76" i="7"/>
  <c r="L76" i="7"/>
  <c r="I76" i="7"/>
  <c r="N75" i="7"/>
  <c r="M75" i="7"/>
  <c r="L75" i="7"/>
  <c r="I75" i="7"/>
  <c r="N74" i="7"/>
  <c r="M74" i="7"/>
  <c r="L74" i="7"/>
  <c r="I74" i="7"/>
  <c r="N73" i="7"/>
  <c r="M73" i="7"/>
  <c r="L73" i="7"/>
  <c r="I73" i="7"/>
  <c r="N72" i="7"/>
  <c r="M72" i="7"/>
  <c r="L72" i="7"/>
  <c r="I72" i="7"/>
  <c r="N71" i="7"/>
  <c r="M71" i="7"/>
  <c r="L71" i="7"/>
  <c r="I71" i="7"/>
  <c r="N70" i="7"/>
  <c r="M70" i="7"/>
  <c r="L70" i="7"/>
  <c r="I70" i="7"/>
  <c r="N69" i="7"/>
  <c r="M69" i="7"/>
  <c r="L69" i="7"/>
  <c r="I69" i="7"/>
  <c r="N68" i="7"/>
  <c r="M68" i="7"/>
  <c r="L68" i="7"/>
  <c r="I68" i="7"/>
  <c r="N67" i="7"/>
  <c r="M67" i="7"/>
  <c r="L67" i="7"/>
  <c r="I67" i="7"/>
  <c r="N66" i="7"/>
  <c r="M66" i="7"/>
  <c r="L66" i="7"/>
  <c r="I66" i="7"/>
  <c r="N65" i="7"/>
  <c r="M65" i="7"/>
  <c r="L65" i="7"/>
  <c r="I65" i="7"/>
  <c r="N64" i="7"/>
  <c r="M64" i="7"/>
  <c r="L64" i="7"/>
  <c r="I64" i="7"/>
  <c r="N63" i="7"/>
  <c r="M63" i="7"/>
  <c r="L63" i="7"/>
  <c r="I63" i="7"/>
  <c r="N62" i="7"/>
  <c r="M62" i="7"/>
  <c r="L62" i="7"/>
  <c r="I62" i="7"/>
  <c r="N61" i="7"/>
  <c r="M61" i="7"/>
  <c r="L61" i="7"/>
  <c r="I61" i="7"/>
  <c r="N60" i="7"/>
  <c r="M60" i="7"/>
  <c r="L60" i="7"/>
  <c r="I60" i="7"/>
  <c r="N59" i="7"/>
  <c r="M59" i="7"/>
  <c r="L59" i="7"/>
  <c r="I59" i="7"/>
  <c r="N58" i="7"/>
  <c r="M58" i="7"/>
  <c r="L58" i="7"/>
  <c r="I58" i="7"/>
  <c r="N57" i="7"/>
  <c r="M57" i="7"/>
  <c r="L57" i="7"/>
  <c r="I57" i="7"/>
  <c r="N56" i="7"/>
  <c r="M56" i="7"/>
  <c r="L56" i="7"/>
  <c r="I56" i="7"/>
  <c r="N55" i="7"/>
  <c r="M55" i="7"/>
  <c r="L55" i="7"/>
  <c r="I55" i="7"/>
  <c r="N54" i="7"/>
  <c r="M54" i="7"/>
  <c r="L54" i="7"/>
  <c r="I54" i="7"/>
  <c r="D52" i="7"/>
  <c r="C52" i="7"/>
  <c r="B52" i="7"/>
  <c r="N51" i="7"/>
  <c r="M51" i="7"/>
  <c r="L51" i="7"/>
  <c r="I51" i="7"/>
  <c r="N50" i="7"/>
  <c r="M50" i="7"/>
  <c r="L50" i="7"/>
  <c r="I50" i="7"/>
  <c r="N49" i="7"/>
  <c r="M49" i="7"/>
  <c r="L49" i="7"/>
  <c r="I49" i="7"/>
  <c r="N48" i="7"/>
  <c r="M48" i="7"/>
  <c r="L48" i="7"/>
  <c r="I48" i="7"/>
  <c r="N47" i="7"/>
  <c r="M47" i="7"/>
  <c r="L47" i="7"/>
  <c r="I47" i="7"/>
  <c r="N46" i="7"/>
  <c r="M46" i="7"/>
  <c r="L46" i="7"/>
  <c r="I46" i="7"/>
  <c r="N45" i="7"/>
  <c r="M45" i="7"/>
  <c r="L45" i="7"/>
  <c r="I45" i="7"/>
  <c r="N44" i="7"/>
  <c r="M44" i="7"/>
  <c r="L44" i="7"/>
  <c r="I44" i="7"/>
  <c r="N43" i="7"/>
  <c r="M43" i="7"/>
  <c r="L43" i="7"/>
  <c r="I43" i="7"/>
  <c r="N42" i="7"/>
  <c r="M42" i="7"/>
  <c r="L42" i="7"/>
  <c r="I42" i="7"/>
  <c r="N41" i="7"/>
  <c r="M41" i="7"/>
  <c r="L41" i="7"/>
  <c r="I41" i="7"/>
  <c r="N40" i="7"/>
  <c r="M40" i="7"/>
  <c r="L40" i="7"/>
  <c r="I40" i="7"/>
  <c r="N39" i="7"/>
  <c r="M39" i="7"/>
  <c r="L39" i="7"/>
  <c r="I39" i="7"/>
  <c r="N38" i="7"/>
  <c r="M38" i="7"/>
  <c r="L38" i="7"/>
  <c r="I38" i="7"/>
  <c r="N37" i="7"/>
  <c r="M37" i="7"/>
  <c r="L37" i="7"/>
  <c r="I37" i="7"/>
  <c r="N36" i="7"/>
  <c r="M36" i="7"/>
  <c r="L36" i="7"/>
  <c r="I36" i="7"/>
  <c r="N35" i="7"/>
  <c r="M35" i="7"/>
  <c r="L35" i="7"/>
  <c r="I35" i="7"/>
  <c r="N34" i="7"/>
  <c r="M34" i="7"/>
  <c r="L34" i="7"/>
  <c r="I34" i="7"/>
  <c r="N33" i="7"/>
  <c r="M33" i="7"/>
  <c r="L33" i="7"/>
  <c r="I33" i="7"/>
  <c r="N32" i="7"/>
  <c r="M32" i="7"/>
  <c r="L32" i="7"/>
  <c r="I32" i="7"/>
  <c r="N31" i="7"/>
  <c r="M31" i="7"/>
  <c r="L31" i="7"/>
  <c r="I31" i="7"/>
  <c r="N30" i="7"/>
  <c r="M30" i="7"/>
  <c r="L30" i="7"/>
  <c r="I30" i="7"/>
  <c r="N29" i="7"/>
  <c r="M29" i="7"/>
  <c r="L29" i="7"/>
  <c r="I29" i="7"/>
  <c r="N28" i="7"/>
  <c r="M28" i="7"/>
  <c r="L28" i="7"/>
  <c r="I28" i="7"/>
  <c r="N27" i="7"/>
  <c r="M27" i="7"/>
  <c r="L27" i="7"/>
  <c r="I27" i="7"/>
  <c r="N26" i="7"/>
  <c r="M26" i="7"/>
  <c r="L26" i="7"/>
  <c r="I26" i="7"/>
  <c r="N25" i="7"/>
  <c r="M25" i="7"/>
  <c r="L25" i="7"/>
  <c r="I25" i="7"/>
  <c r="N24" i="7"/>
  <c r="M24" i="7"/>
  <c r="L24" i="7"/>
  <c r="I24" i="7"/>
  <c r="N23" i="7"/>
  <c r="M23" i="7"/>
  <c r="L23" i="7"/>
  <c r="I23" i="7"/>
  <c r="N22" i="7"/>
  <c r="M22" i="7"/>
  <c r="L22" i="7"/>
  <c r="I22" i="7"/>
  <c r="N21" i="7"/>
  <c r="M21" i="7"/>
  <c r="L21" i="7"/>
  <c r="I21" i="7"/>
  <c r="N20" i="7"/>
  <c r="M20" i="7"/>
  <c r="L20" i="7"/>
  <c r="I20" i="7"/>
  <c r="N19" i="7"/>
  <c r="M19" i="7"/>
  <c r="L19" i="7"/>
  <c r="I19" i="7"/>
  <c r="N18" i="7"/>
  <c r="M18" i="7"/>
  <c r="L18" i="7"/>
  <c r="I18" i="7"/>
  <c r="N17" i="7"/>
  <c r="M17" i="7"/>
  <c r="L17" i="7"/>
  <c r="I17" i="7"/>
  <c r="N16" i="7"/>
  <c r="M16" i="7"/>
  <c r="L16" i="7"/>
  <c r="I16" i="7"/>
  <c r="N15" i="7"/>
  <c r="M15" i="7"/>
  <c r="L15" i="7"/>
  <c r="I15" i="7"/>
  <c r="N14" i="7"/>
  <c r="M14" i="7"/>
  <c r="L14" i="7"/>
  <c r="I14" i="7"/>
  <c r="N13" i="7"/>
  <c r="M13" i="7"/>
  <c r="L13" i="7"/>
  <c r="I13" i="7"/>
  <c r="N12" i="7"/>
  <c r="M12" i="7"/>
  <c r="L12" i="7"/>
  <c r="I12" i="7"/>
  <c r="N11" i="7"/>
  <c r="M11" i="7"/>
  <c r="L11" i="7"/>
  <c r="I11" i="7"/>
  <c r="N10" i="7"/>
  <c r="M10" i="7"/>
  <c r="L10" i="7"/>
  <c r="I10" i="7"/>
  <c r="N9" i="7"/>
  <c r="M9" i="7"/>
  <c r="L9" i="7"/>
  <c r="I9" i="7"/>
  <c r="N8" i="7"/>
  <c r="M8" i="7"/>
  <c r="L8" i="7"/>
  <c r="I8" i="7"/>
  <c r="N7" i="7"/>
  <c r="M7" i="7"/>
  <c r="L7" i="7"/>
  <c r="I7" i="7"/>
  <c r="N6" i="7"/>
  <c r="M6" i="7"/>
  <c r="L6" i="7"/>
  <c r="I6" i="7"/>
  <c r="N5" i="7"/>
  <c r="M5" i="7"/>
  <c r="L5" i="7"/>
  <c r="I5" i="7"/>
  <c r="N4" i="7"/>
  <c r="M4" i="7"/>
  <c r="L4" i="7"/>
  <c r="I4" i="7"/>
  <c r="K8" i="5" l="1"/>
  <c r="G133" i="7"/>
  <c r="H133" i="7" s="1"/>
  <c r="F10" i="8"/>
  <c r="F87" i="8"/>
  <c r="F98" i="8"/>
  <c r="F143" i="8"/>
  <c r="F188" i="8"/>
  <c r="F237" i="8"/>
  <c r="F258" i="8"/>
  <c r="F277" i="8"/>
  <c r="F413" i="8"/>
  <c r="F459" i="8"/>
  <c r="F475" i="8"/>
  <c r="F491" i="8"/>
  <c r="F500" i="8"/>
  <c r="F513" i="8"/>
  <c r="F539" i="8"/>
  <c r="F548" i="8"/>
  <c r="F256" i="7"/>
  <c r="G52" i="7"/>
  <c r="H52" i="7" s="1"/>
  <c r="O73" i="7"/>
  <c r="P73" i="7" s="1"/>
  <c r="O74" i="7"/>
  <c r="P74" i="7" s="1"/>
  <c r="O75" i="7"/>
  <c r="P75" i="7" s="1"/>
  <c r="O76" i="7"/>
  <c r="P76" i="7" s="1"/>
  <c r="O77" i="7"/>
  <c r="P77" i="7" s="1"/>
  <c r="O78" i="7"/>
  <c r="P78" i="7" s="1"/>
  <c r="O79" i="7"/>
  <c r="P79" i="7" s="1"/>
  <c r="O80" i="7"/>
  <c r="P80" i="7" s="1"/>
  <c r="O81" i="7"/>
  <c r="P81" i="7" s="1"/>
  <c r="O82" i="7"/>
  <c r="P82" i="7" s="1"/>
  <c r="O83" i="7"/>
  <c r="P83" i="7" s="1"/>
  <c r="O84" i="7"/>
  <c r="P84" i="7" s="1"/>
  <c r="O85" i="7"/>
  <c r="P85" i="7" s="1"/>
  <c r="O86" i="7"/>
  <c r="P86" i="7" s="1"/>
  <c r="O87" i="7"/>
  <c r="P87" i="7" s="1"/>
  <c r="O88" i="7"/>
  <c r="P88" i="7" s="1"/>
  <c r="O89" i="7"/>
  <c r="P89" i="7" s="1"/>
  <c r="O90" i="7"/>
  <c r="P90" i="7" s="1"/>
  <c r="O91" i="7"/>
  <c r="P91" i="7" s="1"/>
  <c r="O92" i="7"/>
  <c r="P92" i="7" s="1"/>
  <c r="O93" i="7"/>
  <c r="P93" i="7" s="1"/>
  <c r="O94" i="7"/>
  <c r="P94" i="7" s="1"/>
  <c r="O95" i="7"/>
  <c r="P95" i="7" s="1"/>
  <c r="O96" i="7"/>
  <c r="P96" i="7" s="1"/>
  <c r="O97" i="7"/>
  <c r="P97" i="7" s="1"/>
  <c r="O102" i="7"/>
  <c r="P102" i="7" s="1"/>
  <c r="F133" i="7"/>
  <c r="F143" i="7"/>
  <c r="F210" i="7"/>
  <c r="F214" i="7"/>
  <c r="F217" i="7"/>
  <c r="I133" i="7"/>
  <c r="N210" i="7"/>
  <c r="G210" i="7"/>
  <c r="H210" i="7" s="1"/>
  <c r="N256" i="7"/>
  <c r="G256" i="7"/>
  <c r="H256" i="7" s="1"/>
  <c r="N143" i="7"/>
  <c r="G143" i="7"/>
  <c r="H143" i="7" s="1"/>
  <c r="N214" i="7"/>
  <c r="O214" i="7" s="1"/>
  <c r="P214" i="7" s="1"/>
  <c r="G214" i="7"/>
  <c r="H214" i="7" s="1"/>
  <c r="G217" i="7"/>
  <c r="H217" i="7" s="1"/>
  <c r="F52" i="7"/>
  <c r="N52" i="7"/>
  <c r="F136" i="7"/>
  <c r="G136" i="7"/>
  <c r="H136" i="7" s="1"/>
  <c r="F168" i="7"/>
  <c r="G168" i="7"/>
  <c r="H168" i="7" s="1"/>
  <c r="F230" i="7"/>
  <c r="N230" i="7"/>
  <c r="O230" i="7" s="1"/>
  <c r="P230" i="7" s="1"/>
  <c r="G230" i="7"/>
  <c r="H230" i="7" s="1"/>
  <c r="F264" i="7"/>
  <c r="L264" i="7"/>
  <c r="G264" i="7"/>
  <c r="H264" i="7" s="1"/>
  <c r="F268" i="7"/>
  <c r="G268" i="7"/>
  <c r="H268" i="7" s="1"/>
  <c r="J270" i="7"/>
  <c r="M143" i="7"/>
  <c r="M133" i="7"/>
  <c r="K256" i="7"/>
  <c r="G250" i="8"/>
  <c r="I250" i="8" s="1"/>
  <c r="G266" i="8"/>
  <c r="I266" i="8" s="1"/>
  <c r="G284" i="8"/>
  <c r="I284" i="8" s="1"/>
  <c r="G533" i="8"/>
  <c r="I533" i="8" s="1"/>
  <c r="G80" i="8"/>
  <c r="I80" i="8" s="1"/>
  <c r="G89" i="8"/>
  <c r="I89" i="8" s="1"/>
  <c r="G105" i="8"/>
  <c r="I105" i="8" s="1"/>
  <c r="G181" i="8"/>
  <c r="I181" i="8" s="1"/>
  <c r="G215" i="8"/>
  <c r="I215" i="8" s="1"/>
  <c r="G242" i="8"/>
  <c r="I242" i="8" s="1"/>
  <c r="G261" i="8"/>
  <c r="I261" i="8" s="1"/>
  <c r="G281" i="8"/>
  <c r="I281" i="8" s="1"/>
  <c r="G440" i="8"/>
  <c r="I440" i="8" s="1"/>
  <c r="G462" i="8"/>
  <c r="I462" i="8" s="1"/>
  <c r="G480" i="8"/>
  <c r="I480" i="8" s="1"/>
  <c r="G493" i="8"/>
  <c r="I493" i="8" s="1"/>
  <c r="G502" i="8"/>
  <c r="I502" i="8" s="1"/>
  <c r="G516" i="8"/>
  <c r="I516" i="8" s="1"/>
  <c r="G541" i="8"/>
  <c r="I541" i="8" s="1"/>
  <c r="F82" i="8"/>
  <c r="F91" i="8"/>
  <c r="F131" i="8"/>
  <c r="F184" i="8"/>
  <c r="F226" i="8"/>
  <c r="F250" i="8"/>
  <c r="F266" i="8"/>
  <c r="F284" i="8"/>
  <c r="F455" i="8"/>
  <c r="F464" i="8"/>
  <c r="F483" i="8"/>
  <c r="F495" i="8"/>
  <c r="F508" i="8"/>
  <c r="F533" i="8"/>
  <c r="F544" i="8"/>
  <c r="F3" i="8"/>
  <c r="F93" i="8"/>
  <c r="F401" i="8"/>
  <c r="G3" i="8"/>
  <c r="I3" i="8" s="1"/>
  <c r="F80" i="8"/>
  <c r="G85" i="8"/>
  <c r="I85" i="8" s="1"/>
  <c r="F89" i="8"/>
  <c r="G93" i="8"/>
  <c r="I93" i="8" s="1"/>
  <c r="F105" i="8"/>
  <c r="G133" i="8"/>
  <c r="I133" i="8" s="1"/>
  <c r="F181" i="8"/>
  <c r="G186" i="8"/>
  <c r="I186" i="8" s="1"/>
  <c r="F215" i="8"/>
  <c r="G230" i="8"/>
  <c r="I230" i="8" s="1"/>
  <c r="F242" i="8"/>
  <c r="G252" i="8"/>
  <c r="I252" i="8" s="1"/>
  <c r="F261" i="8"/>
  <c r="G270" i="8"/>
  <c r="I270" i="8" s="1"/>
  <c r="F281" i="8"/>
  <c r="G401" i="8"/>
  <c r="I401" i="8" s="1"/>
  <c r="F440" i="8"/>
  <c r="G457" i="8"/>
  <c r="I457" i="8" s="1"/>
  <c r="F462" i="8"/>
  <c r="G472" i="8"/>
  <c r="I472" i="8" s="1"/>
  <c r="F480" i="8"/>
  <c r="G485" i="8"/>
  <c r="I485" i="8" s="1"/>
  <c r="F493" i="8"/>
  <c r="G498" i="8"/>
  <c r="I498" i="8" s="1"/>
  <c r="F502" i="8"/>
  <c r="G511" i="8"/>
  <c r="I511" i="8" s="1"/>
  <c r="F516" i="8"/>
  <c r="G535" i="8"/>
  <c r="I535" i="8" s="1"/>
  <c r="F541" i="8"/>
  <c r="G546" i="8"/>
  <c r="I546" i="8" s="1"/>
  <c r="F85" i="8"/>
  <c r="F133" i="8"/>
  <c r="F186" i="8"/>
  <c r="F230" i="8"/>
  <c r="F252" i="8"/>
  <c r="F270" i="8"/>
  <c r="F457" i="8"/>
  <c r="F472" i="8"/>
  <c r="F485" i="8"/>
  <c r="F498" i="8"/>
  <c r="F511" i="8"/>
  <c r="F535" i="8"/>
  <c r="F546" i="8"/>
  <c r="G10" i="8"/>
  <c r="I10" i="8" s="1"/>
  <c r="G87" i="8"/>
  <c r="I87" i="8" s="1"/>
  <c r="G98" i="8"/>
  <c r="I98" i="8" s="1"/>
  <c r="G143" i="8"/>
  <c r="I143" i="8" s="1"/>
  <c r="G188" i="8"/>
  <c r="I188" i="8" s="1"/>
  <c r="G237" i="8"/>
  <c r="I237" i="8" s="1"/>
  <c r="G258" i="8"/>
  <c r="I258" i="8" s="1"/>
  <c r="G277" i="8"/>
  <c r="I277" i="8" s="1"/>
  <c r="G413" i="8"/>
  <c r="I413" i="8" s="1"/>
  <c r="G459" i="8"/>
  <c r="I459" i="8" s="1"/>
  <c r="G475" i="8"/>
  <c r="I475" i="8" s="1"/>
  <c r="G491" i="8"/>
  <c r="I491" i="8" s="1"/>
  <c r="G500" i="8"/>
  <c r="I500" i="8" s="1"/>
  <c r="G513" i="8"/>
  <c r="I513" i="8" s="1"/>
  <c r="G539" i="8"/>
  <c r="I539" i="8" s="1"/>
  <c r="G548" i="8"/>
  <c r="I548" i="8" s="1"/>
  <c r="C2" i="8"/>
  <c r="B2" i="8"/>
  <c r="C538" i="8"/>
  <c r="D497" i="8"/>
  <c r="D2" i="8"/>
  <c r="B97" i="8"/>
  <c r="C97" i="8"/>
  <c r="B497" i="8"/>
  <c r="C497" i="8"/>
  <c r="B538" i="8"/>
  <c r="D97" i="8"/>
  <c r="D538" i="8"/>
  <c r="I52" i="7"/>
  <c r="C169" i="7"/>
  <c r="L210" i="7"/>
  <c r="D269" i="7"/>
  <c r="L52" i="7"/>
  <c r="O173" i="7"/>
  <c r="P173" i="7" s="1"/>
  <c r="O174" i="7"/>
  <c r="P174" i="7" s="1"/>
  <c r="O175" i="7"/>
  <c r="P175" i="7" s="1"/>
  <c r="O177" i="7"/>
  <c r="P177" i="7" s="1"/>
  <c r="O178" i="7"/>
  <c r="P178" i="7" s="1"/>
  <c r="O179" i="7"/>
  <c r="P179" i="7" s="1"/>
  <c r="O180" i="7"/>
  <c r="P180" i="7" s="1"/>
  <c r="O181" i="7"/>
  <c r="P181" i="7" s="1"/>
  <c r="O182" i="7"/>
  <c r="P182" i="7" s="1"/>
  <c r="O183" i="7"/>
  <c r="P183" i="7" s="1"/>
  <c r="O184" i="7"/>
  <c r="P184" i="7" s="1"/>
  <c r="O185" i="7"/>
  <c r="P185" i="7" s="1"/>
  <c r="O186" i="7"/>
  <c r="P186" i="7" s="1"/>
  <c r="O187" i="7"/>
  <c r="P187" i="7" s="1"/>
  <c r="O189" i="7"/>
  <c r="P189" i="7" s="1"/>
  <c r="O190" i="7"/>
  <c r="P190" i="7" s="1"/>
  <c r="O191" i="7"/>
  <c r="P191" i="7" s="1"/>
  <c r="O193" i="7"/>
  <c r="P193" i="7" s="1"/>
  <c r="O194" i="7"/>
  <c r="P194" i="7" s="1"/>
  <c r="O195" i="7"/>
  <c r="P195" i="7" s="1"/>
  <c r="O196" i="7"/>
  <c r="P196" i="7" s="1"/>
  <c r="O197" i="7"/>
  <c r="P197" i="7" s="1"/>
  <c r="O198" i="7"/>
  <c r="P198" i="7" s="1"/>
  <c r="O199" i="7"/>
  <c r="P199" i="7" s="1"/>
  <c r="O200" i="7"/>
  <c r="P200" i="7" s="1"/>
  <c r="O201" i="7"/>
  <c r="P201" i="7" s="1"/>
  <c r="O202" i="7"/>
  <c r="P202" i="7" s="1"/>
  <c r="O203" i="7"/>
  <c r="P203" i="7" s="1"/>
  <c r="O205" i="7"/>
  <c r="P205" i="7" s="1"/>
  <c r="O206" i="7"/>
  <c r="P206" i="7" s="1"/>
  <c r="O207" i="7"/>
  <c r="P207" i="7" s="1"/>
  <c r="O209" i="7"/>
  <c r="P209" i="7" s="1"/>
  <c r="N268" i="7"/>
  <c r="O268" i="7" s="1"/>
  <c r="O4" i="7"/>
  <c r="P4" i="7" s="1"/>
  <c r="M52" i="7"/>
  <c r="I143" i="7"/>
  <c r="M256" i="7"/>
  <c r="O5" i="7"/>
  <c r="P5" i="7" s="1"/>
  <c r="O6" i="7"/>
  <c r="P6" i="7" s="1"/>
  <c r="O7" i="7"/>
  <c r="P7" i="7" s="1"/>
  <c r="O8" i="7"/>
  <c r="P8" i="7" s="1"/>
  <c r="O9" i="7"/>
  <c r="P9" i="7" s="1"/>
  <c r="O10" i="7"/>
  <c r="P10" i="7" s="1"/>
  <c r="O11" i="7"/>
  <c r="P11" i="7" s="1"/>
  <c r="O12" i="7"/>
  <c r="P12" i="7" s="1"/>
  <c r="O13" i="7"/>
  <c r="P13" i="7" s="1"/>
  <c r="O14" i="7"/>
  <c r="P14" i="7" s="1"/>
  <c r="O15" i="7"/>
  <c r="P15" i="7" s="1"/>
  <c r="O16" i="7"/>
  <c r="P16" i="7" s="1"/>
  <c r="O17" i="7"/>
  <c r="P17" i="7" s="1"/>
  <c r="O18" i="7"/>
  <c r="P18" i="7" s="1"/>
  <c r="O19" i="7"/>
  <c r="P19" i="7" s="1"/>
  <c r="O20" i="7"/>
  <c r="P20" i="7" s="1"/>
  <c r="O21" i="7"/>
  <c r="P21" i="7" s="1"/>
  <c r="O22" i="7"/>
  <c r="P22" i="7" s="1"/>
  <c r="O23" i="7"/>
  <c r="P23" i="7" s="1"/>
  <c r="O24" i="7"/>
  <c r="P24" i="7" s="1"/>
  <c r="O25" i="7"/>
  <c r="P25" i="7" s="1"/>
  <c r="O26" i="7"/>
  <c r="P26" i="7" s="1"/>
  <c r="O27" i="7"/>
  <c r="P27" i="7" s="1"/>
  <c r="O28" i="7"/>
  <c r="P28" i="7" s="1"/>
  <c r="O29" i="7"/>
  <c r="P29" i="7" s="1"/>
  <c r="O30" i="7"/>
  <c r="P30" i="7" s="1"/>
  <c r="O31" i="7"/>
  <c r="P31" i="7" s="1"/>
  <c r="O32" i="7"/>
  <c r="P32" i="7" s="1"/>
  <c r="O33" i="7"/>
  <c r="P33" i="7" s="1"/>
  <c r="O34" i="7"/>
  <c r="P34" i="7" s="1"/>
  <c r="O35" i="7"/>
  <c r="P35" i="7" s="1"/>
  <c r="O36" i="7"/>
  <c r="P36" i="7" s="1"/>
  <c r="O37" i="7"/>
  <c r="P37" i="7" s="1"/>
  <c r="O38" i="7"/>
  <c r="P38" i="7" s="1"/>
  <c r="O39" i="7"/>
  <c r="P39" i="7" s="1"/>
  <c r="O40" i="7"/>
  <c r="P40" i="7" s="1"/>
  <c r="O41" i="7"/>
  <c r="P41" i="7" s="1"/>
  <c r="O42" i="7"/>
  <c r="P42" i="7" s="1"/>
  <c r="O43" i="7"/>
  <c r="P43" i="7" s="1"/>
  <c r="O44" i="7"/>
  <c r="P44" i="7" s="1"/>
  <c r="O45" i="7"/>
  <c r="P45" i="7" s="1"/>
  <c r="O46" i="7"/>
  <c r="P46" i="7" s="1"/>
  <c r="O47" i="7"/>
  <c r="P47" i="7" s="1"/>
  <c r="O48" i="7"/>
  <c r="P48" i="7" s="1"/>
  <c r="O49" i="7"/>
  <c r="P49" i="7" s="1"/>
  <c r="O50" i="7"/>
  <c r="P50" i="7" s="1"/>
  <c r="O51" i="7"/>
  <c r="P51" i="7" s="1"/>
  <c r="O98" i="7"/>
  <c r="P98" i="7" s="1"/>
  <c r="O99" i="7"/>
  <c r="P99" i="7" s="1"/>
  <c r="O100" i="7"/>
  <c r="P100" i="7" s="1"/>
  <c r="O101" i="7"/>
  <c r="P101" i="7" s="1"/>
  <c r="O103" i="7"/>
  <c r="P103" i="7" s="1"/>
  <c r="O104" i="7"/>
  <c r="P104" i="7" s="1"/>
  <c r="O105" i="7"/>
  <c r="P105" i="7" s="1"/>
  <c r="O106" i="7"/>
  <c r="P106" i="7" s="1"/>
  <c r="O108" i="7"/>
  <c r="P108" i="7" s="1"/>
  <c r="O109" i="7"/>
  <c r="P109" i="7" s="1"/>
  <c r="O112" i="7"/>
  <c r="P112" i="7" s="1"/>
  <c r="O113" i="7"/>
  <c r="P113" i="7" s="1"/>
  <c r="O116" i="7"/>
  <c r="P116" i="7" s="1"/>
  <c r="O117" i="7"/>
  <c r="P117" i="7" s="1"/>
  <c r="O120" i="7"/>
  <c r="P120" i="7" s="1"/>
  <c r="O122" i="7"/>
  <c r="P122" i="7" s="1"/>
  <c r="O126" i="7"/>
  <c r="P126" i="7" s="1"/>
  <c r="O130" i="7"/>
  <c r="P130" i="7" s="1"/>
  <c r="O138" i="7"/>
  <c r="P138" i="7" s="1"/>
  <c r="O142" i="7"/>
  <c r="P142" i="7" s="1"/>
  <c r="O232" i="7"/>
  <c r="P232" i="7" s="1"/>
  <c r="O236" i="7"/>
  <c r="P236" i="7" s="1"/>
  <c r="O240" i="7"/>
  <c r="P240" i="7" s="1"/>
  <c r="O244" i="7"/>
  <c r="P244" i="7" s="1"/>
  <c r="O248" i="7"/>
  <c r="P248" i="7" s="1"/>
  <c r="O252" i="7"/>
  <c r="P252" i="7" s="1"/>
  <c r="O54" i="7"/>
  <c r="P54" i="7" s="1"/>
  <c r="O55" i="7"/>
  <c r="P55" i="7" s="1"/>
  <c r="O56" i="7"/>
  <c r="P56" i="7" s="1"/>
  <c r="O57" i="7"/>
  <c r="P57" i="7" s="1"/>
  <c r="O58" i="7"/>
  <c r="P58" i="7" s="1"/>
  <c r="O59" i="7"/>
  <c r="P59" i="7" s="1"/>
  <c r="O60" i="7"/>
  <c r="P60" i="7" s="1"/>
  <c r="O61" i="7"/>
  <c r="P61" i="7" s="1"/>
  <c r="O62" i="7"/>
  <c r="P62" i="7" s="1"/>
  <c r="O63" i="7"/>
  <c r="P63" i="7" s="1"/>
  <c r="O64" i="7"/>
  <c r="P64" i="7" s="1"/>
  <c r="O65" i="7"/>
  <c r="P65" i="7" s="1"/>
  <c r="O66" i="7"/>
  <c r="P66" i="7" s="1"/>
  <c r="O67" i="7"/>
  <c r="P67" i="7" s="1"/>
  <c r="O68" i="7"/>
  <c r="P68" i="7" s="1"/>
  <c r="O69" i="7"/>
  <c r="P69" i="7" s="1"/>
  <c r="O70" i="7"/>
  <c r="P70" i="7" s="1"/>
  <c r="O71" i="7"/>
  <c r="P71" i="7" s="1"/>
  <c r="O72" i="7"/>
  <c r="P72" i="7" s="1"/>
  <c r="O135" i="7"/>
  <c r="P135" i="7" s="1"/>
  <c r="O145" i="7"/>
  <c r="P145" i="7" s="1"/>
  <c r="O146" i="7"/>
  <c r="P146" i="7" s="1"/>
  <c r="O147" i="7"/>
  <c r="P147" i="7" s="1"/>
  <c r="O149" i="7"/>
  <c r="P149" i="7" s="1"/>
  <c r="O150" i="7"/>
  <c r="P150" i="7" s="1"/>
  <c r="O151" i="7"/>
  <c r="P151" i="7" s="1"/>
  <c r="O153" i="7"/>
  <c r="P153" i="7" s="1"/>
  <c r="O154" i="7"/>
  <c r="P154" i="7" s="1"/>
  <c r="O155" i="7"/>
  <c r="P155" i="7" s="1"/>
  <c r="O156" i="7"/>
  <c r="P156" i="7" s="1"/>
  <c r="O157" i="7"/>
  <c r="P157" i="7" s="1"/>
  <c r="O158" i="7"/>
  <c r="P158" i="7" s="1"/>
  <c r="O159" i="7"/>
  <c r="P159" i="7" s="1"/>
  <c r="O160" i="7"/>
  <c r="P160" i="7" s="1"/>
  <c r="O161" i="7"/>
  <c r="P161" i="7" s="1"/>
  <c r="O162" i="7"/>
  <c r="P162" i="7" s="1"/>
  <c r="O163" i="7"/>
  <c r="P163" i="7" s="1"/>
  <c r="O165" i="7"/>
  <c r="P165" i="7" s="1"/>
  <c r="O166" i="7"/>
  <c r="P166" i="7" s="1"/>
  <c r="O167" i="7"/>
  <c r="P167" i="7" s="1"/>
  <c r="O258" i="7"/>
  <c r="P258" i="7" s="1"/>
  <c r="O259" i="7"/>
  <c r="P259" i="7" s="1"/>
  <c r="O260" i="7"/>
  <c r="P260" i="7" s="1"/>
  <c r="O261" i="7"/>
  <c r="P261" i="7" s="1"/>
  <c r="O263" i="7"/>
  <c r="P263" i="7" s="1"/>
  <c r="O114" i="7"/>
  <c r="P114" i="7" s="1"/>
  <c r="O115" i="7"/>
  <c r="P115" i="7" s="1"/>
  <c r="O152" i="7"/>
  <c r="P152" i="7" s="1"/>
  <c r="O176" i="7"/>
  <c r="P176" i="7" s="1"/>
  <c r="O192" i="7"/>
  <c r="P192" i="7" s="1"/>
  <c r="O208" i="7"/>
  <c r="P208" i="7" s="1"/>
  <c r="C269" i="7"/>
  <c r="O110" i="7"/>
  <c r="P110" i="7" s="1"/>
  <c r="O111" i="7"/>
  <c r="P111" i="7" s="1"/>
  <c r="O118" i="7"/>
  <c r="P118" i="7" s="1"/>
  <c r="O119" i="7"/>
  <c r="P119" i="7" s="1"/>
  <c r="M136" i="7"/>
  <c r="I136" i="7"/>
  <c r="L136" i="7"/>
  <c r="N136" i="7"/>
  <c r="D169" i="7"/>
  <c r="I168" i="7"/>
  <c r="M168" i="7"/>
  <c r="L168" i="7"/>
  <c r="N168" i="7"/>
  <c r="O107" i="7"/>
  <c r="P107" i="7" s="1"/>
  <c r="O148" i="7"/>
  <c r="P148" i="7" s="1"/>
  <c r="O164" i="7"/>
  <c r="P164" i="7" s="1"/>
  <c r="O172" i="7"/>
  <c r="P172" i="7" s="1"/>
  <c r="O188" i="7"/>
  <c r="P188" i="7" s="1"/>
  <c r="O204" i="7"/>
  <c r="P204" i="7" s="1"/>
  <c r="O262" i="7"/>
  <c r="P262" i="7" s="1"/>
  <c r="O124" i="7"/>
  <c r="P124" i="7" s="1"/>
  <c r="O128" i="7"/>
  <c r="P128" i="7" s="1"/>
  <c r="O132" i="7"/>
  <c r="P132" i="7" s="1"/>
  <c r="O140" i="7"/>
  <c r="P140" i="7" s="1"/>
  <c r="B169" i="7"/>
  <c r="K210" i="7"/>
  <c r="M210" i="7"/>
  <c r="O234" i="7"/>
  <c r="P234" i="7" s="1"/>
  <c r="O238" i="7"/>
  <c r="P238" i="7" s="1"/>
  <c r="O242" i="7"/>
  <c r="P242" i="7" s="1"/>
  <c r="O246" i="7"/>
  <c r="P246" i="7" s="1"/>
  <c r="O250" i="7"/>
  <c r="P250" i="7" s="1"/>
  <c r="O254" i="7"/>
  <c r="P254" i="7" s="1"/>
  <c r="M264" i="7"/>
  <c r="K264" i="7"/>
  <c r="B269" i="7"/>
  <c r="F269" i="7" s="1"/>
  <c r="O121" i="7"/>
  <c r="P121" i="7" s="1"/>
  <c r="O125" i="7"/>
  <c r="P125" i="7" s="1"/>
  <c r="O129" i="7"/>
  <c r="P129" i="7" s="1"/>
  <c r="O141" i="7"/>
  <c r="P141" i="7" s="1"/>
  <c r="N217" i="7"/>
  <c r="O217" i="7" s="1"/>
  <c r="P217" i="7" s="1"/>
  <c r="O235" i="7"/>
  <c r="P235" i="7" s="1"/>
  <c r="O239" i="7"/>
  <c r="P239" i="7" s="1"/>
  <c r="O243" i="7"/>
  <c r="P243" i="7" s="1"/>
  <c r="O247" i="7"/>
  <c r="P247" i="7" s="1"/>
  <c r="O251" i="7"/>
  <c r="P251" i="7" s="1"/>
  <c r="O255" i="7"/>
  <c r="P255" i="7" s="1"/>
  <c r="O123" i="7"/>
  <c r="P123" i="7" s="1"/>
  <c r="O127" i="7"/>
  <c r="P127" i="7" s="1"/>
  <c r="O131" i="7"/>
  <c r="P131" i="7" s="1"/>
  <c r="O139" i="7"/>
  <c r="P139" i="7" s="1"/>
  <c r="O233" i="7"/>
  <c r="P233" i="7" s="1"/>
  <c r="O237" i="7"/>
  <c r="P237" i="7" s="1"/>
  <c r="O241" i="7"/>
  <c r="P241" i="7" s="1"/>
  <c r="O245" i="7"/>
  <c r="P245" i="7" s="1"/>
  <c r="O249" i="7"/>
  <c r="P249" i="7" s="1"/>
  <c r="O253" i="7"/>
  <c r="P253" i="7" s="1"/>
  <c r="N133" i="7"/>
  <c r="L143" i="7"/>
  <c r="L256" i="7"/>
  <c r="L133" i="7"/>
  <c r="F169" i="7" l="1"/>
  <c r="G169" i="7"/>
  <c r="H169" i="7" s="1"/>
  <c r="C270" i="7"/>
  <c r="M169" i="7"/>
  <c r="G269" i="7"/>
  <c r="H269" i="7" s="1"/>
  <c r="O256" i="7"/>
  <c r="P256" i="7" s="1"/>
  <c r="N269" i="7"/>
  <c r="O52" i="7"/>
  <c r="P52" i="7" s="1"/>
  <c r="C554" i="8"/>
  <c r="F2" i="8"/>
  <c r="D17" i="6"/>
  <c r="G538" i="8"/>
  <c r="I538" i="8" s="1"/>
  <c r="F497" i="8"/>
  <c r="D16" i="6"/>
  <c r="G497" i="8"/>
  <c r="I497" i="8" s="1"/>
  <c r="D15" i="6"/>
  <c r="G97" i="8"/>
  <c r="I97" i="8" s="1"/>
  <c r="F538" i="8"/>
  <c r="F97" i="8"/>
  <c r="D14" i="6"/>
  <c r="G2" i="8"/>
  <c r="I2" i="8" s="1"/>
  <c r="D554" i="8"/>
  <c r="B554" i="8"/>
  <c r="O136" i="7"/>
  <c r="P136" i="7" s="1"/>
  <c r="O143" i="7"/>
  <c r="P143" i="7" s="1"/>
  <c r="D270" i="7"/>
  <c r="P268" i="7"/>
  <c r="L269" i="7"/>
  <c r="O133" i="7"/>
  <c r="P133" i="7" s="1"/>
  <c r="B270" i="7"/>
  <c r="F270" i="7" s="1"/>
  <c r="N169" i="7"/>
  <c r="N270" i="7" s="1"/>
  <c r="O168" i="7"/>
  <c r="I169" i="7"/>
  <c r="I270" i="7" s="1"/>
  <c r="O264" i="7"/>
  <c r="P264" i="7" s="1"/>
  <c r="K269" i="7"/>
  <c r="K270" i="7" s="1"/>
  <c r="M269" i="7"/>
  <c r="O210" i="7"/>
  <c r="P210" i="7" s="1"/>
  <c r="L169" i="7"/>
  <c r="E18" i="6" l="1"/>
  <c r="F554" i="8"/>
  <c r="M270" i="7"/>
  <c r="G270" i="7"/>
  <c r="H270" i="7" s="1"/>
  <c r="D18" i="6"/>
  <c r="G554" i="8"/>
  <c r="I554" i="8" s="1"/>
  <c r="O269" i="7"/>
  <c r="O169" i="7"/>
  <c r="P168" i="7"/>
  <c r="P169" i="7" s="1"/>
  <c r="L270" i="7"/>
  <c r="P269" i="7"/>
  <c r="O270" i="7" l="1"/>
  <c r="P270" i="7"/>
  <c r="P273" i="7" l="1"/>
  <c r="P274" i="7"/>
  <c r="D11" i="6"/>
  <c r="E11" i="6" l="1"/>
  <c r="E12" i="6" s="1"/>
  <c r="E19" i="6" s="1"/>
  <c r="D12" i="6"/>
  <c r="BA427" i="4"/>
  <c r="AU427" i="4"/>
  <c r="AQ427" i="4"/>
  <c r="AR427" i="4" s="1"/>
  <c r="AO427" i="4"/>
  <c r="AM427" i="4"/>
  <c r="AE427" i="4"/>
  <c r="L427" i="4"/>
  <c r="V427" i="4" s="1"/>
  <c r="X427" i="4" s="1"/>
  <c r="AS427" i="4" l="1"/>
  <c r="AK427" i="4"/>
  <c r="AJ427" i="4"/>
  <c r="AI427" i="4"/>
  <c r="AF427" i="4"/>
  <c r="AV427" i="4" l="1"/>
  <c r="AW427" i="4" l="1"/>
  <c r="G16" i="12"/>
  <c r="H16" i="12" s="1"/>
  <c r="BA471" i="4"/>
  <c r="AU471" i="4"/>
  <c r="AQ471" i="4"/>
  <c r="AR471" i="4" s="1"/>
  <c r="AO471" i="4"/>
  <c r="AM471" i="4"/>
  <c r="AE471" i="4"/>
  <c r="L471" i="4"/>
  <c r="V471" i="4" s="1"/>
  <c r="X471" i="4" s="1"/>
  <c r="AS471" i="4" l="1"/>
  <c r="AK471" i="4"/>
  <c r="AJ471" i="4"/>
  <c r="AI471" i="4"/>
  <c r="AF471" i="4"/>
  <c r="AV471" i="4" l="1"/>
  <c r="AW471" i="4" s="1"/>
  <c r="D19" i="6" l="1"/>
  <c r="F12" i="6" l="1"/>
  <c r="D21" i="6"/>
  <c r="AE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2" i="4"/>
  <c r="AU515" i="4"/>
  <c r="AQ515" i="4"/>
  <c r="AR515" i="4" s="1"/>
  <c r="AO515" i="4"/>
  <c r="AM515" i="4"/>
  <c r="AK515" i="4"/>
  <c r="AJ515" i="4"/>
  <c r="AI515" i="4"/>
  <c r="AH515" i="4"/>
  <c r="AG515" i="4"/>
  <c r="BA514" i="4"/>
  <c r="AU514" i="4"/>
  <c r="AQ514" i="4"/>
  <c r="AR514" i="4" s="1"/>
  <c r="AO514" i="4"/>
  <c r="AM514" i="4"/>
  <c r="K514" i="4"/>
  <c r="L514" i="4" s="1"/>
  <c r="V514" i="4" s="1"/>
  <c r="X514" i="4" s="1"/>
  <c r="AJ514" i="4" s="1"/>
  <c r="BA513" i="4"/>
  <c r="AU513" i="4"/>
  <c r="AQ513" i="4"/>
  <c r="AR513" i="4" s="1"/>
  <c r="AO513" i="4"/>
  <c r="AM513" i="4"/>
  <c r="T513" i="4"/>
  <c r="L513" i="4"/>
  <c r="R513" i="4" s="1"/>
  <c r="BA512" i="4"/>
  <c r="AU512" i="4"/>
  <c r="AQ512" i="4"/>
  <c r="AR512" i="4" s="1"/>
  <c r="AO512" i="4"/>
  <c r="AM512" i="4"/>
  <c r="L512" i="4"/>
  <c r="V512" i="4" s="1"/>
  <c r="X512" i="4" s="1"/>
  <c r="BA511" i="4"/>
  <c r="AU511" i="4"/>
  <c r="AQ511" i="4"/>
  <c r="AR511" i="4" s="1"/>
  <c r="AO511" i="4"/>
  <c r="AM511" i="4"/>
  <c r="L511" i="4"/>
  <c r="V511" i="4" s="1"/>
  <c r="X511" i="4" s="1"/>
  <c r="AK511" i="4" s="1"/>
  <c r="BA510" i="4"/>
  <c r="AU510" i="4"/>
  <c r="AQ510" i="4"/>
  <c r="AR510" i="4" s="1"/>
  <c r="AO510" i="4"/>
  <c r="AM510" i="4"/>
  <c r="L510" i="4"/>
  <c r="V510" i="4" s="1"/>
  <c r="X510" i="4" s="1"/>
  <c r="AH510" i="4" s="1"/>
  <c r="BA509" i="4"/>
  <c r="AU509" i="4"/>
  <c r="AQ509" i="4"/>
  <c r="AR509" i="4" s="1"/>
  <c r="AO509" i="4"/>
  <c r="AM509" i="4"/>
  <c r="L509" i="4"/>
  <c r="V509" i="4" s="1"/>
  <c r="X509" i="4" s="1"/>
  <c r="BA508" i="4"/>
  <c r="AU508" i="4"/>
  <c r="AQ508" i="4"/>
  <c r="AR508" i="4" s="1"/>
  <c r="AO508" i="4"/>
  <c r="AM508" i="4"/>
  <c r="V508" i="4"/>
  <c r="X508" i="4" s="1"/>
  <c r="AJ508" i="4" s="1"/>
  <c r="BA507" i="4"/>
  <c r="AU507" i="4"/>
  <c r="AQ507" i="4"/>
  <c r="AR507" i="4" s="1"/>
  <c r="AO507" i="4"/>
  <c r="AM507" i="4"/>
  <c r="V507" i="4"/>
  <c r="X507" i="4" s="1"/>
  <c r="BA506" i="4"/>
  <c r="AU506" i="4"/>
  <c r="AQ506" i="4"/>
  <c r="AR506" i="4" s="1"/>
  <c r="AO506" i="4"/>
  <c r="AM506" i="4"/>
  <c r="V506" i="4"/>
  <c r="X506" i="4" s="1"/>
  <c r="AH506" i="4" s="1"/>
  <c r="BA505" i="4"/>
  <c r="AU505" i="4"/>
  <c r="AQ505" i="4"/>
  <c r="AR505" i="4" s="1"/>
  <c r="AO505" i="4"/>
  <c r="AM505" i="4"/>
  <c r="V505" i="4"/>
  <c r="X505" i="4" s="1"/>
  <c r="AK505" i="4" s="1"/>
  <c r="BA504" i="4"/>
  <c r="AU504" i="4"/>
  <c r="AQ504" i="4"/>
  <c r="AR504" i="4" s="1"/>
  <c r="AO504" i="4"/>
  <c r="AM504" i="4"/>
  <c r="V504" i="4"/>
  <c r="X504" i="4" s="1"/>
  <c r="BA503" i="4"/>
  <c r="AU503" i="4"/>
  <c r="AQ503" i="4"/>
  <c r="AR503" i="4" s="1"/>
  <c r="AO503" i="4"/>
  <c r="AM503" i="4"/>
  <c r="V503" i="4"/>
  <c r="X503" i="4" s="1"/>
  <c r="AI503" i="4" s="1"/>
  <c r="BA502" i="4"/>
  <c r="AU502" i="4"/>
  <c r="AQ502" i="4"/>
  <c r="AR502" i="4" s="1"/>
  <c r="AO502" i="4"/>
  <c r="AM502" i="4"/>
  <c r="V502" i="4"/>
  <c r="X502" i="4" s="1"/>
  <c r="AK502" i="4" s="1"/>
  <c r="BA501" i="4"/>
  <c r="AU501" i="4"/>
  <c r="AQ501" i="4"/>
  <c r="AR501" i="4" s="1"/>
  <c r="AO501" i="4"/>
  <c r="AM501" i="4"/>
  <c r="L501" i="4"/>
  <c r="V501" i="4" s="1"/>
  <c r="X501" i="4" s="1"/>
  <c r="BA500" i="4"/>
  <c r="AU500" i="4"/>
  <c r="AQ500" i="4"/>
  <c r="AR500" i="4" s="1"/>
  <c r="AO500" i="4"/>
  <c r="AM500" i="4"/>
  <c r="L500" i="4"/>
  <c r="V500" i="4" s="1"/>
  <c r="X500" i="4" s="1"/>
  <c r="BA499" i="4"/>
  <c r="AU499" i="4"/>
  <c r="AQ499" i="4"/>
  <c r="AR499" i="4" s="1"/>
  <c r="AO499" i="4"/>
  <c r="AM499" i="4"/>
  <c r="L499" i="4"/>
  <c r="V499" i="4" s="1"/>
  <c r="X499" i="4" s="1"/>
  <c r="BA498" i="4"/>
  <c r="AU498" i="4"/>
  <c r="AQ498" i="4"/>
  <c r="AR498" i="4" s="1"/>
  <c r="AO498" i="4"/>
  <c r="AM498" i="4"/>
  <c r="L498" i="4"/>
  <c r="V498" i="4" s="1"/>
  <c r="X498" i="4" s="1"/>
  <c r="AK498" i="4" s="1"/>
  <c r="BA497" i="4"/>
  <c r="AU497" i="4"/>
  <c r="AQ497" i="4"/>
  <c r="AR497" i="4" s="1"/>
  <c r="AO497" i="4"/>
  <c r="AM497" i="4"/>
  <c r="L497" i="4"/>
  <c r="V497" i="4" s="1"/>
  <c r="X497" i="4" s="1"/>
  <c r="BA496" i="4"/>
  <c r="AU496" i="4"/>
  <c r="AQ496" i="4"/>
  <c r="AR496" i="4" s="1"/>
  <c r="AO496" i="4"/>
  <c r="AM496" i="4"/>
  <c r="L496" i="4"/>
  <c r="V496" i="4" s="1"/>
  <c r="X496" i="4" s="1"/>
  <c r="AJ496" i="4" s="1"/>
  <c r="BA495" i="4"/>
  <c r="AU495" i="4"/>
  <c r="AQ495" i="4"/>
  <c r="AR495" i="4" s="1"/>
  <c r="AO495" i="4"/>
  <c r="AM495" i="4"/>
  <c r="L495" i="4"/>
  <c r="V495" i="4" s="1"/>
  <c r="X495" i="4" s="1"/>
  <c r="AF495" i="4" s="1"/>
  <c r="BA494" i="4"/>
  <c r="AU494" i="4"/>
  <c r="AQ494" i="4"/>
  <c r="AR494" i="4" s="1"/>
  <c r="AO494" i="4"/>
  <c r="AM494" i="4"/>
  <c r="L494" i="4"/>
  <c r="V494" i="4" s="1"/>
  <c r="X494" i="4" s="1"/>
  <c r="BA493" i="4"/>
  <c r="AU493" i="4"/>
  <c r="AQ493" i="4"/>
  <c r="AR493" i="4" s="1"/>
  <c r="AO493" i="4"/>
  <c r="AM493" i="4"/>
  <c r="L493" i="4"/>
  <c r="V493" i="4" s="1"/>
  <c r="X493" i="4" s="1"/>
  <c r="BA492" i="4"/>
  <c r="AU492" i="4"/>
  <c r="AQ492" i="4"/>
  <c r="AR492" i="4" s="1"/>
  <c r="AO492" i="4"/>
  <c r="AM492" i="4"/>
  <c r="L492" i="4"/>
  <c r="V492" i="4" s="1"/>
  <c r="X492" i="4" s="1"/>
  <c r="AJ492" i="4" s="1"/>
  <c r="BA491" i="4"/>
  <c r="AU491" i="4"/>
  <c r="AQ491" i="4"/>
  <c r="AR491" i="4" s="1"/>
  <c r="AO491" i="4"/>
  <c r="AM491" i="4"/>
  <c r="L491" i="4"/>
  <c r="V491" i="4" s="1"/>
  <c r="X491" i="4" s="1"/>
  <c r="AF491" i="4" s="1"/>
  <c r="BA490" i="4"/>
  <c r="AU490" i="4"/>
  <c r="AQ490" i="4"/>
  <c r="AR490" i="4" s="1"/>
  <c r="AO490" i="4"/>
  <c r="AM490" i="4"/>
  <c r="L490" i="4"/>
  <c r="V490" i="4" s="1"/>
  <c r="X490" i="4" s="1"/>
  <c r="BA489" i="4"/>
  <c r="AU489" i="4"/>
  <c r="AQ489" i="4"/>
  <c r="AR489" i="4" s="1"/>
  <c r="AO489" i="4"/>
  <c r="AM489" i="4"/>
  <c r="L489" i="4"/>
  <c r="V489" i="4" s="1"/>
  <c r="X489" i="4" s="1"/>
  <c r="BA488" i="4"/>
  <c r="AU488" i="4"/>
  <c r="AQ488" i="4"/>
  <c r="AR488" i="4" s="1"/>
  <c r="AO488" i="4"/>
  <c r="AM488" i="4"/>
  <c r="L488" i="4"/>
  <c r="V488" i="4" s="1"/>
  <c r="X488" i="4" s="1"/>
  <c r="AJ488" i="4" s="1"/>
  <c r="BA487" i="4"/>
  <c r="AU487" i="4"/>
  <c r="AQ487" i="4"/>
  <c r="AR487" i="4" s="1"/>
  <c r="AO487" i="4"/>
  <c r="AM487" i="4"/>
  <c r="L487" i="4"/>
  <c r="V487" i="4" s="1"/>
  <c r="X487" i="4" s="1"/>
  <c r="AF487" i="4" s="1"/>
  <c r="BA486" i="4"/>
  <c r="AU486" i="4"/>
  <c r="AQ486" i="4"/>
  <c r="AR486" i="4" s="1"/>
  <c r="AO486" i="4"/>
  <c r="AM486" i="4"/>
  <c r="L486" i="4"/>
  <c r="V486" i="4" s="1"/>
  <c r="X486" i="4" s="1"/>
  <c r="BA485" i="4"/>
  <c r="AU485" i="4"/>
  <c r="AQ485" i="4"/>
  <c r="AR485" i="4" s="1"/>
  <c r="AO485" i="4"/>
  <c r="AM485" i="4"/>
  <c r="L485" i="4"/>
  <c r="V485" i="4" s="1"/>
  <c r="X485" i="4" s="1"/>
  <c r="BA484" i="4"/>
  <c r="AU484" i="4"/>
  <c r="AQ484" i="4"/>
  <c r="AR484" i="4" s="1"/>
  <c r="AO484" i="4"/>
  <c r="AM484" i="4"/>
  <c r="L484" i="4"/>
  <c r="V484" i="4" s="1"/>
  <c r="X484" i="4" s="1"/>
  <c r="AJ484" i="4" s="1"/>
  <c r="BA483" i="4"/>
  <c r="AU483" i="4"/>
  <c r="AQ483" i="4"/>
  <c r="AR483" i="4" s="1"/>
  <c r="AO483" i="4"/>
  <c r="AM483" i="4"/>
  <c r="L483" i="4"/>
  <c r="V483" i="4" s="1"/>
  <c r="X483" i="4" s="1"/>
  <c r="BA482" i="4"/>
  <c r="AU482" i="4"/>
  <c r="AQ482" i="4"/>
  <c r="AR482" i="4" s="1"/>
  <c r="AO482" i="4"/>
  <c r="AM482" i="4"/>
  <c r="L482" i="4"/>
  <c r="V482" i="4" s="1"/>
  <c r="X482" i="4" s="1"/>
  <c r="AF482" i="4" s="1"/>
  <c r="BA481" i="4"/>
  <c r="AU481" i="4"/>
  <c r="AQ481" i="4"/>
  <c r="AR481" i="4" s="1"/>
  <c r="AO481" i="4"/>
  <c r="AM481" i="4"/>
  <c r="L481" i="4"/>
  <c r="V481" i="4" s="1"/>
  <c r="X481" i="4" s="1"/>
  <c r="AK481" i="4" s="1"/>
  <c r="BA480" i="4"/>
  <c r="AU480" i="4"/>
  <c r="AQ480" i="4"/>
  <c r="AR480" i="4" s="1"/>
  <c r="AO480" i="4"/>
  <c r="AM480" i="4"/>
  <c r="L480" i="4"/>
  <c r="V480" i="4" s="1"/>
  <c r="X480" i="4" s="1"/>
  <c r="AK480" i="4" s="1"/>
  <c r="BA479" i="4"/>
  <c r="AU479" i="4"/>
  <c r="AQ479" i="4"/>
  <c r="AR479" i="4" s="1"/>
  <c r="AO479" i="4"/>
  <c r="AM479" i="4"/>
  <c r="L479" i="4"/>
  <c r="V479" i="4" s="1"/>
  <c r="X479" i="4" s="1"/>
  <c r="BA478" i="4"/>
  <c r="AU478" i="4"/>
  <c r="AQ478" i="4"/>
  <c r="AR478" i="4" s="1"/>
  <c r="AO478" i="4"/>
  <c r="AM478" i="4"/>
  <c r="L478" i="4"/>
  <c r="V478" i="4" s="1"/>
  <c r="X478" i="4" s="1"/>
  <c r="AF478" i="4" s="1"/>
  <c r="BA477" i="4"/>
  <c r="AU477" i="4"/>
  <c r="AQ477" i="4"/>
  <c r="AR477" i="4" s="1"/>
  <c r="AO477" i="4"/>
  <c r="AM477" i="4"/>
  <c r="L477" i="4"/>
  <c r="V477" i="4" s="1"/>
  <c r="X477" i="4" s="1"/>
  <c r="BA476" i="4"/>
  <c r="AU476" i="4"/>
  <c r="AQ476" i="4"/>
  <c r="AR476" i="4" s="1"/>
  <c r="AO476" i="4"/>
  <c r="AM476" i="4"/>
  <c r="L476" i="4"/>
  <c r="V476" i="4" s="1"/>
  <c r="X476" i="4" s="1"/>
  <c r="AK476" i="4" s="1"/>
  <c r="BA475" i="4"/>
  <c r="AU475" i="4"/>
  <c r="AQ475" i="4"/>
  <c r="AR475" i="4" s="1"/>
  <c r="AO475" i="4"/>
  <c r="AM475" i="4"/>
  <c r="L475" i="4"/>
  <c r="V475" i="4" s="1"/>
  <c r="X475" i="4" s="1"/>
  <c r="BA474" i="4"/>
  <c r="AU474" i="4"/>
  <c r="AQ474" i="4"/>
  <c r="AR474" i="4" s="1"/>
  <c r="AO474" i="4"/>
  <c r="AM474" i="4"/>
  <c r="L474" i="4"/>
  <c r="V474" i="4" s="1"/>
  <c r="X474" i="4" s="1"/>
  <c r="AF474" i="4" s="1"/>
  <c r="BA473" i="4"/>
  <c r="AU473" i="4"/>
  <c r="AQ473" i="4"/>
  <c r="AR473" i="4" s="1"/>
  <c r="AO473" i="4"/>
  <c r="AM473" i="4"/>
  <c r="L473" i="4"/>
  <c r="V473" i="4" s="1"/>
  <c r="X473" i="4" s="1"/>
  <c r="AK473" i="4" s="1"/>
  <c r="BA472" i="4"/>
  <c r="AU472" i="4"/>
  <c r="AQ472" i="4"/>
  <c r="AR472" i="4" s="1"/>
  <c r="AO472" i="4"/>
  <c r="AM472" i="4"/>
  <c r="L472" i="4"/>
  <c r="V472" i="4" s="1"/>
  <c r="X472" i="4" s="1"/>
  <c r="AK472" i="4" s="1"/>
  <c r="BA470" i="4"/>
  <c r="AU470" i="4"/>
  <c r="AQ470" i="4"/>
  <c r="AR470" i="4" s="1"/>
  <c r="AO470" i="4"/>
  <c r="AM470" i="4"/>
  <c r="L470" i="4"/>
  <c r="V470" i="4" s="1"/>
  <c r="X470" i="4" s="1"/>
  <c r="BA469" i="4"/>
  <c r="AU469" i="4"/>
  <c r="AQ469" i="4"/>
  <c r="AR469" i="4" s="1"/>
  <c r="AO469" i="4"/>
  <c r="AM469" i="4"/>
  <c r="L469" i="4"/>
  <c r="V469" i="4" s="1"/>
  <c r="X469" i="4" s="1"/>
  <c r="AF469" i="4" s="1"/>
  <c r="BA468" i="4"/>
  <c r="AU468" i="4"/>
  <c r="AQ468" i="4"/>
  <c r="AR468" i="4" s="1"/>
  <c r="AO468" i="4"/>
  <c r="AM468" i="4"/>
  <c r="L468" i="4"/>
  <c r="V468" i="4" s="1"/>
  <c r="X468" i="4" s="1"/>
  <c r="BA467" i="4"/>
  <c r="AU467" i="4"/>
  <c r="AQ467" i="4"/>
  <c r="AR467" i="4" s="1"/>
  <c r="AO467" i="4"/>
  <c r="AM467" i="4"/>
  <c r="L467" i="4"/>
  <c r="V467" i="4" s="1"/>
  <c r="X467" i="4" s="1"/>
  <c r="AK467" i="4" s="1"/>
  <c r="BA466" i="4"/>
  <c r="AU466" i="4"/>
  <c r="AQ466" i="4"/>
  <c r="AR466" i="4" s="1"/>
  <c r="AO466" i="4"/>
  <c r="AM466" i="4"/>
  <c r="L466" i="4"/>
  <c r="V466" i="4" s="1"/>
  <c r="X466" i="4" s="1"/>
  <c r="BA465" i="4"/>
  <c r="AU465" i="4"/>
  <c r="AQ465" i="4"/>
  <c r="AR465" i="4" s="1"/>
  <c r="AO465" i="4"/>
  <c r="AM465" i="4"/>
  <c r="L465" i="4"/>
  <c r="V465" i="4" s="1"/>
  <c r="X465" i="4" s="1"/>
  <c r="AI465" i="4" s="1"/>
  <c r="BA464" i="4"/>
  <c r="AU464" i="4"/>
  <c r="AQ464" i="4"/>
  <c r="AR464" i="4" s="1"/>
  <c r="AO464" i="4"/>
  <c r="AM464" i="4"/>
  <c r="L464" i="4"/>
  <c r="V464" i="4" s="1"/>
  <c r="X464" i="4" s="1"/>
  <c r="AI464" i="4" s="1"/>
  <c r="BA463" i="4"/>
  <c r="AU463" i="4"/>
  <c r="AQ463" i="4"/>
  <c r="AR463" i="4" s="1"/>
  <c r="AO463" i="4"/>
  <c r="AM463" i="4"/>
  <c r="L463" i="4"/>
  <c r="V463" i="4" s="1"/>
  <c r="X463" i="4" s="1"/>
  <c r="BA462" i="4"/>
  <c r="AU462" i="4"/>
  <c r="AQ462" i="4"/>
  <c r="AR462" i="4" s="1"/>
  <c r="AO462" i="4"/>
  <c r="AM462" i="4"/>
  <c r="L462" i="4"/>
  <c r="V462" i="4" s="1"/>
  <c r="X462" i="4" s="1"/>
  <c r="AJ462" i="4" s="1"/>
  <c r="BA461" i="4"/>
  <c r="AU461" i="4"/>
  <c r="AQ461" i="4"/>
  <c r="AR461" i="4" s="1"/>
  <c r="AO461" i="4"/>
  <c r="AM461" i="4"/>
  <c r="L461" i="4"/>
  <c r="V461" i="4" s="1"/>
  <c r="X461" i="4" s="1"/>
  <c r="BA460" i="4"/>
  <c r="AU460" i="4"/>
  <c r="AQ460" i="4"/>
  <c r="AR460" i="4" s="1"/>
  <c r="AO460" i="4"/>
  <c r="AM460" i="4"/>
  <c r="L460" i="4"/>
  <c r="V460" i="4" s="1"/>
  <c r="X460" i="4" s="1"/>
  <c r="BA459" i="4"/>
  <c r="AU459" i="4"/>
  <c r="AQ459" i="4"/>
  <c r="AR459" i="4" s="1"/>
  <c r="AO459" i="4"/>
  <c r="AM459" i="4"/>
  <c r="L459" i="4"/>
  <c r="V459" i="4" s="1"/>
  <c r="X459" i="4" s="1"/>
  <c r="BA458" i="4"/>
  <c r="AU458" i="4"/>
  <c r="AQ458" i="4"/>
  <c r="AR458" i="4" s="1"/>
  <c r="AO458" i="4"/>
  <c r="AM458" i="4"/>
  <c r="L458" i="4"/>
  <c r="V458" i="4" s="1"/>
  <c r="X458" i="4" s="1"/>
  <c r="AJ458" i="4" s="1"/>
  <c r="BA457" i="4"/>
  <c r="AU457" i="4"/>
  <c r="AQ457" i="4"/>
  <c r="AR457" i="4" s="1"/>
  <c r="AO457" i="4"/>
  <c r="AM457" i="4"/>
  <c r="L457" i="4"/>
  <c r="V457" i="4" s="1"/>
  <c r="X457" i="4" s="1"/>
  <c r="BA456" i="4"/>
  <c r="AU456" i="4"/>
  <c r="AQ456" i="4"/>
  <c r="AR456" i="4" s="1"/>
  <c r="AO456" i="4"/>
  <c r="AM456" i="4"/>
  <c r="L456" i="4"/>
  <c r="V456" i="4" s="1"/>
  <c r="X456" i="4" s="1"/>
  <c r="BA455" i="4"/>
  <c r="AU455" i="4"/>
  <c r="AQ455" i="4"/>
  <c r="AR455" i="4" s="1"/>
  <c r="AO455" i="4"/>
  <c r="AM455" i="4"/>
  <c r="L455" i="4"/>
  <c r="V455" i="4" s="1"/>
  <c r="X455" i="4" s="1"/>
  <c r="BA454" i="4"/>
  <c r="AU454" i="4"/>
  <c r="AQ454" i="4"/>
  <c r="AR454" i="4" s="1"/>
  <c r="AO454" i="4"/>
  <c r="AM454" i="4"/>
  <c r="L454" i="4"/>
  <c r="V454" i="4" s="1"/>
  <c r="X454" i="4" s="1"/>
  <c r="AJ454" i="4" s="1"/>
  <c r="BA453" i="4"/>
  <c r="AU453" i="4"/>
  <c r="AQ453" i="4"/>
  <c r="AR453" i="4" s="1"/>
  <c r="AO453" i="4"/>
  <c r="AM453" i="4"/>
  <c r="L453" i="4"/>
  <c r="V453" i="4" s="1"/>
  <c r="X453" i="4" s="1"/>
  <c r="BA452" i="4"/>
  <c r="AU452" i="4"/>
  <c r="AQ452" i="4"/>
  <c r="AR452" i="4" s="1"/>
  <c r="AO452" i="4"/>
  <c r="AM452" i="4"/>
  <c r="L452" i="4"/>
  <c r="V452" i="4" s="1"/>
  <c r="X452" i="4" s="1"/>
  <c r="AJ452" i="4" s="1"/>
  <c r="BA451" i="4"/>
  <c r="AU451" i="4"/>
  <c r="AQ451" i="4"/>
  <c r="AR451" i="4" s="1"/>
  <c r="AO451" i="4"/>
  <c r="AM451" i="4"/>
  <c r="L451" i="4"/>
  <c r="V451" i="4" s="1"/>
  <c r="X451" i="4" s="1"/>
  <c r="BA450" i="4"/>
  <c r="AU450" i="4"/>
  <c r="AQ450" i="4"/>
  <c r="AR450" i="4" s="1"/>
  <c r="AO450" i="4"/>
  <c r="AM450" i="4"/>
  <c r="L450" i="4"/>
  <c r="V450" i="4" s="1"/>
  <c r="X450" i="4" s="1"/>
  <c r="AK450" i="4" s="1"/>
  <c r="BA449" i="4"/>
  <c r="AU449" i="4"/>
  <c r="AQ449" i="4"/>
  <c r="AR449" i="4" s="1"/>
  <c r="AO449" i="4"/>
  <c r="AM449" i="4"/>
  <c r="L449" i="4"/>
  <c r="V449" i="4" s="1"/>
  <c r="X449" i="4" s="1"/>
  <c r="AK449" i="4" s="1"/>
  <c r="BA448" i="4"/>
  <c r="AU448" i="4"/>
  <c r="AQ448" i="4"/>
  <c r="AR448" i="4" s="1"/>
  <c r="AO448" i="4"/>
  <c r="AM448" i="4"/>
  <c r="L448" i="4"/>
  <c r="V448" i="4" s="1"/>
  <c r="X448" i="4" s="1"/>
  <c r="AK448" i="4" s="1"/>
  <c r="BA447" i="4"/>
  <c r="AU447" i="4"/>
  <c r="AQ447" i="4"/>
  <c r="AR447" i="4" s="1"/>
  <c r="AO447" i="4"/>
  <c r="AM447" i="4"/>
  <c r="L447" i="4"/>
  <c r="V447" i="4" s="1"/>
  <c r="X447" i="4" s="1"/>
  <c r="AK447" i="4" s="1"/>
  <c r="BA446" i="4"/>
  <c r="AU446" i="4"/>
  <c r="AQ446" i="4"/>
  <c r="AR446" i="4" s="1"/>
  <c r="AO446" i="4"/>
  <c r="AM446" i="4"/>
  <c r="L446" i="4"/>
  <c r="V446" i="4" s="1"/>
  <c r="X446" i="4" s="1"/>
  <c r="AK446" i="4" s="1"/>
  <c r="BA445" i="4"/>
  <c r="AU445" i="4"/>
  <c r="AQ445" i="4"/>
  <c r="AR445" i="4" s="1"/>
  <c r="AO445" i="4"/>
  <c r="AM445" i="4"/>
  <c r="L445" i="4"/>
  <c r="V445" i="4" s="1"/>
  <c r="X445" i="4" s="1"/>
  <c r="AK445" i="4" s="1"/>
  <c r="BA444" i="4"/>
  <c r="AU444" i="4"/>
  <c r="AQ444" i="4"/>
  <c r="AR444" i="4" s="1"/>
  <c r="AO444" i="4"/>
  <c r="AM444" i="4"/>
  <c r="L444" i="4"/>
  <c r="V444" i="4" s="1"/>
  <c r="X444" i="4" s="1"/>
  <c r="AK444" i="4" s="1"/>
  <c r="BA443" i="4"/>
  <c r="AU443" i="4"/>
  <c r="AQ443" i="4"/>
  <c r="AR443" i="4" s="1"/>
  <c r="AO443" i="4"/>
  <c r="AM443" i="4"/>
  <c r="L443" i="4"/>
  <c r="V443" i="4" s="1"/>
  <c r="X443" i="4" s="1"/>
  <c r="AK443" i="4" s="1"/>
  <c r="BA442" i="4"/>
  <c r="AU442" i="4"/>
  <c r="AQ442" i="4"/>
  <c r="AR442" i="4" s="1"/>
  <c r="AO442" i="4"/>
  <c r="AM442" i="4"/>
  <c r="L442" i="4"/>
  <c r="V442" i="4" s="1"/>
  <c r="X442" i="4" s="1"/>
  <c r="AK442" i="4" s="1"/>
  <c r="BA441" i="4"/>
  <c r="AU441" i="4"/>
  <c r="AQ441" i="4"/>
  <c r="AR441" i="4" s="1"/>
  <c r="AO441" i="4"/>
  <c r="AM441" i="4"/>
  <c r="L441" i="4"/>
  <c r="V441" i="4" s="1"/>
  <c r="X441" i="4" s="1"/>
  <c r="AK441" i="4" s="1"/>
  <c r="BA440" i="4"/>
  <c r="AU440" i="4"/>
  <c r="AQ440" i="4"/>
  <c r="AR440" i="4" s="1"/>
  <c r="AO440" i="4"/>
  <c r="AM440" i="4"/>
  <c r="L440" i="4"/>
  <c r="V440" i="4" s="1"/>
  <c r="X440" i="4" s="1"/>
  <c r="AK440" i="4" s="1"/>
  <c r="BA439" i="4"/>
  <c r="AU439" i="4"/>
  <c r="AQ439" i="4"/>
  <c r="AR439" i="4" s="1"/>
  <c r="AO439" i="4"/>
  <c r="AM439" i="4"/>
  <c r="L439" i="4"/>
  <c r="V439" i="4" s="1"/>
  <c r="X439" i="4" s="1"/>
  <c r="AK439" i="4" s="1"/>
  <c r="BA438" i="4"/>
  <c r="AU438" i="4"/>
  <c r="AQ438" i="4"/>
  <c r="AR438" i="4" s="1"/>
  <c r="AO438" i="4"/>
  <c r="AM438" i="4"/>
  <c r="L438" i="4"/>
  <c r="V438" i="4" s="1"/>
  <c r="X438" i="4" s="1"/>
  <c r="BA437" i="4"/>
  <c r="AU437" i="4"/>
  <c r="AQ437" i="4"/>
  <c r="AR437" i="4" s="1"/>
  <c r="AO437" i="4"/>
  <c r="AM437" i="4"/>
  <c r="L437" i="4"/>
  <c r="V437" i="4" s="1"/>
  <c r="X437" i="4" s="1"/>
  <c r="BA436" i="4"/>
  <c r="AU436" i="4"/>
  <c r="AQ436" i="4"/>
  <c r="AR436" i="4" s="1"/>
  <c r="AO436" i="4"/>
  <c r="AM436" i="4"/>
  <c r="L436" i="4"/>
  <c r="V436" i="4" s="1"/>
  <c r="X436" i="4" s="1"/>
  <c r="AF436" i="4" s="1"/>
  <c r="BA435" i="4"/>
  <c r="AU435" i="4"/>
  <c r="AQ435" i="4"/>
  <c r="AR435" i="4" s="1"/>
  <c r="AO435" i="4"/>
  <c r="AM435" i="4"/>
  <c r="L435" i="4"/>
  <c r="V435" i="4" s="1"/>
  <c r="X435" i="4" s="1"/>
  <c r="BA434" i="4"/>
  <c r="AU434" i="4"/>
  <c r="AQ434" i="4"/>
  <c r="AR434" i="4" s="1"/>
  <c r="AO434" i="4"/>
  <c r="AM434" i="4"/>
  <c r="L434" i="4"/>
  <c r="V434" i="4" s="1"/>
  <c r="X434" i="4" s="1"/>
  <c r="AK434" i="4" s="1"/>
  <c r="BA433" i="4"/>
  <c r="AU433" i="4"/>
  <c r="AQ433" i="4"/>
  <c r="AR433" i="4" s="1"/>
  <c r="AO433" i="4"/>
  <c r="AM433" i="4"/>
  <c r="L433" i="4"/>
  <c r="V433" i="4" s="1"/>
  <c r="X433" i="4" s="1"/>
  <c r="BA432" i="4"/>
  <c r="AU432" i="4"/>
  <c r="AQ432" i="4"/>
  <c r="AR432" i="4" s="1"/>
  <c r="AO432" i="4"/>
  <c r="AM432" i="4"/>
  <c r="L432" i="4"/>
  <c r="V432" i="4" s="1"/>
  <c r="X432" i="4" s="1"/>
  <c r="BA431" i="4"/>
  <c r="AU431" i="4"/>
  <c r="AQ431" i="4"/>
  <c r="AR431" i="4" s="1"/>
  <c r="AO431" i="4"/>
  <c r="AM431" i="4"/>
  <c r="L431" i="4"/>
  <c r="V431" i="4" s="1"/>
  <c r="X431" i="4" s="1"/>
  <c r="BA430" i="4"/>
  <c r="AU430" i="4"/>
  <c r="AQ430" i="4"/>
  <c r="AR430" i="4" s="1"/>
  <c r="AO430" i="4"/>
  <c r="AM430" i="4"/>
  <c r="L430" i="4"/>
  <c r="V430" i="4" s="1"/>
  <c r="X430" i="4" s="1"/>
  <c r="BA429" i="4"/>
  <c r="AU429" i="4"/>
  <c r="AQ429" i="4"/>
  <c r="AR429" i="4" s="1"/>
  <c r="AO429" i="4"/>
  <c r="AM429" i="4"/>
  <c r="L429" i="4"/>
  <c r="V429" i="4" s="1"/>
  <c r="X429" i="4" s="1"/>
  <c r="BA428" i="4"/>
  <c r="AU428" i="4"/>
  <c r="AQ428" i="4"/>
  <c r="AR428" i="4" s="1"/>
  <c r="AO428" i="4"/>
  <c r="AM428" i="4"/>
  <c r="L428" i="4"/>
  <c r="V428" i="4" s="1"/>
  <c r="X428" i="4" s="1"/>
  <c r="BA426" i="4"/>
  <c r="AU426" i="4"/>
  <c r="AQ426" i="4"/>
  <c r="AR426" i="4" s="1"/>
  <c r="AO426" i="4"/>
  <c r="AM426" i="4"/>
  <c r="L426" i="4"/>
  <c r="V426" i="4" s="1"/>
  <c r="X426" i="4" s="1"/>
  <c r="BA425" i="4"/>
  <c r="AU425" i="4"/>
  <c r="AQ425" i="4"/>
  <c r="AR425" i="4" s="1"/>
  <c r="AO425" i="4"/>
  <c r="AM425" i="4"/>
  <c r="L425" i="4"/>
  <c r="V425" i="4" s="1"/>
  <c r="X425" i="4" s="1"/>
  <c r="BA424" i="4"/>
  <c r="AU424" i="4"/>
  <c r="AQ424" i="4"/>
  <c r="AR424" i="4" s="1"/>
  <c r="AO424" i="4"/>
  <c r="AM424" i="4"/>
  <c r="L424" i="4"/>
  <c r="V424" i="4" s="1"/>
  <c r="X424" i="4" s="1"/>
  <c r="BA423" i="4"/>
  <c r="AU423" i="4"/>
  <c r="AQ423" i="4"/>
  <c r="AR423" i="4" s="1"/>
  <c r="AO423" i="4"/>
  <c r="AM423" i="4"/>
  <c r="L423" i="4"/>
  <c r="V423" i="4" s="1"/>
  <c r="X423" i="4" s="1"/>
  <c r="AI423" i="4" s="1"/>
  <c r="BA422" i="4"/>
  <c r="AU422" i="4"/>
  <c r="AQ422" i="4"/>
  <c r="AR422" i="4" s="1"/>
  <c r="AO422" i="4"/>
  <c r="AM422" i="4"/>
  <c r="L422" i="4"/>
  <c r="V422" i="4" s="1"/>
  <c r="X422" i="4" s="1"/>
  <c r="AK422" i="4" s="1"/>
  <c r="BA421" i="4"/>
  <c r="AU421" i="4"/>
  <c r="AQ421" i="4"/>
  <c r="AR421" i="4" s="1"/>
  <c r="AO421" i="4"/>
  <c r="AM421" i="4"/>
  <c r="L421" i="4"/>
  <c r="V421" i="4" s="1"/>
  <c r="X421" i="4" s="1"/>
  <c r="AI421" i="4" s="1"/>
  <c r="BA420" i="4"/>
  <c r="AU420" i="4"/>
  <c r="AQ420" i="4"/>
  <c r="AR420" i="4" s="1"/>
  <c r="AO420" i="4"/>
  <c r="AM420" i="4"/>
  <c r="L420" i="4"/>
  <c r="V420" i="4" s="1"/>
  <c r="X420" i="4" s="1"/>
  <c r="AK420" i="4" s="1"/>
  <c r="BA419" i="4"/>
  <c r="AU419" i="4"/>
  <c r="AQ419" i="4"/>
  <c r="AR419" i="4" s="1"/>
  <c r="AO419" i="4"/>
  <c r="AM419" i="4"/>
  <c r="L419" i="4"/>
  <c r="V419" i="4" s="1"/>
  <c r="X419" i="4" s="1"/>
  <c r="AI419" i="4" s="1"/>
  <c r="BA418" i="4"/>
  <c r="AU418" i="4"/>
  <c r="AQ418" i="4"/>
  <c r="AR418" i="4" s="1"/>
  <c r="AO418" i="4"/>
  <c r="AM418" i="4"/>
  <c r="L418" i="4"/>
  <c r="V418" i="4" s="1"/>
  <c r="X418" i="4" s="1"/>
  <c r="BA417" i="4"/>
  <c r="AU417" i="4"/>
  <c r="AQ417" i="4"/>
  <c r="AR417" i="4" s="1"/>
  <c r="AO417" i="4"/>
  <c r="AM417" i="4"/>
  <c r="L417" i="4"/>
  <c r="V417" i="4" s="1"/>
  <c r="X417" i="4" s="1"/>
  <c r="BA416" i="4"/>
  <c r="AU416" i="4"/>
  <c r="AQ416" i="4"/>
  <c r="AR416" i="4" s="1"/>
  <c r="AO416" i="4"/>
  <c r="AM416" i="4"/>
  <c r="L416" i="4"/>
  <c r="V416" i="4" s="1"/>
  <c r="X416" i="4" s="1"/>
  <c r="AK416" i="4" s="1"/>
  <c r="BA415" i="4"/>
  <c r="AU415" i="4"/>
  <c r="AQ415" i="4"/>
  <c r="AR415" i="4" s="1"/>
  <c r="AO415" i="4"/>
  <c r="AM415" i="4"/>
  <c r="L415" i="4"/>
  <c r="V415" i="4" s="1"/>
  <c r="X415" i="4" s="1"/>
  <c r="AI415" i="4" s="1"/>
  <c r="BA414" i="4"/>
  <c r="AU414" i="4"/>
  <c r="AQ414" i="4"/>
  <c r="AR414" i="4" s="1"/>
  <c r="AO414" i="4"/>
  <c r="AM414" i="4"/>
  <c r="L414" i="4"/>
  <c r="V414" i="4" s="1"/>
  <c r="X414" i="4" s="1"/>
  <c r="BA413" i="4"/>
  <c r="AU413" i="4"/>
  <c r="AQ413" i="4"/>
  <c r="AR413" i="4" s="1"/>
  <c r="AO413" i="4"/>
  <c r="AM413" i="4"/>
  <c r="L413" i="4"/>
  <c r="V413" i="4" s="1"/>
  <c r="X413" i="4" s="1"/>
  <c r="BA412" i="4"/>
  <c r="AU412" i="4"/>
  <c r="AQ412" i="4"/>
  <c r="AR412" i="4" s="1"/>
  <c r="AO412" i="4"/>
  <c r="AM412" i="4"/>
  <c r="L412" i="4"/>
  <c r="V412" i="4" s="1"/>
  <c r="X412" i="4" s="1"/>
  <c r="AK412" i="4" s="1"/>
  <c r="BA411" i="4"/>
  <c r="AU411" i="4"/>
  <c r="AQ411" i="4"/>
  <c r="AR411" i="4" s="1"/>
  <c r="AO411" i="4"/>
  <c r="AM411" i="4"/>
  <c r="L411" i="4"/>
  <c r="V411" i="4" s="1"/>
  <c r="X411" i="4" s="1"/>
  <c r="AI411" i="4" s="1"/>
  <c r="BA410" i="4"/>
  <c r="AU410" i="4"/>
  <c r="AQ410" i="4"/>
  <c r="AR410" i="4" s="1"/>
  <c r="AO410" i="4"/>
  <c r="AM410" i="4"/>
  <c r="L410" i="4"/>
  <c r="V410" i="4" s="1"/>
  <c r="X410" i="4" s="1"/>
  <c r="BA409" i="4"/>
  <c r="AU409" i="4"/>
  <c r="AQ409" i="4"/>
  <c r="AR409" i="4" s="1"/>
  <c r="AO409" i="4"/>
  <c r="AM409" i="4"/>
  <c r="L409" i="4"/>
  <c r="V409" i="4" s="1"/>
  <c r="X409" i="4" s="1"/>
  <c r="AJ409" i="4" s="1"/>
  <c r="BA408" i="4"/>
  <c r="AU408" i="4"/>
  <c r="AQ408" i="4"/>
  <c r="AR408" i="4" s="1"/>
  <c r="AO408" i="4"/>
  <c r="AM408" i="4"/>
  <c r="L408" i="4"/>
  <c r="V408" i="4" s="1"/>
  <c r="X408" i="4" s="1"/>
  <c r="BA407" i="4"/>
  <c r="AU407" i="4"/>
  <c r="AQ407" i="4"/>
  <c r="AR407" i="4" s="1"/>
  <c r="AO407" i="4"/>
  <c r="AM407" i="4"/>
  <c r="L407" i="4"/>
  <c r="V407" i="4" s="1"/>
  <c r="X407" i="4" s="1"/>
  <c r="AJ407" i="4" s="1"/>
  <c r="BA406" i="4"/>
  <c r="AU406" i="4"/>
  <c r="AQ406" i="4"/>
  <c r="AR406" i="4" s="1"/>
  <c r="AO406" i="4"/>
  <c r="AM406" i="4"/>
  <c r="L406" i="4"/>
  <c r="V406" i="4" s="1"/>
  <c r="X406" i="4" s="1"/>
  <c r="BA405" i="4"/>
  <c r="AU405" i="4"/>
  <c r="AQ405" i="4"/>
  <c r="AR405" i="4" s="1"/>
  <c r="AO405" i="4"/>
  <c r="AM405" i="4"/>
  <c r="L405" i="4"/>
  <c r="V405" i="4" s="1"/>
  <c r="X405" i="4" s="1"/>
  <c r="AJ405" i="4" s="1"/>
  <c r="BA404" i="4"/>
  <c r="AU404" i="4"/>
  <c r="AQ404" i="4"/>
  <c r="AR404" i="4" s="1"/>
  <c r="AO404" i="4"/>
  <c r="AM404" i="4"/>
  <c r="L404" i="4"/>
  <c r="V404" i="4" s="1"/>
  <c r="X404" i="4" s="1"/>
  <c r="BA403" i="4"/>
  <c r="AU403" i="4"/>
  <c r="AQ403" i="4"/>
  <c r="AR403" i="4" s="1"/>
  <c r="AO403" i="4"/>
  <c r="AM403" i="4"/>
  <c r="L403" i="4"/>
  <c r="V403" i="4" s="1"/>
  <c r="X403" i="4" s="1"/>
  <c r="AJ403" i="4" s="1"/>
  <c r="BA402" i="4"/>
  <c r="AU402" i="4"/>
  <c r="AQ402" i="4"/>
  <c r="AR402" i="4" s="1"/>
  <c r="AO402" i="4"/>
  <c r="AM402" i="4"/>
  <c r="L402" i="4"/>
  <c r="V402" i="4" s="1"/>
  <c r="X402" i="4" s="1"/>
  <c r="BA401" i="4"/>
  <c r="AU401" i="4"/>
  <c r="AQ401" i="4"/>
  <c r="AR401" i="4" s="1"/>
  <c r="AO401" i="4"/>
  <c r="AM401" i="4"/>
  <c r="L401" i="4"/>
  <c r="V401" i="4" s="1"/>
  <c r="X401" i="4" s="1"/>
  <c r="AJ401" i="4" s="1"/>
  <c r="BA400" i="4"/>
  <c r="AU400" i="4"/>
  <c r="AQ400" i="4"/>
  <c r="AR400" i="4" s="1"/>
  <c r="AO400" i="4"/>
  <c r="AM400" i="4"/>
  <c r="L400" i="4"/>
  <c r="V400" i="4" s="1"/>
  <c r="X400" i="4" s="1"/>
  <c r="BA399" i="4"/>
  <c r="AU399" i="4"/>
  <c r="AQ399" i="4"/>
  <c r="AR399" i="4" s="1"/>
  <c r="AO399" i="4"/>
  <c r="AM399" i="4"/>
  <c r="L399" i="4"/>
  <c r="V399" i="4" s="1"/>
  <c r="X399" i="4" s="1"/>
  <c r="AJ399" i="4" s="1"/>
  <c r="BA398" i="4"/>
  <c r="AU398" i="4"/>
  <c r="AQ398" i="4"/>
  <c r="AR398" i="4" s="1"/>
  <c r="AO398" i="4"/>
  <c r="AM398" i="4"/>
  <c r="L398" i="4"/>
  <c r="V398" i="4" s="1"/>
  <c r="X398" i="4" s="1"/>
  <c r="BA397" i="4"/>
  <c r="AU397" i="4"/>
  <c r="AQ397" i="4"/>
  <c r="AR397" i="4" s="1"/>
  <c r="AO397" i="4"/>
  <c r="AM397" i="4"/>
  <c r="L397" i="4"/>
  <c r="V397" i="4" s="1"/>
  <c r="X397" i="4" s="1"/>
  <c r="AJ397" i="4" s="1"/>
  <c r="BA396" i="4"/>
  <c r="AU396" i="4"/>
  <c r="AQ396" i="4"/>
  <c r="AR396" i="4" s="1"/>
  <c r="AO396" i="4"/>
  <c r="AM396" i="4"/>
  <c r="L396" i="4"/>
  <c r="V396" i="4" s="1"/>
  <c r="X396" i="4" s="1"/>
  <c r="BA395" i="4"/>
  <c r="AU395" i="4"/>
  <c r="AQ395" i="4"/>
  <c r="AR395" i="4" s="1"/>
  <c r="AO395" i="4"/>
  <c r="AM395" i="4"/>
  <c r="L395" i="4"/>
  <c r="V395" i="4" s="1"/>
  <c r="X395" i="4" s="1"/>
  <c r="AJ395" i="4" s="1"/>
  <c r="BA394" i="4"/>
  <c r="AU394" i="4"/>
  <c r="AQ394" i="4"/>
  <c r="AR394" i="4" s="1"/>
  <c r="AO394" i="4"/>
  <c r="AM394" i="4"/>
  <c r="L394" i="4"/>
  <c r="V394" i="4" s="1"/>
  <c r="X394" i="4" s="1"/>
  <c r="BA393" i="4"/>
  <c r="AU393" i="4"/>
  <c r="AQ393" i="4"/>
  <c r="AR393" i="4" s="1"/>
  <c r="AO393" i="4"/>
  <c r="AM393" i="4"/>
  <c r="L393" i="4"/>
  <c r="V393" i="4" s="1"/>
  <c r="X393" i="4" s="1"/>
  <c r="AJ393" i="4" s="1"/>
  <c r="BA392" i="4"/>
  <c r="AU392" i="4"/>
  <c r="AQ392" i="4"/>
  <c r="AR392" i="4" s="1"/>
  <c r="AO392" i="4"/>
  <c r="AM392" i="4"/>
  <c r="L392" i="4"/>
  <c r="V392" i="4" s="1"/>
  <c r="X392" i="4" s="1"/>
  <c r="BA391" i="4"/>
  <c r="AU391" i="4"/>
  <c r="AQ391" i="4"/>
  <c r="AR391" i="4" s="1"/>
  <c r="AO391" i="4"/>
  <c r="AM391" i="4"/>
  <c r="L391" i="4"/>
  <c r="V391" i="4" s="1"/>
  <c r="X391" i="4" s="1"/>
  <c r="AJ391" i="4" s="1"/>
  <c r="BA390" i="4"/>
  <c r="AU390" i="4"/>
  <c r="AQ390" i="4"/>
  <c r="AR390" i="4" s="1"/>
  <c r="AO390" i="4"/>
  <c r="AM390" i="4"/>
  <c r="L390" i="4"/>
  <c r="V390" i="4" s="1"/>
  <c r="X390" i="4" s="1"/>
  <c r="BA389" i="4"/>
  <c r="AU389" i="4"/>
  <c r="AQ389" i="4"/>
  <c r="AR389" i="4" s="1"/>
  <c r="AO389" i="4"/>
  <c r="AM389" i="4"/>
  <c r="L389" i="4"/>
  <c r="V389" i="4" s="1"/>
  <c r="X389" i="4" s="1"/>
  <c r="BA388" i="4"/>
  <c r="AU388" i="4"/>
  <c r="AQ388" i="4"/>
  <c r="AR388" i="4" s="1"/>
  <c r="AO388" i="4"/>
  <c r="AM388" i="4"/>
  <c r="L388" i="4"/>
  <c r="V388" i="4" s="1"/>
  <c r="X388" i="4" s="1"/>
  <c r="BA387" i="4"/>
  <c r="AU387" i="4"/>
  <c r="AQ387" i="4"/>
  <c r="AR387" i="4" s="1"/>
  <c r="AO387" i="4"/>
  <c r="AM387" i="4"/>
  <c r="L387" i="4"/>
  <c r="V387" i="4" s="1"/>
  <c r="X387" i="4" s="1"/>
  <c r="AK387" i="4" s="1"/>
  <c r="BA386" i="4"/>
  <c r="AU386" i="4"/>
  <c r="AQ386" i="4"/>
  <c r="AR386" i="4" s="1"/>
  <c r="AO386" i="4"/>
  <c r="AM386" i="4"/>
  <c r="L386" i="4"/>
  <c r="V386" i="4" s="1"/>
  <c r="X386" i="4" s="1"/>
  <c r="AI386" i="4" s="1"/>
  <c r="BA385" i="4"/>
  <c r="AU385" i="4"/>
  <c r="AQ385" i="4"/>
  <c r="AR385" i="4" s="1"/>
  <c r="AO385" i="4"/>
  <c r="AM385" i="4"/>
  <c r="L385" i="4"/>
  <c r="V385" i="4" s="1"/>
  <c r="X385" i="4" s="1"/>
  <c r="BA384" i="4"/>
  <c r="AU384" i="4"/>
  <c r="AQ384" i="4"/>
  <c r="AR384" i="4" s="1"/>
  <c r="AO384" i="4"/>
  <c r="AM384" i="4"/>
  <c r="L384" i="4"/>
  <c r="V384" i="4" s="1"/>
  <c r="X384" i="4" s="1"/>
  <c r="BA383" i="4"/>
  <c r="AU383" i="4"/>
  <c r="AQ383" i="4"/>
  <c r="AR383" i="4" s="1"/>
  <c r="AO383" i="4"/>
  <c r="AM383" i="4"/>
  <c r="L383" i="4"/>
  <c r="V383" i="4" s="1"/>
  <c r="X383" i="4" s="1"/>
  <c r="AK383" i="4" s="1"/>
  <c r="BA382" i="4"/>
  <c r="AU382" i="4"/>
  <c r="AQ382" i="4"/>
  <c r="AR382" i="4" s="1"/>
  <c r="AO382" i="4"/>
  <c r="AM382" i="4"/>
  <c r="L382" i="4"/>
  <c r="V382" i="4" s="1"/>
  <c r="X382" i="4" s="1"/>
  <c r="BA381" i="4"/>
  <c r="AU381" i="4"/>
  <c r="AQ381" i="4"/>
  <c r="AR381" i="4" s="1"/>
  <c r="AO381" i="4"/>
  <c r="AM381" i="4"/>
  <c r="L381" i="4"/>
  <c r="V381" i="4" s="1"/>
  <c r="X381" i="4" s="1"/>
  <c r="BA380" i="4"/>
  <c r="AU380" i="4"/>
  <c r="AQ380" i="4"/>
  <c r="AR380" i="4" s="1"/>
  <c r="AO380" i="4"/>
  <c r="AM380" i="4"/>
  <c r="L380" i="4"/>
  <c r="V380" i="4" s="1"/>
  <c r="X380" i="4" s="1"/>
  <c r="BA379" i="4"/>
  <c r="AU379" i="4"/>
  <c r="AQ379" i="4"/>
  <c r="AR379" i="4" s="1"/>
  <c r="AO379" i="4"/>
  <c r="AM379" i="4"/>
  <c r="L379" i="4"/>
  <c r="V379" i="4" s="1"/>
  <c r="X379" i="4" s="1"/>
  <c r="AK379" i="4" s="1"/>
  <c r="BA378" i="4"/>
  <c r="AU378" i="4"/>
  <c r="AQ378" i="4"/>
  <c r="AR378" i="4" s="1"/>
  <c r="AO378" i="4"/>
  <c r="AM378" i="4"/>
  <c r="L378" i="4"/>
  <c r="V378" i="4" s="1"/>
  <c r="X378" i="4" s="1"/>
  <c r="AI378" i="4" s="1"/>
  <c r="BA377" i="4"/>
  <c r="AU377" i="4"/>
  <c r="AQ377" i="4"/>
  <c r="AR377" i="4" s="1"/>
  <c r="AO377" i="4"/>
  <c r="AM377" i="4"/>
  <c r="L377" i="4"/>
  <c r="V377" i="4" s="1"/>
  <c r="X377" i="4" s="1"/>
  <c r="BA376" i="4"/>
  <c r="AU376" i="4"/>
  <c r="AQ376" i="4"/>
  <c r="AR376" i="4" s="1"/>
  <c r="AO376" i="4"/>
  <c r="AM376" i="4"/>
  <c r="L376" i="4"/>
  <c r="V376" i="4" s="1"/>
  <c r="X376" i="4" s="1"/>
  <c r="BA375" i="4"/>
  <c r="AU375" i="4"/>
  <c r="AQ375" i="4"/>
  <c r="AR375" i="4" s="1"/>
  <c r="AO375" i="4"/>
  <c r="AM375" i="4"/>
  <c r="L375" i="4"/>
  <c r="V375" i="4" s="1"/>
  <c r="X375" i="4" s="1"/>
  <c r="AK375" i="4" s="1"/>
  <c r="BA374" i="4"/>
  <c r="AU374" i="4"/>
  <c r="AQ374" i="4"/>
  <c r="AR374" i="4" s="1"/>
  <c r="AO374" i="4"/>
  <c r="AM374" i="4"/>
  <c r="L374" i="4"/>
  <c r="V374" i="4" s="1"/>
  <c r="X374" i="4" s="1"/>
  <c r="BA373" i="4"/>
  <c r="AU373" i="4"/>
  <c r="AQ373" i="4"/>
  <c r="AR373" i="4" s="1"/>
  <c r="AO373" i="4"/>
  <c r="AM373" i="4"/>
  <c r="L373" i="4"/>
  <c r="V373" i="4" s="1"/>
  <c r="X373" i="4" s="1"/>
  <c r="BA372" i="4"/>
  <c r="AU372" i="4"/>
  <c r="AQ372" i="4"/>
  <c r="AR372" i="4" s="1"/>
  <c r="AO372" i="4"/>
  <c r="AM372" i="4"/>
  <c r="L372" i="4"/>
  <c r="V372" i="4" s="1"/>
  <c r="X372" i="4" s="1"/>
  <c r="BA371" i="4"/>
  <c r="AU371" i="4"/>
  <c r="AQ371" i="4"/>
  <c r="AR371" i="4" s="1"/>
  <c r="AO371" i="4"/>
  <c r="AM371" i="4"/>
  <c r="L371" i="4"/>
  <c r="V371" i="4" s="1"/>
  <c r="X371" i="4" s="1"/>
  <c r="AK371" i="4" s="1"/>
  <c r="BA370" i="4"/>
  <c r="AU370" i="4"/>
  <c r="AQ370" i="4"/>
  <c r="AR370" i="4" s="1"/>
  <c r="AO370" i="4"/>
  <c r="AM370" i="4"/>
  <c r="L370" i="4"/>
  <c r="V370" i="4" s="1"/>
  <c r="X370" i="4" s="1"/>
  <c r="AI370" i="4" s="1"/>
  <c r="BA369" i="4"/>
  <c r="AU369" i="4"/>
  <c r="AQ369" i="4"/>
  <c r="AR369" i="4" s="1"/>
  <c r="AO369" i="4"/>
  <c r="AM369" i="4"/>
  <c r="L369" i="4"/>
  <c r="V369" i="4" s="1"/>
  <c r="X369" i="4" s="1"/>
  <c r="BA368" i="4"/>
  <c r="AU368" i="4"/>
  <c r="AQ368" i="4"/>
  <c r="AR368" i="4" s="1"/>
  <c r="AO368" i="4"/>
  <c r="AM368" i="4"/>
  <c r="L368" i="4"/>
  <c r="V368" i="4" s="1"/>
  <c r="X368" i="4" s="1"/>
  <c r="BA367" i="4"/>
  <c r="AU367" i="4"/>
  <c r="AQ367" i="4"/>
  <c r="AR367" i="4" s="1"/>
  <c r="AO367" i="4"/>
  <c r="AM367" i="4"/>
  <c r="L367" i="4"/>
  <c r="V367" i="4" s="1"/>
  <c r="X367" i="4" s="1"/>
  <c r="AK367" i="4" s="1"/>
  <c r="BA366" i="4"/>
  <c r="AU366" i="4"/>
  <c r="AQ366" i="4"/>
  <c r="AR366" i="4" s="1"/>
  <c r="AO366" i="4"/>
  <c r="AM366" i="4"/>
  <c r="L366" i="4"/>
  <c r="V366" i="4" s="1"/>
  <c r="X366" i="4" s="1"/>
  <c r="BA365" i="4"/>
  <c r="AU365" i="4"/>
  <c r="AQ365" i="4"/>
  <c r="AR365" i="4" s="1"/>
  <c r="AO365" i="4"/>
  <c r="AM365" i="4"/>
  <c r="L365" i="4"/>
  <c r="V365" i="4" s="1"/>
  <c r="X365" i="4" s="1"/>
  <c r="BA364" i="4"/>
  <c r="AU364" i="4"/>
  <c r="AQ364" i="4"/>
  <c r="AR364" i="4" s="1"/>
  <c r="AO364" i="4"/>
  <c r="AM364" i="4"/>
  <c r="L364" i="4"/>
  <c r="V364" i="4" s="1"/>
  <c r="X364" i="4" s="1"/>
  <c r="BA363" i="4"/>
  <c r="AU363" i="4"/>
  <c r="AQ363" i="4"/>
  <c r="AR363" i="4" s="1"/>
  <c r="AO363" i="4"/>
  <c r="AM363" i="4"/>
  <c r="L363" i="4"/>
  <c r="V363" i="4" s="1"/>
  <c r="X363" i="4" s="1"/>
  <c r="AK363" i="4" s="1"/>
  <c r="BA362" i="4"/>
  <c r="AU362" i="4"/>
  <c r="AQ362" i="4"/>
  <c r="AR362" i="4" s="1"/>
  <c r="AO362" i="4"/>
  <c r="AM362" i="4"/>
  <c r="L362" i="4"/>
  <c r="V362" i="4" s="1"/>
  <c r="X362" i="4" s="1"/>
  <c r="AI362" i="4" s="1"/>
  <c r="BA361" i="4"/>
  <c r="AU361" i="4"/>
  <c r="AQ361" i="4"/>
  <c r="AR361" i="4" s="1"/>
  <c r="AO361" i="4"/>
  <c r="AM361" i="4"/>
  <c r="L361" i="4"/>
  <c r="V361" i="4" s="1"/>
  <c r="X361" i="4" s="1"/>
  <c r="K361" i="4"/>
  <c r="I361" i="4"/>
  <c r="BA360" i="4"/>
  <c r="AU360" i="4"/>
  <c r="AQ360" i="4"/>
  <c r="AR360" i="4" s="1"/>
  <c r="AO360" i="4"/>
  <c r="AM360" i="4"/>
  <c r="L360" i="4"/>
  <c r="V360" i="4" s="1"/>
  <c r="X360" i="4" s="1"/>
  <c r="BA359" i="4"/>
  <c r="AU359" i="4"/>
  <c r="AQ359" i="4"/>
  <c r="AR359" i="4" s="1"/>
  <c r="AO359" i="4"/>
  <c r="AM359" i="4"/>
  <c r="L359" i="4"/>
  <c r="V359" i="4" s="1"/>
  <c r="X359" i="4" s="1"/>
  <c r="BA358" i="4"/>
  <c r="AU358" i="4"/>
  <c r="AQ358" i="4"/>
  <c r="AR358" i="4" s="1"/>
  <c r="AO358" i="4"/>
  <c r="AM358" i="4"/>
  <c r="L358" i="4"/>
  <c r="V358" i="4" s="1"/>
  <c r="X358" i="4" s="1"/>
  <c r="BA357" i="4"/>
  <c r="AU357" i="4"/>
  <c r="AQ357" i="4"/>
  <c r="AR357" i="4" s="1"/>
  <c r="AO357" i="4"/>
  <c r="AM357" i="4"/>
  <c r="L357" i="4"/>
  <c r="V357" i="4" s="1"/>
  <c r="X357" i="4" s="1"/>
  <c r="BA356" i="4"/>
  <c r="AU356" i="4"/>
  <c r="AQ356" i="4"/>
  <c r="AR356" i="4" s="1"/>
  <c r="AO356" i="4"/>
  <c r="AM356" i="4"/>
  <c r="L356" i="4"/>
  <c r="V356" i="4" s="1"/>
  <c r="X356" i="4" s="1"/>
  <c r="AJ356" i="4" s="1"/>
  <c r="BA355" i="4"/>
  <c r="AU355" i="4"/>
  <c r="AQ355" i="4"/>
  <c r="AR355" i="4" s="1"/>
  <c r="AO355" i="4"/>
  <c r="AM355" i="4"/>
  <c r="L355" i="4"/>
  <c r="V355" i="4" s="1"/>
  <c r="X355" i="4" s="1"/>
  <c r="BA354" i="4"/>
  <c r="AU354" i="4"/>
  <c r="AQ354" i="4"/>
  <c r="AR354" i="4" s="1"/>
  <c r="AO354" i="4"/>
  <c r="AM354" i="4"/>
  <c r="L354" i="4"/>
  <c r="V354" i="4" s="1"/>
  <c r="X354" i="4" s="1"/>
  <c r="BA353" i="4"/>
  <c r="AU353" i="4"/>
  <c r="AQ353" i="4"/>
  <c r="AR353" i="4" s="1"/>
  <c r="AO353" i="4"/>
  <c r="AM353" i="4"/>
  <c r="L353" i="4"/>
  <c r="V353" i="4" s="1"/>
  <c r="X353" i="4" s="1"/>
  <c r="BA352" i="4"/>
  <c r="AU352" i="4"/>
  <c r="AQ352" i="4"/>
  <c r="AR352" i="4" s="1"/>
  <c r="AO352" i="4"/>
  <c r="AM352" i="4"/>
  <c r="L352" i="4"/>
  <c r="V352" i="4" s="1"/>
  <c r="X352" i="4" s="1"/>
  <c r="AJ352" i="4" s="1"/>
  <c r="BA351" i="4"/>
  <c r="AU351" i="4"/>
  <c r="AQ351" i="4"/>
  <c r="AR351" i="4" s="1"/>
  <c r="AO351" i="4"/>
  <c r="AM351" i="4"/>
  <c r="L351" i="4"/>
  <c r="V351" i="4" s="1"/>
  <c r="X351" i="4" s="1"/>
  <c r="BA350" i="4"/>
  <c r="AU350" i="4"/>
  <c r="AQ350" i="4"/>
  <c r="AR350" i="4" s="1"/>
  <c r="AO350" i="4"/>
  <c r="AM350" i="4"/>
  <c r="L350" i="4"/>
  <c r="V350" i="4" s="1"/>
  <c r="X350" i="4" s="1"/>
  <c r="BA349" i="4"/>
  <c r="AU349" i="4"/>
  <c r="AQ349" i="4"/>
  <c r="AR349" i="4" s="1"/>
  <c r="AO349" i="4"/>
  <c r="AM349" i="4"/>
  <c r="L349" i="4"/>
  <c r="V349" i="4" s="1"/>
  <c r="X349" i="4" s="1"/>
  <c r="BA348" i="4"/>
  <c r="AU348" i="4"/>
  <c r="AQ348" i="4"/>
  <c r="AR348" i="4" s="1"/>
  <c r="AO348" i="4"/>
  <c r="AM348" i="4"/>
  <c r="L348" i="4"/>
  <c r="V348" i="4" s="1"/>
  <c r="X348" i="4" s="1"/>
  <c r="AJ348" i="4" s="1"/>
  <c r="BA347" i="4"/>
  <c r="AU347" i="4"/>
  <c r="AQ347" i="4"/>
  <c r="AR347" i="4" s="1"/>
  <c r="AO347" i="4"/>
  <c r="AM347" i="4"/>
  <c r="L347" i="4"/>
  <c r="V347" i="4" s="1"/>
  <c r="X347" i="4" s="1"/>
  <c r="BA346" i="4"/>
  <c r="AU346" i="4"/>
  <c r="AQ346" i="4"/>
  <c r="AR346" i="4" s="1"/>
  <c r="AO346" i="4"/>
  <c r="AM346" i="4"/>
  <c r="L346" i="4"/>
  <c r="V346" i="4" s="1"/>
  <c r="X346" i="4" s="1"/>
  <c r="BA345" i="4"/>
  <c r="AU345" i="4"/>
  <c r="AQ345" i="4"/>
  <c r="AR345" i="4" s="1"/>
  <c r="AO345" i="4"/>
  <c r="AM345" i="4"/>
  <c r="L345" i="4"/>
  <c r="V345" i="4" s="1"/>
  <c r="X345" i="4" s="1"/>
  <c r="BA344" i="4"/>
  <c r="AU344" i="4"/>
  <c r="AQ344" i="4"/>
  <c r="AR344" i="4" s="1"/>
  <c r="AO344" i="4"/>
  <c r="AM344" i="4"/>
  <c r="L344" i="4"/>
  <c r="V344" i="4" s="1"/>
  <c r="X344" i="4" s="1"/>
  <c r="AJ344" i="4" s="1"/>
  <c r="BA343" i="4"/>
  <c r="AU343" i="4"/>
  <c r="AQ343" i="4"/>
  <c r="AR343" i="4" s="1"/>
  <c r="AO343" i="4"/>
  <c r="AM343" i="4"/>
  <c r="L343" i="4"/>
  <c r="V343" i="4" s="1"/>
  <c r="X343" i="4" s="1"/>
  <c r="AJ343" i="4" s="1"/>
  <c r="BA342" i="4"/>
  <c r="AU342" i="4"/>
  <c r="AQ342" i="4"/>
  <c r="AR342" i="4" s="1"/>
  <c r="AO342" i="4"/>
  <c r="AM342" i="4"/>
  <c r="L342" i="4"/>
  <c r="V342" i="4" s="1"/>
  <c r="X342" i="4" s="1"/>
  <c r="BA341" i="4"/>
  <c r="AU341" i="4"/>
  <c r="AQ341" i="4"/>
  <c r="AR341" i="4" s="1"/>
  <c r="AO341" i="4"/>
  <c r="AM341" i="4"/>
  <c r="L341" i="4"/>
  <c r="V341" i="4" s="1"/>
  <c r="X341" i="4" s="1"/>
  <c r="AF341" i="4" s="1"/>
  <c r="BA340" i="4"/>
  <c r="AU340" i="4"/>
  <c r="AQ340" i="4"/>
  <c r="AR340" i="4" s="1"/>
  <c r="AO340" i="4"/>
  <c r="AM340" i="4"/>
  <c r="L340" i="4"/>
  <c r="V340" i="4" s="1"/>
  <c r="X340" i="4" s="1"/>
  <c r="AJ340" i="4" s="1"/>
  <c r="BA339" i="4"/>
  <c r="AU339" i="4"/>
  <c r="AQ339" i="4"/>
  <c r="AR339" i="4" s="1"/>
  <c r="AO339" i="4"/>
  <c r="AM339" i="4"/>
  <c r="L339" i="4"/>
  <c r="V339" i="4" s="1"/>
  <c r="X339" i="4" s="1"/>
  <c r="BA338" i="4"/>
  <c r="AU338" i="4"/>
  <c r="AQ338" i="4"/>
  <c r="AR338" i="4" s="1"/>
  <c r="AO338" i="4"/>
  <c r="AM338" i="4"/>
  <c r="L338" i="4"/>
  <c r="V338" i="4" s="1"/>
  <c r="X338" i="4" s="1"/>
  <c r="AI338" i="4" s="1"/>
  <c r="K338" i="4"/>
  <c r="I338" i="4"/>
  <c r="BA337" i="4"/>
  <c r="AU337" i="4"/>
  <c r="AQ337" i="4"/>
  <c r="AR337" i="4" s="1"/>
  <c r="AO337" i="4"/>
  <c r="AM337" i="4"/>
  <c r="L337" i="4"/>
  <c r="V337" i="4" s="1"/>
  <c r="X337" i="4" s="1"/>
  <c r="BA336" i="4"/>
  <c r="AU336" i="4"/>
  <c r="AQ336" i="4"/>
  <c r="AR336" i="4" s="1"/>
  <c r="AO336" i="4"/>
  <c r="AM336" i="4"/>
  <c r="L336" i="4"/>
  <c r="V336" i="4" s="1"/>
  <c r="X336" i="4" s="1"/>
  <c r="AK336" i="4" s="1"/>
  <c r="K336" i="4"/>
  <c r="I336" i="4"/>
  <c r="BA335" i="4"/>
  <c r="AU335" i="4"/>
  <c r="AQ335" i="4"/>
  <c r="AR335" i="4" s="1"/>
  <c r="AO335" i="4"/>
  <c r="AM335" i="4"/>
  <c r="L335" i="4"/>
  <c r="V335" i="4" s="1"/>
  <c r="X335" i="4" s="1"/>
  <c r="AJ335" i="4" s="1"/>
  <c r="BA334" i="4"/>
  <c r="AU334" i="4"/>
  <c r="AQ334" i="4"/>
  <c r="AR334" i="4" s="1"/>
  <c r="AO334" i="4"/>
  <c r="AM334" i="4"/>
  <c r="L334" i="4"/>
  <c r="V334" i="4" s="1"/>
  <c r="X334" i="4" s="1"/>
  <c r="BA333" i="4"/>
  <c r="AU333" i="4"/>
  <c r="AQ333" i="4"/>
  <c r="AR333" i="4" s="1"/>
  <c r="AO333" i="4"/>
  <c r="AM333" i="4"/>
  <c r="L333" i="4"/>
  <c r="V333" i="4" s="1"/>
  <c r="X333" i="4" s="1"/>
  <c r="AG333" i="4" s="1"/>
  <c r="BA332" i="4"/>
  <c r="AU332" i="4"/>
  <c r="AQ332" i="4"/>
  <c r="AR332" i="4" s="1"/>
  <c r="AO332" i="4"/>
  <c r="AM332" i="4"/>
  <c r="K332" i="4"/>
  <c r="L332" i="4" s="1"/>
  <c r="V332" i="4" s="1"/>
  <c r="X332" i="4" s="1"/>
  <c r="I332" i="4"/>
  <c r="BA331" i="4"/>
  <c r="AU331" i="4"/>
  <c r="AQ331" i="4"/>
  <c r="AR331" i="4" s="1"/>
  <c r="AO331" i="4"/>
  <c r="AM331" i="4"/>
  <c r="L331" i="4"/>
  <c r="V331" i="4" s="1"/>
  <c r="X331" i="4" s="1"/>
  <c r="AH331" i="4" s="1"/>
  <c r="BA330" i="4"/>
  <c r="AU330" i="4"/>
  <c r="AQ330" i="4"/>
  <c r="AR330" i="4" s="1"/>
  <c r="AO330" i="4"/>
  <c r="AM330" i="4"/>
  <c r="L330" i="4"/>
  <c r="V330" i="4" s="1"/>
  <c r="X330" i="4" s="1"/>
  <c r="AI330" i="4" s="1"/>
  <c r="BA329" i="4"/>
  <c r="AU329" i="4"/>
  <c r="AQ329" i="4"/>
  <c r="AR329" i="4" s="1"/>
  <c r="AO329" i="4"/>
  <c r="AM329" i="4"/>
  <c r="L329" i="4"/>
  <c r="V329" i="4" s="1"/>
  <c r="X329" i="4" s="1"/>
  <c r="BA328" i="4"/>
  <c r="AU328" i="4"/>
  <c r="AQ328" i="4"/>
  <c r="AR328" i="4" s="1"/>
  <c r="AO328" i="4"/>
  <c r="AM328" i="4"/>
  <c r="L328" i="4"/>
  <c r="V328" i="4" s="1"/>
  <c r="X328" i="4" s="1"/>
  <c r="BA327" i="4"/>
  <c r="AU327" i="4"/>
  <c r="AQ327" i="4"/>
  <c r="AR327" i="4" s="1"/>
  <c r="AO327" i="4"/>
  <c r="AM327" i="4"/>
  <c r="L327" i="4"/>
  <c r="V327" i="4" s="1"/>
  <c r="X327" i="4" s="1"/>
  <c r="K327" i="4"/>
  <c r="I327" i="4"/>
  <c r="BA326" i="4"/>
  <c r="AU326" i="4"/>
  <c r="AQ326" i="4"/>
  <c r="AR326" i="4" s="1"/>
  <c r="AO326" i="4"/>
  <c r="AM326" i="4"/>
  <c r="K326" i="4"/>
  <c r="I326" i="4"/>
  <c r="BA325" i="4"/>
  <c r="AU325" i="4"/>
  <c r="AQ325" i="4"/>
  <c r="AR325" i="4" s="1"/>
  <c r="AO325" i="4"/>
  <c r="AM325" i="4"/>
  <c r="K325" i="4"/>
  <c r="I325" i="4"/>
  <c r="L325" i="4" s="1"/>
  <c r="V325" i="4" s="1"/>
  <c r="X325" i="4" s="1"/>
  <c r="AJ325" i="4" s="1"/>
  <c r="BA324" i="4"/>
  <c r="AU324" i="4"/>
  <c r="AQ324" i="4"/>
  <c r="AR324" i="4" s="1"/>
  <c r="AO324" i="4"/>
  <c r="AM324" i="4"/>
  <c r="L324" i="4"/>
  <c r="V324" i="4" s="1"/>
  <c r="X324" i="4" s="1"/>
  <c r="AI324" i="4" s="1"/>
  <c r="BA323" i="4"/>
  <c r="AU323" i="4"/>
  <c r="AQ323" i="4"/>
  <c r="AR323" i="4" s="1"/>
  <c r="AO323" i="4"/>
  <c r="AM323" i="4"/>
  <c r="L323" i="4"/>
  <c r="V323" i="4" s="1"/>
  <c r="X323" i="4" s="1"/>
  <c r="AK323" i="4" s="1"/>
  <c r="BA322" i="4"/>
  <c r="AU322" i="4"/>
  <c r="AQ322" i="4"/>
  <c r="AR322" i="4" s="1"/>
  <c r="AO322" i="4"/>
  <c r="AM322" i="4"/>
  <c r="K322" i="4"/>
  <c r="L322" i="4" s="1"/>
  <c r="V322" i="4" s="1"/>
  <c r="X322" i="4" s="1"/>
  <c r="AK322" i="4" s="1"/>
  <c r="I322" i="4"/>
  <c r="BA321" i="4"/>
  <c r="AU321" i="4"/>
  <c r="AQ321" i="4"/>
  <c r="AR321" i="4" s="1"/>
  <c r="AO321" i="4"/>
  <c r="AM321" i="4"/>
  <c r="L321" i="4"/>
  <c r="V321" i="4" s="1"/>
  <c r="X321" i="4" s="1"/>
  <c r="AJ321" i="4" s="1"/>
  <c r="BA320" i="4"/>
  <c r="AU320" i="4"/>
  <c r="AQ320" i="4"/>
  <c r="AR320" i="4" s="1"/>
  <c r="AO320" i="4"/>
  <c r="AM320" i="4"/>
  <c r="L320" i="4"/>
  <c r="V320" i="4" s="1"/>
  <c r="X320" i="4" s="1"/>
  <c r="BA319" i="4"/>
  <c r="AU319" i="4"/>
  <c r="AQ319" i="4"/>
  <c r="AR319" i="4" s="1"/>
  <c r="AO319" i="4"/>
  <c r="AM319" i="4"/>
  <c r="L319" i="4"/>
  <c r="V319" i="4" s="1"/>
  <c r="X319" i="4" s="1"/>
  <c r="AH319" i="4" s="1"/>
  <c r="BA318" i="4"/>
  <c r="AU318" i="4"/>
  <c r="AQ318" i="4"/>
  <c r="AR318" i="4" s="1"/>
  <c r="AO318" i="4"/>
  <c r="AM318" i="4"/>
  <c r="K318" i="4"/>
  <c r="I318" i="4"/>
  <c r="L318" i="4" s="1"/>
  <c r="V318" i="4" s="1"/>
  <c r="X318" i="4" s="1"/>
  <c r="BA317" i="4"/>
  <c r="AU317" i="4"/>
  <c r="AQ317" i="4"/>
  <c r="AR317" i="4" s="1"/>
  <c r="AO317" i="4"/>
  <c r="AM317" i="4"/>
  <c r="K317" i="4"/>
  <c r="I317" i="4"/>
  <c r="L317" i="4" s="1"/>
  <c r="V317" i="4" s="1"/>
  <c r="X317" i="4" s="1"/>
  <c r="BA316" i="4"/>
  <c r="AU316" i="4"/>
  <c r="AQ316" i="4"/>
  <c r="AR316" i="4" s="1"/>
  <c r="AO316" i="4"/>
  <c r="AM316" i="4"/>
  <c r="L316" i="4"/>
  <c r="V316" i="4" s="1"/>
  <c r="X316" i="4" s="1"/>
  <c r="AK316" i="4" s="1"/>
  <c r="BA315" i="4"/>
  <c r="AU315" i="4"/>
  <c r="AQ315" i="4"/>
  <c r="AR315" i="4" s="1"/>
  <c r="AO315" i="4"/>
  <c r="AM315" i="4"/>
  <c r="K315" i="4"/>
  <c r="I315" i="4"/>
  <c r="BA314" i="4"/>
  <c r="AU314" i="4"/>
  <c r="AQ314" i="4"/>
  <c r="AR314" i="4" s="1"/>
  <c r="AO314" i="4"/>
  <c r="AM314" i="4"/>
  <c r="L314" i="4"/>
  <c r="V314" i="4" s="1"/>
  <c r="X314" i="4" s="1"/>
  <c r="AK314" i="4" s="1"/>
  <c r="BA313" i="4"/>
  <c r="AU313" i="4"/>
  <c r="AQ313" i="4"/>
  <c r="AR313" i="4" s="1"/>
  <c r="AO313" i="4"/>
  <c r="AM313" i="4"/>
  <c r="L313" i="4"/>
  <c r="V313" i="4" s="1"/>
  <c r="X313" i="4" s="1"/>
  <c r="AJ313" i="4" s="1"/>
  <c r="BA312" i="4"/>
  <c r="AU312" i="4"/>
  <c r="AQ312" i="4"/>
  <c r="AR312" i="4" s="1"/>
  <c r="AO312" i="4"/>
  <c r="AM312" i="4"/>
  <c r="L312" i="4"/>
  <c r="V312" i="4" s="1"/>
  <c r="X312" i="4" s="1"/>
  <c r="BA311" i="4"/>
  <c r="AU311" i="4"/>
  <c r="AQ311" i="4"/>
  <c r="AR311" i="4" s="1"/>
  <c r="AO311" i="4"/>
  <c r="AM311" i="4"/>
  <c r="L311" i="4"/>
  <c r="V311" i="4" s="1"/>
  <c r="X311" i="4" s="1"/>
  <c r="AH311" i="4" s="1"/>
  <c r="BA310" i="4"/>
  <c r="AU310" i="4"/>
  <c r="AQ310" i="4"/>
  <c r="AR310" i="4" s="1"/>
  <c r="AO310" i="4"/>
  <c r="AM310" i="4"/>
  <c r="L310" i="4"/>
  <c r="V310" i="4" s="1"/>
  <c r="X310" i="4" s="1"/>
  <c r="AI310" i="4" s="1"/>
  <c r="BA309" i="4"/>
  <c r="AU309" i="4"/>
  <c r="AQ309" i="4"/>
  <c r="AR309" i="4" s="1"/>
  <c r="AO309" i="4"/>
  <c r="AM309" i="4"/>
  <c r="L309" i="4"/>
  <c r="V309" i="4" s="1"/>
  <c r="X309" i="4" s="1"/>
  <c r="BA308" i="4"/>
  <c r="AU308" i="4"/>
  <c r="AQ308" i="4"/>
  <c r="AR308" i="4" s="1"/>
  <c r="AO308" i="4"/>
  <c r="AM308" i="4"/>
  <c r="L308" i="4"/>
  <c r="V308" i="4" s="1"/>
  <c r="X308" i="4" s="1"/>
  <c r="BA307" i="4"/>
  <c r="AU307" i="4"/>
  <c r="AQ307" i="4"/>
  <c r="AR307" i="4" s="1"/>
  <c r="AO307" i="4"/>
  <c r="AM307" i="4"/>
  <c r="L307" i="4"/>
  <c r="V307" i="4" s="1"/>
  <c r="X307" i="4" s="1"/>
  <c r="BA306" i="4"/>
  <c r="AU306" i="4"/>
  <c r="AQ306" i="4"/>
  <c r="AR306" i="4" s="1"/>
  <c r="AO306" i="4"/>
  <c r="AM306" i="4"/>
  <c r="L306" i="4"/>
  <c r="V306" i="4" s="1"/>
  <c r="X306" i="4" s="1"/>
  <c r="AK306" i="4" s="1"/>
  <c r="K306" i="4"/>
  <c r="I306" i="4"/>
  <c r="BA305" i="4"/>
  <c r="AU305" i="4"/>
  <c r="AQ305" i="4"/>
  <c r="AR305" i="4" s="1"/>
  <c r="AO305" i="4"/>
  <c r="AM305" i="4"/>
  <c r="L305" i="4"/>
  <c r="V305" i="4" s="1"/>
  <c r="X305" i="4" s="1"/>
  <c r="K305" i="4"/>
  <c r="I305" i="4"/>
  <c r="BA304" i="4"/>
  <c r="AU304" i="4"/>
  <c r="AQ304" i="4"/>
  <c r="AR304" i="4" s="1"/>
  <c r="AO304" i="4"/>
  <c r="AM304" i="4"/>
  <c r="K304" i="4"/>
  <c r="L304" i="4" s="1"/>
  <c r="V304" i="4" s="1"/>
  <c r="X304" i="4" s="1"/>
  <c r="AG304" i="4" s="1"/>
  <c r="I304" i="4"/>
  <c r="BA303" i="4"/>
  <c r="AU303" i="4"/>
  <c r="AQ303" i="4"/>
  <c r="AR303" i="4" s="1"/>
  <c r="AO303" i="4"/>
  <c r="AM303" i="4"/>
  <c r="L303" i="4"/>
  <c r="V303" i="4" s="1"/>
  <c r="X303" i="4" s="1"/>
  <c r="AJ303" i="4" s="1"/>
  <c r="BA302" i="4"/>
  <c r="AU302" i="4"/>
  <c r="AQ302" i="4"/>
  <c r="AR302" i="4" s="1"/>
  <c r="AO302" i="4"/>
  <c r="AM302" i="4"/>
  <c r="K302" i="4"/>
  <c r="I302" i="4"/>
  <c r="L302" i="4" s="1"/>
  <c r="V302" i="4" s="1"/>
  <c r="X302" i="4" s="1"/>
  <c r="BA301" i="4"/>
  <c r="AU301" i="4"/>
  <c r="AQ301" i="4"/>
  <c r="AR301" i="4" s="1"/>
  <c r="AO301" i="4"/>
  <c r="AM301" i="4"/>
  <c r="L301" i="4"/>
  <c r="V301" i="4" s="1"/>
  <c r="X301" i="4" s="1"/>
  <c r="BA300" i="4"/>
  <c r="AU300" i="4"/>
  <c r="AQ300" i="4"/>
  <c r="AR300" i="4" s="1"/>
  <c r="AO300" i="4"/>
  <c r="AM300" i="4"/>
  <c r="L300" i="4"/>
  <c r="V300" i="4" s="1"/>
  <c r="X300" i="4" s="1"/>
  <c r="BA299" i="4"/>
  <c r="AU299" i="4"/>
  <c r="AQ299" i="4"/>
  <c r="AR299" i="4" s="1"/>
  <c r="AO299" i="4"/>
  <c r="AM299" i="4"/>
  <c r="K299" i="4"/>
  <c r="I299" i="4"/>
  <c r="BA298" i="4"/>
  <c r="AU298" i="4"/>
  <c r="AQ298" i="4"/>
  <c r="AR298" i="4" s="1"/>
  <c r="AO298" i="4"/>
  <c r="AM298" i="4"/>
  <c r="L298" i="4"/>
  <c r="V298" i="4" s="1"/>
  <c r="X298" i="4" s="1"/>
  <c r="K298" i="4"/>
  <c r="BA297" i="4"/>
  <c r="AU297" i="4"/>
  <c r="AQ297" i="4"/>
  <c r="AR297" i="4" s="1"/>
  <c r="AO297" i="4"/>
  <c r="AM297" i="4"/>
  <c r="L297" i="4"/>
  <c r="V297" i="4" s="1"/>
  <c r="X297" i="4" s="1"/>
  <c r="K297" i="4"/>
  <c r="BA296" i="4"/>
  <c r="AU296" i="4"/>
  <c r="AQ296" i="4"/>
  <c r="AR296" i="4" s="1"/>
  <c r="AO296" i="4"/>
  <c r="AM296" i="4"/>
  <c r="L296" i="4"/>
  <c r="V296" i="4" s="1"/>
  <c r="X296" i="4" s="1"/>
  <c r="BA295" i="4"/>
  <c r="AU295" i="4"/>
  <c r="AQ295" i="4"/>
  <c r="AR295" i="4" s="1"/>
  <c r="AO295" i="4"/>
  <c r="AM295" i="4"/>
  <c r="L295" i="4"/>
  <c r="V295" i="4" s="1"/>
  <c r="X295" i="4" s="1"/>
  <c r="BA294" i="4"/>
  <c r="AU294" i="4"/>
  <c r="AQ294" i="4"/>
  <c r="AR294" i="4" s="1"/>
  <c r="AO294" i="4"/>
  <c r="AM294" i="4"/>
  <c r="L294" i="4"/>
  <c r="V294" i="4" s="1"/>
  <c r="X294" i="4" s="1"/>
  <c r="AJ294" i="4" s="1"/>
  <c r="BA293" i="4"/>
  <c r="AU293" i="4"/>
  <c r="AQ293" i="4"/>
  <c r="AR293" i="4" s="1"/>
  <c r="AO293" i="4"/>
  <c r="AM293" i="4"/>
  <c r="L293" i="4"/>
  <c r="V293" i="4" s="1"/>
  <c r="X293" i="4" s="1"/>
  <c r="BA292" i="4"/>
  <c r="AU292" i="4"/>
  <c r="AQ292" i="4"/>
  <c r="AR292" i="4" s="1"/>
  <c r="AO292" i="4"/>
  <c r="AM292" i="4"/>
  <c r="L292" i="4"/>
  <c r="V292" i="4" s="1"/>
  <c r="X292" i="4" s="1"/>
  <c r="BA291" i="4"/>
  <c r="AU291" i="4"/>
  <c r="AQ291" i="4"/>
  <c r="AR291" i="4" s="1"/>
  <c r="AO291" i="4"/>
  <c r="AM291" i="4"/>
  <c r="L291" i="4"/>
  <c r="V291" i="4" s="1"/>
  <c r="X291" i="4" s="1"/>
  <c r="BA290" i="4"/>
  <c r="AU290" i="4"/>
  <c r="AQ290" i="4"/>
  <c r="AR290" i="4" s="1"/>
  <c r="AO290" i="4"/>
  <c r="AM290" i="4"/>
  <c r="K290" i="4"/>
  <c r="L290" i="4" s="1"/>
  <c r="V290" i="4" s="1"/>
  <c r="X290" i="4" s="1"/>
  <c r="I290" i="4"/>
  <c r="BA289" i="4"/>
  <c r="AU289" i="4"/>
  <c r="AQ289" i="4"/>
  <c r="AR289" i="4" s="1"/>
  <c r="AO289" i="4"/>
  <c r="AM289" i="4"/>
  <c r="L289" i="4"/>
  <c r="V289" i="4" s="1"/>
  <c r="X289" i="4" s="1"/>
  <c r="AF289" i="4" s="1"/>
  <c r="BA288" i="4"/>
  <c r="AU288" i="4"/>
  <c r="AQ288" i="4"/>
  <c r="AR288" i="4" s="1"/>
  <c r="AO288" i="4"/>
  <c r="AM288" i="4"/>
  <c r="K288" i="4"/>
  <c r="I288" i="4"/>
  <c r="L288" i="4" s="1"/>
  <c r="V288" i="4" s="1"/>
  <c r="X288" i="4" s="1"/>
  <c r="AJ288" i="4" s="1"/>
  <c r="BA287" i="4"/>
  <c r="AU287" i="4"/>
  <c r="AQ287" i="4"/>
  <c r="AR287" i="4" s="1"/>
  <c r="AO287" i="4"/>
  <c r="AM287" i="4"/>
  <c r="K287" i="4"/>
  <c r="L287" i="4" s="1"/>
  <c r="V287" i="4" s="1"/>
  <c r="X287" i="4" s="1"/>
  <c r="AJ287" i="4" s="1"/>
  <c r="I287" i="4"/>
  <c r="BA286" i="4"/>
  <c r="AU286" i="4"/>
  <c r="AQ286" i="4"/>
  <c r="AR286" i="4" s="1"/>
  <c r="AO286" i="4"/>
  <c r="AM286" i="4"/>
  <c r="K286" i="4"/>
  <c r="I286" i="4"/>
  <c r="L286" i="4" s="1"/>
  <c r="V286" i="4" s="1"/>
  <c r="X286" i="4" s="1"/>
  <c r="BA285" i="4"/>
  <c r="AU285" i="4"/>
  <c r="AQ285" i="4"/>
  <c r="AR285" i="4" s="1"/>
  <c r="AO285" i="4"/>
  <c r="AM285" i="4"/>
  <c r="K285" i="4"/>
  <c r="L285" i="4" s="1"/>
  <c r="V285" i="4" s="1"/>
  <c r="X285" i="4" s="1"/>
  <c r="AJ285" i="4" s="1"/>
  <c r="I285" i="4"/>
  <c r="BA284" i="4"/>
  <c r="AU284" i="4"/>
  <c r="AQ284" i="4"/>
  <c r="AR284" i="4" s="1"/>
  <c r="AO284" i="4"/>
  <c r="AM284" i="4"/>
  <c r="L284" i="4"/>
  <c r="V284" i="4" s="1"/>
  <c r="X284" i="4" s="1"/>
  <c r="AJ284" i="4" s="1"/>
  <c r="BA283" i="4"/>
  <c r="AU283" i="4"/>
  <c r="AQ283" i="4"/>
  <c r="AR283" i="4" s="1"/>
  <c r="AO283" i="4"/>
  <c r="AM283" i="4"/>
  <c r="L283" i="4"/>
  <c r="V283" i="4" s="1"/>
  <c r="X283" i="4" s="1"/>
  <c r="AH283" i="4" s="1"/>
  <c r="BA282" i="4"/>
  <c r="AU282" i="4"/>
  <c r="AQ282" i="4"/>
  <c r="AR282" i="4" s="1"/>
  <c r="AO282" i="4"/>
  <c r="AM282" i="4"/>
  <c r="K282" i="4"/>
  <c r="L282" i="4" s="1"/>
  <c r="V282" i="4" s="1"/>
  <c r="X282" i="4" s="1"/>
  <c r="I282" i="4"/>
  <c r="BA281" i="4"/>
  <c r="AU281" i="4"/>
  <c r="AQ281" i="4"/>
  <c r="AR281" i="4" s="1"/>
  <c r="AO281" i="4"/>
  <c r="AM281" i="4"/>
  <c r="K281" i="4"/>
  <c r="I281" i="4"/>
  <c r="L281" i="4" s="1"/>
  <c r="V281" i="4" s="1"/>
  <c r="X281" i="4" s="1"/>
  <c r="AG281" i="4" s="1"/>
  <c r="BA280" i="4"/>
  <c r="AU280" i="4"/>
  <c r="AQ280" i="4"/>
  <c r="AR280" i="4" s="1"/>
  <c r="AO280" i="4"/>
  <c r="AM280" i="4"/>
  <c r="K280" i="4"/>
  <c r="I280" i="4"/>
  <c r="L280" i="4" s="1"/>
  <c r="V280" i="4" s="1"/>
  <c r="X280" i="4" s="1"/>
  <c r="AG280" i="4" s="1"/>
  <c r="BA279" i="4"/>
  <c r="AU279" i="4"/>
  <c r="AQ279" i="4"/>
  <c r="AR279" i="4" s="1"/>
  <c r="AO279" i="4"/>
  <c r="AM279" i="4"/>
  <c r="L279" i="4"/>
  <c r="V279" i="4" s="1"/>
  <c r="X279" i="4" s="1"/>
  <c r="AJ279" i="4" s="1"/>
  <c r="BA278" i="4"/>
  <c r="AU278" i="4"/>
  <c r="AQ278" i="4"/>
  <c r="AR278" i="4" s="1"/>
  <c r="AO278" i="4"/>
  <c r="AM278" i="4"/>
  <c r="L278" i="4"/>
  <c r="V278" i="4" s="1"/>
  <c r="X278" i="4" s="1"/>
  <c r="AH278" i="4" s="1"/>
  <c r="BA277" i="4"/>
  <c r="AU277" i="4"/>
  <c r="AQ277" i="4"/>
  <c r="AR277" i="4" s="1"/>
  <c r="AO277" i="4"/>
  <c r="AM277" i="4"/>
  <c r="K277" i="4"/>
  <c r="I277" i="4"/>
  <c r="BA276" i="4"/>
  <c r="AU276" i="4"/>
  <c r="AQ276" i="4"/>
  <c r="AR276" i="4" s="1"/>
  <c r="AO276" i="4"/>
  <c r="AM276" i="4"/>
  <c r="L276" i="4"/>
  <c r="V276" i="4" s="1"/>
  <c r="X276" i="4" s="1"/>
  <c r="BA275" i="4"/>
  <c r="AU275" i="4"/>
  <c r="AQ275" i="4"/>
  <c r="AR275" i="4" s="1"/>
  <c r="AO275" i="4"/>
  <c r="AM275" i="4"/>
  <c r="K275" i="4"/>
  <c r="I275" i="4"/>
  <c r="BA274" i="4"/>
  <c r="AU274" i="4"/>
  <c r="AQ274" i="4"/>
  <c r="AR274" i="4" s="1"/>
  <c r="AO274" i="4"/>
  <c r="AM274" i="4"/>
  <c r="L274" i="4"/>
  <c r="V274" i="4" s="1"/>
  <c r="X274" i="4" s="1"/>
  <c r="AI274" i="4" s="1"/>
  <c r="K274" i="4"/>
  <c r="I274" i="4"/>
  <c r="BA273" i="4"/>
  <c r="AU273" i="4"/>
  <c r="AQ273" i="4"/>
  <c r="AR273" i="4" s="1"/>
  <c r="AO273" i="4"/>
  <c r="AM273" i="4"/>
  <c r="L273" i="4"/>
  <c r="V273" i="4" s="1"/>
  <c r="X273" i="4" s="1"/>
  <c r="AJ273" i="4" s="1"/>
  <c r="BA272" i="4"/>
  <c r="AU272" i="4"/>
  <c r="AQ272" i="4"/>
  <c r="AR272" i="4" s="1"/>
  <c r="AO272" i="4"/>
  <c r="AM272" i="4"/>
  <c r="L272" i="4"/>
  <c r="V272" i="4" s="1"/>
  <c r="X272" i="4" s="1"/>
  <c r="AK272" i="4" s="1"/>
  <c r="BA271" i="4"/>
  <c r="AU271" i="4"/>
  <c r="AQ271" i="4"/>
  <c r="AR271" i="4" s="1"/>
  <c r="AO271" i="4"/>
  <c r="AM271" i="4"/>
  <c r="L271" i="4"/>
  <c r="V271" i="4" s="1"/>
  <c r="X271" i="4" s="1"/>
  <c r="AG271" i="4" s="1"/>
  <c r="BA270" i="4"/>
  <c r="AU270" i="4"/>
  <c r="AQ270" i="4"/>
  <c r="AR270" i="4" s="1"/>
  <c r="AO270" i="4"/>
  <c r="AM270" i="4"/>
  <c r="L270" i="4"/>
  <c r="V270" i="4" s="1"/>
  <c r="X270" i="4" s="1"/>
  <c r="AF270" i="4" s="1"/>
  <c r="BA269" i="4"/>
  <c r="AU269" i="4"/>
  <c r="AQ269" i="4"/>
  <c r="AR269" i="4" s="1"/>
  <c r="AO269" i="4"/>
  <c r="AM269" i="4"/>
  <c r="L269" i="4"/>
  <c r="V269" i="4" s="1"/>
  <c r="X269" i="4" s="1"/>
  <c r="AF269" i="4" s="1"/>
  <c r="BA268" i="4"/>
  <c r="AU268" i="4"/>
  <c r="AQ268" i="4"/>
  <c r="AR268" i="4" s="1"/>
  <c r="AO268" i="4"/>
  <c r="AM268" i="4"/>
  <c r="L268" i="4"/>
  <c r="V268" i="4" s="1"/>
  <c r="X268" i="4" s="1"/>
  <c r="AH268" i="4" s="1"/>
  <c r="BA267" i="4"/>
  <c r="AU267" i="4"/>
  <c r="AQ267" i="4"/>
  <c r="AR267" i="4" s="1"/>
  <c r="AO267" i="4"/>
  <c r="AM267" i="4"/>
  <c r="L267" i="4"/>
  <c r="V267" i="4" s="1"/>
  <c r="X267" i="4" s="1"/>
  <c r="BA266" i="4"/>
  <c r="AU266" i="4"/>
  <c r="AQ266" i="4"/>
  <c r="AR266" i="4" s="1"/>
  <c r="AO266" i="4"/>
  <c r="AM266" i="4"/>
  <c r="L266" i="4"/>
  <c r="V266" i="4" s="1"/>
  <c r="X266" i="4" s="1"/>
  <c r="AK266" i="4" s="1"/>
  <c r="BA265" i="4"/>
  <c r="AU265" i="4"/>
  <c r="AQ265" i="4"/>
  <c r="AR265" i="4" s="1"/>
  <c r="AO265" i="4"/>
  <c r="AM265" i="4"/>
  <c r="L265" i="4"/>
  <c r="V265" i="4" s="1"/>
  <c r="X265" i="4" s="1"/>
  <c r="BA264" i="4"/>
  <c r="AU264" i="4"/>
  <c r="AQ264" i="4"/>
  <c r="AR264" i="4" s="1"/>
  <c r="AO264" i="4"/>
  <c r="AM264" i="4"/>
  <c r="L264" i="4"/>
  <c r="V264" i="4" s="1"/>
  <c r="X264" i="4" s="1"/>
  <c r="BA263" i="4"/>
  <c r="AU263" i="4"/>
  <c r="AQ263" i="4"/>
  <c r="AR263" i="4" s="1"/>
  <c r="AO263" i="4"/>
  <c r="AM263" i="4"/>
  <c r="L263" i="4"/>
  <c r="V263" i="4" s="1"/>
  <c r="X263" i="4" s="1"/>
  <c r="BA262" i="4"/>
  <c r="AU262" i="4"/>
  <c r="AQ262" i="4"/>
  <c r="AR262" i="4" s="1"/>
  <c r="AO262" i="4"/>
  <c r="AM262" i="4"/>
  <c r="L262" i="4"/>
  <c r="V262" i="4" s="1"/>
  <c r="X262" i="4" s="1"/>
  <c r="BA261" i="4"/>
  <c r="AU261" i="4"/>
  <c r="AQ261" i="4"/>
  <c r="AR261" i="4" s="1"/>
  <c r="AO261" i="4"/>
  <c r="AM261" i="4"/>
  <c r="L261" i="4"/>
  <c r="V261" i="4" s="1"/>
  <c r="X261" i="4" s="1"/>
  <c r="AJ261" i="4" s="1"/>
  <c r="BA260" i="4"/>
  <c r="AU260" i="4"/>
  <c r="AQ260" i="4"/>
  <c r="AR260" i="4" s="1"/>
  <c r="AO260" i="4"/>
  <c r="AM260" i="4"/>
  <c r="L260" i="4"/>
  <c r="V260" i="4" s="1"/>
  <c r="X260" i="4" s="1"/>
  <c r="BA259" i="4"/>
  <c r="AU259" i="4"/>
  <c r="AQ259" i="4"/>
  <c r="AR259" i="4" s="1"/>
  <c r="AO259" i="4"/>
  <c r="AM259" i="4"/>
  <c r="L259" i="4"/>
  <c r="V259" i="4" s="1"/>
  <c r="X259" i="4" s="1"/>
  <c r="BA258" i="4"/>
  <c r="AU258" i="4"/>
  <c r="AQ258" i="4"/>
  <c r="AR258" i="4" s="1"/>
  <c r="AO258" i="4"/>
  <c r="AM258" i="4"/>
  <c r="K258" i="4"/>
  <c r="I258" i="4"/>
  <c r="BA257" i="4"/>
  <c r="AU257" i="4"/>
  <c r="AQ257" i="4"/>
  <c r="AR257" i="4" s="1"/>
  <c r="AO257" i="4"/>
  <c r="AM257" i="4"/>
  <c r="K257" i="4"/>
  <c r="I257" i="4"/>
  <c r="L257" i="4" s="1"/>
  <c r="V257" i="4" s="1"/>
  <c r="X257" i="4" s="1"/>
  <c r="BA256" i="4"/>
  <c r="AU256" i="4"/>
  <c r="AQ256" i="4"/>
  <c r="AR256" i="4" s="1"/>
  <c r="AO256" i="4"/>
  <c r="AM256" i="4"/>
  <c r="K256" i="4"/>
  <c r="I256" i="4"/>
  <c r="L256" i="4" s="1"/>
  <c r="V256" i="4" s="1"/>
  <c r="X256" i="4" s="1"/>
  <c r="BA255" i="4"/>
  <c r="AU255" i="4"/>
  <c r="AQ255" i="4"/>
  <c r="AR255" i="4" s="1"/>
  <c r="AO255" i="4"/>
  <c r="AM255" i="4"/>
  <c r="K255" i="4"/>
  <c r="L255" i="4" s="1"/>
  <c r="V255" i="4" s="1"/>
  <c r="X255" i="4" s="1"/>
  <c r="I255" i="4"/>
  <c r="BA254" i="4"/>
  <c r="AU254" i="4"/>
  <c r="AQ254" i="4"/>
  <c r="AR254" i="4" s="1"/>
  <c r="AO254" i="4"/>
  <c r="AM254" i="4"/>
  <c r="L254" i="4"/>
  <c r="V254" i="4" s="1"/>
  <c r="X254" i="4" s="1"/>
  <c r="BA253" i="4"/>
  <c r="AU253" i="4"/>
  <c r="AQ253" i="4"/>
  <c r="AR253" i="4" s="1"/>
  <c r="AO253" i="4"/>
  <c r="AM253" i="4"/>
  <c r="L253" i="4"/>
  <c r="V253" i="4" s="1"/>
  <c r="X253" i="4" s="1"/>
  <c r="AI253" i="4" s="1"/>
  <c r="BA252" i="4"/>
  <c r="AU252" i="4"/>
  <c r="AQ252" i="4"/>
  <c r="AR252" i="4" s="1"/>
  <c r="AO252" i="4"/>
  <c r="AM252" i="4"/>
  <c r="L252" i="4"/>
  <c r="V252" i="4" s="1"/>
  <c r="X252" i="4" s="1"/>
  <c r="BA251" i="4"/>
  <c r="AU251" i="4"/>
  <c r="AQ251" i="4"/>
  <c r="AR251" i="4" s="1"/>
  <c r="AO251" i="4"/>
  <c r="AM251" i="4"/>
  <c r="L251" i="4"/>
  <c r="V251" i="4" s="1"/>
  <c r="X251" i="4" s="1"/>
  <c r="BA250" i="4"/>
  <c r="AU250" i="4"/>
  <c r="AQ250" i="4"/>
  <c r="AR250" i="4" s="1"/>
  <c r="AO250" i="4"/>
  <c r="AM250" i="4"/>
  <c r="R250" i="4"/>
  <c r="L250" i="4"/>
  <c r="BA249" i="4"/>
  <c r="AU249" i="4"/>
  <c r="AQ249" i="4"/>
  <c r="AR249" i="4" s="1"/>
  <c r="AO249" i="4"/>
  <c r="AM249" i="4"/>
  <c r="R249" i="4"/>
  <c r="L249" i="4"/>
  <c r="BA248" i="4"/>
  <c r="AU248" i="4"/>
  <c r="AQ248" i="4"/>
  <c r="AR248" i="4" s="1"/>
  <c r="AO248" i="4"/>
  <c r="AM248" i="4"/>
  <c r="R248" i="4"/>
  <c r="L248" i="4"/>
  <c r="BA247" i="4"/>
  <c r="AU247" i="4"/>
  <c r="AQ247" i="4"/>
  <c r="AR247" i="4" s="1"/>
  <c r="AO247" i="4"/>
  <c r="AM247" i="4"/>
  <c r="R247" i="4"/>
  <c r="L247" i="4"/>
  <c r="BA246" i="4"/>
  <c r="AU246" i="4"/>
  <c r="AQ246" i="4"/>
  <c r="AR246" i="4" s="1"/>
  <c r="AO246" i="4"/>
  <c r="AM246" i="4"/>
  <c r="L246" i="4"/>
  <c r="V246" i="4" s="1"/>
  <c r="X246" i="4" s="1"/>
  <c r="BA245" i="4"/>
  <c r="AU245" i="4"/>
  <c r="AQ245" i="4"/>
  <c r="AR245" i="4" s="1"/>
  <c r="AO245" i="4"/>
  <c r="AM245" i="4"/>
  <c r="T245" i="4"/>
  <c r="R245" i="4"/>
  <c r="L245" i="4"/>
  <c r="BA244" i="4"/>
  <c r="AU244" i="4"/>
  <c r="AQ244" i="4"/>
  <c r="AR244" i="4" s="1"/>
  <c r="AO244" i="4"/>
  <c r="AM244" i="4"/>
  <c r="L244" i="4"/>
  <c r="V244" i="4" s="1"/>
  <c r="X244" i="4" s="1"/>
  <c r="BA243" i="4"/>
  <c r="AU243" i="4"/>
  <c r="AQ243" i="4"/>
  <c r="AR243" i="4" s="1"/>
  <c r="AO243" i="4"/>
  <c r="AM243" i="4"/>
  <c r="K243" i="4"/>
  <c r="L243" i="4" s="1"/>
  <c r="V243" i="4" s="1"/>
  <c r="X243" i="4" s="1"/>
  <c r="I243" i="4"/>
  <c r="BA242" i="4"/>
  <c r="AU242" i="4"/>
  <c r="AQ242" i="4"/>
  <c r="AR242" i="4" s="1"/>
  <c r="AO242" i="4"/>
  <c r="AM242" i="4"/>
  <c r="L242" i="4"/>
  <c r="V242" i="4" s="1"/>
  <c r="X242" i="4" s="1"/>
  <c r="BA241" i="4"/>
  <c r="AU241" i="4"/>
  <c r="AQ241" i="4"/>
  <c r="AR241" i="4" s="1"/>
  <c r="AO241" i="4"/>
  <c r="AM241" i="4"/>
  <c r="L241" i="4"/>
  <c r="V241" i="4" s="1"/>
  <c r="X241" i="4" s="1"/>
  <c r="BA240" i="4"/>
  <c r="AU240" i="4"/>
  <c r="AQ240" i="4"/>
  <c r="AR240" i="4" s="1"/>
  <c r="AO240" i="4"/>
  <c r="AM240" i="4"/>
  <c r="R240" i="4"/>
  <c r="L240" i="4"/>
  <c r="BA239" i="4"/>
  <c r="AU239" i="4"/>
  <c r="AQ239" i="4"/>
  <c r="AR239" i="4" s="1"/>
  <c r="AO239" i="4"/>
  <c r="AM239" i="4"/>
  <c r="R239" i="4"/>
  <c r="L239" i="4"/>
  <c r="BA238" i="4"/>
  <c r="AU238" i="4"/>
  <c r="AQ238" i="4"/>
  <c r="AR238" i="4" s="1"/>
  <c r="AO238" i="4"/>
  <c r="AM238" i="4"/>
  <c r="R238" i="4"/>
  <c r="L238" i="4"/>
  <c r="BA237" i="4"/>
  <c r="AU237" i="4"/>
  <c r="AQ237" i="4"/>
  <c r="AR237" i="4" s="1"/>
  <c r="AO237" i="4"/>
  <c r="AM237" i="4"/>
  <c r="L237" i="4"/>
  <c r="M237" i="4" s="1"/>
  <c r="K237" i="4"/>
  <c r="BA236" i="4"/>
  <c r="AU236" i="4"/>
  <c r="AQ236" i="4"/>
  <c r="AR236" i="4" s="1"/>
  <c r="AO236" i="4"/>
  <c r="AM236" i="4"/>
  <c r="L236" i="4"/>
  <c r="M236" i="4" s="1"/>
  <c r="BA235" i="4"/>
  <c r="AU235" i="4"/>
  <c r="AQ235" i="4"/>
  <c r="AR235" i="4" s="1"/>
  <c r="AO235" i="4"/>
  <c r="AM235" i="4"/>
  <c r="L235" i="4"/>
  <c r="M235" i="4" s="1"/>
  <c r="BA234" i="4"/>
  <c r="AU234" i="4"/>
  <c r="AQ234" i="4"/>
  <c r="AR234" i="4" s="1"/>
  <c r="AO234" i="4"/>
  <c r="AM234" i="4"/>
  <c r="K234" i="4"/>
  <c r="L234" i="4" s="1"/>
  <c r="M234" i="4" s="1"/>
  <c r="V234" i="4" s="1"/>
  <c r="X234" i="4" s="1"/>
  <c r="BA233" i="4"/>
  <c r="AU233" i="4"/>
  <c r="AQ233" i="4"/>
  <c r="AR233" i="4" s="1"/>
  <c r="AO233" i="4"/>
  <c r="AM233" i="4"/>
  <c r="K233" i="4"/>
  <c r="L233" i="4" s="1"/>
  <c r="M233" i="4" s="1"/>
  <c r="V233" i="4" s="1"/>
  <c r="X233" i="4" s="1"/>
  <c r="BA232" i="4"/>
  <c r="AU232" i="4"/>
  <c r="AQ232" i="4"/>
  <c r="AR232" i="4" s="1"/>
  <c r="AO232" i="4"/>
  <c r="AM232" i="4"/>
  <c r="L232" i="4"/>
  <c r="M232" i="4" s="1"/>
  <c r="R232" i="4" s="1"/>
  <c r="BA231" i="4"/>
  <c r="AU231" i="4"/>
  <c r="AQ231" i="4"/>
  <c r="AR231" i="4" s="1"/>
  <c r="AO231" i="4"/>
  <c r="AM231" i="4"/>
  <c r="L231" i="4"/>
  <c r="M231" i="4" s="1"/>
  <c r="BA230" i="4"/>
  <c r="AU230" i="4"/>
  <c r="AQ230" i="4"/>
  <c r="AR230" i="4" s="1"/>
  <c r="AO230" i="4"/>
  <c r="AM230" i="4"/>
  <c r="L230" i="4"/>
  <c r="M230" i="4" s="1"/>
  <c r="BA229" i="4"/>
  <c r="AU229" i="4"/>
  <c r="AQ229" i="4"/>
  <c r="AR229" i="4" s="1"/>
  <c r="AO229" i="4"/>
  <c r="AM229" i="4"/>
  <c r="L229" i="4"/>
  <c r="M229" i="4" s="1"/>
  <c r="BA228" i="4"/>
  <c r="AU228" i="4"/>
  <c r="AQ228" i="4"/>
  <c r="AR228" i="4" s="1"/>
  <c r="AO228" i="4"/>
  <c r="AM228" i="4"/>
  <c r="L228" i="4"/>
  <c r="M228" i="4" s="1"/>
  <c r="BA227" i="4"/>
  <c r="AU227" i="4"/>
  <c r="AQ227" i="4"/>
  <c r="AR227" i="4" s="1"/>
  <c r="AO227" i="4"/>
  <c r="AM227" i="4"/>
  <c r="L227" i="4"/>
  <c r="M227" i="4" s="1"/>
  <c r="V227" i="4" s="1"/>
  <c r="X227" i="4" s="1"/>
  <c r="BA226" i="4"/>
  <c r="AU226" i="4"/>
  <c r="AQ226" i="4"/>
  <c r="AR226" i="4" s="1"/>
  <c r="AO226" i="4"/>
  <c r="AM226" i="4"/>
  <c r="L226" i="4"/>
  <c r="M226" i="4" s="1"/>
  <c r="V226" i="4" s="1"/>
  <c r="X226" i="4" s="1"/>
  <c r="BA225" i="4"/>
  <c r="AU225" i="4"/>
  <c r="AQ225" i="4"/>
  <c r="AR225" i="4" s="1"/>
  <c r="AO225" i="4"/>
  <c r="AM225" i="4"/>
  <c r="K225" i="4"/>
  <c r="I225" i="4"/>
  <c r="L225" i="4" s="1"/>
  <c r="M225" i="4" s="1"/>
  <c r="V225" i="4" s="1"/>
  <c r="X225" i="4" s="1"/>
  <c r="BA224" i="4"/>
  <c r="AU224" i="4"/>
  <c r="AQ224" i="4"/>
  <c r="AR224" i="4" s="1"/>
  <c r="AO224" i="4"/>
  <c r="AM224" i="4"/>
  <c r="L224" i="4"/>
  <c r="M224" i="4" s="1"/>
  <c r="V224" i="4" s="1"/>
  <c r="X224" i="4" s="1"/>
  <c r="BA223" i="4"/>
  <c r="AU223" i="4"/>
  <c r="AQ223" i="4"/>
  <c r="AR223" i="4" s="1"/>
  <c r="AO223" i="4"/>
  <c r="AM223" i="4"/>
  <c r="L223" i="4"/>
  <c r="M223" i="4" s="1"/>
  <c r="BA222" i="4"/>
  <c r="AU222" i="4"/>
  <c r="AQ222" i="4"/>
  <c r="AR222" i="4" s="1"/>
  <c r="AO222" i="4"/>
  <c r="AM222" i="4"/>
  <c r="L222" i="4"/>
  <c r="M222" i="4" s="1"/>
  <c r="BA221" i="4"/>
  <c r="AU221" i="4"/>
  <c r="AQ221" i="4"/>
  <c r="AR221" i="4" s="1"/>
  <c r="AO221" i="4"/>
  <c r="AM221" i="4"/>
  <c r="L221" i="4"/>
  <c r="M221" i="4" s="1"/>
  <c r="R221" i="4" s="1"/>
  <c r="BA220" i="4"/>
  <c r="AU220" i="4"/>
  <c r="AQ220" i="4"/>
  <c r="AR220" i="4" s="1"/>
  <c r="AO220" i="4"/>
  <c r="AM220" i="4"/>
  <c r="K220" i="4"/>
  <c r="I220" i="4"/>
  <c r="L220" i="4" s="1"/>
  <c r="M220" i="4" s="1"/>
  <c r="V220" i="4" s="1"/>
  <c r="X220" i="4" s="1"/>
  <c r="BA219" i="4"/>
  <c r="AU219" i="4"/>
  <c r="AQ219" i="4"/>
  <c r="AR219" i="4" s="1"/>
  <c r="AO219" i="4"/>
  <c r="AM219" i="4"/>
  <c r="L219" i="4"/>
  <c r="M219" i="4" s="1"/>
  <c r="R219" i="4" s="1"/>
  <c r="BA218" i="4"/>
  <c r="AU218" i="4"/>
  <c r="AQ218" i="4"/>
  <c r="AR218" i="4" s="1"/>
  <c r="AO218" i="4"/>
  <c r="AM218" i="4"/>
  <c r="L218" i="4"/>
  <c r="M218" i="4" s="1"/>
  <c r="K218" i="4"/>
  <c r="BA217" i="4"/>
  <c r="AU217" i="4"/>
  <c r="AQ217" i="4"/>
  <c r="AR217" i="4" s="1"/>
  <c r="AO217" i="4"/>
  <c r="AM217" i="4"/>
  <c r="L217" i="4"/>
  <c r="M217" i="4" s="1"/>
  <c r="V217" i="4" s="1"/>
  <c r="X217" i="4" s="1"/>
  <c r="BA216" i="4"/>
  <c r="AU216" i="4"/>
  <c r="AQ216" i="4"/>
  <c r="AR216" i="4" s="1"/>
  <c r="AO216" i="4"/>
  <c r="AM216" i="4"/>
  <c r="L216" i="4"/>
  <c r="M216" i="4" s="1"/>
  <c r="P216" i="4" s="1"/>
  <c r="K216" i="4"/>
  <c r="BA215" i="4"/>
  <c r="AU215" i="4"/>
  <c r="AQ215" i="4"/>
  <c r="AR215" i="4" s="1"/>
  <c r="AO215" i="4"/>
  <c r="AM215" i="4"/>
  <c r="L215" i="4"/>
  <c r="M215" i="4" s="1"/>
  <c r="R215" i="4" s="1"/>
  <c r="BA214" i="4"/>
  <c r="AU214" i="4"/>
  <c r="AQ214" i="4"/>
  <c r="AR214" i="4" s="1"/>
  <c r="AO214" i="4"/>
  <c r="AM214" i="4"/>
  <c r="K214" i="4"/>
  <c r="L214" i="4" s="1"/>
  <c r="M214" i="4" s="1"/>
  <c r="BA213" i="4"/>
  <c r="AU213" i="4"/>
  <c r="AQ213" i="4"/>
  <c r="AR213" i="4" s="1"/>
  <c r="AO213" i="4"/>
  <c r="AM213" i="4"/>
  <c r="K213" i="4"/>
  <c r="L213" i="4" s="1"/>
  <c r="M213" i="4" s="1"/>
  <c r="BA212" i="4"/>
  <c r="AU212" i="4"/>
  <c r="AQ212" i="4"/>
  <c r="AR212" i="4" s="1"/>
  <c r="AO212" i="4"/>
  <c r="AM212" i="4"/>
  <c r="L212" i="4"/>
  <c r="M212" i="4" s="1"/>
  <c r="P212" i="4" s="1"/>
  <c r="BA211" i="4"/>
  <c r="AU211" i="4"/>
  <c r="AQ211" i="4"/>
  <c r="AR211" i="4" s="1"/>
  <c r="AO211" i="4"/>
  <c r="AM211" i="4"/>
  <c r="L211" i="4"/>
  <c r="M211" i="4" s="1"/>
  <c r="T211" i="4" s="1"/>
  <c r="BA210" i="4"/>
  <c r="AU210" i="4"/>
  <c r="AQ210" i="4"/>
  <c r="AR210" i="4" s="1"/>
  <c r="AO210" i="4"/>
  <c r="AM210" i="4"/>
  <c r="L210" i="4"/>
  <c r="M210" i="4" s="1"/>
  <c r="BA209" i="4"/>
  <c r="AU209" i="4"/>
  <c r="AQ209" i="4"/>
  <c r="AR209" i="4" s="1"/>
  <c r="AO209" i="4"/>
  <c r="AM209" i="4"/>
  <c r="L209" i="4"/>
  <c r="M209" i="4" s="1"/>
  <c r="R209" i="4" s="1"/>
  <c r="BA208" i="4"/>
  <c r="AU208" i="4"/>
  <c r="AQ208" i="4"/>
  <c r="AR208" i="4" s="1"/>
  <c r="AO208" i="4"/>
  <c r="AM208" i="4"/>
  <c r="L208" i="4"/>
  <c r="M208" i="4" s="1"/>
  <c r="R208" i="4" s="1"/>
  <c r="BA207" i="4"/>
  <c r="AU207" i="4"/>
  <c r="AQ207" i="4"/>
  <c r="AR207" i="4" s="1"/>
  <c r="AO207" i="4"/>
  <c r="AM207" i="4"/>
  <c r="K207" i="4"/>
  <c r="L207" i="4" s="1"/>
  <c r="M207" i="4" s="1"/>
  <c r="R207" i="4" s="1"/>
  <c r="BA206" i="4"/>
  <c r="AU206" i="4"/>
  <c r="AQ206" i="4"/>
  <c r="AR206" i="4" s="1"/>
  <c r="AO206" i="4"/>
  <c r="AM206" i="4"/>
  <c r="K206" i="4"/>
  <c r="L206" i="4" s="1"/>
  <c r="M206" i="4" s="1"/>
  <c r="I206" i="4"/>
  <c r="BA205" i="4"/>
  <c r="AU205" i="4"/>
  <c r="AQ205" i="4"/>
  <c r="AR205" i="4" s="1"/>
  <c r="AO205" i="4"/>
  <c r="AM205" i="4"/>
  <c r="L205" i="4"/>
  <c r="M205" i="4" s="1"/>
  <c r="K205" i="4"/>
  <c r="I205" i="4"/>
  <c r="BA204" i="4"/>
  <c r="AU204" i="4"/>
  <c r="AQ204" i="4"/>
  <c r="AR204" i="4" s="1"/>
  <c r="AO204" i="4"/>
  <c r="AM204" i="4"/>
  <c r="K204" i="4"/>
  <c r="L204" i="4" s="1"/>
  <c r="M204" i="4" s="1"/>
  <c r="BA203" i="4"/>
  <c r="AU203" i="4"/>
  <c r="AQ203" i="4"/>
  <c r="AR203" i="4" s="1"/>
  <c r="AO203" i="4"/>
  <c r="AM203" i="4"/>
  <c r="L203" i="4"/>
  <c r="M203" i="4" s="1"/>
  <c r="V203" i="4" s="1"/>
  <c r="X203" i="4" s="1"/>
  <c r="K203" i="4"/>
  <c r="I203" i="4"/>
  <c r="BA202" i="4"/>
  <c r="AU202" i="4"/>
  <c r="AQ202" i="4"/>
  <c r="AR202" i="4" s="1"/>
  <c r="AO202" i="4"/>
  <c r="AM202" i="4"/>
  <c r="K202" i="4"/>
  <c r="I202" i="4"/>
  <c r="L202" i="4" s="1"/>
  <c r="M202" i="4" s="1"/>
  <c r="V202" i="4" s="1"/>
  <c r="X202" i="4" s="1"/>
  <c r="BA201" i="4"/>
  <c r="AU201" i="4"/>
  <c r="AQ201" i="4"/>
  <c r="AR201" i="4" s="1"/>
  <c r="AO201" i="4"/>
  <c r="AM201" i="4"/>
  <c r="L201" i="4"/>
  <c r="M201" i="4" s="1"/>
  <c r="V201" i="4" s="1"/>
  <c r="X201" i="4" s="1"/>
  <c r="K201" i="4"/>
  <c r="I201" i="4"/>
  <c r="BA200" i="4"/>
  <c r="AU200" i="4"/>
  <c r="AQ200" i="4"/>
  <c r="AR200" i="4" s="1"/>
  <c r="AO200" i="4"/>
  <c r="AM200" i="4"/>
  <c r="L200" i="4"/>
  <c r="M200" i="4" s="1"/>
  <c r="BA199" i="4"/>
  <c r="AU199" i="4"/>
  <c r="AQ199" i="4"/>
  <c r="AR199" i="4" s="1"/>
  <c r="AO199" i="4"/>
  <c r="AM199" i="4"/>
  <c r="R199" i="4"/>
  <c r="L199" i="4"/>
  <c r="BA198" i="4"/>
  <c r="AU198" i="4"/>
  <c r="AQ198" i="4"/>
  <c r="AR198" i="4" s="1"/>
  <c r="AO198" i="4"/>
  <c r="AM198" i="4"/>
  <c r="L198" i="4"/>
  <c r="V198" i="4" s="1"/>
  <c r="X198" i="4" s="1"/>
  <c r="AK198" i="4" s="1"/>
  <c r="BA197" i="4"/>
  <c r="AU197" i="4"/>
  <c r="AQ197" i="4"/>
  <c r="AR197" i="4" s="1"/>
  <c r="AO197" i="4"/>
  <c r="AM197" i="4"/>
  <c r="L197" i="4"/>
  <c r="R197" i="4" s="1"/>
  <c r="BA196" i="4"/>
  <c r="AU196" i="4"/>
  <c r="AQ196" i="4"/>
  <c r="AR196" i="4" s="1"/>
  <c r="AO196" i="4"/>
  <c r="AM196" i="4"/>
  <c r="L196" i="4"/>
  <c r="BA195" i="4"/>
  <c r="AU195" i="4"/>
  <c r="AQ195" i="4"/>
  <c r="AR195" i="4" s="1"/>
  <c r="AO195" i="4"/>
  <c r="AM195" i="4"/>
  <c r="K195" i="4"/>
  <c r="L195" i="4" s="1"/>
  <c r="I195" i="4"/>
  <c r="BA194" i="4"/>
  <c r="AU194" i="4"/>
  <c r="AQ194" i="4"/>
  <c r="AR194" i="4" s="1"/>
  <c r="AO194" i="4"/>
  <c r="AM194" i="4"/>
  <c r="L194" i="4"/>
  <c r="BA193" i="4"/>
  <c r="AU193" i="4"/>
  <c r="AQ193" i="4"/>
  <c r="AR193" i="4" s="1"/>
  <c r="AO193" i="4"/>
  <c r="AM193" i="4"/>
  <c r="K193" i="4"/>
  <c r="L193" i="4" s="1"/>
  <c r="BA192" i="4"/>
  <c r="AU192" i="4"/>
  <c r="AQ192" i="4"/>
  <c r="AR192" i="4" s="1"/>
  <c r="AO192" i="4"/>
  <c r="AM192" i="4"/>
  <c r="L192" i="4"/>
  <c r="R192" i="4" s="1"/>
  <c r="V192" i="4" s="1"/>
  <c r="X192" i="4" s="1"/>
  <c r="AI192" i="4" s="1"/>
  <c r="BA191" i="4"/>
  <c r="AU191" i="4"/>
  <c r="AQ191" i="4"/>
  <c r="AR191" i="4" s="1"/>
  <c r="AO191" i="4"/>
  <c r="AM191" i="4"/>
  <c r="L191" i="4"/>
  <c r="BA190" i="4"/>
  <c r="AU190" i="4"/>
  <c r="AQ190" i="4"/>
  <c r="AR190" i="4" s="1"/>
  <c r="AO190" i="4"/>
  <c r="AM190" i="4"/>
  <c r="L190" i="4"/>
  <c r="V190" i="4" s="1"/>
  <c r="X190" i="4" s="1"/>
  <c r="BA189" i="4"/>
  <c r="AU189" i="4"/>
  <c r="AQ189" i="4"/>
  <c r="AR189" i="4" s="1"/>
  <c r="AO189" i="4"/>
  <c r="AM189" i="4"/>
  <c r="L189" i="4"/>
  <c r="V189" i="4" s="1"/>
  <c r="X189" i="4" s="1"/>
  <c r="BA188" i="4"/>
  <c r="AU188" i="4"/>
  <c r="AQ188" i="4"/>
  <c r="AR188" i="4" s="1"/>
  <c r="AO188" i="4"/>
  <c r="AM188" i="4"/>
  <c r="L188" i="4"/>
  <c r="V188" i="4" s="1"/>
  <c r="X188" i="4" s="1"/>
  <c r="BA187" i="4"/>
  <c r="AU187" i="4"/>
  <c r="AQ187" i="4"/>
  <c r="AR187" i="4" s="1"/>
  <c r="AO187" i="4"/>
  <c r="AM187" i="4"/>
  <c r="L187" i="4"/>
  <c r="V187" i="4" s="1"/>
  <c r="X187" i="4" s="1"/>
  <c r="BA186" i="4"/>
  <c r="AU186" i="4"/>
  <c r="AQ186" i="4"/>
  <c r="AR186" i="4" s="1"/>
  <c r="AO186" i="4"/>
  <c r="AM186" i="4"/>
  <c r="L186" i="4"/>
  <c r="V186" i="4" s="1"/>
  <c r="X186" i="4" s="1"/>
  <c r="AI186" i="4" s="1"/>
  <c r="BA185" i="4"/>
  <c r="AU185" i="4"/>
  <c r="AQ185" i="4"/>
  <c r="AR185" i="4" s="1"/>
  <c r="AO185" i="4"/>
  <c r="AM185" i="4"/>
  <c r="L185" i="4"/>
  <c r="V185" i="4" s="1"/>
  <c r="X185" i="4" s="1"/>
  <c r="BA184" i="4"/>
  <c r="AU184" i="4"/>
  <c r="AQ184" i="4"/>
  <c r="AR184" i="4" s="1"/>
  <c r="AO184" i="4"/>
  <c r="AM184" i="4"/>
  <c r="T184" i="4"/>
  <c r="L184" i="4"/>
  <c r="R184" i="4" s="1"/>
  <c r="BA183" i="4"/>
  <c r="AU183" i="4"/>
  <c r="AQ183" i="4"/>
  <c r="AR183" i="4" s="1"/>
  <c r="AO183" i="4"/>
  <c r="AM183" i="4"/>
  <c r="K183" i="4"/>
  <c r="I183" i="4"/>
  <c r="L183" i="4" s="1"/>
  <c r="V183" i="4" s="1"/>
  <c r="X183" i="4" s="1"/>
  <c r="BA182" i="4"/>
  <c r="AU182" i="4"/>
  <c r="AQ182" i="4"/>
  <c r="AR182" i="4" s="1"/>
  <c r="AO182" i="4"/>
  <c r="AM182" i="4"/>
  <c r="L182" i="4"/>
  <c r="V182" i="4" s="1"/>
  <c r="X182" i="4" s="1"/>
  <c r="K182" i="4"/>
  <c r="I182" i="4"/>
  <c r="BA181" i="4"/>
  <c r="AU181" i="4"/>
  <c r="AQ181" i="4"/>
  <c r="AR181" i="4" s="1"/>
  <c r="AO181" i="4"/>
  <c r="AM181" i="4"/>
  <c r="L181" i="4"/>
  <c r="V181" i="4" s="1"/>
  <c r="X181" i="4" s="1"/>
  <c r="AG181" i="4" s="1"/>
  <c r="BA180" i="4"/>
  <c r="AU180" i="4"/>
  <c r="AQ180" i="4"/>
  <c r="AR180" i="4" s="1"/>
  <c r="AO180" i="4"/>
  <c r="AM180" i="4"/>
  <c r="L180" i="4"/>
  <c r="V180" i="4" s="1"/>
  <c r="X180" i="4" s="1"/>
  <c r="BA179" i="4"/>
  <c r="AU179" i="4"/>
  <c r="AQ179" i="4"/>
  <c r="AR179" i="4" s="1"/>
  <c r="AO179" i="4"/>
  <c r="AM179" i="4"/>
  <c r="L179" i="4"/>
  <c r="R179" i="4" s="1"/>
  <c r="V179" i="4" s="1"/>
  <c r="X179" i="4" s="1"/>
  <c r="AJ179" i="4" s="1"/>
  <c r="BA178" i="4"/>
  <c r="AU178" i="4"/>
  <c r="AQ178" i="4"/>
  <c r="AR178" i="4" s="1"/>
  <c r="AO178" i="4"/>
  <c r="AM178" i="4"/>
  <c r="L178" i="4"/>
  <c r="R178" i="4" s="1"/>
  <c r="BA177" i="4"/>
  <c r="AU177" i="4"/>
  <c r="AQ177" i="4"/>
  <c r="AR177" i="4" s="1"/>
  <c r="AO177" i="4"/>
  <c r="AM177" i="4"/>
  <c r="L177" i="4"/>
  <c r="R177" i="4" s="1"/>
  <c r="V177" i="4" s="1"/>
  <c r="X177" i="4" s="1"/>
  <c r="BA176" i="4"/>
  <c r="AU176" i="4"/>
  <c r="AQ176" i="4"/>
  <c r="AR176" i="4" s="1"/>
  <c r="AO176" i="4"/>
  <c r="AM176" i="4"/>
  <c r="T176" i="4"/>
  <c r="L176" i="4"/>
  <c r="BA175" i="4"/>
  <c r="AU175" i="4"/>
  <c r="AQ175" i="4"/>
  <c r="AR175" i="4" s="1"/>
  <c r="AO175" i="4"/>
  <c r="AM175" i="4"/>
  <c r="L175" i="4"/>
  <c r="BA174" i="4"/>
  <c r="AU174" i="4"/>
  <c r="AQ174" i="4"/>
  <c r="AR174" i="4" s="1"/>
  <c r="AO174" i="4"/>
  <c r="AM174" i="4"/>
  <c r="L174" i="4"/>
  <c r="R174" i="4" s="1"/>
  <c r="V174" i="4" s="1"/>
  <c r="X174" i="4" s="1"/>
  <c r="BA173" i="4"/>
  <c r="AU173" i="4"/>
  <c r="AQ173" i="4"/>
  <c r="AR173" i="4" s="1"/>
  <c r="AO173" i="4"/>
  <c r="AM173" i="4"/>
  <c r="L173" i="4"/>
  <c r="BA172" i="4"/>
  <c r="AU172" i="4"/>
  <c r="AQ172" i="4"/>
  <c r="AR172" i="4" s="1"/>
  <c r="AO172" i="4"/>
  <c r="AM172" i="4"/>
  <c r="L172" i="4"/>
  <c r="V172" i="4" s="1"/>
  <c r="X172" i="4" s="1"/>
  <c r="BA171" i="4"/>
  <c r="AU171" i="4"/>
  <c r="AQ171" i="4"/>
  <c r="AR171" i="4" s="1"/>
  <c r="AO171" i="4"/>
  <c r="AM171" i="4"/>
  <c r="L171" i="4"/>
  <c r="V171" i="4" s="1"/>
  <c r="X171" i="4" s="1"/>
  <c r="K171" i="4"/>
  <c r="I171" i="4"/>
  <c r="BA170" i="4"/>
  <c r="AU170" i="4"/>
  <c r="AQ170" i="4"/>
  <c r="AR170" i="4" s="1"/>
  <c r="AO170" i="4"/>
  <c r="AM170" i="4"/>
  <c r="L170" i="4"/>
  <c r="V170" i="4" s="1"/>
  <c r="X170" i="4" s="1"/>
  <c r="AI170" i="4" s="1"/>
  <c r="K170" i="4"/>
  <c r="I170" i="4"/>
  <c r="BA169" i="4"/>
  <c r="AU169" i="4"/>
  <c r="AQ169" i="4"/>
  <c r="AR169" i="4" s="1"/>
  <c r="AO169" i="4"/>
  <c r="AM169" i="4"/>
  <c r="K169" i="4"/>
  <c r="I169" i="4"/>
  <c r="L169" i="4" s="1"/>
  <c r="V169" i="4" s="1"/>
  <c r="X169" i="4" s="1"/>
  <c r="BA168" i="4"/>
  <c r="AU168" i="4"/>
  <c r="AQ168" i="4"/>
  <c r="AR168" i="4" s="1"/>
  <c r="AO168" i="4"/>
  <c r="AM168" i="4"/>
  <c r="L168" i="4"/>
  <c r="V168" i="4" s="1"/>
  <c r="X168" i="4" s="1"/>
  <c r="BA167" i="4"/>
  <c r="AU167" i="4"/>
  <c r="AQ167" i="4"/>
  <c r="AR167" i="4" s="1"/>
  <c r="AO167" i="4"/>
  <c r="AM167" i="4"/>
  <c r="L167" i="4"/>
  <c r="V167" i="4" s="1"/>
  <c r="X167" i="4" s="1"/>
  <c r="AK167" i="4" s="1"/>
  <c r="BA166" i="4"/>
  <c r="AU166" i="4"/>
  <c r="AQ166" i="4"/>
  <c r="AR166" i="4" s="1"/>
  <c r="AO166" i="4"/>
  <c r="AM166" i="4"/>
  <c r="L166" i="4"/>
  <c r="V166" i="4" s="1"/>
  <c r="X166" i="4" s="1"/>
  <c r="BA165" i="4"/>
  <c r="AU165" i="4"/>
  <c r="AQ165" i="4"/>
  <c r="AR165" i="4" s="1"/>
  <c r="AO165" i="4"/>
  <c r="AM165" i="4"/>
  <c r="L165" i="4"/>
  <c r="R165" i="4" s="1"/>
  <c r="V165" i="4" s="1"/>
  <c r="X165" i="4" s="1"/>
  <c r="AI165" i="4" s="1"/>
  <c r="BA164" i="4"/>
  <c r="AU164" i="4"/>
  <c r="AQ164" i="4"/>
  <c r="AR164" i="4" s="1"/>
  <c r="AO164" i="4"/>
  <c r="AM164" i="4"/>
  <c r="L164" i="4"/>
  <c r="V164" i="4" s="1"/>
  <c r="X164" i="4" s="1"/>
  <c r="K164" i="4"/>
  <c r="I164" i="4"/>
  <c r="BA163" i="4"/>
  <c r="AU163" i="4"/>
  <c r="AQ163" i="4"/>
  <c r="AR163" i="4" s="1"/>
  <c r="AO163" i="4"/>
  <c r="AM163" i="4"/>
  <c r="K163" i="4"/>
  <c r="I163" i="4"/>
  <c r="L163" i="4" s="1"/>
  <c r="R163" i="4" s="1"/>
  <c r="BA162" i="4"/>
  <c r="AU162" i="4"/>
  <c r="AQ162" i="4"/>
  <c r="AR162" i="4" s="1"/>
  <c r="AO162" i="4"/>
  <c r="AM162" i="4"/>
  <c r="K162" i="4"/>
  <c r="I162" i="4"/>
  <c r="L162" i="4" s="1"/>
  <c r="BA161" i="4"/>
  <c r="AU161" i="4"/>
  <c r="AQ161" i="4"/>
  <c r="AR161" i="4" s="1"/>
  <c r="AO161" i="4"/>
  <c r="AM161" i="4"/>
  <c r="T161" i="4"/>
  <c r="L161" i="4"/>
  <c r="R161" i="4" s="1"/>
  <c r="BA160" i="4"/>
  <c r="AU160" i="4"/>
  <c r="AQ160" i="4"/>
  <c r="AR160" i="4" s="1"/>
  <c r="AO160" i="4"/>
  <c r="AM160" i="4"/>
  <c r="T160" i="4"/>
  <c r="L160" i="4"/>
  <c r="R160" i="4" s="1"/>
  <c r="BA159" i="4"/>
  <c r="AU159" i="4"/>
  <c r="AQ159" i="4"/>
  <c r="AR159" i="4" s="1"/>
  <c r="AO159" i="4"/>
  <c r="AM159" i="4"/>
  <c r="L159" i="4"/>
  <c r="R159" i="4" s="1"/>
  <c r="V159" i="4" s="1"/>
  <c r="X159" i="4" s="1"/>
  <c r="BA158" i="4"/>
  <c r="AU158" i="4"/>
  <c r="AQ158" i="4"/>
  <c r="AR158" i="4" s="1"/>
  <c r="AO158" i="4"/>
  <c r="AM158" i="4"/>
  <c r="L158" i="4"/>
  <c r="V158" i="4" s="1"/>
  <c r="X158" i="4" s="1"/>
  <c r="BA157" i="4"/>
  <c r="AU157" i="4"/>
  <c r="AQ157" i="4"/>
  <c r="AR157" i="4" s="1"/>
  <c r="AO157" i="4"/>
  <c r="AM157" i="4"/>
  <c r="L157" i="4"/>
  <c r="V157" i="4" s="1"/>
  <c r="X157" i="4" s="1"/>
  <c r="AJ157" i="4" s="1"/>
  <c r="BA156" i="4"/>
  <c r="AU156" i="4"/>
  <c r="AQ156" i="4"/>
  <c r="AR156" i="4" s="1"/>
  <c r="AO156" i="4"/>
  <c r="AM156" i="4"/>
  <c r="L156" i="4"/>
  <c r="V156" i="4" s="1"/>
  <c r="X156" i="4" s="1"/>
  <c r="BA155" i="4"/>
  <c r="AU155" i="4"/>
  <c r="AQ155" i="4"/>
  <c r="AR155" i="4" s="1"/>
  <c r="AO155" i="4"/>
  <c r="AM155" i="4"/>
  <c r="L155" i="4"/>
  <c r="R155" i="4" s="1"/>
  <c r="V155" i="4" s="1"/>
  <c r="X155" i="4" s="1"/>
  <c r="BA154" i="4"/>
  <c r="AU154" i="4"/>
  <c r="AQ154" i="4"/>
  <c r="AR154" i="4" s="1"/>
  <c r="AO154" i="4"/>
  <c r="AM154" i="4"/>
  <c r="L154" i="4"/>
  <c r="V154" i="4" s="1"/>
  <c r="X154" i="4" s="1"/>
  <c r="BA153" i="4"/>
  <c r="AU153" i="4"/>
  <c r="AQ153" i="4"/>
  <c r="AR153" i="4" s="1"/>
  <c r="AO153" i="4"/>
  <c r="AM153" i="4"/>
  <c r="L153" i="4"/>
  <c r="R153" i="4" s="1"/>
  <c r="BA152" i="4"/>
  <c r="AU152" i="4"/>
  <c r="AQ152" i="4"/>
  <c r="AR152" i="4" s="1"/>
  <c r="AO152" i="4"/>
  <c r="AM152" i="4"/>
  <c r="L152" i="4"/>
  <c r="R152" i="4" s="1"/>
  <c r="BA151" i="4"/>
  <c r="AU151" i="4"/>
  <c r="AQ151" i="4"/>
  <c r="AR151" i="4" s="1"/>
  <c r="AO151" i="4"/>
  <c r="AM151" i="4"/>
  <c r="L151" i="4"/>
  <c r="BA150" i="4"/>
  <c r="AU150" i="4"/>
  <c r="AQ150" i="4"/>
  <c r="AR150" i="4" s="1"/>
  <c r="AO150" i="4"/>
  <c r="AM150" i="4"/>
  <c r="K150" i="4"/>
  <c r="I150" i="4"/>
  <c r="L150" i="4" s="1"/>
  <c r="V150" i="4" s="1"/>
  <c r="X150" i="4" s="1"/>
  <c r="AG150" i="4" s="1"/>
  <c r="BA149" i="4"/>
  <c r="AU149" i="4"/>
  <c r="AQ149" i="4"/>
  <c r="AR149" i="4" s="1"/>
  <c r="AO149" i="4"/>
  <c r="AM149" i="4"/>
  <c r="T149" i="4"/>
  <c r="L149" i="4"/>
  <c r="R149" i="4" s="1"/>
  <c r="BA148" i="4"/>
  <c r="AU148" i="4"/>
  <c r="AQ148" i="4"/>
  <c r="AR148" i="4" s="1"/>
  <c r="AO148" i="4"/>
  <c r="AM148" i="4"/>
  <c r="L148" i="4"/>
  <c r="V148" i="4" s="1"/>
  <c r="X148" i="4" s="1"/>
  <c r="AI148" i="4" s="1"/>
  <c r="BA147" i="4"/>
  <c r="AU147" i="4"/>
  <c r="AQ147" i="4"/>
  <c r="AR147" i="4" s="1"/>
  <c r="AO147" i="4"/>
  <c r="AM147" i="4"/>
  <c r="K147" i="4"/>
  <c r="I147" i="4"/>
  <c r="L147" i="4" s="1"/>
  <c r="V147" i="4" s="1"/>
  <c r="X147" i="4" s="1"/>
  <c r="AJ147" i="4" s="1"/>
  <c r="BA146" i="4"/>
  <c r="AU146" i="4"/>
  <c r="AQ146" i="4"/>
  <c r="AR146" i="4" s="1"/>
  <c r="AO146" i="4"/>
  <c r="AM146" i="4"/>
  <c r="K146" i="4"/>
  <c r="L146" i="4" s="1"/>
  <c r="V146" i="4" s="1"/>
  <c r="X146" i="4" s="1"/>
  <c r="I146" i="4"/>
  <c r="BA145" i="4"/>
  <c r="AU145" i="4"/>
  <c r="AQ145" i="4"/>
  <c r="AR145" i="4" s="1"/>
  <c r="AO145" i="4"/>
  <c r="AM145" i="4"/>
  <c r="K145" i="4"/>
  <c r="I145" i="4"/>
  <c r="L145" i="4" s="1"/>
  <c r="V145" i="4" s="1"/>
  <c r="X145" i="4" s="1"/>
  <c r="AG145" i="4" s="1"/>
  <c r="BA144" i="4"/>
  <c r="AU144" i="4"/>
  <c r="AQ144" i="4"/>
  <c r="AR144" i="4" s="1"/>
  <c r="AO144" i="4"/>
  <c r="AM144" i="4"/>
  <c r="L144" i="4"/>
  <c r="R144" i="4" s="1"/>
  <c r="BA143" i="4"/>
  <c r="AU143" i="4"/>
  <c r="AQ143" i="4"/>
  <c r="AR143" i="4" s="1"/>
  <c r="AO143" i="4"/>
  <c r="AM143" i="4"/>
  <c r="L143" i="4"/>
  <c r="V143" i="4" s="1"/>
  <c r="X143" i="4" s="1"/>
  <c r="AK143" i="4" s="1"/>
  <c r="BA142" i="4"/>
  <c r="AU142" i="4"/>
  <c r="AQ142" i="4"/>
  <c r="AR142" i="4" s="1"/>
  <c r="AO142" i="4"/>
  <c r="AM142" i="4"/>
  <c r="K142" i="4"/>
  <c r="I142" i="4"/>
  <c r="BA141" i="4"/>
  <c r="AU141" i="4"/>
  <c r="AQ141" i="4"/>
  <c r="AR141" i="4" s="1"/>
  <c r="AO141" i="4"/>
  <c r="AM141" i="4"/>
  <c r="L141" i="4"/>
  <c r="R141" i="4" s="1"/>
  <c r="BA140" i="4"/>
  <c r="AU140" i="4"/>
  <c r="AQ140" i="4"/>
  <c r="AR140" i="4" s="1"/>
  <c r="AO140" i="4"/>
  <c r="AM140" i="4"/>
  <c r="L140" i="4"/>
  <c r="R140" i="4" s="1"/>
  <c r="BA139" i="4"/>
  <c r="AU139" i="4"/>
  <c r="AQ139" i="4"/>
  <c r="AR139" i="4" s="1"/>
  <c r="AO139" i="4"/>
  <c r="AM139" i="4"/>
  <c r="L139" i="4"/>
  <c r="R139" i="4" s="1"/>
  <c r="V139" i="4" s="1"/>
  <c r="X139" i="4" s="1"/>
  <c r="AI139" i="4" s="1"/>
  <c r="BA138" i="4"/>
  <c r="AU138" i="4"/>
  <c r="AQ138" i="4"/>
  <c r="AR138" i="4" s="1"/>
  <c r="AO138" i="4"/>
  <c r="AM138" i="4"/>
  <c r="L138" i="4"/>
  <c r="BA137" i="4"/>
  <c r="AU137" i="4"/>
  <c r="AQ137" i="4"/>
  <c r="AR137" i="4" s="1"/>
  <c r="AO137" i="4"/>
  <c r="AM137" i="4"/>
  <c r="L137" i="4"/>
  <c r="R137" i="4" s="1"/>
  <c r="BA136" i="4"/>
  <c r="AU136" i="4"/>
  <c r="AQ136" i="4"/>
  <c r="AR136" i="4" s="1"/>
  <c r="AO136" i="4"/>
  <c r="AM136" i="4"/>
  <c r="T136" i="4"/>
  <c r="L136" i="4"/>
  <c r="BA135" i="4"/>
  <c r="AU135" i="4"/>
  <c r="AQ135" i="4"/>
  <c r="AR135" i="4" s="1"/>
  <c r="AO135" i="4"/>
  <c r="AM135" i="4"/>
  <c r="T135" i="4"/>
  <c r="L135" i="4"/>
  <c r="BA134" i="4"/>
  <c r="AU134" i="4"/>
  <c r="AQ134" i="4"/>
  <c r="AR134" i="4" s="1"/>
  <c r="AO134" i="4"/>
  <c r="AM134" i="4"/>
  <c r="T134" i="4"/>
  <c r="L134" i="4"/>
  <c r="R134" i="4" s="1"/>
  <c r="BA133" i="4"/>
  <c r="AU133" i="4"/>
  <c r="AQ133" i="4"/>
  <c r="AR133" i="4" s="1"/>
  <c r="AO133" i="4"/>
  <c r="AM133" i="4"/>
  <c r="L133" i="4"/>
  <c r="R133" i="4" s="1"/>
  <c r="BA132" i="4"/>
  <c r="AU132" i="4"/>
  <c r="AQ132" i="4"/>
  <c r="AR132" i="4" s="1"/>
  <c r="AO132" i="4"/>
  <c r="AM132" i="4"/>
  <c r="K132" i="4"/>
  <c r="L132" i="4" s="1"/>
  <c r="V132" i="4" s="1"/>
  <c r="X132" i="4" s="1"/>
  <c r="BA131" i="4"/>
  <c r="AU131" i="4"/>
  <c r="AQ131" i="4"/>
  <c r="AR131" i="4" s="1"/>
  <c r="AO131" i="4"/>
  <c r="AM131" i="4"/>
  <c r="K131" i="4"/>
  <c r="L131" i="4" s="1"/>
  <c r="V131" i="4" s="1"/>
  <c r="X131" i="4" s="1"/>
  <c r="BA130" i="4"/>
  <c r="AU130" i="4"/>
  <c r="AQ130" i="4"/>
  <c r="AR130" i="4" s="1"/>
  <c r="AO130" i="4"/>
  <c r="AM130" i="4"/>
  <c r="L130" i="4"/>
  <c r="R130" i="4" s="1"/>
  <c r="V130" i="4" s="1"/>
  <c r="X130" i="4" s="1"/>
  <c r="BA129" i="4"/>
  <c r="AU129" i="4"/>
  <c r="AQ129" i="4"/>
  <c r="AR129" i="4" s="1"/>
  <c r="AO129" i="4"/>
  <c r="AM129" i="4"/>
  <c r="L129" i="4"/>
  <c r="V129" i="4" s="1"/>
  <c r="X129" i="4" s="1"/>
  <c r="BA128" i="4"/>
  <c r="AU128" i="4"/>
  <c r="AQ128" i="4"/>
  <c r="AR128" i="4" s="1"/>
  <c r="AO128" i="4"/>
  <c r="AM128" i="4"/>
  <c r="L128" i="4"/>
  <c r="V128" i="4" s="1"/>
  <c r="X128" i="4" s="1"/>
  <c r="AK128" i="4" s="1"/>
  <c r="BA127" i="4"/>
  <c r="AU127" i="4"/>
  <c r="AQ127" i="4"/>
  <c r="AR127" i="4" s="1"/>
  <c r="AO127" i="4"/>
  <c r="AM127" i="4"/>
  <c r="K127" i="4"/>
  <c r="L127" i="4" s="1"/>
  <c r="R127" i="4" s="1"/>
  <c r="BA126" i="4"/>
  <c r="AU126" i="4"/>
  <c r="AQ126" i="4"/>
  <c r="AR126" i="4" s="1"/>
  <c r="AO126" i="4"/>
  <c r="AM126" i="4"/>
  <c r="K126" i="4"/>
  <c r="L126" i="4" s="1"/>
  <c r="BA125" i="4"/>
  <c r="AU125" i="4"/>
  <c r="AQ125" i="4"/>
  <c r="AR125" i="4" s="1"/>
  <c r="AO125" i="4"/>
  <c r="AM125" i="4"/>
  <c r="T125" i="4"/>
  <c r="L125" i="4"/>
  <c r="BA124" i="4"/>
  <c r="AU124" i="4"/>
  <c r="AQ124" i="4"/>
  <c r="AR124" i="4" s="1"/>
  <c r="AO124" i="4"/>
  <c r="AM124" i="4"/>
  <c r="L124" i="4"/>
  <c r="R124" i="4" s="1"/>
  <c r="V124" i="4" s="1"/>
  <c r="X124" i="4" s="1"/>
  <c r="BA123" i="4"/>
  <c r="AU123" i="4"/>
  <c r="AQ123" i="4"/>
  <c r="AR123" i="4" s="1"/>
  <c r="AO123" i="4"/>
  <c r="AM123" i="4"/>
  <c r="L123" i="4"/>
  <c r="V123" i="4" s="1"/>
  <c r="X123" i="4" s="1"/>
  <c r="AK123" i="4" s="1"/>
  <c r="K123" i="4"/>
  <c r="I123" i="4"/>
  <c r="BA122" i="4"/>
  <c r="AU122" i="4"/>
  <c r="AQ122" i="4"/>
  <c r="AR122" i="4" s="1"/>
  <c r="AO122" i="4"/>
  <c r="AM122" i="4"/>
  <c r="L122" i="4"/>
  <c r="V122" i="4" s="1"/>
  <c r="X122" i="4" s="1"/>
  <c r="AJ122" i="4" s="1"/>
  <c r="BA121" i="4"/>
  <c r="AU121" i="4"/>
  <c r="AQ121" i="4"/>
  <c r="AR121" i="4" s="1"/>
  <c r="AO121" i="4"/>
  <c r="AM121" i="4"/>
  <c r="L121" i="4"/>
  <c r="V121" i="4" s="1"/>
  <c r="X121" i="4" s="1"/>
  <c r="AK121" i="4" s="1"/>
  <c r="BA120" i="4"/>
  <c r="AU120" i="4"/>
  <c r="AQ120" i="4"/>
  <c r="AR120" i="4" s="1"/>
  <c r="AO120" i="4"/>
  <c r="AM120" i="4"/>
  <c r="L120" i="4"/>
  <c r="R120" i="4" s="1"/>
  <c r="V120" i="4" s="1"/>
  <c r="X120" i="4" s="1"/>
  <c r="AI120" i="4" s="1"/>
  <c r="BA119" i="4"/>
  <c r="AU119" i="4"/>
  <c r="AQ119" i="4"/>
  <c r="AR119" i="4" s="1"/>
  <c r="AO119" i="4"/>
  <c r="AM119" i="4"/>
  <c r="L119" i="4"/>
  <c r="BA118" i="4"/>
  <c r="AU118" i="4"/>
  <c r="AQ118" i="4"/>
  <c r="AR118" i="4" s="1"/>
  <c r="AO118" i="4"/>
  <c r="AM118" i="4"/>
  <c r="L118" i="4"/>
  <c r="V118" i="4" s="1"/>
  <c r="X118" i="4" s="1"/>
  <c r="AI118" i="4" s="1"/>
  <c r="K118" i="4"/>
  <c r="I118" i="4"/>
  <c r="BA117" i="4"/>
  <c r="AU117" i="4"/>
  <c r="AQ117" i="4"/>
  <c r="AR117" i="4" s="1"/>
  <c r="AO117" i="4"/>
  <c r="AM117" i="4"/>
  <c r="K117" i="4"/>
  <c r="L117" i="4" s="1"/>
  <c r="V117" i="4" s="1"/>
  <c r="X117" i="4" s="1"/>
  <c r="I117" i="4"/>
  <c r="BA116" i="4"/>
  <c r="AU116" i="4"/>
  <c r="AQ116" i="4"/>
  <c r="AR116" i="4" s="1"/>
  <c r="AO116" i="4"/>
  <c r="AM116" i="4"/>
  <c r="K116" i="4"/>
  <c r="I116" i="4"/>
  <c r="BA115" i="4"/>
  <c r="AU115" i="4"/>
  <c r="AQ115" i="4"/>
  <c r="AR115" i="4" s="1"/>
  <c r="AO115" i="4"/>
  <c r="AM115" i="4"/>
  <c r="L115" i="4"/>
  <c r="V115" i="4" s="1"/>
  <c r="X115" i="4" s="1"/>
  <c r="AJ115" i="4" s="1"/>
  <c r="BA114" i="4"/>
  <c r="AU114" i="4"/>
  <c r="AQ114" i="4"/>
  <c r="AR114" i="4" s="1"/>
  <c r="AO114" i="4"/>
  <c r="AM114" i="4"/>
  <c r="T114" i="4"/>
  <c r="K114" i="4"/>
  <c r="L114" i="4" s="1"/>
  <c r="R114" i="4" s="1"/>
  <c r="BA113" i="4"/>
  <c r="AU113" i="4"/>
  <c r="AQ113" i="4"/>
  <c r="AR113" i="4" s="1"/>
  <c r="AO113" i="4"/>
  <c r="AM113" i="4"/>
  <c r="K113" i="4"/>
  <c r="L113" i="4" s="1"/>
  <c r="V113" i="4" s="1"/>
  <c r="X113" i="4" s="1"/>
  <c r="AK113" i="4" s="1"/>
  <c r="BA112" i="4"/>
  <c r="AU112" i="4"/>
  <c r="AQ112" i="4"/>
  <c r="AR112" i="4" s="1"/>
  <c r="AO112" i="4"/>
  <c r="AM112" i="4"/>
  <c r="K112" i="4"/>
  <c r="L112" i="4" s="1"/>
  <c r="V112" i="4" s="1"/>
  <c r="X112" i="4" s="1"/>
  <c r="AI112" i="4" s="1"/>
  <c r="BA111" i="4"/>
  <c r="AU111" i="4"/>
  <c r="AQ111" i="4"/>
  <c r="AR111" i="4" s="1"/>
  <c r="AO111" i="4"/>
  <c r="AM111" i="4"/>
  <c r="L111" i="4"/>
  <c r="BA110" i="4"/>
  <c r="AU110" i="4"/>
  <c r="AQ110" i="4"/>
  <c r="AR110" i="4" s="1"/>
  <c r="AO110" i="4"/>
  <c r="AM110" i="4"/>
  <c r="R110" i="4"/>
  <c r="K110" i="4"/>
  <c r="I110" i="4"/>
  <c r="L110" i="4" s="1"/>
  <c r="BA109" i="4"/>
  <c r="AU109" i="4"/>
  <c r="AQ109" i="4"/>
  <c r="AR109" i="4" s="1"/>
  <c r="AO109" i="4"/>
  <c r="AM109" i="4"/>
  <c r="R109" i="4"/>
  <c r="K109" i="4"/>
  <c r="I109" i="4"/>
  <c r="L109" i="4" s="1"/>
  <c r="BA108" i="4"/>
  <c r="AU108" i="4"/>
  <c r="AQ108" i="4"/>
  <c r="AR108" i="4" s="1"/>
  <c r="AO108" i="4"/>
  <c r="AM108" i="4"/>
  <c r="R108" i="4"/>
  <c r="K108" i="4"/>
  <c r="I108" i="4"/>
  <c r="L108" i="4" s="1"/>
  <c r="BA107" i="4"/>
  <c r="AU107" i="4"/>
  <c r="AQ107" i="4"/>
  <c r="AR107" i="4" s="1"/>
  <c r="AO107" i="4"/>
  <c r="AM107" i="4"/>
  <c r="L107" i="4"/>
  <c r="R107" i="4" s="1"/>
  <c r="V107" i="4" s="1"/>
  <c r="X107" i="4" s="1"/>
  <c r="AI107" i="4" s="1"/>
  <c r="BA106" i="4"/>
  <c r="AU106" i="4"/>
  <c r="AQ106" i="4"/>
  <c r="AR106" i="4" s="1"/>
  <c r="AO106" i="4"/>
  <c r="AM106" i="4"/>
  <c r="R106" i="4"/>
  <c r="L106" i="4"/>
  <c r="BA105" i="4"/>
  <c r="AU105" i="4"/>
  <c r="AQ105" i="4"/>
  <c r="AR105" i="4" s="1"/>
  <c r="AO105" i="4"/>
  <c r="AM105" i="4"/>
  <c r="K105" i="4"/>
  <c r="L105" i="4" s="1"/>
  <c r="R105" i="4" s="1"/>
  <c r="V105" i="4" s="1"/>
  <c r="X105" i="4" s="1"/>
  <c r="BA104" i="4"/>
  <c r="AU104" i="4"/>
  <c r="AQ104" i="4"/>
  <c r="AR104" i="4" s="1"/>
  <c r="AO104" i="4"/>
  <c r="AM104" i="4"/>
  <c r="R104" i="4"/>
  <c r="L104" i="4"/>
  <c r="BA103" i="4"/>
  <c r="AU103" i="4"/>
  <c r="AQ103" i="4"/>
  <c r="AR103" i="4" s="1"/>
  <c r="AO103" i="4"/>
  <c r="AM103" i="4"/>
  <c r="R103" i="4"/>
  <c r="L103" i="4"/>
  <c r="BA102" i="4"/>
  <c r="AU102" i="4"/>
  <c r="AQ102" i="4"/>
  <c r="AR102" i="4" s="1"/>
  <c r="AO102" i="4"/>
  <c r="AM102" i="4"/>
  <c r="L102" i="4"/>
  <c r="R102" i="4" s="1"/>
  <c r="BA101" i="4"/>
  <c r="AU101" i="4"/>
  <c r="AQ101" i="4"/>
  <c r="AR101" i="4" s="1"/>
  <c r="AO101" i="4"/>
  <c r="AM101" i="4"/>
  <c r="L101" i="4"/>
  <c r="V101" i="4" s="1"/>
  <c r="X101" i="4" s="1"/>
  <c r="AJ101" i="4" s="1"/>
  <c r="I101" i="4"/>
  <c r="BA100" i="4"/>
  <c r="AU100" i="4"/>
  <c r="AQ100" i="4"/>
  <c r="AR100" i="4" s="1"/>
  <c r="AO100" i="4"/>
  <c r="AM100" i="4"/>
  <c r="I100" i="4"/>
  <c r="L100" i="4" s="1"/>
  <c r="V100" i="4" s="1"/>
  <c r="X100" i="4" s="1"/>
  <c r="BA99" i="4"/>
  <c r="AU99" i="4"/>
  <c r="AQ99" i="4"/>
  <c r="AR99" i="4" s="1"/>
  <c r="AO99" i="4"/>
  <c r="AM99" i="4"/>
  <c r="K99" i="4"/>
  <c r="I99" i="4"/>
  <c r="L99" i="4" s="1"/>
  <c r="V99" i="4" s="1"/>
  <c r="X99" i="4" s="1"/>
  <c r="BA98" i="4"/>
  <c r="AU98" i="4"/>
  <c r="AQ98" i="4"/>
  <c r="AR98" i="4" s="1"/>
  <c r="AO98" i="4"/>
  <c r="AM98" i="4"/>
  <c r="L98" i="4"/>
  <c r="V98" i="4" s="1"/>
  <c r="X98" i="4" s="1"/>
  <c r="AI98" i="4" s="1"/>
  <c r="BA97" i="4"/>
  <c r="AU97" i="4"/>
  <c r="AQ97" i="4"/>
  <c r="AR97" i="4" s="1"/>
  <c r="AO97" i="4"/>
  <c r="AM97" i="4"/>
  <c r="L97" i="4"/>
  <c r="V97" i="4" s="1"/>
  <c r="X97" i="4" s="1"/>
  <c r="AJ97" i="4" s="1"/>
  <c r="BA96" i="4"/>
  <c r="AU96" i="4"/>
  <c r="AQ96" i="4"/>
  <c r="AR96" i="4" s="1"/>
  <c r="AO96" i="4"/>
  <c r="AM96" i="4"/>
  <c r="K96" i="4"/>
  <c r="L96" i="4" s="1"/>
  <c r="V96" i="4" s="1"/>
  <c r="X96" i="4" s="1"/>
  <c r="AJ96" i="4" s="1"/>
  <c r="BA95" i="4"/>
  <c r="AU95" i="4"/>
  <c r="AQ95" i="4"/>
  <c r="AR95" i="4" s="1"/>
  <c r="AO95" i="4"/>
  <c r="AM95" i="4"/>
  <c r="K95" i="4"/>
  <c r="L95" i="4" s="1"/>
  <c r="V95" i="4" s="1"/>
  <c r="X95" i="4" s="1"/>
  <c r="BA94" i="4"/>
  <c r="AU94" i="4"/>
  <c r="AQ94" i="4"/>
  <c r="AR94" i="4" s="1"/>
  <c r="AO94" i="4"/>
  <c r="AM94" i="4"/>
  <c r="L94" i="4"/>
  <c r="V94" i="4" s="1"/>
  <c r="X94" i="4" s="1"/>
  <c r="BA93" i="4"/>
  <c r="AU93" i="4"/>
  <c r="AQ93" i="4"/>
  <c r="AR93" i="4" s="1"/>
  <c r="AO93" i="4"/>
  <c r="AM93" i="4"/>
  <c r="K93" i="4"/>
  <c r="L93" i="4" s="1"/>
  <c r="V93" i="4" s="1"/>
  <c r="X93" i="4" s="1"/>
  <c r="I93" i="4"/>
  <c r="BA92" i="4"/>
  <c r="AU92" i="4"/>
  <c r="AQ92" i="4"/>
  <c r="AR92" i="4" s="1"/>
  <c r="AO92" i="4"/>
  <c r="AM92" i="4"/>
  <c r="K92" i="4"/>
  <c r="I92" i="4"/>
  <c r="BA91" i="4"/>
  <c r="AU91" i="4"/>
  <c r="AQ91" i="4"/>
  <c r="AR91" i="4" s="1"/>
  <c r="AO91" i="4"/>
  <c r="AM91" i="4"/>
  <c r="L91" i="4"/>
  <c r="V91" i="4" s="1"/>
  <c r="X91" i="4" s="1"/>
  <c r="AJ91" i="4" s="1"/>
  <c r="BA90" i="4"/>
  <c r="AU90" i="4"/>
  <c r="AQ90" i="4"/>
  <c r="AR90" i="4" s="1"/>
  <c r="AO90" i="4"/>
  <c r="AM90" i="4"/>
  <c r="L90" i="4"/>
  <c r="BA89" i="4"/>
  <c r="AU89" i="4"/>
  <c r="AQ89" i="4"/>
  <c r="AR89" i="4" s="1"/>
  <c r="AO89" i="4"/>
  <c r="AM89" i="4"/>
  <c r="L89" i="4"/>
  <c r="V89" i="4" s="1"/>
  <c r="X89" i="4" s="1"/>
  <c r="I89" i="4"/>
  <c r="BA88" i="4"/>
  <c r="AU88" i="4"/>
  <c r="AQ88" i="4"/>
  <c r="AR88" i="4" s="1"/>
  <c r="AO88" i="4"/>
  <c r="AM88" i="4"/>
  <c r="L88" i="4"/>
  <c r="V88" i="4" s="1"/>
  <c r="X88" i="4" s="1"/>
  <c r="AH88" i="4" s="1"/>
  <c r="I88" i="4"/>
  <c r="BA87" i="4"/>
  <c r="AU87" i="4"/>
  <c r="AQ87" i="4"/>
  <c r="AR87" i="4" s="1"/>
  <c r="AO87" i="4"/>
  <c r="AM87" i="4"/>
  <c r="L87" i="4"/>
  <c r="V87" i="4" s="1"/>
  <c r="X87" i="4" s="1"/>
  <c r="AJ87" i="4" s="1"/>
  <c r="BA86" i="4"/>
  <c r="AU86" i="4"/>
  <c r="AQ86" i="4"/>
  <c r="AR86" i="4" s="1"/>
  <c r="AO86" i="4"/>
  <c r="AM86" i="4"/>
  <c r="L86" i="4"/>
  <c r="V86" i="4" s="1"/>
  <c r="X86" i="4" s="1"/>
  <c r="AJ86" i="4" s="1"/>
  <c r="BA85" i="4"/>
  <c r="AU85" i="4"/>
  <c r="AQ85" i="4"/>
  <c r="AR85" i="4" s="1"/>
  <c r="AO85" i="4"/>
  <c r="AM85" i="4"/>
  <c r="L85" i="4"/>
  <c r="V85" i="4" s="1"/>
  <c r="X85" i="4" s="1"/>
  <c r="AK85" i="4" s="1"/>
  <c r="I85" i="4"/>
  <c r="BA84" i="4"/>
  <c r="AU84" i="4"/>
  <c r="AQ84" i="4"/>
  <c r="AR84" i="4" s="1"/>
  <c r="AO84" i="4"/>
  <c r="AM84" i="4"/>
  <c r="L84" i="4"/>
  <c r="V84" i="4" s="1"/>
  <c r="X84" i="4" s="1"/>
  <c r="AJ84" i="4" s="1"/>
  <c r="BA83" i="4"/>
  <c r="AU83" i="4"/>
  <c r="AQ83" i="4"/>
  <c r="AR83" i="4" s="1"/>
  <c r="AO83" i="4"/>
  <c r="AM83" i="4"/>
  <c r="K83" i="4"/>
  <c r="L83" i="4" s="1"/>
  <c r="V83" i="4" s="1"/>
  <c r="X83" i="4" s="1"/>
  <c r="AK83" i="4" s="1"/>
  <c r="BA82" i="4"/>
  <c r="AU82" i="4"/>
  <c r="AQ82" i="4"/>
  <c r="AR82" i="4" s="1"/>
  <c r="AO82" i="4"/>
  <c r="AM82" i="4"/>
  <c r="L82" i="4"/>
  <c r="V82" i="4" s="1"/>
  <c r="X82" i="4" s="1"/>
  <c r="BA81" i="4"/>
  <c r="AU81" i="4"/>
  <c r="AQ81" i="4"/>
  <c r="AR81" i="4" s="1"/>
  <c r="AO81" i="4"/>
  <c r="AM81" i="4"/>
  <c r="K81" i="4"/>
  <c r="I81" i="4"/>
  <c r="L81" i="4" s="1"/>
  <c r="V81" i="4" s="1"/>
  <c r="X81" i="4" s="1"/>
  <c r="BA80" i="4"/>
  <c r="AU80" i="4"/>
  <c r="AQ80" i="4"/>
  <c r="AR80" i="4" s="1"/>
  <c r="AO80" i="4"/>
  <c r="AM80" i="4"/>
  <c r="L80" i="4"/>
  <c r="V80" i="4" s="1"/>
  <c r="X80" i="4" s="1"/>
  <c r="AI80" i="4" s="1"/>
  <c r="BA79" i="4"/>
  <c r="AU79" i="4"/>
  <c r="AQ79" i="4"/>
  <c r="AR79" i="4" s="1"/>
  <c r="AO79" i="4"/>
  <c r="AM79" i="4"/>
  <c r="T79" i="4"/>
  <c r="L79" i="4"/>
  <c r="R79" i="4" s="1"/>
  <c r="BA78" i="4"/>
  <c r="AU78" i="4"/>
  <c r="AQ78" i="4"/>
  <c r="AR78" i="4" s="1"/>
  <c r="AO78" i="4"/>
  <c r="AM78" i="4"/>
  <c r="T78" i="4"/>
  <c r="L78" i="4"/>
  <c r="R78" i="4" s="1"/>
  <c r="BA77" i="4"/>
  <c r="AU77" i="4"/>
  <c r="AQ77" i="4"/>
  <c r="AR77" i="4" s="1"/>
  <c r="AO77" i="4"/>
  <c r="AM77" i="4"/>
  <c r="L77" i="4"/>
  <c r="V77" i="4" s="1"/>
  <c r="X77" i="4" s="1"/>
  <c r="AK77" i="4" s="1"/>
  <c r="BA76" i="4"/>
  <c r="AU76" i="4"/>
  <c r="AQ76" i="4"/>
  <c r="AR76" i="4" s="1"/>
  <c r="AO76" i="4"/>
  <c r="AM76" i="4"/>
  <c r="L76" i="4"/>
  <c r="V76" i="4" s="1"/>
  <c r="X76" i="4" s="1"/>
  <c r="AI76" i="4" s="1"/>
  <c r="K76" i="4"/>
  <c r="I76" i="4"/>
  <c r="BA75" i="4"/>
  <c r="AU75" i="4"/>
  <c r="AQ75" i="4"/>
  <c r="AR75" i="4" s="1"/>
  <c r="AO75" i="4"/>
  <c r="AM75" i="4"/>
  <c r="L75" i="4"/>
  <c r="BA74" i="4"/>
  <c r="AU74" i="4"/>
  <c r="AQ74" i="4"/>
  <c r="AR74" i="4" s="1"/>
  <c r="AO74" i="4"/>
  <c r="AM74" i="4"/>
  <c r="L74" i="4"/>
  <c r="BA73" i="4"/>
  <c r="AU73" i="4"/>
  <c r="AQ73" i="4"/>
  <c r="AR73" i="4" s="1"/>
  <c r="AO73" i="4"/>
  <c r="AM73" i="4"/>
  <c r="R73" i="4"/>
  <c r="K73" i="4"/>
  <c r="L73" i="4" s="1"/>
  <c r="BA72" i="4"/>
  <c r="AU72" i="4"/>
  <c r="AQ72" i="4"/>
  <c r="AR72" i="4" s="1"/>
  <c r="AO72" i="4"/>
  <c r="AM72" i="4"/>
  <c r="R72" i="4"/>
  <c r="L72" i="4"/>
  <c r="BA71" i="4"/>
  <c r="AU71" i="4"/>
  <c r="AQ71" i="4"/>
  <c r="AR71" i="4" s="1"/>
  <c r="AO71" i="4"/>
  <c r="AM71" i="4"/>
  <c r="L71" i="4"/>
  <c r="BA70" i="4"/>
  <c r="AU70" i="4"/>
  <c r="AQ70" i="4"/>
  <c r="AR70" i="4" s="1"/>
  <c r="AO70" i="4"/>
  <c r="AM70" i="4"/>
  <c r="L70" i="4"/>
  <c r="BA69" i="4"/>
  <c r="AU69" i="4"/>
  <c r="AQ69" i="4"/>
  <c r="AR69" i="4" s="1"/>
  <c r="AO69" i="4"/>
  <c r="AM69" i="4"/>
  <c r="L69" i="4"/>
  <c r="R69" i="4" s="1"/>
  <c r="V69" i="4" s="1"/>
  <c r="X69" i="4" s="1"/>
  <c r="BA68" i="4"/>
  <c r="AU68" i="4"/>
  <c r="AQ68" i="4"/>
  <c r="AR68" i="4" s="1"/>
  <c r="AO68" i="4"/>
  <c r="AM68" i="4"/>
  <c r="K68" i="4"/>
  <c r="L68" i="4" s="1"/>
  <c r="V68" i="4" s="1"/>
  <c r="X68" i="4" s="1"/>
  <c r="BA67" i="4"/>
  <c r="AU67" i="4"/>
  <c r="AQ67" i="4"/>
  <c r="AR67" i="4" s="1"/>
  <c r="AO67" i="4"/>
  <c r="AM67" i="4"/>
  <c r="T67" i="4"/>
  <c r="I67" i="4"/>
  <c r="L67" i="4" s="1"/>
  <c r="R67" i="4" s="1"/>
  <c r="BA66" i="4"/>
  <c r="AU66" i="4"/>
  <c r="AQ66" i="4"/>
  <c r="AR66" i="4" s="1"/>
  <c r="AO66" i="4"/>
  <c r="AM66" i="4"/>
  <c r="L66" i="4"/>
  <c r="V66" i="4" s="1"/>
  <c r="X66" i="4" s="1"/>
  <c r="AI66" i="4" s="1"/>
  <c r="BA65" i="4"/>
  <c r="AU65" i="4"/>
  <c r="AQ65" i="4"/>
  <c r="AR65" i="4" s="1"/>
  <c r="AO65" i="4"/>
  <c r="AM65" i="4"/>
  <c r="L65" i="4"/>
  <c r="V65" i="4" s="1"/>
  <c r="X65" i="4" s="1"/>
  <c r="AJ65" i="4" s="1"/>
  <c r="BA64" i="4"/>
  <c r="AU64" i="4"/>
  <c r="AQ64" i="4"/>
  <c r="AR64" i="4" s="1"/>
  <c r="AO64" i="4"/>
  <c r="AM64" i="4"/>
  <c r="L64" i="4"/>
  <c r="V64" i="4" s="1"/>
  <c r="X64" i="4" s="1"/>
  <c r="AJ64" i="4" s="1"/>
  <c r="BA63" i="4"/>
  <c r="AU63" i="4"/>
  <c r="AQ63" i="4"/>
  <c r="AR63" i="4" s="1"/>
  <c r="AO63" i="4"/>
  <c r="AM63" i="4"/>
  <c r="L63" i="4"/>
  <c r="V63" i="4" s="1"/>
  <c r="X63" i="4" s="1"/>
  <c r="AK63" i="4" s="1"/>
  <c r="BA62" i="4"/>
  <c r="AU62" i="4"/>
  <c r="AQ62" i="4"/>
  <c r="AR62" i="4" s="1"/>
  <c r="AO62" i="4"/>
  <c r="AM62" i="4"/>
  <c r="L62" i="4"/>
  <c r="V62" i="4" s="1"/>
  <c r="X62" i="4" s="1"/>
  <c r="AI62" i="4" s="1"/>
  <c r="BA61" i="4"/>
  <c r="AU61" i="4"/>
  <c r="AQ61" i="4"/>
  <c r="AR61" i="4" s="1"/>
  <c r="AO61" i="4"/>
  <c r="AM61" i="4"/>
  <c r="L61" i="4"/>
  <c r="V61" i="4" s="1"/>
  <c r="X61" i="4" s="1"/>
  <c r="AJ61" i="4" s="1"/>
  <c r="BA60" i="4"/>
  <c r="AU60" i="4"/>
  <c r="AQ60" i="4"/>
  <c r="AR60" i="4" s="1"/>
  <c r="AO60" i="4"/>
  <c r="AM60" i="4"/>
  <c r="K60" i="4"/>
  <c r="L60" i="4" s="1"/>
  <c r="V60" i="4" s="1"/>
  <c r="X60" i="4" s="1"/>
  <c r="BA59" i="4"/>
  <c r="AU59" i="4"/>
  <c r="AQ59" i="4"/>
  <c r="AR59" i="4" s="1"/>
  <c r="AO59" i="4"/>
  <c r="AM59" i="4"/>
  <c r="L59" i="4"/>
  <c r="V59" i="4" s="1"/>
  <c r="X59" i="4" s="1"/>
  <c r="BA58" i="4"/>
  <c r="AU58" i="4"/>
  <c r="AQ58" i="4"/>
  <c r="AR58" i="4" s="1"/>
  <c r="AO58" i="4"/>
  <c r="AM58" i="4"/>
  <c r="T58" i="4"/>
  <c r="L58" i="4"/>
  <c r="R58" i="4" s="1"/>
  <c r="BA57" i="4"/>
  <c r="AU57" i="4"/>
  <c r="AQ57" i="4"/>
  <c r="AR57" i="4" s="1"/>
  <c r="AO57" i="4"/>
  <c r="AM57" i="4"/>
  <c r="L57" i="4"/>
  <c r="V57" i="4" s="1"/>
  <c r="X57" i="4" s="1"/>
  <c r="BA56" i="4"/>
  <c r="AU56" i="4"/>
  <c r="AQ56" i="4"/>
  <c r="AR56" i="4" s="1"/>
  <c r="AO56" i="4"/>
  <c r="AM56" i="4"/>
  <c r="L56" i="4"/>
  <c r="V56" i="4" s="1"/>
  <c r="X56" i="4" s="1"/>
  <c r="K56" i="4"/>
  <c r="I56" i="4"/>
  <c r="BA55" i="4"/>
  <c r="AU55" i="4"/>
  <c r="AQ55" i="4"/>
  <c r="AR55" i="4" s="1"/>
  <c r="AO55" i="4"/>
  <c r="AM55" i="4"/>
  <c r="T55" i="4"/>
  <c r="L55" i="4"/>
  <c r="R55" i="4" s="1"/>
  <c r="BA54" i="4"/>
  <c r="AU54" i="4"/>
  <c r="AQ54" i="4"/>
  <c r="AR54" i="4" s="1"/>
  <c r="AO54" i="4"/>
  <c r="AM54" i="4"/>
  <c r="L54" i="4"/>
  <c r="V54" i="4" s="1"/>
  <c r="X54" i="4" s="1"/>
  <c r="BA53" i="4"/>
  <c r="AU53" i="4"/>
  <c r="AQ53" i="4"/>
  <c r="AR53" i="4" s="1"/>
  <c r="AO53" i="4"/>
  <c r="AM53" i="4"/>
  <c r="K53" i="4"/>
  <c r="L53" i="4" s="1"/>
  <c r="V53" i="4" s="1"/>
  <c r="X53" i="4" s="1"/>
  <c r="BA52" i="4"/>
  <c r="AU52" i="4"/>
  <c r="AQ52" i="4"/>
  <c r="AR52" i="4" s="1"/>
  <c r="AO52" i="4"/>
  <c r="AM52" i="4"/>
  <c r="K52" i="4"/>
  <c r="L52" i="4" s="1"/>
  <c r="V52" i="4" s="1"/>
  <c r="X52" i="4" s="1"/>
  <c r="BA51" i="4"/>
  <c r="AU51" i="4"/>
  <c r="AQ51" i="4"/>
  <c r="AR51" i="4" s="1"/>
  <c r="AO51" i="4"/>
  <c r="AM51" i="4"/>
  <c r="L51" i="4"/>
  <c r="V51" i="4" s="1"/>
  <c r="X51" i="4" s="1"/>
  <c r="BA50" i="4"/>
  <c r="AU50" i="4"/>
  <c r="AQ50" i="4"/>
  <c r="AR50" i="4" s="1"/>
  <c r="AO50" i="4"/>
  <c r="AM50" i="4"/>
  <c r="T50" i="4"/>
  <c r="L50" i="4"/>
  <c r="R50" i="4" s="1"/>
  <c r="BA49" i="4"/>
  <c r="AU49" i="4"/>
  <c r="AQ49" i="4"/>
  <c r="AR49" i="4" s="1"/>
  <c r="AO49" i="4"/>
  <c r="AM49" i="4"/>
  <c r="K49" i="4"/>
  <c r="L49" i="4" s="1"/>
  <c r="V49" i="4" s="1"/>
  <c r="X49" i="4" s="1"/>
  <c r="BA48" i="4"/>
  <c r="AU48" i="4"/>
  <c r="AQ48" i="4"/>
  <c r="AR48" i="4" s="1"/>
  <c r="AO48" i="4"/>
  <c r="AM48" i="4"/>
  <c r="L48" i="4"/>
  <c r="V48" i="4" s="1"/>
  <c r="X48" i="4" s="1"/>
  <c r="BA47" i="4"/>
  <c r="AU47" i="4"/>
  <c r="AQ47" i="4"/>
  <c r="AR47" i="4" s="1"/>
  <c r="AO47" i="4"/>
  <c r="AM47" i="4"/>
  <c r="T47" i="4"/>
  <c r="L47" i="4"/>
  <c r="BA46" i="4"/>
  <c r="AU46" i="4"/>
  <c r="AQ46" i="4"/>
  <c r="AR46" i="4" s="1"/>
  <c r="AO46" i="4"/>
  <c r="AM46" i="4"/>
  <c r="L46" i="4"/>
  <c r="V46" i="4" s="1"/>
  <c r="X46" i="4" s="1"/>
  <c r="K46" i="4"/>
  <c r="I46" i="4"/>
  <c r="BA45" i="4"/>
  <c r="AU45" i="4"/>
  <c r="AQ45" i="4"/>
  <c r="AR45" i="4" s="1"/>
  <c r="AO45" i="4"/>
  <c r="AM45" i="4"/>
  <c r="K45" i="4"/>
  <c r="L45" i="4" s="1"/>
  <c r="V45" i="4" s="1"/>
  <c r="X45" i="4" s="1"/>
  <c r="I45" i="4"/>
  <c r="BA44" i="4"/>
  <c r="AU44" i="4"/>
  <c r="AQ44" i="4"/>
  <c r="AR44" i="4" s="1"/>
  <c r="AO44" i="4"/>
  <c r="AM44" i="4"/>
  <c r="L44" i="4"/>
  <c r="V44" i="4" s="1"/>
  <c r="X44" i="4" s="1"/>
  <c r="BA43" i="4"/>
  <c r="AU43" i="4"/>
  <c r="AQ43" i="4"/>
  <c r="AR43" i="4" s="1"/>
  <c r="AO43" i="4"/>
  <c r="AM43" i="4"/>
  <c r="L43" i="4"/>
  <c r="R43" i="4" s="1"/>
  <c r="BA42" i="4"/>
  <c r="AU42" i="4"/>
  <c r="AQ42" i="4"/>
  <c r="AR42" i="4" s="1"/>
  <c r="AO42" i="4"/>
  <c r="AM42" i="4"/>
  <c r="L42" i="4"/>
  <c r="V42" i="4" s="1"/>
  <c r="X42" i="4" s="1"/>
  <c r="BA41" i="4"/>
  <c r="AU41" i="4"/>
  <c r="AQ41" i="4"/>
  <c r="AR41" i="4" s="1"/>
  <c r="AO41" i="4"/>
  <c r="AM41" i="4"/>
  <c r="L41" i="4"/>
  <c r="V41" i="4" s="1"/>
  <c r="X41" i="4" s="1"/>
  <c r="BA40" i="4"/>
  <c r="AU40" i="4"/>
  <c r="AQ40" i="4"/>
  <c r="AR40" i="4" s="1"/>
  <c r="AO40" i="4"/>
  <c r="AM40" i="4"/>
  <c r="L40" i="4"/>
  <c r="V40" i="4" s="1"/>
  <c r="X40" i="4" s="1"/>
  <c r="AK40" i="4" s="1"/>
  <c r="BA39" i="4"/>
  <c r="AU39" i="4"/>
  <c r="AQ39" i="4"/>
  <c r="AR39" i="4" s="1"/>
  <c r="AO39" i="4"/>
  <c r="AM39" i="4"/>
  <c r="L39" i="4"/>
  <c r="R39" i="4" s="1"/>
  <c r="V39" i="4" s="1"/>
  <c r="X39" i="4" s="1"/>
  <c r="AH39" i="4" s="1"/>
  <c r="BA38" i="4"/>
  <c r="AU38" i="4"/>
  <c r="AQ38" i="4"/>
  <c r="AR38" i="4" s="1"/>
  <c r="AO38" i="4"/>
  <c r="AM38" i="4"/>
  <c r="L38" i="4"/>
  <c r="V38" i="4" s="1"/>
  <c r="X38" i="4" s="1"/>
  <c r="BA37" i="4"/>
  <c r="AU37" i="4"/>
  <c r="AQ37" i="4"/>
  <c r="AR37" i="4" s="1"/>
  <c r="AO37" i="4"/>
  <c r="AM37" i="4"/>
  <c r="L37" i="4"/>
  <c r="V37" i="4" s="1"/>
  <c r="X37" i="4" s="1"/>
  <c r="BA36" i="4"/>
  <c r="AU36" i="4"/>
  <c r="AQ36" i="4"/>
  <c r="AR36" i="4" s="1"/>
  <c r="AO36" i="4"/>
  <c r="AM36" i="4"/>
  <c r="L36" i="4"/>
  <c r="R36" i="4" s="1"/>
  <c r="V36" i="4" s="1"/>
  <c r="X36" i="4" s="1"/>
  <c r="BA35" i="4"/>
  <c r="AU35" i="4"/>
  <c r="AQ35" i="4"/>
  <c r="AR35" i="4" s="1"/>
  <c r="AO35" i="4"/>
  <c r="AM35" i="4"/>
  <c r="L35" i="4"/>
  <c r="V35" i="4" s="1"/>
  <c r="X35" i="4" s="1"/>
  <c r="BA34" i="4"/>
  <c r="AU34" i="4"/>
  <c r="AQ34" i="4"/>
  <c r="AR34" i="4" s="1"/>
  <c r="AO34" i="4"/>
  <c r="AM34" i="4"/>
  <c r="L34" i="4"/>
  <c r="V34" i="4" s="1"/>
  <c r="X34" i="4" s="1"/>
  <c r="BA33" i="4"/>
  <c r="AU33" i="4"/>
  <c r="AQ33" i="4"/>
  <c r="AR33" i="4" s="1"/>
  <c r="AO33" i="4"/>
  <c r="AM33" i="4"/>
  <c r="T33" i="4"/>
  <c r="K33" i="4"/>
  <c r="L33" i="4" s="1"/>
  <c r="BA32" i="4"/>
  <c r="AU32" i="4"/>
  <c r="AQ32" i="4"/>
  <c r="AR32" i="4" s="1"/>
  <c r="AO32" i="4"/>
  <c r="AM32" i="4"/>
  <c r="L32" i="4"/>
  <c r="V32" i="4" s="1"/>
  <c r="X32" i="4" s="1"/>
  <c r="AH32" i="4" s="1"/>
  <c r="BA31" i="4"/>
  <c r="AU31" i="4"/>
  <c r="AQ31" i="4"/>
  <c r="AR31" i="4" s="1"/>
  <c r="AO31" i="4"/>
  <c r="AM31" i="4"/>
  <c r="K31" i="4"/>
  <c r="L31" i="4" s="1"/>
  <c r="V31" i="4" s="1"/>
  <c r="X31" i="4" s="1"/>
  <c r="BA30" i="4"/>
  <c r="AU30" i="4"/>
  <c r="AQ30" i="4"/>
  <c r="AR30" i="4" s="1"/>
  <c r="AO30" i="4"/>
  <c r="AM30" i="4"/>
  <c r="K30" i="4"/>
  <c r="L30" i="4" s="1"/>
  <c r="V30" i="4" s="1"/>
  <c r="X30" i="4" s="1"/>
  <c r="AK30" i="4" s="1"/>
  <c r="I30" i="4"/>
  <c r="BA29" i="4"/>
  <c r="AU29" i="4"/>
  <c r="AQ29" i="4"/>
  <c r="AR29" i="4" s="1"/>
  <c r="AO29" i="4"/>
  <c r="AM29" i="4"/>
  <c r="L29" i="4"/>
  <c r="V29" i="4" s="1"/>
  <c r="X29" i="4" s="1"/>
  <c r="BA28" i="4"/>
  <c r="AU28" i="4"/>
  <c r="AQ28" i="4"/>
  <c r="AR28" i="4" s="1"/>
  <c r="AO28" i="4"/>
  <c r="AM28" i="4"/>
  <c r="L28" i="4"/>
  <c r="V28" i="4" s="1"/>
  <c r="X28" i="4" s="1"/>
  <c r="AK28" i="4" s="1"/>
  <c r="BA27" i="4"/>
  <c r="AU27" i="4"/>
  <c r="AQ27" i="4"/>
  <c r="AR27" i="4" s="1"/>
  <c r="AO27" i="4"/>
  <c r="AM27" i="4"/>
  <c r="L27" i="4"/>
  <c r="V27" i="4" s="1"/>
  <c r="X27" i="4" s="1"/>
  <c r="AH27" i="4" s="1"/>
  <c r="BA26" i="4"/>
  <c r="AU26" i="4"/>
  <c r="AQ26" i="4"/>
  <c r="AR26" i="4" s="1"/>
  <c r="AO26" i="4"/>
  <c r="AM26" i="4"/>
  <c r="L26" i="4"/>
  <c r="P26" i="4" s="1"/>
  <c r="V26" i="4" s="1"/>
  <c r="X26" i="4" s="1"/>
  <c r="BA25" i="4"/>
  <c r="AU25" i="4"/>
  <c r="AQ25" i="4"/>
  <c r="AR25" i="4" s="1"/>
  <c r="AO25" i="4"/>
  <c r="AM25" i="4"/>
  <c r="L25" i="4"/>
  <c r="BA24" i="4"/>
  <c r="AU24" i="4"/>
  <c r="AQ24" i="4"/>
  <c r="AR24" i="4" s="1"/>
  <c r="AO24" i="4"/>
  <c r="AM24" i="4"/>
  <c r="L24" i="4"/>
  <c r="R24" i="4" s="1"/>
  <c r="BA23" i="4"/>
  <c r="AU23" i="4"/>
  <c r="AQ23" i="4"/>
  <c r="AR23" i="4" s="1"/>
  <c r="AO23" i="4"/>
  <c r="AM23" i="4"/>
  <c r="L23" i="4"/>
  <c r="BA22" i="4"/>
  <c r="AU22" i="4"/>
  <c r="AQ22" i="4"/>
  <c r="AR22" i="4" s="1"/>
  <c r="AO22" i="4"/>
  <c r="AM22" i="4"/>
  <c r="K22" i="4"/>
  <c r="I22" i="4"/>
  <c r="L22" i="4" s="1"/>
  <c r="V22" i="4" s="1"/>
  <c r="X22" i="4" s="1"/>
  <c r="AI22" i="4" s="1"/>
  <c r="BA21" i="4"/>
  <c r="AU21" i="4"/>
  <c r="AQ21" i="4"/>
  <c r="AR21" i="4" s="1"/>
  <c r="AO21" i="4"/>
  <c r="AM21" i="4"/>
  <c r="T21" i="4"/>
  <c r="L21" i="4"/>
  <c r="BA20" i="4"/>
  <c r="AU20" i="4"/>
  <c r="AQ20" i="4"/>
  <c r="AR20" i="4" s="1"/>
  <c r="AO20" i="4"/>
  <c r="AM20" i="4"/>
  <c r="L20" i="4"/>
  <c r="BA19" i="4"/>
  <c r="AU19" i="4"/>
  <c r="AQ19" i="4"/>
  <c r="AR19" i="4" s="1"/>
  <c r="AO19" i="4"/>
  <c r="AM19" i="4"/>
  <c r="L19" i="4"/>
  <c r="R19" i="4" s="1"/>
  <c r="BA18" i="4"/>
  <c r="AU18" i="4"/>
  <c r="AQ18" i="4"/>
  <c r="AR18" i="4" s="1"/>
  <c r="AO18" i="4"/>
  <c r="AM18" i="4"/>
  <c r="K18" i="4"/>
  <c r="L18" i="4" s="1"/>
  <c r="V18" i="4" s="1"/>
  <c r="X18" i="4" s="1"/>
  <c r="AK18" i="4" s="1"/>
  <c r="BA17" i="4"/>
  <c r="AU17" i="4"/>
  <c r="AQ17" i="4"/>
  <c r="AR17" i="4" s="1"/>
  <c r="AO17" i="4"/>
  <c r="AM17" i="4"/>
  <c r="K17" i="4"/>
  <c r="I17" i="4"/>
  <c r="L17" i="4" s="1"/>
  <c r="V17" i="4" s="1"/>
  <c r="X17" i="4" s="1"/>
  <c r="AI17" i="4" s="1"/>
  <c r="BA16" i="4"/>
  <c r="AU16" i="4"/>
  <c r="AQ16" i="4"/>
  <c r="AR16" i="4" s="1"/>
  <c r="AO16" i="4"/>
  <c r="AM16" i="4"/>
  <c r="L16" i="4"/>
  <c r="V16" i="4" s="1"/>
  <c r="X16" i="4" s="1"/>
  <c r="AH16" i="4" s="1"/>
  <c r="K16" i="4"/>
  <c r="I16" i="4"/>
  <c r="BA15" i="4"/>
  <c r="AU15" i="4"/>
  <c r="AQ15" i="4"/>
  <c r="AR15" i="4" s="1"/>
  <c r="AO15" i="4"/>
  <c r="AM15" i="4"/>
  <c r="L15" i="4"/>
  <c r="BA14" i="4"/>
  <c r="AU14" i="4"/>
  <c r="AQ14" i="4"/>
  <c r="AR14" i="4" s="1"/>
  <c r="AO14" i="4"/>
  <c r="AM14" i="4"/>
  <c r="K14" i="4"/>
  <c r="I14" i="4"/>
  <c r="L14" i="4" s="1"/>
  <c r="V14" i="4" s="1"/>
  <c r="X14" i="4" s="1"/>
  <c r="BA13" i="4"/>
  <c r="AU13" i="4"/>
  <c r="AQ13" i="4"/>
  <c r="AR13" i="4" s="1"/>
  <c r="AO13" i="4"/>
  <c r="AM13" i="4"/>
  <c r="L13" i="4"/>
  <c r="V13" i="4" s="1"/>
  <c r="X13" i="4" s="1"/>
  <c r="AH13" i="4" s="1"/>
  <c r="K13" i="4"/>
  <c r="I13" i="4"/>
  <c r="BA12" i="4"/>
  <c r="AU12" i="4"/>
  <c r="AQ12" i="4"/>
  <c r="AR12" i="4" s="1"/>
  <c r="AO12" i="4"/>
  <c r="AM12" i="4"/>
  <c r="L12" i="4"/>
  <c r="BA11" i="4"/>
  <c r="AU11" i="4"/>
  <c r="AQ11" i="4"/>
  <c r="AR11" i="4" s="1"/>
  <c r="AO11" i="4"/>
  <c r="AM11" i="4"/>
  <c r="L11" i="4"/>
  <c r="R11" i="4" s="1"/>
  <c r="V11" i="4" s="1"/>
  <c r="X11" i="4" s="1"/>
  <c r="BA10" i="4"/>
  <c r="AU10" i="4"/>
  <c r="AQ10" i="4"/>
  <c r="AR10" i="4" s="1"/>
  <c r="AO10" i="4"/>
  <c r="AM10" i="4"/>
  <c r="K10" i="4"/>
  <c r="L10" i="4" s="1"/>
  <c r="V10" i="4" s="1"/>
  <c r="X10" i="4" s="1"/>
  <c r="AK10" i="4" s="1"/>
  <c r="I10" i="4"/>
  <c r="BA9" i="4"/>
  <c r="AU9" i="4"/>
  <c r="AQ9" i="4"/>
  <c r="AR9" i="4" s="1"/>
  <c r="AO9" i="4"/>
  <c r="AM9" i="4"/>
  <c r="K9" i="4"/>
  <c r="I9" i="4"/>
  <c r="BA8" i="4"/>
  <c r="AU8" i="4"/>
  <c r="AQ8" i="4"/>
  <c r="AR8" i="4" s="1"/>
  <c r="AO8" i="4"/>
  <c r="AM8" i="4"/>
  <c r="K8" i="4"/>
  <c r="I8" i="4"/>
  <c r="L8" i="4" s="1"/>
  <c r="V8" i="4" s="1"/>
  <c r="X8" i="4" s="1"/>
  <c r="BA7" i="4"/>
  <c r="AU7" i="4"/>
  <c r="AQ7" i="4"/>
  <c r="AR7" i="4" s="1"/>
  <c r="AO7" i="4"/>
  <c r="AM7" i="4"/>
  <c r="L7" i="4"/>
  <c r="V7" i="4" s="1"/>
  <c r="X7" i="4" s="1"/>
  <c r="AH7" i="4" s="1"/>
  <c r="K7" i="4"/>
  <c r="I7" i="4"/>
  <c r="BA6" i="4"/>
  <c r="AU6" i="4"/>
  <c r="AQ6" i="4"/>
  <c r="AR6" i="4" s="1"/>
  <c r="AO6" i="4"/>
  <c r="AM6" i="4"/>
  <c r="T6" i="4"/>
  <c r="K6" i="4"/>
  <c r="I6" i="4"/>
  <c r="L6" i="4" s="1"/>
  <c r="BA5" i="4"/>
  <c r="AU5" i="4"/>
  <c r="AQ5" i="4"/>
  <c r="AR5" i="4" s="1"/>
  <c r="AO5" i="4"/>
  <c r="AM5" i="4"/>
  <c r="L5" i="4"/>
  <c r="V5" i="4" s="1"/>
  <c r="X5" i="4" s="1"/>
  <c r="AH5" i="4" s="1"/>
  <c r="BA4" i="4"/>
  <c r="AU4" i="4"/>
  <c r="AQ4" i="4"/>
  <c r="AR4" i="4" s="1"/>
  <c r="AO4" i="4"/>
  <c r="AM4" i="4"/>
  <c r="L4" i="4"/>
  <c r="V4" i="4" s="1"/>
  <c r="X4" i="4" s="1"/>
  <c r="BA3" i="4"/>
  <c r="AU3" i="4"/>
  <c r="AQ3" i="4"/>
  <c r="AR3" i="4" s="1"/>
  <c r="AO3" i="4"/>
  <c r="AM3" i="4"/>
  <c r="L3" i="4"/>
  <c r="V3" i="4" s="1"/>
  <c r="X3" i="4" s="1"/>
  <c r="BA2" i="4"/>
  <c r="AU2" i="4"/>
  <c r="AQ2" i="4"/>
  <c r="AR2" i="4" s="1"/>
  <c r="AO2" i="4"/>
  <c r="AM2" i="4"/>
  <c r="K2" i="4"/>
  <c r="L2" i="4" s="1"/>
  <c r="V2" i="4" s="1"/>
  <c r="X2" i="4" s="1"/>
  <c r="I2" i="4"/>
  <c r="K4" i="1"/>
  <c r="D3" i="6" s="1"/>
  <c r="K21" i="1"/>
  <c r="D4" i="6"/>
  <c r="AJ262" i="4" l="1"/>
  <c r="AF262" i="4"/>
  <c r="B5" i="1"/>
  <c r="D5" i="6"/>
  <c r="AS32" i="4"/>
  <c r="V108" i="4"/>
  <c r="X108" i="4" s="1"/>
  <c r="AI108" i="4" s="1"/>
  <c r="AS180" i="4"/>
  <c r="V250" i="4"/>
  <c r="X250" i="4" s="1"/>
  <c r="AH250" i="4" s="1"/>
  <c r="AS252" i="4"/>
  <c r="AS482" i="4"/>
  <c r="AS149" i="4"/>
  <c r="V245" i="4"/>
  <c r="X245" i="4" s="1"/>
  <c r="AG245" i="4" s="1"/>
  <c r="AS109" i="4"/>
  <c r="V149" i="4"/>
  <c r="X149" i="4" s="1"/>
  <c r="AK149" i="4" s="1"/>
  <c r="V50" i="4"/>
  <c r="X50" i="4" s="1"/>
  <c r="AH50" i="4" s="1"/>
  <c r="AS332" i="4"/>
  <c r="V110" i="4"/>
  <c r="X110" i="4" s="1"/>
  <c r="AI110" i="4" s="1"/>
  <c r="AS13" i="4"/>
  <c r="AS279" i="4"/>
  <c r="AF303" i="4"/>
  <c r="AG310" i="4"/>
  <c r="AI322" i="4"/>
  <c r="AK181" i="4"/>
  <c r="AS360" i="4"/>
  <c r="AS21" i="4"/>
  <c r="V152" i="4"/>
  <c r="X152" i="4" s="1"/>
  <c r="AJ152" i="4" s="1"/>
  <c r="AS294" i="4"/>
  <c r="AS321" i="4"/>
  <c r="AS331" i="4"/>
  <c r="AF343" i="4"/>
  <c r="AS352" i="4"/>
  <c r="AS142" i="4"/>
  <c r="AS319" i="4"/>
  <c r="AS350" i="4"/>
  <c r="AS356" i="4"/>
  <c r="AS490" i="4"/>
  <c r="AS36" i="4"/>
  <c r="V103" i="4"/>
  <c r="X103" i="4" s="1"/>
  <c r="AJ103" i="4" s="1"/>
  <c r="AS107" i="4"/>
  <c r="AS169" i="4"/>
  <c r="AS213" i="4"/>
  <c r="AS216" i="4"/>
  <c r="AS230" i="4"/>
  <c r="AS236" i="4"/>
  <c r="AS284" i="4"/>
  <c r="AF420" i="4"/>
  <c r="AS39" i="4"/>
  <c r="V55" i="4"/>
  <c r="X55" i="4" s="1"/>
  <c r="AG55" i="4" s="1"/>
  <c r="AS105" i="4"/>
  <c r="V161" i="4"/>
  <c r="X161" i="4" s="1"/>
  <c r="AG161" i="4" s="1"/>
  <c r="P221" i="4"/>
  <c r="V221" i="4" s="1"/>
  <c r="X221" i="4" s="1"/>
  <c r="AI221" i="4" s="1"/>
  <c r="V239" i="4"/>
  <c r="X239" i="4" s="1"/>
  <c r="AH239" i="4" s="1"/>
  <c r="AS285" i="4"/>
  <c r="AS287" i="4"/>
  <c r="AS290" i="4"/>
  <c r="AS291" i="4"/>
  <c r="AS344" i="4"/>
  <c r="AF422" i="4"/>
  <c r="AG37" i="4"/>
  <c r="AK37" i="4"/>
  <c r="AF349" i="4"/>
  <c r="AJ349" i="4"/>
  <c r="AS66" i="4"/>
  <c r="V72" i="4"/>
  <c r="X72" i="4" s="1"/>
  <c r="AK72" i="4" s="1"/>
  <c r="R74" i="4"/>
  <c r="V74" i="4" s="1"/>
  <c r="X74" i="4" s="1"/>
  <c r="V78" i="4"/>
  <c r="X78" i="4" s="1"/>
  <c r="AK78" i="4" s="1"/>
  <c r="AS108" i="4"/>
  <c r="AS132" i="4"/>
  <c r="V153" i="4"/>
  <c r="X153" i="4" s="1"/>
  <c r="AG153" i="4" s="1"/>
  <c r="AS155" i="4"/>
  <c r="AS160" i="4"/>
  <c r="AK312" i="4"/>
  <c r="AI312" i="4"/>
  <c r="AG328" i="4"/>
  <c r="AK328" i="4"/>
  <c r="AS15" i="4"/>
  <c r="AS16" i="4"/>
  <c r="AS23" i="4"/>
  <c r="AS33" i="4"/>
  <c r="AS74" i="4"/>
  <c r="AS104" i="4"/>
  <c r="V109" i="4"/>
  <c r="X109" i="4" s="1"/>
  <c r="AI109" i="4" s="1"/>
  <c r="AS110" i="4"/>
  <c r="AS135" i="4"/>
  <c r="AS141" i="4"/>
  <c r="AG292" i="4"/>
  <c r="AK292" i="4"/>
  <c r="AI292" i="4"/>
  <c r="AS301" i="4"/>
  <c r="AJ424" i="4"/>
  <c r="AG424" i="4"/>
  <c r="AS469" i="4"/>
  <c r="AS7" i="4"/>
  <c r="L9" i="4"/>
  <c r="V9" i="4" s="1"/>
  <c r="X9" i="4" s="1"/>
  <c r="AJ9" i="4" s="1"/>
  <c r="AS18" i="4"/>
  <c r="AS42" i="4"/>
  <c r="AS47" i="4"/>
  <c r="AS52" i="4"/>
  <c r="R71" i="4"/>
  <c r="V71" i="4" s="1"/>
  <c r="X71" i="4" s="1"/>
  <c r="AS93" i="4"/>
  <c r="AS98" i="4"/>
  <c r="AS103" i="4"/>
  <c r="AS112" i="4"/>
  <c r="L142" i="4"/>
  <c r="V142" i="4" s="1"/>
  <c r="X142" i="4" s="1"/>
  <c r="AG142" i="4" s="1"/>
  <c r="AS147" i="4"/>
  <c r="AJ337" i="4"/>
  <c r="AI337" i="4"/>
  <c r="AG357" i="4"/>
  <c r="AI357" i="4"/>
  <c r="AS193" i="4"/>
  <c r="V199" i="4"/>
  <c r="X199" i="4" s="1"/>
  <c r="AH199" i="4" s="1"/>
  <c r="AS205" i="4"/>
  <c r="AS215" i="4"/>
  <c r="AS242" i="4"/>
  <c r="L258" i="4"/>
  <c r="V258" i="4" s="1"/>
  <c r="X258" i="4" s="1"/>
  <c r="AI258" i="4" s="1"/>
  <c r="AS269" i="4"/>
  <c r="AS297" i="4"/>
  <c r="AS303" i="4"/>
  <c r="L315" i="4"/>
  <c r="V315" i="4" s="1"/>
  <c r="X315" i="4" s="1"/>
  <c r="AI315" i="4" s="1"/>
  <c r="AS340" i="4"/>
  <c r="AS402" i="4"/>
  <c r="AS449" i="4"/>
  <c r="AS465" i="4"/>
  <c r="AS200" i="4"/>
  <c r="AS209" i="4"/>
  <c r="AS250" i="4"/>
  <c r="AS256" i="4"/>
  <c r="AS261" i="4"/>
  <c r="AS302" i="4"/>
  <c r="AS308" i="4"/>
  <c r="AS342" i="4"/>
  <c r="AS398" i="4"/>
  <c r="AS424" i="4"/>
  <c r="AS459" i="4"/>
  <c r="AS504" i="4"/>
  <c r="AS211" i="4"/>
  <c r="AS244" i="4"/>
  <c r="V248" i="4"/>
  <c r="X248" i="4" s="1"/>
  <c r="AH248" i="4" s="1"/>
  <c r="AS277" i="4"/>
  <c r="AS286" i="4"/>
  <c r="AS293" i="4"/>
  <c r="AS317" i="4"/>
  <c r="AS320" i="4"/>
  <c r="AJ341" i="4"/>
  <c r="AS348" i="4"/>
  <c r="AS354" i="4"/>
  <c r="AS384" i="4"/>
  <c r="AS386" i="4"/>
  <c r="AS389" i="4"/>
  <c r="AS422" i="4"/>
  <c r="AS426" i="4"/>
  <c r="AS474" i="4"/>
  <c r="AS507" i="4"/>
  <c r="AK94" i="4"/>
  <c r="AG94" i="4"/>
  <c r="AJ224" i="4"/>
  <c r="AH224" i="4"/>
  <c r="R200" i="4"/>
  <c r="P200" i="4"/>
  <c r="AI201" i="4"/>
  <c r="AK201" i="4"/>
  <c r="R229" i="4"/>
  <c r="P229" i="4"/>
  <c r="AJ353" i="4"/>
  <c r="AF353" i="4"/>
  <c r="AJ355" i="4"/>
  <c r="AF355" i="4"/>
  <c r="AS5" i="4"/>
  <c r="AS6" i="4"/>
  <c r="AS27" i="4"/>
  <c r="AS118" i="4"/>
  <c r="R176" i="4"/>
  <c r="V176" i="4" s="1"/>
  <c r="X176" i="4" s="1"/>
  <c r="AI241" i="4"/>
  <c r="AG241" i="4"/>
  <c r="AK251" i="4"/>
  <c r="AI251" i="4"/>
  <c r="AG251" i="4"/>
  <c r="AJ265" i="4"/>
  <c r="AH265" i="4"/>
  <c r="AS273" i="4"/>
  <c r="AJ339" i="4"/>
  <c r="AI339" i="4"/>
  <c r="AJ351" i="4"/>
  <c r="AF351" i="4"/>
  <c r="AS4" i="4"/>
  <c r="AS24" i="4"/>
  <c r="AS46" i="4"/>
  <c r="AS59" i="4"/>
  <c r="AS67" i="4"/>
  <c r="AS77" i="4"/>
  <c r="R135" i="4"/>
  <c r="V135" i="4" s="1"/>
  <c r="X135" i="4" s="1"/>
  <c r="AS174" i="4"/>
  <c r="AG188" i="4"/>
  <c r="AK188" i="4"/>
  <c r="AJ188" i="4"/>
  <c r="R196" i="4"/>
  <c r="V196" i="4" s="1"/>
  <c r="X196" i="4" s="1"/>
  <c r="AS212" i="4"/>
  <c r="AS218" i="4"/>
  <c r="R228" i="4"/>
  <c r="V228" i="4" s="1"/>
  <c r="X228" i="4" s="1"/>
  <c r="AK241" i="4"/>
  <c r="AS266" i="4"/>
  <c r="AS19" i="4"/>
  <c r="R47" i="4"/>
  <c r="V47" i="4" s="1"/>
  <c r="X47" i="4" s="1"/>
  <c r="AS145" i="4"/>
  <c r="AS148" i="4"/>
  <c r="AS176" i="4"/>
  <c r="R193" i="4"/>
  <c r="V193" i="4" s="1"/>
  <c r="X193" i="4" s="1"/>
  <c r="AJ246" i="4"/>
  <c r="AH246" i="4"/>
  <c r="AF261" i="4"/>
  <c r="AK295" i="4"/>
  <c r="AG295" i="4"/>
  <c r="AS37" i="4"/>
  <c r="AS41" i="4"/>
  <c r="AS45" i="4"/>
  <c r="AS48" i="4"/>
  <c r="AS56" i="4"/>
  <c r="AS76" i="4"/>
  <c r="AS78" i="4"/>
  <c r="AS80" i="4"/>
  <c r="AS88" i="4"/>
  <c r="V104" i="4"/>
  <c r="X104" i="4" s="1"/>
  <c r="AG104" i="4" s="1"/>
  <c r="V106" i="4"/>
  <c r="X106" i="4" s="1"/>
  <c r="AK106" i="4" s="1"/>
  <c r="AS121" i="4"/>
  <c r="V134" i="4"/>
  <c r="X134" i="4" s="1"/>
  <c r="AK134" i="4" s="1"/>
  <c r="AS177" i="4"/>
  <c r="AS179" i="4"/>
  <c r="AS181" i="4"/>
  <c r="AS187" i="4"/>
  <c r="AS207" i="4"/>
  <c r="AS208" i="4"/>
  <c r="AS224" i="4"/>
  <c r="AS232" i="4"/>
  <c r="AS233" i="4"/>
  <c r="AS234" i="4"/>
  <c r="AS237" i="4"/>
  <c r="V238" i="4"/>
  <c r="X238" i="4" s="1"/>
  <c r="AI238" i="4" s="1"/>
  <c r="AS240" i="4"/>
  <c r="AS246" i="4"/>
  <c r="V247" i="4"/>
  <c r="X247" i="4" s="1"/>
  <c r="AG247" i="4" s="1"/>
  <c r="AS249" i="4"/>
  <c r="AS259" i="4"/>
  <c r="AS260" i="4"/>
  <c r="AS263" i="4"/>
  <c r="AS270" i="4"/>
  <c r="AS289" i="4"/>
  <c r="AS299" i="4"/>
  <c r="AK310" i="4"/>
  <c r="AS313" i="4"/>
  <c r="AS327" i="4"/>
  <c r="AS346" i="4"/>
  <c r="AH466" i="4"/>
  <c r="AG466" i="4"/>
  <c r="AS29" i="4"/>
  <c r="AS50" i="4"/>
  <c r="AS55" i="4"/>
  <c r="AS57" i="4"/>
  <c r="AS63" i="4"/>
  <c r="AS71" i="4"/>
  <c r="AS75" i="4"/>
  <c r="AS89" i="4"/>
  <c r="AS100" i="4"/>
  <c r="AS120" i="4"/>
  <c r="AS126" i="4"/>
  <c r="AS127" i="4"/>
  <c r="AS130" i="4"/>
  <c r="AS134" i="4"/>
  <c r="AS139" i="4"/>
  <c r="AS154" i="4"/>
  <c r="AS165" i="4"/>
  <c r="AS166" i="4"/>
  <c r="AS170" i="4"/>
  <c r="AS182" i="4"/>
  <c r="AS186" i="4"/>
  <c r="AS190" i="4"/>
  <c r="AS195" i="4"/>
  <c r="AS210" i="4"/>
  <c r="AS214" i="4"/>
  <c r="AS225" i="4"/>
  <c r="AS226" i="4"/>
  <c r="AS227" i="4"/>
  <c r="AS228" i="4"/>
  <c r="AS258" i="4"/>
  <c r="AS274" i="4"/>
  <c r="AS281" i="4"/>
  <c r="AS288" i="4"/>
  <c r="AS309" i="4"/>
  <c r="AK320" i="4"/>
  <c r="AI320" i="4"/>
  <c r="AS333" i="4"/>
  <c r="AJ345" i="4"/>
  <c r="AF345" i="4"/>
  <c r="AJ347" i="4"/>
  <c r="AF347" i="4"/>
  <c r="AS12" i="4"/>
  <c r="AG18" i="4"/>
  <c r="V19" i="4"/>
  <c r="X19" i="4" s="1"/>
  <c r="V24" i="4"/>
  <c r="X24" i="4" s="1"/>
  <c r="AK24" i="4" s="1"/>
  <c r="AS43" i="4"/>
  <c r="AS53" i="4"/>
  <c r="AS58" i="4"/>
  <c r="AS62" i="4"/>
  <c r="AS69" i="4"/>
  <c r="AS73" i="4"/>
  <c r="AS82" i="4"/>
  <c r="AS85" i="4"/>
  <c r="AS95" i="4"/>
  <c r="AS102" i="4"/>
  <c r="AS117" i="4"/>
  <c r="AS123" i="4"/>
  <c r="AS129" i="4"/>
  <c r="AS137" i="4"/>
  <c r="AS151" i="4"/>
  <c r="AS153" i="4"/>
  <c r="AS156" i="4"/>
  <c r="AS171" i="4"/>
  <c r="AS178" i="4"/>
  <c r="AH181" i="4"/>
  <c r="AS183" i="4"/>
  <c r="AS194" i="4"/>
  <c r="AS196" i="4"/>
  <c r="V207" i="4"/>
  <c r="X207" i="4" s="1"/>
  <c r="AG207" i="4" s="1"/>
  <c r="V212" i="4"/>
  <c r="X212" i="4" s="1"/>
  <c r="AJ212" i="4" s="1"/>
  <c r="AS217" i="4"/>
  <c r="AS220" i="4"/>
  <c r="AS223" i="4"/>
  <c r="AS231" i="4"/>
  <c r="AS238" i="4"/>
  <c r="AS239" i="4"/>
  <c r="V240" i="4"/>
  <c r="X240" i="4" s="1"/>
  <c r="AG240" i="4" s="1"/>
  <c r="AS247" i="4"/>
  <c r="AS248" i="4"/>
  <c r="V249" i="4"/>
  <c r="X249" i="4" s="1"/>
  <c r="AI249" i="4" s="1"/>
  <c r="AK253" i="4"/>
  <c r="AS254" i="4"/>
  <c r="AS268" i="4"/>
  <c r="AS271" i="4"/>
  <c r="AI273" i="4"/>
  <c r="AI278" i="4"/>
  <c r="AG314" i="4"/>
  <c r="AJ435" i="4"/>
  <c r="AI435" i="4"/>
  <c r="AS283" i="4"/>
  <c r="AS296" i="4"/>
  <c r="AS300" i="4"/>
  <c r="AS305" i="4"/>
  <c r="AS311" i="4"/>
  <c r="AS312" i="4"/>
  <c r="AS315" i="4"/>
  <c r="AS322" i="4"/>
  <c r="AS328" i="4"/>
  <c r="AS329" i="4"/>
  <c r="AS337" i="4"/>
  <c r="AS341" i="4"/>
  <c r="AS349" i="4"/>
  <c r="AS351" i="4"/>
  <c r="AK357" i="4"/>
  <c r="AS358" i="4"/>
  <c r="AS366" i="4"/>
  <c r="AS368" i="4"/>
  <c r="AS370" i="4"/>
  <c r="AS394" i="4"/>
  <c r="AS420" i="4"/>
  <c r="AS429" i="4"/>
  <c r="AS478" i="4"/>
  <c r="AS362" i="4"/>
  <c r="AS364" i="4"/>
  <c r="AS382" i="4"/>
  <c r="AS388" i="4"/>
  <c r="AS390" i="4"/>
  <c r="AS406" i="4"/>
  <c r="AS431" i="4"/>
  <c r="AS477" i="4"/>
  <c r="AS512" i="4"/>
  <c r="AS298" i="4"/>
  <c r="AS307" i="4"/>
  <c r="AS334" i="4"/>
  <c r="AS345" i="4"/>
  <c r="AS347" i="4"/>
  <c r="AS353" i="4"/>
  <c r="AS372" i="4"/>
  <c r="V513" i="4"/>
  <c r="X513" i="4" s="1"/>
  <c r="AI513" i="4" s="1"/>
  <c r="AS393" i="4"/>
  <c r="AS401" i="4"/>
  <c r="AS409" i="4"/>
  <c r="AS421" i="4"/>
  <c r="AS428" i="4"/>
  <c r="AS432" i="4"/>
  <c r="AS433" i="4"/>
  <c r="AS438" i="4"/>
  <c r="AS442" i="4"/>
  <c r="AS446" i="4"/>
  <c r="AS450" i="4"/>
  <c r="AS451" i="4"/>
  <c r="AS455" i="4"/>
  <c r="AS464" i="4"/>
  <c r="AS489" i="4"/>
  <c r="AS506" i="4"/>
  <c r="AS509" i="4"/>
  <c r="AS513" i="4"/>
  <c r="AS514" i="4"/>
  <c r="AS435" i="4"/>
  <c r="AS437" i="4"/>
  <c r="AS457" i="4"/>
  <c r="AS486" i="4"/>
  <c r="AS494" i="4"/>
  <c r="AS502" i="4"/>
  <c r="AS503" i="4"/>
  <c r="AS374" i="4"/>
  <c r="AS376" i="4"/>
  <c r="AS378" i="4"/>
  <c r="AS380" i="4"/>
  <c r="AS397" i="4"/>
  <c r="AS405" i="4"/>
  <c r="AS417" i="4"/>
  <c r="AS419" i="4"/>
  <c r="AS423" i="4"/>
  <c r="AS425" i="4"/>
  <c r="AS430" i="4"/>
  <c r="AS440" i="4"/>
  <c r="AS444" i="4"/>
  <c r="AS448" i="4"/>
  <c r="AS453" i="4"/>
  <c r="AS463" i="4"/>
  <c r="AS466" i="4"/>
  <c r="AS468" i="4"/>
  <c r="AS485" i="4"/>
  <c r="AS493" i="4"/>
  <c r="AS501" i="4"/>
  <c r="AS510" i="4"/>
  <c r="AS515" i="4"/>
  <c r="AJ31" i="4"/>
  <c r="AH31" i="4"/>
  <c r="AK31" i="4"/>
  <c r="AG31" i="4"/>
  <c r="AI31" i="4"/>
  <c r="AK35" i="4"/>
  <c r="AG35" i="4"/>
  <c r="AI35" i="4"/>
  <c r="AH35" i="4"/>
  <c r="AJ35" i="4"/>
  <c r="AK29" i="4"/>
  <c r="AG29" i="4"/>
  <c r="AI29" i="4"/>
  <c r="AH29" i="4"/>
  <c r="AJ29" i="4"/>
  <c r="AJ8" i="4"/>
  <c r="AH8" i="4"/>
  <c r="AK8" i="4"/>
  <c r="AG8" i="4"/>
  <c r="AI8" i="4"/>
  <c r="AK41" i="4"/>
  <c r="AG41" i="4"/>
  <c r="AI41" i="4"/>
  <c r="AH41" i="4"/>
  <c r="AJ41" i="4"/>
  <c r="AJ26" i="4"/>
  <c r="AH26" i="4"/>
  <c r="AK26" i="4"/>
  <c r="AG26" i="4"/>
  <c r="AI26" i="4"/>
  <c r="AK3" i="4"/>
  <c r="AG3" i="4"/>
  <c r="AI3" i="4"/>
  <c r="AH3" i="4"/>
  <c r="AJ3" i="4"/>
  <c r="AJ11" i="4"/>
  <c r="AH11" i="4"/>
  <c r="AG11" i="4"/>
  <c r="AK11" i="4"/>
  <c r="AI11" i="4"/>
  <c r="AJ14" i="4"/>
  <c r="AH14" i="4"/>
  <c r="AG14" i="4"/>
  <c r="AK14" i="4"/>
  <c r="AI14" i="4"/>
  <c r="AH2" i="4"/>
  <c r="AJ2" i="4"/>
  <c r="AI2" i="4"/>
  <c r="AJ4" i="4"/>
  <c r="AH4" i="4"/>
  <c r="AG4" i="4"/>
  <c r="AK4" i="4"/>
  <c r="AH34" i="4"/>
  <c r="AJ34" i="4"/>
  <c r="AI34" i="4"/>
  <c r="AI36" i="4"/>
  <c r="AK36" i="4"/>
  <c r="AG36" i="4"/>
  <c r="AJ36" i="4"/>
  <c r="AK38" i="4"/>
  <c r="AG38" i="4"/>
  <c r="AI38" i="4"/>
  <c r="AH38" i="4"/>
  <c r="AK44" i="4"/>
  <c r="AG44" i="4"/>
  <c r="AI44" i="4"/>
  <c r="AJ44" i="4"/>
  <c r="AH44" i="4"/>
  <c r="AI46" i="4"/>
  <c r="AH46" i="4"/>
  <c r="AK46" i="4"/>
  <c r="AG46" i="4"/>
  <c r="AJ46" i="4"/>
  <c r="AK51" i="4"/>
  <c r="AG51" i="4"/>
  <c r="AJ51" i="4"/>
  <c r="AI51" i="4"/>
  <c r="AH51" i="4"/>
  <c r="AJ78" i="4"/>
  <c r="AG2" i="4"/>
  <c r="AS3" i="4"/>
  <c r="AI4" i="4"/>
  <c r="AS9" i="4"/>
  <c r="AG10" i="4"/>
  <c r="AS11" i="4"/>
  <c r="R15" i="4"/>
  <c r="V15" i="4" s="1"/>
  <c r="X15" i="4" s="1"/>
  <c r="AI16" i="4"/>
  <c r="AK16" i="4"/>
  <c r="AG16" i="4"/>
  <c r="AJ16" i="4"/>
  <c r="AS17" i="4"/>
  <c r="AS20" i="4"/>
  <c r="AS22" i="4"/>
  <c r="AS25" i="4"/>
  <c r="AI27" i="4"/>
  <c r="AK27" i="4"/>
  <c r="AG27" i="4"/>
  <c r="AJ27" i="4"/>
  <c r="AS28" i="4"/>
  <c r="AS30" i="4"/>
  <c r="AI32" i="4"/>
  <c r="AK32" i="4"/>
  <c r="AG32" i="4"/>
  <c r="AJ32" i="4"/>
  <c r="AG34" i="4"/>
  <c r="AS35" i="4"/>
  <c r="AH36" i="4"/>
  <c r="AH37" i="4"/>
  <c r="AJ37" i="4"/>
  <c r="AI37" i="4"/>
  <c r="AJ38" i="4"/>
  <c r="AI39" i="4"/>
  <c r="AK39" i="4"/>
  <c r="AG39" i="4"/>
  <c r="AJ39" i="4"/>
  <c r="AS40" i="4"/>
  <c r="AS44" i="4"/>
  <c r="AI48" i="4"/>
  <c r="AH48" i="4"/>
  <c r="AK48" i="4"/>
  <c r="AG48" i="4"/>
  <c r="AJ48" i="4"/>
  <c r="AK49" i="4"/>
  <c r="AG49" i="4"/>
  <c r="AI49" i="4"/>
  <c r="AJ49" i="4"/>
  <c r="AH49" i="4"/>
  <c r="AS51" i="4"/>
  <c r="AI54" i="4"/>
  <c r="AK54" i="4"/>
  <c r="AJ54" i="4"/>
  <c r="AH54" i="4"/>
  <c r="AG54" i="4"/>
  <c r="AJ57" i="4"/>
  <c r="AH57" i="4"/>
  <c r="AG57" i="4"/>
  <c r="AK57" i="4"/>
  <c r="AI57" i="4"/>
  <c r="AK89" i="4"/>
  <c r="AG89" i="4"/>
  <c r="AH89" i="4"/>
  <c r="AJ89" i="4"/>
  <c r="AI89" i="4"/>
  <c r="AI100" i="4"/>
  <c r="AJ100" i="4"/>
  <c r="AK100" i="4"/>
  <c r="AH100" i="4"/>
  <c r="AG100" i="4"/>
  <c r="AJ146" i="4"/>
  <c r="AH146" i="4"/>
  <c r="AG146" i="4"/>
  <c r="AI146" i="4"/>
  <c r="AK146" i="4"/>
  <c r="AK2" i="4"/>
  <c r="P25" i="4"/>
  <c r="V25" i="4" s="1"/>
  <c r="X25" i="4" s="1"/>
  <c r="AH30" i="4"/>
  <c r="AJ30" i="4"/>
  <c r="AI30" i="4"/>
  <c r="AK34" i="4"/>
  <c r="AS38" i="4"/>
  <c r="AH40" i="4"/>
  <c r="AJ40" i="4"/>
  <c r="AI40" i="4"/>
  <c r="AJ42" i="4"/>
  <c r="AH42" i="4"/>
  <c r="AI42" i="4"/>
  <c r="AK42" i="4"/>
  <c r="AG42" i="4"/>
  <c r="AS49" i="4"/>
  <c r="AJ53" i="4"/>
  <c r="AH53" i="4"/>
  <c r="AG53" i="4"/>
  <c r="AK53" i="4"/>
  <c r="AI53" i="4"/>
  <c r="AS54" i="4"/>
  <c r="AH60" i="4"/>
  <c r="AI60" i="4"/>
  <c r="AK60" i="4"/>
  <c r="AJ60" i="4"/>
  <c r="AG60" i="4"/>
  <c r="AH68" i="4"/>
  <c r="AI68" i="4"/>
  <c r="AK68" i="4"/>
  <c r="AJ68" i="4"/>
  <c r="AG68" i="4"/>
  <c r="AJ69" i="4"/>
  <c r="AK69" i="4"/>
  <c r="AG69" i="4"/>
  <c r="AI69" i="4"/>
  <c r="AH69" i="4"/>
  <c r="AJ82" i="4"/>
  <c r="AK82" i="4"/>
  <c r="AG82" i="4"/>
  <c r="AI82" i="4"/>
  <c r="AH82" i="4"/>
  <c r="AJ95" i="4"/>
  <c r="AK95" i="4"/>
  <c r="AG95" i="4"/>
  <c r="AI95" i="4"/>
  <c r="AH95" i="4"/>
  <c r="AK99" i="4"/>
  <c r="AG99" i="4"/>
  <c r="AH99" i="4"/>
  <c r="AJ99" i="4"/>
  <c r="AI99" i="4"/>
  <c r="AI117" i="4"/>
  <c r="AJ117" i="4"/>
  <c r="AH117" i="4"/>
  <c r="AG117" i="4"/>
  <c r="AK117" i="4"/>
  <c r="AH129" i="4"/>
  <c r="AK129" i="4"/>
  <c r="AG129" i="4"/>
  <c r="AI129" i="4"/>
  <c r="AJ129" i="4"/>
  <c r="AI169" i="4"/>
  <c r="AH169" i="4"/>
  <c r="AG169" i="4"/>
  <c r="AJ169" i="4"/>
  <c r="AK169" i="4"/>
  <c r="AI5" i="4"/>
  <c r="AK5" i="4"/>
  <c r="AG5" i="4"/>
  <c r="AJ5" i="4"/>
  <c r="AH10" i="4"/>
  <c r="AJ10" i="4"/>
  <c r="AI10" i="4"/>
  <c r="AR517" i="4"/>
  <c r="R6" i="4"/>
  <c r="V6" i="4" s="1"/>
  <c r="X6" i="4" s="1"/>
  <c r="AH19" i="4"/>
  <c r="R20" i="4"/>
  <c r="V20" i="4" s="1"/>
  <c r="X20" i="4" s="1"/>
  <c r="AH28" i="4"/>
  <c r="AJ28" i="4"/>
  <c r="AI28" i="4"/>
  <c r="AI7" i="4"/>
  <c r="AK7" i="4"/>
  <c r="AG7" i="4"/>
  <c r="AJ7" i="4"/>
  <c r="AS8" i="4"/>
  <c r="AS10" i="4"/>
  <c r="R12" i="4"/>
  <c r="V12" i="4" s="1"/>
  <c r="X12" i="4" s="1"/>
  <c r="AI13" i="4"/>
  <c r="AK13" i="4"/>
  <c r="AG13" i="4"/>
  <c r="AJ13" i="4"/>
  <c r="AS14" i="4"/>
  <c r="AJ17" i="4"/>
  <c r="AH17" i="4"/>
  <c r="AG17" i="4"/>
  <c r="AK17" i="4"/>
  <c r="AH18" i="4"/>
  <c r="AJ18" i="4"/>
  <c r="AI18" i="4"/>
  <c r="AJ22" i="4"/>
  <c r="AH22" i="4"/>
  <c r="AK22" i="4"/>
  <c r="AG22" i="4"/>
  <c r="R23" i="4"/>
  <c r="V23" i="4" s="1"/>
  <c r="X23" i="4" s="1"/>
  <c r="AS26" i="4"/>
  <c r="AG28" i="4"/>
  <c r="AG30" i="4"/>
  <c r="AS31" i="4"/>
  <c r="AS34" i="4"/>
  <c r="AG40" i="4"/>
  <c r="AH45" i="4"/>
  <c r="AG45" i="4"/>
  <c r="AJ45" i="4"/>
  <c r="AK45" i="4"/>
  <c r="AI45" i="4"/>
  <c r="AI52" i="4"/>
  <c r="AH52" i="4"/>
  <c r="AK52" i="4"/>
  <c r="AG52" i="4"/>
  <c r="AJ52" i="4"/>
  <c r="AK56" i="4"/>
  <c r="AG56" i="4"/>
  <c r="AI56" i="4"/>
  <c r="AH56" i="4"/>
  <c r="AJ56" i="4"/>
  <c r="AJ59" i="4"/>
  <c r="AH59" i="4"/>
  <c r="AG59" i="4"/>
  <c r="AK59" i="4"/>
  <c r="AI59" i="4"/>
  <c r="AK81" i="4"/>
  <c r="AG81" i="4"/>
  <c r="AH81" i="4"/>
  <c r="AJ81" i="4"/>
  <c r="AI81" i="4"/>
  <c r="AI93" i="4"/>
  <c r="AJ93" i="4"/>
  <c r="AH93" i="4"/>
  <c r="AG93" i="4"/>
  <c r="AK93" i="4"/>
  <c r="AJ105" i="4"/>
  <c r="AK105" i="4"/>
  <c r="AG105" i="4"/>
  <c r="AI105" i="4"/>
  <c r="AH105" i="4"/>
  <c r="AK124" i="4"/>
  <c r="AG124" i="4"/>
  <c r="AJ124" i="4"/>
  <c r="AH124" i="4"/>
  <c r="AI124" i="4"/>
  <c r="AH131" i="4"/>
  <c r="AK131" i="4"/>
  <c r="AG131" i="4"/>
  <c r="AI131" i="4"/>
  <c r="AJ131" i="4"/>
  <c r="AJ159" i="4"/>
  <c r="AH159" i="4"/>
  <c r="AG159" i="4"/>
  <c r="AI159" i="4"/>
  <c r="AK159" i="4"/>
  <c r="AO517" i="4"/>
  <c r="V43" i="4"/>
  <c r="X43" i="4" s="1"/>
  <c r="V58" i="4"/>
  <c r="X58" i="4" s="1"/>
  <c r="AS60" i="4"/>
  <c r="AJ62" i="4"/>
  <c r="AK62" i="4"/>
  <c r="AG62" i="4"/>
  <c r="AH63" i="4"/>
  <c r="AH64" i="4"/>
  <c r="AI64" i="4"/>
  <c r="AS64" i="4"/>
  <c r="AJ66" i="4"/>
  <c r="AK66" i="4"/>
  <c r="AG66" i="4"/>
  <c r="V67" i="4"/>
  <c r="X67" i="4" s="1"/>
  <c r="AS70" i="4"/>
  <c r="AJ76" i="4"/>
  <c r="AK76" i="4"/>
  <c r="AG76" i="4"/>
  <c r="AH77" i="4"/>
  <c r="AJ80" i="4"/>
  <c r="AK80" i="4"/>
  <c r="AG80" i="4"/>
  <c r="AS81" i="4"/>
  <c r="AJ83" i="4"/>
  <c r="AK84" i="4"/>
  <c r="AG84" i="4"/>
  <c r="AH84" i="4"/>
  <c r="AH85" i="4"/>
  <c r="AH86" i="4"/>
  <c r="AI86" i="4"/>
  <c r="AS86" i="4"/>
  <c r="AI88" i="4"/>
  <c r="AJ88" i="4"/>
  <c r="R90" i="4"/>
  <c r="AK91" i="4"/>
  <c r="AG91" i="4"/>
  <c r="AH91" i="4"/>
  <c r="AH96" i="4"/>
  <c r="AI96" i="4"/>
  <c r="AS96" i="4"/>
  <c r="AJ98" i="4"/>
  <c r="AK98" i="4"/>
  <c r="AG98" i="4"/>
  <c r="AS99" i="4"/>
  <c r="AJ107" i="4"/>
  <c r="AK107" i="4"/>
  <c r="AG107" i="4"/>
  <c r="AJ110" i="4"/>
  <c r="AJ112" i="4"/>
  <c r="AK112" i="4"/>
  <c r="AG112" i="4"/>
  <c r="AJ113" i="4"/>
  <c r="AK115" i="4"/>
  <c r="AG115" i="4"/>
  <c r="AH115" i="4"/>
  <c r="AJ118" i="4"/>
  <c r="AK118" i="4"/>
  <c r="AG118" i="4"/>
  <c r="AJ120" i="4"/>
  <c r="AK120" i="4"/>
  <c r="AG120" i="4"/>
  <c r="AH121" i="4"/>
  <c r="AH122" i="4"/>
  <c r="AI122" i="4"/>
  <c r="AS122" i="4"/>
  <c r="AH123" i="4"/>
  <c r="R125" i="4"/>
  <c r="V125" i="4" s="1"/>
  <c r="X125" i="4" s="1"/>
  <c r="AS125" i="4"/>
  <c r="AK132" i="4"/>
  <c r="AJ132" i="4"/>
  <c r="AI132" i="4"/>
  <c r="AG132" i="4"/>
  <c r="AJ153" i="4"/>
  <c r="AH153" i="4"/>
  <c r="AI154" i="4"/>
  <c r="AK154" i="4"/>
  <c r="AJ154" i="4"/>
  <c r="AG154" i="4"/>
  <c r="AK155" i="4"/>
  <c r="AG155" i="4"/>
  <c r="AJ155" i="4"/>
  <c r="AI155" i="4"/>
  <c r="AJ156" i="4"/>
  <c r="AI156" i="4"/>
  <c r="AH156" i="4"/>
  <c r="AK156" i="4"/>
  <c r="R162" i="4"/>
  <c r="V162" i="4" s="1"/>
  <c r="X162" i="4" s="1"/>
  <c r="V163" i="4"/>
  <c r="X163" i="4" s="1"/>
  <c r="AS164" i="4"/>
  <c r="AS175" i="4"/>
  <c r="AK183" i="4"/>
  <c r="AG183" i="4"/>
  <c r="AH183" i="4"/>
  <c r="AI183" i="4"/>
  <c r="AJ190" i="4"/>
  <c r="AK190" i="4"/>
  <c r="AG190" i="4"/>
  <c r="AH190" i="4"/>
  <c r="R191" i="4"/>
  <c r="V191" i="4" s="1"/>
  <c r="X191" i="4" s="1"/>
  <c r="AH203" i="4"/>
  <c r="AJ203" i="4"/>
  <c r="AG203" i="4"/>
  <c r="AK203" i="4"/>
  <c r="AI203" i="4"/>
  <c r="AI225" i="4"/>
  <c r="AK225" i="4"/>
  <c r="AG225" i="4"/>
  <c r="AJ225" i="4"/>
  <c r="AH225" i="4"/>
  <c r="AI252" i="4"/>
  <c r="AK252" i="4"/>
  <c r="AG252" i="4"/>
  <c r="AH252" i="4"/>
  <c r="AJ252" i="4"/>
  <c r="AU517" i="4"/>
  <c r="R21" i="4"/>
  <c r="V21" i="4" s="1"/>
  <c r="X21" i="4" s="1"/>
  <c r="R33" i="4"/>
  <c r="V33" i="4" s="1"/>
  <c r="X33" i="4" s="1"/>
  <c r="AS61" i="4"/>
  <c r="AH62" i="4"/>
  <c r="AG64" i="4"/>
  <c r="AS65" i="4"/>
  <c r="AH66" i="4"/>
  <c r="R75" i="4"/>
  <c r="V75" i="4" s="1"/>
  <c r="X75" i="4" s="1"/>
  <c r="AH76" i="4"/>
  <c r="V79" i="4"/>
  <c r="X79" i="4" s="1"/>
  <c r="AS79" i="4"/>
  <c r="AH80" i="4"/>
  <c r="AI84" i="4"/>
  <c r="AG86" i="4"/>
  <c r="AS87" i="4"/>
  <c r="AG88" i="4"/>
  <c r="P90" i="4"/>
  <c r="AI91" i="4"/>
  <c r="L92" i="4"/>
  <c r="V92" i="4" s="1"/>
  <c r="X92" i="4" s="1"/>
  <c r="AJ94" i="4"/>
  <c r="AG96" i="4"/>
  <c r="AS97" i="4"/>
  <c r="AH98" i="4"/>
  <c r="AS101" i="4"/>
  <c r="AH107" i="4"/>
  <c r="R111" i="4"/>
  <c r="V111" i="4" s="1"/>
  <c r="X111" i="4" s="1"/>
  <c r="AH112" i="4"/>
  <c r="AI115" i="4"/>
  <c r="L116" i="4"/>
  <c r="V116" i="4" s="1"/>
  <c r="X116" i="4" s="1"/>
  <c r="AH118" i="4"/>
  <c r="R119" i="4"/>
  <c r="V119" i="4" s="1"/>
  <c r="X119" i="4" s="1"/>
  <c r="AH120" i="4"/>
  <c r="AG122" i="4"/>
  <c r="V127" i="4"/>
  <c r="X127" i="4" s="1"/>
  <c r="AS128" i="4"/>
  <c r="AS131" i="4"/>
  <c r="AH132" i="4"/>
  <c r="AS143" i="4"/>
  <c r="AS144" i="4"/>
  <c r="AS150" i="4"/>
  <c r="AH154" i="4"/>
  <c r="AH155" i="4"/>
  <c r="AG156" i="4"/>
  <c r="AI157" i="4"/>
  <c r="AG157" i="4"/>
  <c r="AK157" i="4"/>
  <c r="AH157" i="4"/>
  <c r="AS159" i="4"/>
  <c r="AS167" i="4"/>
  <c r="AJ183" i="4"/>
  <c r="AJ186" i="4"/>
  <c r="AK186" i="4"/>
  <c r="AG186" i="4"/>
  <c r="AH186" i="4"/>
  <c r="AI187" i="4"/>
  <c r="AJ187" i="4"/>
  <c r="AH187" i="4"/>
  <c r="AG187" i="4"/>
  <c r="AK187" i="4"/>
  <c r="AI190" i="4"/>
  <c r="AJ192" i="4"/>
  <c r="AG192" i="4"/>
  <c r="AH192" i="4"/>
  <c r="AK192" i="4"/>
  <c r="R222" i="4"/>
  <c r="P222" i="4"/>
  <c r="AK242" i="4"/>
  <c r="AG242" i="4"/>
  <c r="AI242" i="4"/>
  <c r="AH242" i="4"/>
  <c r="AJ242" i="4"/>
  <c r="AJ257" i="4"/>
  <c r="AH257" i="4"/>
  <c r="AK257" i="4"/>
  <c r="AI257" i="4"/>
  <c r="AG257" i="4"/>
  <c r="AK61" i="4"/>
  <c r="AG61" i="4"/>
  <c r="AH61" i="4"/>
  <c r="AI63" i="4"/>
  <c r="AJ63" i="4"/>
  <c r="AK65" i="4"/>
  <c r="AG65" i="4"/>
  <c r="AH65" i="4"/>
  <c r="AS72" i="4"/>
  <c r="AI77" i="4"/>
  <c r="AJ77" i="4"/>
  <c r="AH83" i="4"/>
  <c r="AI83" i="4"/>
  <c r="AS83" i="4"/>
  <c r="AI85" i="4"/>
  <c r="AJ85" i="4"/>
  <c r="AK87" i="4"/>
  <c r="AG87" i="4"/>
  <c r="AH87" i="4"/>
  <c r="AS90" i="4"/>
  <c r="AK97" i="4"/>
  <c r="AG97" i="4"/>
  <c r="AH97" i="4"/>
  <c r="AK101" i="4"/>
  <c r="AG101" i="4"/>
  <c r="AH101" i="4"/>
  <c r="AS106" i="4"/>
  <c r="AS111" i="4"/>
  <c r="AH113" i="4"/>
  <c r="AI113" i="4"/>
  <c r="AS113" i="4"/>
  <c r="AS114" i="4"/>
  <c r="AS119" i="4"/>
  <c r="AI121" i="4"/>
  <c r="AJ121" i="4"/>
  <c r="AI123" i="4"/>
  <c r="AJ123" i="4"/>
  <c r="AI128" i="4"/>
  <c r="AH128" i="4"/>
  <c r="AJ128" i="4"/>
  <c r="AJ130" i="4"/>
  <c r="AI130" i="4"/>
  <c r="AK130" i="4"/>
  <c r="AG130" i="4"/>
  <c r="R138" i="4"/>
  <c r="V138" i="4" s="1"/>
  <c r="X138" i="4" s="1"/>
  <c r="AI145" i="4"/>
  <c r="AJ145" i="4"/>
  <c r="AH145" i="4"/>
  <c r="AK145" i="4"/>
  <c r="AH150" i="4"/>
  <c r="AJ150" i="4"/>
  <c r="AI150" i="4"/>
  <c r="AK150" i="4"/>
  <c r="R151" i="4"/>
  <c r="V151" i="4" s="1"/>
  <c r="X151" i="4" s="1"/>
  <c r="AH158" i="4"/>
  <c r="AG158" i="4"/>
  <c r="AK158" i="4"/>
  <c r="AI158" i="4"/>
  <c r="AI164" i="4"/>
  <c r="AG164" i="4"/>
  <c r="AK164" i="4"/>
  <c r="AH164" i="4"/>
  <c r="AJ166" i="4"/>
  <c r="AK166" i="4"/>
  <c r="AI166" i="4"/>
  <c r="AG166" i="4"/>
  <c r="AH168" i="4"/>
  <c r="AI168" i="4"/>
  <c r="AG168" i="4"/>
  <c r="AJ168" i="4"/>
  <c r="AK171" i="4"/>
  <c r="AG171" i="4"/>
  <c r="AH171" i="4"/>
  <c r="AI171" i="4"/>
  <c r="AJ172" i="4"/>
  <c r="AK172" i="4"/>
  <c r="AG172" i="4"/>
  <c r="AI172" i="4"/>
  <c r="AH172" i="4"/>
  <c r="AJ174" i="4"/>
  <c r="AK174" i="4"/>
  <c r="AG174" i="4"/>
  <c r="AH174" i="4"/>
  <c r="AI174" i="4"/>
  <c r="AK177" i="4"/>
  <c r="AG177" i="4"/>
  <c r="AH177" i="4"/>
  <c r="AI177" i="4"/>
  <c r="AJ177" i="4"/>
  <c r="AJ182" i="4"/>
  <c r="AK182" i="4"/>
  <c r="AG182" i="4"/>
  <c r="AH182" i="4"/>
  <c r="AI182" i="4"/>
  <c r="AK189" i="4"/>
  <c r="AG189" i="4"/>
  <c r="AH189" i="4"/>
  <c r="AJ189" i="4"/>
  <c r="AI189" i="4"/>
  <c r="P210" i="4"/>
  <c r="R210" i="4"/>
  <c r="AJ220" i="4"/>
  <c r="AH220" i="4"/>
  <c r="AI220" i="4"/>
  <c r="AG220" i="4"/>
  <c r="AK220" i="4"/>
  <c r="AK226" i="4"/>
  <c r="AG226" i="4"/>
  <c r="AI226" i="4"/>
  <c r="AJ226" i="4"/>
  <c r="AH226" i="4"/>
  <c r="AI256" i="4"/>
  <c r="AK256" i="4"/>
  <c r="AG256" i="4"/>
  <c r="AJ256" i="4"/>
  <c r="AH256" i="4"/>
  <c r="AM517" i="4"/>
  <c r="AS2" i="4"/>
  <c r="AI61" i="4"/>
  <c r="AG63" i="4"/>
  <c r="AK64" i="4"/>
  <c r="AI65" i="4"/>
  <c r="AS68" i="4"/>
  <c r="R70" i="4"/>
  <c r="V70" i="4" s="1"/>
  <c r="X70" i="4" s="1"/>
  <c r="V73" i="4"/>
  <c r="X73" i="4" s="1"/>
  <c r="AG77" i="4"/>
  <c r="AG83" i="4"/>
  <c r="AS84" i="4"/>
  <c r="AG85" i="4"/>
  <c r="AK86" i="4"/>
  <c r="AI87" i="4"/>
  <c r="AK88" i="4"/>
  <c r="AS91" i="4"/>
  <c r="AS92" i="4"/>
  <c r="AH94" i="4"/>
  <c r="AI94" i="4"/>
  <c r="AS94" i="4"/>
  <c r="AK96" i="4"/>
  <c r="AI97" i="4"/>
  <c r="AI101" i="4"/>
  <c r="V102" i="4"/>
  <c r="X102" i="4" s="1"/>
  <c r="AG113" i="4"/>
  <c r="V114" i="4"/>
  <c r="X114" i="4" s="1"/>
  <c r="AS115" i="4"/>
  <c r="AS116" i="4"/>
  <c r="AG121" i="4"/>
  <c r="AK122" i="4"/>
  <c r="AG123" i="4"/>
  <c r="AS124" i="4"/>
  <c r="R126" i="4"/>
  <c r="V126" i="4" s="1"/>
  <c r="X126" i="4" s="1"/>
  <c r="AG128" i="4"/>
  <c r="AH130" i="4"/>
  <c r="AS133" i="4"/>
  <c r="R136" i="4"/>
  <c r="V136" i="4" s="1"/>
  <c r="X136" i="4" s="1"/>
  <c r="AJ139" i="4"/>
  <c r="AG139" i="4"/>
  <c r="AK139" i="4"/>
  <c r="AH139" i="4"/>
  <c r="AJ143" i="4"/>
  <c r="AH143" i="4"/>
  <c r="AG143" i="4"/>
  <c r="AI143" i="4"/>
  <c r="AS146" i="4"/>
  <c r="AK147" i="4"/>
  <c r="AG147" i="4"/>
  <c r="AH147" i="4"/>
  <c r="AI147" i="4"/>
  <c r="AJ148" i="4"/>
  <c r="AG148" i="4"/>
  <c r="AK148" i="4"/>
  <c r="AH148" i="4"/>
  <c r="AS157" i="4"/>
  <c r="AJ158" i="4"/>
  <c r="AS161" i="4"/>
  <c r="AJ164" i="4"/>
  <c r="AK165" i="4"/>
  <c r="AG165" i="4"/>
  <c r="AJ165" i="4"/>
  <c r="AH165" i="4"/>
  <c r="AH166" i="4"/>
  <c r="AI167" i="4"/>
  <c r="AH167" i="4"/>
  <c r="AG167" i="4"/>
  <c r="AJ167" i="4"/>
  <c r="AK168" i="4"/>
  <c r="AJ170" i="4"/>
  <c r="AG170" i="4"/>
  <c r="AK170" i="4"/>
  <c r="AH170" i="4"/>
  <c r="AJ171" i="4"/>
  <c r="AS172" i="4"/>
  <c r="AK179" i="4"/>
  <c r="AG179" i="4"/>
  <c r="AH179" i="4"/>
  <c r="AI179" i="4"/>
  <c r="AJ180" i="4"/>
  <c r="AK180" i="4"/>
  <c r="AG180" i="4"/>
  <c r="AI180" i="4"/>
  <c r="AH180" i="4"/>
  <c r="AK185" i="4"/>
  <c r="AG185" i="4"/>
  <c r="AH185" i="4"/>
  <c r="AJ185" i="4"/>
  <c r="AI185" i="4"/>
  <c r="R194" i="4"/>
  <c r="V194" i="4" s="1"/>
  <c r="X194" i="4" s="1"/>
  <c r="AH255" i="4"/>
  <c r="AJ255" i="4"/>
  <c r="AG255" i="4"/>
  <c r="AI255" i="4"/>
  <c r="AK255" i="4"/>
  <c r="V137" i="4"/>
  <c r="X137" i="4" s="1"/>
  <c r="AS138" i="4"/>
  <c r="V140" i="4"/>
  <c r="X140" i="4" s="1"/>
  <c r="V141" i="4"/>
  <c r="X141" i="4" s="1"/>
  <c r="V160" i="4"/>
  <c r="X160" i="4" s="1"/>
  <c r="AS173" i="4"/>
  <c r="R175" i="4"/>
  <c r="V175" i="4" s="1"/>
  <c r="X175" i="4" s="1"/>
  <c r="V184" i="4"/>
  <c r="X184" i="4" s="1"/>
  <c r="AS185" i="4"/>
  <c r="AS189" i="4"/>
  <c r="R195" i="4"/>
  <c r="V195" i="4" s="1"/>
  <c r="X195" i="4" s="1"/>
  <c r="AS202" i="4"/>
  <c r="P206" i="4"/>
  <c r="V206" i="4" s="1"/>
  <c r="X206" i="4" s="1"/>
  <c r="AH212" i="4"/>
  <c r="R213" i="4"/>
  <c r="T213" i="4"/>
  <c r="AJ259" i="4"/>
  <c r="AH259" i="4"/>
  <c r="AI259" i="4"/>
  <c r="AG259" i="4"/>
  <c r="AK259" i="4"/>
  <c r="AI260" i="4"/>
  <c r="AK260" i="4"/>
  <c r="AG260" i="4"/>
  <c r="AJ260" i="4"/>
  <c r="AH260" i="4"/>
  <c r="AF293" i="4"/>
  <c r="AJ293" i="4"/>
  <c r="AK293" i="4"/>
  <c r="AI293" i="4"/>
  <c r="AK307" i="4"/>
  <c r="AG307" i="4"/>
  <c r="AI307" i="4"/>
  <c r="AJ307" i="4"/>
  <c r="AH307" i="4"/>
  <c r="AI354" i="4"/>
  <c r="AK354" i="4"/>
  <c r="AJ354" i="4"/>
  <c r="AF354" i="4"/>
  <c r="AJ364" i="4"/>
  <c r="AF364" i="4"/>
  <c r="AK364" i="4"/>
  <c r="AI364" i="4"/>
  <c r="AJ365" i="4"/>
  <c r="AF365" i="4"/>
  <c r="AK365" i="4"/>
  <c r="AI365" i="4"/>
  <c r="AS136" i="4"/>
  <c r="AS140" i="4"/>
  <c r="AS162" i="4"/>
  <c r="AS168" i="4"/>
  <c r="AS191" i="4"/>
  <c r="AJ198" i="4"/>
  <c r="AH198" i="4"/>
  <c r="AG198" i="4"/>
  <c r="AH202" i="4"/>
  <c r="AJ202" i="4"/>
  <c r="AI202" i="4"/>
  <c r="AK202" i="4"/>
  <c r="R204" i="4"/>
  <c r="V204" i="4" s="1"/>
  <c r="X204" i="4" s="1"/>
  <c r="P218" i="4"/>
  <c r="V218" i="4" s="1"/>
  <c r="X218" i="4" s="1"/>
  <c r="AI227" i="4"/>
  <c r="AK227" i="4"/>
  <c r="AG227" i="4"/>
  <c r="AJ227" i="4"/>
  <c r="AH227" i="4"/>
  <c r="R235" i="4"/>
  <c r="V235" i="4" s="1"/>
  <c r="X235" i="4" s="1"/>
  <c r="R236" i="4"/>
  <c r="V236" i="4" s="1"/>
  <c r="X236" i="4" s="1"/>
  <c r="AH243" i="4"/>
  <c r="AJ243" i="4"/>
  <c r="AK243" i="4"/>
  <c r="AG243" i="4"/>
  <c r="AK244" i="4"/>
  <c r="AG244" i="4"/>
  <c r="AI244" i="4"/>
  <c r="AH244" i="4"/>
  <c r="AK254" i="4"/>
  <c r="AG254" i="4"/>
  <c r="AI254" i="4"/>
  <c r="AH254" i="4"/>
  <c r="AJ254" i="4"/>
  <c r="AI291" i="4"/>
  <c r="AK291" i="4"/>
  <c r="AJ291" i="4"/>
  <c r="AF291" i="4"/>
  <c r="AF317" i="4"/>
  <c r="AJ317" i="4"/>
  <c r="AK317" i="4"/>
  <c r="AI317" i="4"/>
  <c r="AJ318" i="4"/>
  <c r="AF318" i="4"/>
  <c r="AK318" i="4"/>
  <c r="AI318" i="4"/>
  <c r="V133" i="4"/>
  <c r="X133" i="4" s="1"/>
  <c r="V144" i="4"/>
  <c r="X144" i="4" s="1"/>
  <c r="AS152" i="4"/>
  <c r="AS158" i="4"/>
  <c r="AS163" i="4"/>
  <c r="R173" i="4"/>
  <c r="V173" i="4" s="1"/>
  <c r="X173" i="4" s="1"/>
  <c r="V178" i="4"/>
  <c r="X178" i="4" s="1"/>
  <c r="AI181" i="4"/>
  <c r="AJ181" i="4"/>
  <c r="AS184" i="4"/>
  <c r="AH188" i="4"/>
  <c r="AI188" i="4"/>
  <c r="AS188" i="4"/>
  <c r="AS192" i="4"/>
  <c r="V197" i="4"/>
  <c r="X197" i="4" s="1"/>
  <c r="AS197" i="4"/>
  <c r="AI198" i="4"/>
  <c r="AH201" i="4"/>
  <c r="AJ201" i="4"/>
  <c r="AG201" i="4"/>
  <c r="AG202" i="4"/>
  <c r="P205" i="4"/>
  <c r="V205" i="4" s="1"/>
  <c r="X205" i="4" s="1"/>
  <c r="P209" i="4"/>
  <c r="V209" i="4" s="1"/>
  <c r="X209" i="4" s="1"/>
  <c r="AI217" i="4"/>
  <c r="AK217" i="4"/>
  <c r="AG217" i="4"/>
  <c r="AH217" i="4"/>
  <c r="AJ217" i="4"/>
  <c r="P230" i="4"/>
  <c r="V230" i="4" s="1"/>
  <c r="X230" i="4" s="1"/>
  <c r="AH233" i="4"/>
  <c r="AJ233" i="4"/>
  <c r="AI233" i="4"/>
  <c r="AG233" i="4"/>
  <c r="AK233" i="4"/>
  <c r="AI234" i="4"/>
  <c r="AK234" i="4"/>
  <c r="AG234" i="4"/>
  <c r="AH234" i="4"/>
  <c r="AJ234" i="4"/>
  <c r="AI243" i="4"/>
  <c r="AJ244" i="4"/>
  <c r="AK286" i="4"/>
  <c r="AI286" i="4"/>
  <c r="AF286" i="4"/>
  <c r="AJ286" i="4"/>
  <c r="AS199" i="4"/>
  <c r="AS204" i="4"/>
  <c r="AS206" i="4"/>
  <c r="V208" i="4"/>
  <c r="X208" i="4" s="1"/>
  <c r="V216" i="4"/>
  <c r="X216" i="4" s="1"/>
  <c r="AI224" i="4"/>
  <c r="AK224" i="4"/>
  <c r="AG224" i="4"/>
  <c r="AS245" i="4"/>
  <c r="AK246" i="4"/>
  <c r="AG246" i="4"/>
  <c r="AI246" i="4"/>
  <c r="AG249" i="4"/>
  <c r="AS257" i="4"/>
  <c r="AI261" i="4"/>
  <c r="AK261" i="4"/>
  <c r="AF263" i="4"/>
  <c r="AK263" i="4"/>
  <c r="AJ263" i="4"/>
  <c r="AI263" i="4"/>
  <c r="AS264" i="4"/>
  <c r="AS265" i="4"/>
  <c r="AJ272" i="4"/>
  <c r="AI272" i="4"/>
  <c r="AF272" i="4"/>
  <c r="AK274" i="4"/>
  <c r="AG274" i="4"/>
  <c r="AH274" i="4"/>
  <c r="AJ274" i="4"/>
  <c r="AK279" i="4"/>
  <c r="AG279" i="4"/>
  <c r="AI279" i="4"/>
  <c r="AH279" i="4"/>
  <c r="AH280" i="4"/>
  <c r="AK280" i="4"/>
  <c r="AJ280" i="4"/>
  <c r="AI280" i="4"/>
  <c r="AI281" i="4"/>
  <c r="AK281" i="4"/>
  <c r="AJ281" i="4"/>
  <c r="AH281" i="4"/>
  <c r="AK288" i="4"/>
  <c r="AI288" i="4"/>
  <c r="AF288" i="4"/>
  <c r="AI296" i="4"/>
  <c r="AK296" i="4"/>
  <c r="AG296" i="4"/>
  <c r="AJ296" i="4"/>
  <c r="AH296" i="4"/>
  <c r="AJ300" i="4"/>
  <c r="AH300" i="4"/>
  <c r="AK300" i="4"/>
  <c r="AI300" i="4"/>
  <c r="AG300" i="4"/>
  <c r="AI301" i="4"/>
  <c r="AK301" i="4"/>
  <c r="AG301" i="4"/>
  <c r="AJ301" i="4"/>
  <c r="AH301" i="4"/>
  <c r="AH304" i="4"/>
  <c r="AJ304" i="4"/>
  <c r="AK304" i="4"/>
  <c r="AI304" i="4"/>
  <c r="AJ308" i="4"/>
  <c r="AH308" i="4"/>
  <c r="AK308" i="4"/>
  <c r="AI308" i="4"/>
  <c r="AG308" i="4"/>
  <c r="AI309" i="4"/>
  <c r="AK309" i="4"/>
  <c r="AG309" i="4"/>
  <c r="AJ309" i="4"/>
  <c r="AH309" i="4"/>
  <c r="AK311" i="4"/>
  <c r="AG311" i="4"/>
  <c r="AI311" i="4"/>
  <c r="AJ311" i="4"/>
  <c r="AI319" i="4"/>
  <c r="AK319" i="4"/>
  <c r="AG319" i="4"/>
  <c r="AJ319" i="4"/>
  <c r="AF358" i="4"/>
  <c r="AJ358" i="4"/>
  <c r="AK358" i="4"/>
  <c r="AI358" i="4"/>
  <c r="AF359" i="4"/>
  <c r="AJ359" i="4"/>
  <c r="AK359" i="4"/>
  <c r="AI359" i="4"/>
  <c r="AJ366" i="4"/>
  <c r="AF366" i="4"/>
  <c r="AK366" i="4"/>
  <c r="AI366" i="4"/>
  <c r="AJ380" i="4"/>
  <c r="AF380" i="4"/>
  <c r="AK380" i="4"/>
  <c r="AI380" i="4"/>
  <c r="AJ381" i="4"/>
  <c r="AF381" i="4"/>
  <c r="AK381" i="4"/>
  <c r="AI381" i="4"/>
  <c r="AS221" i="4"/>
  <c r="AS229" i="4"/>
  <c r="P231" i="4"/>
  <c r="AS235" i="4"/>
  <c r="AH253" i="4"/>
  <c r="AJ253" i="4"/>
  <c r="AS253" i="4"/>
  <c r="AS255" i="4"/>
  <c r="AK264" i="4"/>
  <c r="AG264" i="4"/>
  <c r="AH264" i="4"/>
  <c r="AJ264" i="4"/>
  <c r="AH267" i="4"/>
  <c r="AJ267" i="4"/>
  <c r="AI267" i="4"/>
  <c r="AG267" i="4"/>
  <c r="AS272" i="4"/>
  <c r="AF276" i="4"/>
  <c r="AK276" i="4"/>
  <c r="AJ276" i="4"/>
  <c r="AH282" i="4"/>
  <c r="AJ282" i="4"/>
  <c r="AK282" i="4"/>
  <c r="AI282" i="4"/>
  <c r="AI290" i="4"/>
  <c r="AK290" i="4"/>
  <c r="AJ290" i="4"/>
  <c r="AF290" i="4"/>
  <c r="AI298" i="4"/>
  <c r="AK298" i="4"/>
  <c r="AG298" i="4"/>
  <c r="AJ298" i="4"/>
  <c r="AH298" i="4"/>
  <c r="AK302" i="4"/>
  <c r="AI302" i="4"/>
  <c r="AJ302" i="4"/>
  <c r="AF302" i="4"/>
  <c r="AH332" i="4"/>
  <c r="AK332" i="4"/>
  <c r="AG332" i="4"/>
  <c r="AJ332" i="4"/>
  <c r="AI332" i="4"/>
  <c r="AI400" i="4"/>
  <c r="AF400" i="4"/>
  <c r="AK400" i="4"/>
  <c r="AJ400" i="4"/>
  <c r="AS198" i="4"/>
  <c r="AS201" i="4"/>
  <c r="AS203" i="4"/>
  <c r="R211" i="4"/>
  <c r="V211" i="4" s="1"/>
  <c r="X211" i="4" s="1"/>
  <c r="R214" i="4"/>
  <c r="V214" i="4" s="1"/>
  <c r="X214" i="4" s="1"/>
  <c r="P215" i="4"/>
  <c r="V215" i="4" s="1"/>
  <c r="X215" i="4" s="1"/>
  <c r="V219" i="4"/>
  <c r="X219" i="4" s="1"/>
  <c r="AS219" i="4"/>
  <c r="AS222" i="4"/>
  <c r="R223" i="4"/>
  <c r="V223" i="4" s="1"/>
  <c r="X223" i="4" s="1"/>
  <c r="R231" i="4"/>
  <c r="P232" i="4"/>
  <c r="V232" i="4" s="1"/>
  <c r="X232" i="4" s="1"/>
  <c r="P237" i="4"/>
  <c r="V237" i="4" s="1"/>
  <c r="X237" i="4" s="1"/>
  <c r="AH241" i="4"/>
  <c r="AJ241" i="4"/>
  <c r="AS241" i="4"/>
  <c r="AS243" i="4"/>
  <c r="AJ251" i="4"/>
  <c r="AH251" i="4"/>
  <c r="AS251" i="4"/>
  <c r="AG253" i="4"/>
  <c r="AI262" i="4"/>
  <c r="AK262" i="4"/>
  <c r="AI264" i="4"/>
  <c r="AI266" i="4"/>
  <c r="AJ266" i="4"/>
  <c r="AH266" i="4"/>
  <c r="AG266" i="4"/>
  <c r="AK267" i="4"/>
  <c r="AK268" i="4"/>
  <c r="AG268" i="4"/>
  <c r="AJ268" i="4"/>
  <c r="AI268" i="4"/>
  <c r="AK269" i="4"/>
  <c r="AJ269" i="4"/>
  <c r="AI269" i="4"/>
  <c r="AK270" i="4"/>
  <c r="AJ270" i="4"/>
  <c r="AI270" i="4"/>
  <c r="AJ271" i="4"/>
  <c r="AK271" i="4"/>
  <c r="AI271" i="4"/>
  <c r="AH271" i="4"/>
  <c r="AI276" i="4"/>
  <c r="L277" i="4"/>
  <c r="V277" i="4" s="1"/>
  <c r="X277" i="4" s="1"/>
  <c r="AS280" i="4"/>
  <c r="AG282" i="4"/>
  <c r="AK283" i="4"/>
  <c r="AG283" i="4"/>
  <c r="AI283" i="4"/>
  <c r="AJ283" i="4"/>
  <c r="AK297" i="4"/>
  <c r="AG297" i="4"/>
  <c r="AI297" i="4"/>
  <c r="AJ297" i="4"/>
  <c r="AH297" i="4"/>
  <c r="AJ305" i="4"/>
  <c r="AF305" i="4"/>
  <c r="AK305" i="4"/>
  <c r="AI305" i="4"/>
  <c r="AF360" i="4"/>
  <c r="AJ360" i="4"/>
  <c r="AK360" i="4"/>
  <c r="AI360" i="4"/>
  <c r="AJ382" i="4"/>
  <c r="AF382" i="4"/>
  <c r="AK382" i="4"/>
  <c r="AI382" i="4"/>
  <c r="AI265" i="4"/>
  <c r="AS267" i="4"/>
  <c r="AK273" i="4"/>
  <c r="L275" i="4"/>
  <c r="V275" i="4" s="1"/>
  <c r="X275" i="4" s="1"/>
  <c r="AS275" i="4"/>
  <c r="AJ278" i="4"/>
  <c r="AK289" i="4"/>
  <c r="AI289" i="4"/>
  <c r="AJ295" i="4"/>
  <c r="AH295" i="4"/>
  <c r="AS295" i="4"/>
  <c r="AS306" i="4"/>
  <c r="AH314" i="4"/>
  <c r="AJ314" i="4"/>
  <c r="AS314" i="4"/>
  <c r="AS316" i="4"/>
  <c r="AS323" i="4"/>
  <c r="AS324" i="4"/>
  <c r="AI325" i="4"/>
  <c r="AH325" i="4"/>
  <c r="AK325" i="4"/>
  <c r="AG325" i="4"/>
  <c r="L326" i="4"/>
  <c r="V326" i="4" s="1"/>
  <c r="X326" i="4" s="1"/>
  <c r="AS326" i="4"/>
  <c r="AS330" i="4"/>
  <c r="AJ333" i="4"/>
  <c r="AK333" i="4"/>
  <c r="AI333" i="4"/>
  <c r="AH333" i="4"/>
  <c r="AJ336" i="4"/>
  <c r="AI336" i="4"/>
  <c r="AF336" i="4"/>
  <c r="AK338" i="4"/>
  <c r="AG338" i="4"/>
  <c r="AH338" i="4"/>
  <c r="AJ338" i="4"/>
  <c r="AI350" i="4"/>
  <c r="AK350" i="4"/>
  <c r="AJ350" i="4"/>
  <c r="AF350" i="4"/>
  <c r="AJ368" i="4"/>
  <c r="AF368" i="4"/>
  <c r="AK368" i="4"/>
  <c r="AI368" i="4"/>
  <c r="AJ369" i="4"/>
  <c r="AF369" i="4"/>
  <c r="AK369" i="4"/>
  <c r="AI369" i="4"/>
  <c r="AJ370" i="4"/>
  <c r="AF370" i="4"/>
  <c r="AK370" i="4"/>
  <c r="AJ384" i="4"/>
  <c r="AF384" i="4"/>
  <c r="AK384" i="4"/>
  <c r="AI384" i="4"/>
  <c r="AJ385" i="4"/>
  <c r="AF385" i="4"/>
  <c r="AK385" i="4"/>
  <c r="AI385" i="4"/>
  <c r="AJ386" i="4"/>
  <c r="AF386" i="4"/>
  <c r="AK386" i="4"/>
  <c r="AI396" i="4"/>
  <c r="AF396" i="4"/>
  <c r="AK396" i="4"/>
  <c r="AJ396" i="4"/>
  <c r="AH425" i="4"/>
  <c r="AK425" i="4"/>
  <c r="AI425" i="4"/>
  <c r="AJ425" i="4"/>
  <c r="AG425" i="4"/>
  <c r="AS262" i="4"/>
  <c r="AK265" i="4"/>
  <c r="AK278" i="4"/>
  <c r="AK284" i="4"/>
  <c r="AI284" i="4"/>
  <c r="AI285" i="4"/>
  <c r="AK285" i="4"/>
  <c r="AI287" i="4"/>
  <c r="AK287" i="4"/>
  <c r="AK294" i="4"/>
  <c r="AG294" i="4"/>
  <c r="AI294" i="4"/>
  <c r="AF306" i="4"/>
  <c r="AJ306" i="4"/>
  <c r="AJ312" i="4"/>
  <c r="AH312" i="4"/>
  <c r="AI313" i="4"/>
  <c r="AK313" i="4"/>
  <c r="AG313" i="4"/>
  <c r="AJ316" i="4"/>
  <c r="AF316" i="4"/>
  <c r="AH320" i="4"/>
  <c r="AJ320" i="4"/>
  <c r="AK321" i="4"/>
  <c r="AG321" i="4"/>
  <c r="AI321" i="4"/>
  <c r="AH322" i="4"/>
  <c r="AJ322" i="4"/>
  <c r="AF323" i="4"/>
  <c r="AJ323" i="4"/>
  <c r="AK327" i="4"/>
  <c r="AG327" i="4"/>
  <c r="AJ327" i="4"/>
  <c r="AI327" i="4"/>
  <c r="AI329" i="4"/>
  <c r="AH329" i="4"/>
  <c r="AK329" i="4"/>
  <c r="AG329" i="4"/>
  <c r="AI334" i="4"/>
  <c r="AH334" i="4"/>
  <c r="AG334" i="4"/>
  <c r="AK334" i="4"/>
  <c r="AS343" i="4"/>
  <c r="AI346" i="4"/>
  <c r="AK346" i="4"/>
  <c r="AJ346" i="4"/>
  <c r="AF346" i="4"/>
  <c r="AJ372" i="4"/>
  <c r="AF372" i="4"/>
  <c r="AK372" i="4"/>
  <c r="AI372" i="4"/>
  <c r="AJ373" i="4"/>
  <c r="AF373" i="4"/>
  <c r="AK373" i="4"/>
  <c r="AI373" i="4"/>
  <c r="AJ374" i="4"/>
  <c r="AF374" i="4"/>
  <c r="AK374" i="4"/>
  <c r="AJ388" i="4"/>
  <c r="AF388" i="4"/>
  <c r="AK388" i="4"/>
  <c r="AI388" i="4"/>
  <c r="AJ389" i="4"/>
  <c r="AI389" i="4"/>
  <c r="AF389" i="4"/>
  <c r="AK389" i="4"/>
  <c r="AI392" i="4"/>
  <c r="AF392" i="4"/>
  <c r="AK392" i="4"/>
  <c r="AJ392" i="4"/>
  <c r="AI408" i="4"/>
  <c r="AF408" i="4"/>
  <c r="AK408" i="4"/>
  <c r="AJ408" i="4"/>
  <c r="AG265" i="4"/>
  <c r="AF273" i="4"/>
  <c r="AS276" i="4"/>
  <c r="AG278" i="4"/>
  <c r="AS278" i="4"/>
  <c r="AS282" i="4"/>
  <c r="AF284" i="4"/>
  <c r="AF285" i="4"/>
  <c r="AF287" i="4"/>
  <c r="AJ289" i="4"/>
  <c r="AH292" i="4"/>
  <c r="AJ292" i="4"/>
  <c r="AS292" i="4"/>
  <c r="AH294" i="4"/>
  <c r="AI295" i="4"/>
  <c r="L299" i="4"/>
  <c r="V299" i="4" s="1"/>
  <c r="X299" i="4" s="1"/>
  <c r="AK303" i="4"/>
  <c r="AI303" i="4"/>
  <c r="AS304" i="4"/>
  <c r="AI306" i="4"/>
  <c r="AH310" i="4"/>
  <c r="AJ310" i="4"/>
  <c r="AS310" i="4"/>
  <c r="AG312" i="4"/>
  <c r="AH313" i="4"/>
  <c r="AI314" i="4"/>
  <c r="AI316" i="4"/>
  <c r="AS318" i="4"/>
  <c r="AG320" i="4"/>
  <c r="AH321" i="4"/>
  <c r="AG322" i="4"/>
  <c r="AI323" i="4"/>
  <c r="AF324" i="4"/>
  <c r="AK324" i="4"/>
  <c r="AJ324" i="4"/>
  <c r="AS325" i="4"/>
  <c r="AH327" i="4"/>
  <c r="AJ328" i="4"/>
  <c r="AI328" i="4"/>
  <c r="AH328" i="4"/>
  <c r="AJ329" i="4"/>
  <c r="AH330" i="4"/>
  <c r="AK330" i="4"/>
  <c r="AG330" i="4"/>
  <c r="AJ330" i="4"/>
  <c r="AK331" i="4"/>
  <c r="AG331" i="4"/>
  <c r="AJ331" i="4"/>
  <c r="AI331" i="4"/>
  <c r="AJ334" i="4"/>
  <c r="AH335" i="4"/>
  <c r="AI335" i="4"/>
  <c r="AG335" i="4"/>
  <c r="AK335" i="4"/>
  <c r="AS336" i="4"/>
  <c r="AS338" i="4"/>
  <c r="AS339" i="4"/>
  <c r="AI342" i="4"/>
  <c r="AK342" i="4"/>
  <c r="AJ342" i="4"/>
  <c r="AF342" i="4"/>
  <c r="AS355" i="4"/>
  <c r="AJ361" i="4"/>
  <c r="AF361" i="4"/>
  <c r="AK361" i="4"/>
  <c r="AI361" i="4"/>
  <c r="AJ362" i="4"/>
  <c r="AF362" i="4"/>
  <c r="AK362" i="4"/>
  <c r="AI374" i="4"/>
  <c r="AJ376" i="4"/>
  <c r="AF376" i="4"/>
  <c r="AK376" i="4"/>
  <c r="AI376" i="4"/>
  <c r="AJ377" i="4"/>
  <c r="AF377" i="4"/>
  <c r="AK377" i="4"/>
  <c r="AI377" i="4"/>
  <c r="AJ378" i="4"/>
  <c r="AF378" i="4"/>
  <c r="AK378" i="4"/>
  <c r="AI404" i="4"/>
  <c r="AF404" i="4"/>
  <c r="AK404" i="4"/>
  <c r="AJ404" i="4"/>
  <c r="AF414" i="4"/>
  <c r="AJ414" i="4"/>
  <c r="AI414" i="4"/>
  <c r="AK414" i="4"/>
  <c r="AK337" i="4"/>
  <c r="AI341" i="4"/>
  <c r="AK341" i="4"/>
  <c r="AI345" i="4"/>
  <c r="AK345" i="4"/>
  <c r="AI349" i="4"/>
  <c r="AK349" i="4"/>
  <c r="AI353" i="4"/>
  <c r="AK353" i="4"/>
  <c r="AH357" i="4"/>
  <c r="AJ357" i="4"/>
  <c r="AS357" i="4"/>
  <c r="AS363" i="4"/>
  <c r="AS367" i="4"/>
  <c r="AS371" i="4"/>
  <c r="AS375" i="4"/>
  <c r="AS379" i="4"/>
  <c r="AS383" i="4"/>
  <c r="AS387" i="4"/>
  <c r="AS391" i="4"/>
  <c r="AI393" i="4"/>
  <c r="AF393" i="4"/>
  <c r="AK393" i="4"/>
  <c r="AS395" i="4"/>
  <c r="AI397" i="4"/>
  <c r="AF397" i="4"/>
  <c r="AK397" i="4"/>
  <c r="AS399" i="4"/>
  <c r="AI401" i="4"/>
  <c r="AF401" i="4"/>
  <c r="AK401" i="4"/>
  <c r="AS403" i="4"/>
  <c r="AI405" i="4"/>
  <c r="AF405" i="4"/>
  <c r="AK405" i="4"/>
  <c r="AS407" i="4"/>
  <c r="AI409" i="4"/>
  <c r="AF409" i="4"/>
  <c r="AK409" i="4"/>
  <c r="AF412" i="4"/>
  <c r="AJ412" i="4"/>
  <c r="AI412" i="4"/>
  <c r="AF415" i="4"/>
  <c r="AK415" i="4"/>
  <c r="AJ415" i="4"/>
  <c r="AS335" i="4"/>
  <c r="AK339" i="4"/>
  <c r="AI340" i="4"/>
  <c r="AK340" i="4"/>
  <c r="AI344" i="4"/>
  <c r="AK344" i="4"/>
  <c r="AI348" i="4"/>
  <c r="AK348" i="4"/>
  <c r="AI352" i="4"/>
  <c r="AK352" i="4"/>
  <c r="AI356" i="4"/>
  <c r="AK356" i="4"/>
  <c r="AJ363" i="4"/>
  <c r="AF363" i="4"/>
  <c r="AJ367" i="4"/>
  <c r="AF367" i="4"/>
  <c r="AJ371" i="4"/>
  <c r="AF371" i="4"/>
  <c r="AJ375" i="4"/>
  <c r="AF375" i="4"/>
  <c r="AJ379" i="4"/>
  <c r="AF379" i="4"/>
  <c r="AJ383" i="4"/>
  <c r="AF383" i="4"/>
  <c r="AJ387" i="4"/>
  <c r="AF387" i="4"/>
  <c r="AI390" i="4"/>
  <c r="AH390" i="4"/>
  <c r="AK390" i="4"/>
  <c r="AG390" i="4"/>
  <c r="AS392" i="4"/>
  <c r="AI394" i="4"/>
  <c r="AF394" i="4"/>
  <c r="AK394" i="4"/>
  <c r="AS396" i="4"/>
  <c r="AI398" i="4"/>
  <c r="AF398" i="4"/>
  <c r="AK398" i="4"/>
  <c r="AS400" i="4"/>
  <c r="AI402" i="4"/>
  <c r="AF402" i="4"/>
  <c r="AK402" i="4"/>
  <c r="AS404" i="4"/>
  <c r="AI406" i="4"/>
  <c r="AF406" i="4"/>
  <c r="AK406" i="4"/>
  <c r="AS408" i="4"/>
  <c r="AF410" i="4"/>
  <c r="AJ410" i="4"/>
  <c r="AI410" i="4"/>
  <c r="AF413" i="4"/>
  <c r="AK413" i="4"/>
  <c r="AJ413" i="4"/>
  <c r="AF456" i="4"/>
  <c r="AI456" i="4"/>
  <c r="AK456" i="4"/>
  <c r="AJ456" i="4"/>
  <c r="AF337" i="4"/>
  <c r="AF339" i="4"/>
  <c r="AF340" i="4"/>
  <c r="AI343" i="4"/>
  <c r="AK343" i="4"/>
  <c r="AF344" i="4"/>
  <c r="AI347" i="4"/>
  <c r="AK347" i="4"/>
  <c r="AF348" i="4"/>
  <c r="AI351" i="4"/>
  <c r="AK351" i="4"/>
  <c r="AF352" i="4"/>
  <c r="AI355" i="4"/>
  <c r="AK355" i="4"/>
  <c r="AF356" i="4"/>
  <c r="AS359" i="4"/>
  <c r="AS361" i="4"/>
  <c r="AI363" i="4"/>
  <c r="AS365" i="4"/>
  <c r="AI367" i="4"/>
  <c r="AS369" i="4"/>
  <c r="AI371" i="4"/>
  <c r="AS373" i="4"/>
  <c r="AI375" i="4"/>
  <c r="AS377" i="4"/>
  <c r="AI379" i="4"/>
  <c r="AS381" i="4"/>
  <c r="AI383" i="4"/>
  <c r="AS385" i="4"/>
  <c r="AI387" i="4"/>
  <c r="AJ390" i="4"/>
  <c r="AI391" i="4"/>
  <c r="AF391" i="4"/>
  <c r="AK391" i="4"/>
  <c r="AJ394" i="4"/>
  <c r="AI395" i="4"/>
  <c r="AF395" i="4"/>
  <c r="AK395" i="4"/>
  <c r="AJ398" i="4"/>
  <c r="AI399" i="4"/>
  <c r="AF399" i="4"/>
  <c r="AK399" i="4"/>
  <c r="AJ402" i="4"/>
  <c r="AI403" i="4"/>
  <c r="AF403" i="4"/>
  <c r="AK403" i="4"/>
  <c r="AJ406" i="4"/>
  <c r="AI407" i="4"/>
  <c r="AF407" i="4"/>
  <c r="AK407" i="4"/>
  <c r="AK410" i="4"/>
  <c r="AF411" i="4"/>
  <c r="AK411" i="4"/>
  <c r="AJ411" i="4"/>
  <c r="AI413" i="4"/>
  <c r="AF416" i="4"/>
  <c r="AJ416" i="4"/>
  <c r="AI416" i="4"/>
  <c r="AJ417" i="4"/>
  <c r="AF417" i="4"/>
  <c r="AK417" i="4"/>
  <c r="AI417" i="4"/>
  <c r="AJ418" i="4"/>
  <c r="AF418" i="4"/>
  <c r="AK418" i="4"/>
  <c r="AI418" i="4"/>
  <c r="AJ419" i="4"/>
  <c r="AF419" i="4"/>
  <c r="AK419" i="4"/>
  <c r="AS410" i="4"/>
  <c r="AS412" i="4"/>
  <c r="AS414" i="4"/>
  <c r="AS416" i="4"/>
  <c r="AJ420" i="4"/>
  <c r="AI420" i="4"/>
  <c r="AJ422" i="4"/>
  <c r="AI422" i="4"/>
  <c r="AI424" i="4"/>
  <c r="AK424" i="4"/>
  <c r="AH424" i="4"/>
  <c r="AS434" i="4"/>
  <c r="AJ436" i="4"/>
  <c r="AK436" i="4"/>
  <c r="AI436" i="4"/>
  <c r="AS439" i="4"/>
  <c r="AS443" i="4"/>
  <c r="AS447" i="4"/>
  <c r="AF454" i="4"/>
  <c r="AI454" i="4"/>
  <c r="AK454" i="4"/>
  <c r="AF460" i="4"/>
  <c r="AK460" i="4"/>
  <c r="AI460" i="4"/>
  <c r="AJ460" i="4"/>
  <c r="AF463" i="4"/>
  <c r="AK463" i="4"/>
  <c r="AI463" i="4"/>
  <c r="AJ463" i="4"/>
  <c r="AK426" i="4"/>
  <c r="AG426" i="4"/>
  <c r="AH426" i="4"/>
  <c r="AJ426" i="4"/>
  <c r="AK428" i="4"/>
  <c r="AF428" i="4"/>
  <c r="AJ428" i="4"/>
  <c r="AK429" i="4"/>
  <c r="AF429" i="4"/>
  <c r="AJ429" i="4"/>
  <c r="AK430" i="4"/>
  <c r="AF430" i="4"/>
  <c r="AJ430" i="4"/>
  <c r="AK431" i="4"/>
  <c r="AF431" i="4"/>
  <c r="AJ431" i="4"/>
  <c r="AJ432" i="4"/>
  <c r="AG432" i="4"/>
  <c r="AK432" i="4"/>
  <c r="AI432" i="4"/>
  <c r="AJ437" i="4"/>
  <c r="AK437" i="4"/>
  <c r="AI437" i="4"/>
  <c r="AF437" i="4"/>
  <c r="AJ438" i="4"/>
  <c r="AI438" i="4"/>
  <c r="AF438" i="4"/>
  <c r="AF452" i="4"/>
  <c r="AI452" i="4"/>
  <c r="AK452" i="4"/>
  <c r="AS411" i="4"/>
  <c r="AS413" i="4"/>
  <c r="AS415" i="4"/>
  <c r="AS418" i="4"/>
  <c r="AJ421" i="4"/>
  <c r="AK421" i="4"/>
  <c r="AF421" i="4"/>
  <c r="AJ423" i="4"/>
  <c r="AF423" i="4"/>
  <c r="AK423" i="4"/>
  <c r="AI426" i="4"/>
  <c r="AI428" i="4"/>
  <c r="AI429" i="4"/>
  <c r="AI430" i="4"/>
  <c r="AI431" i="4"/>
  <c r="AH432" i="4"/>
  <c r="AJ433" i="4"/>
  <c r="AK433" i="4"/>
  <c r="AI433" i="4"/>
  <c r="AF433" i="4"/>
  <c r="AJ434" i="4"/>
  <c r="AI434" i="4"/>
  <c r="AF434" i="4"/>
  <c r="AS436" i="4"/>
  <c r="AK438" i="4"/>
  <c r="AS441" i="4"/>
  <c r="AS445" i="4"/>
  <c r="AF458" i="4"/>
  <c r="AI458" i="4"/>
  <c r="AK458" i="4"/>
  <c r="AF461" i="4"/>
  <c r="AI461" i="4"/>
  <c r="AK461" i="4"/>
  <c r="AJ461" i="4"/>
  <c r="AI475" i="4"/>
  <c r="AK475" i="4"/>
  <c r="AF475" i="4"/>
  <c r="AJ475" i="4"/>
  <c r="AI477" i="4"/>
  <c r="AJ477" i="4"/>
  <c r="AF477" i="4"/>
  <c r="AK477" i="4"/>
  <c r="AK435" i="4"/>
  <c r="AI467" i="4"/>
  <c r="AH467" i="4"/>
  <c r="AG467" i="4"/>
  <c r="AJ467" i="4"/>
  <c r="AI470" i="4"/>
  <c r="AK470" i="4"/>
  <c r="AF470" i="4"/>
  <c r="AJ470" i="4"/>
  <c r="AI473" i="4"/>
  <c r="AJ473" i="4"/>
  <c r="AF473" i="4"/>
  <c r="AS481" i="4"/>
  <c r="AI501" i="4"/>
  <c r="AF501" i="4"/>
  <c r="AK501" i="4"/>
  <c r="AJ501" i="4"/>
  <c r="AJ439" i="4"/>
  <c r="AI439" i="4"/>
  <c r="AJ440" i="4"/>
  <c r="AI440" i="4"/>
  <c r="AJ441" i="4"/>
  <c r="AI441" i="4"/>
  <c r="AJ442" i="4"/>
  <c r="AI442" i="4"/>
  <c r="AJ443" i="4"/>
  <c r="AI443" i="4"/>
  <c r="AJ444" i="4"/>
  <c r="AI444" i="4"/>
  <c r="AJ445" i="4"/>
  <c r="AI445" i="4"/>
  <c r="AJ446" i="4"/>
  <c r="AI446" i="4"/>
  <c r="AJ447" i="4"/>
  <c r="AI447" i="4"/>
  <c r="AJ448" i="4"/>
  <c r="AI448" i="4"/>
  <c r="AJ449" i="4"/>
  <c r="AI449" i="4"/>
  <c r="AJ450" i="4"/>
  <c r="AI450" i="4"/>
  <c r="AF451" i="4"/>
  <c r="AK451" i="4"/>
  <c r="AJ451" i="4"/>
  <c r="AF453" i="4"/>
  <c r="AK453" i="4"/>
  <c r="AJ453" i="4"/>
  <c r="AF455" i="4"/>
  <c r="AK455" i="4"/>
  <c r="AJ455" i="4"/>
  <c r="AF457" i="4"/>
  <c r="AK457" i="4"/>
  <c r="AJ457" i="4"/>
  <c r="AF459" i="4"/>
  <c r="AI459" i="4"/>
  <c r="AK459" i="4"/>
  <c r="AJ459" i="4"/>
  <c r="AS461" i="4"/>
  <c r="AI468" i="4"/>
  <c r="AJ468" i="4"/>
  <c r="AF468" i="4"/>
  <c r="AI483" i="4"/>
  <c r="AK483" i="4"/>
  <c r="AF483" i="4"/>
  <c r="AJ483" i="4"/>
  <c r="AI500" i="4"/>
  <c r="AF500" i="4"/>
  <c r="AJ500" i="4"/>
  <c r="AK500" i="4"/>
  <c r="AF435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I451" i="4"/>
  <c r="AI453" i="4"/>
  <c r="AI455" i="4"/>
  <c r="AI457" i="4"/>
  <c r="AF462" i="4"/>
  <c r="AK462" i="4"/>
  <c r="AI462" i="4"/>
  <c r="AK468" i="4"/>
  <c r="AS473" i="4"/>
  <c r="AI479" i="4"/>
  <c r="AK479" i="4"/>
  <c r="AF479" i="4"/>
  <c r="AJ479" i="4"/>
  <c r="AI481" i="4"/>
  <c r="AJ481" i="4"/>
  <c r="AF481" i="4"/>
  <c r="AS452" i="4"/>
  <c r="AS454" i="4"/>
  <c r="AS456" i="4"/>
  <c r="AS458" i="4"/>
  <c r="AS460" i="4"/>
  <c r="AS462" i="4"/>
  <c r="AF464" i="4"/>
  <c r="AK465" i="4"/>
  <c r="AJ465" i="4"/>
  <c r="AI472" i="4"/>
  <c r="AF472" i="4"/>
  <c r="AI476" i="4"/>
  <c r="AF476" i="4"/>
  <c r="AI480" i="4"/>
  <c r="AF480" i="4"/>
  <c r="AI485" i="4"/>
  <c r="AJ485" i="4"/>
  <c r="AF485" i="4"/>
  <c r="AI489" i="4"/>
  <c r="AJ489" i="4"/>
  <c r="AF489" i="4"/>
  <c r="AI493" i="4"/>
  <c r="AJ493" i="4"/>
  <c r="AF493" i="4"/>
  <c r="AI497" i="4"/>
  <c r="AF497" i="4"/>
  <c r="AK497" i="4"/>
  <c r="AJ497" i="4"/>
  <c r="AI499" i="4"/>
  <c r="AF499" i="4"/>
  <c r="AK499" i="4"/>
  <c r="AF465" i="4"/>
  <c r="AJ466" i="4"/>
  <c r="AK466" i="4"/>
  <c r="AI466" i="4"/>
  <c r="AI469" i="4"/>
  <c r="AK469" i="4"/>
  <c r="AJ469" i="4"/>
  <c r="AS470" i="4"/>
  <c r="AJ472" i="4"/>
  <c r="AI474" i="4"/>
  <c r="AK474" i="4"/>
  <c r="AJ474" i="4"/>
  <c r="AS475" i="4"/>
  <c r="AJ476" i="4"/>
  <c r="AI478" i="4"/>
  <c r="AK478" i="4"/>
  <c r="AJ478" i="4"/>
  <c r="AS479" i="4"/>
  <c r="AJ480" i="4"/>
  <c r="AI482" i="4"/>
  <c r="AK482" i="4"/>
  <c r="AJ482" i="4"/>
  <c r="AS483" i="4"/>
  <c r="AS484" i="4"/>
  <c r="AK485" i="4"/>
  <c r="AS487" i="4"/>
  <c r="AS488" i="4"/>
  <c r="AK489" i="4"/>
  <c r="AS491" i="4"/>
  <c r="AS492" i="4"/>
  <c r="AK493" i="4"/>
  <c r="AS495" i="4"/>
  <c r="AS496" i="4"/>
  <c r="AS497" i="4"/>
  <c r="AJ499" i="4"/>
  <c r="AI514" i="4"/>
  <c r="AH514" i="4"/>
  <c r="AK514" i="4"/>
  <c r="AG514" i="4"/>
  <c r="AK464" i="4"/>
  <c r="AJ464" i="4"/>
  <c r="AS467" i="4"/>
  <c r="AS472" i="4"/>
  <c r="AS476" i="4"/>
  <c r="AS480" i="4"/>
  <c r="AI484" i="4"/>
  <c r="AK484" i="4"/>
  <c r="AF484" i="4"/>
  <c r="AI486" i="4"/>
  <c r="AF486" i="4"/>
  <c r="AK486" i="4"/>
  <c r="AJ486" i="4"/>
  <c r="AI487" i="4"/>
  <c r="AJ487" i="4"/>
  <c r="AK487" i="4"/>
  <c r="AI488" i="4"/>
  <c r="AK488" i="4"/>
  <c r="AF488" i="4"/>
  <c r="AI490" i="4"/>
  <c r="AF490" i="4"/>
  <c r="AK490" i="4"/>
  <c r="AJ490" i="4"/>
  <c r="AI491" i="4"/>
  <c r="AJ491" i="4"/>
  <c r="AK491" i="4"/>
  <c r="AI492" i="4"/>
  <c r="AK492" i="4"/>
  <c r="AF492" i="4"/>
  <c r="AI494" i="4"/>
  <c r="AF494" i="4"/>
  <c r="AK494" i="4"/>
  <c r="AJ494" i="4"/>
  <c r="AI495" i="4"/>
  <c r="AJ495" i="4"/>
  <c r="AK495" i="4"/>
  <c r="AI496" i="4"/>
  <c r="AK496" i="4"/>
  <c r="AF496" i="4"/>
  <c r="AI498" i="4"/>
  <c r="AF498" i="4"/>
  <c r="AJ498" i="4"/>
  <c r="AS499" i="4"/>
  <c r="AH502" i="4"/>
  <c r="AI504" i="4"/>
  <c r="AH504" i="4"/>
  <c r="AK504" i="4"/>
  <c r="AH507" i="4"/>
  <c r="AK507" i="4"/>
  <c r="AJ507" i="4"/>
  <c r="AH509" i="4"/>
  <c r="AK509" i="4"/>
  <c r="AG509" i="4"/>
  <c r="AJ509" i="4"/>
  <c r="AJ511" i="4"/>
  <c r="AI511" i="4"/>
  <c r="AH511" i="4"/>
  <c r="AJ512" i="4"/>
  <c r="AI512" i="4"/>
  <c r="AF512" i="4"/>
  <c r="AS500" i="4"/>
  <c r="AH503" i="4"/>
  <c r="AK503" i="4"/>
  <c r="AJ503" i="4"/>
  <c r="AJ504" i="4"/>
  <c r="AJ505" i="4"/>
  <c r="AI505" i="4"/>
  <c r="AH505" i="4"/>
  <c r="AI507" i="4"/>
  <c r="AS508" i="4"/>
  <c r="AI509" i="4"/>
  <c r="AG511" i="4"/>
  <c r="AK512" i="4"/>
  <c r="AV515" i="4"/>
  <c r="AS498" i="4"/>
  <c r="AJ502" i="4"/>
  <c r="AI502" i="4"/>
  <c r="AS505" i="4"/>
  <c r="AI508" i="4"/>
  <c r="AH508" i="4"/>
  <c r="AK508" i="4"/>
  <c r="AK510" i="4"/>
  <c r="AG510" i="4"/>
  <c r="AJ510" i="4"/>
  <c r="AI510" i="4"/>
  <c r="AS511" i="4"/>
  <c r="AI506" i="4"/>
  <c r="AJ506" i="4"/>
  <c r="AK506" i="4"/>
  <c r="AH221" i="4" l="1"/>
  <c r="AW515" i="4"/>
  <c r="G23" i="12"/>
  <c r="H23" i="12" s="1"/>
  <c r="AG212" i="4"/>
  <c r="AG221" i="4"/>
  <c r="AJ315" i="4"/>
  <c r="AK199" i="4"/>
  <c r="AH106" i="4"/>
  <c r="AG258" i="4"/>
  <c r="AK212" i="4"/>
  <c r="AK258" i="4"/>
  <c r="AJ19" i="4"/>
  <c r="AG19" i="4"/>
  <c r="D6" i="6"/>
  <c r="D30" i="6" s="1"/>
  <c r="E6" i="6"/>
  <c r="E21" i="6" s="1"/>
  <c r="AG238" i="4"/>
  <c r="AK153" i="4"/>
  <c r="AI134" i="4"/>
  <c r="AG134" i="4"/>
  <c r="AH110" i="4"/>
  <c r="AJ134" i="4"/>
  <c r="AJ513" i="4"/>
  <c r="AK240" i="4"/>
  <c r="AG513" i="4"/>
  <c r="AH513" i="4"/>
  <c r="AK513" i="4"/>
  <c r="AK249" i="4"/>
  <c r="AK238" i="4"/>
  <c r="AI153" i="4"/>
  <c r="AH134" i="4"/>
  <c r="AG110" i="4"/>
  <c r="AI149" i="4"/>
  <c r="AH103" i="4"/>
  <c r="AG9" i="4"/>
  <c r="AK110" i="4"/>
  <c r="AK19" i="4"/>
  <c r="AJ207" i="4"/>
  <c r="AH109" i="4"/>
  <c r="AJ161" i="4"/>
  <c r="AG108" i="4"/>
  <c r="AI104" i="4"/>
  <c r="AJ248" i="4"/>
  <c r="AG152" i="4"/>
  <c r="AH78" i="4"/>
  <c r="AV273" i="4"/>
  <c r="AW273" i="4" s="1"/>
  <c r="AI240" i="4"/>
  <c r="AI248" i="4"/>
  <c r="AK207" i="4"/>
  <c r="AH152" i="4"/>
  <c r="AH104" i="4"/>
  <c r="AH149" i="4"/>
  <c r="AH108" i="4"/>
  <c r="AH161" i="4"/>
  <c r="AG109" i="4"/>
  <c r="AK108" i="4"/>
  <c r="AG103" i="4"/>
  <c r="AK9" i="4"/>
  <c r="AI78" i="4"/>
  <c r="AG248" i="4"/>
  <c r="AI207" i="4"/>
  <c r="AI152" i="4"/>
  <c r="AJ149" i="4"/>
  <c r="AG149" i="4"/>
  <c r="AK161" i="4"/>
  <c r="AK109" i="4"/>
  <c r="AJ108" i="4"/>
  <c r="AK104" i="4"/>
  <c r="AI103" i="4"/>
  <c r="AK103" i="4"/>
  <c r="AH9" i="4"/>
  <c r="AG78" i="4"/>
  <c r="AK248" i="4"/>
  <c r="AH207" i="4"/>
  <c r="AK152" i="4"/>
  <c r="AI161" i="4"/>
  <c r="AJ109" i="4"/>
  <c r="AJ104" i="4"/>
  <c r="AI9" i="4"/>
  <c r="AJ50" i="4"/>
  <c r="AG106" i="4"/>
  <c r="AJ258" i="4"/>
  <c r="AG50" i="4"/>
  <c r="AI24" i="4"/>
  <c r="AH24" i="4"/>
  <c r="AI19" i="4"/>
  <c r="AK315" i="4"/>
  <c r="AJ199" i="4"/>
  <c r="AI212" i="4"/>
  <c r="AK221" i="4"/>
  <c r="AJ221" i="4"/>
  <c r="AH258" i="4"/>
  <c r="AJ106" i="4"/>
  <c r="AK50" i="4"/>
  <c r="AF315" i="4"/>
  <c r="AI106" i="4"/>
  <c r="AI50" i="4"/>
  <c r="AJ24" i="4"/>
  <c r="AG24" i="4"/>
  <c r="AK245" i="4"/>
  <c r="AK247" i="4"/>
  <c r="AJ250" i="4"/>
  <c r="AI245" i="4"/>
  <c r="AK250" i="4"/>
  <c r="AH72" i="4"/>
  <c r="AI55" i="4"/>
  <c r="AI247" i="4"/>
  <c r="AJ239" i="4"/>
  <c r="AK239" i="4"/>
  <c r="AH142" i="4"/>
  <c r="AV357" i="4"/>
  <c r="AW357" i="4" s="1"/>
  <c r="AV310" i="4"/>
  <c r="AW310" i="4" s="1"/>
  <c r="AV251" i="4"/>
  <c r="AW251" i="4" s="1"/>
  <c r="AV241" i="4"/>
  <c r="AW241" i="4" s="1"/>
  <c r="AH245" i="4"/>
  <c r="AG250" i="4"/>
  <c r="AG239" i="4"/>
  <c r="AG72" i="4"/>
  <c r="AI72" i="4"/>
  <c r="AJ142" i="4"/>
  <c r="AK142" i="4"/>
  <c r="AH55" i="4"/>
  <c r="AV123" i="4"/>
  <c r="AW123" i="4" s="1"/>
  <c r="AJ72" i="4"/>
  <c r="AI142" i="4"/>
  <c r="AK55" i="4"/>
  <c r="AJ55" i="4"/>
  <c r="AJ245" i="4"/>
  <c r="AI250" i="4"/>
  <c r="AI239" i="4"/>
  <c r="AV395" i="4"/>
  <c r="AW395" i="4" s="1"/>
  <c r="V229" i="4"/>
  <c r="X229" i="4" s="1"/>
  <c r="V200" i="4"/>
  <c r="X200" i="4" s="1"/>
  <c r="AH200" i="4" s="1"/>
  <c r="AH74" i="4"/>
  <c r="AJ74" i="4"/>
  <c r="AK74" i="4"/>
  <c r="AI74" i="4"/>
  <c r="AG74" i="4"/>
  <c r="AH176" i="4"/>
  <c r="AG176" i="4"/>
  <c r="AI176" i="4"/>
  <c r="AJ176" i="4"/>
  <c r="AK176" i="4"/>
  <c r="AV424" i="4"/>
  <c r="AW424" i="4" s="1"/>
  <c r="AV339" i="4"/>
  <c r="AW339" i="4" s="1"/>
  <c r="AV501" i="4"/>
  <c r="AW501" i="4" s="1"/>
  <c r="AV390" i="4"/>
  <c r="AW390" i="4" s="1"/>
  <c r="AV192" i="4"/>
  <c r="AW192" i="4" s="1"/>
  <c r="AV187" i="4"/>
  <c r="AW187" i="4" s="1"/>
  <c r="AV56" i="4"/>
  <c r="AW56" i="4" s="1"/>
  <c r="AH47" i="4"/>
  <c r="AK47" i="4"/>
  <c r="AJ47" i="4"/>
  <c r="AG47" i="4"/>
  <c r="AI47" i="4"/>
  <c r="AH228" i="4"/>
  <c r="AI228" i="4"/>
  <c r="AG228" i="4"/>
  <c r="AJ228" i="4"/>
  <c r="AK228" i="4"/>
  <c r="AI71" i="4"/>
  <c r="AJ71" i="4"/>
  <c r="AK71" i="4"/>
  <c r="AG71" i="4"/>
  <c r="AH71" i="4"/>
  <c r="AV508" i="4"/>
  <c r="AW508" i="4" s="1"/>
  <c r="AV491" i="4"/>
  <c r="AW491" i="4" s="1"/>
  <c r="AV405" i="4"/>
  <c r="AW405" i="4" s="1"/>
  <c r="AV316" i="4"/>
  <c r="AV396" i="4"/>
  <c r="AW396" i="4" s="1"/>
  <c r="V231" i="4"/>
  <c r="X231" i="4" s="1"/>
  <c r="AK231" i="4" s="1"/>
  <c r="AV281" i="4"/>
  <c r="AW281" i="4" s="1"/>
  <c r="AV165" i="4"/>
  <c r="AW165" i="4" s="1"/>
  <c r="AV189" i="4"/>
  <c r="V90" i="4"/>
  <c r="X90" i="4" s="1"/>
  <c r="AG90" i="4" s="1"/>
  <c r="AV117" i="4"/>
  <c r="AW117" i="4" s="1"/>
  <c r="AV355" i="4"/>
  <c r="AW355" i="4" s="1"/>
  <c r="AV353" i="4"/>
  <c r="AV303" i="4"/>
  <c r="AW303" i="4" s="1"/>
  <c r="AV280" i="4"/>
  <c r="AW280" i="4" s="1"/>
  <c r="AV97" i="4"/>
  <c r="AW97" i="4" s="1"/>
  <c r="AV18" i="4"/>
  <c r="AW18" i="4" s="1"/>
  <c r="AI199" i="4"/>
  <c r="AG199" i="4"/>
  <c r="AV313" i="4"/>
  <c r="AW313" i="4" s="1"/>
  <c r="AV498" i="4"/>
  <c r="AW498" i="4" s="1"/>
  <c r="AV469" i="4"/>
  <c r="AW469" i="4" s="1"/>
  <c r="AV465" i="4"/>
  <c r="AW465" i="4" s="1"/>
  <c r="AV481" i="4"/>
  <c r="AW481" i="4" s="1"/>
  <c r="AV479" i="4"/>
  <c r="AW479" i="4" s="1"/>
  <c r="AV435" i="4"/>
  <c r="AW435" i="4" s="1"/>
  <c r="AV422" i="4"/>
  <c r="AW422" i="4" s="1"/>
  <c r="AV347" i="4"/>
  <c r="AW347" i="4" s="1"/>
  <c r="AV343" i="4"/>
  <c r="AW343" i="4" s="1"/>
  <c r="AV341" i="4"/>
  <c r="AW341" i="4" s="1"/>
  <c r="AV285" i="4"/>
  <c r="AW285" i="4" s="1"/>
  <c r="AV278" i="4"/>
  <c r="AW278" i="4" s="1"/>
  <c r="AV386" i="4"/>
  <c r="AW386" i="4" s="1"/>
  <c r="AV332" i="4"/>
  <c r="AW332" i="4" s="1"/>
  <c r="AV304" i="4"/>
  <c r="AW304" i="4" s="1"/>
  <c r="AV318" i="4"/>
  <c r="AW318" i="4" s="1"/>
  <c r="AV49" i="4"/>
  <c r="AW49" i="4" s="1"/>
  <c r="AV37" i="4"/>
  <c r="AW37" i="4" s="1"/>
  <c r="AG196" i="4"/>
  <c r="AH196" i="4"/>
  <c r="AI196" i="4"/>
  <c r="AK196" i="4"/>
  <c r="AJ196" i="4"/>
  <c r="AJ135" i="4"/>
  <c r="AK135" i="4"/>
  <c r="AG135" i="4"/>
  <c r="AH135" i="4"/>
  <c r="AI135" i="4"/>
  <c r="AH193" i="4"/>
  <c r="AI193" i="4"/>
  <c r="AK193" i="4"/>
  <c r="AJ193" i="4"/>
  <c r="AG193" i="4"/>
  <c r="AV503" i="4"/>
  <c r="AW503" i="4" s="1"/>
  <c r="AV495" i="4"/>
  <c r="AW495" i="4" s="1"/>
  <c r="AV494" i="4"/>
  <c r="AW494" i="4" s="1"/>
  <c r="AV487" i="4"/>
  <c r="AW487" i="4" s="1"/>
  <c r="AV514" i="4"/>
  <c r="AV478" i="4"/>
  <c r="AW478" i="4" s="1"/>
  <c r="AV466" i="4"/>
  <c r="AW466" i="4" s="1"/>
  <c r="AV464" i="4"/>
  <c r="AW464" i="4" s="1"/>
  <c r="AV451" i="4"/>
  <c r="AW451" i="4" s="1"/>
  <c r="AV433" i="4"/>
  <c r="AW433" i="4" s="1"/>
  <c r="AV436" i="4"/>
  <c r="AW436" i="4" s="1"/>
  <c r="AV351" i="4"/>
  <c r="AW351" i="4" s="1"/>
  <c r="AV394" i="4"/>
  <c r="AW394" i="4" s="1"/>
  <c r="AV401" i="4"/>
  <c r="AW401" i="4" s="1"/>
  <c r="AV349" i="4"/>
  <c r="AW349" i="4" s="1"/>
  <c r="AV342" i="4"/>
  <c r="AW342" i="4" s="1"/>
  <c r="AV295" i="4"/>
  <c r="AW295" i="4" s="1"/>
  <c r="AV292" i="4"/>
  <c r="AW292" i="4" s="1"/>
  <c r="AV389" i="4"/>
  <c r="AW389" i="4" s="1"/>
  <c r="AV350" i="4"/>
  <c r="AW350" i="4" s="1"/>
  <c r="AV333" i="4"/>
  <c r="AW333" i="4" s="1"/>
  <c r="AV290" i="4"/>
  <c r="AW290" i="4" s="1"/>
  <c r="AV308" i="4"/>
  <c r="AW308" i="4" s="1"/>
  <c r="AV288" i="4"/>
  <c r="AW288" i="4" s="1"/>
  <c r="AV188" i="4"/>
  <c r="AW188" i="4" s="1"/>
  <c r="AV181" i="4"/>
  <c r="AW181" i="4" s="1"/>
  <c r="AV365" i="4"/>
  <c r="AW365" i="4" s="1"/>
  <c r="AV143" i="4"/>
  <c r="AW143" i="4" s="1"/>
  <c r="AV94" i="4"/>
  <c r="AV150" i="4"/>
  <c r="AW150" i="4" s="1"/>
  <c r="AV145" i="4"/>
  <c r="AW145" i="4" s="1"/>
  <c r="AV157" i="4"/>
  <c r="AW157" i="4" s="1"/>
  <c r="AV22" i="4"/>
  <c r="AW22" i="4" s="1"/>
  <c r="AV5" i="4"/>
  <c r="AW5" i="4" s="1"/>
  <c r="AV146" i="4"/>
  <c r="AW146" i="4" s="1"/>
  <c r="AJ240" i="4"/>
  <c r="AH240" i="4"/>
  <c r="AV497" i="4"/>
  <c r="AW497" i="4" s="1"/>
  <c r="AV485" i="4"/>
  <c r="AW485" i="4" s="1"/>
  <c r="AV468" i="4"/>
  <c r="AW468" i="4" s="1"/>
  <c r="AV434" i="4"/>
  <c r="AW434" i="4" s="1"/>
  <c r="AV421" i="4"/>
  <c r="AW421" i="4" s="1"/>
  <c r="AV416" i="4"/>
  <c r="AW416" i="4" s="1"/>
  <c r="AV407" i="4"/>
  <c r="AW407" i="4" s="1"/>
  <c r="AV412" i="4"/>
  <c r="AW412" i="4" s="1"/>
  <c r="AV404" i="4"/>
  <c r="AW404" i="4" s="1"/>
  <c r="AV362" i="4"/>
  <c r="AW362" i="4" s="1"/>
  <c r="AV314" i="4"/>
  <c r="AW314" i="4" s="1"/>
  <c r="AV392" i="4"/>
  <c r="AW392" i="4" s="1"/>
  <c r="AV306" i="4"/>
  <c r="AW306" i="4" s="1"/>
  <c r="AV289" i="4"/>
  <c r="AW289" i="4" s="1"/>
  <c r="AV282" i="4"/>
  <c r="AV271" i="4"/>
  <c r="AW271" i="4" s="1"/>
  <c r="AV270" i="4"/>
  <c r="AW270" i="4" s="1"/>
  <c r="AV269" i="4"/>
  <c r="AW269" i="4" s="1"/>
  <c r="AV298" i="4"/>
  <c r="AW298" i="4" s="1"/>
  <c r="AV267" i="4"/>
  <c r="AW267" i="4" s="1"/>
  <c r="AV309" i="4"/>
  <c r="AW309" i="4" s="1"/>
  <c r="AV201" i="4"/>
  <c r="AW201" i="4" s="1"/>
  <c r="AV307" i="4"/>
  <c r="AW307" i="4" s="1"/>
  <c r="AV132" i="4"/>
  <c r="AW132" i="4" s="1"/>
  <c r="AV159" i="4"/>
  <c r="AW159" i="4" s="1"/>
  <c r="AV17" i="4"/>
  <c r="AW17" i="4" s="1"/>
  <c r="AV39" i="4"/>
  <c r="AW39" i="4" s="1"/>
  <c r="AV44" i="4"/>
  <c r="AW44" i="4" s="1"/>
  <c r="AV11" i="4"/>
  <c r="AW11" i="4" s="1"/>
  <c r="AJ249" i="4"/>
  <c r="AH249" i="4"/>
  <c r="AH238" i="4"/>
  <c r="AJ238" i="4"/>
  <c r="AV457" i="4"/>
  <c r="AV398" i="4"/>
  <c r="AW398" i="4" s="1"/>
  <c r="AV488" i="4"/>
  <c r="AW488" i="4" s="1"/>
  <c r="AV506" i="4"/>
  <c r="AW506" i="4" s="1"/>
  <c r="AV482" i="4"/>
  <c r="AW482" i="4" s="1"/>
  <c r="AV474" i="4"/>
  <c r="AW474" i="4" s="1"/>
  <c r="AV489" i="4"/>
  <c r="AW489" i="4" s="1"/>
  <c r="AV455" i="4"/>
  <c r="AW455" i="4" s="1"/>
  <c r="AV473" i="4"/>
  <c r="AW473" i="4" s="1"/>
  <c r="AV470" i="4"/>
  <c r="AW470" i="4" s="1"/>
  <c r="AV452" i="4"/>
  <c r="AW452" i="4" s="1"/>
  <c r="AV420" i="4"/>
  <c r="AW420" i="4" s="1"/>
  <c r="AV391" i="4"/>
  <c r="AW391" i="4" s="1"/>
  <c r="AV383" i="4"/>
  <c r="AW383" i="4" s="1"/>
  <c r="AV415" i="4"/>
  <c r="AW415" i="4" s="1"/>
  <c r="AV345" i="4"/>
  <c r="AW345" i="4" s="1"/>
  <c r="AV328" i="4"/>
  <c r="AW328" i="4" s="1"/>
  <c r="AV320" i="4"/>
  <c r="AW320" i="4" s="1"/>
  <c r="AV305" i="4"/>
  <c r="AW305" i="4" s="1"/>
  <c r="AV253" i="4"/>
  <c r="AW253" i="4" s="1"/>
  <c r="AV261" i="4"/>
  <c r="AW261" i="4" s="1"/>
  <c r="AV224" i="4"/>
  <c r="AW224" i="4" s="1"/>
  <c r="AV233" i="4"/>
  <c r="AV217" i="4"/>
  <c r="AW217" i="4" s="1"/>
  <c r="AV198" i="4"/>
  <c r="AW198" i="4" s="1"/>
  <c r="V213" i="4"/>
  <c r="X213" i="4" s="1"/>
  <c r="AG213" i="4" s="1"/>
  <c r="AV185" i="4"/>
  <c r="AW185" i="4" s="1"/>
  <c r="V210" i="4"/>
  <c r="X210" i="4" s="1"/>
  <c r="AJ210" i="4" s="1"/>
  <c r="AV172" i="4"/>
  <c r="AW172" i="4" s="1"/>
  <c r="V222" i="4"/>
  <c r="X222" i="4" s="1"/>
  <c r="AJ222" i="4" s="1"/>
  <c r="AV84" i="4"/>
  <c r="AW84" i="4" s="1"/>
  <c r="AV76" i="4"/>
  <c r="AW76" i="4" s="1"/>
  <c r="AV52" i="4"/>
  <c r="AW52" i="4" s="1"/>
  <c r="AV99" i="4"/>
  <c r="AW99" i="4" s="1"/>
  <c r="AV48" i="4"/>
  <c r="AW48" i="4" s="1"/>
  <c r="AV27" i="4"/>
  <c r="AW27" i="4" s="1"/>
  <c r="AV46" i="4"/>
  <c r="AW46" i="4" s="1"/>
  <c r="AH247" i="4"/>
  <c r="AJ247" i="4"/>
  <c r="AV367" i="4"/>
  <c r="AW367" i="4" s="1"/>
  <c r="AI75" i="4"/>
  <c r="AJ75" i="4"/>
  <c r="AH75" i="4"/>
  <c r="AG75" i="4"/>
  <c r="AK75" i="4"/>
  <c r="AJ235" i="4"/>
  <c r="AH235" i="4"/>
  <c r="AG235" i="4"/>
  <c r="AI235" i="4"/>
  <c r="AK235" i="4"/>
  <c r="AH136" i="4"/>
  <c r="AI136" i="4"/>
  <c r="AG136" i="4"/>
  <c r="AJ136" i="4"/>
  <c r="AK136" i="4"/>
  <c r="AI126" i="4"/>
  <c r="AH126" i="4"/>
  <c r="AJ126" i="4"/>
  <c r="AK126" i="4"/>
  <c r="AG126" i="4"/>
  <c r="AI21" i="4"/>
  <c r="AK21" i="4"/>
  <c r="AG21" i="4"/>
  <c r="AJ21" i="4"/>
  <c r="AH21" i="4"/>
  <c r="AK211" i="4"/>
  <c r="AG211" i="4"/>
  <c r="AI211" i="4"/>
  <c r="AJ211" i="4"/>
  <c r="AH211" i="4"/>
  <c r="AJ206" i="4"/>
  <c r="AH206" i="4"/>
  <c r="AK206" i="4"/>
  <c r="AI206" i="4"/>
  <c r="AG206" i="4"/>
  <c r="AK237" i="4"/>
  <c r="AG237" i="4"/>
  <c r="AI237" i="4"/>
  <c r="AJ237" i="4"/>
  <c r="AH237" i="4"/>
  <c r="AK223" i="4"/>
  <c r="AG223" i="4"/>
  <c r="AI223" i="4"/>
  <c r="AJ223" i="4"/>
  <c r="AH223" i="4"/>
  <c r="AK230" i="4"/>
  <c r="AG230" i="4"/>
  <c r="AI230" i="4"/>
  <c r="AH230" i="4"/>
  <c r="AJ230" i="4"/>
  <c r="AK236" i="4"/>
  <c r="AG236" i="4"/>
  <c r="AI236" i="4"/>
  <c r="AH236" i="4"/>
  <c r="AJ236" i="4"/>
  <c r="AI195" i="4"/>
  <c r="AH195" i="4"/>
  <c r="AJ195" i="4"/>
  <c r="AK195" i="4"/>
  <c r="AG195" i="4"/>
  <c r="AH175" i="4"/>
  <c r="AI175" i="4"/>
  <c r="AJ175" i="4"/>
  <c r="AG175" i="4"/>
  <c r="AK175" i="4"/>
  <c r="AI194" i="4"/>
  <c r="AK194" i="4"/>
  <c r="AG194" i="4"/>
  <c r="AH194" i="4"/>
  <c r="AJ194" i="4"/>
  <c r="AJ151" i="4"/>
  <c r="AK151" i="4"/>
  <c r="AI151" i="4"/>
  <c r="AG151" i="4"/>
  <c r="AH151" i="4"/>
  <c r="AH6" i="4"/>
  <c r="AJ6" i="4"/>
  <c r="AI6" i="4"/>
  <c r="AK6" i="4"/>
  <c r="AG6" i="4"/>
  <c r="AI133" i="4"/>
  <c r="AH133" i="4"/>
  <c r="AG133" i="4"/>
  <c r="AJ133" i="4"/>
  <c r="AK133" i="4"/>
  <c r="AH140" i="4"/>
  <c r="AI140" i="4"/>
  <c r="AG140" i="4"/>
  <c r="AJ140" i="4"/>
  <c r="AK140" i="4"/>
  <c r="AH119" i="4"/>
  <c r="AI119" i="4"/>
  <c r="AG119" i="4"/>
  <c r="AK119" i="4"/>
  <c r="AJ119" i="4"/>
  <c r="AH25" i="4"/>
  <c r="AJ25" i="4"/>
  <c r="AI25" i="4"/>
  <c r="AG25" i="4"/>
  <c r="AK25" i="4"/>
  <c r="AV484" i="4"/>
  <c r="AW484" i="4" s="1"/>
  <c r="AV476" i="4"/>
  <c r="AW476" i="4" s="1"/>
  <c r="AV449" i="4"/>
  <c r="AW449" i="4" s="1"/>
  <c r="AV443" i="4"/>
  <c r="AW443" i="4" s="1"/>
  <c r="AV439" i="4"/>
  <c r="AW439" i="4" s="1"/>
  <c r="AV438" i="4"/>
  <c r="AW438" i="4" s="1"/>
  <c r="AV430" i="4"/>
  <c r="AW430" i="4" s="1"/>
  <c r="AV454" i="4"/>
  <c r="AW454" i="4" s="1"/>
  <c r="AV361" i="4"/>
  <c r="AW361" i="4" s="1"/>
  <c r="AV331" i="4"/>
  <c r="AW331" i="4" s="1"/>
  <c r="AV284" i="4"/>
  <c r="AW284" i="4" s="1"/>
  <c r="AV262" i="4"/>
  <c r="AW262" i="4" s="1"/>
  <c r="AV302" i="4"/>
  <c r="AW302" i="4" s="1"/>
  <c r="AV381" i="4"/>
  <c r="AW381" i="4" s="1"/>
  <c r="AV319" i="4"/>
  <c r="AW319" i="4" s="1"/>
  <c r="AV301" i="4"/>
  <c r="AW301" i="4" s="1"/>
  <c r="AV296" i="4"/>
  <c r="AW296" i="4" s="1"/>
  <c r="AI197" i="4"/>
  <c r="AK197" i="4"/>
  <c r="AG197" i="4"/>
  <c r="AJ197" i="4"/>
  <c r="AH197" i="4"/>
  <c r="AV483" i="4"/>
  <c r="AW483" i="4" s="1"/>
  <c r="AV475" i="4"/>
  <c r="AW475" i="4" s="1"/>
  <c r="AV419" i="4"/>
  <c r="AW419" i="4" s="1"/>
  <c r="AV403" i="4"/>
  <c r="AW403" i="4" s="1"/>
  <c r="AV410" i="4"/>
  <c r="AW410" i="4" s="1"/>
  <c r="AV387" i="4"/>
  <c r="AW387" i="4" s="1"/>
  <c r="AV373" i="4"/>
  <c r="AW373" i="4" s="1"/>
  <c r="AV369" i="4"/>
  <c r="AW369" i="4" s="1"/>
  <c r="AV338" i="4"/>
  <c r="AW338" i="4" s="1"/>
  <c r="AH275" i="4"/>
  <c r="AJ275" i="4"/>
  <c r="AI275" i="4"/>
  <c r="AG275" i="4"/>
  <c r="AK275" i="4"/>
  <c r="AV382" i="4"/>
  <c r="AW382" i="4" s="1"/>
  <c r="AV297" i="4"/>
  <c r="AW297" i="4" s="1"/>
  <c r="AI277" i="4"/>
  <c r="AG277" i="4"/>
  <c r="AK277" i="4"/>
  <c r="AJ277" i="4"/>
  <c r="AH277" i="4"/>
  <c r="AV276" i="4"/>
  <c r="AW276" i="4" s="1"/>
  <c r="AV380" i="4"/>
  <c r="AW380" i="4" s="1"/>
  <c r="AV358" i="4"/>
  <c r="AW358" i="4" s="1"/>
  <c r="AV274" i="4"/>
  <c r="AW274" i="4" s="1"/>
  <c r="AV286" i="4"/>
  <c r="AW286" i="4" s="1"/>
  <c r="AH173" i="4"/>
  <c r="AI173" i="4"/>
  <c r="AK173" i="4"/>
  <c r="AJ173" i="4"/>
  <c r="AG173" i="4"/>
  <c r="AV317" i="4"/>
  <c r="AW317" i="4" s="1"/>
  <c r="AH204" i="4"/>
  <c r="AJ204" i="4"/>
  <c r="AK204" i="4"/>
  <c r="AG204" i="4"/>
  <c r="AI204" i="4"/>
  <c r="AV260" i="4"/>
  <c r="AW260" i="4" s="1"/>
  <c r="AH184" i="4"/>
  <c r="AI184" i="4"/>
  <c r="AK184" i="4"/>
  <c r="AG184" i="4"/>
  <c r="AJ184" i="4"/>
  <c r="AK160" i="4"/>
  <c r="AG160" i="4"/>
  <c r="AI160" i="4"/>
  <c r="AH160" i="4"/>
  <c r="AJ160" i="4"/>
  <c r="AJ137" i="4"/>
  <c r="AI137" i="4"/>
  <c r="AH137" i="4"/>
  <c r="AK137" i="4"/>
  <c r="AG137" i="4"/>
  <c r="AV170" i="4"/>
  <c r="AW170" i="4" s="1"/>
  <c r="AV167" i="4"/>
  <c r="AW167" i="4" s="1"/>
  <c r="AV148" i="4"/>
  <c r="AW148" i="4" s="1"/>
  <c r="AV147" i="4"/>
  <c r="AW147" i="4" s="1"/>
  <c r="AH114" i="4"/>
  <c r="AI114" i="4"/>
  <c r="AG114" i="4"/>
  <c r="AK114" i="4"/>
  <c r="AJ114" i="4"/>
  <c r="AV77" i="4"/>
  <c r="AW77" i="4" s="1"/>
  <c r="AH70" i="4"/>
  <c r="AI70" i="4"/>
  <c r="AK70" i="4"/>
  <c r="AJ70" i="4"/>
  <c r="AG70" i="4"/>
  <c r="AV174" i="4"/>
  <c r="AW174" i="4" s="1"/>
  <c r="AV171" i="4"/>
  <c r="AW171" i="4" s="1"/>
  <c r="AV166" i="4"/>
  <c r="AW166" i="4" s="1"/>
  <c r="AV164" i="4"/>
  <c r="AW164" i="4" s="1"/>
  <c r="AH138" i="4"/>
  <c r="AK138" i="4"/>
  <c r="AJ138" i="4"/>
  <c r="AG138" i="4"/>
  <c r="AI138" i="4"/>
  <c r="AV186" i="4"/>
  <c r="AW186" i="4" s="1"/>
  <c r="AV156" i="4"/>
  <c r="AW156" i="4" s="1"/>
  <c r="AV122" i="4"/>
  <c r="AW122" i="4" s="1"/>
  <c r="AH111" i="4"/>
  <c r="AI111" i="4"/>
  <c r="AG111" i="4"/>
  <c r="AK111" i="4"/>
  <c r="AJ111" i="4"/>
  <c r="AV86" i="4"/>
  <c r="AW86" i="4" s="1"/>
  <c r="AK79" i="4"/>
  <c r="AG79" i="4"/>
  <c r="AH79" i="4"/>
  <c r="AI79" i="4"/>
  <c r="AJ79" i="4"/>
  <c r="AH191" i="4"/>
  <c r="AI191" i="4"/>
  <c r="AG191" i="4"/>
  <c r="AJ191" i="4"/>
  <c r="AK191" i="4"/>
  <c r="AV154" i="4"/>
  <c r="AW154" i="4" s="1"/>
  <c r="AH125" i="4"/>
  <c r="AK125" i="4"/>
  <c r="AG125" i="4"/>
  <c r="AI125" i="4"/>
  <c r="AJ125" i="4"/>
  <c r="AV80" i="4"/>
  <c r="AW80" i="4" s="1"/>
  <c r="AV62" i="4"/>
  <c r="AW62" i="4" s="1"/>
  <c r="AV124" i="4"/>
  <c r="AW124" i="4" s="1"/>
  <c r="AV93" i="4"/>
  <c r="AW93" i="4" s="1"/>
  <c r="AV81" i="4"/>
  <c r="AW81" i="4" s="1"/>
  <c r="AV59" i="4"/>
  <c r="AW59" i="4" s="1"/>
  <c r="AV30" i="4"/>
  <c r="AW30" i="4" s="1"/>
  <c r="AH23" i="4"/>
  <c r="AJ23" i="4"/>
  <c r="AI23" i="4"/>
  <c r="AK23" i="4"/>
  <c r="AG23" i="4"/>
  <c r="AV54" i="4"/>
  <c r="AW54" i="4" s="1"/>
  <c r="AV51" i="4"/>
  <c r="AW51" i="4" s="1"/>
  <c r="AV14" i="4"/>
  <c r="AW14" i="4" s="1"/>
  <c r="AV459" i="4"/>
  <c r="AW459" i="4" s="1"/>
  <c r="AV453" i="4"/>
  <c r="AW453" i="4" s="1"/>
  <c r="AV379" i="4"/>
  <c r="AW379" i="4" s="1"/>
  <c r="AV363" i="4"/>
  <c r="AW363" i="4" s="1"/>
  <c r="AJ326" i="4"/>
  <c r="AI326" i="4"/>
  <c r="AH326" i="4"/>
  <c r="AG326" i="4"/>
  <c r="AK326" i="4"/>
  <c r="AV360" i="4"/>
  <c r="AW360" i="4" s="1"/>
  <c r="AV263" i="4"/>
  <c r="AW263" i="4" s="1"/>
  <c r="AK209" i="4"/>
  <c r="AG209" i="4"/>
  <c r="AI209" i="4"/>
  <c r="AH209" i="4"/>
  <c r="AJ209" i="4"/>
  <c r="AV243" i="4"/>
  <c r="AH163" i="4"/>
  <c r="AG163" i="4"/>
  <c r="AK163" i="4"/>
  <c r="AI163" i="4"/>
  <c r="AJ163" i="4"/>
  <c r="AV115" i="4"/>
  <c r="AW115" i="4" s="1"/>
  <c r="AJ67" i="4"/>
  <c r="AK67" i="4"/>
  <c r="AG67" i="4"/>
  <c r="AI67" i="4"/>
  <c r="AH67" i="4"/>
  <c r="AH43" i="4"/>
  <c r="AJ43" i="4"/>
  <c r="AK43" i="4"/>
  <c r="AG43" i="4"/>
  <c r="AI43" i="4"/>
  <c r="AI33" i="4"/>
  <c r="AK33" i="4"/>
  <c r="AG33" i="4"/>
  <c r="AJ33" i="4"/>
  <c r="AH33" i="4"/>
  <c r="AV2" i="4"/>
  <c r="AV462" i="4"/>
  <c r="AW462" i="4" s="1"/>
  <c r="AV447" i="4"/>
  <c r="AW447" i="4" s="1"/>
  <c r="AV445" i="4"/>
  <c r="AW445" i="4" s="1"/>
  <c r="AV441" i="4"/>
  <c r="AW441" i="4" s="1"/>
  <c r="AV423" i="4"/>
  <c r="AW423" i="4" s="1"/>
  <c r="AV437" i="4"/>
  <c r="AW437" i="4" s="1"/>
  <c r="AV431" i="4"/>
  <c r="AW431" i="4" s="1"/>
  <c r="AV429" i="4"/>
  <c r="AV428" i="4"/>
  <c r="AV460" i="4"/>
  <c r="AW460" i="4" s="1"/>
  <c r="AV411" i="4"/>
  <c r="AW411" i="4" s="1"/>
  <c r="AV337" i="4"/>
  <c r="AW337" i="4" s="1"/>
  <c r="AV414" i="4"/>
  <c r="AW414" i="4" s="1"/>
  <c r="AV330" i="4"/>
  <c r="AW330" i="4" s="1"/>
  <c r="AV385" i="4"/>
  <c r="AW385" i="4" s="1"/>
  <c r="AV336" i="4"/>
  <c r="AW336" i="4" s="1"/>
  <c r="AV325" i="4"/>
  <c r="AW325" i="4" s="1"/>
  <c r="AK232" i="4"/>
  <c r="AG232" i="4"/>
  <c r="AI232" i="4"/>
  <c r="AJ232" i="4"/>
  <c r="AH232" i="4"/>
  <c r="AK214" i="4"/>
  <c r="AG214" i="4"/>
  <c r="AI214" i="4"/>
  <c r="AJ214" i="4"/>
  <c r="AH214" i="4"/>
  <c r="AV359" i="4"/>
  <c r="AW359" i="4" s="1"/>
  <c r="AV300" i="4"/>
  <c r="AW300" i="4" s="1"/>
  <c r="AV272" i="4"/>
  <c r="AW272" i="4" s="1"/>
  <c r="AK208" i="4"/>
  <c r="AG208" i="4"/>
  <c r="AI208" i="4"/>
  <c r="AH208" i="4"/>
  <c r="AJ208" i="4"/>
  <c r="AV511" i="4"/>
  <c r="AV505" i="4"/>
  <c r="AW505" i="4" s="1"/>
  <c r="AV507" i="4"/>
  <c r="AW507" i="4" s="1"/>
  <c r="AV504" i="4"/>
  <c r="AW504" i="4" s="1"/>
  <c r="AV496" i="4"/>
  <c r="AV490" i="4"/>
  <c r="AW490" i="4" s="1"/>
  <c r="AV493" i="4"/>
  <c r="AW493" i="4" s="1"/>
  <c r="AV500" i="4"/>
  <c r="AW500" i="4" s="1"/>
  <c r="AV477" i="4"/>
  <c r="AW477" i="4" s="1"/>
  <c r="AV432" i="4"/>
  <c r="AW432" i="4" s="1"/>
  <c r="AV426" i="4"/>
  <c r="AW426" i="4" s="1"/>
  <c r="AV463" i="4"/>
  <c r="AW463" i="4" s="1"/>
  <c r="AV418" i="4"/>
  <c r="AW418" i="4" s="1"/>
  <c r="AV456" i="4"/>
  <c r="AW456" i="4" s="1"/>
  <c r="AV413" i="4"/>
  <c r="AW413" i="4" s="1"/>
  <c r="AV406" i="4"/>
  <c r="AW406" i="4" s="1"/>
  <c r="AV371" i="4"/>
  <c r="AW371" i="4" s="1"/>
  <c r="AV397" i="4"/>
  <c r="AW397" i="4" s="1"/>
  <c r="AV378" i="4"/>
  <c r="AW378" i="4" s="1"/>
  <c r="AV377" i="4"/>
  <c r="AW377" i="4" s="1"/>
  <c r="AV322" i="4"/>
  <c r="AW322" i="4" s="1"/>
  <c r="AV388" i="4"/>
  <c r="AW388" i="4" s="1"/>
  <c r="AV374" i="4"/>
  <c r="AW374" i="4" s="1"/>
  <c r="AV346" i="4"/>
  <c r="AW346" i="4" s="1"/>
  <c r="AV327" i="4"/>
  <c r="AW327" i="4" s="1"/>
  <c r="AV425" i="4"/>
  <c r="AW425" i="4" s="1"/>
  <c r="AV384" i="4"/>
  <c r="AW384" i="4" s="1"/>
  <c r="AV370" i="4"/>
  <c r="AW370" i="4" s="1"/>
  <c r="AV510" i="4"/>
  <c r="AW510" i="4" s="1"/>
  <c r="AV512" i="4"/>
  <c r="AW512" i="4" s="1"/>
  <c r="AV509" i="4"/>
  <c r="AW509" i="4" s="1"/>
  <c r="AV492" i="4"/>
  <c r="AW492" i="4" s="1"/>
  <c r="AV486" i="4"/>
  <c r="AW486" i="4" s="1"/>
  <c r="AV499" i="4"/>
  <c r="AW499" i="4" s="1"/>
  <c r="AV480" i="4"/>
  <c r="AV472" i="4"/>
  <c r="AW472" i="4" s="1"/>
  <c r="AV450" i="4"/>
  <c r="AW450" i="4" s="1"/>
  <c r="AV448" i="4"/>
  <c r="AW448" i="4" s="1"/>
  <c r="AV446" i="4"/>
  <c r="AW446" i="4" s="1"/>
  <c r="AV444" i="4"/>
  <c r="AW444" i="4" s="1"/>
  <c r="AV442" i="4"/>
  <c r="AW442" i="4" s="1"/>
  <c r="AV440" i="4"/>
  <c r="AW440" i="4" s="1"/>
  <c r="AV467" i="4"/>
  <c r="AW467" i="4" s="1"/>
  <c r="AV461" i="4"/>
  <c r="AW461" i="4" s="1"/>
  <c r="AV458" i="4"/>
  <c r="AW458" i="4" s="1"/>
  <c r="AV417" i="4"/>
  <c r="AW417" i="4" s="1"/>
  <c r="AV399" i="4"/>
  <c r="AW399" i="4" s="1"/>
  <c r="AV356" i="4"/>
  <c r="AW356" i="4" s="1"/>
  <c r="AV352" i="4"/>
  <c r="AW352" i="4" s="1"/>
  <c r="AV348" i="4"/>
  <c r="AW348" i="4" s="1"/>
  <c r="AV344" i="4"/>
  <c r="AW344" i="4" s="1"/>
  <c r="AV340" i="4"/>
  <c r="AW340" i="4" s="1"/>
  <c r="AV402" i="4"/>
  <c r="AW402" i="4" s="1"/>
  <c r="AV375" i="4"/>
  <c r="AW375" i="4" s="1"/>
  <c r="AV409" i="4"/>
  <c r="AW409" i="4" s="1"/>
  <c r="AV393" i="4"/>
  <c r="AW393" i="4" s="1"/>
  <c r="AV376" i="4"/>
  <c r="AW376" i="4" s="1"/>
  <c r="AV335" i="4"/>
  <c r="AW335" i="4" s="1"/>
  <c r="AV324" i="4"/>
  <c r="AW324" i="4" s="1"/>
  <c r="AV312" i="4"/>
  <c r="AW312" i="4" s="1"/>
  <c r="AV287" i="4"/>
  <c r="AW287" i="4" s="1"/>
  <c r="AV265" i="4"/>
  <c r="AW265" i="4" s="1"/>
  <c r="AV408" i="4"/>
  <c r="AW408" i="4" s="1"/>
  <c r="AV372" i="4"/>
  <c r="AW372" i="4" s="1"/>
  <c r="AV334" i="4"/>
  <c r="AW334" i="4" s="1"/>
  <c r="AV329" i="4"/>
  <c r="AW329" i="4" s="1"/>
  <c r="AV323" i="4"/>
  <c r="AW323" i="4" s="1"/>
  <c r="AV321" i="4"/>
  <c r="AW321" i="4" s="1"/>
  <c r="AV294" i="4"/>
  <c r="AW294" i="4" s="1"/>
  <c r="AV368" i="4"/>
  <c r="AW368" i="4" s="1"/>
  <c r="AV268" i="4"/>
  <c r="AW268" i="4" s="1"/>
  <c r="AV266" i="4"/>
  <c r="AW266" i="4" s="1"/>
  <c r="AJ219" i="4"/>
  <c r="AH219" i="4"/>
  <c r="AK219" i="4"/>
  <c r="AG219" i="4"/>
  <c r="AI219" i="4"/>
  <c r="AV400" i="4"/>
  <c r="AW400" i="4" s="1"/>
  <c r="AV264" i="4"/>
  <c r="AW264" i="4" s="1"/>
  <c r="AV366" i="4"/>
  <c r="AW366" i="4" s="1"/>
  <c r="AV311" i="4"/>
  <c r="AW311" i="4" s="1"/>
  <c r="AV246" i="4"/>
  <c r="AW246" i="4" s="1"/>
  <c r="AV234" i="4"/>
  <c r="AV202" i="4"/>
  <c r="AW202" i="4" s="1"/>
  <c r="AH144" i="4"/>
  <c r="AJ144" i="4"/>
  <c r="AI144" i="4"/>
  <c r="AK144" i="4"/>
  <c r="AG144" i="4"/>
  <c r="AV291" i="4"/>
  <c r="AW291" i="4" s="1"/>
  <c r="AV254" i="4"/>
  <c r="AW254" i="4" s="1"/>
  <c r="AV227" i="4"/>
  <c r="AW227" i="4" s="1"/>
  <c r="AV354" i="4"/>
  <c r="AV293" i="4"/>
  <c r="AW293" i="4" s="1"/>
  <c r="AV259" i="4"/>
  <c r="AW259" i="4" s="1"/>
  <c r="AJ141" i="4"/>
  <c r="AI141" i="4"/>
  <c r="AH141" i="4"/>
  <c r="AK141" i="4"/>
  <c r="AG141" i="4"/>
  <c r="AV179" i="4"/>
  <c r="AW179" i="4" s="1"/>
  <c r="AV121" i="4"/>
  <c r="AV113" i="4"/>
  <c r="AW113" i="4" s="1"/>
  <c r="AI102" i="4"/>
  <c r="AJ102" i="4"/>
  <c r="AK102" i="4"/>
  <c r="AH102" i="4"/>
  <c r="AG102" i="4"/>
  <c r="AV85" i="4"/>
  <c r="AW85" i="4" s="1"/>
  <c r="AI73" i="4"/>
  <c r="AJ73" i="4"/>
  <c r="AK73" i="4"/>
  <c r="AH73" i="4"/>
  <c r="AG73" i="4"/>
  <c r="AV63" i="4"/>
  <c r="AW63" i="4" s="1"/>
  <c r="AV220" i="4"/>
  <c r="AW220" i="4" s="1"/>
  <c r="AV168" i="4"/>
  <c r="AW168" i="4" s="1"/>
  <c r="AV158" i="4"/>
  <c r="AV65" i="4"/>
  <c r="AW65" i="4" s="1"/>
  <c r="AH116" i="4"/>
  <c r="AI116" i="4"/>
  <c r="AK116" i="4"/>
  <c r="AJ116" i="4"/>
  <c r="AG116" i="4"/>
  <c r="AV96" i="4"/>
  <c r="AW96" i="4" s="1"/>
  <c r="AV64" i="4"/>
  <c r="AW64" i="4" s="1"/>
  <c r="AV252" i="4"/>
  <c r="AW252" i="4" s="1"/>
  <c r="AV203" i="4"/>
  <c r="AW203" i="4" s="1"/>
  <c r="AV183" i="4"/>
  <c r="AW183" i="4" s="1"/>
  <c r="AV155" i="4"/>
  <c r="AW155" i="4" s="1"/>
  <c r="AV120" i="4"/>
  <c r="AW120" i="4" s="1"/>
  <c r="AV118" i="4"/>
  <c r="AW118" i="4" s="1"/>
  <c r="AV98" i="4"/>
  <c r="AW98" i="4" s="1"/>
  <c r="AV91" i="4"/>
  <c r="AW91" i="4" s="1"/>
  <c r="AK58" i="4"/>
  <c r="AG58" i="4"/>
  <c r="AI58" i="4"/>
  <c r="AH58" i="4"/>
  <c r="AJ58" i="4"/>
  <c r="AV131" i="4"/>
  <c r="AW131" i="4" s="1"/>
  <c r="AV105" i="4"/>
  <c r="AW105" i="4" s="1"/>
  <c r="AV40" i="4"/>
  <c r="AW40" i="4" s="1"/>
  <c r="AV28" i="4"/>
  <c r="AW28" i="4" s="1"/>
  <c r="AV7" i="4"/>
  <c r="AV169" i="4"/>
  <c r="AW169" i="4" s="1"/>
  <c r="AV129" i="4"/>
  <c r="AW129" i="4" s="1"/>
  <c r="AV82" i="4"/>
  <c r="AW82" i="4" s="1"/>
  <c r="AV60" i="4"/>
  <c r="AW60" i="4" s="1"/>
  <c r="AV42" i="4"/>
  <c r="AW42" i="4" s="1"/>
  <c r="AV100" i="4"/>
  <c r="AW100" i="4" s="1"/>
  <c r="AV57" i="4"/>
  <c r="AV34" i="4"/>
  <c r="AW34" i="4" s="1"/>
  <c r="AV4" i="4"/>
  <c r="AW4" i="4" s="1"/>
  <c r="AV3" i="4"/>
  <c r="AW3" i="4" s="1"/>
  <c r="AV26" i="4"/>
  <c r="AW26" i="4" s="1"/>
  <c r="AV41" i="4"/>
  <c r="AW41" i="4" s="1"/>
  <c r="AV8" i="4"/>
  <c r="AV29" i="4"/>
  <c r="AW29" i="4" s="1"/>
  <c r="AV502" i="4"/>
  <c r="AW502" i="4" s="1"/>
  <c r="AK299" i="4"/>
  <c r="AI299" i="4"/>
  <c r="AJ299" i="4"/>
  <c r="AF299" i="4"/>
  <c r="AK215" i="4"/>
  <c r="AG215" i="4"/>
  <c r="AI215" i="4"/>
  <c r="AJ215" i="4"/>
  <c r="AH215" i="4"/>
  <c r="AK216" i="4"/>
  <c r="AG216" i="4"/>
  <c r="AI216" i="4"/>
  <c r="AH216" i="4"/>
  <c r="AJ216" i="4"/>
  <c r="AI218" i="4"/>
  <c r="AK218" i="4"/>
  <c r="AG218" i="4"/>
  <c r="AH218" i="4"/>
  <c r="AJ218" i="4"/>
  <c r="AV130" i="4"/>
  <c r="AW130" i="4" s="1"/>
  <c r="AV101" i="4"/>
  <c r="AW101" i="4" s="1"/>
  <c r="AV88" i="4"/>
  <c r="AW88" i="4" s="1"/>
  <c r="AV10" i="4"/>
  <c r="AW10" i="4" s="1"/>
  <c r="AV283" i="4"/>
  <c r="AV279" i="4"/>
  <c r="AW279" i="4" s="1"/>
  <c r="AI178" i="4"/>
  <c r="AJ178" i="4"/>
  <c r="AK178" i="4"/>
  <c r="AH178" i="4"/>
  <c r="AG178" i="4"/>
  <c r="AV244" i="4"/>
  <c r="AW244" i="4" s="1"/>
  <c r="AK205" i="4"/>
  <c r="AG205" i="4"/>
  <c r="AI205" i="4"/>
  <c r="AH205" i="4"/>
  <c r="AJ205" i="4"/>
  <c r="AV364" i="4"/>
  <c r="AW364" i="4" s="1"/>
  <c r="AV255" i="4"/>
  <c r="AW255" i="4" s="1"/>
  <c r="AV180" i="4"/>
  <c r="AW180" i="4" s="1"/>
  <c r="AV139" i="4"/>
  <c r="AW139" i="4" s="1"/>
  <c r="AV128" i="4"/>
  <c r="AW128" i="4" s="1"/>
  <c r="AV83" i="4"/>
  <c r="AW83" i="4" s="1"/>
  <c r="AV256" i="4"/>
  <c r="AW256" i="4" s="1"/>
  <c r="AV226" i="4"/>
  <c r="AW226" i="4" s="1"/>
  <c r="AV182" i="4"/>
  <c r="AW182" i="4" s="1"/>
  <c r="AV177" i="4"/>
  <c r="AW177" i="4" s="1"/>
  <c r="AV87" i="4"/>
  <c r="AW87" i="4" s="1"/>
  <c r="AV61" i="4"/>
  <c r="AW61" i="4" s="1"/>
  <c r="AV257" i="4"/>
  <c r="AW257" i="4" s="1"/>
  <c r="AV242" i="4"/>
  <c r="AW242" i="4" s="1"/>
  <c r="AJ127" i="4"/>
  <c r="AI127" i="4"/>
  <c r="AK127" i="4"/>
  <c r="AG127" i="4"/>
  <c r="AH127" i="4"/>
  <c r="AH92" i="4"/>
  <c r="AI92" i="4"/>
  <c r="AK92" i="4"/>
  <c r="AJ92" i="4"/>
  <c r="AG92" i="4"/>
  <c r="AV225" i="4"/>
  <c r="AW225" i="4" s="1"/>
  <c r="AV190" i="4"/>
  <c r="AH162" i="4"/>
  <c r="AI162" i="4"/>
  <c r="AG162" i="4"/>
  <c r="AJ162" i="4"/>
  <c r="AK162" i="4"/>
  <c r="AV112" i="4"/>
  <c r="AW112" i="4" s="1"/>
  <c r="AV107" i="4"/>
  <c r="AW107" i="4" s="1"/>
  <c r="AV66" i="4"/>
  <c r="AW66" i="4" s="1"/>
  <c r="AV45" i="4"/>
  <c r="AW45" i="4" s="1"/>
  <c r="AV13" i="4"/>
  <c r="AW13" i="4" s="1"/>
  <c r="AH12" i="4"/>
  <c r="AJ12" i="4"/>
  <c r="AI12" i="4"/>
  <c r="AG12" i="4"/>
  <c r="AK12" i="4"/>
  <c r="AH20" i="4"/>
  <c r="AJ20" i="4"/>
  <c r="AI20" i="4"/>
  <c r="AG20" i="4"/>
  <c r="AK20" i="4"/>
  <c r="AV95" i="4"/>
  <c r="AW95" i="4" s="1"/>
  <c r="AV69" i="4"/>
  <c r="AV68" i="4"/>
  <c r="AW68" i="4" s="1"/>
  <c r="AV53" i="4"/>
  <c r="AW53" i="4" s="1"/>
  <c r="AV89" i="4"/>
  <c r="AW89" i="4" s="1"/>
  <c r="AV32" i="4"/>
  <c r="AW32" i="4" s="1"/>
  <c r="AV16" i="4"/>
  <c r="AW16" i="4" s="1"/>
  <c r="AH15" i="4"/>
  <c r="AJ15" i="4"/>
  <c r="AI15" i="4"/>
  <c r="AK15" i="4"/>
  <c r="AG15" i="4"/>
  <c r="AV38" i="4"/>
  <c r="AW38" i="4" s="1"/>
  <c r="AV36" i="4"/>
  <c r="AW36" i="4" s="1"/>
  <c r="AV35" i="4"/>
  <c r="AW35" i="4" s="1"/>
  <c r="AV31" i="4"/>
  <c r="AW31" i="4" s="1"/>
  <c r="AW7" i="4" l="1"/>
  <c r="G2" i="11"/>
  <c r="AW158" i="4"/>
  <c r="G7" i="11"/>
  <c r="H7" i="11" s="1"/>
  <c r="AW121" i="4"/>
  <c r="G4" i="11"/>
  <c r="H4" i="11" s="1"/>
  <c r="AW8" i="4"/>
  <c r="G3" i="11"/>
  <c r="H3" i="11" s="1"/>
  <c r="AW511" i="4"/>
  <c r="G5" i="11"/>
  <c r="H5" i="11" s="1"/>
  <c r="AW282" i="4"/>
  <c r="G6" i="11"/>
  <c r="H6" i="11" s="1"/>
  <c r="AW190" i="4"/>
  <c r="G7" i="12"/>
  <c r="H7" i="12" s="1"/>
  <c r="AW354" i="4"/>
  <c r="G15" i="12"/>
  <c r="H15" i="12" s="1"/>
  <c r="AW496" i="4"/>
  <c r="G21" i="12"/>
  <c r="H21" i="12" s="1"/>
  <c r="AW429" i="4"/>
  <c r="G18" i="12"/>
  <c r="H18" i="12" s="1"/>
  <c r="AW353" i="4"/>
  <c r="G14" i="12"/>
  <c r="H14" i="12" s="1"/>
  <c r="AW189" i="4"/>
  <c r="G6" i="12"/>
  <c r="H6" i="12" s="1"/>
  <c r="AW457" i="4"/>
  <c r="G19" i="12"/>
  <c r="H19" i="12" s="1"/>
  <c r="AW316" i="4"/>
  <c r="G13" i="12"/>
  <c r="H13" i="12" s="1"/>
  <c r="AW57" i="4"/>
  <c r="G2" i="12"/>
  <c r="AW243" i="4"/>
  <c r="G11" i="12"/>
  <c r="H11" i="12" s="1"/>
  <c r="AW69" i="4"/>
  <c r="G3" i="12"/>
  <c r="H3" i="12" s="1"/>
  <c r="AW283" i="4"/>
  <c r="G12" i="12"/>
  <c r="H12" i="12" s="1"/>
  <c r="AW234" i="4"/>
  <c r="G10" i="12"/>
  <c r="H10" i="12" s="1"/>
  <c r="AW480" i="4"/>
  <c r="G20" i="12"/>
  <c r="H20" i="12" s="1"/>
  <c r="AW428" i="4"/>
  <c r="G17" i="12"/>
  <c r="H17" i="12" s="1"/>
  <c r="AW233" i="4"/>
  <c r="G9" i="12"/>
  <c r="H9" i="12" s="1"/>
  <c r="AW94" i="4"/>
  <c r="G5" i="12"/>
  <c r="H5" i="12" s="1"/>
  <c r="AW514" i="4"/>
  <c r="G22" i="12"/>
  <c r="H22" i="12" s="1"/>
  <c r="AV315" i="4"/>
  <c r="AW315" i="4" s="1"/>
  <c r="AV212" i="4"/>
  <c r="AW212" i="4" s="1"/>
  <c r="AV153" i="4"/>
  <c r="AW153" i="4" s="1"/>
  <c r="AV9" i="4"/>
  <c r="AW9" i="4" s="1"/>
  <c r="AV134" i="4"/>
  <c r="AW134" i="4" s="1"/>
  <c r="AV109" i="4"/>
  <c r="AW109" i="4" s="1"/>
  <c r="AV513" i="4"/>
  <c r="AW513" i="4" s="1"/>
  <c r="AV19" i="4"/>
  <c r="AW19" i="4" s="1"/>
  <c r="AV78" i="4"/>
  <c r="AW78" i="4" s="1"/>
  <c r="AV152" i="4"/>
  <c r="AW152" i="4" s="1"/>
  <c r="AV110" i="4"/>
  <c r="AW110" i="4" s="1"/>
  <c r="AV149" i="4"/>
  <c r="AW149" i="4" s="1"/>
  <c r="AV248" i="4"/>
  <c r="AW248" i="4" s="1"/>
  <c r="AV207" i="4"/>
  <c r="AW207" i="4" s="1"/>
  <c r="AV104" i="4"/>
  <c r="AW104" i="4" s="1"/>
  <c r="AV161" i="4"/>
  <c r="AW161" i="4" s="1"/>
  <c r="AV103" i="4"/>
  <c r="AW103" i="4" s="1"/>
  <c r="AV108" i="4"/>
  <c r="AW108" i="4" s="1"/>
  <c r="AV258" i="4"/>
  <c r="AW258" i="4" s="1"/>
  <c r="AF517" i="4"/>
  <c r="AV24" i="4"/>
  <c r="AW24" i="4" s="1"/>
  <c r="AV47" i="4"/>
  <c r="AW47" i="4" s="1"/>
  <c r="AV176" i="4"/>
  <c r="AW176" i="4" s="1"/>
  <c r="AV50" i="4"/>
  <c r="AW50" i="4" s="1"/>
  <c r="AV106" i="4"/>
  <c r="AW106" i="4" s="1"/>
  <c r="AJ231" i="4"/>
  <c r="AI231" i="4"/>
  <c r="AK90" i="4"/>
  <c r="AH90" i="4"/>
  <c r="AV221" i="4"/>
  <c r="AW221" i="4" s="1"/>
  <c r="AG231" i="4"/>
  <c r="AH231" i="4"/>
  <c r="AJ90" i="4"/>
  <c r="AI200" i="4"/>
  <c r="AV55" i="4"/>
  <c r="AW55" i="4" s="1"/>
  <c r="AV250" i="4"/>
  <c r="AW250" i="4" s="1"/>
  <c r="AH222" i="4"/>
  <c r="AJ213" i="4"/>
  <c r="X517" i="4"/>
  <c r="AK213" i="4"/>
  <c r="AI90" i="4"/>
  <c r="AV249" i="4"/>
  <c r="AW249" i="4" s="1"/>
  <c r="AV247" i="4"/>
  <c r="AW247" i="4" s="1"/>
  <c r="AV193" i="4"/>
  <c r="AW193" i="4" s="1"/>
  <c r="AV135" i="4"/>
  <c r="AW135" i="4" s="1"/>
  <c r="AV196" i="4"/>
  <c r="AW196" i="4" s="1"/>
  <c r="AV199" i="4"/>
  <c r="AW199" i="4" s="1"/>
  <c r="AV71" i="4"/>
  <c r="AW71" i="4" s="1"/>
  <c r="AV74" i="4"/>
  <c r="AW74" i="4" s="1"/>
  <c r="AV142" i="4"/>
  <c r="AW142" i="4" s="1"/>
  <c r="AV239" i="4"/>
  <c r="AW239" i="4" s="1"/>
  <c r="AV238" i="4"/>
  <c r="AW238" i="4" s="1"/>
  <c r="AV240" i="4"/>
  <c r="AW240" i="4" s="1"/>
  <c r="AV228" i="4"/>
  <c r="AW228" i="4" s="1"/>
  <c r="AK222" i="4"/>
  <c r="AV245" i="4"/>
  <c r="AW245" i="4" s="1"/>
  <c r="AG222" i="4"/>
  <c r="AK200" i="4"/>
  <c r="AV72" i="4"/>
  <c r="AV140" i="4"/>
  <c r="AW140" i="4" s="1"/>
  <c r="AJ200" i="4"/>
  <c r="AG200" i="4"/>
  <c r="AI210" i="4"/>
  <c r="AK229" i="4"/>
  <c r="AG229" i="4"/>
  <c r="AI229" i="4"/>
  <c r="AJ229" i="4"/>
  <c r="AH229" i="4"/>
  <c r="AV214" i="4"/>
  <c r="AW214" i="4" s="1"/>
  <c r="AG210" i="4"/>
  <c r="AH210" i="4"/>
  <c r="AK210" i="4"/>
  <c r="AV126" i="4"/>
  <c r="AW126" i="4" s="1"/>
  <c r="AV6" i="4"/>
  <c r="AW6" i="4" s="1"/>
  <c r="AH213" i="4"/>
  <c r="AV23" i="4"/>
  <c r="AW23" i="4" s="1"/>
  <c r="AI222" i="4"/>
  <c r="AI213" i="4"/>
  <c r="AV73" i="4"/>
  <c r="AW73" i="4" s="1"/>
  <c r="AV215" i="4"/>
  <c r="AV194" i="4"/>
  <c r="AW194" i="4" s="1"/>
  <c r="AV70" i="4"/>
  <c r="AW70" i="4" s="1"/>
  <c r="AV58" i="4"/>
  <c r="AW58" i="4" s="1"/>
  <c r="AV144" i="4"/>
  <c r="AW144" i="4" s="1"/>
  <c r="AV111" i="4"/>
  <c r="AW111" i="4" s="1"/>
  <c r="AV21" i="4"/>
  <c r="AW21" i="4" s="1"/>
  <c r="AV162" i="4"/>
  <c r="AW162" i="4" s="1"/>
  <c r="AV125" i="4"/>
  <c r="AW125" i="4" s="1"/>
  <c r="AV204" i="4"/>
  <c r="AW204" i="4" s="1"/>
  <c r="AV127" i="4"/>
  <c r="AW127" i="4" s="1"/>
  <c r="AV92" i="4"/>
  <c r="AW92" i="4" s="1"/>
  <c r="AV102" i="4"/>
  <c r="AW102" i="4" s="1"/>
  <c r="AV209" i="4"/>
  <c r="AW209" i="4" s="1"/>
  <c r="AV191" i="4"/>
  <c r="AW191" i="4" s="1"/>
  <c r="AV79" i="4"/>
  <c r="AW79" i="4" s="1"/>
  <c r="AV138" i="4"/>
  <c r="AW138" i="4" s="1"/>
  <c r="AV137" i="4"/>
  <c r="AW137" i="4" s="1"/>
  <c r="AV173" i="4"/>
  <c r="AW173" i="4" s="1"/>
  <c r="AV175" i="4"/>
  <c r="AW175" i="4" s="1"/>
  <c r="AV236" i="4"/>
  <c r="AW236" i="4" s="1"/>
  <c r="AV223" i="4"/>
  <c r="AW223" i="4" s="1"/>
  <c r="AV136" i="4"/>
  <c r="AW136" i="4" s="1"/>
  <c r="AV232" i="4"/>
  <c r="AW232" i="4" s="1"/>
  <c r="AW2" i="4"/>
  <c r="AV33" i="4"/>
  <c r="AW33" i="4" s="1"/>
  <c r="AV67" i="4"/>
  <c r="AW67" i="4" s="1"/>
  <c r="AV326" i="4"/>
  <c r="AW326" i="4" s="1"/>
  <c r="AV114" i="4"/>
  <c r="AW114" i="4" s="1"/>
  <c r="AV160" i="4"/>
  <c r="AW160" i="4" s="1"/>
  <c r="AV277" i="4"/>
  <c r="AW277" i="4" s="1"/>
  <c r="AV25" i="4"/>
  <c r="AW25" i="4" s="1"/>
  <c r="AV119" i="4"/>
  <c r="AW119" i="4" s="1"/>
  <c r="AV133" i="4"/>
  <c r="AW133" i="4" s="1"/>
  <c r="AV195" i="4"/>
  <c r="AW195" i="4" s="1"/>
  <c r="AV206" i="4"/>
  <c r="AW206" i="4" s="1"/>
  <c r="AV235" i="4"/>
  <c r="AW235" i="4" s="1"/>
  <c r="AV15" i="4"/>
  <c r="AW15" i="4" s="1"/>
  <c r="AV20" i="4"/>
  <c r="AW20" i="4" s="1"/>
  <c r="AV216" i="4"/>
  <c r="AW216" i="4" s="1"/>
  <c r="AV116" i="4"/>
  <c r="AW116" i="4" s="1"/>
  <c r="AV219" i="4"/>
  <c r="AW219" i="4" s="1"/>
  <c r="AV12" i="4"/>
  <c r="AW12" i="4" s="1"/>
  <c r="AV205" i="4"/>
  <c r="AW205" i="4" s="1"/>
  <c r="AV178" i="4"/>
  <c r="AW178" i="4" s="1"/>
  <c r="AV218" i="4"/>
  <c r="AW218" i="4" s="1"/>
  <c r="AV299" i="4"/>
  <c r="AW299" i="4" s="1"/>
  <c r="AV141" i="4"/>
  <c r="AW141" i="4" s="1"/>
  <c r="AV208" i="4"/>
  <c r="AW208" i="4" s="1"/>
  <c r="AV43" i="4"/>
  <c r="AW43" i="4" s="1"/>
  <c r="AV163" i="4"/>
  <c r="AW163" i="4" s="1"/>
  <c r="AV184" i="4"/>
  <c r="AW184" i="4" s="1"/>
  <c r="AV275" i="4"/>
  <c r="AW275" i="4" s="1"/>
  <c r="AV197" i="4"/>
  <c r="AW197" i="4" s="1"/>
  <c r="AV151" i="4"/>
  <c r="AW151" i="4" s="1"/>
  <c r="AV230" i="4"/>
  <c r="AW230" i="4" s="1"/>
  <c r="AV237" i="4"/>
  <c r="AW237" i="4" s="1"/>
  <c r="AV211" i="4"/>
  <c r="AW211" i="4" s="1"/>
  <c r="AV75" i="4"/>
  <c r="AW75" i="4" s="1"/>
  <c r="H2" i="11" l="1"/>
  <c r="H9" i="11" s="1"/>
  <c r="G9" i="11"/>
  <c r="AW215" i="4"/>
  <c r="G8" i="12"/>
  <c r="H8" i="12" s="1"/>
  <c r="H2" i="12"/>
  <c r="AW72" i="4"/>
  <c r="G4" i="12"/>
  <c r="H4" i="12" s="1"/>
  <c r="AG517" i="4"/>
  <c r="AV231" i="4"/>
  <c r="AW231" i="4" s="1"/>
  <c r="AV90" i="4"/>
  <c r="AW90" i="4" s="1"/>
  <c r="AH517" i="4"/>
  <c r="AK517" i="4"/>
  <c r="AJ517" i="4"/>
  <c r="AI517" i="4"/>
  <c r="AV222" i="4"/>
  <c r="AW222" i="4" s="1"/>
  <c r="AV213" i="4"/>
  <c r="AW213" i="4" s="1"/>
  <c r="AV210" i="4"/>
  <c r="AW210" i="4" s="1"/>
  <c r="AV229" i="4"/>
  <c r="AW229" i="4" s="1"/>
  <c r="AV200" i="4"/>
  <c r="AW200" i="4" s="1"/>
  <c r="H27" i="12" l="1"/>
  <c r="G27" i="12"/>
  <c r="AW517" i="4"/>
  <c r="AV517" i="4"/>
  <c r="J3636" i="1" l="1"/>
  <c r="K3636" i="1"/>
  <c r="I3636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2" i="1"/>
</calcChain>
</file>

<file path=xl/sharedStrings.xml><?xml version="1.0" encoding="utf-8"?>
<sst xmlns="http://schemas.openxmlformats.org/spreadsheetml/2006/main" count="36083" uniqueCount="10000">
  <si>
    <t>GL Account</t>
  </si>
  <si>
    <t>GL Description</t>
  </si>
  <si>
    <t>11-000-00-000000-48110</t>
  </si>
  <si>
    <t>General Use - Nonprogram : Forest Reserve</t>
  </si>
  <si>
    <t>11-000-00-000000-48160</t>
  </si>
  <si>
    <t>General Use - Nonprogram : Veterans Education</t>
  </si>
  <si>
    <t>11-000-00-000000-48180</t>
  </si>
  <si>
    <t>General Use - Nonprogram : Pell Administration Cost</t>
  </si>
  <si>
    <t>11-000-00-000000-48611</t>
  </si>
  <si>
    <t>General Use - Nonprogram : Principal Apportionment</t>
  </si>
  <si>
    <t>11-000-00-000000-48613</t>
  </si>
  <si>
    <t>General Use - Nonprogram : BOG Fee Waivers Admin Fee</t>
  </si>
  <si>
    <t>11-000-00-000000-48614</t>
  </si>
  <si>
    <t>General Use - Nonprogram : Apprenticeship</t>
  </si>
  <si>
    <t>11-000-00-000000-48616</t>
  </si>
  <si>
    <t>General Use - Nonprogram : Part Time Faculty</t>
  </si>
  <si>
    <t>11-000-00-000000-48617</t>
  </si>
  <si>
    <t>General Use - Nonprogram : Apportionment PY Adjustment</t>
  </si>
  <si>
    <t>11-000-00-000000-48630</t>
  </si>
  <si>
    <t>General Use - Nonprogram : Prop 30-EPA Funds</t>
  </si>
  <si>
    <t>11-000-00-000000-48668</t>
  </si>
  <si>
    <t>General Use - Nonprogram : Full Time Faculty Hiring</t>
  </si>
  <si>
    <t>11-000-00-000000-48670</t>
  </si>
  <si>
    <t>General Use - Nonprogram : HOPTR</t>
  </si>
  <si>
    <t>11-000-00-000000-48681</t>
  </si>
  <si>
    <t>General Use - Nonprogram : State Mandated Costs</t>
  </si>
  <si>
    <t>11-000-00-000000-48811</t>
  </si>
  <si>
    <t>General Use - Nonprogram : Property Taxes - Secured</t>
  </si>
  <si>
    <t>11-000-00-000000-48812</t>
  </si>
  <si>
    <t>General Use - Nonprogram : Property Taxes - Unsecured</t>
  </si>
  <si>
    <t>11-000-00-000000-48813</t>
  </si>
  <si>
    <t>General Use - Nonprogram : Property Taxes - Prior Year</t>
  </si>
  <si>
    <t>11-000-00-000000-48814</t>
  </si>
  <si>
    <t>General Use - Nonprogram : Property Taxes - Supplemental</t>
  </si>
  <si>
    <t>11-000-00-000000-48817</t>
  </si>
  <si>
    <t>General Use - Nonprogram : Education Revenue Augmentation Fund</t>
  </si>
  <si>
    <t>11-000-00-000000-48818</t>
  </si>
  <si>
    <t>General Use - Nonprogram : RDA/RPTTF Pass-Through</t>
  </si>
  <si>
    <t>11-000-00-000000-48819</t>
  </si>
  <si>
    <t>General Use - Nonprogram : RDA/RPTTF Residual PTAX</t>
  </si>
  <si>
    <t>11-000-00-000000-48860</t>
  </si>
  <si>
    <t>General Use - Nonprogram : Interest Income</t>
  </si>
  <si>
    <t>11-000-00-000000-48872</t>
  </si>
  <si>
    <t>General Use - Nonprogram : Planetarium</t>
  </si>
  <si>
    <t>11-000-00-000000-48874</t>
  </si>
  <si>
    <t>General Use - Nonprogram : Enrollment Fees</t>
  </si>
  <si>
    <t>11-000-00-000000-48879</t>
  </si>
  <si>
    <t>General Use - Nonprogram : Transcript Fees</t>
  </si>
  <si>
    <t>11-000-00-000000-48880</t>
  </si>
  <si>
    <t>General Use - Nonprogram : Non-resident Tuition</t>
  </si>
  <si>
    <t>11-000-00-000000-48890</t>
  </si>
  <si>
    <t xml:space="preserve">General Use - Nonprogram : Other Local Income </t>
  </si>
  <si>
    <t>11-000-00-000000-48892</t>
  </si>
  <si>
    <t>General Use - Nonprogram : Community Use of Facilities</t>
  </si>
  <si>
    <t>11-000-00-000000-48980</t>
  </si>
  <si>
    <t>General Use - Nonprogram : Interfund Transfer-In</t>
  </si>
  <si>
    <t>11-000-00-677010-48887</t>
  </si>
  <si>
    <t>COVID-19 : Enrollment Fees - Contra Acct.</t>
  </si>
  <si>
    <t>11-100-00-661000-51205</t>
  </si>
  <si>
    <t>Planning &amp; Policy Making : Academic Nonteaching President</t>
  </si>
  <si>
    <t>11-100-00-661000-52120</t>
  </si>
  <si>
    <t>Planning &amp; Policy Making : Classified Confidential</t>
  </si>
  <si>
    <t>11-100-00-661000-52300</t>
  </si>
  <si>
    <t>Planning &amp; Policy Making : Classified Overtime</t>
  </si>
  <si>
    <t>11-100-00-661000-53120</t>
  </si>
  <si>
    <t>Planning &amp; Policy Making : STRS Nonteaching</t>
  </si>
  <si>
    <t>11-100-00-661000-53220</t>
  </si>
  <si>
    <t>Planning &amp; Policy Making : PERS Nonteaching</t>
  </si>
  <si>
    <t>11-100-00-661000-53320</t>
  </si>
  <si>
    <t>Planning &amp; Policy Making : OASDHI (FICA) Nonteaching</t>
  </si>
  <si>
    <t>11-100-00-661000-53340</t>
  </si>
  <si>
    <t>Planning &amp; Policy Making : Medicare Nonteaching</t>
  </si>
  <si>
    <t>11-100-00-661000-53420</t>
  </si>
  <si>
    <t>Planning &amp; Policy Making : H &amp; W Nonteaching</t>
  </si>
  <si>
    <t>11-100-00-661000-53520</t>
  </si>
  <si>
    <t>Planning &amp; Policy Making : SUI Nonteaching</t>
  </si>
  <si>
    <t>11-100-00-661000-53620</t>
  </si>
  <si>
    <t>Planning &amp; Policy Making : WC Nonteaching</t>
  </si>
  <si>
    <t>11-100-00-661000-53902</t>
  </si>
  <si>
    <t>Planning &amp; Policy Making : Term Life Insurance - Crown</t>
  </si>
  <si>
    <t>11-100-00-661000-53920</t>
  </si>
  <si>
    <t>Planning &amp; Policy Making : Other Benefit-Non Teaching</t>
  </si>
  <si>
    <t>11-100-00-661000-54210</t>
  </si>
  <si>
    <t>Planning &amp; Policy Making : Purchases - Food</t>
  </si>
  <si>
    <t>11-100-00-661000-54300</t>
  </si>
  <si>
    <t>Planning &amp; Policy Making : Supplies &amp; Materials</t>
  </si>
  <si>
    <t>11-100-00-661000-55100</t>
  </si>
  <si>
    <t>Planning &amp; Policy Making : Personal Service Contract - 1099</t>
  </si>
  <si>
    <t>11-100-00-661000-55105</t>
  </si>
  <si>
    <t>Planning &amp; Policy Making : Contract Services</t>
  </si>
  <si>
    <t>11-100-00-661000-55200</t>
  </si>
  <si>
    <t>Planning &amp; Policy Making : Travel &amp; Conference</t>
  </si>
  <si>
    <t>11-100-00-661000-55300</t>
  </si>
  <si>
    <t>Planning &amp; Policy Making : Memberships</t>
  </si>
  <si>
    <t>11-100-00-661000-55550</t>
  </si>
  <si>
    <t>Planning &amp; Policy Making : Telephone Service</t>
  </si>
  <si>
    <t>11-100-00-661000-55560</t>
  </si>
  <si>
    <t>Planning &amp; Policy Making : Water Service</t>
  </si>
  <si>
    <t>11-100-00-661000-55630</t>
  </si>
  <si>
    <t>Planning &amp; Policy Making : Printing &amp; Duplicating - Inhouse</t>
  </si>
  <si>
    <t>11-100-00-661000-55635</t>
  </si>
  <si>
    <t>Planning &amp; Policy Making : Printing Services - Vendor</t>
  </si>
  <si>
    <t>11-100-00-661000-55800</t>
  </si>
  <si>
    <t>Planning &amp; Policy Making : Other Costs</t>
  </si>
  <si>
    <t>11-100-00-661100-55300</t>
  </si>
  <si>
    <t>Accreditation : Memberships</t>
  </si>
  <si>
    <t>11-100-00-662000-52130</t>
  </si>
  <si>
    <t>Board of Trustees : Classified Management</t>
  </si>
  <si>
    <t>11-100-00-662000-53220</t>
  </si>
  <si>
    <t>Board of Trustees : PERS Nonteaching</t>
  </si>
  <si>
    <t>11-100-00-662000-53320</t>
  </si>
  <si>
    <t>Board of Trustees : OASDHI (FICA) Nonteaching</t>
  </si>
  <si>
    <t>11-100-00-662000-53340</t>
  </si>
  <si>
    <t>Board of Trustees : Medicare Nonteaching</t>
  </si>
  <si>
    <t>11-100-00-662000-53420</t>
  </si>
  <si>
    <t>Board of Trustees : H &amp; W Nonteaching</t>
  </si>
  <si>
    <t>11-100-00-662000-53430</t>
  </si>
  <si>
    <t>Board of Trustees : Trustee Benefits</t>
  </si>
  <si>
    <t>11-100-00-662000-53520</t>
  </si>
  <si>
    <t>Board of Trustees : SUI Nonteaching</t>
  </si>
  <si>
    <t>11-100-00-662000-53620</t>
  </si>
  <si>
    <t>Board of Trustees : WC Nonteaching</t>
  </si>
  <si>
    <t>11-100-00-662000-54210</t>
  </si>
  <si>
    <t>Board of Trustees : Purchases - Food</t>
  </si>
  <si>
    <t>11-100-00-662000-54300</t>
  </si>
  <si>
    <t>Board of Trustees : Supplies &amp; Materials</t>
  </si>
  <si>
    <t>11-100-00-662000-55200</t>
  </si>
  <si>
    <t>Board of Trustees : Travel &amp; Conference</t>
  </si>
  <si>
    <t>11-100-00-662000-55300</t>
  </si>
  <si>
    <t>Board of Trustees : Memberships</t>
  </si>
  <si>
    <t>11-100-00-662000-55710</t>
  </si>
  <si>
    <t>Board of Trustees : Elections</t>
  </si>
  <si>
    <t>11-100-00-662000-55800</t>
  </si>
  <si>
    <t>Board of Trustees : Other Costs</t>
  </si>
  <si>
    <t>11-100-00-662000-57552</t>
  </si>
  <si>
    <t>Board of Trustees : Student Travel/Meals</t>
  </si>
  <si>
    <t>11-100-00-671020-55105</t>
  </si>
  <si>
    <t>Institutional Advancement : Contract Services</t>
  </si>
  <si>
    <t>11-100-00-675020-55200</t>
  </si>
  <si>
    <t>Academic Senate : Travel &amp; Conference</t>
  </si>
  <si>
    <t>11-100-00-675020-55300</t>
  </si>
  <si>
    <t>Academic Senate : Memberships</t>
  </si>
  <si>
    <t>11-100-00-675020-55630</t>
  </si>
  <si>
    <t>Academic Senate : Printing &amp; Duplicating - Inhouse</t>
  </si>
  <si>
    <t>11-100-00-680500-51205</t>
  </si>
  <si>
    <t>Community Information : Academic Nonteaching President</t>
  </si>
  <si>
    <t>11-100-00-680500-52120</t>
  </si>
  <si>
    <t>Community Information : Classified Confidential</t>
  </si>
  <si>
    <t>11-100-00-680500-52300</t>
  </si>
  <si>
    <t>Community Information : Classified Overtime</t>
  </si>
  <si>
    <t>11-100-00-680500-53120</t>
  </si>
  <si>
    <t>Community Information : STRS Nonteaching</t>
  </si>
  <si>
    <t>11-100-00-680500-53220</t>
  </si>
  <si>
    <t>Community Information : PERS Nonteaching</t>
  </si>
  <si>
    <t>11-100-00-680500-53320</t>
  </si>
  <si>
    <t>Community Information : OASDHI (FICA) Nonteaching</t>
  </si>
  <si>
    <t>11-100-00-680500-53340</t>
  </si>
  <si>
    <t>Community Information : Medicare Nonteaching</t>
  </si>
  <si>
    <t>11-100-00-680500-53420</t>
  </si>
  <si>
    <t>Community Information : H &amp; W Nonteaching</t>
  </si>
  <si>
    <t>11-100-00-680500-53520</t>
  </si>
  <si>
    <t>Community Information : SUI Nonteaching</t>
  </si>
  <si>
    <t>11-100-00-680500-53620</t>
  </si>
  <si>
    <t>Community Information : WC Nonteaching</t>
  </si>
  <si>
    <t>11-100-00-680500-53902</t>
  </si>
  <si>
    <t>Community Information : Term Life Insurance - Crown</t>
  </si>
  <si>
    <t>11-100-00-680500-53920</t>
  </si>
  <si>
    <t>Community Information : Other Benefit-Non Teaching</t>
  </si>
  <si>
    <t>11-100-00-680500-55550</t>
  </si>
  <si>
    <t>Community Information : Telephone Service</t>
  </si>
  <si>
    <t>11-100-00-680500-55630</t>
  </si>
  <si>
    <t>Community Information : Printing &amp; Duplicating - Inhouse</t>
  </si>
  <si>
    <t>11-100-00-682000-52120</t>
  </si>
  <si>
    <t>Workforce &amp; Community Development : Classified Confidential</t>
  </si>
  <si>
    <t>11-100-00-682000-52300</t>
  </si>
  <si>
    <t>Workforce &amp; Community Development : Classified Overtime</t>
  </si>
  <si>
    <t>11-100-00-682000-53220</t>
  </si>
  <si>
    <t>Workforce &amp; Community Development : PERS Nonteaching</t>
  </si>
  <si>
    <t>11-100-00-682000-53320</t>
  </si>
  <si>
    <t>Workforce &amp; Community Development : OASDHI (FICA) Nonteaching</t>
  </si>
  <si>
    <t>11-100-00-682000-53340</t>
  </si>
  <si>
    <t>Workforce &amp; Community Development : Medicare Nonteaching</t>
  </si>
  <si>
    <t>11-100-00-682000-53420</t>
  </si>
  <si>
    <t>Workforce &amp; Community Development : H &amp; W Nonteaching</t>
  </si>
  <si>
    <t>11-100-00-682000-53520</t>
  </si>
  <si>
    <t>Workforce &amp; Community Development : SUI Nonteaching</t>
  </si>
  <si>
    <t>11-100-00-682000-53620</t>
  </si>
  <si>
    <t>Workforce &amp; Community Development : WC Nonteaching</t>
  </si>
  <si>
    <t>11-100-00-682000-53920</t>
  </si>
  <si>
    <t>Workforce &amp; Community Development : Other Benefit-Non Teaching</t>
  </si>
  <si>
    <t>11-100-00-682000-55630</t>
  </si>
  <si>
    <t>Workforce &amp; Community Development : Printing &amp; Duplicating - Inhouse</t>
  </si>
  <si>
    <t>11-100-00-684000-51205</t>
  </si>
  <si>
    <t>Community Relations &amp; Develop. : Academic Nonteaching President</t>
  </si>
  <si>
    <t>11-100-00-684000-52300</t>
  </si>
  <si>
    <t>Community Relations &amp; Develop. : Classified Overtime</t>
  </si>
  <si>
    <t>11-100-00-684000-53120</t>
  </si>
  <si>
    <t>Community Relations &amp; Develop. : STRS Nonteaching</t>
  </si>
  <si>
    <t>11-100-00-684000-53220</t>
  </si>
  <si>
    <t>Community Relations &amp; Develop. : PERS Nonteaching</t>
  </si>
  <si>
    <t>11-100-00-684000-53320</t>
  </si>
  <si>
    <t>Community Relations &amp; Develop. : OASDHI (FICA) Nonteaching</t>
  </si>
  <si>
    <t>11-100-00-684000-53340</t>
  </si>
  <si>
    <t>Community Relations &amp; Develop. : Medicare Nonteaching</t>
  </si>
  <si>
    <t>11-100-00-684000-53420</t>
  </si>
  <si>
    <t>Community Relations &amp; Develop. : H &amp; W Nonteaching</t>
  </si>
  <si>
    <t>11-100-00-684000-53520</t>
  </si>
  <si>
    <t>Community Relations &amp; Develop. : SUI Nonteaching</t>
  </si>
  <si>
    <t>11-100-00-684000-53620</t>
  </si>
  <si>
    <t>Community Relations &amp; Develop. : WC Nonteaching</t>
  </si>
  <si>
    <t>11-100-00-684000-53902</t>
  </si>
  <si>
    <t>Community Relations &amp; Develop. : Term Life Insurance - Crown</t>
  </si>
  <si>
    <t>11-100-00-684000-55550</t>
  </si>
  <si>
    <t>Community Relations &amp; Develop. : Telephone Service</t>
  </si>
  <si>
    <t>11-100-00-684000-55630</t>
  </si>
  <si>
    <t>Community Relations &amp; Develop. : Printing &amp; Duplicating - Inhouse</t>
  </si>
  <si>
    <t>11-120-02-040110-51311</t>
  </si>
  <si>
    <t>Biology : Academic Teaching PT</t>
  </si>
  <si>
    <t>11-120-02-040110-53110</t>
  </si>
  <si>
    <t>Biology : STRS Teaching</t>
  </si>
  <si>
    <t>11-120-02-040110-53310</t>
  </si>
  <si>
    <t>Biology : OASDHI (FICA) Teaching</t>
  </si>
  <si>
    <t>11-120-02-040110-53330</t>
  </si>
  <si>
    <t>Biology : Medicare Teaching</t>
  </si>
  <si>
    <t>11-120-02-040110-53510</t>
  </si>
  <si>
    <t>Biology : SUI Teaching</t>
  </si>
  <si>
    <t>11-120-02-040110-53610</t>
  </si>
  <si>
    <t>Biology : WC Teaching</t>
  </si>
  <si>
    <t>11-120-02-050000-51310</t>
  </si>
  <si>
    <t>Business Education : Academic Teaching NIC</t>
  </si>
  <si>
    <t>11-120-02-050000-51311</t>
  </si>
  <si>
    <t>Business Education : Academic Teaching PT</t>
  </si>
  <si>
    <t>11-120-02-050000-53110</t>
  </si>
  <si>
    <t>Business Education : STRS Teaching</t>
  </si>
  <si>
    <t>11-120-02-050000-53330</t>
  </si>
  <si>
    <t>Business Education : Medicare Teaching</t>
  </si>
  <si>
    <t>11-120-02-050000-53510</t>
  </si>
  <si>
    <t>Business Education : SUI Teaching</t>
  </si>
  <si>
    <t>11-120-02-050000-53610</t>
  </si>
  <si>
    <t>Business Education : WC Teaching</t>
  </si>
  <si>
    <t>11-120-02-070100-51311</t>
  </si>
  <si>
    <t>Computer &amp; Information Science : Academic Teaching PT</t>
  </si>
  <si>
    <t>11-120-02-070100-53110</t>
  </si>
  <si>
    <t>Computer &amp; Information Science : STRS Teaching</t>
  </si>
  <si>
    <t>11-120-02-070100-53330</t>
  </si>
  <si>
    <t>Computer &amp; Information Science : Medicare Teaching</t>
  </si>
  <si>
    <t>11-120-02-070100-53510</t>
  </si>
  <si>
    <t>Computer &amp; Information Science : SUI Teaching</t>
  </si>
  <si>
    <t>11-120-02-070100-53610</t>
  </si>
  <si>
    <t>Computer &amp; Information Science : WC Teaching</t>
  </si>
  <si>
    <t>11-120-02-100200-51311</t>
  </si>
  <si>
    <t>Art : Academic Teaching PT</t>
  </si>
  <si>
    <t>11-120-02-100200-53110</t>
  </si>
  <si>
    <t>Art : STRS Teaching</t>
  </si>
  <si>
    <t>11-120-02-100200-53330</t>
  </si>
  <si>
    <t>Art : Medicare Teaching</t>
  </si>
  <si>
    <t>11-120-02-100200-53510</t>
  </si>
  <si>
    <t>Art : SUI Teaching</t>
  </si>
  <si>
    <t>11-120-02-100200-53610</t>
  </si>
  <si>
    <t>Art : WC Teaching</t>
  </si>
  <si>
    <t>11-120-02-100400-51311</t>
  </si>
  <si>
    <t>Music : Academic Teaching PT</t>
  </si>
  <si>
    <t>11-120-02-100400-53110</t>
  </si>
  <si>
    <t>Music : STRS Teaching</t>
  </si>
  <si>
    <t>11-120-02-100400-53330</t>
  </si>
  <si>
    <t>Music : Medicare Teaching</t>
  </si>
  <si>
    <t>11-120-02-100400-53510</t>
  </si>
  <si>
    <t>Music : SUI Teaching</t>
  </si>
  <si>
    <t>11-120-02-100400-53610</t>
  </si>
  <si>
    <t>Music : WC Teaching</t>
  </si>
  <si>
    <t>11-120-02-101100-51311</t>
  </si>
  <si>
    <t>Photography : Academic Teaching PT</t>
  </si>
  <si>
    <t>11-120-02-101100-53110</t>
  </si>
  <si>
    <t>Photography : STRS Teaching</t>
  </si>
  <si>
    <t>11-120-02-101100-53330</t>
  </si>
  <si>
    <t>Photography : Medicare Teaching</t>
  </si>
  <si>
    <t>11-120-02-101100-53510</t>
  </si>
  <si>
    <t>Photography : SUI Teaching</t>
  </si>
  <si>
    <t>11-120-02-101100-53610</t>
  </si>
  <si>
    <t>Photography : WC Teaching</t>
  </si>
  <si>
    <t>11-120-02-110500-51311</t>
  </si>
  <si>
    <t>Spanish : Academic Teaching PT</t>
  </si>
  <si>
    <t>11-120-02-110500-53110</t>
  </si>
  <si>
    <t>Spanish : STRS Teaching</t>
  </si>
  <si>
    <t>11-120-02-110500-53330</t>
  </si>
  <si>
    <t>Spanish : Medicare Teaching</t>
  </si>
  <si>
    <t>11-120-02-110500-53510</t>
  </si>
  <si>
    <t>Spanish : SUI Teaching</t>
  </si>
  <si>
    <t>11-120-02-110500-53610</t>
  </si>
  <si>
    <t>Spanish : WC Teaching</t>
  </si>
  <si>
    <t>11-120-02-130500-51311</t>
  </si>
  <si>
    <t>Early Childhood Education : Academic Teaching PT</t>
  </si>
  <si>
    <t>11-120-02-130500-53110</t>
  </si>
  <si>
    <t>Early Childhood Education : STRS Teaching</t>
  </si>
  <si>
    <t>11-120-02-130500-53310</t>
  </si>
  <si>
    <t>Early Childhood Education : OASDHI (FICA) Teaching</t>
  </si>
  <si>
    <t>11-120-02-130500-53330</t>
  </si>
  <si>
    <t>Early Childhood Education : Medicare Teaching</t>
  </si>
  <si>
    <t>11-120-02-130500-53510</t>
  </si>
  <si>
    <t>Early Childhood Education : SUI Teaching</t>
  </si>
  <si>
    <t>11-120-02-130500-53610</t>
  </si>
  <si>
    <t>Early Childhood Education : WC Teaching</t>
  </si>
  <si>
    <t>11-120-02-150100-51311</t>
  </si>
  <si>
    <t>English : Academic Teaching PT</t>
  </si>
  <si>
    <t>11-120-02-150100-53110</t>
  </si>
  <si>
    <t>English : STRS Teaching</t>
  </si>
  <si>
    <t>11-120-02-150100-53310</t>
  </si>
  <si>
    <t>English : OASDHI (FICA) Teaching</t>
  </si>
  <si>
    <t>11-120-02-150100-53330</t>
  </si>
  <si>
    <t>English : Medicare Teaching</t>
  </si>
  <si>
    <t>11-120-02-150100-53510</t>
  </si>
  <si>
    <t>English : SUI Teaching</t>
  </si>
  <si>
    <t>11-120-02-150100-53610</t>
  </si>
  <si>
    <t>English : WC Teaching</t>
  </si>
  <si>
    <t>11-120-02-150100-55630</t>
  </si>
  <si>
    <t>English : Printing &amp; Duplicating - Inhouse</t>
  </si>
  <si>
    <t>11-120-02-150600-51311</t>
  </si>
  <si>
    <t>Speech : Academic Teaching PT</t>
  </si>
  <si>
    <t>11-120-02-150600-53110</t>
  </si>
  <si>
    <t>Speech : STRS Teaching</t>
  </si>
  <si>
    <t>11-120-02-150600-53330</t>
  </si>
  <si>
    <t>Speech : Medicare Teaching</t>
  </si>
  <si>
    <t>11-120-02-150600-53510</t>
  </si>
  <si>
    <t>Speech : SUI Teaching</t>
  </si>
  <si>
    <t>11-120-02-150600-53610</t>
  </si>
  <si>
    <t>Speech : WC Teaching</t>
  </si>
  <si>
    <t>11-120-02-150600-55630</t>
  </si>
  <si>
    <t>Speech : Printing &amp; Duplicating - Inhouse</t>
  </si>
  <si>
    <t>11-120-02-170100-51311</t>
  </si>
  <si>
    <t>Mathematics : Academic Teaching PT</t>
  </si>
  <si>
    <t>11-120-02-170100-53110</t>
  </si>
  <si>
    <t>Mathematics : STRS Teaching</t>
  </si>
  <si>
    <t>11-120-02-170100-53330</t>
  </si>
  <si>
    <t>Mathematics : Medicare Teaching</t>
  </si>
  <si>
    <t>11-120-02-170100-53510</t>
  </si>
  <si>
    <t>Mathematics : SUI Teaching</t>
  </si>
  <si>
    <t>11-120-02-170100-53610</t>
  </si>
  <si>
    <t>Mathematics : WC Teaching</t>
  </si>
  <si>
    <t>11-120-02-170100-55630</t>
  </si>
  <si>
    <t>Mathematics : Printing &amp; Duplicating - Inhouse</t>
  </si>
  <si>
    <t>11-120-02-190200-51311</t>
  </si>
  <si>
    <t>Physics : Academic Teaching PT</t>
  </si>
  <si>
    <t>11-120-02-190200-53110</t>
  </si>
  <si>
    <t>Physics : STRS Teaching</t>
  </si>
  <si>
    <t>11-120-02-190200-53330</t>
  </si>
  <si>
    <t>Physics : Medicare Teaching</t>
  </si>
  <si>
    <t>11-120-02-190200-53510</t>
  </si>
  <si>
    <t>Physics : SUI Teaching</t>
  </si>
  <si>
    <t>11-120-02-190200-53610</t>
  </si>
  <si>
    <t>Physics : WC Teaching</t>
  </si>
  <si>
    <t>11-120-02-190200-55630</t>
  </si>
  <si>
    <t>Physics : Printing &amp; Duplicating - Inhouse</t>
  </si>
  <si>
    <t>11-120-02-191900-51311</t>
  </si>
  <si>
    <t>Oceanography : Academic Teaching PT</t>
  </si>
  <si>
    <t>11-120-02-191900-53110</t>
  </si>
  <si>
    <t>Oceanography : STRS Teaching</t>
  </si>
  <si>
    <t>11-120-02-191900-53330</t>
  </si>
  <si>
    <t>Oceanography : Medicare Teaching</t>
  </si>
  <si>
    <t>11-120-02-191900-53510</t>
  </si>
  <si>
    <t>Oceanography : SUI Teaching</t>
  </si>
  <si>
    <t>11-120-02-191900-53610</t>
  </si>
  <si>
    <t>Oceanography : WC Teaching</t>
  </si>
  <si>
    <t>11-120-02-200100-51311</t>
  </si>
  <si>
    <t>Psychology : Academic Teaching PT</t>
  </si>
  <si>
    <t>11-120-02-200100-53110</t>
  </si>
  <si>
    <t>Psychology : STRS Teaching</t>
  </si>
  <si>
    <t>11-120-02-200100-53310</t>
  </si>
  <si>
    <t>Psychology : OASDHI (FICA) Teaching</t>
  </si>
  <si>
    <t>11-120-02-200100-53330</t>
  </si>
  <si>
    <t>Psychology : Medicare Teaching</t>
  </si>
  <si>
    <t>11-120-02-200100-53510</t>
  </si>
  <si>
    <t>Psychology : SUI Teaching</t>
  </si>
  <si>
    <t>11-120-02-200100-53610</t>
  </si>
  <si>
    <t>Psychology : WC Teaching</t>
  </si>
  <si>
    <t>11-120-02-210500-51311</t>
  </si>
  <si>
    <t>Administration of Justice : Academic Teaching PT</t>
  </si>
  <si>
    <t>11-120-02-210500-53110</t>
  </si>
  <si>
    <t>Administration of Justice : STRS Teaching</t>
  </si>
  <si>
    <t>11-120-02-210500-53310</t>
  </si>
  <si>
    <t>Administration of Justice : OASDHI (FICA) Teaching</t>
  </si>
  <si>
    <t>11-120-02-210500-53330</t>
  </si>
  <si>
    <t>Administration of Justice : Medicare Teaching</t>
  </si>
  <si>
    <t>11-120-02-210500-53510</t>
  </si>
  <si>
    <t>Administration of Justice : SUI Teaching</t>
  </si>
  <si>
    <t>11-120-02-210500-53610</t>
  </si>
  <si>
    <t>Administration of Justice : WC Teaching</t>
  </si>
  <si>
    <t>11-120-02-210500-55630</t>
  </si>
  <si>
    <t>Administration of Justice : Printing &amp; Duplicating - Inhouse</t>
  </si>
  <si>
    <t>11-120-02-220200-51311</t>
  </si>
  <si>
    <t>Anthropology : Academic Teaching PT</t>
  </si>
  <si>
    <t>11-120-02-220200-53110</t>
  </si>
  <si>
    <t>Anthropology : STRS Teaching</t>
  </si>
  <si>
    <t>11-120-02-220200-53330</t>
  </si>
  <si>
    <t>Anthropology : Medicare Teaching</t>
  </si>
  <si>
    <t>11-120-02-220200-53510</t>
  </si>
  <si>
    <t>Anthropology : SUI Teaching</t>
  </si>
  <si>
    <t>11-120-02-220200-53610</t>
  </si>
  <si>
    <t>Anthropology : WC Teaching</t>
  </si>
  <si>
    <t>11-120-02-220200-55630</t>
  </si>
  <si>
    <t>Anthropology : Printing &amp; Duplicating - Inhouse</t>
  </si>
  <si>
    <t>11-120-02-220210-51311</t>
  </si>
  <si>
    <t>Ethnic Studies : Academic Teaching PT</t>
  </si>
  <si>
    <t>11-120-02-220210-53110</t>
  </si>
  <si>
    <t>Ethnic Studies : STRS Teaching</t>
  </si>
  <si>
    <t>11-120-02-220210-53330</t>
  </si>
  <si>
    <t>Ethnic Studies : Medicare Teaching</t>
  </si>
  <si>
    <t>11-120-02-220210-53510</t>
  </si>
  <si>
    <t>Ethnic Studies : SUI Teaching</t>
  </si>
  <si>
    <t>11-120-02-220210-53610</t>
  </si>
  <si>
    <t>Ethnic Studies : WC Teaching</t>
  </si>
  <si>
    <t>11-120-02-220500-51311</t>
  </si>
  <si>
    <t>History : Academic Teaching PT</t>
  </si>
  <si>
    <t>11-120-02-220500-53110</t>
  </si>
  <si>
    <t>History : STRS Teaching</t>
  </si>
  <si>
    <t>11-120-02-220500-53330</t>
  </si>
  <si>
    <t>History : Medicare Teaching</t>
  </si>
  <si>
    <t>11-120-02-220500-53510</t>
  </si>
  <si>
    <t>History : SUI Teaching</t>
  </si>
  <si>
    <t>11-120-02-220500-53610</t>
  </si>
  <si>
    <t>History : WC Teaching</t>
  </si>
  <si>
    <t>11-120-02-220500-55630</t>
  </si>
  <si>
    <t>History : Printing &amp; Duplicating - Inhouse</t>
  </si>
  <si>
    <t>11-120-02-220600-51311</t>
  </si>
  <si>
    <t>Geography : Academic Teaching PT</t>
  </si>
  <si>
    <t>11-120-02-220600-53110</t>
  </si>
  <si>
    <t>Geography : STRS Teaching</t>
  </si>
  <si>
    <t>11-120-02-220600-53330</t>
  </si>
  <si>
    <t>Geography : Medicare Teaching</t>
  </si>
  <si>
    <t>11-120-02-220600-53510</t>
  </si>
  <si>
    <t>Geography : SUI Teaching</t>
  </si>
  <si>
    <t>11-120-02-220600-53610</t>
  </si>
  <si>
    <t>Geography : WC Teaching</t>
  </si>
  <si>
    <t>11-120-02-220700-51311</t>
  </si>
  <si>
    <t>Political Science : Academic Teaching PT</t>
  </si>
  <si>
    <t>11-120-02-220700-53110</t>
  </si>
  <si>
    <t>Political Science : STRS Teaching</t>
  </si>
  <si>
    <t>11-120-02-220700-53330</t>
  </si>
  <si>
    <t>Political Science : Medicare Teaching</t>
  </si>
  <si>
    <t>11-120-02-220700-53510</t>
  </si>
  <si>
    <t>Political Science : SUI Teaching</t>
  </si>
  <si>
    <t>11-120-02-220700-53610</t>
  </si>
  <si>
    <t>Political Science : WC Teaching</t>
  </si>
  <si>
    <t>11-120-02-220700-55630</t>
  </si>
  <si>
    <t>Political Science : Printing &amp; Duplicating - Inhouse</t>
  </si>
  <si>
    <t>11-120-02-220800-51311</t>
  </si>
  <si>
    <t>Sociology : Academic Teaching PT</t>
  </si>
  <si>
    <t>11-120-02-220800-53110</t>
  </si>
  <si>
    <t>Sociology : STRS Teaching</t>
  </si>
  <si>
    <t>11-120-02-220800-53330</t>
  </si>
  <si>
    <t>Sociology : Medicare Teaching</t>
  </si>
  <si>
    <t>11-120-02-220800-53510</t>
  </si>
  <si>
    <t>Sociology : SUI Teaching</t>
  </si>
  <si>
    <t>11-120-02-220800-53610</t>
  </si>
  <si>
    <t>Sociology : WC Teaching</t>
  </si>
  <si>
    <t>11-120-02-220800-55630</t>
  </si>
  <si>
    <t>Sociology : Printing &amp; Duplicating - Inhouse</t>
  </si>
  <si>
    <t>11-120-02-493010-51311</t>
  </si>
  <si>
    <t>Counseling Instruction : Academic Teaching PT</t>
  </si>
  <si>
    <t>11-120-02-493010-53110</t>
  </si>
  <si>
    <t>Counseling Instruction : STRS Teaching</t>
  </si>
  <si>
    <t>11-120-02-493010-53330</t>
  </si>
  <si>
    <t>Counseling Instruction : Medicare Teaching</t>
  </si>
  <si>
    <t>11-120-02-493010-53510</t>
  </si>
  <si>
    <t>Counseling Instruction : SUI Teaching</t>
  </si>
  <si>
    <t>11-120-02-493010-53610</t>
  </si>
  <si>
    <t>Counseling Instruction : WC Teaching</t>
  </si>
  <si>
    <t>11-120-02-493080-51311</t>
  </si>
  <si>
    <t>ESL : Academic Teaching PT</t>
  </si>
  <si>
    <t>11-120-02-493080-53110</t>
  </si>
  <si>
    <t>ESL : STRS Teaching</t>
  </si>
  <si>
    <t>11-120-02-493080-53330</t>
  </si>
  <si>
    <t>ESL : Medicare Teaching</t>
  </si>
  <si>
    <t>11-120-02-493080-53510</t>
  </si>
  <si>
    <t>ESL : SUI Teaching</t>
  </si>
  <si>
    <t>11-120-02-493080-53610</t>
  </si>
  <si>
    <t>ESL : WC Teaching</t>
  </si>
  <si>
    <t>11-120-02-601000-51210</t>
  </si>
  <si>
    <t>Academic Administration : Academic Nonteaching Management</t>
  </si>
  <si>
    <t>11-120-02-601000-51412</t>
  </si>
  <si>
    <t>Academic Administration : Acad Nonteach Special Projects</t>
  </si>
  <si>
    <t>11-120-02-601000-52105</t>
  </si>
  <si>
    <t>Academic Administration : Classified CSEA</t>
  </si>
  <si>
    <t>11-120-02-601000-52300</t>
  </si>
  <si>
    <t>Academic Administration : Classified Overtime</t>
  </si>
  <si>
    <t>11-120-02-601000-53120</t>
  </si>
  <si>
    <t>Academic Administration : STRS Nonteaching</t>
  </si>
  <si>
    <t>11-120-02-601000-53220</t>
  </si>
  <si>
    <t>Academic Administration : PERS Nonteaching</t>
  </si>
  <si>
    <t>11-120-02-601000-53320</t>
  </si>
  <si>
    <t>Academic Administration : OASDHI (FICA) Nonteaching</t>
  </si>
  <si>
    <t>11-120-02-601000-53340</t>
  </si>
  <si>
    <t>Academic Administration : Medicare Nonteaching</t>
  </si>
  <si>
    <t>11-120-02-601000-53420</t>
  </si>
  <si>
    <t>Academic Administration : H &amp; W Nonteaching</t>
  </si>
  <si>
    <t>11-120-02-601000-53520</t>
  </si>
  <si>
    <t>Academic Administration : SUI Nonteaching</t>
  </si>
  <si>
    <t>11-120-02-601000-53620</t>
  </si>
  <si>
    <t>Academic Administration : WC Nonteaching</t>
  </si>
  <si>
    <t>11-120-02-601000-53920</t>
  </si>
  <si>
    <t>Academic Administration : Other Benefit-Non Teaching</t>
  </si>
  <si>
    <t>11-120-02-601000-54300</t>
  </si>
  <si>
    <t>Academic Administration : Supplies &amp; Materials</t>
  </si>
  <si>
    <t>11-120-02-601000-55125</t>
  </si>
  <si>
    <t>Academic Administration : Training &amp; Seminars</t>
  </si>
  <si>
    <t>11-120-02-601000-55200</t>
  </si>
  <si>
    <t>Academic Administration : Travel &amp; Conference</t>
  </si>
  <si>
    <t>11-120-02-601000-55210</t>
  </si>
  <si>
    <t>Academic Administration : Instructional Mileage</t>
  </si>
  <si>
    <t>11-120-02-601000-55630</t>
  </si>
  <si>
    <t>Academic Administration : Printing &amp; Duplicating - Inhouse</t>
  </si>
  <si>
    <t>11-120-02-601000-55650</t>
  </si>
  <si>
    <t>Academic Administration : Maintenance Agreement</t>
  </si>
  <si>
    <t>11-120-02-601000-55830</t>
  </si>
  <si>
    <t>Academic Administration : Advertising Expense</t>
  </si>
  <si>
    <t>11-120-02-601000-56400</t>
  </si>
  <si>
    <t>Academic Administration : Cap Equip - $200 to $4,999</t>
  </si>
  <si>
    <t>11-120-02-612000-51411</t>
  </si>
  <si>
    <t>Library Services : Academic Nonteaching PT</t>
  </si>
  <si>
    <t>11-120-02-612000-53120</t>
  </si>
  <si>
    <t>Library Services : STRS Nonteaching</t>
  </si>
  <si>
    <t>11-120-02-612000-53340</t>
  </si>
  <si>
    <t>Library Services : Medicare Nonteaching</t>
  </si>
  <si>
    <t>11-120-02-612000-53520</t>
  </si>
  <si>
    <t>Library Services : SUI Nonteaching</t>
  </si>
  <si>
    <t>11-120-02-612000-53620</t>
  </si>
  <si>
    <t>Library Services : WC Nonteaching</t>
  </si>
  <si>
    <t>11-120-02-612000-55630</t>
  </si>
  <si>
    <t>Library Services : Printing &amp; Duplicating - Inhouse</t>
  </si>
  <si>
    <t>11-120-02-631000-51311</t>
  </si>
  <si>
    <t>Counseling &amp; Guidance : Academic Teaching PT</t>
  </si>
  <si>
    <t>11-120-02-631000-51411</t>
  </si>
  <si>
    <t>Counseling &amp; Guidance : Academic Nonteaching PT</t>
  </si>
  <si>
    <t>11-120-02-631000-53110</t>
  </si>
  <si>
    <t>Counseling &amp; Guidance : STRS Teaching</t>
  </si>
  <si>
    <t>11-120-02-631000-53120</t>
  </si>
  <si>
    <t>Counseling &amp; Guidance : STRS Nonteaching</t>
  </si>
  <si>
    <t>11-120-02-631000-53330</t>
  </si>
  <si>
    <t>Counseling &amp; Guidance : Medicare Teaching</t>
  </si>
  <si>
    <t>11-120-02-631000-53340</t>
  </si>
  <si>
    <t>Counseling &amp; Guidance : Medicare Nonteaching</t>
  </si>
  <si>
    <t>11-120-02-631000-53510</t>
  </si>
  <si>
    <t>Counseling &amp; Guidance : SUI Teaching</t>
  </si>
  <si>
    <t>11-120-02-631000-53520</t>
  </si>
  <si>
    <t>Counseling &amp; Guidance : SUI Nonteaching</t>
  </si>
  <si>
    <t>11-120-02-631000-53610</t>
  </si>
  <si>
    <t>Counseling &amp; Guidance : WC Teaching</t>
  </si>
  <si>
    <t>11-120-02-631000-53620</t>
  </si>
  <si>
    <t>Counseling &amp; Guidance : WC Nonteaching</t>
  </si>
  <si>
    <t>11-120-02-631000-55630</t>
  </si>
  <si>
    <t>Counseling &amp; Guidance : Printing &amp; Duplicating - Inhouse</t>
  </si>
  <si>
    <t>11-120-02-657000-55530</t>
  </si>
  <si>
    <t>Utilities : Electric Utility</t>
  </si>
  <si>
    <t>11-120-02-657000-55540</t>
  </si>
  <si>
    <t>Utilities : Gas Utility</t>
  </si>
  <si>
    <t>11-120-02-657000-55560</t>
  </si>
  <si>
    <t>Utilities : Water Service</t>
  </si>
  <si>
    <t>11-120-02-657000-55580</t>
  </si>
  <si>
    <t>Utilities : Trash Collection Service</t>
  </si>
  <si>
    <t>11-120-02-700400-55630</t>
  </si>
  <si>
    <t>SSSP : Printing &amp; Duplicating - Inhouse</t>
  </si>
  <si>
    <t>11-140-00-671020-55630</t>
  </si>
  <si>
    <t>Institutional Advancement : Printing &amp; Duplicating - Inhouse</t>
  </si>
  <si>
    <t>11-140-00-684000-52120</t>
  </si>
  <si>
    <t>Community Relations &amp; Develop. : Classified Confidential</t>
  </si>
  <si>
    <t>11-140-00-684000-52130</t>
  </si>
  <si>
    <t>Community Relations &amp; Develop. : Classified Management</t>
  </si>
  <si>
    <t>11-140-00-684000-52350</t>
  </si>
  <si>
    <t>Community Relations &amp; Develop. : Classified Student Dist Non-IA PT</t>
  </si>
  <si>
    <t>11-140-00-684000-53220</t>
  </si>
  <si>
    <t>11-140-00-684000-53320</t>
  </si>
  <si>
    <t>11-140-00-684000-53340</t>
  </si>
  <si>
    <t>11-140-00-684000-53420</t>
  </si>
  <si>
    <t>11-140-00-684000-53520</t>
  </si>
  <si>
    <t>11-140-00-684000-53620</t>
  </si>
  <si>
    <t>11-140-00-684000-54300</t>
  </si>
  <si>
    <t>Community Relations &amp; Develop. : Supplies &amp; Materials</t>
  </si>
  <si>
    <t>11-140-00-684000-55100</t>
  </si>
  <si>
    <t>Community Relations &amp; Develop. : Personal Service Contract - 1099</t>
  </si>
  <si>
    <t>11-140-00-684000-55105</t>
  </si>
  <si>
    <t>Community Relations &amp; Develop. : Contract Services</t>
  </si>
  <si>
    <t>11-140-00-684000-55200</t>
  </si>
  <si>
    <t>Community Relations &amp; Develop. : Travel &amp; Conference</t>
  </si>
  <si>
    <t>11-140-00-684000-55300</t>
  </si>
  <si>
    <t>Community Relations &amp; Develop. : Memberships</t>
  </si>
  <si>
    <t>11-140-00-684000-55630</t>
  </si>
  <si>
    <t>11-140-00-684000-55635</t>
  </si>
  <si>
    <t>Community Relations &amp; Develop. : Printing Services - Vendor</t>
  </si>
  <si>
    <t>11-140-00-684000-55810</t>
  </si>
  <si>
    <t>Community Relations &amp; Develop. : Bulk Mail</t>
  </si>
  <si>
    <t>11-140-00-684000-55830</t>
  </si>
  <si>
    <t>Community Relations &amp; Develop. : Advertising Expense</t>
  </si>
  <si>
    <t>11-140-00-684000-56400</t>
  </si>
  <si>
    <t>Community Relations &amp; Develop. : Cap Equip - $200 to $4,999</t>
  </si>
  <si>
    <t>11-150-00-663000-51210</t>
  </si>
  <si>
    <t>Research Office : Academic Nonteaching Management</t>
  </si>
  <si>
    <t>11-150-00-663000-52105</t>
  </si>
  <si>
    <t>Research Office : Classified CSEA</t>
  </si>
  <si>
    <t>11-150-00-663000-52130</t>
  </si>
  <si>
    <t>Research Office : Classified Management</t>
  </si>
  <si>
    <t>11-150-00-663000-53120</t>
  </si>
  <si>
    <t>Research Office : STRS Nonteaching</t>
  </si>
  <si>
    <t>11-150-00-663000-53220</t>
  </si>
  <si>
    <t>Research Office : PERS Nonteaching</t>
  </si>
  <si>
    <t>11-150-00-663000-53320</t>
  </si>
  <si>
    <t>Research Office : OASDHI (FICA) Nonteaching</t>
  </si>
  <si>
    <t>11-150-00-663000-53340</t>
  </si>
  <si>
    <t>Research Office : Medicare Nonteaching</t>
  </si>
  <si>
    <t>11-150-00-663000-53420</t>
  </si>
  <si>
    <t>Research Office : H &amp; W Nonteaching</t>
  </si>
  <si>
    <t>11-150-00-663000-53520</t>
  </si>
  <si>
    <t>Research Office : SUI Nonteaching</t>
  </si>
  <si>
    <t>11-150-00-663000-53620</t>
  </si>
  <si>
    <t>Research Office : WC Nonteaching</t>
  </si>
  <si>
    <t>11-150-00-663000-53920</t>
  </si>
  <si>
    <t>Research Office : Other Benefit-Non Teaching</t>
  </si>
  <si>
    <t>11-150-00-663000-54300</t>
  </si>
  <si>
    <t>Research Office : Supplies &amp; Materials</t>
  </si>
  <si>
    <t>11-150-00-663000-55200</t>
  </si>
  <si>
    <t>Research Office : Travel &amp; Conference</t>
  </si>
  <si>
    <t>11-150-00-663000-55300</t>
  </si>
  <si>
    <t>Research Office : Memberships</t>
  </si>
  <si>
    <t>11-150-00-663000-55309</t>
  </si>
  <si>
    <t>Research Office : Subscriptions</t>
  </si>
  <si>
    <t>11-150-00-663000-55610</t>
  </si>
  <si>
    <t>Research Office : Software licensing</t>
  </si>
  <si>
    <t>11-150-00-663000-55630</t>
  </si>
  <si>
    <t>Research Office : Printing &amp; Duplicating - Inhouse</t>
  </si>
  <si>
    <t>11-200-00-590000-53410</t>
  </si>
  <si>
    <t>Retired Staff - Instructional : H &amp; W Teaching</t>
  </si>
  <si>
    <t>11-200-00-590000-53411</t>
  </si>
  <si>
    <t>Retired Staff - Instructional : Medical Benefits Teaching Retirees</t>
  </si>
  <si>
    <t>11-200-00-672020-53420</t>
  </si>
  <si>
    <t>Fiscal Operations : H &amp; W Nonteaching</t>
  </si>
  <si>
    <t>11-200-00-674000-53420</t>
  </si>
  <si>
    <t>Retired Staff - Noninstructional : H &amp; W Nonteaching</t>
  </si>
  <si>
    <t>11-200-00-674000-53421</t>
  </si>
  <si>
    <t>Retired Staff - Noninstructional : Medical Benefits Nonteaching Retirees</t>
  </si>
  <si>
    <t>11-200-00-675000-55125</t>
  </si>
  <si>
    <t>Staff Development : Training &amp; Seminars</t>
  </si>
  <si>
    <t>11-200-00-677000-55821</t>
  </si>
  <si>
    <t>Purchasing/Receiving : Commercial Parcel Service</t>
  </si>
  <si>
    <t>11-200-00-677010-55555</t>
  </si>
  <si>
    <t>COVID-19 : Hotspot Service</t>
  </si>
  <si>
    <t>11-200-00-677100-54300</t>
  </si>
  <si>
    <t>Campus Security : Supplies &amp; Materials</t>
  </si>
  <si>
    <t>11-200-00-677100-55105</t>
  </si>
  <si>
    <t>Campus Security : Contract Services</t>
  </si>
  <si>
    <t>11-200-00-677100-55630</t>
  </si>
  <si>
    <t>Campus Security : Printing &amp; Duplicating - Inhouse</t>
  </si>
  <si>
    <t>11-200-00-695000-55800</t>
  </si>
  <si>
    <t>Parking Services : Other Costs</t>
  </si>
  <si>
    <t>11-200-04-657000-55530</t>
  </si>
  <si>
    <t>11-200-04-657000-55540</t>
  </si>
  <si>
    <t>11-210-00-657000-55530</t>
  </si>
  <si>
    <t>11-210-00-657000-55540</t>
  </si>
  <si>
    <t>11-210-00-657000-55560</t>
  </si>
  <si>
    <t>11-210-00-657000-55570</t>
  </si>
  <si>
    <t>Utilities : Sewer Service</t>
  </si>
  <si>
    <t>11-210-00-657000-55575</t>
  </si>
  <si>
    <t>Utilities : Hazardous Waste Disposal</t>
  </si>
  <si>
    <t>11-210-00-657000-55580</t>
  </si>
  <si>
    <t>11-210-00-672010-52105</t>
  </si>
  <si>
    <t>Business Office : Classified CSEA</t>
  </si>
  <si>
    <t>11-210-00-672010-52115</t>
  </si>
  <si>
    <t>Business Office : Classified Supervisory</t>
  </si>
  <si>
    <t>11-210-00-672010-52120</t>
  </si>
  <si>
    <t>Business Office : Classified Confidential</t>
  </si>
  <si>
    <t>11-210-00-672010-52130</t>
  </si>
  <si>
    <t>Business Office : Classified Management</t>
  </si>
  <si>
    <t>11-210-00-672010-52300</t>
  </si>
  <si>
    <t>Business Office : Classified Overtime</t>
  </si>
  <si>
    <t>11-210-00-672010-52350</t>
  </si>
  <si>
    <t>Business Office : Classified Student Dist Non-IA PT</t>
  </si>
  <si>
    <t>11-210-00-672010-52360</t>
  </si>
  <si>
    <t>Business Office : Class Nonstu NonIA PT Prof Exp</t>
  </si>
  <si>
    <t>11-210-00-672010-53220</t>
  </si>
  <si>
    <t>Business Office : PERS Nonteaching</t>
  </si>
  <si>
    <t>11-210-00-672010-53320</t>
  </si>
  <si>
    <t>Business Office : OASDHI (FICA) Nonteaching</t>
  </si>
  <si>
    <t>11-210-00-672010-53340</t>
  </si>
  <si>
    <t>Business Office : Medicare Nonteaching</t>
  </si>
  <si>
    <t>11-210-00-672010-53420</t>
  </si>
  <si>
    <t>Business Office : H &amp; W Nonteaching</t>
  </si>
  <si>
    <t>11-210-00-672010-53520</t>
  </si>
  <si>
    <t>Business Office : SUI Nonteaching</t>
  </si>
  <si>
    <t>11-210-00-672010-53620</t>
  </si>
  <si>
    <t>Business Office : WC Nonteaching</t>
  </si>
  <si>
    <t>11-210-00-672010-53904</t>
  </si>
  <si>
    <t>Business Office : Benefits Clearing Account</t>
  </si>
  <si>
    <t>11-210-00-672010-53920</t>
  </si>
  <si>
    <t>Business Office : Other Benefit-Non Teaching</t>
  </si>
  <si>
    <t>11-210-00-672010-54300</t>
  </si>
  <si>
    <t>Business Office : Supplies &amp; Materials</t>
  </si>
  <si>
    <t>11-210-00-672010-55105</t>
  </si>
  <si>
    <t>Business Office : Contract Services</t>
  </si>
  <si>
    <t>11-210-00-672010-55200</t>
  </si>
  <si>
    <t>Business Office : Travel &amp; Conference</t>
  </si>
  <si>
    <t>11-210-00-672010-55309</t>
  </si>
  <si>
    <t>Business Office : Subscriptions</t>
  </si>
  <si>
    <t>11-210-00-672010-55630</t>
  </si>
  <si>
    <t>Business Office : Printing &amp; Duplicating - Inhouse</t>
  </si>
  <si>
    <t>11-210-00-672010-55800</t>
  </si>
  <si>
    <t>Business Office : Other Costs</t>
  </si>
  <si>
    <t>11-210-00-672010-56400</t>
  </si>
  <si>
    <t>Business Office : Cap Equip - $200 to $4,999</t>
  </si>
  <si>
    <t>11-210-00-672020-52130</t>
  </si>
  <si>
    <t>Fiscal Operations : Classified Management</t>
  </si>
  <si>
    <t>11-210-00-672020-53220</t>
  </si>
  <si>
    <t>Fiscal Operations : PERS Nonteaching</t>
  </si>
  <si>
    <t>11-210-00-672020-53320</t>
  </si>
  <si>
    <t>Fiscal Operations : OASDHI (FICA) Nonteaching</t>
  </si>
  <si>
    <t>11-210-00-672020-53340</t>
  </si>
  <si>
    <t>Fiscal Operations : Medicare Nonteaching</t>
  </si>
  <si>
    <t>11-210-00-672020-53420</t>
  </si>
  <si>
    <t>11-210-00-672020-53501</t>
  </si>
  <si>
    <t>Fiscal Operations : Unemployment Insurance Local Experience Charge</t>
  </si>
  <si>
    <t>11-210-00-672020-53520</t>
  </si>
  <si>
    <t>Fiscal Operations : SUI Nonteaching</t>
  </si>
  <si>
    <t>11-210-00-672020-53620</t>
  </si>
  <si>
    <t>Fiscal Operations : WC Nonteaching</t>
  </si>
  <si>
    <t>11-210-00-672020-53900</t>
  </si>
  <si>
    <t>Fiscal Operations : Retiree Benefits Other</t>
  </si>
  <si>
    <t>11-210-00-672020-53904</t>
  </si>
  <si>
    <t>Fiscal Operations : Benefits Clearing Account</t>
  </si>
  <si>
    <t>11-210-00-672020-54300</t>
  </si>
  <si>
    <t>Fiscal Operations : Supplies &amp; Materials</t>
  </si>
  <si>
    <t>11-210-00-672020-55105</t>
  </si>
  <si>
    <t>Fiscal Operations : Contract Services</t>
  </si>
  <si>
    <t>11-210-00-672020-55125</t>
  </si>
  <si>
    <t>Fiscal Operations : Training &amp; Seminars</t>
  </si>
  <si>
    <t>11-210-00-672020-55300</t>
  </si>
  <si>
    <t>Fiscal Operations : Memberships</t>
  </si>
  <si>
    <t>11-210-00-672020-55400</t>
  </si>
  <si>
    <t>Fiscal Operations : Insurance</t>
  </si>
  <si>
    <t>11-210-00-672020-55550</t>
  </si>
  <si>
    <t>Fiscal Operations : Telephone Service</t>
  </si>
  <si>
    <t>11-210-00-672020-55600</t>
  </si>
  <si>
    <t>Fiscal Operations : Rents &amp; Leases</t>
  </si>
  <si>
    <t>11-210-00-672020-55635</t>
  </si>
  <si>
    <t>Fiscal Operations : Printing Services - Vendor</t>
  </si>
  <si>
    <t>11-210-00-672020-55650</t>
  </si>
  <si>
    <t>Fiscal Operations : Maintenance Agreement</t>
  </si>
  <si>
    <t>11-210-00-672020-55663</t>
  </si>
  <si>
    <t>Fiscal Operations : Bank Fees</t>
  </si>
  <si>
    <t>11-210-00-672020-55700</t>
  </si>
  <si>
    <t>Fiscal Operations : Legal &amp; Audit Expenses</t>
  </si>
  <si>
    <t>11-210-00-672020-55800</t>
  </si>
  <si>
    <t>Fiscal Operations : Other Costs</t>
  </si>
  <si>
    <t>11-210-00-672020-55820</t>
  </si>
  <si>
    <t>Fiscal Operations : US Postage</t>
  </si>
  <si>
    <t>11-210-00-672020-55835</t>
  </si>
  <si>
    <t>Fiscal Operations : Classified Newspaper Ads</t>
  </si>
  <si>
    <t>11-210-00-672020-55861</t>
  </si>
  <si>
    <t xml:space="preserve">Fiscal Operations : Credit Card Fees </t>
  </si>
  <si>
    <t>11-210-00-672020-55862</t>
  </si>
  <si>
    <t>Fiscal Operations : Credit Card Holding</t>
  </si>
  <si>
    <t>11-210-00-672020-57300</t>
  </si>
  <si>
    <t>Fiscal Operations : Interfund Transfer</t>
  </si>
  <si>
    <t>11-210-00-672020-57350</t>
  </si>
  <si>
    <t>Fiscal Operations : Tsf Indirect Costs-Interfund</t>
  </si>
  <si>
    <t>11-210-00-672020-57351</t>
  </si>
  <si>
    <t>Fiscal Operations : Other Admin Costs</t>
  </si>
  <si>
    <t>11-210-00-672040-52105</t>
  </si>
  <si>
    <t>Grants Administration : Classified CSEA</t>
  </si>
  <si>
    <t>11-210-00-672040-52130</t>
  </si>
  <si>
    <t>Grants Administration : Classified Management</t>
  </si>
  <si>
    <t>11-210-00-672040-52300</t>
  </si>
  <si>
    <t>Grants Administration : Classified Overtime</t>
  </si>
  <si>
    <t>11-210-00-672040-53220</t>
  </si>
  <si>
    <t>Grants Administration : PERS Nonteaching</t>
  </si>
  <si>
    <t>11-210-00-672040-53320</t>
  </si>
  <si>
    <t>Grants Administration : OASDHI (FICA) Nonteaching</t>
  </si>
  <si>
    <t>11-210-00-672040-53340</t>
  </si>
  <si>
    <t>Grants Administration : Medicare Nonteaching</t>
  </si>
  <si>
    <t>11-210-00-672040-53420</t>
  </si>
  <si>
    <t>Grants Administration : H &amp; W Nonteaching</t>
  </si>
  <si>
    <t>11-210-00-672040-53520</t>
  </si>
  <si>
    <t>Grants Administration : SUI Nonteaching</t>
  </si>
  <si>
    <t>11-210-00-672040-53620</t>
  </si>
  <si>
    <t>Grants Administration : WC Nonteaching</t>
  </si>
  <si>
    <t>11-210-00-672040-53920</t>
  </si>
  <si>
    <t>Grants Administration : Other Benefit-Non Teaching</t>
  </si>
  <si>
    <t>11-210-00-672040-55630</t>
  </si>
  <si>
    <t>Grants Administration : Printing &amp; Duplicating - Inhouse</t>
  </si>
  <si>
    <t>11-210-00-677000-52105</t>
  </si>
  <si>
    <t>Purchasing/Receiving : Classified CSEA</t>
  </si>
  <si>
    <t>11-210-00-677000-53220</t>
  </si>
  <si>
    <t>Purchasing/Receiving : PERS Nonteaching</t>
  </si>
  <si>
    <t>11-210-00-677000-53320</t>
  </si>
  <si>
    <t>Purchasing/Receiving : OASDHI (FICA) Nonteaching</t>
  </si>
  <si>
    <t>11-210-00-677000-53340</t>
  </si>
  <si>
    <t>Purchasing/Receiving : Medicare Nonteaching</t>
  </si>
  <si>
    <t>11-210-00-677000-53420</t>
  </si>
  <si>
    <t>Purchasing/Receiving : H &amp; W Nonteaching</t>
  </si>
  <si>
    <t>11-210-00-677000-53520</t>
  </si>
  <si>
    <t>Purchasing/Receiving : SUI Nonteaching</t>
  </si>
  <si>
    <t>11-210-00-677000-53620</t>
  </si>
  <si>
    <t>Purchasing/Receiving : WC Nonteaching</t>
  </si>
  <si>
    <t>11-210-00-677000-55650</t>
  </si>
  <si>
    <t>Purchasing/Receiving : Maintenance Agreement</t>
  </si>
  <si>
    <t>11-210-00-677020-54300</t>
  </si>
  <si>
    <t>Emergency Management : Supplies &amp; Materials</t>
  </si>
  <si>
    <t>11-210-00-677020-55200</t>
  </si>
  <si>
    <t>Emergency Management : Travel &amp; Conference</t>
  </si>
  <si>
    <t>11-210-00-677020-55300</t>
  </si>
  <si>
    <t>Emergency Management : Memberships</t>
  </si>
  <si>
    <t>11-210-00-677020-55550</t>
  </si>
  <si>
    <t>Emergency Management : Telephone Service</t>
  </si>
  <si>
    <t>11-210-00-677020-55650</t>
  </si>
  <si>
    <t>Emergency Management : Maintenance Agreement</t>
  </si>
  <si>
    <t>11-210-00-695000-55105</t>
  </si>
  <si>
    <t>Parking Services : Contract Services</t>
  </si>
  <si>
    <t>11-210-00-732000-57510</t>
  </si>
  <si>
    <t>Student Aid : Student Internship</t>
  </si>
  <si>
    <t>11-215-00-677000-55630</t>
  </si>
  <si>
    <t>Purchasing/Receiving : Printing &amp; Duplicating - Inhouse</t>
  </si>
  <si>
    <t>11-220-00-651000-52125</t>
  </si>
  <si>
    <t>Building Maintenance &amp; Repairs : Classified L-39</t>
  </si>
  <si>
    <t>11-220-00-651000-52300</t>
  </si>
  <si>
    <t>Building Maintenance &amp; Repairs : Classified Overtime</t>
  </si>
  <si>
    <t>11-220-00-651000-53220</t>
  </si>
  <si>
    <t>Building Maintenance &amp; Repairs : PERS Nonteaching</t>
  </si>
  <si>
    <t>11-220-00-651000-53320</t>
  </si>
  <si>
    <t>Building Maintenance &amp; Repairs : OASDHI (FICA) Nonteaching</t>
  </si>
  <si>
    <t>11-220-00-651000-53340</t>
  </si>
  <si>
    <t>Building Maintenance &amp; Repairs : Medicare Nonteaching</t>
  </si>
  <si>
    <t>11-220-00-651000-53420</t>
  </si>
  <si>
    <t>Building Maintenance &amp; Repairs : H &amp; W Nonteaching</t>
  </si>
  <si>
    <t>11-220-00-651000-53520</t>
  </si>
  <si>
    <t>Building Maintenance &amp; Repairs : SUI Nonteaching</t>
  </si>
  <si>
    <t>11-220-00-651000-53620</t>
  </si>
  <si>
    <t>Building Maintenance &amp; Repairs : WC Nonteaching</t>
  </si>
  <si>
    <t>11-220-00-651000-53920</t>
  </si>
  <si>
    <t>Building Maintenance &amp; Repairs : Other Benefit-Non Teaching</t>
  </si>
  <si>
    <t>11-220-00-651000-54330</t>
  </si>
  <si>
    <t>Building Maintenance &amp; Repairs : M &amp; O General Supplies</t>
  </si>
  <si>
    <t>11-220-00-651000-54335</t>
  </si>
  <si>
    <t>Building Maintenance &amp; Repairs : M &amp; O Stnry Equipment Parts</t>
  </si>
  <si>
    <t>11-220-00-651000-54337</t>
  </si>
  <si>
    <t>Building Maintenance &amp; Repairs : M &amp; O Electrical Supplies</t>
  </si>
  <si>
    <t>11-220-00-651000-54338</t>
  </si>
  <si>
    <t>Building Maintenance &amp; Repairs : M &amp; O Plumbing Supplies</t>
  </si>
  <si>
    <t>11-220-00-651000-55630</t>
  </si>
  <si>
    <t>Building Maintenance &amp; Repairs : Printing &amp; Duplicating - Inhouse</t>
  </si>
  <si>
    <t>11-220-00-651000-55650</t>
  </si>
  <si>
    <t>Building Maintenance &amp; Repairs : Maintenance Agreement</t>
  </si>
  <si>
    <t>11-220-00-651000-55651</t>
  </si>
  <si>
    <t>Building Maintenance &amp; Repairs : Equipment Repairs</t>
  </si>
  <si>
    <t>11-220-00-651000-56400</t>
  </si>
  <si>
    <t>Building Maintenance &amp; Repairs : Cap Equip - $200 to $4,999</t>
  </si>
  <si>
    <t>11-220-00-651000-56405</t>
  </si>
  <si>
    <t>Building Maintenance &amp; Repairs : Cap Equip - $5,000 and Over</t>
  </si>
  <si>
    <t>11-220-00-653000-52115</t>
  </si>
  <si>
    <t>Custodial Services : Classified Supervisory</t>
  </si>
  <si>
    <t>11-220-00-653000-52125</t>
  </si>
  <si>
    <t>Custodial Services : Classified L-39</t>
  </si>
  <si>
    <t>11-220-00-653000-52300</t>
  </si>
  <si>
    <t>Custodial Services : Classified Overtime</t>
  </si>
  <si>
    <t>11-220-00-653000-53220</t>
  </si>
  <si>
    <t>Custodial Services : PERS Nonteaching</t>
  </si>
  <si>
    <t>11-220-00-653000-53320</t>
  </si>
  <si>
    <t>Custodial Services : OASDHI (FICA) Nonteaching</t>
  </si>
  <si>
    <t>11-220-00-653000-53340</t>
  </si>
  <si>
    <t>Custodial Services : Medicare Nonteaching</t>
  </si>
  <si>
    <t>11-220-00-653000-53420</t>
  </si>
  <si>
    <t>Custodial Services : H &amp; W Nonteaching</t>
  </si>
  <si>
    <t>11-220-00-653000-53520</t>
  </si>
  <si>
    <t>Custodial Services : SUI Nonteaching</t>
  </si>
  <si>
    <t>11-220-00-653000-53620</t>
  </si>
  <si>
    <t>Custodial Services : WC Nonteaching</t>
  </si>
  <si>
    <t>11-220-00-653000-53920</t>
  </si>
  <si>
    <t>Custodial Services : Other Benefit-Non Teaching</t>
  </si>
  <si>
    <t>11-220-00-653000-54300</t>
  </si>
  <si>
    <t>Custodial Services : Supplies &amp; Materials</t>
  </si>
  <si>
    <t>11-220-00-653000-55630</t>
  </si>
  <si>
    <t>Custodial Services : Printing &amp; Duplicating - Inhouse</t>
  </si>
  <si>
    <t>11-220-00-653000-55650</t>
  </si>
  <si>
    <t>Custodial Services : Maintenance Agreement</t>
  </si>
  <si>
    <t>11-220-00-655000-52125</t>
  </si>
  <si>
    <t>Grounds Maintenance &amp; Repairs : Classified L-39</t>
  </si>
  <si>
    <t>11-220-00-655000-52300</t>
  </si>
  <si>
    <t>Grounds Maintenance &amp; Repairs : Classified Overtime</t>
  </si>
  <si>
    <t>11-220-00-655000-53220</t>
  </si>
  <si>
    <t>Grounds Maintenance &amp; Repairs : PERS Nonteaching</t>
  </si>
  <si>
    <t>11-220-00-655000-53320</t>
  </si>
  <si>
    <t>Grounds Maintenance &amp; Repairs : OASDHI (FICA) Nonteaching</t>
  </si>
  <si>
    <t>11-220-00-655000-53340</t>
  </si>
  <si>
    <t>Grounds Maintenance &amp; Repairs : Medicare Nonteaching</t>
  </si>
  <si>
    <t>11-220-00-655000-53420</t>
  </si>
  <si>
    <t>Grounds Maintenance &amp; Repairs : H &amp; W Nonteaching</t>
  </si>
  <si>
    <t>11-220-00-655000-53520</t>
  </si>
  <si>
    <t>Grounds Maintenance &amp; Repairs : SUI Nonteaching</t>
  </si>
  <si>
    <t>11-220-00-655000-53620</t>
  </si>
  <si>
    <t>Grounds Maintenance &amp; Repairs : WC Nonteaching</t>
  </si>
  <si>
    <t>11-220-00-655000-53920</t>
  </si>
  <si>
    <t>Grounds Maintenance &amp; Repairs : Other Benefit-Non Teaching</t>
  </si>
  <si>
    <t>11-220-00-655000-54300</t>
  </si>
  <si>
    <t>Grounds Maintenance &amp; Repairs : Supplies &amp; Materials</t>
  </si>
  <si>
    <t>11-220-00-655000-54330</t>
  </si>
  <si>
    <t>Grounds Maintenance &amp; Repairs : M &amp; O General Supplies</t>
  </si>
  <si>
    <t>11-220-00-655000-55630</t>
  </si>
  <si>
    <t>Grounds Maintenance &amp; Repairs : Printing &amp; Duplicating - Inhouse</t>
  </si>
  <si>
    <t>11-220-00-655000-55650</t>
  </si>
  <si>
    <t>Grounds Maintenance &amp; Repairs : Maintenance Agreement</t>
  </si>
  <si>
    <t>11-220-00-655000-55651</t>
  </si>
  <si>
    <t>Grounds Maintenance &amp; Repairs : Equipment Repairs</t>
  </si>
  <si>
    <t>11-220-00-659010-52105</t>
  </si>
  <si>
    <t>Maintenance &amp; Operations : Classified CSEA</t>
  </si>
  <si>
    <t>11-220-00-659010-52125</t>
  </si>
  <si>
    <t>Maintenance &amp; Operations : Classified L-39</t>
  </si>
  <si>
    <t>11-220-00-659010-52130</t>
  </si>
  <si>
    <t>Maintenance &amp; Operations : Classified Management</t>
  </si>
  <si>
    <t>11-220-00-659010-52360</t>
  </si>
  <si>
    <t>Maintenance &amp; Operations : Class Nonstu NonIA PT Prof Exp</t>
  </si>
  <si>
    <t>11-220-00-659010-53220</t>
  </si>
  <si>
    <t>Maintenance &amp; Operations : PERS Nonteaching</t>
  </si>
  <si>
    <t>11-220-00-659010-53320</t>
  </si>
  <si>
    <t>Maintenance &amp; Operations : OASDHI (FICA) Nonteaching</t>
  </si>
  <si>
    <t>11-220-00-659010-53340</t>
  </si>
  <si>
    <t>Maintenance &amp; Operations : Medicare Nonteaching</t>
  </si>
  <si>
    <t>11-220-00-659010-53420</t>
  </si>
  <si>
    <t>Maintenance &amp; Operations : H &amp; W Nonteaching</t>
  </si>
  <si>
    <t>11-220-00-659010-53520</t>
  </si>
  <si>
    <t>Maintenance &amp; Operations : SUI Nonteaching</t>
  </si>
  <si>
    <t>11-220-00-659010-53620</t>
  </si>
  <si>
    <t>Maintenance &amp; Operations : WC Nonteaching</t>
  </si>
  <si>
    <t>11-220-00-659010-53920</t>
  </si>
  <si>
    <t>Maintenance &amp; Operations : Other Benefit-Non Teaching</t>
  </si>
  <si>
    <t>11-220-00-659010-54300</t>
  </si>
  <si>
    <t>Maintenance &amp; Operations : Supplies &amp; Materials</t>
  </si>
  <si>
    <t>11-220-00-659010-55105</t>
  </si>
  <si>
    <t>Maintenance &amp; Operations : Contract Services</t>
  </si>
  <si>
    <t>11-220-00-659010-55550</t>
  </si>
  <si>
    <t>Maintenance &amp; Operations : Telephone Service</t>
  </si>
  <si>
    <t>11-220-00-659010-55600</t>
  </si>
  <si>
    <t>Maintenance &amp; Operations : Rents &amp; Leases</t>
  </si>
  <si>
    <t>11-220-00-659010-55630</t>
  </si>
  <si>
    <t>Maintenance &amp; Operations : Printing &amp; Duplicating - Inhouse</t>
  </si>
  <si>
    <t>11-220-00-659010-55650</t>
  </si>
  <si>
    <t>Maintenance &amp; Operations : Maintenance Agreement</t>
  </si>
  <si>
    <t>11-220-00-659010-55651</t>
  </si>
  <si>
    <t>Maintenance &amp; Operations : Equipment Repairs</t>
  </si>
  <si>
    <t>11-220-00-659010-55830</t>
  </si>
  <si>
    <t>Maintenance &amp; Operations : Advertising Expense</t>
  </si>
  <si>
    <t>11-220-00-659010-56216</t>
  </si>
  <si>
    <t>Maintenance &amp; Operations : Other Costs</t>
  </si>
  <si>
    <t>11-220-00-659020-54300</t>
  </si>
  <si>
    <t>Safety &amp; Hazardous Materials : Supplies &amp; Materials</t>
  </si>
  <si>
    <t>11-220-00-659020-55105</t>
  </si>
  <si>
    <t>Safety &amp; Hazardous Materials : Contract Services</t>
  </si>
  <si>
    <t>11-220-00-659020-55575</t>
  </si>
  <si>
    <t>Safety &amp; Hazardous Materials : Hazardous Waste Disposal</t>
  </si>
  <si>
    <t>11-220-00-659020-56217</t>
  </si>
  <si>
    <t>Safety &amp; Hazardous Materials : Permits and Fees</t>
  </si>
  <si>
    <t>11-220-00-677000-52105</t>
  </si>
  <si>
    <t>11-220-00-677000-52300</t>
  </si>
  <si>
    <t>Purchasing/Receiving : Classified Overtime</t>
  </si>
  <si>
    <t>11-220-00-677000-53220</t>
  </si>
  <si>
    <t>11-220-00-677000-53320</t>
  </si>
  <si>
    <t>11-220-00-677000-53340</t>
  </si>
  <si>
    <t>11-220-00-677000-53420</t>
  </si>
  <si>
    <t>11-220-00-677000-53520</t>
  </si>
  <si>
    <t>11-220-00-677000-53620</t>
  </si>
  <si>
    <t>11-220-00-677000-55630</t>
  </si>
  <si>
    <t>11-220-00-677300-54349</t>
  </si>
  <si>
    <t>Vehicle Maintenance : M&amp;O Fuel and Oil Expense</t>
  </si>
  <si>
    <t>11-220-00-677300-55651</t>
  </si>
  <si>
    <t>Vehicle Maintenance : Equipment Repairs</t>
  </si>
  <si>
    <t>11-220-00-683000-52105</t>
  </si>
  <si>
    <t>Community Use of Facilities : Classified CSEA</t>
  </si>
  <si>
    <t>11-220-00-683000-52115</t>
  </si>
  <si>
    <t>Community Use of Facilities : Classified Supervisory</t>
  </si>
  <si>
    <t>11-220-00-683000-52125</t>
  </si>
  <si>
    <t>Community Use of Facilities : Classified L-39</t>
  </si>
  <si>
    <t>11-220-00-683000-52300</t>
  </si>
  <si>
    <t>Community Use of Facilities : Classified Overtime</t>
  </si>
  <si>
    <t>11-220-00-683000-53220</t>
  </si>
  <si>
    <t>Community Use of Facilities : PERS Nonteaching</t>
  </si>
  <si>
    <t>11-220-00-683000-53320</t>
  </si>
  <si>
    <t>Community Use of Facilities : OASDHI (FICA) Nonteaching</t>
  </si>
  <si>
    <t>11-220-00-683000-53340</t>
  </si>
  <si>
    <t>Community Use of Facilities : Medicare Nonteaching</t>
  </si>
  <si>
    <t>11-220-00-683000-53420</t>
  </si>
  <si>
    <t>Community Use of Facilities : H &amp; W Nonteaching</t>
  </si>
  <si>
    <t>11-220-00-683000-53520</t>
  </si>
  <si>
    <t>Community Use of Facilities : SUI Nonteaching</t>
  </si>
  <si>
    <t>11-220-00-683000-53620</t>
  </si>
  <si>
    <t>Community Use of Facilities : WC Nonteaching</t>
  </si>
  <si>
    <t>11-220-00-683000-53920</t>
  </si>
  <si>
    <t>Community Use of Facilities : Other Benefit-Non Teaching</t>
  </si>
  <si>
    <t>11-220-00-683000-54340</t>
  </si>
  <si>
    <t>Community Use of Facilities : M &amp; O Pool Chemicals</t>
  </si>
  <si>
    <t>11-220-00-683000-55630</t>
  </si>
  <si>
    <t>Community Use of Facilities : Printing &amp; Duplicating - Inhouse</t>
  </si>
  <si>
    <t>11-220-04-657000-55530</t>
  </si>
  <si>
    <t>11-300-00-490000-56400</t>
  </si>
  <si>
    <t>Interdisiplinary Studies : Cap Equip - $200 to $4,999</t>
  </si>
  <si>
    <t>11-300-00-601000-51200</t>
  </si>
  <si>
    <t>Academic Administration : Academic Nonteaching Full-time</t>
  </si>
  <si>
    <t>11-300-00-601000-51210</t>
  </si>
  <si>
    <t>11-300-00-601000-51412</t>
  </si>
  <si>
    <t>11-300-00-601000-52105</t>
  </si>
  <si>
    <t>11-300-00-601000-52120</t>
  </si>
  <si>
    <t>Academic Administration : Classified Confidential</t>
  </si>
  <si>
    <t>11-300-00-601000-52300</t>
  </si>
  <si>
    <t>11-300-00-601000-52350</t>
  </si>
  <si>
    <t>Academic Administration : Classified Student Dist Non-IA PT</t>
  </si>
  <si>
    <t>11-300-00-601000-52360</t>
  </si>
  <si>
    <t>Academic Administration : Class Nonstu NonIA PT Prof Exp</t>
  </si>
  <si>
    <t>11-300-00-601000-53120</t>
  </si>
  <si>
    <t>11-300-00-601000-53220</t>
  </si>
  <si>
    <t>11-300-00-601000-53320</t>
  </si>
  <si>
    <t>11-300-00-601000-53340</t>
  </si>
  <si>
    <t>11-300-00-601000-53420</t>
  </si>
  <si>
    <t>11-300-00-601000-53520</t>
  </si>
  <si>
    <t>11-300-00-601000-53620</t>
  </si>
  <si>
    <t>11-300-00-601000-53920</t>
  </si>
  <si>
    <t>11-300-00-601000-54210</t>
  </si>
  <si>
    <t>Academic Administration : Purchases - Food</t>
  </si>
  <si>
    <t>11-300-00-601000-54300</t>
  </si>
  <si>
    <t>11-300-00-601000-55105</t>
  </si>
  <si>
    <t>Academic Administration : Contract Services</t>
  </si>
  <si>
    <t>11-300-00-601000-55200</t>
  </si>
  <si>
    <t>11-300-00-601000-55300</t>
  </si>
  <si>
    <t>Academic Administration : Memberships</t>
  </si>
  <si>
    <t>11-300-00-601000-55630</t>
  </si>
  <si>
    <t>11-300-00-601000-55635</t>
  </si>
  <si>
    <t>Academic Administration : Printing Services - Vendor</t>
  </si>
  <si>
    <t>11-300-00-601000-55650</t>
  </si>
  <si>
    <t>11-300-00-612000-56310</t>
  </si>
  <si>
    <t>Library Services : Periodicals &amp; Newspapers</t>
  </si>
  <si>
    <t>11-300-00-675020-51200</t>
  </si>
  <si>
    <t>Academic Senate : Academic Nonteaching Full-time</t>
  </si>
  <si>
    <t>11-300-00-675020-53120</t>
  </si>
  <si>
    <t>Academic Senate : STRS Nonteaching</t>
  </si>
  <si>
    <t>11-300-00-675020-53340</t>
  </si>
  <si>
    <t>Academic Senate : Medicare Nonteaching</t>
  </si>
  <si>
    <t>11-300-00-675020-53420</t>
  </si>
  <si>
    <t>Academic Senate : H &amp; W Nonteaching</t>
  </si>
  <si>
    <t>11-300-00-675020-53520</t>
  </si>
  <si>
    <t>Academic Senate : SUI Nonteaching</t>
  </si>
  <si>
    <t>11-300-00-675020-53620</t>
  </si>
  <si>
    <t>Academic Senate : WC Nonteaching</t>
  </si>
  <si>
    <t>11-300-00-675020-55630</t>
  </si>
  <si>
    <t>11-300-04-490000-51311</t>
  </si>
  <si>
    <t>Interdisiplinary Studies : Academic Teaching PT</t>
  </si>
  <si>
    <t>11-300-04-490000-53110</t>
  </si>
  <si>
    <t>Interdisiplinary Studies : STRS Teaching</t>
  </si>
  <si>
    <t>11-300-04-490000-53330</t>
  </si>
  <si>
    <t>Interdisiplinary Studies : Medicare Teaching</t>
  </si>
  <si>
    <t>11-300-04-490000-53510</t>
  </si>
  <si>
    <t>Interdisiplinary Studies : SUI Teaching</t>
  </si>
  <si>
    <t>11-300-04-490000-53610</t>
  </si>
  <si>
    <t>Interdisiplinary Studies : WC Teaching</t>
  </si>
  <si>
    <t>11-300-04-601000-55650</t>
  </si>
  <si>
    <t>11-301-00-601000-51210</t>
  </si>
  <si>
    <t>11-301-00-601000-51412</t>
  </si>
  <si>
    <t>11-301-00-601000-52105</t>
  </si>
  <si>
    <t>11-301-00-601000-52300</t>
  </si>
  <si>
    <t>11-301-00-601000-52360</t>
  </si>
  <si>
    <t>11-301-00-601000-53120</t>
  </si>
  <si>
    <t>11-301-00-601000-53220</t>
  </si>
  <si>
    <t>11-301-00-601000-53320</t>
  </si>
  <si>
    <t>11-301-00-601000-53340</t>
  </si>
  <si>
    <t>11-301-00-601000-53420</t>
  </si>
  <si>
    <t>11-301-00-601000-53520</t>
  </si>
  <si>
    <t>11-301-00-601000-53620</t>
  </si>
  <si>
    <t>11-301-00-601000-53920</t>
  </si>
  <si>
    <t>11-301-00-601000-54300</t>
  </si>
  <si>
    <t>11-301-00-601000-55200</t>
  </si>
  <si>
    <t>11-301-00-601000-55630</t>
  </si>
  <si>
    <t>11-304-00-601000-51210</t>
  </si>
  <si>
    <t>11-304-00-601000-52105</t>
  </si>
  <si>
    <t>11-304-00-601000-53120</t>
  </si>
  <si>
    <t>11-304-00-601000-53220</t>
  </si>
  <si>
    <t>11-304-00-601000-53320</t>
  </si>
  <si>
    <t>11-304-00-601000-53340</t>
  </si>
  <si>
    <t>11-304-00-601000-53420</t>
  </si>
  <si>
    <t>11-304-00-601000-53520</t>
  </si>
  <si>
    <t>11-304-00-601000-53620</t>
  </si>
  <si>
    <t>11-304-00-601000-53920</t>
  </si>
  <si>
    <t>11-304-00-601000-54300</t>
  </si>
  <si>
    <t>11-304-00-601000-55200</t>
  </si>
  <si>
    <t>11-304-00-601000-55630</t>
  </si>
  <si>
    <t>11-304-00-601000-55650</t>
  </si>
  <si>
    <t>11-304-00-682100-53320</t>
  </si>
  <si>
    <t>Planetarium : OASDHI (FICA) Nonteaching</t>
  </si>
  <si>
    <t>11-304-00-682100-53340</t>
  </si>
  <si>
    <t>Planetarium : Medicare Nonteaching</t>
  </si>
  <si>
    <t>11-304-00-682100-53420</t>
  </si>
  <si>
    <t>Planetarium : H &amp; W Nonteaching</t>
  </si>
  <si>
    <t>11-304-00-682100-54300</t>
  </si>
  <si>
    <t>Planetarium : Supplies &amp; Materials</t>
  </si>
  <si>
    <t>11-304-00-682100-55630</t>
  </si>
  <si>
    <t>Planetarium : Printing &amp; Duplicating - Inhouse</t>
  </si>
  <si>
    <t>11-304-00-703800-52105</t>
  </si>
  <si>
    <t>MESA Grant : Classified CSEA</t>
  </si>
  <si>
    <t>11-304-00-703800-52130</t>
  </si>
  <si>
    <t>MESA Grant : Classified Management</t>
  </si>
  <si>
    <t>11-304-00-703800-52350</t>
  </si>
  <si>
    <t>MESA Grant : Classified Student Dist Non-IA PT</t>
  </si>
  <si>
    <t>11-304-00-703800-52360</t>
  </si>
  <si>
    <t>MESA Grant : Class Nonstu NonIA PT Prof Exp</t>
  </si>
  <si>
    <t>11-304-00-703800-53120</t>
  </si>
  <si>
    <t>MESA Grant : STRS Nonteaching</t>
  </si>
  <si>
    <t>11-304-00-703800-53220</t>
  </si>
  <si>
    <t>MESA Grant : PERS Nonteaching</t>
  </si>
  <si>
    <t>11-304-00-703800-53320</t>
  </si>
  <si>
    <t>MESA Grant : OASDHI (FICA) Nonteaching</t>
  </si>
  <si>
    <t>11-304-00-703800-53340</t>
  </si>
  <si>
    <t>MESA Grant : Medicare Nonteaching</t>
  </si>
  <si>
    <t>11-304-00-703800-53420</t>
  </si>
  <si>
    <t>MESA Grant : H &amp; W Nonteaching</t>
  </si>
  <si>
    <t>11-304-00-703800-53520</t>
  </si>
  <si>
    <t>MESA Grant : SUI Nonteaching</t>
  </si>
  <si>
    <t>11-304-00-703800-53620</t>
  </si>
  <si>
    <t>MESA Grant : WC Nonteaching</t>
  </si>
  <si>
    <t>11-304-00-703800-53920</t>
  </si>
  <si>
    <t>MESA Grant : Other Benefit-Non Teaching</t>
  </si>
  <si>
    <t>11-304-00-703800-55630</t>
  </si>
  <si>
    <t>MESA Grant : Printing &amp; Duplicating - Inhouse</t>
  </si>
  <si>
    <t>11-310-00-050000-51310</t>
  </si>
  <si>
    <t>11-310-00-050000-51311</t>
  </si>
  <si>
    <t>11-310-00-050000-53110</t>
  </si>
  <si>
    <t>11-310-00-050000-53310</t>
  </si>
  <si>
    <t>Business Education : OASDHI (FICA) Teaching</t>
  </si>
  <si>
    <t>11-310-00-050000-53330</t>
  </si>
  <si>
    <t>11-310-00-050000-53510</t>
  </si>
  <si>
    <t>11-310-00-050000-53610</t>
  </si>
  <si>
    <t>11-310-00-080100-51311</t>
  </si>
  <si>
    <t>EDU (Education) Adjunct Exps. : Academic Teaching PT</t>
  </si>
  <si>
    <t>11-310-00-080100-53110</t>
  </si>
  <si>
    <t>EDU (Education) Adjunct Exps. : STRS Teaching</t>
  </si>
  <si>
    <t>11-310-00-080100-53330</t>
  </si>
  <si>
    <t>EDU (Education) Adjunct Exps. : Medicare Teaching</t>
  </si>
  <si>
    <t>11-310-00-080100-53510</t>
  </si>
  <si>
    <t>EDU (Education) Adjunct Exps. : SUI Teaching</t>
  </si>
  <si>
    <t>11-310-00-080100-53610</t>
  </si>
  <si>
    <t>EDU (Education) Adjunct Exps. : WC Teaching</t>
  </si>
  <si>
    <t>11-310-00-100200-51100</t>
  </si>
  <si>
    <t>Art : Academic Teaching Full-time</t>
  </si>
  <si>
    <t>11-310-00-100200-51310</t>
  </si>
  <si>
    <t>Art : Academic Teaching NIC</t>
  </si>
  <si>
    <t>11-310-00-100200-51311</t>
  </si>
  <si>
    <t>11-310-00-100200-52200</t>
  </si>
  <si>
    <t>Art : Classified Permanent Instructional Aides</t>
  </si>
  <si>
    <t>11-310-00-100200-52360</t>
  </si>
  <si>
    <t>Art : Class Nonstu NonIA PT Prof Exp</t>
  </si>
  <si>
    <t>11-310-00-100200-53110</t>
  </si>
  <si>
    <t>11-310-00-100200-53210</t>
  </si>
  <si>
    <t>Art : PERS Teaching</t>
  </si>
  <si>
    <t>11-310-00-100200-53310</t>
  </si>
  <si>
    <t>Art : OASDHI (FICA) Teaching</t>
  </si>
  <si>
    <t>11-310-00-100200-53320</t>
  </si>
  <si>
    <t>Art : OASDHI (FICA) Nonteaching</t>
  </si>
  <si>
    <t>11-310-00-100200-53330</t>
  </si>
  <si>
    <t>11-310-00-100200-53340</t>
  </si>
  <si>
    <t>Art : Medicare Nonteaching</t>
  </si>
  <si>
    <t>11-310-00-100200-53410</t>
  </si>
  <si>
    <t>Art : H &amp; W Teaching</t>
  </si>
  <si>
    <t>11-310-00-100200-53510</t>
  </si>
  <si>
    <t>11-310-00-100200-53520</t>
  </si>
  <si>
    <t>Art : SUI Nonteaching</t>
  </si>
  <si>
    <t>11-310-00-100200-53610</t>
  </si>
  <si>
    <t>11-310-00-100200-53620</t>
  </si>
  <si>
    <t>Art : WC Nonteaching</t>
  </si>
  <si>
    <t>11-310-00-100200-53910</t>
  </si>
  <si>
    <t>Art : Other Benefit-Teaching</t>
  </si>
  <si>
    <t>11-310-00-100200-54300</t>
  </si>
  <si>
    <t>Art : Supplies &amp; Materials</t>
  </si>
  <si>
    <t>11-310-00-100200-55630</t>
  </si>
  <si>
    <t>Art : Printing &amp; Duplicating - Inhouse</t>
  </si>
  <si>
    <t>11-310-00-100200-55651</t>
  </si>
  <si>
    <t>Art : Equipment Repairs</t>
  </si>
  <si>
    <t>11-310-00-100200-56400</t>
  </si>
  <si>
    <t>Art : Cap Equip - $200 to $4,999</t>
  </si>
  <si>
    <t>11-310-00-100400-51100</t>
  </si>
  <si>
    <t>Music : Academic Teaching Full-time</t>
  </si>
  <si>
    <t>11-310-00-100400-51310</t>
  </si>
  <si>
    <t>Music : Academic Teaching NIC</t>
  </si>
  <si>
    <t>11-310-00-100400-51311</t>
  </si>
  <si>
    <t>11-310-00-100400-52400</t>
  </si>
  <si>
    <t>Music : Classified Nonstudent Instructional Aides PT</t>
  </si>
  <si>
    <t>11-310-00-100400-53110</t>
  </si>
  <si>
    <t>11-310-00-100400-53310</t>
  </si>
  <si>
    <t>Music : OASDHI (FICA) Teaching</t>
  </si>
  <si>
    <t>11-310-00-100400-53330</t>
  </si>
  <si>
    <t>11-310-00-100400-53410</t>
  </si>
  <si>
    <t>Music : H &amp; W Teaching</t>
  </si>
  <si>
    <t>11-310-00-100400-53510</t>
  </si>
  <si>
    <t>11-310-00-100400-53610</t>
  </si>
  <si>
    <t>11-310-00-100400-54300</t>
  </si>
  <si>
    <t>Music : Supplies &amp; Materials</t>
  </si>
  <si>
    <t>11-310-00-100400-55630</t>
  </si>
  <si>
    <t>Music : Printing &amp; Duplicating - Inhouse</t>
  </si>
  <si>
    <t>11-310-00-100400-55651</t>
  </si>
  <si>
    <t>Music : Equipment Repairs</t>
  </si>
  <si>
    <t>11-310-00-100700-51100</t>
  </si>
  <si>
    <t>Theater Arts : Academic Teaching Full-time</t>
  </si>
  <si>
    <t>11-310-00-100700-51310</t>
  </si>
  <si>
    <t>Theater Arts : Academic Teaching NIC</t>
  </si>
  <si>
    <t>11-310-00-100700-51311</t>
  </si>
  <si>
    <t>Theater Arts : Academic Teaching PT</t>
  </si>
  <si>
    <t>11-310-00-100700-52350</t>
  </si>
  <si>
    <t>Theater Arts : Classified Student Dist Non-IA PT</t>
  </si>
  <si>
    <t>11-310-00-100700-52360</t>
  </si>
  <si>
    <t>Theater Arts : Class Nonstu NonIA PT Prof Exp</t>
  </si>
  <si>
    <t>11-310-00-100700-53110</t>
  </si>
  <si>
    <t>Theater Arts : STRS Teaching</t>
  </si>
  <si>
    <t>11-310-00-100700-53310</t>
  </si>
  <si>
    <t>Theater Arts : OASDHI (FICA) Teaching</t>
  </si>
  <si>
    <t>11-310-00-100700-53320</t>
  </si>
  <si>
    <t>Theater Arts : OASDHI (FICA) Nonteaching</t>
  </si>
  <si>
    <t>11-310-00-100700-53330</t>
  </si>
  <si>
    <t>Theater Arts : Medicare Teaching</t>
  </si>
  <si>
    <t>11-310-00-100700-53340</t>
  </si>
  <si>
    <t>Theater Arts : Medicare Nonteaching</t>
  </si>
  <si>
    <t>11-310-00-100700-53410</t>
  </si>
  <si>
    <t>Theater Arts : H &amp; W Teaching</t>
  </si>
  <si>
    <t>11-310-00-100700-53510</t>
  </si>
  <si>
    <t>Theater Arts : SUI Teaching</t>
  </si>
  <si>
    <t>11-310-00-100700-53520</t>
  </si>
  <si>
    <t>Theater Arts : SUI Nonteaching</t>
  </si>
  <si>
    <t>11-310-00-100700-53610</t>
  </si>
  <si>
    <t>Theater Arts : WC Teaching</t>
  </si>
  <si>
    <t>11-310-00-100700-53620</t>
  </si>
  <si>
    <t>Theater Arts : WC Nonteaching</t>
  </si>
  <si>
    <t>11-310-00-100700-55105</t>
  </si>
  <si>
    <t>Theater Arts : Contract Services</t>
  </si>
  <si>
    <t>11-310-00-100700-55200</t>
  </si>
  <si>
    <t>Theater Arts : Travel &amp; Conference</t>
  </si>
  <si>
    <t>11-310-00-100700-55300</t>
  </si>
  <si>
    <t>Theater Arts : Memberships</t>
  </si>
  <si>
    <t>11-310-00-100700-55630</t>
  </si>
  <si>
    <t>Theater Arts : Printing &amp; Duplicating - Inhouse</t>
  </si>
  <si>
    <t>11-310-00-100700-57552</t>
  </si>
  <si>
    <t>Theater Arts : Student Travel/Meals</t>
  </si>
  <si>
    <t>11-310-00-101100-51310</t>
  </si>
  <si>
    <t>Photography : Academic Teaching NIC</t>
  </si>
  <si>
    <t>11-310-00-101100-51311</t>
  </si>
  <si>
    <t>11-310-00-101100-52200</t>
  </si>
  <si>
    <t>Photography : Classified Permanent Instructional Aides</t>
  </si>
  <si>
    <t>11-310-00-101100-53110</t>
  </si>
  <si>
    <t>11-310-00-101100-53210</t>
  </si>
  <si>
    <t>Photography : PERS Teaching</t>
  </si>
  <si>
    <t>11-310-00-101100-53310</t>
  </si>
  <si>
    <t>Photography : OASDHI (FICA) Teaching</t>
  </si>
  <si>
    <t>11-310-00-101100-53330</t>
  </si>
  <si>
    <t>11-310-00-101100-53410</t>
  </si>
  <si>
    <t>Photography : H &amp; W Teaching</t>
  </si>
  <si>
    <t>11-310-00-101100-53510</t>
  </si>
  <si>
    <t>11-310-00-101100-53610</t>
  </si>
  <si>
    <t>11-310-00-101100-54300</t>
  </si>
  <si>
    <t>Photography : Supplies &amp; Materials</t>
  </si>
  <si>
    <t>11-310-00-101100-55630</t>
  </si>
  <si>
    <t>Photography : Printing &amp; Duplicating - Inhouse</t>
  </si>
  <si>
    <t>11-310-00-130500-51310</t>
  </si>
  <si>
    <t>Early Childhood Education : Academic Teaching NIC</t>
  </si>
  <si>
    <t>11-310-00-130500-52200</t>
  </si>
  <si>
    <t>Early Childhood Education : Classified Permanent Instructional Aides</t>
  </si>
  <si>
    <t>11-310-00-130500-53110</t>
  </si>
  <si>
    <t>11-310-00-130500-53210</t>
  </si>
  <si>
    <t>Early Childhood Education : PERS Teaching</t>
  </si>
  <si>
    <t>11-310-00-130500-53310</t>
  </si>
  <si>
    <t>11-310-00-130500-53330</t>
  </si>
  <si>
    <t>11-310-00-130500-53510</t>
  </si>
  <si>
    <t>11-310-00-130500-53610</t>
  </si>
  <si>
    <t>11-310-00-130500-55630</t>
  </si>
  <si>
    <t>Early Childhood Education : Printing &amp; Duplicating - Inhouse</t>
  </si>
  <si>
    <t>11-310-00-140100-55300</t>
  </si>
  <si>
    <t>General Law : Memberships</t>
  </si>
  <si>
    <t>11-310-00-150900-51100</t>
  </si>
  <si>
    <t>Philosophy : Academic Teaching Full-time</t>
  </si>
  <si>
    <t>11-310-00-150900-51310</t>
  </si>
  <si>
    <t>Philosophy : Academic Teaching NIC</t>
  </si>
  <si>
    <t>11-310-00-150900-51311</t>
  </si>
  <si>
    <t>Philosophy : Academic Teaching PT</t>
  </si>
  <si>
    <t>11-310-00-150900-51412</t>
  </si>
  <si>
    <t>Philosophy : Acad Nonteach Special Projects</t>
  </si>
  <si>
    <t>11-310-00-150900-53110</t>
  </si>
  <si>
    <t>Philosophy : STRS Teaching</t>
  </si>
  <si>
    <t>11-310-00-150900-53120</t>
  </si>
  <si>
    <t>Philosophy : STRS Nonteaching</t>
  </si>
  <si>
    <t>11-310-00-150900-53330</t>
  </si>
  <si>
    <t>Philosophy : Medicare Teaching</t>
  </si>
  <si>
    <t>11-310-00-150900-53340</t>
  </si>
  <si>
    <t>Philosophy : Medicare Nonteaching</t>
  </si>
  <si>
    <t>11-310-00-150900-53410</t>
  </si>
  <si>
    <t>Philosophy : H &amp; W Teaching</t>
  </si>
  <si>
    <t>11-310-00-150900-53510</t>
  </si>
  <si>
    <t>Philosophy : SUI Teaching</t>
  </si>
  <si>
    <t>11-310-00-150900-53520</t>
  </si>
  <si>
    <t>Philosophy : SUI Nonteaching</t>
  </si>
  <si>
    <t>11-310-00-150900-53610</t>
  </si>
  <si>
    <t>Philosophy : WC Teaching</t>
  </si>
  <si>
    <t>11-310-00-150900-53620</t>
  </si>
  <si>
    <t>Philosophy : WC Nonteaching</t>
  </si>
  <si>
    <t>11-310-00-150900-55630</t>
  </si>
  <si>
    <t>Philosophy : Printing &amp; Duplicating - Inhouse</t>
  </si>
  <si>
    <t>11-310-00-200100-51100</t>
  </si>
  <si>
    <t>Psychology : Academic Teaching Full-time</t>
  </si>
  <si>
    <t>11-310-00-200100-51310</t>
  </si>
  <si>
    <t>Psychology : Academic Teaching NIC</t>
  </si>
  <si>
    <t>11-310-00-200100-51311</t>
  </si>
  <si>
    <t>11-310-00-200100-51412</t>
  </si>
  <si>
    <t>Psychology : Acad Nonteach Special Projects</t>
  </si>
  <si>
    <t>11-310-00-200100-53110</t>
  </si>
  <si>
    <t>11-310-00-200100-53120</t>
  </si>
  <si>
    <t>Psychology : STRS Nonteaching</t>
  </si>
  <si>
    <t>11-310-00-200100-53310</t>
  </si>
  <si>
    <t>11-310-00-200100-53330</t>
  </si>
  <si>
    <t>11-310-00-200100-53340</t>
  </si>
  <si>
    <t>Psychology : Medicare Nonteaching</t>
  </si>
  <si>
    <t>11-310-00-200100-53410</t>
  </si>
  <si>
    <t>Psychology : H &amp; W Teaching</t>
  </si>
  <si>
    <t>11-310-00-200100-53510</t>
  </si>
  <si>
    <t>11-310-00-200100-53520</t>
  </si>
  <si>
    <t>Psychology : SUI Nonteaching</t>
  </si>
  <si>
    <t>11-310-00-200100-53610</t>
  </si>
  <si>
    <t>11-310-00-200100-53620</t>
  </si>
  <si>
    <t>Psychology : WC Nonteaching</t>
  </si>
  <si>
    <t>11-310-00-200100-53910</t>
  </si>
  <si>
    <t>Psychology : Other Benefit-Teaching</t>
  </si>
  <si>
    <t>11-310-00-200100-55630</t>
  </si>
  <si>
    <t>Psychology : Printing &amp; Duplicating - Inhouse</t>
  </si>
  <si>
    <t>11-310-00-210440-51100</t>
  </si>
  <si>
    <t>Alcohol &amp; Drug Counseling : Academic Teaching Full-time</t>
  </si>
  <si>
    <t>11-310-00-210440-53110</t>
  </si>
  <si>
    <t>Alcohol &amp; Drug Counseling : STRS Teaching</t>
  </si>
  <si>
    <t>11-310-00-210440-53330</t>
  </si>
  <si>
    <t>Alcohol &amp; Drug Counseling : Medicare Teaching</t>
  </si>
  <si>
    <t>11-310-00-210440-53410</t>
  </si>
  <si>
    <t>Alcohol &amp; Drug Counseling : H &amp; W Teaching</t>
  </si>
  <si>
    <t>11-310-00-210440-53510</t>
  </si>
  <si>
    <t>Alcohol &amp; Drug Counseling : SUI Teaching</t>
  </si>
  <si>
    <t>11-310-00-210440-53610</t>
  </si>
  <si>
    <t>Alcohol &amp; Drug Counseling : WC Teaching</t>
  </si>
  <si>
    <t>11-310-00-210440-55630</t>
  </si>
  <si>
    <t>Alcohol &amp; Drug Counseling : Printing &amp; Duplicating - Inhouse</t>
  </si>
  <si>
    <t>11-310-00-210500-51310</t>
  </si>
  <si>
    <t>Administration of Justice : Academic Teaching NIC</t>
  </si>
  <si>
    <t>11-310-00-210500-51311</t>
  </si>
  <si>
    <t>11-310-00-210500-53110</t>
  </si>
  <si>
    <t>11-310-00-210500-53330</t>
  </si>
  <si>
    <t>11-310-00-210500-53510</t>
  </si>
  <si>
    <t>11-310-00-210500-53610</t>
  </si>
  <si>
    <t>11-310-00-220200-51100</t>
  </si>
  <si>
    <t>Anthropology : Academic Teaching Full-time</t>
  </si>
  <si>
    <t>11-310-00-220200-51310</t>
  </si>
  <si>
    <t>Anthropology : Academic Teaching NIC</t>
  </si>
  <si>
    <t>11-310-00-220200-51311</t>
  </si>
  <si>
    <t>11-310-00-220200-53110</t>
  </si>
  <si>
    <t>11-310-00-220200-53310</t>
  </si>
  <si>
    <t>Anthropology : OASDHI (FICA) Teaching</t>
  </si>
  <si>
    <t>11-310-00-220200-53330</t>
  </si>
  <si>
    <t>11-310-00-220200-53410</t>
  </si>
  <si>
    <t>Anthropology : H &amp; W Teaching</t>
  </si>
  <si>
    <t>11-310-00-220200-53510</t>
  </si>
  <si>
    <t>11-310-00-220200-53610</t>
  </si>
  <si>
    <t>11-310-00-220200-55630</t>
  </si>
  <si>
    <t>11-310-00-220210-51100</t>
  </si>
  <si>
    <t>Ethnic Studies : Academic Teaching Full-time</t>
  </si>
  <si>
    <t>11-310-00-220210-51310</t>
  </si>
  <si>
    <t>Ethnic Studies : Academic Teaching NIC</t>
  </si>
  <si>
    <t>11-310-00-220210-51311</t>
  </si>
  <si>
    <t>11-310-00-220210-53110</t>
  </si>
  <si>
    <t>11-310-00-220210-53330</t>
  </si>
  <si>
    <t>11-310-00-220210-53410</t>
  </si>
  <si>
    <t>Ethnic Studies : H &amp; W Teaching</t>
  </si>
  <si>
    <t>11-310-00-220210-53510</t>
  </si>
  <si>
    <t>11-310-00-220210-53610</t>
  </si>
  <si>
    <t>11-310-00-220210-55200</t>
  </si>
  <si>
    <t>Ethnic Studies : Travel &amp; Conference</t>
  </si>
  <si>
    <t>11-310-00-220210-55630</t>
  </si>
  <si>
    <t>Ethnic Studies : Printing &amp; Duplicating - Inhouse</t>
  </si>
  <si>
    <t>11-310-00-220400-51100</t>
  </si>
  <si>
    <t>Economics : Academic Teaching Full-time</t>
  </si>
  <si>
    <t>11-310-00-220400-51310</t>
  </si>
  <si>
    <t>Economics : Academic Teaching NIC</t>
  </si>
  <si>
    <t>11-310-00-220400-51311</t>
  </si>
  <si>
    <t>Economics : Academic Teaching PT</t>
  </si>
  <si>
    <t>11-310-00-220400-53110</t>
  </si>
  <si>
    <t>Economics : STRS Teaching</t>
  </si>
  <si>
    <t>11-310-00-220400-53330</t>
  </si>
  <si>
    <t>Economics : Medicare Teaching</t>
  </si>
  <si>
    <t>11-310-00-220400-53410</t>
  </si>
  <si>
    <t>Economics : H &amp; W Teaching</t>
  </si>
  <si>
    <t>11-310-00-220400-53510</t>
  </si>
  <si>
    <t>Economics : SUI Teaching</t>
  </si>
  <si>
    <t>11-310-00-220400-53610</t>
  </si>
  <si>
    <t>Economics : WC Teaching</t>
  </si>
  <si>
    <t>11-310-00-220400-55630</t>
  </si>
  <si>
    <t>Economics : Printing &amp; Duplicating - Inhouse</t>
  </si>
  <si>
    <t>11-310-00-220500-51100</t>
  </si>
  <si>
    <t>History : Academic Teaching Full-time</t>
  </si>
  <si>
    <t>11-310-00-220500-51310</t>
  </si>
  <si>
    <t>History : Academic Teaching NIC</t>
  </si>
  <si>
    <t>11-310-00-220500-51311</t>
  </si>
  <si>
    <t>11-310-00-220500-53110</t>
  </si>
  <si>
    <t>11-310-00-220500-53310</t>
  </si>
  <si>
    <t>History : OASDHI (FICA) Teaching</t>
  </si>
  <si>
    <t>11-310-00-220500-53330</t>
  </si>
  <si>
    <t>11-310-00-220500-53410</t>
  </si>
  <si>
    <t>History : H &amp; W Teaching</t>
  </si>
  <si>
    <t>11-310-00-220500-53510</t>
  </si>
  <si>
    <t>11-310-00-220500-53610</t>
  </si>
  <si>
    <t>11-310-00-220500-55630</t>
  </si>
  <si>
    <t>11-310-00-220700-51100</t>
  </si>
  <si>
    <t>Political Science : Academic Teaching Full-time</t>
  </si>
  <si>
    <t>11-310-00-220700-51310</t>
  </si>
  <si>
    <t>Political Science : Academic Teaching NIC</t>
  </si>
  <si>
    <t>11-310-00-220700-51311</t>
  </si>
  <si>
    <t>11-310-00-220700-53110</t>
  </si>
  <si>
    <t>11-310-00-220700-53330</t>
  </si>
  <si>
    <t>11-310-00-220700-53410</t>
  </si>
  <si>
    <t>Political Science : H &amp; W Teaching</t>
  </si>
  <si>
    <t>11-310-00-220700-53510</t>
  </si>
  <si>
    <t>11-310-00-220700-53610</t>
  </si>
  <si>
    <t>11-310-00-220700-55630</t>
  </si>
  <si>
    <t>11-310-00-220800-51100</t>
  </si>
  <si>
    <t>Sociology : Academic Teaching Full-time</t>
  </si>
  <si>
    <t>11-310-00-220800-51310</t>
  </si>
  <si>
    <t>Sociology : Academic Teaching NIC</t>
  </si>
  <si>
    <t>11-310-00-220800-51311</t>
  </si>
  <si>
    <t>11-310-00-220800-53110</t>
  </si>
  <si>
    <t>11-310-00-220800-53310</t>
  </si>
  <si>
    <t>Sociology : OASDHI (FICA) Teaching</t>
  </si>
  <si>
    <t>11-310-00-220800-53330</t>
  </si>
  <si>
    <t>11-310-00-220800-53410</t>
  </si>
  <si>
    <t>Sociology : H &amp; W Teaching</t>
  </si>
  <si>
    <t>11-310-00-220800-53510</t>
  </si>
  <si>
    <t>11-310-00-220800-53610</t>
  </si>
  <si>
    <t>11-310-00-220800-55630</t>
  </si>
  <si>
    <t>11-320-00-083500-51100</t>
  </si>
  <si>
    <t>Physical Education : Academic Teaching Full-time</t>
  </si>
  <si>
    <t>11-320-00-083500-51310</t>
  </si>
  <si>
    <t>Physical Education : Academic Teaching NIC</t>
  </si>
  <si>
    <t>11-320-00-083500-51311</t>
  </si>
  <si>
    <t>Physical Education : Academic Teaching PT</t>
  </si>
  <si>
    <t>11-320-00-083500-51412</t>
  </si>
  <si>
    <t>Physical Education : Acad Nonteach Special Projects</t>
  </si>
  <si>
    <t>11-320-00-083500-52360</t>
  </si>
  <si>
    <t>Physical Education : Class Nonstu NonIA PT Prof Exp</t>
  </si>
  <si>
    <t>11-320-00-083500-52400</t>
  </si>
  <si>
    <t>Physical Education : Classified Nonstudent Instructional Aides PT</t>
  </si>
  <si>
    <t>11-320-00-083500-53110</t>
  </si>
  <si>
    <t>Physical Education : STRS Teaching</t>
  </si>
  <si>
    <t>11-320-00-083500-53120</t>
  </si>
  <si>
    <t>Physical Education : STRS Nonteaching</t>
  </si>
  <si>
    <t>11-320-00-083500-53310</t>
  </si>
  <si>
    <t>Physical Education : OASDHI (FICA) Teaching</t>
  </si>
  <si>
    <t>11-320-00-083500-53320</t>
  </si>
  <si>
    <t>Physical Education : OASDHI (FICA) Nonteaching</t>
  </si>
  <si>
    <t>11-320-00-083500-53330</t>
  </si>
  <si>
    <t>Physical Education : Medicare Teaching</t>
  </si>
  <si>
    <t>11-320-00-083500-53340</t>
  </si>
  <si>
    <t>Physical Education : Medicare Nonteaching</t>
  </si>
  <si>
    <t>11-320-00-083500-53410</t>
  </si>
  <si>
    <t>Physical Education : H &amp; W Teaching</t>
  </si>
  <si>
    <t>11-320-00-083500-53510</t>
  </si>
  <si>
    <t>Physical Education : SUI Teaching</t>
  </si>
  <si>
    <t>11-320-00-083500-53520</t>
  </si>
  <si>
    <t>Physical Education : SUI Nonteaching</t>
  </si>
  <si>
    <t>11-320-00-083500-53610</t>
  </si>
  <si>
    <t>Physical Education : WC Teaching</t>
  </si>
  <si>
    <t>11-320-00-083500-53620</t>
  </si>
  <si>
    <t>Physical Education : WC Nonteaching</t>
  </si>
  <si>
    <t>11-320-00-083500-54300</t>
  </si>
  <si>
    <t>Physical Education : Supplies &amp; Materials</t>
  </si>
  <si>
    <t>11-320-00-083500-55309</t>
  </si>
  <si>
    <t>Physical Education : Subscriptions</t>
  </si>
  <si>
    <t>11-320-00-083500-55630</t>
  </si>
  <si>
    <t>Physical Education : Printing &amp; Duplicating - Inhouse</t>
  </si>
  <si>
    <t>11-320-00-083500-55651</t>
  </si>
  <si>
    <t>Physical Education : Equipment Repairs</t>
  </si>
  <si>
    <t>11-320-00-083510-51100</t>
  </si>
  <si>
    <t>Adaptive Physical Education : Academic Teaching Full-time</t>
  </si>
  <si>
    <t>11-320-00-083510-51310</t>
  </si>
  <si>
    <t>Adaptive Physical Education : Academic Teaching NIC</t>
  </si>
  <si>
    <t>11-320-00-083510-51311</t>
  </si>
  <si>
    <t>Adaptive Physical Education : Academic Teaching PT</t>
  </si>
  <si>
    <t>11-320-00-083510-51412</t>
  </si>
  <si>
    <t>Adaptive Physical Education : Acad Nonteach Special Projects</t>
  </si>
  <si>
    <t>11-320-00-083510-53110</t>
  </si>
  <si>
    <t>Adaptive Physical Education : STRS Teaching</t>
  </si>
  <si>
    <t>11-320-00-083510-53120</t>
  </si>
  <si>
    <t>Adaptive Physical Education : STRS Nonteaching</t>
  </si>
  <si>
    <t>11-320-00-083510-53330</t>
  </si>
  <si>
    <t>Adaptive Physical Education : Medicare Teaching</t>
  </si>
  <si>
    <t>11-320-00-083510-53340</t>
  </si>
  <si>
    <t>Adaptive Physical Education : Medicare Nonteaching</t>
  </si>
  <si>
    <t>11-320-00-083510-53410</t>
  </si>
  <si>
    <t>Adaptive Physical Education : H &amp; W Teaching</t>
  </si>
  <si>
    <t>11-320-00-083510-53510</t>
  </si>
  <si>
    <t>Adaptive Physical Education : SUI Teaching</t>
  </si>
  <si>
    <t>11-320-00-083510-53520</t>
  </si>
  <si>
    <t>Adaptive Physical Education : SUI Nonteaching</t>
  </si>
  <si>
    <t>11-320-00-083510-53610</t>
  </si>
  <si>
    <t>Adaptive Physical Education : WC Teaching</t>
  </si>
  <si>
    <t>11-320-00-083510-53620</t>
  </si>
  <si>
    <t>Adaptive Physical Education : WC Nonteaching</t>
  </si>
  <si>
    <t>11-320-00-083510-55630</t>
  </si>
  <si>
    <t>Adaptive Physical Education : Printing &amp; Duplicating - Inhouse</t>
  </si>
  <si>
    <t>11-320-00-083550-51100</t>
  </si>
  <si>
    <t>Athletics - Instruction : Academic Teaching Full-time</t>
  </si>
  <si>
    <t>11-320-00-083550-51310</t>
  </si>
  <si>
    <t>Athletics - Instruction : Academic Teaching NIC</t>
  </si>
  <si>
    <t>11-320-00-083550-51311</t>
  </si>
  <si>
    <t>Athletics - Instruction : Academic Teaching PT</t>
  </si>
  <si>
    <t>11-320-00-083550-52400</t>
  </si>
  <si>
    <t>Athletics - Instruction : Classified Nonstudent Instructional Aides PT</t>
  </si>
  <si>
    <t>11-320-00-083550-53110</t>
  </si>
  <si>
    <t>Athletics - Instruction : STRS Teaching</t>
  </si>
  <si>
    <t>11-320-00-083550-53310</t>
  </si>
  <si>
    <t>Athletics - Instruction : OASDHI (FICA) Teaching</t>
  </si>
  <si>
    <t>11-320-00-083550-53330</t>
  </si>
  <si>
    <t>Athletics - Instruction : Medicare Teaching</t>
  </si>
  <si>
    <t>11-320-00-083550-53410</t>
  </si>
  <si>
    <t>Athletics - Instruction : H &amp; W Teaching</t>
  </si>
  <si>
    <t>11-320-00-083550-53510</t>
  </si>
  <si>
    <t>Athletics - Instruction : SUI Teaching</t>
  </si>
  <si>
    <t>11-320-00-083550-53610</t>
  </si>
  <si>
    <t>Athletics - Instruction : WC Teaching</t>
  </si>
  <si>
    <t>11-320-00-083550-55630</t>
  </si>
  <si>
    <t>Athletics - Instruction : Printing &amp; Duplicating - Inhouse</t>
  </si>
  <si>
    <t>11-320-00-083700-51310</t>
  </si>
  <si>
    <t>Health Education : Academic Teaching NIC</t>
  </si>
  <si>
    <t>11-320-00-083700-51311</t>
  </si>
  <si>
    <t>Health Education : Academic Teaching PT</t>
  </si>
  <si>
    <t>11-320-00-083700-53110</t>
  </si>
  <si>
    <t>Health Education : STRS Teaching</t>
  </si>
  <si>
    <t>11-320-00-083700-53330</t>
  </si>
  <si>
    <t>Health Education : Medicare Teaching</t>
  </si>
  <si>
    <t>11-320-00-083700-53510</t>
  </si>
  <si>
    <t>Health Education : SUI Teaching</t>
  </si>
  <si>
    <t>11-320-00-083700-53610</t>
  </si>
  <si>
    <t>Health Education : WC Teaching</t>
  </si>
  <si>
    <t>11-320-00-083700-55630</t>
  </si>
  <si>
    <t>Health Education : Printing &amp; Duplicating - Inhouse</t>
  </si>
  <si>
    <t>11-320-00-130600-51311</t>
  </si>
  <si>
    <t>Food Service Management : Academic Teaching PT</t>
  </si>
  <si>
    <t>11-320-00-130600-53110</t>
  </si>
  <si>
    <t>Food Service Management : STRS Teaching</t>
  </si>
  <si>
    <t>11-320-00-130600-53330</t>
  </si>
  <si>
    <t>Food Service Management : Medicare Teaching</t>
  </si>
  <si>
    <t>11-320-00-130600-53510</t>
  </si>
  <si>
    <t>Food Service Management : SUI Teaching</t>
  </si>
  <si>
    <t>11-320-00-130600-53610</t>
  </si>
  <si>
    <t>Food Service Management : WC Teaching</t>
  </si>
  <si>
    <t>11-320-00-130600-55630</t>
  </si>
  <si>
    <t>Food Service Management : Printing &amp; Duplicating - Inhouse</t>
  </si>
  <si>
    <t>11-320-00-601000-51210</t>
  </si>
  <si>
    <t>11-320-00-601000-52105</t>
  </si>
  <si>
    <t>11-320-00-601000-52300</t>
  </si>
  <si>
    <t>11-320-00-601000-53120</t>
  </si>
  <si>
    <t>11-320-00-601000-53220</t>
  </si>
  <si>
    <t>11-320-00-601000-53320</t>
  </si>
  <si>
    <t>11-320-00-601000-53340</t>
  </si>
  <si>
    <t>11-320-00-601000-53420</t>
  </si>
  <si>
    <t>11-320-00-601000-53520</t>
  </si>
  <si>
    <t>11-320-00-601000-53620</t>
  </si>
  <si>
    <t>11-320-00-601000-53920</t>
  </si>
  <si>
    <t>11-320-00-601000-55630</t>
  </si>
  <si>
    <t>11-320-00-696500-51210</t>
  </si>
  <si>
    <t>Athletic Activities : Academic Nonteaching Management</t>
  </si>
  <si>
    <t>11-320-00-696500-51412</t>
  </si>
  <si>
    <t>Athletic Activities : Acad Nonteach Special Projects</t>
  </si>
  <si>
    <t>11-320-00-696500-52105</t>
  </si>
  <si>
    <t>Athletic Activities : Classified CSEA</t>
  </si>
  <si>
    <t>11-320-00-696500-52300</t>
  </si>
  <si>
    <t>Athletic Activities : Classified Overtime</t>
  </si>
  <si>
    <t>11-320-00-696500-52360</t>
  </si>
  <si>
    <t>Athletic Activities : Class Nonstu NonIA PT Prof Exp</t>
  </si>
  <si>
    <t>11-320-00-696500-53120</t>
  </si>
  <si>
    <t>Athletic Activities : STRS Nonteaching</t>
  </si>
  <si>
    <t>11-320-00-696500-53220</t>
  </si>
  <si>
    <t>Athletic Activities : PERS Nonteaching</t>
  </si>
  <si>
    <t>11-320-00-696500-53320</t>
  </si>
  <si>
    <t>Athletic Activities : OASDHI (FICA) Nonteaching</t>
  </si>
  <si>
    <t>11-320-00-696500-53340</t>
  </si>
  <si>
    <t>Athletic Activities : Medicare Nonteaching</t>
  </si>
  <si>
    <t>11-320-00-696500-53420</t>
  </si>
  <si>
    <t>Athletic Activities : H &amp; W Nonteaching</t>
  </si>
  <si>
    <t>11-320-00-696500-53520</t>
  </si>
  <si>
    <t>Athletic Activities : SUI Nonteaching</t>
  </si>
  <si>
    <t>11-320-00-696500-53620</t>
  </si>
  <si>
    <t>Athletic Activities : WC Nonteaching</t>
  </si>
  <si>
    <t>11-320-00-696500-53920</t>
  </si>
  <si>
    <t>Athletic Activities : Other Benefit-Non Teaching</t>
  </si>
  <si>
    <t>11-320-00-696500-54300</t>
  </si>
  <si>
    <t>Athletic Activities : Supplies &amp; Materials</t>
  </si>
  <si>
    <t>11-320-00-696500-55100</t>
  </si>
  <si>
    <t>Athletic Activities : Personal Service Contract - 1099</t>
  </si>
  <si>
    <t>11-320-00-696500-55105</t>
  </si>
  <si>
    <t>Athletic Activities : Contract Services</t>
  </si>
  <si>
    <t>11-320-00-696500-55110</t>
  </si>
  <si>
    <t>Athletic Activities : Athletic Officials</t>
  </si>
  <si>
    <t>11-320-00-696500-55200</t>
  </si>
  <si>
    <t>Athletic Activities : Travel &amp; Conference</t>
  </si>
  <si>
    <t>11-320-00-696500-55240</t>
  </si>
  <si>
    <t>Athletic Activities : Field Trips</t>
  </si>
  <si>
    <t>11-320-00-696500-55264</t>
  </si>
  <si>
    <t>Athletic Activities : Entry Fees</t>
  </si>
  <si>
    <t>11-320-00-696500-55300</t>
  </si>
  <si>
    <t>Athletic Activities : Memberships</t>
  </si>
  <si>
    <t>11-320-00-696500-55309</t>
  </si>
  <si>
    <t>Athletic Activities : Subscriptions</t>
  </si>
  <si>
    <t>11-320-00-696500-55400</t>
  </si>
  <si>
    <t>Athletic Activities : Insurance</t>
  </si>
  <si>
    <t>11-320-00-696500-55600</t>
  </si>
  <si>
    <t>Athletic Activities : Rents &amp; Leases</t>
  </si>
  <si>
    <t>11-320-00-696500-55630</t>
  </si>
  <si>
    <t>Athletic Activities : Printing &amp; Duplicating - Inhouse</t>
  </si>
  <si>
    <t>11-320-00-696500-55651</t>
  </si>
  <si>
    <t>Athletic Activities : Equipment Repairs</t>
  </si>
  <si>
    <t>11-320-00-696500-56400</t>
  </si>
  <si>
    <t>Athletic Activities : Cap Equip - $200 to $4,999</t>
  </si>
  <si>
    <t>11-320-00-696500-57552</t>
  </si>
  <si>
    <t>Athletic Activities : Student Travel/Meals</t>
  </si>
  <si>
    <t>11-330-00-040110-51100</t>
  </si>
  <si>
    <t>Biology : Academic Teaching Full-time</t>
  </si>
  <si>
    <t>11-330-00-040110-51310</t>
  </si>
  <si>
    <t>Biology : Academic Teaching NIC</t>
  </si>
  <si>
    <t>11-330-00-040110-51311</t>
  </si>
  <si>
    <t>11-330-00-040110-52200</t>
  </si>
  <si>
    <t>Biology : Classified Permanent Instructional Aides</t>
  </si>
  <si>
    <t>11-330-00-040110-52300</t>
  </si>
  <si>
    <t>Biology : Classified Overtime</t>
  </si>
  <si>
    <t>11-330-00-040110-53110</t>
  </si>
  <si>
    <t>11-330-00-040110-53210</t>
  </si>
  <si>
    <t>Biology : PERS Teaching</t>
  </si>
  <si>
    <t>11-330-00-040110-53310</t>
  </si>
  <si>
    <t>11-330-00-040110-53320</t>
  </si>
  <si>
    <t>Biology : OASDHI (FICA) Nonteaching</t>
  </si>
  <si>
    <t>11-330-00-040110-53330</t>
  </si>
  <si>
    <t>11-330-00-040110-53340</t>
  </si>
  <si>
    <t>Biology : Medicare Nonteaching</t>
  </si>
  <si>
    <t>11-330-00-040110-53410</t>
  </si>
  <si>
    <t>Biology : H &amp; W Teaching</t>
  </si>
  <si>
    <t>11-330-00-040110-53510</t>
  </si>
  <si>
    <t>11-330-00-040110-53610</t>
  </si>
  <si>
    <t>11-330-00-040110-53620</t>
  </si>
  <si>
    <t>Biology : WC Nonteaching</t>
  </si>
  <si>
    <t>11-330-00-040110-53910</t>
  </si>
  <si>
    <t>Biology : Other Benefit-Teaching</t>
  </si>
  <si>
    <t>11-330-00-040110-54300</t>
  </si>
  <si>
    <t>Biology : Supplies &amp; Materials</t>
  </si>
  <si>
    <t>11-330-00-040110-55630</t>
  </si>
  <si>
    <t>Biology : Printing &amp; Duplicating - Inhouse</t>
  </si>
  <si>
    <t>11-330-00-040110-55650</t>
  </si>
  <si>
    <t>Biology : Maintenance Agreement</t>
  </si>
  <si>
    <t>11-330-00-070710-54300</t>
  </si>
  <si>
    <t>Computer Programming : Supplies &amp; Materials</t>
  </si>
  <si>
    <t>11-330-00-070710-55630</t>
  </si>
  <si>
    <t>Computer Programming : Printing &amp; Duplicating - Inhouse</t>
  </si>
  <si>
    <t>11-330-00-090100-51100</t>
  </si>
  <si>
    <t>Engineering : Academic Teaching Full-time</t>
  </si>
  <si>
    <t>11-330-00-090100-51310</t>
  </si>
  <si>
    <t>Engineering : Academic Teaching NIC</t>
  </si>
  <si>
    <t>11-330-00-090100-51311</t>
  </si>
  <si>
    <t>Engineering : Academic Teaching PT</t>
  </si>
  <si>
    <t>11-330-00-090100-51412</t>
  </si>
  <si>
    <t>Engineering : Acad Nonteach Special Projects</t>
  </si>
  <si>
    <t>11-330-00-090100-52200</t>
  </si>
  <si>
    <t>Engineering : Classified Permanent Instructional Aides</t>
  </si>
  <si>
    <t>11-330-00-090100-52300</t>
  </si>
  <si>
    <t>Engineering : Classified Overtime</t>
  </si>
  <si>
    <t>11-330-00-090100-53110</t>
  </si>
  <si>
    <t>Engineering : STRS Teaching</t>
  </si>
  <si>
    <t>11-330-00-090100-53120</t>
  </si>
  <si>
    <t>Engineering : STRS Nonteaching</t>
  </si>
  <si>
    <t>11-330-00-090100-53210</t>
  </si>
  <si>
    <t>Engineering : PERS Teaching</t>
  </si>
  <si>
    <t>11-330-00-090100-53310</t>
  </si>
  <si>
    <t>Engineering : OASDHI (FICA) Teaching</t>
  </si>
  <si>
    <t>11-330-00-090100-53320</t>
  </si>
  <si>
    <t>Engineering : OASDHI (FICA) Nonteaching</t>
  </si>
  <si>
    <t>11-330-00-090100-53330</t>
  </si>
  <si>
    <t>Engineering : Medicare Teaching</t>
  </si>
  <si>
    <t>11-330-00-090100-53340</t>
  </si>
  <si>
    <t>Engineering : Medicare Nonteaching</t>
  </si>
  <si>
    <t>11-330-00-090100-53410</t>
  </si>
  <si>
    <t>Engineering : H &amp; W Teaching</t>
  </si>
  <si>
    <t>11-330-00-090100-53510</t>
  </si>
  <si>
    <t>Engineering : SUI Teaching</t>
  </si>
  <si>
    <t>11-330-00-090100-53520</t>
  </si>
  <si>
    <t>Engineering : SUI Nonteaching</t>
  </si>
  <si>
    <t>11-330-00-090100-53610</t>
  </si>
  <si>
    <t>Engineering : WC Teaching</t>
  </si>
  <si>
    <t>11-330-00-090100-53620</t>
  </si>
  <si>
    <t>Engineering : WC Nonteaching</t>
  </si>
  <si>
    <t>11-330-00-090100-53910</t>
  </si>
  <si>
    <t>Engineering : Other Benefit-Teaching</t>
  </si>
  <si>
    <t>11-330-00-090100-54300</t>
  </si>
  <si>
    <t>Engineering : Supplies &amp; Materials</t>
  </si>
  <si>
    <t>11-330-00-090100-55630</t>
  </si>
  <si>
    <t>Engineering : Printing &amp; Duplicating - Inhouse</t>
  </si>
  <si>
    <t>11-330-00-170100-51100</t>
  </si>
  <si>
    <t>Mathematics : Academic Teaching Full-time</t>
  </si>
  <si>
    <t>11-330-00-170100-51310</t>
  </si>
  <si>
    <t>Mathematics : Academic Teaching NIC</t>
  </si>
  <si>
    <t>11-330-00-170100-51311</t>
  </si>
  <si>
    <t>11-330-00-170100-51412</t>
  </si>
  <si>
    <t>Mathematics : Acad Nonteach Special Projects</t>
  </si>
  <si>
    <t>11-330-00-170100-53110</t>
  </si>
  <si>
    <t>11-330-00-170100-53120</t>
  </si>
  <si>
    <t>Mathematics : STRS Nonteaching</t>
  </si>
  <si>
    <t>11-330-00-170100-53310</t>
  </si>
  <si>
    <t>Mathematics : OASDHI (FICA) Teaching</t>
  </si>
  <si>
    <t>11-330-00-170100-53330</t>
  </si>
  <si>
    <t>11-330-00-170100-53340</t>
  </si>
  <si>
    <t>Mathematics : Medicare Nonteaching</t>
  </si>
  <si>
    <t>11-330-00-170100-53410</t>
  </si>
  <si>
    <t>Mathematics : H &amp; W Teaching</t>
  </si>
  <si>
    <t>11-330-00-170100-53510</t>
  </si>
  <si>
    <t>11-330-00-170100-53520</t>
  </si>
  <si>
    <t>Mathematics : SUI Nonteaching</t>
  </si>
  <si>
    <t>11-330-00-170100-53610</t>
  </si>
  <si>
    <t>11-330-00-170100-53620</t>
  </si>
  <si>
    <t>Mathematics : WC Nonteaching</t>
  </si>
  <si>
    <t>11-330-00-170100-53910</t>
  </si>
  <si>
    <t>Mathematics : Other Benefit-Teaching</t>
  </si>
  <si>
    <t>11-330-00-170100-54300</t>
  </si>
  <si>
    <t>Mathematics : Supplies &amp; Materials</t>
  </si>
  <si>
    <t>11-330-00-170100-55630</t>
  </si>
  <si>
    <t>11-330-00-170100-55650</t>
  </si>
  <si>
    <t>Mathematics : Maintenance Agreement</t>
  </si>
  <si>
    <t>11-330-00-190200-51100</t>
  </si>
  <si>
    <t>Physics : Academic Teaching Full-time</t>
  </si>
  <si>
    <t>11-330-00-190200-51310</t>
  </si>
  <si>
    <t>Physics : Academic Teaching NIC</t>
  </si>
  <si>
    <t>11-330-00-190200-51311</t>
  </si>
  <si>
    <t>11-330-00-190200-52200</t>
  </si>
  <si>
    <t>Physics : Classified Permanent Instructional Aides</t>
  </si>
  <si>
    <t>11-330-00-190200-52300</t>
  </si>
  <si>
    <t>Physics : Classified Overtime</t>
  </si>
  <si>
    <t>11-330-00-190200-53110</t>
  </si>
  <si>
    <t>11-330-00-190200-53210</t>
  </si>
  <si>
    <t>Physics : PERS Teaching</t>
  </si>
  <si>
    <t>11-330-00-190200-53310</t>
  </si>
  <si>
    <t>Physics : OASDHI (FICA) Teaching</t>
  </si>
  <si>
    <t>11-330-00-190200-53320</t>
  </si>
  <si>
    <t>Physics : OASDHI (FICA) Nonteaching</t>
  </si>
  <si>
    <t>11-330-00-190200-53330</t>
  </si>
  <si>
    <t>11-330-00-190200-53340</t>
  </si>
  <si>
    <t>Physics : Medicare Nonteaching</t>
  </si>
  <si>
    <t>11-330-00-190200-53410</t>
  </si>
  <si>
    <t>Physics : H &amp; W Teaching</t>
  </si>
  <si>
    <t>11-330-00-190200-53510</t>
  </si>
  <si>
    <t>11-330-00-190200-53520</t>
  </si>
  <si>
    <t>Physics : SUI Nonteaching</t>
  </si>
  <si>
    <t>11-330-00-190200-53610</t>
  </si>
  <si>
    <t>11-330-00-190200-53620</t>
  </si>
  <si>
    <t>Physics : WC Nonteaching</t>
  </si>
  <si>
    <t>11-330-00-190200-53910</t>
  </si>
  <si>
    <t>Physics : Other Benefit-Teaching</t>
  </si>
  <si>
    <t>11-330-00-190200-54300</t>
  </si>
  <si>
    <t>Physics : Supplies &amp; Materials</t>
  </si>
  <si>
    <t>11-330-00-190200-55630</t>
  </si>
  <si>
    <t>11-330-00-190500-51100</t>
  </si>
  <si>
    <t>Chemistry : Academic Teaching Full-time</t>
  </si>
  <si>
    <t>11-330-00-190500-51310</t>
  </si>
  <si>
    <t>Chemistry : Academic Teaching NIC</t>
  </si>
  <si>
    <t>11-330-00-190500-51311</t>
  </si>
  <si>
    <t>Chemistry : Academic Teaching PT</t>
  </si>
  <si>
    <t>11-330-00-190500-52200</t>
  </si>
  <si>
    <t>Chemistry : Classified Permanent Instructional Aides</t>
  </si>
  <si>
    <t>11-330-00-190500-52300</t>
  </si>
  <si>
    <t>Chemistry : Classified Overtime</t>
  </si>
  <si>
    <t>11-330-00-190500-53110</t>
  </si>
  <si>
    <t>Chemistry : STRS Teaching</t>
  </si>
  <si>
    <t>11-330-00-190500-53210</t>
  </si>
  <si>
    <t>Chemistry : PERS Teaching</t>
  </si>
  <si>
    <t>11-330-00-190500-53310</t>
  </si>
  <si>
    <t>Chemistry : OASDHI (FICA) Teaching</t>
  </si>
  <si>
    <t>11-330-00-190500-53320</t>
  </si>
  <si>
    <t>Chemistry : OASDHI (FICA) Nonteaching</t>
  </si>
  <si>
    <t>11-330-00-190500-53330</t>
  </si>
  <si>
    <t>Chemistry : Medicare Teaching</t>
  </si>
  <si>
    <t>11-330-00-190500-53340</t>
  </si>
  <si>
    <t>Chemistry : Medicare Nonteaching</t>
  </si>
  <si>
    <t>11-330-00-190500-53410</t>
  </si>
  <si>
    <t>Chemistry : H &amp; W Teaching</t>
  </si>
  <si>
    <t>11-330-00-190500-53510</t>
  </si>
  <si>
    <t>Chemistry : SUI Teaching</t>
  </si>
  <si>
    <t>11-330-00-190500-53520</t>
  </si>
  <si>
    <t>Chemistry : SUI Nonteaching</t>
  </si>
  <si>
    <t>11-330-00-190500-53610</t>
  </si>
  <si>
    <t>Chemistry : WC Teaching</t>
  </si>
  <si>
    <t>11-330-00-190500-53620</t>
  </si>
  <si>
    <t>Chemistry : WC Nonteaching</t>
  </si>
  <si>
    <t>11-330-00-190500-53910</t>
  </si>
  <si>
    <t>Chemistry : Other Benefit-Teaching</t>
  </si>
  <si>
    <t>11-330-00-190500-54300</t>
  </si>
  <si>
    <t>Chemistry : Supplies &amp; Materials</t>
  </si>
  <si>
    <t>11-330-00-190500-55630</t>
  </si>
  <si>
    <t>Chemistry : Printing &amp; Duplicating - Inhouse</t>
  </si>
  <si>
    <t>11-330-00-190500-55650</t>
  </si>
  <si>
    <t>Chemistry : Maintenance Agreement</t>
  </si>
  <si>
    <t>11-330-00-191100-51100</t>
  </si>
  <si>
    <t>Astronomy : Academic Teaching Full-time</t>
  </si>
  <si>
    <t>11-330-00-191100-51310</t>
  </si>
  <si>
    <t>Astronomy : Academic Teaching NIC</t>
  </si>
  <si>
    <t>11-330-00-191100-51311</t>
  </si>
  <si>
    <t>Astronomy : Academic Teaching PT</t>
  </si>
  <si>
    <t>11-330-00-191100-53110</t>
  </si>
  <si>
    <t>Astronomy : STRS Teaching</t>
  </si>
  <si>
    <t>11-330-00-191100-53330</t>
  </si>
  <si>
    <t>Astronomy : Medicare Teaching</t>
  </si>
  <si>
    <t>11-330-00-191100-53410</t>
  </si>
  <si>
    <t>Astronomy : H &amp; W Teaching</t>
  </si>
  <si>
    <t>11-330-00-191100-53510</t>
  </si>
  <si>
    <t>Astronomy : SUI Teaching</t>
  </si>
  <si>
    <t>11-330-00-191100-53610</t>
  </si>
  <si>
    <t>Astronomy : WC Teaching</t>
  </si>
  <si>
    <t>11-330-00-191100-54300</t>
  </si>
  <si>
    <t>Astronomy : Supplies &amp; Materials</t>
  </si>
  <si>
    <t>11-330-00-191100-55630</t>
  </si>
  <si>
    <t>Astronomy : Printing &amp; Duplicating - Inhouse</t>
  </si>
  <si>
    <t>11-330-00-191400-51100</t>
  </si>
  <si>
    <t>Geology : Academic Teaching Full-time</t>
  </si>
  <si>
    <t>11-330-00-191400-51311</t>
  </si>
  <si>
    <t>Geology : Academic Teaching PT</t>
  </si>
  <si>
    <t>11-330-00-191400-52200</t>
  </si>
  <si>
    <t>Geology : Classified Permanent Instructional Aides</t>
  </si>
  <si>
    <t>11-330-00-191400-52300</t>
  </si>
  <si>
    <t>Geology : Classified Overtime</t>
  </si>
  <si>
    <t>11-330-00-191400-53110</t>
  </si>
  <si>
    <t>Geology : STRS Teaching</t>
  </si>
  <si>
    <t>11-330-00-191400-53210</t>
  </si>
  <si>
    <t>Geology : PERS Teaching</t>
  </si>
  <si>
    <t>11-330-00-191400-53310</t>
  </si>
  <si>
    <t>Geology : OASDHI (FICA) Teaching</t>
  </si>
  <si>
    <t>11-330-00-191400-53320</t>
  </si>
  <si>
    <t>Geology : OASDHI (FICA) Nonteaching</t>
  </si>
  <si>
    <t>11-330-00-191400-53330</t>
  </si>
  <si>
    <t>Geology : Medicare Teaching</t>
  </si>
  <si>
    <t>11-330-00-191400-53340</t>
  </si>
  <si>
    <t>Geology : Medicare Nonteaching</t>
  </si>
  <si>
    <t>11-330-00-191400-53410</t>
  </si>
  <si>
    <t>Geology : H &amp; W Teaching</t>
  </si>
  <si>
    <t>11-330-00-191400-53510</t>
  </si>
  <si>
    <t>Geology : SUI Teaching</t>
  </si>
  <si>
    <t>11-330-00-191400-53520</t>
  </si>
  <si>
    <t>Geology : SUI Nonteaching</t>
  </si>
  <si>
    <t>11-330-00-191400-53610</t>
  </si>
  <si>
    <t>Geology : WC Teaching</t>
  </si>
  <si>
    <t>11-330-00-191400-53620</t>
  </si>
  <si>
    <t>Geology : WC Nonteaching</t>
  </si>
  <si>
    <t>11-330-00-191400-53910</t>
  </si>
  <si>
    <t>Geology : Other Benefit-Teaching</t>
  </si>
  <si>
    <t>11-330-00-191400-54300</t>
  </si>
  <si>
    <t>Geology : Supplies &amp; Materials</t>
  </si>
  <si>
    <t>11-330-00-191400-55630</t>
  </si>
  <si>
    <t>Geology : Printing &amp; Duplicating - Inhouse</t>
  </si>
  <si>
    <t>11-330-00-191900-51100</t>
  </si>
  <si>
    <t>Oceanography : Academic Teaching Full-time</t>
  </si>
  <si>
    <t>11-330-00-191900-51311</t>
  </si>
  <si>
    <t>11-330-00-191900-53110</t>
  </si>
  <si>
    <t>11-330-00-191900-53330</t>
  </si>
  <si>
    <t>11-330-00-191900-53410</t>
  </si>
  <si>
    <t>Oceanography : H &amp; W Teaching</t>
  </si>
  <si>
    <t>11-330-00-191900-53510</t>
  </si>
  <si>
    <t>11-330-00-191900-53610</t>
  </si>
  <si>
    <t>11-330-00-191900-55630</t>
  </si>
  <si>
    <t>Oceanography : Printing &amp; Duplicating - Inhouse</t>
  </si>
  <si>
    <t>11-330-00-220600-51311</t>
  </si>
  <si>
    <t>11-330-00-220600-53110</t>
  </si>
  <si>
    <t>11-330-00-220600-53310</t>
  </si>
  <si>
    <t>Geography : OASDHI (FICA) Teaching</t>
  </si>
  <si>
    <t>11-330-00-220600-53330</t>
  </si>
  <si>
    <t>11-330-00-220600-53510</t>
  </si>
  <si>
    <t>11-330-00-220600-53610</t>
  </si>
  <si>
    <t>11-330-00-220600-55630</t>
  </si>
  <si>
    <t>Geography : Printing &amp; Duplicating - Inhouse</t>
  </si>
  <si>
    <t>11-330-00-601000-52130</t>
  </si>
  <si>
    <t>Academic Administration : Classified Management</t>
  </si>
  <si>
    <t>11-330-00-601000-53220</t>
  </si>
  <si>
    <t>11-330-00-601000-53320</t>
  </si>
  <si>
    <t>11-330-00-601000-53340</t>
  </si>
  <si>
    <t>11-330-00-601000-53420</t>
  </si>
  <si>
    <t>11-330-00-601000-53520</t>
  </si>
  <si>
    <t>11-330-00-601000-53620</t>
  </si>
  <si>
    <t>11-330-00-601000-55630</t>
  </si>
  <si>
    <t>11-330-00-703800-52105</t>
  </si>
  <si>
    <t>11-330-00-703800-53220</t>
  </si>
  <si>
    <t>11-330-00-703800-53320</t>
  </si>
  <si>
    <t>11-330-00-703800-53340</t>
  </si>
  <si>
    <t>11-330-00-703800-53420</t>
  </si>
  <si>
    <t>11-330-00-703800-53520</t>
  </si>
  <si>
    <t>11-330-00-703800-53620</t>
  </si>
  <si>
    <t>11-330-01-070100-51100</t>
  </si>
  <si>
    <t>Computer &amp; Information Science : Academic Teaching Full-time</t>
  </si>
  <si>
    <t>11-330-01-070100-51310</t>
  </si>
  <si>
    <t>Computer &amp; Information Science : Academic Teaching NIC</t>
  </si>
  <si>
    <t>11-330-01-070100-53110</t>
  </si>
  <si>
    <t>11-330-01-070100-53330</t>
  </si>
  <si>
    <t>11-330-01-070100-53410</t>
  </si>
  <si>
    <t>Computer &amp; Information Science : H &amp; W Teaching</t>
  </si>
  <si>
    <t>11-330-01-070100-53510</t>
  </si>
  <si>
    <t>11-330-01-070100-53610</t>
  </si>
  <si>
    <t>11-330-01-070100-53910</t>
  </si>
  <si>
    <t>Computer &amp; Information Science : Other Benefit-Teaching</t>
  </si>
  <si>
    <t>11-330-01-070100-54300</t>
  </si>
  <si>
    <t>Computer &amp; Information Science : Supplies &amp; Materials</t>
  </si>
  <si>
    <t>11-330-01-070100-55630</t>
  </si>
  <si>
    <t>Computer &amp; Information Science : Printing &amp; Duplicating - Inhouse</t>
  </si>
  <si>
    <t>11-330-01-070100-55650</t>
  </si>
  <si>
    <t>Computer &amp; Information Science : Maintenance Agreement</t>
  </si>
  <si>
    <t>11-330-01-090100-51100</t>
  </si>
  <si>
    <t>11-330-01-090100-53110</t>
  </si>
  <si>
    <t>11-330-01-090100-53330</t>
  </si>
  <si>
    <t>11-330-01-090100-53410</t>
  </si>
  <si>
    <t>11-330-01-090100-53510</t>
  </si>
  <si>
    <t>11-330-01-090100-53610</t>
  </si>
  <si>
    <t>11-330-01-090100-55630</t>
  </si>
  <si>
    <t>11-335-00-120300-51100</t>
  </si>
  <si>
    <t>Nursing - RN : Academic Teaching Full-time</t>
  </si>
  <si>
    <t>11-335-00-120300-51310</t>
  </si>
  <si>
    <t>Nursing - RN : Academic Teaching NIC</t>
  </si>
  <si>
    <t>11-335-00-120300-51311</t>
  </si>
  <si>
    <t>Nursing - RN : Academic Teaching PT</t>
  </si>
  <si>
    <t>11-335-00-120300-51412</t>
  </si>
  <si>
    <t>Nursing - RN : Acad Nonteach Special Projects</t>
  </si>
  <si>
    <t>11-335-00-120300-52360</t>
  </si>
  <si>
    <t>Nursing - RN : Class Nonstu NonIA PT Prof Exp</t>
  </si>
  <si>
    <t>11-335-00-120300-53110</t>
  </si>
  <si>
    <t>Nursing - RN : STRS Teaching</t>
  </si>
  <si>
    <t>11-335-00-120300-53120</t>
  </si>
  <si>
    <t>Nursing - RN : STRS Nonteaching</t>
  </si>
  <si>
    <t>11-335-00-120300-53310</t>
  </si>
  <si>
    <t>Nursing - RN : OASDHI (FICA) Teaching</t>
  </si>
  <si>
    <t>11-335-00-120300-53320</t>
  </si>
  <si>
    <t>Nursing - RN : OASDHI (FICA) Nonteaching</t>
  </si>
  <si>
    <t>11-335-00-120300-53330</t>
  </si>
  <si>
    <t>Nursing - RN : Medicare Teaching</t>
  </si>
  <si>
    <t>11-335-00-120300-53340</t>
  </si>
  <si>
    <t>Nursing - RN : Medicare Nonteaching</t>
  </si>
  <si>
    <t>11-335-00-120300-53410</t>
  </si>
  <si>
    <t>Nursing - RN : H &amp; W Teaching</t>
  </si>
  <si>
    <t>11-335-00-120300-53420</t>
  </si>
  <si>
    <t>Nursing - RN : H &amp; W Nonteaching</t>
  </si>
  <si>
    <t>11-335-00-120300-53510</t>
  </si>
  <si>
    <t>Nursing - RN : SUI Teaching</t>
  </si>
  <si>
    <t>11-335-00-120300-53520</t>
  </si>
  <si>
    <t>Nursing - RN : SUI Nonteaching</t>
  </si>
  <si>
    <t>11-335-00-120300-53610</t>
  </si>
  <si>
    <t>Nursing - RN : WC Teaching</t>
  </si>
  <si>
    <t>11-335-00-120300-53620</t>
  </si>
  <si>
    <t>Nursing - RN : WC Nonteaching</t>
  </si>
  <si>
    <t>11-335-00-120300-54300</t>
  </si>
  <si>
    <t>Nursing - RN : Supplies &amp; Materials</t>
  </si>
  <si>
    <t>11-335-00-120300-55200</t>
  </si>
  <si>
    <t>Nursing - RN : Travel &amp; Conference</t>
  </si>
  <si>
    <t>11-335-00-120300-55300</t>
  </si>
  <si>
    <t>Nursing - RN : Memberships</t>
  </si>
  <si>
    <t>11-335-00-120300-55625</t>
  </si>
  <si>
    <t>Nursing - RN : Inprocessing Costs</t>
  </si>
  <si>
    <t>11-335-00-120300-55630</t>
  </si>
  <si>
    <t>Nursing - RN : Printing &amp; Duplicating - Inhouse</t>
  </si>
  <si>
    <t>11-335-00-120300-55650</t>
  </si>
  <si>
    <t>Nursing - RN : Maintenance Agreement</t>
  </si>
  <si>
    <t>11-335-00-120320-51100</t>
  </si>
  <si>
    <t>Nursing - LVN : Academic Teaching Full-time</t>
  </si>
  <si>
    <t>11-335-00-120320-51310</t>
  </si>
  <si>
    <t>Nursing - LVN : Academic Teaching NIC</t>
  </si>
  <si>
    <t>11-335-00-120320-51311</t>
  </si>
  <si>
    <t>Nursing - LVN : Academic Teaching PT</t>
  </si>
  <si>
    <t>11-335-00-120320-53110</t>
  </si>
  <si>
    <t>Nursing - LVN : STRS Teaching</t>
  </si>
  <si>
    <t>11-335-00-120320-53310</t>
  </si>
  <si>
    <t>Nursing - LVN : OASDHI (FICA) Teaching</t>
  </si>
  <si>
    <t>11-335-00-120320-53330</t>
  </si>
  <si>
    <t>Nursing - LVN : Medicare Teaching</t>
  </si>
  <si>
    <t>11-335-00-120320-53410</t>
  </si>
  <si>
    <t>Nursing - LVN : H &amp; W Teaching</t>
  </si>
  <si>
    <t>11-335-00-120320-53510</t>
  </si>
  <si>
    <t>Nursing - LVN : SUI Teaching</t>
  </si>
  <si>
    <t>11-335-00-120320-53610</t>
  </si>
  <si>
    <t>Nursing - LVN : WC Teaching</t>
  </si>
  <si>
    <t>11-335-00-120320-55200</t>
  </si>
  <si>
    <t>Nursing - LVN : Travel &amp; Conference</t>
  </si>
  <si>
    <t>11-335-00-120320-55630</t>
  </si>
  <si>
    <t>Nursing - LVN : Printing &amp; Duplicating - Inhouse</t>
  </si>
  <si>
    <t>11-335-00-120400-51100</t>
  </si>
  <si>
    <t>Respiratory Care Program : Academic Teaching Full-time</t>
  </si>
  <si>
    <t>11-335-00-120400-51310</t>
  </si>
  <si>
    <t>Respiratory Care Program : Academic Teaching NIC</t>
  </si>
  <si>
    <t>11-335-00-120400-51311</t>
  </si>
  <si>
    <t>Respiratory Care Program : Academic Teaching PT</t>
  </si>
  <si>
    <t>11-335-00-120400-53110</t>
  </si>
  <si>
    <t>Respiratory Care Program : STRS Teaching</t>
  </si>
  <si>
    <t>11-335-00-120400-53310</t>
  </si>
  <si>
    <t>Respiratory Care Program : OASDHI (FICA) Teaching</t>
  </si>
  <si>
    <t>11-335-00-120400-53330</t>
  </si>
  <si>
    <t>Respiratory Care Program : Medicare Teaching</t>
  </si>
  <si>
    <t>11-335-00-120400-53410</t>
  </si>
  <si>
    <t>Respiratory Care Program : H &amp; W Teaching</t>
  </si>
  <si>
    <t>11-335-00-120400-53510</t>
  </si>
  <si>
    <t>Respiratory Care Program : SUI Teaching</t>
  </si>
  <si>
    <t>11-335-00-120400-53610</t>
  </si>
  <si>
    <t>Respiratory Care Program : WC Teaching</t>
  </si>
  <si>
    <t>11-335-00-120400-54210</t>
  </si>
  <si>
    <t>Respiratory Care Program : Purchases - Food</t>
  </si>
  <si>
    <t>11-335-00-120400-54300</t>
  </si>
  <si>
    <t>Respiratory Care Program : Supplies &amp; Materials</t>
  </si>
  <si>
    <t>11-335-00-120400-55309</t>
  </si>
  <si>
    <t>Respiratory Care Program : Subscriptions</t>
  </si>
  <si>
    <t>11-335-00-120400-55630</t>
  </si>
  <si>
    <t>Respiratory Care Program : Printing &amp; Duplicating - Inhouse</t>
  </si>
  <si>
    <t>11-335-00-120400-55650</t>
  </si>
  <si>
    <t>Respiratory Care Program : Maintenance Agreement</t>
  </si>
  <si>
    <t>11-335-00-125000-51310</t>
  </si>
  <si>
    <t>Mobile Intensive Care Paramedic : Academic Teaching NIC</t>
  </si>
  <si>
    <t>11-335-00-125000-51311</t>
  </si>
  <si>
    <t>Mobile Intensive Care Paramedic : Academic Teaching PT</t>
  </si>
  <si>
    <t>11-335-00-125000-52400</t>
  </si>
  <si>
    <t>Mobile Intensive Care Paramedic : Classified Nonstudent Instructional Aides PT</t>
  </si>
  <si>
    <t>11-335-00-125000-53110</t>
  </si>
  <si>
    <t>Mobile Intensive Care Paramedic : STRS Teaching</t>
  </si>
  <si>
    <t>11-335-00-125000-53310</t>
  </si>
  <si>
    <t>Mobile Intensive Care Paramedic : OASDHI (FICA) Teaching</t>
  </si>
  <si>
    <t>11-335-00-125000-53330</t>
  </si>
  <si>
    <t>Mobile Intensive Care Paramedic : Medicare Teaching</t>
  </si>
  <si>
    <t>11-335-00-125000-53410</t>
  </si>
  <si>
    <t>Mobile Intensive Care Paramedic : H &amp; W Teaching</t>
  </si>
  <si>
    <t>11-335-00-125000-53510</t>
  </si>
  <si>
    <t>Mobile Intensive Care Paramedic : SUI Teaching</t>
  </si>
  <si>
    <t>11-335-00-125000-53610</t>
  </si>
  <si>
    <t>Mobile Intensive Care Paramedic : WC Teaching</t>
  </si>
  <si>
    <t>11-335-00-125000-53910</t>
  </si>
  <si>
    <t>Mobile Intensive Care Paramedic : Other Benefit-Teaching</t>
  </si>
  <si>
    <t>11-335-00-125000-54300</t>
  </si>
  <si>
    <t>Mobile Intensive Care Paramedic : Supplies &amp; Materials</t>
  </si>
  <si>
    <t>11-335-00-125000-55630</t>
  </si>
  <si>
    <t>Mobile Intensive Care Paramedic : Printing &amp; Duplicating - Inhouse</t>
  </si>
  <si>
    <t>11-335-00-126000-51310</t>
  </si>
  <si>
    <t>Health Professions : Academic Teaching NIC</t>
  </si>
  <si>
    <t>11-335-00-126000-51311</t>
  </si>
  <si>
    <t>Health Professions : Academic Teaching PT</t>
  </si>
  <si>
    <t>11-335-00-126000-52400</t>
  </si>
  <si>
    <t>Health Professions : Classified Nonstudent Instructional Aides PT</t>
  </si>
  <si>
    <t>11-335-00-126000-53110</t>
  </si>
  <si>
    <t>Health Professions : STRS Teaching</t>
  </si>
  <si>
    <t>11-335-00-126000-53310</t>
  </si>
  <si>
    <t>Health Professions : OASDHI (FICA) Teaching</t>
  </si>
  <si>
    <t>11-335-00-126000-53330</t>
  </si>
  <si>
    <t>Health Professions : Medicare Teaching</t>
  </si>
  <si>
    <t>11-335-00-126000-53410</t>
  </si>
  <si>
    <t>Health Professions : H &amp; W Teaching</t>
  </si>
  <si>
    <t>11-335-00-126000-53510</t>
  </si>
  <si>
    <t>Health Professions : SUI Teaching</t>
  </si>
  <si>
    <t>11-335-00-126000-53610</t>
  </si>
  <si>
    <t>Health Professions : WC Teaching</t>
  </si>
  <si>
    <t>11-335-00-126000-53910</t>
  </si>
  <si>
    <t>Health Professions : Other Benefit-Teaching</t>
  </si>
  <si>
    <t>11-335-00-126000-54300</t>
  </si>
  <si>
    <t>Health Professions : Supplies &amp; Materials</t>
  </si>
  <si>
    <t>11-335-00-601000-51210</t>
  </si>
  <si>
    <t>11-335-00-601000-52105</t>
  </si>
  <si>
    <t>11-335-00-601000-53120</t>
  </si>
  <si>
    <t>11-335-00-601000-53220</t>
  </si>
  <si>
    <t>11-335-00-601000-53320</t>
  </si>
  <si>
    <t>11-335-00-601000-53340</t>
  </si>
  <si>
    <t>11-335-00-601000-53420</t>
  </si>
  <si>
    <t>11-335-00-601000-53520</t>
  </si>
  <si>
    <t>11-335-00-601000-53620</t>
  </si>
  <si>
    <t>11-335-00-601000-53920</t>
  </si>
  <si>
    <t>11-335-00-601000-55630</t>
  </si>
  <si>
    <t>11-340-00-682500-51210</t>
  </si>
  <si>
    <t>Western Stage : Academic Nonteaching Management</t>
  </si>
  <si>
    <t>11-340-00-682500-52360</t>
  </si>
  <si>
    <t>Western Stage : Class Nonstu NonIA PT Prof Exp</t>
  </si>
  <si>
    <t>11-340-00-682500-53120</t>
  </si>
  <si>
    <t>Western Stage : STRS Nonteaching</t>
  </si>
  <si>
    <t>11-340-00-682500-53220</t>
  </si>
  <si>
    <t>Western Stage : PERS Nonteaching</t>
  </si>
  <si>
    <t>11-340-00-682500-53320</t>
  </si>
  <si>
    <t>Western Stage : OASDHI (FICA) Nonteaching</t>
  </si>
  <si>
    <t>11-340-00-682500-53340</t>
  </si>
  <si>
    <t>Western Stage : Medicare Nonteaching</t>
  </si>
  <si>
    <t>11-340-00-682500-53420</t>
  </si>
  <si>
    <t>Western Stage : H &amp; W Nonteaching</t>
  </si>
  <si>
    <t>11-340-00-682500-53520</t>
  </si>
  <si>
    <t>Western Stage : SUI Nonteaching</t>
  </si>
  <si>
    <t>11-340-00-682500-53620</t>
  </si>
  <si>
    <t>Western Stage : WC Nonteaching</t>
  </si>
  <si>
    <t>11-340-00-682500-53920</t>
  </si>
  <si>
    <t>Western Stage : Other Benefit-Non Teaching</t>
  </si>
  <si>
    <t>11-340-00-682500-54300</t>
  </si>
  <si>
    <t>Western Stage : Supplies &amp; Materials</t>
  </si>
  <si>
    <t>11-340-00-682500-54320</t>
  </si>
  <si>
    <t>Western Stage : Laundry</t>
  </si>
  <si>
    <t>11-340-00-682500-55105</t>
  </si>
  <si>
    <t>Western Stage : Contract Services</t>
  </si>
  <si>
    <t>11-340-00-682500-55200</t>
  </si>
  <si>
    <t>Western Stage : Travel &amp; Conference</t>
  </si>
  <si>
    <t>11-340-00-682500-55600</t>
  </si>
  <si>
    <t>Western Stage : Rents &amp; Leases</t>
  </si>
  <si>
    <t>11-340-00-682500-55630</t>
  </si>
  <si>
    <t>Western Stage : Printing &amp; Duplicating - Inhouse</t>
  </si>
  <si>
    <t>11-340-00-682500-55635</t>
  </si>
  <si>
    <t>Western Stage : Printing Services - Vendor</t>
  </si>
  <si>
    <t>11-340-00-682500-55650</t>
  </si>
  <si>
    <t>Western Stage : Maintenance Agreement</t>
  </si>
  <si>
    <t>11-340-00-682500-55651</t>
  </si>
  <si>
    <t>Western Stage : Equipment Repairs</t>
  </si>
  <si>
    <t>11-340-00-682500-55810</t>
  </si>
  <si>
    <t>Western Stage : Bulk Mail</t>
  </si>
  <si>
    <t>11-340-00-682500-55820</t>
  </si>
  <si>
    <t>Western Stage : US Postage</t>
  </si>
  <si>
    <t>11-340-00-682500-55830</t>
  </si>
  <si>
    <t>Western Stage : Advertising Expense</t>
  </si>
  <si>
    <t>11-350-00-050000-51100</t>
  </si>
  <si>
    <t>Business Education : Academic Teaching Full-time</t>
  </si>
  <si>
    <t>11-350-00-050000-51310</t>
  </si>
  <si>
    <t>11-350-00-050000-51311</t>
  </si>
  <si>
    <t>11-350-00-050000-53110</t>
  </si>
  <si>
    <t>11-350-00-050000-53310</t>
  </si>
  <si>
    <t>11-350-00-050000-53330</t>
  </si>
  <si>
    <t>11-350-00-050000-53410</t>
  </si>
  <si>
    <t>Business Education : H &amp; W Teaching</t>
  </si>
  <si>
    <t>11-350-00-050000-53510</t>
  </si>
  <si>
    <t>11-350-00-050000-53610</t>
  </si>
  <si>
    <t>11-350-00-050000-53910</t>
  </si>
  <si>
    <t>Business Education : Other Benefit-Teaching</t>
  </si>
  <si>
    <t>11-350-00-050000-54300</t>
  </si>
  <si>
    <t>Business Education : Supplies &amp; Materials</t>
  </si>
  <si>
    <t>11-350-00-050000-55630</t>
  </si>
  <si>
    <t>Business Education : Printing &amp; Duplicating - Inhouse</t>
  </si>
  <si>
    <t>11-350-00-050000-56400</t>
  </si>
  <si>
    <t>Business Education : Cap Equip - $200 to $4,999</t>
  </si>
  <si>
    <t>11-350-00-094800-55630</t>
  </si>
  <si>
    <t>Automotive Technology : Printing &amp; Duplicating - Inhouse</t>
  </si>
  <si>
    <t>11-350-00-130500-51100</t>
  </si>
  <si>
    <t>Early Childhood Education : Academic Teaching Full-time</t>
  </si>
  <si>
    <t>11-350-00-130500-51310</t>
  </si>
  <si>
    <t>11-350-00-130500-51311</t>
  </si>
  <si>
    <t>11-350-00-130500-52200</t>
  </si>
  <si>
    <t>11-350-00-130500-53110</t>
  </si>
  <si>
    <t>11-350-00-130500-53210</t>
  </si>
  <si>
    <t>11-350-00-130500-53310</t>
  </si>
  <si>
    <t>11-350-00-130500-53330</t>
  </si>
  <si>
    <t>11-350-00-130500-53410</t>
  </si>
  <si>
    <t>Early Childhood Education : H &amp; W Teaching</t>
  </si>
  <si>
    <t>11-350-00-130500-53510</t>
  </si>
  <si>
    <t>11-350-00-130500-53610</t>
  </si>
  <si>
    <t>11-350-00-130500-55630</t>
  </si>
  <si>
    <t>11-350-00-210440-51100</t>
  </si>
  <si>
    <t>11-350-00-210440-51310</t>
  </si>
  <si>
    <t>Alcohol &amp; Drug Counseling : Academic Teaching NIC</t>
  </si>
  <si>
    <t>11-350-00-210440-51311</t>
  </si>
  <si>
    <t>Alcohol &amp; Drug Counseling : Academic Teaching PT</t>
  </si>
  <si>
    <t>11-350-00-210440-51412</t>
  </si>
  <si>
    <t>Alcohol &amp; Drug Counseling : Acad Nonteach Special Projects</t>
  </si>
  <si>
    <t>11-350-00-210440-53110</t>
  </si>
  <si>
    <t>11-350-00-210440-53120</t>
  </si>
  <si>
    <t>Alcohol &amp; Drug Counseling : STRS Nonteaching</t>
  </si>
  <si>
    <t>11-350-00-210440-53330</t>
  </si>
  <si>
    <t>11-350-00-210440-53340</t>
  </si>
  <si>
    <t>Alcohol &amp; Drug Counseling : Medicare Nonteaching</t>
  </si>
  <si>
    <t>11-350-00-210440-53410</t>
  </si>
  <si>
    <t>11-350-00-210440-53510</t>
  </si>
  <si>
    <t>11-350-00-210440-53520</t>
  </si>
  <si>
    <t>Alcohol &amp; Drug Counseling : SUI Nonteaching</t>
  </si>
  <si>
    <t>11-350-00-210440-53610</t>
  </si>
  <si>
    <t>11-350-00-210440-53620</t>
  </si>
  <si>
    <t>Alcohol &amp; Drug Counseling : WC Nonteaching</t>
  </si>
  <si>
    <t>11-350-00-210440-55630</t>
  </si>
  <si>
    <t>11-350-00-210500-51100</t>
  </si>
  <si>
    <t>Administration of Justice : Academic Teaching Full-time</t>
  </si>
  <si>
    <t>11-350-00-210500-51310</t>
  </si>
  <si>
    <t>11-350-00-210500-51311</t>
  </si>
  <si>
    <t>11-350-00-210500-51412</t>
  </si>
  <si>
    <t>Administration of Justice : Acad Nonteach Special Projects</t>
  </si>
  <si>
    <t>11-350-00-210500-52360</t>
  </si>
  <si>
    <t>Administration of Justice : Class Nonstu NonIA PT Prof Exp</t>
  </si>
  <si>
    <t>11-350-00-210500-53110</t>
  </si>
  <si>
    <t>11-350-00-210500-53120</t>
  </si>
  <si>
    <t>Administration of Justice : STRS Nonteaching</t>
  </si>
  <si>
    <t>11-350-00-210500-53310</t>
  </si>
  <si>
    <t>11-350-00-210500-53320</t>
  </si>
  <si>
    <t>Administration of Justice : OASDHI (FICA) Nonteaching</t>
  </si>
  <si>
    <t>11-350-00-210500-53330</t>
  </si>
  <si>
    <t>11-350-00-210500-53340</t>
  </si>
  <si>
    <t>Administration of Justice : Medicare Nonteaching</t>
  </si>
  <si>
    <t>11-350-00-210500-53410</t>
  </si>
  <si>
    <t>Administration of Justice : H &amp; W Teaching</t>
  </si>
  <si>
    <t>11-350-00-210500-53510</t>
  </si>
  <si>
    <t>11-350-00-210500-53520</t>
  </si>
  <si>
    <t>Administration of Justice : SUI Nonteaching</t>
  </si>
  <si>
    <t>11-350-00-210500-53610</t>
  </si>
  <si>
    <t>11-350-00-210500-53620</t>
  </si>
  <si>
    <t>Administration of Justice : WC Nonteaching</t>
  </si>
  <si>
    <t>11-350-00-210500-55309</t>
  </si>
  <si>
    <t>Administration of Justice : Subscriptions</t>
  </si>
  <si>
    <t>11-350-00-210500-55630</t>
  </si>
  <si>
    <t>11-350-00-601000-51210</t>
  </si>
  <si>
    <t>11-350-00-601000-52105</t>
  </si>
  <si>
    <t>11-350-00-601000-52360</t>
  </si>
  <si>
    <t>11-350-00-601000-53120</t>
  </si>
  <si>
    <t>11-350-00-601000-53220</t>
  </si>
  <si>
    <t>11-350-00-601000-53320</t>
  </si>
  <si>
    <t>11-350-00-601000-53340</t>
  </si>
  <si>
    <t>11-350-00-601000-53420</t>
  </si>
  <si>
    <t>11-350-00-601000-53520</t>
  </si>
  <si>
    <t>11-350-00-601000-53620</t>
  </si>
  <si>
    <t>11-350-00-601000-54349</t>
  </si>
  <si>
    <t>Academic Administration : M&amp;O Fuel and Oil Expense</t>
  </si>
  <si>
    <t>11-350-00-601000-55630</t>
  </si>
  <si>
    <t>11-350-00-703800-51412</t>
  </si>
  <si>
    <t>MESA Grant : Acad Nonteach Special Projects</t>
  </si>
  <si>
    <t>11-350-00-703800-52105</t>
  </si>
  <si>
    <t>11-350-00-703800-53120</t>
  </si>
  <si>
    <t>11-350-00-703800-53220</t>
  </si>
  <si>
    <t>11-350-00-703800-53320</t>
  </si>
  <si>
    <t>11-350-00-703800-53340</t>
  </si>
  <si>
    <t>11-350-00-703800-53420</t>
  </si>
  <si>
    <t>11-350-00-703800-53520</t>
  </si>
  <si>
    <t>11-350-00-703800-53620</t>
  </si>
  <si>
    <t>11-350-01-010100-51100</t>
  </si>
  <si>
    <t>Agriculture Technology : Academic Teaching Full-time</t>
  </si>
  <si>
    <t>11-350-01-010100-51310</t>
  </si>
  <si>
    <t>Agriculture Technology : Academic Teaching NIC</t>
  </si>
  <si>
    <t>11-350-01-010100-51311</t>
  </si>
  <si>
    <t>Agriculture Technology : Academic Teaching PT</t>
  </si>
  <si>
    <t>11-350-01-010100-51412</t>
  </si>
  <si>
    <t>Agriculture Technology : Acad Nonteach Special Projects</t>
  </si>
  <si>
    <t>11-350-01-010100-52200</t>
  </si>
  <si>
    <t>Agriculture Technology : Classified Permanent Instructional Aides</t>
  </si>
  <si>
    <t>11-350-01-010100-52300</t>
  </si>
  <si>
    <t>Agriculture Technology : Classified Overtime</t>
  </si>
  <si>
    <t>11-350-01-010100-53110</t>
  </si>
  <si>
    <t>Agriculture Technology : STRS Teaching</t>
  </si>
  <si>
    <t>11-350-01-010100-53120</t>
  </si>
  <si>
    <t>Agriculture Technology : STRS Nonteaching</t>
  </si>
  <si>
    <t>11-350-01-010100-53210</t>
  </si>
  <si>
    <t>Agriculture Technology : PERS Teaching</t>
  </si>
  <si>
    <t>11-350-01-010100-53310</t>
  </si>
  <si>
    <t>Agriculture Technology : OASDHI (FICA) Teaching</t>
  </si>
  <si>
    <t>11-350-01-010100-53320</t>
  </si>
  <si>
    <t>Agriculture Technology : OASDHI (FICA) Nonteaching</t>
  </si>
  <si>
    <t>11-350-01-010100-53330</t>
  </si>
  <si>
    <t>Agriculture Technology : Medicare Teaching</t>
  </si>
  <si>
    <t>11-350-01-010100-53340</t>
  </si>
  <si>
    <t>Agriculture Technology : Medicare Nonteaching</t>
  </si>
  <si>
    <t>11-350-01-010100-53410</t>
  </si>
  <si>
    <t>Agriculture Technology : H &amp; W Teaching</t>
  </si>
  <si>
    <t>11-350-01-010100-53510</t>
  </si>
  <si>
    <t>Agriculture Technology : SUI Teaching</t>
  </si>
  <si>
    <t>11-350-01-010100-53520</t>
  </si>
  <si>
    <t>Agriculture Technology : SUI Nonteaching</t>
  </si>
  <si>
    <t>11-350-01-010100-53610</t>
  </si>
  <si>
    <t>Agriculture Technology : WC Teaching</t>
  </si>
  <si>
    <t>11-350-01-010100-53620</t>
  </si>
  <si>
    <t>Agriculture Technology : WC Nonteaching</t>
  </si>
  <si>
    <t>11-350-01-010100-53910</t>
  </si>
  <si>
    <t>Agriculture Technology : Other Benefit-Teaching</t>
  </si>
  <si>
    <t>11-350-01-010100-54300</t>
  </si>
  <si>
    <t>Agriculture Technology : Supplies &amp; Materials</t>
  </si>
  <si>
    <t>11-350-01-010100-55200</t>
  </si>
  <si>
    <t>Agriculture Technology : Travel &amp; Conference</t>
  </si>
  <si>
    <t>11-350-01-010100-55300</t>
  </si>
  <si>
    <t>Agriculture Technology : Memberships</t>
  </si>
  <si>
    <t>11-350-01-010100-55560</t>
  </si>
  <si>
    <t>Agriculture Technology : Water Service</t>
  </si>
  <si>
    <t>11-350-01-010100-55630</t>
  </si>
  <si>
    <t>Agriculture Technology : Printing &amp; Duplicating - Inhouse</t>
  </si>
  <si>
    <t>11-350-01-010100-55635</t>
  </si>
  <si>
    <t>Agriculture Technology : Printing Services - Vendor</t>
  </si>
  <si>
    <t>11-350-01-010100-55650</t>
  </si>
  <si>
    <t>Agriculture Technology : Maintenance Agreement</t>
  </si>
  <si>
    <t>11-350-01-070100-51100</t>
  </si>
  <si>
    <t>11-350-01-070100-51200</t>
  </si>
  <si>
    <t>Computer &amp; Information Science : Academic Nonteaching Full-time</t>
  </si>
  <si>
    <t>11-350-01-070100-51311</t>
  </si>
  <si>
    <t>11-350-01-070100-53110</t>
  </si>
  <si>
    <t>11-350-01-070100-53120</t>
  </si>
  <si>
    <t>Computer &amp; Information Science : STRS Nonteaching</t>
  </si>
  <si>
    <t>11-350-01-070100-53330</t>
  </si>
  <si>
    <t>11-350-01-070100-53340</t>
  </si>
  <si>
    <t>Computer &amp; Information Science : Medicare Nonteaching</t>
  </si>
  <si>
    <t>11-350-01-070100-53410</t>
  </si>
  <si>
    <t>11-350-01-070100-53420</t>
  </si>
  <si>
    <t>Computer &amp; Information Science : H &amp; W Nonteaching</t>
  </si>
  <si>
    <t>11-350-01-070100-53510</t>
  </si>
  <si>
    <t>11-350-01-070100-53520</t>
  </si>
  <si>
    <t>Computer &amp; Information Science : SUI Nonteaching</t>
  </si>
  <si>
    <t>11-350-01-070100-53610</t>
  </si>
  <si>
    <t>11-350-01-070100-53620</t>
  </si>
  <si>
    <t>Computer &amp; Information Science : WC Nonteaching</t>
  </si>
  <si>
    <t>11-350-01-094500-52200</t>
  </si>
  <si>
    <t>Agriculture &amp; Industrial Tech. : Classified Permanent Instructional Aides</t>
  </si>
  <si>
    <t>11-350-01-094500-53210</t>
  </si>
  <si>
    <t>Agriculture &amp; Industrial Tech. : PERS Teaching</t>
  </si>
  <si>
    <t>11-350-01-094500-53310</t>
  </si>
  <si>
    <t>Agriculture &amp; Industrial Tech. : OASDHI (FICA) Teaching</t>
  </si>
  <si>
    <t>11-350-01-094500-53330</t>
  </si>
  <si>
    <t>Agriculture &amp; Industrial Tech. : Medicare Teaching</t>
  </si>
  <si>
    <t>11-350-01-094500-53410</t>
  </si>
  <si>
    <t>Agriculture &amp; Industrial Tech. : H &amp; W Teaching</t>
  </si>
  <si>
    <t>11-350-01-094500-53510</t>
  </si>
  <si>
    <t>Agriculture &amp; Industrial Tech. : SUI Teaching</t>
  </si>
  <si>
    <t>11-350-01-094500-53610</t>
  </si>
  <si>
    <t>Agriculture &amp; Industrial Tech. : WC Teaching</t>
  </si>
  <si>
    <t>11-350-01-094500-54300</t>
  </si>
  <si>
    <t>Agriculture &amp; Industrial Tech. : Supplies &amp; Materials</t>
  </si>
  <si>
    <t>11-350-01-094500-55200</t>
  </si>
  <si>
    <t>Agriculture &amp; Industrial Tech. : Travel &amp; Conference</t>
  </si>
  <si>
    <t>11-350-01-094500-55630</t>
  </si>
  <si>
    <t>Agriculture &amp; Industrial Tech. : Printing &amp; Duplicating - Inhouse</t>
  </si>
  <si>
    <t>11-350-01-094500-55651</t>
  </si>
  <si>
    <t>Agriculture &amp; Industrial Tech. : Equipment Repairs</t>
  </si>
  <si>
    <t>11-350-01-094700-51100</t>
  </si>
  <si>
    <t>Diesel Mechanics : Academic Teaching Full-time</t>
  </si>
  <si>
    <t>11-350-01-094700-51310</t>
  </si>
  <si>
    <t>Diesel Mechanics : Academic Teaching NIC</t>
  </si>
  <si>
    <t>11-350-01-094700-51311</t>
  </si>
  <si>
    <t>Diesel Mechanics : Academic Teaching PT</t>
  </si>
  <si>
    <t>11-350-01-094700-51412</t>
  </si>
  <si>
    <t>Diesel Mechanics : Acad Nonteach Special Projects</t>
  </si>
  <si>
    <t>11-350-01-094700-52200</t>
  </si>
  <si>
    <t>Diesel Mechanics : Classified Permanent Instructional Aides</t>
  </si>
  <si>
    <t>11-350-01-094700-52360</t>
  </si>
  <si>
    <t>Diesel Mechanics : Class Nonstu NonIA PT Prof Exp</t>
  </si>
  <si>
    <t>11-350-01-094700-53110</t>
  </si>
  <si>
    <t>Diesel Mechanics : STRS Teaching</t>
  </si>
  <si>
    <t>11-350-01-094700-53120</t>
  </si>
  <si>
    <t>Diesel Mechanics : STRS Nonteaching</t>
  </si>
  <si>
    <t>11-350-01-094700-53210</t>
  </si>
  <si>
    <t>Diesel Mechanics : PERS Teaching</t>
  </si>
  <si>
    <t>11-350-01-094700-53310</t>
  </si>
  <si>
    <t>Diesel Mechanics : OASDHI (FICA) Teaching</t>
  </si>
  <si>
    <t>11-350-01-094700-53320</t>
  </si>
  <si>
    <t>Diesel Mechanics : OASDHI (FICA) Nonteaching</t>
  </si>
  <si>
    <t>11-350-01-094700-53330</t>
  </si>
  <si>
    <t>Diesel Mechanics : Medicare Teaching</t>
  </si>
  <si>
    <t>11-350-01-094700-53340</t>
  </si>
  <si>
    <t>Diesel Mechanics : Medicare Nonteaching</t>
  </si>
  <si>
    <t>11-350-01-094700-53410</t>
  </si>
  <si>
    <t>Diesel Mechanics : H &amp; W Teaching</t>
  </si>
  <si>
    <t>11-350-01-094700-53510</t>
  </si>
  <si>
    <t>Diesel Mechanics : SUI Teaching</t>
  </si>
  <si>
    <t>11-350-01-094700-53520</t>
  </si>
  <si>
    <t>Diesel Mechanics : SUI Nonteaching</t>
  </si>
  <si>
    <t>11-350-01-094700-53610</t>
  </si>
  <si>
    <t>Diesel Mechanics : WC Teaching</t>
  </si>
  <si>
    <t>11-350-01-094700-53620</t>
  </si>
  <si>
    <t>Diesel Mechanics : WC Nonteaching</t>
  </si>
  <si>
    <t>11-350-01-094700-53910</t>
  </si>
  <si>
    <t>Diesel Mechanics : Other Benefit-Teaching</t>
  </si>
  <si>
    <t>11-350-01-094700-54300</t>
  </si>
  <si>
    <t>Diesel Mechanics : Supplies &amp; Materials</t>
  </si>
  <si>
    <t>11-350-01-094700-55125</t>
  </si>
  <si>
    <t>Diesel Mechanics : Training &amp; Seminars</t>
  </si>
  <si>
    <t>11-350-01-094700-55575</t>
  </si>
  <si>
    <t>Diesel Mechanics : Hazardous Waste Disposal</t>
  </si>
  <si>
    <t>11-350-01-094700-55630</t>
  </si>
  <si>
    <t>Diesel Mechanics : Printing &amp; Duplicating - Inhouse</t>
  </si>
  <si>
    <t>11-350-01-094700-55650</t>
  </si>
  <si>
    <t>Diesel Mechanics : Maintenance Agreement</t>
  </si>
  <si>
    <t>11-350-01-094700-55651</t>
  </si>
  <si>
    <t>Diesel Mechanics : Equipment Repairs</t>
  </si>
  <si>
    <t>11-350-01-094700-55800</t>
  </si>
  <si>
    <t>Diesel Mechanics : Other Costs</t>
  </si>
  <si>
    <t>11-350-01-094700-56400</t>
  </si>
  <si>
    <t>Diesel Mechanics : Cap Equip - $200 to $4,999</t>
  </si>
  <si>
    <t>11-350-01-094800-51310</t>
  </si>
  <si>
    <t>Automotive Technology : Academic Teaching NIC</t>
  </si>
  <si>
    <t>11-350-01-094800-51311</t>
  </si>
  <si>
    <t>Automotive Technology : Academic Teaching PT</t>
  </si>
  <si>
    <t>11-350-01-094800-51412</t>
  </si>
  <si>
    <t>Automotive Technology : Acad Nonteach Special Projects</t>
  </si>
  <si>
    <t>11-350-01-094800-53110</t>
  </si>
  <si>
    <t>Automotive Technology : STRS Teaching</t>
  </si>
  <si>
    <t>11-350-01-094800-53120</t>
  </si>
  <si>
    <t>Automotive Technology : STRS Nonteaching</t>
  </si>
  <si>
    <t>11-350-01-094800-53310</t>
  </si>
  <si>
    <t>Automotive Technology : OASDHI (FICA) Teaching</t>
  </si>
  <si>
    <t>11-350-01-094800-53330</t>
  </si>
  <si>
    <t>Automotive Technology : Medicare Teaching</t>
  </si>
  <si>
    <t>11-350-01-094800-53340</t>
  </si>
  <si>
    <t>Automotive Technology : Medicare Nonteaching</t>
  </si>
  <si>
    <t>11-350-01-094800-53510</t>
  </si>
  <si>
    <t>Automotive Technology : SUI Teaching</t>
  </si>
  <si>
    <t>11-350-01-094800-53520</t>
  </si>
  <si>
    <t>Automotive Technology : SUI Nonteaching</t>
  </si>
  <si>
    <t>11-350-01-094800-53610</t>
  </si>
  <si>
    <t>Automotive Technology : WC Teaching</t>
  </si>
  <si>
    <t>11-350-01-094800-53620</t>
  </si>
  <si>
    <t>Automotive Technology : WC Nonteaching</t>
  </si>
  <si>
    <t>11-350-01-094800-54300</t>
  </si>
  <si>
    <t>Automotive Technology : Supplies &amp; Materials</t>
  </si>
  <si>
    <t>11-350-01-094800-55630</t>
  </si>
  <si>
    <t>11-350-01-094800-55650</t>
  </si>
  <si>
    <t>Automotive Technology : Maintenance Agreement</t>
  </si>
  <si>
    <t>11-350-01-094800-55651</t>
  </si>
  <si>
    <t>Automotive Technology : Equipment Repairs</t>
  </si>
  <si>
    <t>11-350-01-094800-56341</t>
  </si>
  <si>
    <t>Automotive Technology : On-line Database Services</t>
  </si>
  <si>
    <t>11-350-01-095200-51100</t>
  </si>
  <si>
    <t>Construction Technology : Academic Teaching Full-time</t>
  </si>
  <si>
    <t>11-350-01-095200-51310</t>
  </si>
  <si>
    <t>Construction Technology : Academic Teaching NIC</t>
  </si>
  <si>
    <t>11-350-01-095200-51311</t>
  </si>
  <si>
    <t>Construction Technology : Academic Teaching PT</t>
  </si>
  <si>
    <t>11-350-01-095200-53110</t>
  </si>
  <si>
    <t>Construction Technology : STRS Teaching</t>
  </si>
  <si>
    <t>11-350-01-095200-53330</t>
  </si>
  <si>
    <t>Construction Technology : Medicare Teaching</t>
  </si>
  <si>
    <t>11-350-01-095200-53410</t>
  </si>
  <si>
    <t>Construction Technology : H &amp; W Teaching</t>
  </si>
  <si>
    <t>11-350-01-095200-53510</t>
  </si>
  <si>
    <t>Construction Technology : SUI Teaching</t>
  </si>
  <si>
    <t>11-350-01-095200-53610</t>
  </si>
  <si>
    <t>Construction Technology : WC Teaching</t>
  </si>
  <si>
    <t>11-350-01-095200-53910</t>
  </si>
  <si>
    <t>Construction Technology : Other Benefit-Teaching</t>
  </si>
  <si>
    <t>11-350-01-095200-54300</t>
  </si>
  <si>
    <t>Construction Technology : Supplies &amp; Materials</t>
  </si>
  <si>
    <t>11-350-01-095200-55300</t>
  </si>
  <si>
    <t>Construction Technology : Memberships</t>
  </si>
  <si>
    <t>11-350-01-095200-55309</t>
  </si>
  <si>
    <t>Construction Technology : Subscriptions</t>
  </si>
  <si>
    <t>11-350-01-095200-55630</t>
  </si>
  <si>
    <t>Construction Technology : Printing &amp; Duplicating - Inhouse</t>
  </si>
  <si>
    <t>11-350-01-095200-56400</t>
  </si>
  <si>
    <t>Construction Technology : Cap Equip - $200 to $4,999</t>
  </si>
  <si>
    <t>11-350-01-095220-55105</t>
  </si>
  <si>
    <t>Electrical Apprentice : Contract Services</t>
  </si>
  <si>
    <t>11-350-01-095300-51100</t>
  </si>
  <si>
    <t>Drafting Technology : Academic Teaching Full-time</t>
  </si>
  <si>
    <t>11-350-01-095300-53110</t>
  </si>
  <si>
    <t>Drafting Technology : STRS Teaching</t>
  </si>
  <si>
    <t>11-350-01-095300-53330</t>
  </si>
  <si>
    <t>Drafting Technology : Medicare Teaching</t>
  </si>
  <si>
    <t>11-350-01-095300-53410</t>
  </si>
  <si>
    <t>Drafting Technology : H &amp; W Teaching</t>
  </si>
  <si>
    <t>11-350-01-095300-53510</t>
  </si>
  <si>
    <t>Drafting Technology : SUI Teaching</t>
  </si>
  <si>
    <t>11-350-01-095300-53610</t>
  </si>
  <si>
    <t>Drafting Technology : WC Teaching</t>
  </si>
  <si>
    <t>11-350-01-095300-54300</t>
  </si>
  <si>
    <t>Drafting Technology : Supplies &amp; Materials</t>
  </si>
  <si>
    <t>11-350-01-095300-55630</t>
  </si>
  <si>
    <t>Drafting Technology : Printing &amp; Duplicating - Inhouse</t>
  </si>
  <si>
    <t>11-350-01-095300-55651</t>
  </si>
  <si>
    <t>Drafting Technology : Equipment Repairs</t>
  </si>
  <si>
    <t>11-350-01-095300-56300</t>
  </si>
  <si>
    <t>Drafting Technology : Capital Books &amp; Software</t>
  </si>
  <si>
    <t>11-350-01-095650-51100</t>
  </si>
  <si>
    <t>Welding Technology : Academic Teaching Full-time</t>
  </si>
  <si>
    <t>11-350-01-095650-51310</t>
  </si>
  <si>
    <t>Welding Technology : Academic Teaching NIC</t>
  </si>
  <si>
    <t>11-350-01-095650-51311</t>
  </si>
  <si>
    <t>Welding Technology : Academic Teaching PT</t>
  </si>
  <si>
    <t>11-350-01-095650-52200</t>
  </si>
  <si>
    <t>Welding Technology : Classified Permanent Instructional Aides</t>
  </si>
  <si>
    <t>11-350-01-095650-53110</t>
  </si>
  <si>
    <t>Welding Technology : STRS Teaching</t>
  </si>
  <si>
    <t>11-350-01-095650-53210</t>
  </si>
  <si>
    <t>Welding Technology : PERS Teaching</t>
  </si>
  <si>
    <t>11-350-01-095650-53310</t>
  </si>
  <si>
    <t>Welding Technology : OASDHI (FICA) Teaching</t>
  </si>
  <si>
    <t>11-350-01-095650-53330</t>
  </si>
  <si>
    <t>Welding Technology : Medicare Teaching</t>
  </si>
  <si>
    <t>11-350-01-095650-53410</t>
  </si>
  <si>
    <t>Welding Technology : H &amp; W Teaching</t>
  </si>
  <si>
    <t>11-350-01-095650-53510</t>
  </si>
  <si>
    <t>Welding Technology : SUI Teaching</t>
  </si>
  <si>
    <t>11-350-01-095650-53610</t>
  </si>
  <si>
    <t>Welding Technology : WC Teaching</t>
  </si>
  <si>
    <t>11-350-01-095650-54300</t>
  </si>
  <si>
    <t>Welding Technology : Supplies &amp; Materials</t>
  </si>
  <si>
    <t>11-350-01-095650-55630</t>
  </si>
  <si>
    <t>Welding Technology : Printing &amp; Duplicating - Inhouse</t>
  </si>
  <si>
    <t>11-350-01-095650-55651</t>
  </si>
  <si>
    <t>Welding Technology : Equipment Repairs</t>
  </si>
  <si>
    <t>11-350-01-095650-56400</t>
  </si>
  <si>
    <t>Welding Technology : Cap Equip - $200 to $4,999</t>
  </si>
  <si>
    <t>11-350-01-601000-51210</t>
  </si>
  <si>
    <t>11-350-01-601000-52105</t>
  </si>
  <si>
    <t>11-350-01-601000-52300</t>
  </si>
  <si>
    <t>11-350-01-601000-52350</t>
  </si>
  <si>
    <t>11-350-01-601000-53120</t>
  </si>
  <si>
    <t>11-350-01-601000-53220</t>
  </si>
  <si>
    <t>11-350-01-601000-53320</t>
  </si>
  <si>
    <t>11-350-01-601000-53340</t>
  </si>
  <si>
    <t>11-350-01-601000-53420</t>
  </si>
  <si>
    <t>11-350-01-601000-53520</t>
  </si>
  <si>
    <t>11-350-01-601000-53620</t>
  </si>
  <si>
    <t>11-350-01-601000-53920</t>
  </si>
  <si>
    <t>11-350-01-601000-54300</t>
  </si>
  <si>
    <t>11-350-01-601000-54349</t>
  </si>
  <si>
    <t>11-350-01-601000-55125</t>
  </si>
  <si>
    <t>11-350-01-601000-55200</t>
  </si>
  <si>
    <t>11-350-01-601000-55300</t>
  </si>
  <si>
    <t>11-350-01-601000-55309</t>
  </si>
  <si>
    <t>Academic Administration : Subscriptions</t>
  </si>
  <si>
    <t>11-350-01-601000-55600</t>
  </si>
  <si>
    <t>Academic Administration : Rents &amp; Leases</t>
  </si>
  <si>
    <t>11-350-01-601000-55630</t>
  </si>
  <si>
    <t>11-350-01-601000-55635</t>
  </si>
  <si>
    <t>11-350-01-601000-55650</t>
  </si>
  <si>
    <t>11-350-01-601000-55800</t>
  </si>
  <si>
    <t>Academic Administration : Other Costs</t>
  </si>
  <si>
    <t>11-350-01-601000-55830</t>
  </si>
  <si>
    <t>11-350-01-601000-56300</t>
  </si>
  <si>
    <t>Academic Administration : Capital Books &amp; Software</t>
  </si>
  <si>
    <t>11-360-00-160100-51100</t>
  </si>
  <si>
    <t>Library Science : Academic Teaching Full-time</t>
  </si>
  <si>
    <t>11-360-00-160100-51310</t>
  </si>
  <si>
    <t>Library Science : Academic Teaching NIC</t>
  </si>
  <si>
    <t>11-360-00-160100-51311</t>
  </si>
  <si>
    <t>Library Science : Academic Teaching PT</t>
  </si>
  <si>
    <t>11-360-00-160100-53110</t>
  </si>
  <si>
    <t>Library Science : STRS Teaching</t>
  </si>
  <si>
    <t>11-360-00-160100-53210</t>
  </si>
  <si>
    <t>Library Science : PERS Teaching</t>
  </si>
  <si>
    <t>11-360-00-160100-53310</t>
  </si>
  <si>
    <t>Library Science : OASDHI (FICA) Teaching</t>
  </si>
  <si>
    <t>11-360-00-160100-53330</t>
  </si>
  <si>
    <t>Library Science : Medicare Teaching</t>
  </si>
  <si>
    <t>11-360-00-160100-53410</t>
  </si>
  <si>
    <t>Library Science : H &amp; W Teaching</t>
  </si>
  <si>
    <t>11-360-00-160100-53510</t>
  </si>
  <si>
    <t>Library Science : SUI Teaching</t>
  </si>
  <si>
    <t>11-360-00-160100-53610</t>
  </si>
  <si>
    <t>Library Science : WC Teaching</t>
  </si>
  <si>
    <t>11-360-00-160100-54300</t>
  </si>
  <si>
    <t>Library Science : Supplies &amp; Materials</t>
  </si>
  <si>
    <t>11-360-00-160100-55200</t>
  </si>
  <si>
    <t>Library Science : Travel &amp; Conference</t>
  </si>
  <si>
    <t>11-360-00-160100-55630</t>
  </si>
  <si>
    <t>Library Science : Printing &amp; Duplicating - Inhouse</t>
  </si>
  <si>
    <t>11-360-00-490110-54300</t>
  </si>
  <si>
    <t>Interdisciplinary Studies : Supplies &amp; Materials</t>
  </si>
  <si>
    <t>11-360-00-490110-55200</t>
  </si>
  <si>
    <t>Interdisciplinary Studies : Travel &amp; Conference</t>
  </si>
  <si>
    <t>11-360-00-490110-56300</t>
  </si>
  <si>
    <t>Interdisciplinary Studies : Capital Books &amp; Software</t>
  </si>
  <si>
    <t>11-360-00-601000-51210</t>
  </si>
  <si>
    <t>11-360-00-601000-52105</t>
  </si>
  <si>
    <t>11-360-00-601000-52300</t>
  </si>
  <si>
    <t>11-360-00-601000-52360</t>
  </si>
  <si>
    <t>11-360-00-601000-53120</t>
  </si>
  <si>
    <t>11-360-00-601000-53220</t>
  </si>
  <si>
    <t>11-360-00-601000-53320</t>
  </si>
  <si>
    <t>11-360-00-601000-53340</t>
  </si>
  <si>
    <t>11-360-00-601000-53420</t>
  </si>
  <si>
    <t>11-360-00-601000-53520</t>
  </si>
  <si>
    <t>11-360-00-601000-53620</t>
  </si>
  <si>
    <t>11-360-00-601000-53920</t>
  </si>
  <si>
    <t>11-360-00-601000-54300</t>
  </si>
  <si>
    <t>11-360-00-601000-55630</t>
  </si>
  <si>
    <t>11-360-00-612000-51200</t>
  </si>
  <si>
    <t>Library Services : Academic Nonteaching Full-time</t>
  </si>
  <si>
    <t>11-360-00-612000-51411</t>
  </si>
  <si>
    <t>11-360-00-612000-51412</t>
  </si>
  <si>
    <t>Library Services : Acad Nonteach Special Projects</t>
  </si>
  <si>
    <t>11-360-00-612000-52105</t>
  </si>
  <si>
    <t>Library Services : Classified CSEA</t>
  </si>
  <si>
    <t>11-360-00-612000-52300</t>
  </si>
  <si>
    <t>Library Services : Classified Overtime</t>
  </si>
  <si>
    <t>11-360-00-612000-52350</t>
  </si>
  <si>
    <t>Library Services : Classified Student Dist Non-IA PT</t>
  </si>
  <si>
    <t>11-360-00-612000-53120</t>
  </si>
  <si>
    <t>11-360-00-612000-53220</t>
  </si>
  <si>
    <t>Library Services : PERS Nonteaching</t>
  </si>
  <si>
    <t>11-360-00-612000-53320</t>
  </si>
  <si>
    <t>Library Services : OASDHI (FICA) Nonteaching</t>
  </si>
  <si>
    <t>11-360-00-612000-53340</t>
  </si>
  <si>
    <t>11-360-00-612000-53420</t>
  </si>
  <si>
    <t>Library Services : H &amp; W Nonteaching</t>
  </si>
  <si>
    <t>11-360-00-612000-53520</t>
  </si>
  <si>
    <t>11-360-00-612000-53620</t>
  </si>
  <si>
    <t>11-360-00-612000-54300</t>
  </si>
  <si>
    <t>Library Services : Supplies &amp; Materials</t>
  </si>
  <si>
    <t>11-360-00-612000-55200</t>
  </si>
  <si>
    <t>Library Services : Travel &amp; Conference</t>
  </si>
  <si>
    <t>11-360-00-612000-55300</t>
  </si>
  <si>
    <t>Library Services : Memberships</t>
  </si>
  <si>
    <t>11-360-00-612000-55630</t>
  </si>
  <si>
    <t>11-360-00-612000-55650</t>
  </si>
  <si>
    <t>Library Services : Maintenance Agreement</t>
  </si>
  <si>
    <t>11-360-00-612000-56300</t>
  </si>
  <si>
    <t>Library Services : Capital Books &amp; Software</t>
  </si>
  <si>
    <t>11-360-00-612000-56310</t>
  </si>
  <si>
    <t>11-360-00-612000-56340</t>
  </si>
  <si>
    <t>Library Services : Bibliographic Utilities</t>
  </si>
  <si>
    <t>11-360-00-612000-56341</t>
  </si>
  <si>
    <t>Library Services : On-line Database Services</t>
  </si>
  <si>
    <t>11-360-00-613000-52105</t>
  </si>
  <si>
    <t>Instructional Media : Classified CSEA</t>
  </si>
  <si>
    <t>11-360-00-613000-52300</t>
  </si>
  <si>
    <t>Instructional Media : Classified Overtime</t>
  </si>
  <si>
    <t>11-360-00-613000-53220</t>
  </si>
  <si>
    <t>Instructional Media : PERS Nonteaching</t>
  </si>
  <si>
    <t>11-360-00-613000-53320</t>
  </si>
  <si>
    <t>Instructional Media : OASDHI (FICA) Nonteaching</t>
  </si>
  <si>
    <t>11-360-00-613000-53340</t>
  </si>
  <si>
    <t>Instructional Media : Medicare Nonteaching</t>
  </si>
  <si>
    <t>11-360-00-613000-53420</t>
  </si>
  <si>
    <t>Instructional Media : H &amp; W Nonteaching</t>
  </si>
  <si>
    <t>11-360-00-613000-53520</t>
  </si>
  <si>
    <t>Instructional Media : SUI Nonteaching</t>
  </si>
  <si>
    <t>11-360-00-613000-53620</t>
  </si>
  <si>
    <t>Instructional Media : WC Nonteaching</t>
  </si>
  <si>
    <t>11-360-00-613000-54300</t>
  </si>
  <si>
    <t>Instructional Media : Supplies &amp; Materials</t>
  </si>
  <si>
    <t>11-360-00-613000-55630</t>
  </si>
  <si>
    <t>Instructional Media : Printing &amp; Duplicating - Inhouse</t>
  </si>
  <si>
    <t>11-360-00-613000-56300</t>
  </si>
  <si>
    <t>Instructional Media : Capital Books &amp; Software</t>
  </si>
  <si>
    <t>11-360-00-613000-56400</t>
  </si>
  <si>
    <t>Instructional Media : Cap Equip - $200 to $4,999</t>
  </si>
  <si>
    <t>11-365-00-493034-51311</t>
  </si>
  <si>
    <t>Learning Skills Center : Academic Teaching PT</t>
  </si>
  <si>
    <t>11-365-00-493034-52350</t>
  </si>
  <si>
    <t>Learning Skills Center : Classified Student Dist Non-IA PT</t>
  </si>
  <si>
    <t>11-365-00-493034-52420</t>
  </si>
  <si>
    <t>Learning Skills Center : Classified Student Dist Instructional Aides PT</t>
  </si>
  <si>
    <t>11-365-00-493034-53110</t>
  </si>
  <si>
    <t>Learning Skills Center : STRS Teaching</t>
  </si>
  <si>
    <t>11-365-00-493034-53310</t>
  </si>
  <si>
    <t>Learning Skills Center : OASDHI (FICA) Teaching</t>
  </si>
  <si>
    <t>11-365-00-493034-53330</t>
  </si>
  <si>
    <t>Learning Skills Center : Medicare Teaching</t>
  </si>
  <si>
    <t>11-365-00-493034-53510</t>
  </si>
  <si>
    <t>Learning Skills Center : SUI Teaching</t>
  </si>
  <si>
    <t>11-365-00-493034-53610</t>
  </si>
  <si>
    <t>Learning Skills Center : WC Teaching</t>
  </si>
  <si>
    <t>11-365-00-493034-53620</t>
  </si>
  <si>
    <t>Learning Skills Center : WC Nonteaching</t>
  </si>
  <si>
    <t>11-365-00-493034-55630</t>
  </si>
  <si>
    <t>Learning Skills Center : Printing &amp; Duplicating - Inhouse</t>
  </si>
  <si>
    <t>11-365-00-493035-52105</t>
  </si>
  <si>
    <t>Tutorial Center : Classified CSEA</t>
  </si>
  <si>
    <t>11-365-00-493035-52350</t>
  </si>
  <si>
    <t>Tutorial Center : Classified Student Dist Non-IA PT</t>
  </si>
  <si>
    <t>11-365-00-493035-52360</t>
  </si>
  <si>
    <t>Tutorial Center : Class Nonstu NonIA PT Prof Exp</t>
  </si>
  <si>
    <t>11-365-00-493035-53220</t>
  </si>
  <si>
    <t>Tutorial Center : PERS Nonteaching</t>
  </si>
  <si>
    <t>11-365-00-493035-53320</t>
  </si>
  <si>
    <t>Tutorial Center : OASDHI (FICA) Nonteaching</t>
  </si>
  <si>
    <t>11-365-00-493035-53340</t>
  </si>
  <si>
    <t>Tutorial Center : Medicare Nonteaching</t>
  </si>
  <si>
    <t>11-365-00-493035-53420</t>
  </si>
  <si>
    <t>Tutorial Center : H &amp; W Nonteaching</t>
  </si>
  <si>
    <t>11-365-00-493035-53520</t>
  </si>
  <si>
    <t>Tutorial Center : SUI Nonteaching</t>
  </si>
  <si>
    <t>11-365-00-493035-53620</t>
  </si>
  <si>
    <t>Tutorial Center : WC Nonteaching</t>
  </si>
  <si>
    <t>11-365-00-493035-54300</t>
  </si>
  <si>
    <t>Tutorial Center : Supplies &amp; Materials</t>
  </si>
  <si>
    <t>11-365-00-493035-55300</t>
  </si>
  <si>
    <t>Tutorial Center : Memberships</t>
  </si>
  <si>
    <t>11-370-00-708300-52105</t>
  </si>
  <si>
    <t>Dept of Social &amp; Employ Svs : Classified CSEA</t>
  </si>
  <si>
    <t>11-370-00-708300-52130</t>
  </si>
  <si>
    <t>Dept of Social &amp; Employ Svs : Classified Management</t>
  </si>
  <si>
    <t>11-370-00-708300-52360</t>
  </si>
  <si>
    <t>Dept of Social &amp; Employ Svs : Class Nonstu NonIA PT Prof Exp</t>
  </si>
  <si>
    <t>11-370-00-708300-53220</t>
  </si>
  <si>
    <t>Dept of Social &amp; Employ Svs : PERS Nonteaching</t>
  </si>
  <si>
    <t>11-370-00-708300-53320</t>
  </si>
  <si>
    <t>Dept of Social &amp; Employ Svs : OASDHI (FICA) Nonteaching</t>
  </si>
  <si>
    <t>11-370-00-708300-53340</t>
  </si>
  <si>
    <t>Dept of Social &amp; Employ Svs : Medicare Nonteaching</t>
  </si>
  <si>
    <t>11-370-00-708300-53420</t>
  </si>
  <si>
    <t>Dept of Social &amp; Employ Svs : H &amp; W Nonteaching</t>
  </si>
  <si>
    <t>11-370-00-708300-53520</t>
  </si>
  <si>
    <t>Dept of Social &amp; Employ Svs : SUI Nonteaching</t>
  </si>
  <si>
    <t>11-370-00-708300-53620</t>
  </si>
  <si>
    <t>Dept of Social &amp; Employ Svs : WC Nonteaching</t>
  </si>
  <si>
    <t>11-370-00-708300-54210</t>
  </si>
  <si>
    <t>Dept of Social &amp; Employ Svs : Purchases - Food</t>
  </si>
  <si>
    <t>11-370-00-708300-54300</t>
  </si>
  <si>
    <t>Dept of Social &amp; Employ Svs : Supplies &amp; Materials</t>
  </si>
  <si>
    <t>11-370-00-708300-55100</t>
  </si>
  <si>
    <t>Dept of Social &amp; Employ Svs : Personal Service Contract - 1099</t>
  </si>
  <si>
    <t>11-370-00-708300-55105</t>
  </si>
  <si>
    <t>Dept of Social &amp; Employ Svs : Contract Services</t>
  </si>
  <si>
    <t>11-370-00-708300-55200</t>
  </si>
  <si>
    <t>Dept of Social &amp; Employ Svs : Travel &amp; Conference</t>
  </si>
  <si>
    <t>11-370-00-708300-55600</t>
  </si>
  <si>
    <t>Dept of Social &amp; Employ Svs : Rents &amp; Leases</t>
  </si>
  <si>
    <t>11-370-00-708300-55630</t>
  </si>
  <si>
    <t>Dept of Social &amp; Employ Svs : Printing &amp; Duplicating - Inhouse</t>
  </si>
  <si>
    <t>11-370-00-708300-55635</t>
  </si>
  <si>
    <t>Dept of Social &amp; Employ Svs : Printing Services - Vendor</t>
  </si>
  <si>
    <t>11-370-00-708300-57350</t>
  </si>
  <si>
    <t>Dept of Social &amp; Employ Svs : Tsf Indirect Costs-Interfund</t>
  </si>
  <si>
    <t>11-372-00-601000-51412</t>
  </si>
  <si>
    <t>11-372-00-601000-53120</t>
  </si>
  <si>
    <t>11-372-00-601000-53340</t>
  </si>
  <si>
    <t>11-372-00-601000-53520</t>
  </si>
  <si>
    <t>11-372-00-601000-53620</t>
  </si>
  <si>
    <t>11-372-00-601000-54300</t>
  </si>
  <si>
    <t>11-372-00-601000-55200</t>
  </si>
  <si>
    <t>11-372-00-601000-55821</t>
  </si>
  <si>
    <t>Academic Administration : Commercial Parcel Service</t>
  </si>
  <si>
    <t>11-372-00-601000-56400</t>
  </si>
  <si>
    <t>11-373-00-601000-51210</t>
  </si>
  <si>
    <t>11-373-00-601000-52105</t>
  </si>
  <si>
    <t>11-373-00-601000-53120</t>
  </si>
  <si>
    <t>11-373-00-601000-53220</t>
  </si>
  <si>
    <t>11-373-00-601000-53320</t>
  </si>
  <si>
    <t>11-373-00-601000-53340</t>
  </si>
  <si>
    <t>11-373-00-601000-53420</t>
  </si>
  <si>
    <t>11-373-00-601000-53520</t>
  </si>
  <si>
    <t>11-373-00-601000-53620</t>
  </si>
  <si>
    <t>11-373-00-601000-53920</t>
  </si>
  <si>
    <t>11-375-00-085000-51311</t>
  </si>
  <si>
    <t>American Sign Language : Academic Teaching PT</t>
  </si>
  <si>
    <t>11-375-00-085000-51412</t>
  </si>
  <si>
    <t>American Sign Language : Acad Nonteach Special Projects</t>
  </si>
  <si>
    <t>11-375-00-085000-53110</t>
  </si>
  <si>
    <t>American Sign Language : STRS Teaching</t>
  </si>
  <si>
    <t>11-375-00-085000-53120</t>
  </si>
  <si>
    <t>American Sign Language : STRS Nonteaching</t>
  </si>
  <si>
    <t>11-375-00-085000-53330</t>
  </si>
  <si>
    <t>American Sign Language : Medicare Teaching</t>
  </si>
  <si>
    <t>11-375-00-085000-53340</t>
  </si>
  <si>
    <t>American Sign Language : Medicare Nonteaching</t>
  </si>
  <si>
    <t>11-375-00-085000-53510</t>
  </si>
  <si>
    <t>American Sign Language : SUI Teaching</t>
  </si>
  <si>
    <t>11-375-00-085000-53520</t>
  </si>
  <si>
    <t>American Sign Language : SUI Nonteaching</t>
  </si>
  <si>
    <t>11-375-00-085000-53610</t>
  </si>
  <si>
    <t>American Sign Language : WC Teaching</t>
  </si>
  <si>
    <t>11-375-00-085000-53620</t>
  </si>
  <si>
    <t>American Sign Language : WC Nonteaching</t>
  </si>
  <si>
    <t>11-375-00-085000-55105</t>
  </si>
  <si>
    <t>American Sign Language : Contract Services</t>
  </si>
  <si>
    <t>11-375-00-110500-51100</t>
  </si>
  <si>
    <t>Spanish : Academic Teaching Full-time</t>
  </si>
  <si>
    <t>11-375-00-110500-51310</t>
  </si>
  <si>
    <t>Spanish : Academic Teaching NIC</t>
  </si>
  <si>
    <t>11-375-00-110500-51311</t>
  </si>
  <si>
    <t>11-375-00-110500-53110</t>
  </si>
  <si>
    <t>11-375-00-110500-53310</t>
  </si>
  <si>
    <t>Spanish : OASDHI (FICA) Teaching</t>
  </si>
  <si>
    <t>11-375-00-110500-53330</t>
  </si>
  <si>
    <t>11-375-00-110500-53410</t>
  </si>
  <si>
    <t>Spanish : H &amp; W Teaching</t>
  </si>
  <si>
    <t>11-375-00-110500-53510</t>
  </si>
  <si>
    <t>11-375-00-110500-53610</t>
  </si>
  <si>
    <t>11-375-00-110500-54300</t>
  </si>
  <si>
    <t>Spanish : Supplies &amp; Materials</t>
  </si>
  <si>
    <t>11-375-00-110500-55630</t>
  </si>
  <si>
    <t>Spanish : Printing &amp; Duplicating - Inhouse</t>
  </si>
  <si>
    <t>11-375-00-150100-51100</t>
  </si>
  <si>
    <t>English : Academic Teaching Full-time</t>
  </si>
  <si>
    <t>11-375-00-150100-51310</t>
  </si>
  <si>
    <t>English : Academic Teaching NIC</t>
  </si>
  <si>
    <t>11-375-00-150100-51311</t>
  </si>
  <si>
    <t>11-375-00-150100-53110</t>
  </si>
  <si>
    <t>11-375-00-150100-53310</t>
  </si>
  <si>
    <t>11-375-00-150100-53330</t>
  </si>
  <si>
    <t>11-375-00-150100-53410</t>
  </si>
  <si>
    <t>English : H &amp; W Teaching</t>
  </si>
  <si>
    <t>11-375-00-150100-53510</t>
  </si>
  <si>
    <t>11-375-00-150100-53610</t>
  </si>
  <si>
    <t>11-375-00-150100-53910</t>
  </si>
  <si>
    <t>English : Other Benefit-Teaching</t>
  </si>
  <si>
    <t>11-375-00-150100-54300</t>
  </si>
  <si>
    <t>English : Supplies &amp; Materials</t>
  </si>
  <si>
    <t>11-375-00-150100-55300</t>
  </si>
  <si>
    <t>English : Memberships</t>
  </si>
  <si>
    <t>11-375-00-150100-55630</t>
  </si>
  <si>
    <t>11-375-00-150600-51100</t>
  </si>
  <si>
    <t>Speech : Academic Teaching Full-time</t>
  </si>
  <si>
    <t>11-375-00-150600-51310</t>
  </si>
  <si>
    <t>Speech : Academic Teaching NIC</t>
  </si>
  <si>
    <t>11-375-00-150600-51311</t>
  </si>
  <si>
    <t>11-375-00-150600-53110</t>
  </si>
  <si>
    <t>11-375-00-150600-53310</t>
  </si>
  <si>
    <t>Speech : OASDHI (FICA) Teaching</t>
  </si>
  <si>
    <t>11-375-00-150600-53330</t>
  </si>
  <si>
    <t>11-375-00-150600-53410</t>
  </si>
  <si>
    <t>Speech : H &amp; W Teaching</t>
  </si>
  <si>
    <t>11-375-00-150600-53510</t>
  </si>
  <si>
    <t>11-375-00-150600-53610</t>
  </si>
  <si>
    <t>11-375-00-150600-54300</t>
  </si>
  <si>
    <t>Speech : Supplies &amp; Materials</t>
  </si>
  <si>
    <t>11-375-00-150600-55200</t>
  </si>
  <si>
    <t>Speech : Travel &amp; Conference</t>
  </si>
  <si>
    <t>11-375-00-150600-55630</t>
  </si>
  <si>
    <t>11-375-00-493080-51100</t>
  </si>
  <si>
    <t>ESL : Academic Teaching Full-time</t>
  </si>
  <si>
    <t>11-375-00-493080-51310</t>
  </si>
  <si>
    <t>ESL : Academic Teaching NIC</t>
  </si>
  <si>
    <t>11-375-00-493080-51311</t>
  </si>
  <si>
    <t>11-375-00-493080-53110</t>
  </si>
  <si>
    <t>11-375-00-493080-53330</t>
  </si>
  <si>
    <t>11-375-00-493080-53410</t>
  </si>
  <si>
    <t>ESL : H &amp; W Teaching</t>
  </si>
  <si>
    <t>11-375-00-493080-53510</t>
  </si>
  <si>
    <t>11-375-00-493080-53610</t>
  </si>
  <si>
    <t>11-375-00-493080-54300</t>
  </si>
  <si>
    <t>ESL : Supplies &amp; Materials</t>
  </si>
  <si>
    <t>11-375-00-493080-55630</t>
  </si>
  <si>
    <t>ESL : Printing &amp; Duplicating - Inhouse</t>
  </si>
  <si>
    <t>11-395-00-635050-51412</t>
  </si>
  <si>
    <t>ACE Program : Acad Nonteach Special Projects</t>
  </si>
  <si>
    <t>11-395-00-635050-52105</t>
  </si>
  <si>
    <t>ACE Program : Classified CSEA</t>
  </si>
  <si>
    <t>11-395-00-635050-52350</t>
  </si>
  <si>
    <t>ACE Program : Classified Student Dist Non-IA PT</t>
  </si>
  <si>
    <t>11-395-00-635050-52360</t>
  </si>
  <si>
    <t>ACE Program : Class Nonstu NonIA PT Prof Exp</t>
  </si>
  <si>
    <t>11-395-00-635050-53120</t>
  </si>
  <si>
    <t>ACE Program : STRS Nonteaching</t>
  </si>
  <si>
    <t>11-395-00-635050-53220</t>
  </si>
  <si>
    <t>ACE Program : PERS Nonteaching</t>
  </si>
  <si>
    <t>11-395-00-635050-53320</t>
  </si>
  <si>
    <t>ACE Program : OASDHI (FICA) Nonteaching</t>
  </si>
  <si>
    <t>11-395-00-635050-53340</t>
  </si>
  <si>
    <t>ACE Program : Medicare Nonteaching</t>
  </si>
  <si>
    <t>11-395-00-635050-53420</t>
  </si>
  <si>
    <t>ACE Program : H &amp; W Nonteaching</t>
  </si>
  <si>
    <t>11-395-00-635050-53520</t>
  </si>
  <si>
    <t>ACE Program : SUI Nonteaching</t>
  </si>
  <si>
    <t>11-395-00-635050-53620</t>
  </si>
  <si>
    <t>ACE Program : WC Nonteaching</t>
  </si>
  <si>
    <t>11-395-00-635050-54210</t>
  </si>
  <si>
    <t>ACE Program : Purchases - Food</t>
  </si>
  <si>
    <t>11-395-00-635050-54300</t>
  </si>
  <si>
    <t>ACE Program : Supplies &amp; Materials</t>
  </si>
  <si>
    <t>11-395-00-635050-55105</t>
  </si>
  <si>
    <t>ACE Program : Contract Services</t>
  </si>
  <si>
    <t>11-395-00-635050-55125</t>
  </si>
  <si>
    <t>ACE Program : Training &amp; Seminars</t>
  </si>
  <si>
    <t>11-395-00-635050-55200</t>
  </si>
  <si>
    <t>ACE Program : Travel &amp; Conference</t>
  </si>
  <si>
    <t>11-395-00-635050-55630</t>
  </si>
  <si>
    <t>ACE Program : Printing &amp; Duplicating - Inhouse</t>
  </si>
  <si>
    <t>11-395-00-635050-55650</t>
  </si>
  <si>
    <t>ACE Program : Maintenance Agreement</t>
  </si>
  <si>
    <t>11-395-00-635050-56400</t>
  </si>
  <si>
    <t>ACE Program : Cap Equip - $200 to $4,999</t>
  </si>
  <si>
    <t>11-395-00-696000-52130</t>
  </si>
  <si>
    <t>Student Activities : Classified Management</t>
  </si>
  <si>
    <t>11-395-00-696000-53220</t>
  </si>
  <si>
    <t>Student Activities : PERS Nonteaching</t>
  </si>
  <si>
    <t>11-395-00-696000-53320</t>
  </si>
  <si>
    <t>Student Activities : OASDHI (FICA) Nonteaching</t>
  </si>
  <si>
    <t>11-395-00-696000-53340</t>
  </si>
  <si>
    <t>Student Activities : Medicare Nonteaching</t>
  </si>
  <si>
    <t>11-395-00-696000-53420</t>
  </si>
  <si>
    <t>Student Activities : H &amp; W Nonteaching</t>
  </si>
  <si>
    <t>11-395-00-696000-53520</t>
  </si>
  <si>
    <t>Student Activities : SUI Nonteaching</t>
  </si>
  <si>
    <t>11-395-00-696000-53620</t>
  </si>
  <si>
    <t>Student Activities : WC Nonteaching</t>
  </si>
  <si>
    <t>11-395-00-696000-53920</t>
  </si>
  <si>
    <t>Student Activities : Other Benefit-Non Teaching</t>
  </si>
  <si>
    <t>11-395-00-696000-55630</t>
  </si>
  <si>
    <t>Student Activities : Printing &amp; Duplicating - Inhouse</t>
  </si>
  <si>
    <t>11-398-00-000000-48630</t>
  </si>
  <si>
    <t>11-399-00-000000-48680</t>
  </si>
  <si>
    <t>General Use - Nonprogram : State Lottery</t>
  </si>
  <si>
    <t>11-400-00-493010-51310</t>
  </si>
  <si>
    <t>Counseling Instruction : Academic Teaching NIC</t>
  </si>
  <si>
    <t>11-400-00-493010-53110</t>
  </si>
  <si>
    <t>11-400-00-493010-53330</t>
  </si>
  <si>
    <t>11-400-00-493010-53510</t>
  </si>
  <si>
    <t>11-400-00-493010-53610</t>
  </si>
  <si>
    <t>11-400-00-620020-52300</t>
  </si>
  <si>
    <t>Graduation Program : Classified Overtime</t>
  </si>
  <si>
    <t>11-400-00-620020-53320</t>
  </si>
  <si>
    <t>Graduation Program : OASDHI (FICA) Nonteaching</t>
  </si>
  <si>
    <t>11-400-00-620020-53340</t>
  </si>
  <si>
    <t>Graduation Program : Medicare Nonteaching</t>
  </si>
  <si>
    <t>11-400-00-620020-53520</t>
  </si>
  <si>
    <t>Graduation Program : SUI Nonteaching</t>
  </si>
  <si>
    <t>11-400-00-620020-53620</t>
  </si>
  <si>
    <t>Graduation Program : WC Nonteaching</t>
  </si>
  <si>
    <t>11-400-00-620020-54300</t>
  </si>
  <si>
    <t>Graduation Program : Supplies &amp; Materials</t>
  </si>
  <si>
    <t>11-400-00-620020-55100</t>
  </si>
  <si>
    <t>Graduation Program : Personal Service Contract - 1099</t>
  </si>
  <si>
    <t>11-400-00-620020-55635</t>
  </si>
  <si>
    <t>Graduation Program : Printing Services - Vendor</t>
  </si>
  <si>
    <t>11-400-00-631000-51200</t>
  </si>
  <si>
    <t>Counseling &amp; Guidance : Academic Nonteaching Full-time</t>
  </si>
  <si>
    <t>11-400-00-631000-51210</t>
  </si>
  <si>
    <t>Counseling &amp; Guidance : Academic Nonteaching Management</t>
  </si>
  <si>
    <t>11-400-00-631000-51310</t>
  </si>
  <si>
    <t>Counseling &amp; Guidance : Academic Teaching NIC</t>
  </si>
  <si>
    <t>11-400-00-631000-51311</t>
  </si>
  <si>
    <t>11-400-00-631000-51410</t>
  </si>
  <si>
    <t>Counseling &amp; Guidance : Academic Nonteaching NIC</t>
  </si>
  <si>
    <t>11-400-00-631000-51411</t>
  </si>
  <si>
    <t>11-400-00-631000-52105</t>
  </si>
  <si>
    <t>Counseling &amp; Guidance : Classified CSEA</t>
  </si>
  <si>
    <t>11-400-00-631000-52300</t>
  </si>
  <si>
    <t>Counseling &amp; Guidance : Classified Overtime</t>
  </si>
  <si>
    <t>11-400-00-631000-52360</t>
  </si>
  <si>
    <t>Counseling &amp; Guidance : Class Nonstu NonIA PT Prof Exp</t>
  </si>
  <si>
    <t>11-400-00-631000-53110</t>
  </si>
  <si>
    <t>11-400-00-631000-53120</t>
  </si>
  <si>
    <t>11-400-00-631000-53220</t>
  </si>
  <si>
    <t>Counseling &amp; Guidance : PERS Nonteaching</t>
  </si>
  <si>
    <t>11-400-00-631000-53310</t>
  </si>
  <si>
    <t>Counseling &amp; Guidance : OASDHI (FICA) Teaching</t>
  </si>
  <si>
    <t>11-400-00-631000-53320</t>
  </si>
  <si>
    <t>Counseling &amp; Guidance : OASDHI (FICA) Nonteaching</t>
  </si>
  <si>
    <t>11-400-00-631000-53330</t>
  </si>
  <si>
    <t>11-400-00-631000-53340</t>
  </si>
  <si>
    <t>11-400-00-631000-53410</t>
  </si>
  <si>
    <t>Counseling &amp; Guidance : H &amp; W Teaching</t>
  </si>
  <si>
    <t>11-400-00-631000-53420</t>
  </si>
  <si>
    <t>Counseling &amp; Guidance : H &amp; W Nonteaching</t>
  </si>
  <si>
    <t>11-400-00-631000-53510</t>
  </si>
  <si>
    <t>11-400-00-631000-53520</t>
  </si>
  <si>
    <t>11-400-00-631000-53610</t>
  </si>
  <si>
    <t>11-400-00-631000-53620</t>
  </si>
  <si>
    <t>11-400-00-631000-53920</t>
  </si>
  <si>
    <t>Counseling &amp; Guidance : Other Benefit-Non Teaching</t>
  </si>
  <si>
    <t>11-400-00-631000-54300</t>
  </si>
  <si>
    <t>Counseling &amp; Guidance : Supplies &amp; Materials</t>
  </si>
  <si>
    <t>11-400-00-631000-55630</t>
  </si>
  <si>
    <t>11-400-00-631020-52360</t>
  </si>
  <si>
    <t>Crisis Counseling : Class Nonstu NonIA PT Prof Exp</t>
  </si>
  <si>
    <t>11-400-00-631020-53120</t>
  </si>
  <si>
    <t>Crisis Counseling : STRS Nonteaching</t>
  </si>
  <si>
    <t>11-400-00-631020-53220</t>
  </si>
  <si>
    <t>Crisis Counseling : PERS Nonteaching</t>
  </si>
  <si>
    <t>11-400-00-631020-53320</t>
  </si>
  <si>
    <t>Crisis Counseling : OASDHI (FICA) Nonteaching</t>
  </si>
  <si>
    <t>11-400-00-631020-53340</t>
  </si>
  <si>
    <t>Crisis Counseling : Medicare Nonteaching</t>
  </si>
  <si>
    <t>11-400-00-631020-53420</t>
  </si>
  <si>
    <t>Crisis Counseling : H &amp; W Nonteaching</t>
  </si>
  <si>
    <t>11-400-00-631020-53520</t>
  </si>
  <si>
    <t>Crisis Counseling : SUI Nonteaching</t>
  </si>
  <si>
    <t>11-400-00-631020-53620</t>
  </si>
  <si>
    <t>Crisis Counseling : WC Nonteaching</t>
  </si>
  <si>
    <t>11-400-00-631020-55630</t>
  </si>
  <si>
    <t>Crisis Counseling : Printing &amp; Duplicating - Inhouse</t>
  </si>
  <si>
    <t>11-400-00-633050-52310</t>
  </si>
  <si>
    <t>Transfer Center : Classified Student FWS Non-IA</t>
  </si>
  <si>
    <t>11-400-00-633050-53620</t>
  </si>
  <si>
    <t>Transfer Center : WC Nonteaching</t>
  </si>
  <si>
    <t>11-400-00-634000-51200</t>
  </si>
  <si>
    <t>Career Center : Academic Nonteaching Full-time</t>
  </si>
  <si>
    <t>11-400-00-634000-52105</t>
  </si>
  <si>
    <t>Career Center : Classified CSEA</t>
  </si>
  <si>
    <t>11-400-00-634000-52300</t>
  </si>
  <si>
    <t>Career Center : Classified Overtime</t>
  </si>
  <si>
    <t>11-400-00-634000-53120</t>
  </si>
  <si>
    <t>Career Center : STRS Nonteaching</t>
  </si>
  <si>
    <t>11-400-00-634000-53220</t>
  </si>
  <si>
    <t>Career Center : PERS Nonteaching</t>
  </si>
  <si>
    <t>11-400-00-634000-53320</t>
  </si>
  <si>
    <t>Career Center : OASDHI (FICA) Nonteaching</t>
  </si>
  <si>
    <t>11-400-00-634000-53340</t>
  </si>
  <si>
    <t>Career Center : Medicare Nonteaching</t>
  </si>
  <si>
    <t>11-400-00-634000-53420</t>
  </si>
  <si>
    <t>Career Center : H &amp; W Nonteaching</t>
  </si>
  <si>
    <t>11-400-00-634000-53520</t>
  </si>
  <si>
    <t>Career Center : SUI Nonteaching</t>
  </si>
  <si>
    <t>11-400-00-634000-53620</t>
  </si>
  <si>
    <t>Career Center : WC Nonteaching</t>
  </si>
  <si>
    <t>11-400-00-634000-53920</t>
  </si>
  <si>
    <t>Career Center : Other Benefit-Non Teaching</t>
  </si>
  <si>
    <t>11-400-00-634000-54300</t>
  </si>
  <si>
    <t>Career Center : Supplies &amp; Materials</t>
  </si>
  <si>
    <t>11-400-00-634000-55200</t>
  </si>
  <si>
    <t>Career Center : Travel &amp; Conference</t>
  </si>
  <si>
    <t>11-400-00-634000-55630</t>
  </si>
  <si>
    <t>Career Center : Printing &amp; Duplicating - Inhouse</t>
  </si>
  <si>
    <t>11-400-00-665000-51210</t>
  </si>
  <si>
    <t>Student Services Administration : Academic Nonteaching Management</t>
  </si>
  <si>
    <t>11-400-00-665000-52120</t>
  </si>
  <si>
    <t>Student Services Administration : Classified Confidential</t>
  </si>
  <si>
    <t>11-400-00-665000-52300</t>
  </si>
  <si>
    <t>Student Services Administration : Classified Overtime</t>
  </si>
  <si>
    <t>11-400-00-665000-52360</t>
  </si>
  <si>
    <t>Student Services Administration : Class Nonstu NonIA PT Prof Exp</t>
  </si>
  <si>
    <t>11-400-00-665000-53120</t>
  </si>
  <si>
    <t>Student Services Administration : STRS Nonteaching</t>
  </si>
  <si>
    <t>11-400-00-665000-53220</t>
  </si>
  <si>
    <t>Student Services Administration : PERS Nonteaching</t>
  </si>
  <si>
    <t>11-400-00-665000-53320</t>
  </si>
  <si>
    <t>Student Services Administration : OASDHI (FICA) Nonteaching</t>
  </si>
  <si>
    <t>11-400-00-665000-53340</t>
  </si>
  <si>
    <t>Student Services Administration : Medicare Nonteaching</t>
  </si>
  <si>
    <t>11-400-00-665000-53420</t>
  </si>
  <si>
    <t>Student Services Administration : H &amp; W Nonteaching</t>
  </si>
  <si>
    <t>11-400-00-665000-53520</t>
  </si>
  <si>
    <t>Student Services Administration : SUI Nonteaching</t>
  </si>
  <si>
    <t>11-400-00-665000-53620</t>
  </si>
  <si>
    <t>Student Services Administration : WC Nonteaching</t>
  </si>
  <si>
    <t>11-400-00-665000-53920</t>
  </si>
  <si>
    <t>Student Services Administration : Other Benefit-Non Teaching</t>
  </si>
  <si>
    <t>11-400-00-665000-54300</t>
  </si>
  <si>
    <t>Student Services Administration : Supplies &amp; Materials</t>
  </si>
  <si>
    <t>11-400-00-665000-55100</t>
  </si>
  <si>
    <t>Student Services Administration : Personal Service Contract - 1099</t>
  </si>
  <si>
    <t>11-400-00-665000-55105</t>
  </si>
  <si>
    <t>Student Services Administration : Contract Services</t>
  </si>
  <si>
    <t>11-400-00-665000-55200</t>
  </si>
  <si>
    <t>Student Services Administration : Travel &amp; Conference</t>
  </si>
  <si>
    <t>11-400-00-665000-55300</t>
  </si>
  <si>
    <t>Student Services Administration : Memberships</t>
  </si>
  <si>
    <t>11-400-00-665000-55400</t>
  </si>
  <si>
    <t>Student Services Administration : Insurance</t>
  </si>
  <si>
    <t>11-400-00-665000-55630</t>
  </si>
  <si>
    <t>Student Services Administration : Printing &amp; Duplicating - Inhouse</t>
  </si>
  <si>
    <t>11-400-00-696000-52105</t>
  </si>
  <si>
    <t>Student Activities : Classified CSEA</t>
  </si>
  <si>
    <t>11-400-00-696000-52130</t>
  </si>
  <si>
    <t>11-400-00-696000-52300</t>
  </si>
  <si>
    <t>Student Activities : Classified Overtime</t>
  </si>
  <si>
    <t>11-400-00-696000-53220</t>
  </si>
  <si>
    <t>11-400-00-696000-53320</t>
  </si>
  <si>
    <t>11-400-00-696000-53340</t>
  </si>
  <si>
    <t>11-400-00-696000-53420</t>
  </si>
  <si>
    <t>11-400-00-696000-53520</t>
  </si>
  <si>
    <t>11-400-00-696000-53620</t>
  </si>
  <si>
    <t>11-400-00-696000-53920</t>
  </si>
  <si>
    <t>11-400-00-696000-54300</t>
  </si>
  <si>
    <t>Student Activities : Supplies &amp; Materials</t>
  </si>
  <si>
    <t>11-400-00-696000-55630</t>
  </si>
  <si>
    <t>11-400-00-703602-51200</t>
  </si>
  <si>
    <t>First 5 ECE Counselors : Academic Nonteaching Full-time</t>
  </si>
  <si>
    <t>11-400-00-703602-53120</t>
  </si>
  <si>
    <t>First 5 ECE Counselors : STRS Nonteaching</t>
  </si>
  <si>
    <t>11-400-00-703602-53340</t>
  </si>
  <si>
    <t>First 5 ECE Counselors : Medicare Nonteaching</t>
  </si>
  <si>
    <t>11-400-00-703602-53420</t>
  </si>
  <si>
    <t>First 5 ECE Counselors : H &amp; W Nonteaching</t>
  </si>
  <si>
    <t>11-400-00-703602-53520</t>
  </si>
  <si>
    <t>First 5 ECE Counselors : SUI Nonteaching</t>
  </si>
  <si>
    <t>11-400-00-703602-53620</t>
  </si>
  <si>
    <t>First 5 ECE Counselors : WC Nonteaching</t>
  </si>
  <si>
    <t>11-400-01-130500-52105</t>
  </si>
  <si>
    <t>Early Childhood Education : Classified CSEA</t>
  </si>
  <si>
    <t>11-400-01-130500-53220</t>
  </si>
  <si>
    <t>Early Childhood Education : PERS Nonteaching</t>
  </si>
  <si>
    <t>11-400-01-130500-53320</t>
  </si>
  <si>
    <t>Early Childhood Education : OASDHI (FICA) Nonteaching</t>
  </si>
  <si>
    <t>11-400-01-130500-53340</t>
  </si>
  <si>
    <t>Early Childhood Education : Medicare Nonteaching</t>
  </si>
  <si>
    <t>11-400-01-130500-53420</t>
  </si>
  <si>
    <t>Early Childhood Education : H &amp; W Nonteaching</t>
  </si>
  <si>
    <t>11-400-01-130500-53520</t>
  </si>
  <si>
    <t>Early Childhood Education : SUI Nonteaching</t>
  </si>
  <si>
    <t>11-400-01-130500-53620</t>
  </si>
  <si>
    <t>Early Childhood Education : WC Nonteaching</t>
  </si>
  <si>
    <t>11-410-00-620000-48885</t>
  </si>
  <si>
    <t>Admissions &amp; Records : Other Student Fees &amp; Charges</t>
  </si>
  <si>
    <t>11-410-00-620000-52105</t>
  </si>
  <si>
    <t>Admissions &amp; Records : Classified CSEA</t>
  </si>
  <si>
    <t>11-410-00-620000-52130</t>
  </si>
  <si>
    <t>Admissions &amp; Records : Classified Management</t>
  </si>
  <si>
    <t>11-410-00-620000-52300</t>
  </si>
  <si>
    <t>Admissions &amp; Records : Classified Overtime</t>
  </si>
  <si>
    <t>11-410-00-620000-52360</t>
  </si>
  <si>
    <t>Admissions &amp; Records : Class Nonstu NonIA PT Prof Exp</t>
  </si>
  <si>
    <t>11-410-00-620000-53220</t>
  </si>
  <si>
    <t>Admissions &amp; Records : PERS Nonteaching</t>
  </si>
  <si>
    <t>11-410-00-620000-53320</t>
  </si>
  <si>
    <t>Admissions &amp; Records : OASDHI (FICA) Nonteaching</t>
  </si>
  <si>
    <t>11-410-00-620000-53340</t>
  </si>
  <si>
    <t>Admissions &amp; Records : Medicare Nonteaching</t>
  </si>
  <si>
    <t>11-410-00-620000-53420</t>
  </si>
  <si>
    <t>Admissions &amp; Records : H &amp; W Nonteaching</t>
  </si>
  <si>
    <t>11-410-00-620000-53520</t>
  </si>
  <si>
    <t>Admissions &amp; Records : SUI Nonteaching</t>
  </si>
  <si>
    <t>11-410-00-620000-53620</t>
  </si>
  <si>
    <t>Admissions &amp; Records : WC Nonteaching</t>
  </si>
  <si>
    <t>11-410-00-620000-53920</t>
  </si>
  <si>
    <t>Admissions &amp; Records : Other Benefit-Non Teaching</t>
  </si>
  <si>
    <t>11-410-00-620000-54300</t>
  </si>
  <si>
    <t>Admissions &amp; Records : Supplies &amp; Materials</t>
  </si>
  <si>
    <t>11-410-00-620000-55200</t>
  </si>
  <si>
    <t>Admissions &amp; Records : Travel &amp; Conference</t>
  </si>
  <si>
    <t>11-410-00-620000-55300</t>
  </si>
  <si>
    <t>Admissions &amp; Records : Memberships</t>
  </si>
  <si>
    <t>11-410-00-620000-55630</t>
  </si>
  <si>
    <t>Admissions &amp; Records : Printing &amp; Duplicating - Inhouse</t>
  </si>
  <si>
    <t>11-410-00-620000-55635</t>
  </si>
  <si>
    <t>Admissions &amp; Records : Printing Services - Vendor</t>
  </si>
  <si>
    <t>11-410-00-620000-55650</t>
  </si>
  <si>
    <t>Admissions &amp; Records : Maintenance Agreement</t>
  </si>
  <si>
    <t>11-420-00-646000-52105</t>
  </si>
  <si>
    <t>Financial Aid : Classified CSEA</t>
  </si>
  <si>
    <t>11-420-00-646000-52130</t>
  </si>
  <si>
    <t>Financial Aid : Classified Management</t>
  </si>
  <si>
    <t>11-420-00-646000-52300</t>
  </si>
  <si>
    <t>Financial Aid : Classified Overtime</t>
  </si>
  <si>
    <t>11-420-00-646000-52310</t>
  </si>
  <si>
    <t>Financial Aid : Classified Student FWS Non-IA</t>
  </si>
  <si>
    <t>11-420-00-646000-52360</t>
  </si>
  <si>
    <t>Financial Aid : Class Nonstu NonIA PT Prof Exp</t>
  </si>
  <si>
    <t>11-420-00-646000-53220</t>
  </si>
  <si>
    <t>Financial Aid : PERS Nonteaching</t>
  </si>
  <si>
    <t>11-420-00-646000-53320</t>
  </si>
  <si>
    <t>Financial Aid : OASDHI (FICA) Nonteaching</t>
  </si>
  <si>
    <t>11-420-00-646000-53340</t>
  </si>
  <si>
    <t>Financial Aid : Medicare Nonteaching</t>
  </si>
  <si>
    <t>11-420-00-646000-53420</t>
  </si>
  <si>
    <t>Financial Aid : H &amp; W Nonteaching</t>
  </si>
  <si>
    <t>11-420-00-646000-53520</t>
  </si>
  <si>
    <t>Financial Aid : SUI Nonteaching</t>
  </si>
  <si>
    <t>11-420-00-646000-53620</t>
  </si>
  <si>
    <t>Financial Aid : WC Nonteaching</t>
  </si>
  <si>
    <t>11-420-00-646000-53920</t>
  </si>
  <si>
    <t>Financial Aid : Other Benefit-Non Teaching</t>
  </si>
  <si>
    <t>11-420-00-646000-54300</t>
  </si>
  <si>
    <t>Financial Aid : Supplies &amp; Materials</t>
  </si>
  <si>
    <t>11-420-00-646000-55200</t>
  </si>
  <si>
    <t>Financial Aid : Travel &amp; Conference</t>
  </si>
  <si>
    <t>11-420-00-646000-55300</t>
  </si>
  <si>
    <t>Financial Aid : Memberships</t>
  </si>
  <si>
    <t>11-420-00-646000-55309</t>
  </si>
  <si>
    <t>Financial Aid : Subscriptions</t>
  </si>
  <si>
    <t>11-420-00-646000-55630</t>
  </si>
  <si>
    <t>Financial Aid : Printing &amp; Duplicating - Inhouse</t>
  </si>
  <si>
    <t>11-420-00-646021-52105</t>
  </si>
  <si>
    <t>Scholarship Operations : Classified CSEA</t>
  </si>
  <si>
    <t>11-420-00-646021-52300</t>
  </si>
  <si>
    <t>Scholarship Operations : Classified Overtime</t>
  </si>
  <si>
    <t>11-420-00-646021-53220</t>
  </si>
  <si>
    <t>Scholarship Operations : PERS Nonteaching</t>
  </si>
  <si>
    <t>11-420-00-646021-53320</t>
  </si>
  <si>
    <t>Scholarship Operations : OASDHI (FICA) Nonteaching</t>
  </si>
  <si>
    <t>11-420-00-646021-53340</t>
  </si>
  <si>
    <t>Scholarship Operations : Medicare Nonteaching</t>
  </si>
  <si>
    <t>11-420-00-646021-53420</t>
  </si>
  <si>
    <t>Scholarship Operations : H &amp; W Nonteaching</t>
  </si>
  <si>
    <t>11-420-00-646021-53520</t>
  </si>
  <si>
    <t>Scholarship Operations : SUI Nonteaching</t>
  </si>
  <si>
    <t>11-420-00-646021-53620</t>
  </si>
  <si>
    <t>Scholarship Operations : WC Nonteaching</t>
  </si>
  <si>
    <t>11-420-00-646021-55630</t>
  </si>
  <si>
    <t>Scholarship Operations : Printing &amp; Duplicating - Inhouse</t>
  </si>
  <si>
    <t>11-420-00-648000-51200</t>
  </si>
  <si>
    <t>Veterans : Academic Nonteaching Full-time</t>
  </si>
  <si>
    <t>11-420-00-648000-52105</t>
  </si>
  <si>
    <t>Veterans : Classified CSEA</t>
  </si>
  <si>
    <t>11-420-00-648000-52300</t>
  </si>
  <si>
    <t>Veterans : Classified Overtime</t>
  </si>
  <si>
    <t>11-420-00-648000-53120</t>
  </si>
  <si>
    <t>Veterans : STRS Nonteaching</t>
  </si>
  <si>
    <t>11-420-00-648000-53220</t>
  </si>
  <si>
    <t>Veterans : PERS Nonteaching</t>
  </si>
  <si>
    <t>11-420-00-648000-53320</t>
  </si>
  <si>
    <t>Veterans : OASDHI (FICA) Nonteaching</t>
  </si>
  <si>
    <t>11-420-00-648000-53340</t>
  </si>
  <si>
    <t>Veterans : Medicare Nonteaching</t>
  </si>
  <si>
    <t>11-420-00-648000-53420</t>
  </si>
  <si>
    <t>Veterans : H &amp; W Nonteaching</t>
  </si>
  <si>
    <t>11-420-00-648000-53520</t>
  </si>
  <si>
    <t>Veterans : SUI Nonteaching</t>
  </si>
  <si>
    <t>11-420-00-648000-53620</t>
  </si>
  <si>
    <t>Veterans : WC Nonteaching</t>
  </si>
  <si>
    <t>11-420-00-648000-55200</t>
  </si>
  <si>
    <t>Veterans : Travel &amp; Conference</t>
  </si>
  <si>
    <t>11-420-00-648000-55300</t>
  </si>
  <si>
    <t>Veterans : Memberships</t>
  </si>
  <si>
    <t>11-420-00-648000-55630</t>
  </si>
  <si>
    <t>Veterans : Printing &amp; Duplicating - Inhouse</t>
  </si>
  <si>
    <t>11-430-00-643000-51210</t>
  </si>
  <si>
    <t>EOPS : Academic Nonteaching Management</t>
  </si>
  <si>
    <t>11-430-00-643000-53220</t>
  </si>
  <si>
    <t>EOPS : PERS Nonteaching</t>
  </si>
  <si>
    <t>11-430-00-643000-53320</t>
  </si>
  <si>
    <t>EOPS : OASDHI (FICA) Nonteaching</t>
  </si>
  <si>
    <t>11-430-00-643000-53340</t>
  </si>
  <si>
    <t>EOPS : Medicare Nonteaching</t>
  </si>
  <si>
    <t>11-430-00-643000-53420</t>
  </si>
  <si>
    <t>EOPS : H &amp; W Nonteaching</t>
  </si>
  <si>
    <t>11-430-00-643000-53520</t>
  </si>
  <si>
    <t>EOPS : SUI Nonteaching</t>
  </si>
  <si>
    <t>11-430-00-643000-53620</t>
  </si>
  <si>
    <t>EOPS : WC Nonteaching</t>
  </si>
  <si>
    <t>11-430-00-700500-51210</t>
  </si>
  <si>
    <t>EOPS - State : Academic Nonteaching Management</t>
  </si>
  <si>
    <t>11-430-00-700500-53220</t>
  </si>
  <si>
    <t>EOPS - State : PERS Nonteaching</t>
  </si>
  <si>
    <t>11-430-00-700500-53320</t>
  </si>
  <si>
    <t>EOPS - State : OASDHI (FICA) Nonteaching</t>
  </si>
  <si>
    <t>11-430-00-700500-53340</t>
  </si>
  <si>
    <t>EOPS - State : Medicare Nonteaching</t>
  </si>
  <si>
    <t>11-430-00-700500-53420</t>
  </si>
  <si>
    <t>EOPS - State : H &amp; W Nonteaching</t>
  </si>
  <si>
    <t>11-430-00-700500-53520</t>
  </si>
  <si>
    <t>EOPS - State : SUI Nonteaching</t>
  </si>
  <si>
    <t>11-430-00-700500-53620</t>
  </si>
  <si>
    <t>EOPS - State : WC Nonteaching</t>
  </si>
  <si>
    <t>11-430-00-700500-55630</t>
  </si>
  <si>
    <t>EOPS - State : Printing &amp; Duplicating - Inhouse</t>
  </si>
  <si>
    <t>11-430-00-704700-52315</t>
  </si>
  <si>
    <t>CalWORKs : Classified Student SWS Non-IA</t>
  </si>
  <si>
    <t>11-430-00-704700-53620</t>
  </si>
  <si>
    <t>CalWORKs : WC Nonteaching</t>
  </si>
  <si>
    <t>11-440-00-493032-51210</t>
  </si>
  <si>
    <t>DSP&amp;S Instruction : Academic Nonteaching Management</t>
  </si>
  <si>
    <t>11-440-00-493032-51311</t>
  </si>
  <si>
    <t>DSP&amp;S Instruction : Academic Teaching PT</t>
  </si>
  <si>
    <t>11-440-00-493032-51411</t>
  </si>
  <si>
    <t>DSP&amp;S Instruction : Academic Nonteaching PT</t>
  </si>
  <si>
    <t>11-440-00-493032-52400</t>
  </si>
  <si>
    <t>DSP&amp;S Instruction : Classified Nonstudent Instructional Aides PT</t>
  </si>
  <si>
    <t>11-440-00-493032-52420</t>
  </si>
  <si>
    <t>DSP&amp;S Instruction : Classified Student Dist Instructional Aides PT</t>
  </si>
  <si>
    <t>11-440-00-493032-53110</t>
  </si>
  <si>
    <t>DSP&amp;S Instruction : STRS Teaching</t>
  </si>
  <si>
    <t>11-440-00-493032-53120</t>
  </si>
  <si>
    <t>DSP&amp;S Instruction : STRS Nonteaching</t>
  </si>
  <si>
    <t>11-440-00-493032-53310</t>
  </si>
  <si>
    <t>DSP&amp;S Instruction : OASDHI (FICA) Teaching</t>
  </si>
  <si>
    <t>11-440-00-493032-53320</t>
  </si>
  <si>
    <t>DSP&amp;S Instruction : OASDHI (FICA) Nonteaching</t>
  </si>
  <si>
    <t>11-440-00-493032-53330</t>
  </si>
  <si>
    <t>DSP&amp;S Instruction : Medicare Teaching</t>
  </si>
  <si>
    <t>11-440-00-493032-53340</t>
  </si>
  <si>
    <t>DSP&amp;S Instruction : Medicare Nonteaching</t>
  </si>
  <si>
    <t>11-440-00-493032-53420</t>
  </si>
  <si>
    <t>DSP&amp;S Instruction : H &amp; W Nonteaching</t>
  </si>
  <si>
    <t>11-440-00-493032-53510</t>
  </si>
  <si>
    <t>DSP&amp;S Instruction : SUI Teaching</t>
  </si>
  <si>
    <t>11-440-00-493032-53520</t>
  </si>
  <si>
    <t>DSP&amp;S Instruction : SUI Nonteaching</t>
  </si>
  <si>
    <t>11-440-00-493032-53610</t>
  </si>
  <si>
    <t>DSP&amp;S Instruction : WC Teaching</t>
  </si>
  <si>
    <t>11-440-00-493032-53620</t>
  </si>
  <si>
    <t>DSP&amp;S Instruction : WC Nonteaching</t>
  </si>
  <si>
    <t>11-440-00-493032-54300</t>
  </si>
  <si>
    <t>DSP&amp;S Instruction : Supplies &amp; Materials</t>
  </si>
  <si>
    <t>11-440-00-493032-55105</t>
  </si>
  <si>
    <t>DSP&amp;S Instruction : Contract Services</t>
  </si>
  <si>
    <t>11-440-00-493032-55200</t>
  </si>
  <si>
    <t>DSP&amp;S Instruction : Travel &amp; Conference</t>
  </si>
  <si>
    <t>11-440-00-493032-55309</t>
  </si>
  <si>
    <t>DSP&amp;S Instruction : Subscriptions</t>
  </si>
  <si>
    <t>11-440-00-493032-55630</t>
  </si>
  <si>
    <t>DSP&amp;S Instruction : Printing &amp; Duplicating - Inhouse</t>
  </si>
  <si>
    <t>11-440-00-701021-55105</t>
  </si>
  <si>
    <t>DHH - DSPS : Contract Services</t>
  </si>
  <si>
    <t>11-500-00-673000-52120</t>
  </si>
  <si>
    <t>Human Resources : Classified Confidential</t>
  </si>
  <si>
    <t>11-500-00-673000-52130</t>
  </si>
  <si>
    <t>Human Resources : Classified Management</t>
  </si>
  <si>
    <t>11-500-00-673000-52300</t>
  </si>
  <si>
    <t>Human Resources : Classified Overtime</t>
  </si>
  <si>
    <t>11-500-00-673000-52360</t>
  </si>
  <si>
    <t>Human Resources : Class Nonstu NonIA PT Prof Exp</t>
  </si>
  <si>
    <t>11-500-00-673000-53220</t>
  </si>
  <si>
    <t>Human Resources : PERS Nonteaching</t>
  </si>
  <si>
    <t>11-500-00-673000-53320</t>
  </si>
  <si>
    <t>Human Resources : OASDHI (FICA) Nonteaching</t>
  </si>
  <si>
    <t>11-500-00-673000-53340</t>
  </si>
  <si>
    <t>Human Resources : Medicare Nonteaching</t>
  </si>
  <si>
    <t>11-500-00-673000-53420</t>
  </si>
  <si>
    <t>Human Resources : H &amp; W Nonteaching</t>
  </si>
  <si>
    <t>11-500-00-673000-53520</t>
  </si>
  <si>
    <t>Human Resources : SUI Nonteaching</t>
  </si>
  <si>
    <t>11-500-00-673000-53620</t>
  </si>
  <si>
    <t>Human Resources : WC Nonteaching</t>
  </si>
  <si>
    <t>11-500-00-673000-53920</t>
  </si>
  <si>
    <t>Human Resources : Other Benefit-Non Teaching</t>
  </si>
  <si>
    <t>11-500-00-673000-54300</t>
  </si>
  <si>
    <t>Human Resources : Supplies &amp; Materials</t>
  </si>
  <si>
    <t>11-500-00-673000-55105</t>
  </si>
  <si>
    <t>Human Resources : Contract Services</t>
  </si>
  <si>
    <t>11-500-00-673000-55125</t>
  </si>
  <si>
    <t>Human Resources : Training &amp; Seminars</t>
  </si>
  <si>
    <t>11-500-00-673000-55200</t>
  </si>
  <si>
    <t>Human Resources : Travel &amp; Conference</t>
  </si>
  <si>
    <t>11-500-00-673000-55300</t>
  </si>
  <si>
    <t>Human Resources : Memberships</t>
  </si>
  <si>
    <t>11-500-00-673000-55625</t>
  </si>
  <si>
    <t>Human Resources : Inprocessing Costs</t>
  </si>
  <si>
    <t>11-500-00-673000-55630</t>
  </si>
  <si>
    <t>Human Resources : Printing &amp; Duplicating - Inhouse</t>
  </si>
  <si>
    <t>11-500-00-673000-55635</t>
  </si>
  <si>
    <t>Human Resources : Printing Services - Vendor</t>
  </si>
  <si>
    <t>11-500-00-673000-55700</t>
  </si>
  <si>
    <t>Human Resources : Legal &amp; Audit Expenses</t>
  </si>
  <si>
    <t>11-500-00-673000-55825</t>
  </si>
  <si>
    <t>Human Resources : Relocation Expenses</t>
  </si>
  <si>
    <t>11-500-00-673000-56400</t>
  </si>
  <si>
    <t>Human Resources : Cap Equip - $200 to $4,999</t>
  </si>
  <si>
    <t>11-600-00-678000-52105</t>
  </si>
  <si>
    <t>Management Information Systems : Classified CSEA</t>
  </si>
  <si>
    <t>11-600-00-678000-52130</t>
  </si>
  <si>
    <t>Management Information Systems : Classified Management</t>
  </si>
  <si>
    <t>11-600-00-678000-52300</t>
  </si>
  <si>
    <t>Management Information Systems : Classified Overtime</t>
  </si>
  <si>
    <t>11-600-00-678000-52350</t>
  </si>
  <si>
    <t>Management Information Systems : Classified Student Dist Non-IA PT</t>
  </si>
  <si>
    <t>11-600-00-678000-53220</t>
  </si>
  <si>
    <t>Management Information Systems : PERS Nonteaching</t>
  </si>
  <si>
    <t>11-600-00-678000-53320</t>
  </si>
  <si>
    <t>Management Information Systems : OASDHI (FICA) Nonteaching</t>
  </si>
  <si>
    <t>11-600-00-678000-53340</t>
  </si>
  <si>
    <t>Management Information Systems : Medicare Nonteaching</t>
  </si>
  <si>
    <t>11-600-00-678000-53420</t>
  </si>
  <si>
    <t>Management Information Systems : H &amp; W Nonteaching</t>
  </si>
  <si>
    <t>11-600-00-678000-53520</t>
  </si>
  <si>
    <t>Management Information Systems : SUI Nonteaching</t>
  </si>
  <si>
    <t>11-600-00-678000-53620</t>
  </si>
  <si>
    <t>Management Information Systems : WC Nonteaching</t>
  </si>
  <si>
    <t>11-600-00-678000-53920</t>
  </si>
  <si>
    <t>Management Information Systems : Other Benefit-Non Teaching</t>
  </si>
  <si>
    <t>11-600-00-678000-54300</t>
  </si>
  <si>
    <t>Management Information Systems : Supplies &amp; Materials</t>
  </si>
  <si>
    <t>11-600-00-678000-55105</t>
  </si>
  <si>
    <t>Management Information Systems : Contract Services</t>
  </si>
  <si>
    <t>11-600-00-678000-55125</t>
  </si>
  <si>
    <t>Management Information Systems : Training &amp; Seminars</t>
  </si>
  <si>
    <t>11-600-00-678000-55200</t>
  </si>
  <si>
    <t>Management Information Systems : Travel &amp; Conference</t>
  </si>
  <si>
    <t>11-600-00-678000-55300</t>
  </si>
  <si>
    <t>Management Information Systems : Memberships</t>
  </si>
  <si>
    <t>11-600-00-678000-55550</t>
  </si>
  <si>
    <t>Management Information Systems : Telephone Service</t>
  </si>
  <si>
    <t>11-600-00-678000-55610</t>
  </si>
  <si>
    <t>Management Information Systems : Software licensing</t>
  </si>
  <si>
    <t>11-600-00-678000-55630</t>
  </si>
  <si>
    <t>Management Information Systems : Printing &amp; Duplicating - Inhouse</t>
  </si>
  <si>
    <t>11-600-00-678000-55650</t>
  </si>
  <si>
    <t>Management Information Systems : Maintenance Agreement</t>
  </si>
  <si>
    <t>11-600-00-678000-55653</t>
  </si>
  <si>
    <t>Management Information Systems : Instructional Computer Repair</t>
  </si>
  <si>
    <t>11-600-00-678000-56400</t>
  </si>
  <si>
    <t>Management Information Systems : Cap Equip - $200 to $4,999</t>
  </si>
  <si>
    <t>12-000-00-000000-48860</t>
  </si>
  <si>
    <t>12-100-00-709650-48120</t>
  </si>
  <si>
    <t>Title V HSI Cultivamos : Higher Education Act</t>
  </si>
  <si>
    <t>12-100-00-709650-51200</t>
  </si>
  <si>
    <t>Title V HSI Cultivamos : Academic Nonteaching Full-time</t>
  </si>
  <si>
    <t>12-100-00-709650-51210</t>
  </si>
  <si>
    <t>Title V HSI Cultivamos : Academic Nonteaching Management</t>
  </si>
  <si>
    <t>12-100-00-709650-51412</t>
  </si>
  <si>
    <t>Title V HSI Cultivamos : Acad Nonteach Special Projects</t>
  </si>
  <si>
    <t>12-100-00-709650-52105</t>
  </si>
  <si>
    <t>Title V HSI Cultivamos : Classified CSEA</t>
  </si>
  <si>
    <t>12-100-00-709650-52130</t>
  </si>
  <si>
    <t>Title V HSI Cultivamos : Classified Management</t>
  </si>
  <si>
    <t>12-100-00-709650-52300</t>
  </si>
  <si>
    <t>Title V HSI Cultivamos : Classified Overtime</t>
  </si>
  <si>
    <t>12-100-00-709650-52360</t>
  </si>
  <si>
    <t>Title V HSI Cultivamos : Class Nonstu NonIA PT Prof Exp</t>
  </si>
  <si>
    <t>12-100-00-709650-53120</t>
  </si>
  <si>
    <t>Title V HSI Cultivamos : STRS Nonteaching</t>
  </si>
  <si>
    <t>12-100-00-709650-53220</t>
  </si>
  <si>
    <t>Title V HSI Cultivamos : PERS Nonteaching</t>
  </si>
  <si>
    <t>12-100-00-709650-53320</t>
  </si>
  <si>
    <t>Title V HSI Cultivamos : OASDHI (FICA) Nonteaching</t>
  </si>
  <si>
    <t>12-100-00-709650-53340</t>
  </si>
  <si>
    <t>Title V HSI Cultivamos : Medicare Nonteaching</t>
  </si>
  <si>
    <t>12-100-00-709650-53420</t>
  </si>
  <si>
    <t>Title V HSI Cultivamos : H &amp; W Nonteaching</t>
  </si>
  <si>
    <t>12-100-00-709650-53520</t>
  </si>
  <si>
    <t>Title V HSI Cultivamos : SUI Nonteaching</t>
  </si>
  <si>
    <t>12-100-00-709650-53620</t>
  </si>
  <si>
    <t>Title V HSI Cultivamos : WC Nonteaching</t>
  </si>
  <si>
    <t>12-100-00-709650-53920</t>
  </si>
  <si>
    <t>Title V HSI Cultivamos : Other Benefit-Non Teaching</t>
  </si>
  <si>
    <t>12-100-00-709650-54210</t>
  </si>
  <si>
    <t>Title V HSI Cultivamos : Purchases - Food</t>
  </si>
  <si>
    <t>12-100-00-709650-54300</t>
  </si>
  <si>
    <t>Title V HSI Cultivamos : Supplies &amp; Materials</t>
  </si>
  <si>
    <t>12-100-00-709650-55100</t>
  </si>
  <si>
    <t>Title V HSI Cultivamos : Personal Service Contract - 1099</t>
  </si>
  <si>
    <t>12-100-00-709650-55105</t>
  </si>
  <si>
    <t>Title V HSI Cultivamos : Contract Services</t>
  </si>
  <si>
    <t>12-100-00-709650-55200</t>
  </si>
  <si>
    <t>Title V HSI Cultivamos : Travel &amp; Conference</t>
  </si>
  <si>
    <t>12-100-00-709650-55240</t>
  </si>
  <si>
    <t>Title V HSI Cultivamos : Field Trips</t>
  </si>
  <si>
    <t>12-100-00-709650-55309</t>
  </si>
  <si>
    <t>Title V HSI Cultivamos : Subscriptions</t>
  </si>
  <si>
    <t>12-100-00-709650-55600</t>
  </si>
  <si>
    <t>Title V HSI Cultivamos : Rents &amp; Leases</t>
  </si>
  <si>
    <t>12-100-00-709650-55630</t>
  </si>
  <si>
    <t>Title V HSI Cultivamos : Printing &amp; Duplicating - Inhouse</t>
  </si>
  <si>
    <t>12-100-00-709650-55635</t>
  </si>
  <si>
    <t>Title V HSI Cultivamos : Printing Services - Vendor</t>
  </si>
  <si>
    <t>12-100-00-709650-55800</t>
  </si>
  <si>
    <t>Title V HSI Cultivamos : Other Costs</t>
  </si>
  <si>
    <t>12-100-00-709650-56200</t>
  </si>
  <si>
    <t>Title V HSI Cultivamos : Building Improvements</t>
  </si>
  <si>
    <t>12-100-00-709650-56300</t>
  </si>
  <si>
    <t>Title V HSI Cultivamos : Capital Books &amp; Software</t>
  </si>
  <si>
    <t>12-100-00-709650-56400</t>
  </si>
  <si>
    <t>Title V HSI Cultivamos : Cap Equip - $200 to $4,999</t>
  </si>
  <si>
    <t>12-120-02-706140-48690</t>
  </si>
  <si>
    <t>Digital Literacy KC : Other State Revenue</t>
  </si>
  <si>
    <t>12-120-02-706140-52360</t>
  </si>
  <si>
    <t>Digital Literacy KC : Class Nonstu NonIA PT Prof Exp</t>
  </si>
  <si>
    <t>12-120-02-706140-53000</t>
  </si>
  <si>
    <t>Digital Literacy KC : Employee Benefits Control</t>
  </si>
  <si>
    <t>12-120-02-706140-53320</t>
  </si>
  <si>
    <t>Digital Literacy KC : OASDHI (FICA) Nonteaching</t>
  </si>
  <si>
    <t>12-120-02-706140-53340</t>
  </si>
  <si>
    <t>Digital Literacy KC : Medicare Nonteaching</t>
  </si>
  <si>
    <t>12-120-02-706140-53520</t>
  </si>
  <si>
    <t>Digital Literacy KC : SUI Nonteaching</t>
  </si>
  <si>
    <t>12-120-02-706140-53620</t>
  </si>
  <si>
    <t>Digital Literacy KC : WC Nonteaching</t>
  </si>
  <si>
    <t>12-120-02-706140-54300</t>
  </si>
  <si>
    <t>Digital Literacy KC : Supplies &amp; Materials</t>
  </si>
  <si>
    <t>12-120-02-706140-55200</t>
  </si>
  <si>
    <t>Digital Literacy KC : Travel &amp; Conference</t>
  </si>
  <si>
    <t>12-120-02-706140-55830</t>
  </si>
  <si>
    <t>Digital Literacy KC : Advertising Expense</t>
  </si>
  <si>
    <t>12-120-02-706140-56400</t>
  </si>
  <si>
    <t>Digital Literacy KC : Cap Equip - $200 to $4,999</t>
  </si>
  <si>
    <t>12-120-02-706140-56402</t>
  </si>
  <si>
    <t>Digital Literacy KC : Capital software $200-$4,999</t>
  </si>
  <si>
    <t>12-140-00-760000-48890</t>
  </si>
  <si>
    <t xml:space="preserve">Foundation - General : Other Local Income </t>
  </si>
  <si>
    <t>12-140-00-760000-51412</t>
  </si>
  <si>
    <t>Foundation - General : Acad Nonteach Special Projects</t>
  </si>
  <si>
    <t>12-140-00-760000-53120</t>
  </si>
  <si>
    <t>Foundation - General : STRS Nonteaching</t>
  </si>
  <si>
    <t>12-140-00-760000-53340</t>
  </si>
  <si>
    <t>Foundation - General : Medicare Nonteaching</t>
  </si>
  <si>
    <t>12-140-00-760000-53520</t>
  </si>
  <si>
    <t>Foundation - General : SUI Nonteaching</t>
  </si>
  <si>
    <t>12-140-00-760000-53620</t>
  </si>
  <si>
    <t>Foundation - General : WC Nonteaching</t>
  </si>
  <si>
    <t>12-140-00-760005-52105</t>
  </si>
  <si>
    <t>Foundation-Ag Tech Institute : Classified CSEA</t>
  </si>
  <si>
    <t>12-140-00-760005-53220</t>
  </si>
  <si>
    <t>Foundation-Ag Tech Institute : PERS Nonteaching</t>
  </si>
  <si>
    <t>12-140-00-760005-53320</t>
  </si>
  <si>
    <t>Foundation-Ag Tech Institute : OASDHI (FICA) Nonteaching</t>
  </si>
  <si>
    <t>12-140-00-760005-53340</t>
  </si>
  <si>
    <t>Foundation-Ag Tech Institute : Medicare Nonteaching</t>
  </si>
  <si>
    <t>12-140-00-760005-53520</t>
  </si>
  <si>
    <t>Foundation-Ag Tech Institute : SUI Nonteaching</t>
  </si>
  <si>
    <t>12-140-00-760005-53620</t>
  </si>
  <si>
    <t>Foundation-Ag Tech Institute : WC Nonteaching</t>
  </si>
  <si>
    <t>12-140-00-760005-55630</t>
  </si>
  <si>
    <t>Foundation-Ag Tech Institute : Printing &amp; Duplicating - Inhouse</t>
  </si>
  <si>
    <t>12-140-00-760045-48890</t>
  </si>
  <si>
    <t xml:space="preserve">Ag Healthcare Sector Prtnrshp : Other Local Income </t>
  </si>
  <si>
    <t>12-140-00-760045-52130</t>
  </si>
  <si>
    <t>Ag Healthcare Sector Prtnrshp : Classified Management</t>
  </si>
  <si>
    <t>12-140-00-760045-53220</t>
  </si>
  <si>
    <t>Ag Healthcare Sector Prtnrshp : PERS Nonteaching</t>
  </si>
  <si>
    <t>12-140-00-760045-53320</t>
  </si>
  <si>
    <t>Ag Healthcare Sector Prtnrshp : OASDHI (FICA) Nonteaching</t>
  </si>
  <si>
    <t>12-140-00-760045-53340</t>
  </si>
  <si>
    <t>Ag Healthcare Sector Prtnrshp : Medicare Nonteaching</t>
  </si>
  <si>
    <t>12-140-00-760045-53420</t>
  </si>
  <si>
    <t>Ag Healthcare Sector Prtnrshp : H &amp; W Nonteaching</t>
  </si>
  <si>
    <t>12-140-00-760045-53520</t>
  </si>
  <si>
    <t>Ag Healthcare Sector Prtnrshp : SUI Nonteaching</t>
  </si>
  <si>
    <t>12-140-00-760045-53620</t>
  </si>
  <si>
    <t>Ag Healthcare Sector Prtnrshp : WC Nonteaching</t>
  </si>
  <si>
    <t>12-140-00-760045-54210</t>
  </si>
  <si>
    <t>Ag Healthcare Sector Prtnrshp : Purchases - Food</t>
  </si>
  <si>
    <t>12-140-00-760045-55100</t>
  </si>
  <si>
    <t>Ag Healthcare Sector Prtnrshp : Personal Service Contract - 1099</t>
  </si>
  <si>
    <t>12-140-00-760045-55200</t>
  </si>
  <si>
    <t>Ag Healthcare Sector Prtnrshp : Travel &amp; Conference</t>
  </si>
  <si>
    <t>12-140-00-760045-55630</t>
  </si>
  <si>
    <t>Ag Healthcare Sector Prtnrshp : Printing &amp; Duplicating - Inhouse</t>
  </si>
  <si>
    <t>12-140-00-760045-55800</t>
  </si>
  <si>
    <t>Ag Healthcare Sector Prtnrshp : Other Costs</t>
  </si>
  <si>
    <t>12-150-00-679030-48690</t>
  </si>
  <si>
    <t>IEPI  Grant : Other State Revenue</t>
  </si>
  <si>
    <t>12-150-00-679030-51310</t>
  </si>
  <si>
    <t>IEPI  Grant : Academic Teaching NIC</t>
  </si>
  <si>
    <t>12-150-00-679030-51412</t>
  </si>
  <si>
    <t>IEPI  Grant : Acad Nonteach Special Projects</t>
  </si>
  <si>
    <t>12-150-00-679030-53000</t>
  </si>
  <si>
    <t>IEPI  Grant : Employee Benefits Control</t>
  </si>
  <si>
    <t>12-150-00-679030-54300</t>
  </si>
  <si>
    <t>IEPI  Grant : Supplies &amp; Materials</t>
  </si>
  <si>
    <t>12-150-00-679030-55800</t>
  </si>
  <si>
    <t>IEPI  Grant : Other Costs</t>
  </si>
  <si>
    <t>12-150-00-679030-56405</t>
  </si>
  <si>
    <t>IEPI  Grant : Cap Equip - $5,000 and Over</t>
  </si>
  <si>
    <t>12-150-00-706620-48627</t>
  </si>
  <si>
    <t>Guided Pathways : Other General Categorical Prog</t>
  </si>
  <si>
    <t>12-150-00-706620-51200</t>
  </si>
  <si>
    <t>Guided Pathways : Academic Nonteaching Full-time</t>
  </si>
  <si>
    <t>12-150-00-706620-51412</t>
  </si>
  <si>
    <t>Guided Pathways : Acad Nonteach Special Projects</t>
  </si>
  <si>
    <t>12-150-00-706620-52360</t>
  </si>
  <si>
    <t>Guided Pathways : Class Nonstu NonIA PT Prof Exp</t>
  </si>
  <si>
    <t>12-150-00-706620-53120</t>
  </si>
  <si>
    <t>Guided Pathways : STRS Nonteaching</t>
  </si>
  <si>
    <t>12-150-00-706620-53320</t>
  </si>
  <si>
    <t>Guided Pathways : OASDHI (FICA) Nonteaching</t>
  </si>
  <si>
    <t>12-150-00-706620-53340</t>
  </si>
  <si>
    <t>Guided Pathways : Medicare Nonteaching</t>
  </si>
  <si>
    <t>12-150-00-706620-53420</t>
  </si>
  <si>
    <t>Guided Pathways : H &amp; W Nonteaching</t>
  </si>
  <si>
    <t>12-150-00-706620-53520</t>
  </si>
  <si>
    <t>Guided Pathways : SUI Nonteaching</t>
  </si>
  <si>
    <t>12-150-00-706620-53620</t>
  </si>
  <si>
    <t>Guided Pathways : WC Nonteaching</t>
  </si>
  <si>
    <t>12-150-00-706620-53920</t>
  </si>
  <si>
    <t>Guided Pathways : Other Benefit-Non Teaching</t>
  </si>
  <si>
    <t>12-150-00-706620-54210</t>
  </si>
  <si>
    <t>Guided Pathways : Purchases - Food</t>
  </si>
  <si>
    <t>12-150-00-706620-54300</t>
  </si>
  <si>
    <t>Guided Pathways : Supplies &amp; Materials</t>
  </si>
  <si>
    <t>12-150-00-706620-55100</t>
  </si>
  <si>
    <t>Guided Pathways : Personal Service Contract - 1099</t>
  </si>
  <si>
    <t>12-150-00-706620-55105</t>
  </si>
  <si>
    <t>Guided Pathways : Contract Services</t>
  </si>
  <si>
    <t>12-150-00-706620-55200</t>
  </si>
  <si>
    <t>Guided Pathways : Travel &amp; Conference</t>
  </si>
  <si>
    <t>12-150-00-706620-55300</t>
  </si>
  <si>
    <t>Guided Pathways : Memberships</t>
  </si>
  <si>
    <t>12-150-00-706620-55309</t>
  </si>
  <si>
    <t>Guided Pathways : Subscriptions</t>
  </si>
  <si>
    <t>12-150-00-706620-55630</t>
  </si>
  <si>
    <t>Guided Pathways : Printing &amp; Duplicating - Inhouse</t>
  </si>
  <si>
    <t>12-150-00-706620-55800</t>
  </si>
  <si>
    <t>Guided Pathways : Other Costs</t>
  </si>
  <si>
    <t>12-150-00-706620-55830</t>
  </si>
  <si>
    <t>Guided Pathways : Advertising Expense</t>
  </si>
  <si>
    <t>12-150-00-706620-56400</t>
  </si>
  <si>
    <t>Guided Pathways : Cap Equip - $200 to $4,999</t>
  </si>
  <si>
    <t>12-150-00-706620-56402</t>
  </si>
  <si>
    <t>Guided Pathways : Capital software $200-$4,999</t>
  </si>
  <si>
    <t>12-200-00-679000-48190</t>
  </si>
  <si>
    <t>CARES Act - Institutional : Other Federal Revenues</t>
  </si>
  <si>
    <t>12-200-00-679000-51412</t>
  </si>
  <si>
    <t>CARES Act - Institutional : Acad Nonteach Special Projects</t>
  </si>
  <si>
    <t>12-200-00-679000-53120</t>
  </si>
  <si>
    <t>CARES Act - Institutional : STRS Nonteaching</t>
  </si>
  <si>
    <t>12-200-00-679000-53320</t>
  </si>
  <si>
    <t>CARES Act - Institutional : OASDHI (FICA) Nonteaching</t>
  </si>
  <si>
    <t>12-200-00-679000-53340</t>
  </si>
  <si>
    <t>CARES Act - Institutional : Medicare Nonteaching</t>
  </si>
  <si>
    <t>12-200-00-679000-53420</t>
  </si>
  <si>
    <t>CARES Act - Institutional : H &amp; W Nonteaching</t>
  </si>
  <si>
    <t>12-200-00-679000-53520</t>
  </si>
  <si>
    <t>CARES Act - Institutional : SUI Nonteaching</t>
  </si>
  <si>
    <t>12-200-00-679000-53620</t>
  </si>
  <si>
    <t>CARES Act - Institutional : WC Nonteaching</t>
  </si>
  <si>
    <t>12-200-00-679000-55555</t>
  </si>
  <si>
    <t>CARES Act - Institutional : Hotspot Service</t>
  </si>
  <si>
    <t>12-200-00-679000-55610</t>
  </si>
  <si>
    <t>CARES Act - Institutional : Software licensing</t>
  </si>
  <si>
    <t>12-200-00-679000-55800</t>
  </si>
  <si>
    <t>CARES Act - Institutional : Other Costs</t>
  </si>
  <si>
    <t>12-200-00-679000-56100</t>
  </si>
  <si>
    <t>CARES Act - Institutional : Site Improvements</t>
  </si>
  <si>
    <t>12-200-00-679000-56400</t>
  </si>
  <si>
    <t>CARES Act - Institutional : Cap Equip - $200 to $4,999</t>
  </si>
  <si>
    <t>12-200-00-679000-57500</t>
  </si>
  <si>
    <t>CARES Act - Institutional : Student Financial Aid Payment</t>
  </si>
  <si>
    <t>12-200-00-679010-48190</t>
  </si>
  <si>
    <t>CARES Act - Minority Serving : Other Federal Revenues</t>
  </si>
  <si>
    <t>12-200-00-679010-54300</t>
  </si>
  <si>
    <t>CARES Act - Minority Serving : Supplies &amp; Materials</t>
  </si>
  <si>
    <t>12-200-00-679010-55610</t>
  </si>
  <si>
    <t>CARES Act - Minority Serving : Software licensing</t>
  </si>
  <si>
    <t>12-200-00-679010-55800</t>
  </si>
  <si>
    <t>CARES Act - Minority Serving : Other Costs</t>
  </si>
  <si>
    <t>12-200-00-679020-48190</t>
  </si>
  <si>
    <t>COVID-19 Response Block Grant : Other Federal Revenues</t>
  </si>
  <si>
    <t>12-200-00-679020-48627</t>
  </si>
  <si>
    <t>COVID-19 Response Block Grant : Other General Categorical Prog</t>
  </si>
  <si>
    <t>12-200-00-679020-56400</t>
  </si>
  <si>
    <t>COVID-19 Response Block Grant : Cap Equip - $200 to $4,999</t>
  </si>
  <si>
    <t>12-210-00-695020-48627</t>
  </si>
  <si>
    <t>Campus Safety : Other General Categorical Prog</t>
  </si>
  <si>
    <t>12-210-00-695020-55800</t>
  </si>
  <si>
    <t>Campus Safety : Other Costs</t>
  </si>
  <si>
    <t>12-220-00-679000-54300</t>
  </si>
  <si>
    <t>CARES Act - Institutional : Supplies &amp; Materials</t>
  </si>
  <si>
    <t>12-220-00-679020-54300</t>
  </si>
  <si>
    <t>COVID-19 Response Block Grant : Supplies &amp; Materials</t>
  </si>
  <si>
    <t>12-220-00-679020-55105</t>
  </si>
  <si>
    <t>COVID-19 Response Block Grant : Contract Services</t>
  </si>
  <si>
    <t>12-220-00-679020-55800</t>
  </si>
  <si>
    <t>COVID-19 Response Block Grant : Other Costs</t>
  </si>
  <si>
    <t>12-220-00-679020-56400</t>
  </si>
  <si>
    <t>12-225-00-679000-54300</t>
  </si>
  <si>
    <t>12-225-00-679010-54300</t>
  </si>
  <si>
    <t>12-225-00-679010-55610</t>
  </si>
  <si>
    <t>12-230-00-679000-52105</t>
  </si>
  <si>
    <t>CARES Act - Institutional : Classified CSEA</t>
  </si>
  <si>
    <t>12-230-00-679000-52115</t>
  </si>
  <si>
    <t>CARES Act - Institutional : Classified Supervisory</t>
  </si>
  <si>
    <t>12-230-00-679000-52120</t>
  </si>
  <si>
    <t>CARES Act - Institutional : Classified Confidential</t>
  </si>
  <si>
    <t>12-230-00-679000-52125</t>
  </si>
  <si>
    <t>CARES Act - Institutional : Classified L-39</t>
  </si>
  <si>
    <t>12-230-00-679000-52130</t>
  </si>
  <si>
    <t>CARES Act - Institutional : Classified Management</t>
  </si>
  <si>
    <t>12-230-00-679000-52300</t>
  </si>
  <si>
    <t>CARES Act - Institutional : Classified Overtime</t>
  </si>
  <si>
    <t>12-230-00-679000-53220</t>
  </si>
  <si>
    <t>CARES Act - Institutional : PERS Nonteaching</t>
  </si>
  <si>
    <t>12-230-00-679000-53320</t>
  </si>
  <si>
    <t>12-230-00-679000-53340</t>
  </si>
  <si>
    <t>12-230-00-679000-53420</t>
  </si>
  <si>
    <t>12-230-00-679000-53520</t>
  </si>
  <si>
    <t>12-230-00-679000-53620</t>
  </si>
  <si>
    <t>12-230-00-679000-53920</t>
  </si>
  <si>
    <t>CARES Act - Institutional : Other Benefit-Non Teaching</t>
  </si>
  <si>
    <t>12-300-00-602001-48890</t>
  </si>
  <si>
    <t xml:space="preserve">Taylor Farms-Ag. &amp; Engineering : Other Local Income </t>
  </si>
  <si>
    <t>12-300-00-602001-51100</t>
  </si>
  <si>
    <t>Taylor Farms-Ag. &amp; Engineering : Academic Teaching Full-time</t>
  </si>
  <si>
    <t>12-300-00-602001-51412</t>
  </si>
  <si>
    <t>Taylor Farms-Ag. &amp; Engineering : Acad Nonteach Special Projects</t>
  </si>
  <si>
    <t>12-300-00-602001-52300</t>
  </si>
  <si>
    <t>Taylor Farms-Ag. &amp; Engineering : Classified Overtime</t>
  </si>
  <si>
    <t>12-300-00-602001-53000</t>
  </si>
  <si>
    <t>Taylor Farms-Ag. &amp; Engineering : Employee Benefits Control</t>
  </si>
  <si>
    <t>12-300-00-602001-53110</t>
  </si>
  <si>
    <t>Taylor Farms-Ag. &amp; Engineering : STRS Teaching</t>
  </si>
  <si>
    <t>12-300-00-602001-53330</t>
  </si>
  <si>
    <t>Taylor Farms-Ag. &amp; Engineering : Medicare Teaching</t>
  </si>
  <si>
    <t>12-300-00-602001-53410</t>
  </si>
  <si>
    <t>Taylor Farms-Ag. &amp; Engineering : H &amp; W Teaching</t>
  </si>
  <si>
    <t>12-300-00-602001-53510</t>
  </si>
  <si>
    <t>Taylor Farms-Ag. &amp; Engineering : SUI Teaching</t>
  </si>
  <si>
    <t>12-300-00-602001-53610</t>
  </si>
  <si>
    <t>Taylor Farms-Ag. &amp; Engineering : WC Teaching</t>
  </si>
  <si>
    <t>12-300-00-602001-55105</t>
  </si>
  <si>
    <t>Taylor Farms-Ag. &amp; Engineering : Contract Services</t>
  </si>
  <si>
    <t>12-300-00-602001-56400</t>
  </si>
  <si>
    <t>Taylor Farms-Ag. &amp; Engineering : Cap Equip - $200 to $4,999</t>
  </si>
  <si>
    <t>12-300-00-679000-51412</t>
  </si>
  <si>
    <t>12-300-00-679000-53120</t>
  </si>
  <si>
    <t>12-300-00-679000-53340</t>
  </si>
  <si>
    <t>12-300-00-679000-53520</t>
  </si>
  <si>
    <t>12-300-00-679000-53620</t>
  </si>
  <si>
    <t>12-300-00-720000-48627</t>
  </si>
  <si>
    <t>Block Grant - Funds Available : Other General Categorical Prog</t>
  </si>
  <si>
    <t>12-300-00-720000-56400</t>
  </si>
  <si>
    <t>Block Grant - Funds Available : Cap Equip - $200 to $4,999</t>
  </si>
  <si>
    <t>12-300-00-720000-56405</t>
  </si>
  <si>
    <t>Block Grant - Funds Available : Cap Equip - $5,000 and Over</t>
  </si>
  <si>
    <t>12-301-00-601010-48690</t>
  </si>
  <si>
    <t>Ready Set Go : Other State Revenue</t>
  </si>
  <si>
    <t>12-301-00-601010-51200</t>
  </si>
  <si>
    <t>Ready Set Go : Academic Nonteaching Full-time</t>
  </si>
  <si>
    <t>12-301-00-601010-51412</t>
  </si>
  <si>
    <t>Ready Set Go : Acad Nonteach Special Projects</t>
  </si>
  <si>
    <t>12-301-00-601010-52300</t>
  </si>
  <si>
    <t>Ready Set Go : Classified Overtime</t>
  </si>
  <si>
    <t>12-301-00-601010-52360</t>
  </si>
  <si>
    <t>Ready Set Go : Class Nonstu NonIA PT Prof Exp</t>
  </si>
  <si>
    <t>12-301-00-601010-53000</t>
  </si>
  <si>
    <t>Ready Set Go : Employee Benefits Control</t>
  </si>
  <si>
    <t>12-301-00-601010-53120</t>
  </si>
  <si>
    <t>Ready Set Go : STRS Nonteaching</t>
  </si>
  <si>
    <t>12-301-00-601010-53220</t>
  </si>
  <si>
    <t>Ready Set Go : PERS Nonteaching</t>
  </si>
  <si>
    <t>12-301-00-601010-53320</t>
  </si>
  <si>
    <t>Ready Set Go : OASDHI (FICA) Nonteaching</t>
  </si>
  <si>
    <t>12-301-00-601010-53340</t>
  </si>
  <si>
    <t>Ready Set Go : Medicare Nonteaching</t>
  </si>
  <si>
    <t>12-301-00-601010-53420</t>
  </si>
  <si>
    <t>Ready Set Go : H &amp; W Nonteaching</t>
  </si>
  <si>
    <t>12-301-00-601010-53520</t>
  </si>
  <si>
    <t>Ready Set Go : SUI Nonteaching</t>
  </si>
  <si>
    <t>12-301-00-601010-53620</t>
  </si>
  <si>
    <t>Ready Set Go : WC Nonteaching</t>
  </si>
  <si>
    <t>12-301-00-601010-54210</t>
  </si>
  <si>
    <t>Ready Set Go : Purchases - Food</t>
  </si>
  <si>
    <t>12-301-00-601010-54300</t>
  </si>
  <si>
    <t>Ready Set Go : Supplies &amp; Materials</t>
  </si>
  <si>
    <t>12-301-00-601010-55200</t>
  </si>
  <si>
    <t>Ready Set Go : Travel &amp; Conference</t>
  </si>
  <si>
    <t>12-301-00-601010-55830</t>
  </si>
  <si>
    <t>Ready Set Go : Advertising Expense</t>
  </si>
  <si>
    <t>12-301-00-601011-48690</t>
  </si>
  <si>
    <t>RSG Final Report : Other State Revenue</t>
  </si>
  <si>
    <t>12-301-00-601011-51412</t>
  </si>
  <si>
    <t>RSG Final Report : Acad Nonteach Special Projects</t>
  </si>
  <si>
    <t>12-301-00-601011-52300</t>
  </si>
  <si>
    <t>RSG Final Report : Classified Overtime</t>
  </si>
  <si>
    <t>12-301-00-601011-52360</t>
  </si>
  <si>
    <t>RSG Final Report : Class Nonstu NonIA PT Prof Exp</t>
  </si>
  <si>
    <t>12-301-00-601011-53000</t>
  </si>
  <si>
    <t>RSG Final Report : Employee Benefits Control</t>
  </si>
  <si>
    <t>12-301-00-601011-53120</t>
  </si>
  <si>
    <t>RSG Final Report : STRS Nonteaching</t>
  </si>
  <si>
    <t>12-301-00-601011-53320</t>
  </si>
  <si>
    <t>RSG Final Report : OASDHI (FICA) Nonteaching</t>
  </si>
  <si>
    <t>12-301-00-601011-53340</t>
  </si>
  <si>
    <t>RSG Final Report : Medicare Nonteaching</t>
  </si>
  <si>
    <t>12-301-00-601011-53520</t>
  </si>
  <si>
    <t>RSG Final Report : SUI Nonteaching</t>
  </si>
  <si>
    <t>12-301-00-601011-53620</t>
  </si>
  <si>
    <t>RSG Final Report : WC Nonteaching</t>
  </si>
  <si>
    <t>12-301-00-679000-51412</t>
  </si>
  <si>
    <t>12-301-00-679000-53120</t>
  </si>
  <si>
    <t>12-301-00-679000-53340</t>
  </si>
  <si>
    <t>12-301-00-679000-53520</t>
  </si>
  <si>
    <t>12-301-00-679000-53620</t>
  </si>
  <si>
    <t>12-301-00-703605-48890</t>
  </si>
  <si>
    <t xml:space="preserve">Giannini Fund - ECE : Other Local Income </t>
  </si>
  <si>
    <t>12-301-00-703605-51412</t>
  </si>
  <si>
    <t>Giannini Fund - ECE : Acad Nonteach Special Projects</t>
  </si>
  <si>
    <t>12-301-00-703605-52105</t>
  </si>
  <si>
    <t>Giannini Fund - ECE : Classified CSEA</t>
  </si>
  <si>
    <t>12-301-00-703605-52130</t>
  </si>
  <si>
    <t>Giannini Fund - ECE : Classified Management</t>
  </si>
  <si>
    <t>12-301-00-703605-52350</t>
  </si>
  <si>
    <t>Giannini Fund - ECE : Classified Student Dist Non-IA PT</t>
  </si>
  <si>
    <t>12-301-00-703605-53120</t>
  </si>
  <si>
    <t>Giannini Fund - ECE : STRS Nonteaching</t>
  </si>
  <si>
    <t>12-301-00-703605-53220</t>
  </si>
  <si>
    <t>Giannini Fund - ECE : PERS Nonteaching</t>
  </si>
  <si>
    <t>12-301-00-703605-53320</t>
  </si>
  <si>
    <t>Giannini Fund - ECE : OASDHI (FICA) Nonteaching</t>
  </si>
  <si>
    <t>12-301-00-703605-53340</t>
  </si>
  <si>
    <t>Giannini Fund - ECE : Medicare Nonteaching</t>
  </si>
  <si>
    <t>12-301-00-703605-53420</t>
  </si>
  <si>
    <t>Giannini Fund - ECE : H &amp; W Nonteaching</t>
  </si>
  <si>
    <t>12-301-00-703605-53520</t>
  </si>
  <si>
    <t>Giannini Fund - ECE : SUI Nonteaching</t>
  </si>
  <si>
    <t>12-301-00-703605-53620</t>
  </si>
  <si>
    <t>Giannini Fund - ECE : WC Nonteaching</t>
  </si>
  <si>
    <t>12-301-00-703605-54210</t>
  </si>
  <si>
    <t>Giannini Fund - ECE : Purchases - Food</t>
  </si>
  <si>
    <t>12-301-00-703605-54300</t>
  </si>
  <si>
    <t>Giannini Fund - ECE : Supplies &amp; Materials</t>
  </si>
  <si>
    <t>12-301-00-703605-55100</t>
  </si>
  <si>
    <t>Giannini Fund - ECE : Personal Service Contract - 1099</t>
  </si>
  <si>
    <t>12-301-00-703605-55105</t>
  </si>
  <si>
    <t>Giannini Fund - ECE : Contract Services</t>
  </si>
  <si>
    <t>12-301-00-703605-55200</t>
  </si>
  <si>
    <t>Giannini Fund - ECE : Travel &amp; Conference</t>
  </si>
  <si>
    <t>12-301-00-703605-55240</t>
  </si>
  <si>
    <t>Giannini Fund - ECE : Field Trips</t>
  </si>
  <si>
    <t>12-301-00-703605-55630</t>
  </si>
  <si>
    <t>Giannini Fund - ECE : Printing &amp; Duplicating - Inhouse</t>
  </si>
  <si>
    <t>12-301-00-703605-55800</t>
  </si>
  <si>
    <t>Giannini Fund - ECE : Other Costs</t>
  </si>
  <si>
    <t>12-301-00-703605-57510</t>
  </si>
  <si>
    <t>Giannini Fund - ECE : Student Internship</t>
  </si>
  <si>
    <t>12-301-00-703605-57600</t>
  </si>
  <si>
    <t>Giannini Fund - ECE : Other Student Aid</t>
  </si>
  <si>
    <t>12-301-00-703608-52350</t>
  </si>
  <si>
    <t>Education Futures Initiative : Classified Student Dist Non-IA PT</t>
  </si>
  <si>
    <t>12-301-00-703608-53620</t>
  </si>
  <si>
    <t>Education Futures Initiative : WC Nonteaching</t>
  </si>
  <si>
    <t>12-301-00-706260-48120</t>
  </si>
  <si>
    <t>MAESTROS Project : Higher Education Act</t>
  </si>
  <si>
    <t>12-301-00-706260-52105</t>
  </si>
  <si>
    <t>MAESTROS Project : Classified CSEA</t>
  </si>
  <si>
    <t>12-301-00-706260-52130</t>
  </si>
  <si>
    <t>MAESTROS Project : Classified Management</t>
  </si>
  <si>
    <t>12-301-00-706260-52350</t>
  </si>
  <si>
    <t>MAESTROS Project : Classified Student Dist Non-IA PT</t>
  </si>
  <si>
    <t>12-301-00-706260-53220</t>
  </si>
  <si>
    <t>MAESTROS Project : PERS Nonteaching</t>
  </si>
  <si>
    <t>12-301-00-706260-53320</t>
  </si>
  <si>
    <t>MAESTROS Project : OASDHI (FICA) Nonteaching</t>
  </si>
  <si>
    <t>12-301-00-706260-53340</t>
  </si>
  <si>
    <t>MAESTROS Project : Medicare Nonteaching</t>
  </si>
  <si>
    <t>12-301-00-706260-53420</t>
  </si>
  <si>
    <t>MAESTROS Project : H &amp; W Nonteaching</t>
  </si>
  <si>
    <t>12-301-00-706260-53520</t>
  </si>
  <si>
    <t>MAESTROS Project : SUI Nonteaching</t>
  </si>
  <si>
    <t>12-301-00-706260-53620</t>
  </si>
  <si>
    <t>MAESTROS Project : WC Nonteaching</t>
  </si>
  <si>
    <t>12-301-00-706260-54300</t>
  </si>
  <si>
    <t>MAESTROS Project : Supplies &amp; Materials</t>
  </si>
  <si>
    <t>12-301-00-706260-55100</t>
  </si>
  <si>
    <t>MAESTROS Project : Personal Service Contract - 1099</t>
  </si>
  <si>
    <t>12-301-00-706260-55105</t>
  </si>
  <si>
    <t>MAESTROS Project : Contract Services</t>
  </si>
  <si>
    <t>12-301-00-706260-55200</t>
  </si>
  <si>
    <t>MAESTROS Project : Travel &amp; Conference</t>
  </si>
  <si>
    <t>12-301-00-706260-55240</t>
  </si>
  <si>
    <t>MAESTROS Project : Field Trips</t>
  </si>
  <si>
    <t>12-301-00-706260-55300</t>
  </si>
  <si>
    <t>MAESTROS Project : Memberships</t>
  </si>
  <si>
    <t>12-301-00-706260-55309</t>
  </si>
  <si>
    <t>MAESTROS Project : Subscriptions</t>
  </si>
  <si>
    <t>12-301-00-706260-55800</t>
  </si>
  <si>
    <t>MAESTROS Project : Other Costs</t>
  </si>
  <si>
    <t>12-301-00-706260-56400</t>
  </si>
  <si>
    <t>MAESTROS Project : Cap Equip - $200 to $4,999</t>
  </si>
  <si>
    <t>12-303-00-705701-48890</t>
  </si>
  <si>
    <t xml:space="preserve">Boronda - Foundation : Other Local Income </t>
  </si>
  <si>
    <t>12-303-00-705701-51412</t>
  </si>
  <si>
    <t>Boronda - Foundation : Acad Nonteach Special Projects</t>
  </si>
  <si>
    <t>12-303-00-705701-53120</t>
  </si>
  <si>
    <t>Boronda - Foundation : STRS Nonteaching</t>
  </si>
  <si>
    <t>12-303-00-705701-53340</t>
  </si>
  <si>
    <t>Boronda - Foundation : Medicare Nonteaching</t>
  </si>
  <si>
    <t>12-303-00-705701-53520</t>
  </si>
  <si>
    <t>Boronda - Foundation : SUI Nonteaching</t>
  </si>
  <si>
    <t>12-303-00-705701-53620</t>
  </si>
  <si>
    <t>Boronda - Foundation : WC Nonteaching</t>
  </si>
  <si>
    <t>12-304-00-679000-54300</t>
  </si>
  <si>
    <t>12-304-00-679000-55610</t>
  </si>
  <si>
    <t>12-304-00-703402-48890</t>
  </si>
  <si>
    <t xml:space="preserve">K-12 STEM : Other Local Income </t>
  </si>
  <si>
    <t>12-304-00-703402-51210</t>
  </si>
  <si>
    <t>K-12 STEM : Academic Nonteaching Management</t>
  </si>
  <si>
    <t>12-304-00-703402-52105</t>
  </si>
  <si>
    <t>K-12 STEM : Classified CSEA</t>
  </si>
  <si>
    <t>12-304-00-703402-52130</t>
  </si>
  <si>
    <t>K-12 STEM : Classified Management</t>
  </si>
  <si>
    <t>12-304-00-703402-52350</t>
  </si>
  <si>
    <t>K-12 STEM : Classified Student Dist Non-IA PT</t>
  </si>
  <si>
    <t>12-304-00-703402-53120</t>
  </si>
  <si>
    <t>K-12 STEM : STRS Nonteaching</t>
  </si>
  <si>
    <t>12-304-00-703402-53220</t>
  </si>
  <si>
    <t>K-12 STEM : PERS Nonteaching</t>
  </si>
  <si>
    <t>12-304-00-703402-53320</t>
  </si>
  <si>
    <t>K-12 STEM : OASDHI (FICA) Nonteaching</t>
  </si>
  <si>
    <t>12-304-00-703402-53340</t>
  </si>
  <si>
    <t>K-12 STEM : Medicare Nonteaching</t>
  </si>
  <si>
    <t>12-304-00-703402-53420</t>
  </si>
  <si>
    <t>K-12 STEM : H &amp; W Nonteaching</t>
  </si>
  <si>
    <t>12-304-00-703402-53520</t>
  </si>
  <si>
    <t>K-12 STEM : SUI Nonteaching</t>
  </si>
  <si>
    <t>12-304-00-703402-53620</t>
  </si>
  <si>
    <t>K-12 STEM : WC Nonteaching</t>
  </si>
  <si>
    <t>12-304-00-703402-53920</t>
  </si>
  <si>
    <t>K-12 STEM : Other Benefit-Non Teaching</t>
  </si>
  <si>
    <t>12-304-00-703402-55630</t>
  </si>
  <si>
    <t>K-12 STEM : Printing &amp; Duplicating - Inhouse</t>
  </si>
  <si>
    <t>12-304-00-703404-48890</t>
  </si>
  <si>
    <t xml:space="preserve">NASA SEMAA - Foundation : Other Local Income </t>
  </si>
  <si>
    <t>12-304-00-703404-52105</t>
  </si>
  <si>
    <t>NASA SEMAA - Foundation : Classified CSEA</t>
  </si>
  <si>
    <t>12-304-00-703404-53220</t>
  </si>
  <si>
    <t>NASA SEMAA - Foundation : PERS Nonteaching</t>
  </si>
  <si>
    <t>12-304-00-703404-53320</t>
  </si>
  <si>
    <t>NASA SEMAA - Foundation : OASDHI (FICA) Nonteaching</t>
  </si>
  <si>
    <t>12-304-00-703404-53340</t>
  </si>
  <si>
    <t>NASA SEMAA - Foundation : Medicare Nonteaching</t>
  </si>
  <si>
    <t>12-304-00-703404-53420</t>
  </si>
  <si>
    <t>NASA SEMAA - Foundation : H &amp; W Nonteaching</t>
  </si>
  <si>
    <t>12-304-00-703404-53520</t>
  </si>
  <si>
    <t>NASA SEMAA - Foundation : SUI Nonteaching</t>
  </si>
  <si>
    <t>12-304-00-703404-53620</t>
  </si>
  <si>
    <t>NASA SEMAA - Foundation : WC Nonteaching</t>
  </si>
  <si>
    <t>12-304-00-703404-53920</t>
  </si>
  <si>
    <t>NASA SEMAA - Foundation : Other Benefit-Non Teaching</t>
  </si>
  <si>
    <t>12-304-00-703404-55630</t>
  </si>
  <si>
    <t>NASA SEMAA - Foundation : Printing &amp; Duplicating - Inhouse</t>
  </si>
  <si>
    <t>12-304-00-703405-48190</t>
  </si>
  <si>
    <t>NASA MAA : Other Federal Revenues</t>
  </si>
  <si>
    <t>12-304-00-703405-52130</t>
  </si>
  <si>
    <t>NASA MAA : Classified Management</t>
  </si>
  <si>
    <t>12-304-00-703405-53000</t>
  </si>
  <si>
    <t>NASA MAA : Employee Benefits Control</t>
  </si>
  <si>
    <t>12-304-00-703405-53120</t>
  </si>
  <si>
    <t>NASA MAA : STRS Nonteaching</t>
  </si>
  <si>
    <t>12-304-00-703405-53340</t>
  </si>
  <si>
    <t>NASA MAA : Medicare Nonteaching</t>
  </si>
  <si>
    <t>12-304-00-703405-53420</t>
  </si>
  <si>
    <t>NASA MAA : H &amp; W Nonteaching</t>
  </si>
  <si>
    <t>12-304-00-703405-53520</t>
  </si>
  <si>
    <t>NASA MAA : SUI Nonteaching</t>
  </si>
  <si>
    <t>12-304-00-703405-53620</t>
  </si>
  <si>
    <t>NASA MAA : WC Nonteaching</t>
  </si>
  <si>
    <t>12-304-00-703405-54300</t>
  </si>
  <si>
    <t>NASA MAA : Supplies &amp; Materials</t>
  </si>
  <si>
    <t>12-304-00-703405-55105</t>
  </si>
  <si>
    <t>NASA MAA : Contract Services</t>
  </si>
  <si>
    <t>12-304-00-703405-55200</t>
  </si>
  <si>
    <t>NASA MAA : Travel &amp; Conference</t>
  </si>
  <si>
    <t>12-304-00-703405-56405</t>
  </si>
  <si>
    <t>NASA MAA : Cap Equip - $5,000 and Over</t>
  </si>
  <si>
    <t>12-304-00-703405-57350</t>
  </si>
  <si>
    <t>NASA MAA : Tsf Indirect Costs-Interfund</t>
  </si>
  <si>
    <t>12-304-00-760000-51412</t>
  </si>
  <si>
    <t>12-304-00-760000-53120</t>
  </si>
  <si>
    <t>12-304-00-760000-53340</t>
  </si>
  <si>
    <t>12-304-00-760000-53520</t>
  </si>
  <si>
    <t>12-304-00-760000-53620</t>
  </si>
  <si>
    <t>12-305-00-601015-48890</t>
  </si>
  <si>
    <t xml:space="preserve">TPP CSUMB : Other Local Income </t>
  </si>
  <si>
    <t>12-305-00-601015-52350</t>
  </si>
  <si>
    <t>TPP CSUMB : Classified Student Dist Non-IA PT</t>
  </si>
  <si>
    <t>12-305-00-601015-53620</t>
  </si>
  <si>
    <t>TPP CSUMB : WC Nonteaching</t>
  </si>
  <si>
    <t>12-305-00-601015-56400</t>
  </si>
  <si>
    <t>TPP CSUMB : Cap Equip - $200 to $4,999</t>
  </si>
  <si>
    <t>12-305-00-601015-57510</t>
  </si>
  <si>
    <t>TPP CSUMB : Student Internship</t>
  </si>
  <si>
    <t>12-306-04-601000-48890</t>
  </si>
  <si>
    <t xml:space="preserve">Academic Administration : Other Local Income </t>
  </si>
  <si>
    <t>12-306-04-601000-51210</t>
  </si>
  <si>
    <t>12-306-04-601000-53120</t>
  </si>
  <si>
    <t>12-306-04-601000-53340</t>
  </si>
  <si>
    <t>12-306-04-601000-53420</t>
  </si>
  <si>
    <t>12-306-04-601000-53520</t>
  </si>
  <si>
    <t>12-306-04-601000-53620</t>
  </si>
  <si>
    <t>12-306-04-601000-53920</t>
  </si>
  <si>
    <t>12-310-00-619005-48190</t>
  </si>
  <si>
    <t>NEH Grant : Other Federal Revenues</t>
  </si>
  <si>
    <t>12-310-00-619005-51412</t>
  </si>
  <si>
    <t>NEH Grant : Acad Nonteach Special Projects</t>
  </si>
  <si>
    <t>12-310-00-619005-53120</t>
  </si>
  <si>
    <t>NEH Grant : STRS Nonteaching</t>
  </si>
  <si>
    <t>12-310-00-619005-53340</t>
  </si>
  <si>
    <t>NEH Grant : Medicare Nonteaching</t>
  </si>
  <si>
    <t>12-310-00-619005-53520</t>
  </si>
  <si>
    <t>NEH Grant : SUI Nonteaching</t>
  </si>
  <si>
    <t>12-310-00-619005-53620</t>
  </si>
  <si>
    <t>NEH Grant : WC Nonteaching</t>
  </si>
  <si>
    <t>12-310-00-619005-54300</t>
  </si>
  <si>
    <t>NEH Grant : Supplies &amp; Materials</t>
  </si>
  <si>
    <t>12-310-00-619005-54301</t>
  </si>
  <si>
    <t>NEH Grant : Non-Intructional Supplies &amp; Ma</t>
  </si>
  <si>
    <t>12-310-00-619005-55100</t>
  </si>
  <si>
    <t>NEH Grant : Personal Service Contract - 1099</t>
  </si>
  <si>
    <t>12-310-00-619005-55105</t>
  </si>
  <si>
    <t>NEH Grant : Contract Services</t>
  </si>
  <si>
    <t>12-310-00-619005-55300</t>
  </si>
  <si>
    <t>NEH Grant : Memberships</t>
  </si>
  <si>
    <t>12-310-00-619005-55309</t>
  </si>
  <si>
    <t>NEH Grant : Subscriptions</t>
  </si>
  <si>
    <t>12-310-00-619005-55800</t>
  </si>
  <si>
    <t>NEH Grant : Other Costs</t>
  </si>
  <si>
    <t>12-310-00-619005-57350</t>
  </si>
  <si>
    <t>NEH Grant : Tsf Indirect Costs-Interfund</t>
  </si>
  <si>
    <t>12-320-00-679000-54300</t>
  </si>
  <si>
    <t>12-320-00-679000-55105</t>
  </si>
  <si>
    <t>CARES Act - Institutional : Contract Services</t>
  </si>
  <si>
    <t>12-320-00-679000-55610</t>
  </si>
  <si>
    <t>12-330-00-602002-48190</t>
  </si>
  <si>
    <t>UCSC-CalTeach_NSF Noyce : Other Federal Revenues</t>
  </si>
  <si>
    <t>12-330-00-602002-51412</t>
  </si>
  <si>
    <t>UCSC-CalTeach_NSF Noyce : Acad Nonteach Special Projects</t>
  </si>
  <si>
    <t>12-330-00-602002-53120</t>
  </si>
  <si>
    <t>UCSC-CalTeach_NSF Noyce : STRS Nonteaching</t>
  </si>
  <si>
    <t>12-330-00-602002-53340</t>
  </si>
  <si>
    <t>UCSC-CalTeach_NSF Noyce : Medicare Nonteaching</t>
  </si>
  <si>
    <t>12-330-00-602002-53520</t>
  </si>
  <si>
    <t>UCSC-CalTeach_NSF Noyce : SUI Nonteaching</t>
  </si>
  <si>
    <t>12-330-00-602002-53620</t>
  </si>
  <si>
    <t>UCSC-CalTeach_NSF Noyce : WC Nonteaching</t>
  </si>
  <si>
    <t>12-330-00-602002-54300</t>
  </si>
  <si>
    <t>UCSC-CalTeach_NSF Noyce : Supplies &amp; Materials</t>
  </si>
  <si>
    <t>12-330-00-602002-55100</t>
  </si>
  <si>
    <t>UCSC-CalTeach_NSF Noyce : Personal Service Contract - 1099</t>
  </si>
  <si>
    <t>12-330-00-602002-55125</t>
  </si>
  <si>
    <t>UCSC-CalTeach_NSF Noyce : Training &amp; Seminars</t>
  </si>
  <si>
    <t>12-330-00-602002-55200</t>
  </si>
  <si>
    <t>UCSC-CalTeach_NSF Noyce : Travel &amp; Conference</t>
  </si>
  <si>
    <t>12-330-00-602002-57350</t>
  </si>
  <si>
    <t>UCSC-CalTeach_NSF Noyce : Tsf Indirect Costs-Interfund</t>
  </si>
  <si>
    <t>12-330-00-602010-48600</t>
  </si>
  <si>
    <t>CA Education Learning Lab : State Grants &amp; Contracts Rev</t>
  </si>
  <si>
    <t>12-330-00-602010-51412</t>
  </si>
  <si>
    <t>CA Education Learning Lab : Acad Nonteach Special Projects</t>
  </si>
  <si>
    <t>12-330-00-602010-53000</t>
  </si>
  <si>
    <t>CA Education Learning Lab : Employee Benefits Control</t>
  </si>
  <si>
    <t>12-330-00-679000-54300</t>
  </si>
  <si>
    <t>12-330-00-679030-52105</t>
  </si>
  <si>
    <t>IEPI  Grant : Classified CSEA</t>
  </si>
  <si>
    <t>12-330-00-679030-53220</t>
  </si>
  <si>
    <t>IEPI  Grant : PERS Nonteaching</t>
  </si>
  <si>
    <t>12-330-00-679030-53320</t>
  </si>
  <si>
    <t>IEPI  Grant : OASDHI (FICA) Nonteaching</t>
  </si>
  <si>
    <t>12-330-00-679030-53340</t>
  </si>
  <si>
    <t>IEPI  Grant : Medicare Nonteaching</t>
  </si>
  <si>
    <t>12-330-00-679030-53520</t>
  </si>
  <si>
    <t>IEPI  Grant : SUI Nonteaching</t>
  </si>
  <si>
    <t>12-330-00-679030-53620</t>
  </si>
  <si>
    <t>IEPI  Grant : WC Nonteaching</t>
  </si>
  <si>
    <t>12-330-00-679040-48120</t>
  </si>
  <si>
    <t>GANAS Grant : Higher Education Act</t>
  </si>
  <si>
    <t>12-330-00-679040-52105</t>
  </si>
  <si>
    <t>GANAS Grant : Classified CSEA</t>
  </si>
  <si>
    <t>12-330-00-679040-52130</t>
  </si>
  <si>
    <t>GANAS Grant : Classified Management</t>
  </si>
  <si>
    <t>12-330-00-679040-53000</t>
  </si>
  <si>
    <t>GANAS Grant : Employee Benefits Control</t>
  </si>
  <si>
    <t>12-330-00-679040-53220</t>
  </si>
  <si>
    <t>GANAS Grant : PERS Nonteaching</t>
  </si>
  <si>
    <t>12-330-00-679040-53320</t>
  </si>
  <si>
    <t>GANAS Grant : OASDHI (FICA) Nonteaching</t>
  </si>
  <si>
    <t>12-330-00-679040-53340</t>
  </si>
  <si>
    <t>GANAS Grant : Medicare Nonteaching</t>
  </si>
  <si>
    <t>12-330-00-679040-53420</t>
  </si>
  <si>
    <t>GANAS Grant : H &amp; W Nonteaching</t>
  </si>
  <si>
    <t>12-330-00-679040-53520</t>
  </si>
  <si>
    <t>GANAS Grant : SUI Nonteaching</t>
  </si>
  <si>
    <t>12-330-00-679040-53620</t>
  </si>
  <si>
    <t>GANAS Grant : WC Nonteaching</t>
  </si>
  <si>
    <t>12-330-00-679040-54300</t>
  </si>
  <si>
    <t>GANAS Grant : Supplies &amp; Materials</t>
  </si>
  <si>
    <t>12-330-00-679040-55105</t>
  </si>
  <si>
    <t>GANAS Grant : Contract Services</t>
  </si>
  <si>
    <t>12-330-00-679040-55200</t>
  </si>
  <si>
    <t>GANAS Grant : Travel &amp; Conference</t>
  </si>
  <si>
    <t>12-330-00-679040-55800</t>
  </si>
  <si>
    <t>GANAS Grant : Other Costs</t>
  </si>
  <si>
    <t>12-330-00-679040-56200</t>
  </si>
  <si>
    <t>GANAS Grant : Building Improvements</t>
  </si>
  <si>
    <t>12-330-00-679040-56400</t>
  </si>
  <si>
    <t>GANAS Grant : Cap Equip - $200 to $4,999</t>
  </si>
  <si>
    <t>12-330-00-701400-48120</t>
  </si>
  <si>
    <t>Nat Institute of Health Grant : Higher Education Act</t>
  </si>
  <si>
    <t>12-330-00-701400-52350</t>
  </si>
  <si>
    <t>Nat Institute of Health Grant : Classified Student Dist Non-IA PT</t>
  </si>
  <si>
    <t>12-330-00-701400-52420</t>
  </si>
  <si>
    <t>Nat Institute of Health Grant : Classified Student Dist Instructional Aides PT</t>
  </si>
  <si>
    <t>12-330-00-701400-53000</t>
  </si>
  <si>
    <t>Nat Institute of Health Grant : Employee Benefits Control</t>
  </si>
  <si>
    <t>12-330-00-701400-53620</t>
  </si>
  <si>
    <t>Nat Institute of Health Grant : WC Nonteaching</t>
  </si>
  <si>
    <t>12-330-00-701400-57350</t>
  </si>
  <si>
    <t>Nat Institute of Health Grant : Tsf Indirect Costs-Interfund</t>
  </si>
  <si>
    <t>12-330-00-703800-48690</t>
  </si>
  <si>
    <t>MESA Grant : Other State Revenue</t>
  </si>
  <si>
    <t>12-330-00-703800-52105</t>
  </si>
  <si>
    <t>12-330-00-703800-52350</t>
  </si>
  <si>
    <t>12-330-00-703800-53000</t>
  </si>
  <si>
    <t>MESA Grant : Employee Benefits Control</t>
  </si>
  <si>
    <t>12-330-00-703800-53220</t>
  </si>
  <si>
    <t>12-330-00-703800-53320</t>
  </si>
  <si>
    <t>12-330-00-703800-53340</t>
  </si>
  <si>
    <t>12-330-00-703800-53420</t>
  </si>
  <si>
    <t>12-330-00-703800-53520</t>
  </si>
  <si>
    <t>12-330-00-703800-53620</t>
  </si>
  <si>
    <t>12-330-00-703800-54220</t>
  </si>
  <si>
    <t>MESA Grant : Purchases - Books</t>
  </si>
  <si>
    <t>12-330-00-703800-54300</t>
  </si>
  <si>
    <t>MESA Grant : Supplies &amp; Materials</t>
  </si>
  <si>
    <t>12-330-00-703800-55200</t>
  </si>
  <si>
    <t>MESA Grant : Travel &amp; Conference</t>
  </si>
  <si>
    <t>12-330-00-703800-55240</t>
  </si>
  <si>
    <t>MESA Grant : Field Trips</t>
  </si>
  <si>
    <t>12-330-00-703800-55300</t>
  </si>
  <si>
    <t>MESA Grant : Memberships</t>
  </si>
  <si>
    <t>12-330-00-703800-55630</t>
  </si>
  <si>
    <t>12-330-00-703800-57350</t>
  </si>
  <si>
    <t>MESA Grant : Tsf Indirect Costs-Interfund</t>
  </si>
  <si>
    <t>12-330-00-703800-57552</t>
  </si>
  <si>
    <t>MESA Grant : Student Travel/Meals</t>
  </si>
  <si>
    <t>12-330-00-706300-52105</t>
  </si>
  <si>
    <t>Gavilan Subaward, Yrs. 1,3,5 : Classified CSEA</t>
  </si>
  <si>
    <t>12-330-00-706300-53220</t>
  </si>
  <si>
    <t>Gavilan Subaward, Yrs. 1,3,5 : PERS Nonteaching</t>
  </si>
  <si>
    <t>12-330-00-706300-53320</t>
  </si>
  <si>
    <t>Gavilan Subaward, Yrs. 1,3,5 : OASDHI (FICA) Nonteaching</t>
  </si>
  <si>
    <t>12-330-00-706300-53340</t>
  </si>
  <si>
    <t>Gavilan Subaward, Yrs. 1,3,5 : Medicare Nonteaching</t>
  </si>
  <si>
    <t>12-330-00-706300-53520</t>
  </si>
  <si>
    <t>Gavilan Subaward, Yrs. 1,3,5 : SUI Nonteaching</t>
  </si>
  <si>
    <t>12-330-00-706300-53620</t>
  </si>
  <si>
    <t>Gavilan Subaward, Yrs. 1,3,5 : WC Nonteaching</t>
  </si>
  <si>
    <t>12-330-00-708001-48190</t>
  </si>
  <si>
    <t>NSF S-STEM : Other Federal Revenues</t>
  </si>
  <si>
    <t>12-330-00-708001-51412</t>
  </si>
  <si>
    <t>NSF S-STEM : Acad Nonteach Special Projects</t>
  </si>
  <si>
    <t>12-330-00-708001-52105</t>
  </si>
  <si>
    <t>NSF S-STEM : Classified CSEA</t>
  </si>
  <si>
    <t>12-330-00-708001-53120</t>
  </si>
  <si>
    <t>NSF S-STEM : STRS Nonteaching</t>
  </si>
  <si>
    <t>12-330-00-708001-53220</t>
  </si>
  <si>
    <t>NSF S-STEM : PERS Nonteaching</t>
  </si>
  <si>
    <t>12-330-00-708001-53320</t>
  </si>
  <si>
    <t>NSF S-STEM : OASDHI (FICA) Nonteaching</t>
  </si>
  <si>
    <t>12-330-00-708001-53340</t>
  </si>
  <si>
    <t>NSF S-STEM : Medicare Nonteaching</t>
  </si>
  <si>
    <t>12-330-00-708001-53420</t>
  </si>
  <si>
    <t>NSF S-STEM : H &amp; W Nonteaching</t>
  </si>
  <si>
    <t>12-330-00-708001-53520</t>
  </si>
  <si>
    <t>NSF S-STEM : SUI Nonteaching</t>
  </si>
  <si>
    <t>12-330-00-708001-53620</t>
  </si>
  <si>
    <t>NSF S-STEM : WC Nonteaching</t>
  </si>
  <si>
    <t>12-330-00-708001-55200</t>
  </si>
  <si>
    <t>NSF S-STEM : Travel &amp; Conference</t>
  </si>
  <si>
    <t>12-330-00-708001-55630</t>
  </si>
  <si>
    <t>NSF S-STEM : Printing &amp; Duplicating - Inhouse</t>
  </si>
  <si>
    <t>12-330-00-708001-57350</t>
  </si>
  <si>
    <t>NSF S-STEM : Tsf Indirect Costs-Interfund</t>
  </si>
  <si>
    <t>12-330-00-708001-57500</t>
  </si>
  <si>
    <t>NSF S-STEM : Student Financial Aid Payment</t>
  </si>
  <si>
    <t>12-330-00-708003-48190</t>
  </si>
  <si>
    <t>NSF ESTEEM : Other Federal Revenues</t>
  </si>
  <si>
    <t>12-330-00-708003-51412</t>
  </si>
  <si>
    <t>NSF ESTEEM : Acad Nonteach Special Projects</t>
  </si>
  <si>
    <t>12-330-00-708003-52105</t>
  </si>
  <si>
    <t>NSF ESTEEM : Classified CSEA</t>
  </si>
  <si>
    <t>12-330-00-708003-52300</t>
  </si>
  <si>
    <t>NSF ESTEEM : Classified Overtime</t>
  </si>
  <si>
    <t>12-330-00-708003-53000</t>
  </si>
  <si>
    <t>NSF ESTEEM : Employee Benefits Control</t>
  </si>
  <si>
    <t>12-330-00-708003-53120</t>
  </si>
  <si>
    <t>NSF ESTEEM : STRS Nonteaching</t>
  </si>
  <si>
    <t>12-330-00-708003-53220</t>
  </si>
  <si>
    <t>NSF ESTEEM : PERS Nonteaching</t>
  </si>
  <si>
    <t>12-330-00-708003-53320</t>
  </si>
  <si>
    <t>NSF ESTEEM : OASDHI (FICA) Nonteaching</t>
  </si>
  <si>
    <t>12-330-00-708003-53340</t>
  </si>
  <si>
    <t>NSF ESTEEM : Medicare Nonteaching</t>
  </si>
  <si>
    <t>12-330-00-708003-53420</t>
  </si>
  <si>
    <t>NSF ESTEEM : H &amp; W Nonteaching</t>
  </si>
  <si>
    <t>12-330-00-708003-53520</t>
  </si>
  <si>
    <t>NSF ESTEEM : SUI Nonteaching</t>
  </si>
  <si>
    <t>12-330-00-708003-53620</t>
  </si>
  <si>
    <t>NSF ESTEEM : WC Nonteaching</t>
  </si>
  <si>
    <t>12-330-00-708003-53920</t>
  </si>
  <si>
    <t>NSF ESTEEM : Other Benefit-Non Teaching</t>
  </si>
  <si>
    <t>12-330-00-708003-54210</t>
  </si>
  <si>
    <t>NSF ESTEEM : Purchases - Food</t>
  </si>
  <si>
    <t>12-330-00-708003-54300</t>
  </si>
  <si>
    <t>NSF ESTEEM : Supplies &amp; Materials</t>
  </si>
  <si>
    <t>12-330-00-708003-55100</t>
  </si>
  <si>
    <t>NSF ESTEEM : Personal Service Contract - 1099</t>
  </si>
  <si>
    <t>12-330-00-708003-55105</t>
  </si>
  <si>
    <t>NSF ESTEEM : Contract Services</t>
  </si>
  <si>
    <t>12-330-00-708003-55200</t>
  </si>
  <si>
    <t>NSF ESTEEM : Travel &amp; Conference</t>
  </si>
  <si>
    <t>12-330-00-708003-55635</t>
  </si>
  <si>
    <t>NSF ESTEEM : Printing Services - Vendor</t>
  </si>
  <si>
    <t>12-330-00-708003-55800</t>
  </si>
  <si>
    <t>NSF ESTEEM : Other Costs</t>
  </si>
  <si>
    <t>12-330-00-708003-57350</t>
  </si>
  <si>
    <t>NSF ESTEEM : Tsf Indirect Costs-Interfund</t>
  </si>
  <si>
    <t>12-330-00-708003-57510</t>
  </si>
  <si>
    <t>NSF ESTEEM : Student Internship</t>
  </si>
  <si>
    <t>12-330-00-708003-57552</t>
  </si>
  <si>
    <t>NSF ESTEEM : Student Travel/Meals</t>
  </si>
  <si>
    <t>12-330-00-709831-48120</t>
  </si>
  <si>
    <t>HSI STEM GPS : Higher Education Act</t>
  </si>
  <si>
    <t>12-330-00-709831-51200</t>
  </si>
  <si>
    <t>HSI STEM GPS : Academic Nonteaching Full-time</t>
  </si>
  <si>
    <t>12-330-00-709831-51210</t>
  </si>
  <si>
    <t>HSI STEM GPS : Academic Nonteaching Management</t>
  </si>
  <si>
    <t>12-330-00-709831-51412</t>
  </si>
  <si>
    <t>HSI STEM GPS : Acad Nonteach Special Projects</t>
  </si>
  <si>
    <t>12-330-00-709831-52105</t>
  </si>
  <si>
    <t>HSI STEM GPS : Classified CSEA</t>
  </si>
  <si>
    <t>12-330-00-709831-52130</t>
  </si>
  <si>
    <t>HSI STEM GPS : Classified Management</t>
  </si>
  <si>
    <t>12-330-00-709831-52200</t>
  </si>
  <si>
    <t>HSI STEM GPS : Classified Permanent Instructional Aides</t>
  </si>
  <si>
    <t>12-330-00-709831-52350</t>
  </si>
  <si>
    <t>HSI STEM GPS : Classified Student Dist Non-IA PT</t>
  </si>
  <si>
    <t>12-330-00-709831-52360</t>
  </si>
  <si>
    <t>HSI STEM GPS : Class Nonstu NonIA PT Prof Exp</t>
  </si>
  <si>
    <t>12-330-00-709831-53120</t>
  </si>
  <si>
    <t>HSI STEM GPS : STRS Nonteaching</t>
  </si>
  <si>
    <t>12-330-00-709831-53210</t>
  </si>
  <si>
    <t>HSI STEM GPS : PERS Teaching</t>
  </si>
  <si>
    <t>12-330-00-709831-53220</t>
  </si>
  <si>
    <t>HSI STEM GPS : PERS Nonteaching</t>
  </si>
  <si>
    <t>12-330-00-709831-53310</t>
  </si>
  <si>
    <t>HSI STEM GPS : OASDHI (FICA) Teaching</t>
  </si>
  <si>
    <t>12-330-00-709831-53320</t>
  </si>
  <si>
    <t>HSI STEM GPS : OASDHI (FICA) Nonteaching</t>
  </si>
  <si>
    <t>12-330-00-709831-53330</t>
  </si>
  <si>
    <t>HSI STEM GPS : Medicare Teaching</t>
  </si>
  <si>
    <t>12-330-00-709831-53340</t>
  </si>
  <si>
    <t>HSI STEM GPS : Medicare Nonteaching</t>
  </si>
  <si>
    <t>12-330-00-709831-53410</t>
  </si>
  <si>
    <t>HSI STEM GPS : H &amp; W Teaching</t>
  </si>
  <si>
    <t>12-330-00-709831-53420</t>
  </si>
  <si>
    <t>HSI STEM GPS : H &amp; W Nonteaching</t>
  </si>
  <si>
    <t>12-330-00-709831-53510</t>
  </si>
  <si>
    <t>HSI STEM GPS : SUI Teaching</t>
  </si>
  <si>
    <t>12-330-00-709831-53520</t>
  </si>
  <si>
    <t>HSI STEM GPS : SUI Nonteaching</t>
  </si>
  <si>
    <t>12-330-00-709831-53610</t>
  </si>
  <si>
    <t>HSI STEM GPS : WC Teaching</t>
  </si>
  <si>
    <t>12-330-00-709831-53620</t>
  </si>
  <si>
    <t>HSI STEM GPS : WC Nonteaching</t>
  </si>
  <si>
    <t>12-330-00-709831-53920</t>
  </si>
  <si>
    <t>HSI STEM GPS : Other Benefit-Non Teaching</t>
  </si>
  <si>
    <t>12-330-00-709831-54210</t>
  </si>
  <si>
    <t>HSI STEM GPS : Purchases - Food</t>
  </si>
  <si>
    <t>12-330-00-709831-54300</t>
  </si>
  <si>
    <t>HSI STEM GPS : Supplies &amp; Materials</t>
  </si>
  <si>
    <t>12-330-00-709831-55100</t>
  </si>
  <si>
    <t>HSI STEM GPS : Personal Service Contract - 1099</t>
  </si>
  <si>
    <t>12-330-00-709831-55105</t>
  </si>
  <si>
    <t>HSI STEM GPS : Contract Services</t>
  </si>
  <si>
    <t>12-330-00-709831-55125</t>
  </si>
  <si>
    <t>HSI STEM GPS : Training &amp; Seminars</t>
  </si>
  <si>
    <t>12-330-00-709831-55200</t>
  </si>
  <si>
    <t>HSI STEM GPS : Travel &amp; Conference</t>
  </si>
  <si>
    <t>12-330-00-709831-55309</t>
  </si>
  <si>
    <t>HSI STEM GPS : Subscriptions</t>
  </si>
  <si>
    <t>12-330-00-709831-55630</t>
  </si>
  <si>
    <t>HSI STEM GPS : Printing &amp; Duplicating - Inhouse</t>
  </si>
  <si>
    <t>12-330-00-709831-55635</t>
  </si>
  <si>
    <t>HSI STEM GPS : Printing Services - Vendor</t>
  </si>
  <si>
    <t>12-330-00-709831-56200</t>
  </si>
  <si>
    <t>HSI STEM GPS : Building Improvements</t>
  </si>
  <si>
    <t>12-330-00-709831-56300</t>
  </si>
  <si>
    <t>HSI STEM GPS : Capital Books &amp; Software</t>
  </si>
  <si>
    <t>12-330-00-709831-56400</t>
  </si>
  <si>
    <t>HSI STEM GPS : Cap Equip - $200 to $4,999</t>
  </si>
  <si>
    <t>12-330-00-709831-57510</t>
  </si>
  <si>
    <t>HSI STEM GPS : Student Internship</t>
  </si>
  <si>
    <t>12-330-00-760022-48890</t>
  </si>
  <si>
    <t xml:space="preserve">Science Bldg Capital Fund : Other Local Income </t>
  </si>
  <si>
    <t>12-330-00-760022-54300</t>
  </si>
  <si>
    <t>Science Bldg Capital Fund : Supplies &amp; Materials</t>
  </si>
  <si>
    <t>12-330-00-760022-56400</t>
  </si>
  <si>
    <t>Science Bldg Capital Fund : Cap Equip - $200 to $4,999</t>
  </si>
  <si>
    <t>12-330-00-760028-48890</t>
  </si>
  <si>
    <t xml:space="preserve">Foundation - Physics : Other Local Income </t>
  </si>
  <si>
    <t>12-330-00-760028-56400</t>
  </si>
  <si>
    <t>Foundation - Physics : Cap Equip - $200 to $4,999</t>
  </si>
  <si>
    <t>12-335-00-601030-48890</t>
  </si>
  <si>
    <t xml:space="preserve">UCSF - First Generation : Other Local Income </t>
  </si>
  <si>
    <t>12-335-00-601030-51210</t>
  </si>
  <si>
    <t>UCSF - First Generation : Academic Nonteaching Management</t>
  </si>
  <si>
    <t>12-335-00-601030-52105</t>
  </si>
  <si>
    <t>UCSF - First Generation : Classified CSEA</t>
  </si>
  <si>
    <t>12-335-00-601030-52360</t>
  </si>
  <si>
    <t>UCSF - First Generation : Class Nonstu NonIA PT Prof Exp</t>
  </si>
  <si>
    <t>12-335-00-601030-52400</t>
  </si>
  <si>
    <t>UCSF - First Generation : Classified Nonstudent Instructional Aides PT</t>
  </si>
  <si>
    <t>12-335-00-601030-53000</t>
  </si>
  <si>
    <t>UCSF - First Generation : Employee Benefits Control</t>
  </si>
  <si>
    <t>12-335-00-601030-53120</t>
  </si>
  <si>
    <t>UCSF - First Generation : STRS Nonteaching</t>
  </si>
  <si>
    <t>12-335-00-601030-53220</t>
  </si>
  <si>
    <t>UCSF - First Generation : PERS Nonteaching</t>
  </si>
  <si>
    <t>12-335-00-601030-53310</t>
  </si>
  <si>
    <t>UCSF - First Generation : OASDHI (FICA) Teaching</t>
  </si>
  <si>
    <t>12-335-00-601030-53320</t>
  </si>
  <si>
    <t>UCSF - First Generation : OASDHI (FICA) Nonteaching</t>
  </si>
  <si>
    <t>12-335-00-601030-53330</t>
  </si>
  <si>
    <t>UCSF - First Generation : Medicare Teaching</t>
  </si>
  <si>
    <t>12-335-00-601030-53340</t>
  </si>
  <si>
    <t>UCSF - First Generation : Medicare Nonteaching</t>
  </si>
  <si>
    <t>12-335-00-601030-53420</t>
  </si>
  <si>
    <t>UCSF - First Generation : H &amp; W Nonteaching</t>
  </si>
  <si>
    <t>12-335-00-601030-53510</t>
  </si>
  <si>
    <t>UCSF - First Generation : SUI Teaching</t>
  </si>
  <si>
    <t>12-335-00-601030-53520</t>
  </si>
  <si>
    <t>UCSF - First Generation : SUI Nonteaching</t>
  </si>
  <si>
    <t>12-335-00-601030-53610</t>
  </si>
  <si>
    <t>UCSF - First Generation : WC Teaching</t>
  </si>
  <si>
    <t>12-335-00-601030-53620</t>
  </si>
  <si>
    <t>UCSF - First Generation : WC Nonteaching</t>
  </si>
  <si>
    <t>12-335-00-601030-53920</t>
  </si>
  <si>
    <t>UCSF - First Generation : Other Benefit-Non Teaching</t>
  </si>
  <si>
    <t>12-335-00-601030-54300</t>
  </si>
  <si>
    <t>UCSF - First Generation : Supplies &amp; Materials</t>
  </si>
  <si>
    <t>12-335-00-601030-57350</t>
  </si>
  <si>
    <t>UCSF - First Generation : Tsf Indirect Costs-Interfund</t>
  </si>
  <si>
    <t>12-335-00-601031-48690</t>
  </si>
  <si>
    <t>OSHPD Song Brown #376 : Other State Revenue</t>
  </si>
  <si>
    <t>12-335-00-601031-52350</t>
  </si>
  <si>
    <t>OSHPD Song Brown #376 : Classified Student Dist Non-IA PT</t>
  </si>
  <si>
    <t>12-335-00-601031-52360</t>
  </si>
  <si>
    <t>OSHPD Song Brown #376 : Class Nonstu NonIA PT Prof Exp</t>
  </si>
  <si>
    <t>12-335-00-601031-53220</t>
  </si>
  <si>
    <t>OSHPD Song Brown #376 : PERS Nonteaching</t>
  </si>
  <si>
    <t>12-335-00-601031-53320</t>
  </si>
  <si>
    <t>OSHPD Song Brown #376 : OASDHI (FICA) Nonteaching</t>
  </si>
  <si>
    <t>12-335-00-601031-53340</t>
  </si>
  <si>
    <t>OSHPD Song Brown #376 : Medicare Nonteaching</t>
  </si>
  <si>
    <t>12-335-00-601031-53520</t>
  </si>
  <si>
    <t>OSHPD Song Brown #376 : SUI Nonteaching</t>
  </si>
  <si>
    <t>12-335-00-601031-53620</t>
  </si>
  <si>
    <t>OSHPD Song Brown #376 : WC Nonteaching</t>
  </si>
  <si>
    <t>12-335-00-679000-54300</t>
  </si>
  <si>
    <t>12-335-00-679000-56400</t>
  </si>
  <si>
    <t>12-335-00-701010-54300</t>
  </si>
  <si>
    <t>Econ Dev For Distressed Areas : Supplies &amp; Materials</t>
  </si>
  <si>
    <t>12-335-00-701010-55650</t>
  </si>
  <si>
    <t>Econ Dev For Distressed Areas : Maintenance Agreement</t>
  </si>
  <si>
    <t>12-335-00-701010-56300</t>
  </si>
  <si>
    <t>Econ Dev For Distressed Areas : Capital Books &amp; Software</t>
  </si>
  <si>
    <t>12-335-00-701010-56400</t>
  </si>
  <si>
    <t>Econ Dev For Distressed Areas : Cap Equip - $200 to $4,999</t>
  </si>
  <si>
    <t>12-335-00-701010-56405</t>
  </si>
  <si>
    <t>Econ Dev For Distressed Areas : Cap Equip - $5,000 and Over</t>
  </si>
  <si>
    <t>12-335-00-703911-48690</t>
  </si>
  <si>
    <t>OSHPD - Song Brown : Other State Revenue</t>
  </si>
  <si>
    <t>12-335-00-703911-51311</t>
  </si>
  <si>
    <t>OSHPD - Song Brown : Academic Teaching PT</t>
  </si>
  <si>
    <t>12-335-00-703911-51412</t>
  </si>
  <si>
    <t>OSHPD - Song Brown : Acad Nonteach Special Projects</t>
  </si>
  <si>
    <t>12-335-00-703911-53110</t>
  </si>
  <si>
    <t>OSHPD - Song Brown : STRS Teaching</t>
  </si>
  <si>
    <t>12-335-00-703911-53120</t>
  </si>
  <si>
    <t>OSHPD - Song Brown : STRS Nonteaching</t>
  </si>
  <si>
    <t>12-335-00-703911-53310</t>
  </si>
  <si>
    <t>OSHPD - Song Brown : OASDHI (FICA) Teaching</t>
  </si>
  <si>
    <t>12-335-00-703911-53330</t>
  </si>
  <si>
    <t>OSHPD - Song Brown : Medicare Teaching</t>
  </si>
  <si>
    <t>12-335-00-703911-53340</t>
  </si>
  <si>
    <t>OSHPD - Song Brown : Medicare Nonteaching</t>
  </si>
  <si>
    <t>12-335-00-703911-53510</t>
  </si>
  <si>
    <t>OSHPD - Song Brown : SUI Teaching</t>
  </si>
  <si>
    <t>12-335-00-703911-53520</t>
  </si>
  <si>
    <t>OSHPD - Song Brown : SUI Nonteaching</t>
  </si>
  <si>
    <t>12-335-00-703911-53610</t>
  </si>
  <si>
    <t>OSHPD - Song Brown : WC Teaching</t>
  </si>
  <si>
    <t>12-335-00-703911-53620</t>
  </si>
  <si>
    <t>OSHPD - Song Brown : WC Nonteaching</t>
  </si>
  <si>
    <t>12-335-00-703911-54300</t>
  </si>
  <si>
    <t>OSHPD - Song Brown : Supplies &amp; Materials</t>
  </si>
  <si>
    <t>12-335-00-703911-55800</t>
  </si>
  <si>
    <t>OSHPD - Song Brown : Other Costs</t>
  </si>
  <si>
    <t>12-335-00-703911-57350</t>
  </si>
  <si>
    <t>OSHPD - Song Brown : Tsf Indirect Costs-Interfund</t>
  </si>
  <si>
    <t>12-335-00-703916-48627</t>
  </si>
  <si>
    <t>Nursing Education : Other General Categorical Prog</t>
  </si>
  <si>
    <t>12-335-00-703916-51100</t>
  </si>
  <si>
    <t>Nursing Education : Academic Teaching Full-time</t>
  </si>
  <si>
    <t>12-335-00-703916-51311</t>
  </si>
  <si>
    <t>Nursing Education : Academic Teaching PT</t>
  </si>
  <si>
    <t>12-335-00-703916-51412</t>
  </si>
  <si>
    <t>Nursing Education : Acad Nonteach Special Projects</t>
  </si>
  <si>
    <t>12-335-00-703916-52105</t>
  </si>
  <si>
    <t>Nursing Education : Classified CSEA</t>
  </si>
  <si>
    <t>12-335-00-703916-52400</t>
  </si>
  <si>
    <t>Nursing Education : Classified Nonstudent Instructional Aides PT</t>
  </si>
  <si>
    <t>12-335-00-703916-53000</t>
  </si>
  <si>
    <t>Nursing Education : Employee Benefits Control</t>
  </si>
  <si>
    <t>12-335-00-703916-53110</t>
  </si>
  <si>
    <t>Nursing Education : STRS Teaching</t>
  </si>
  <si>
    <t>12-335-00-703916-53120</t>
  </si>
  <si>
    <t>Nursing Education : STRS Nonteaching</t>
  </si>
  <si>
    <t>12-335-00-703916-53220</t>
  </si>
  <si>
    <t>Nursing Education : PERS Nonteaching</t>
  </si>
  <si>
    <t>12-335-00-703916-53310</t>
  </si>
  <si>
    <t>Nursing Education : OASDHI (FICA) Teaching</t>
  </si>
  <si>
    <t>12-335-00-703916-53320</t>
  </si>
  <si>
    <t>Nursing Education : OASDHI (FICA) Nonteaching</t>
  </si>
  <si>
    <t>12-335-00-703916-53330</t>
  </si>
  <si>
    <t>Nursing Education : Medicare Teaching</t>
  </si>
  <si>
    <t>12-335-00-703916-53340</t>
  </si>
  <si>
    <t>Nursing Education : Medicare Nonteaching</t>
  </si>
  <si>
    <t>12-335-00-703916-53420</t>
  </si>
  <si>
    <t>Nursing Education : H &amp; W Nonteaching</t>
  </si>
  <si>
    <t>12-335-00-703916-53510</t>
  </si>
  <si>
    <t>Nursing Education : SUI Teaching</t>
  </si>
  <si>
    <t>12-335-00-703916-53520</t>
  </si>
  <si>
    <t>Nursing Education : SUI Nonteaching</t>
  </si>
  <si>
    <t>12-335-00-703916-53610</t>
  </si>
  <si>
    <t>Nursing Education : WC Teaching</t>
  </si>
  <si>
    <t>12-335-00-703916-53620</t>
  </si>
  <si>
    <t>Nursing Education : WC Nonteaching</t>
  </si>
  <si>
    <t>12-335-00-703916-54300</t>
  </si>
  <si>
    <t>Nursing Education : Supplies &amp; Materials</t>
  </si>
  <si>
    <t>12-335-00-703916-55105</t>
  </si>
  <si>
    <t>Nursing Education : Contract Services</t>
  </si>
  <si>
    <t>12-335-00-703916-55200</t>
  </si>
  <si>
    <t>Nursing Education : Travel &amp; Conference</t>
  </si>
  <si>
    <t>12-335-00-703916-55800</t>
  </si>
  <si>
    <t>Nursing Education : Other Costs</t>
  </si>
  <si>
    <t>12-335-00-703916-56400</t>
  </si>
  <si>
    <t>Nursing Education : Cap Equip - $200 to $4,999</t>
  </si>
  <si>
    <t>12-335-00-703916-57350</t>
  </si>
  <si>
    <t>Nursing Education : Tsf Indirect Costs-Interfund</t>
  </si>
  <si>
    <t>12-335-00-703917-48890</t>
  </si>
  <si>
    <t xml:space="preserve">Kaiser Permanente Health Ed : Other Local Income </t>
  </si>
  <si>
    <t>12-335-00-703917-52360</t>
  </si>
  <si>
    <t>Kaiser Permanente Health Ed : Class Nonstu NonIA PT Prof Exp</t>
  </si>
  <si>
    <t>12-335-00-703917-53000</t>
  </si>
  <si>
    <t>Kaiser Permanente Health Ed : Employee Benefits Control</t>
  </si>
  <si>
    <t>12-335-00-703917-53320</t>
  </si>
  <si>
    <t>Kaiser Permanente Health Ed : OASDHI (FICA) Nonteaching</t>
  </si>
  <si>
    <t>12-335-00-703917-53340</t>
  </si>
  <si>
    <t>Kaiser Permanente Health Ed : Medicare Nonteaching</t>
  </si>
  <si>
    <t>12-335-00-703917-53520</t>
  </si>
  <si>
    <t>Kaiser Permanente Health Ed : SUI Nonteaching</t>
  </si>
  <si>
    <t>12-335-00-703917-53620</t>
  </si>
  <si>
    <t>Kaiser Permanente Health Ed : WC Nonteaching</t>
  </si>
  <si>
    <t>12-335-00-703917-54300</t>
  </si>
  <si>
    <t>Kaiser Permanente Health Ed : Supplies &amp; Materials</t>
  </si>
  <si>
    <t>12-335-00-703917-55200</t>
  </si>
  <si>
    <t>Kaiser Permanente Health Ed : Travel &amp; Conference</t>
  </si>
  <si>
    <t>12-335-00-703917-55800</t>
  </si>
  <si>
    <t>Kaiser Permanente Health Ed : Other Costs</t>
  </si>
  <si>
    <t>12-335-00-703917-57350</t>
  </si>
  <si>
    <t>Kaiser Permanente Health Ed : Tsf Indirect Costs-Interfund</t>
  </si>
  <si>
    <t>12-335-00-703929-48890</t>
  </si>
  <si>
    <t xml:space="preserve">SVMH Grant : Other Local Income </t>
  </si>
  <si>
    <t>12-335-00-703929-51100</t>
  </si>
  <si>
    <t>SVMH Grant : Academic Teaching Full-time</t>
  </si>
  <si>
    <t>12-335-00-703929-51210</t>
  </si>
  <si>
    <t>SVMH Grant : Academic Nonteaching Management</t>
  </si>
  <si>
    <t>12-335-00-703929-51311</t>
  </si>
  <si>
    <t>SVMH Grant : Academic Teaching PT</t>
  </si>
  <si>
    <t>12-335-00-703929-51412</t>
  </si>
  <si>
    <t>SVMH Grant : Acad Nonteach Special Projects</t>
  </si>
  <si>
    <t>12-335-00-703929-53000</t>
  </si>
  <si>
    <t>SVMH Grant : Employee Benefits Control</t>
  </si>
  <si>
    <t>12-335-00-703929-53110</t>
  </si>
  <si>
    <t>SVMH Grant : STRS Teaching</t>
  </si>
  <si>
    <t>12-335-00-703929-53120</t>
  </si>
  <si>
    <t>SVMH Grant : STRS Nonteaching</t>
  </si>
  <si>
    <t>12-335-00-703929-53330</t>
  </si>
  <si>
    <t>SVMH Grant : Medicare Teaching</t>
  </si>
  <si>
    <t>12-335-00-703929-53340</t>
  </si>
  <si>
    <t>SVMH Grant : Medicare Nonteaching</t>
  </si>
  <si>
    <t>12-335-00-703929-53410</t>
  </si>
  <si>
    <t>SVMH Grant : H &amp; W Teaching</t>
  </si>
  <si>
    <t>12-335-00-703929-53420</t>
  </si>
  <si>
    <t>SVMH Grant : H &amp; W Nonteaching</t>
  </si>
  <si>
    <t>12-335-00-703929-53510</t>
  </si>
  <si>
    <t>SVMH Grant : SUI Teaching</t>
  </si>
  <si>
    <t>12-335-00-703929-53520</t>
  </si>
  <si>
    <t>SVMH Grant : SUI Nonteaching</t>
  </si>
  <si>
    <t>12-335-00-703929-53610</t>
  </si>
  <si>
    <t>SVMH Grant : WC Teaching</t>
  </si>
  <si>
    <t>12-335-00-703929-53620</t>
  </si>
  <si>
    <t>SVMH Grant : WC Nonteaching</t>
  </si>
  <si>
    <t>12-335-00-703929-56405</t>
  </si>
  <si>
    <t>SVMH Grant : Cap Equip - $5,000 and Over</t>
  </si>
  <si>
    <t>12-350-00-679000-55610</t>
  </si>
  <si>
    <t>12-350-00-700307-48170</t>
  </si>
  <si>
    <t>CTE Transitions : VATEA</t>
  </si>
  <si>
    <t>12-350-00-700307-52105</t>
  </si>
  <si>
    <t>CTE Transitions : Classified CSEA</t>
  </si>
  <si>
    <t>12-350-00-700307-52360</t>
  </si>
  <si>
    <t>CTE Transitions : Class Nonstu NonIA PT Prof Exp</t>
  </si>
  <si>
    <t>12-350-00-700307-53220</t>
  </si>
  <si>
    <t>CTE Transitions : PERS Nonteaching</t>
  </si>
  <si>
    <t>12-350-00-700307-53320</t>
  </si>
  <si>
    <t>CTE Transitions : OASDHI (FICA) Nonteaching</t>
  </si>
  <si>
    <t>12-350-00-700307-53340</t>
  </si>
  <si>
    <t>CTE Transitions : Medicare Nonteaching</t>
  </si>
  <si>
    <t>12-350-00-700307-53420</t>
  </si>
  <si>
    <t>CTE Transitions : H &amp; W Nonteaching</t>
  </si>
  <si>
    <t>12-350-00-700307-53520</t>
  </si>
  <si>
    <t>CTE Transitions : SUI Nonteaching</t>
  </si>
  <si>
    <t>12-350-00-700307-53620</t>
  </si>
  <si>
    <t>CTE Transitions : WC Nonteaching</t>
  </si>
  <si>
    <t>12-350-00-700307-53920</t>
  </si>
  <si>
    <t>CTE Transitions : Other Benefit-Non Teaching</t>
  </si>
  <si>
    <t>12-350-00-700307-54300</t>
  </si>
  <si>
    <t>CTE Transitions : Supplies &amp; Materials</t>
  </si>
  <si>
    <t>12-350-00-700307-55105</t>
  </si>
  <si>
    <t>CTE Transitions : Contract Services</t>
  </si>
  <si>
    <t>12-350-00-700307-55200</t>
  </si>
  <si>
    <t>CTE Transitions : Travel &amp; Conference</t>
  </si>
  <si>
    <t>12-350-00-700307-55630</t>
  </si>
  <si>
    <t>CTE Transitions : Printing &amp; Duplicating - Inhouse</t>
  </si>
  <si>
    <t>12-350-00-700307-57350</t>
  </si>
  <si>
    <t>CTE Transitions : Tsf Indirect Costs-Interfund</t>
  </si>
  <si>
    <t>12-350-00-700320-51210</t>
  </si>
  <si>
    <t>SWF - Strong Workforce : Academic Nonteaching Management</t>
  </si>
  <si>
    <t>12-350-00-700320-52105</t>
  </si>
  <si>
    <t>SWF - Strong Workforce : Classified CSEA</t>
  </si>
  <si>
    <t>12-350-00-700320-52300</t>
  </si>
  <si>
    <t>SWF - Strong Workforce : Classified Overtime</t>
  </si>
  <si>
    <t>12-350-00-700320-53120</t>
  </si>
  <si>
    <t>SWF - Strong Workforce : STRS Nonteaching</t>
  </si>
  <si>
    <t>12-350-00-700320-53220</t>
  </si>
  <si>
    <t>SWF - Strong Workforce : PERS Nonteaching</t>
  </si>
  <si>
    <t>12-350-00-700320-53320</t>
  </si>
  <si>
    <t>SWF - Strong Workforce : OASDHI (FICA) Nonteaching</t>
  </si>
  <si>
    <t>12-350-00-700320-53340</t>
  </si>
  <si>
    <t>SWF - Strong Workforce : Medicare Nonteaching</t>
  </si>
  <si>
    <t>12-350-00-700320-53420</t>
  </si>
  <si>
    <t>SWF - Strong Workforce : H &amp; W Nonteaching</t>
  </si>
  <si>
    <t>12-350-00-700320-53520</t>
  </si>
  <si>
    <t>SWF - Strong Workforce : SUI Nonteaching</t>
  </si>
  <si>
    <t>12-350-00-700320-53620</t>
  </si>
  <si>
    <t>SWF - Strong Workforce : WC Nonteaching</t>
  </si>
  <si>
    <t>12-350-00-700320-53920</t>
  </si>
  <si>
    <t>SWF - Strong Workforce : Other Benefit-Non Teaching</t>
  </si>
  <si>
    <t>12-350-00-700321-51100</t>
  </si>
  <si>
    <t>SWF - Nursing/ Allied Health : Academic Teaching Full-time</t>
  </si>
  <si>
    <t>12-350-00-700321-52105</t>
  </si>
  <si>
    <t>SWF - Nursing/ Allied Health : Classified CSEA</t>
  </si>
  <si>
    <t>12-350-00-700321-53110</t>
  </si>
  <si>
    <t>SWF - Nursing/ Allied Health : STRS Teaching</t>
  </si>
  <si>
    <t>12-350-00-700321-53220</t>
  </si>
  <si>
    <t>SWF - Nursing/ Allied Health : PERS Nonteaching</t>
  </si>
  <si>
    <t>12-350-00-700321-53320</t>
  </si>
  <si>
    <t>SWF - Nursing/ Allied Health : OASDHI (FICA) Nonteaching</t>
  </si>
  <si>
    <t>12-350-00-700321-53330</t>
  </si>
  <si>
    <t>SWF - Nursing/ Allied Health : Medicare Teaching</t>
  </si>
  <si>
    <t>12-350-00-700321-53340</t>
  </si>
  <si>
    <t>SWF - Nursing/ Allied Health : Medicare Nonteaching</t>
  </si>
  <si>
    <t>12-350-00-700321-53410</t>
  </si>
  <si>
    <t>SWF - Nursing/ Allied Health : H &amp; W Teaching</t>
  </si>
  <si>
    <t>12-350-00-700321-53420</t>
  </si>
  <si>
    <t>SWF - Nursing/ Allied Health : H &amp; W Nonteaching</t>
  </si>
  <si>
    <t>12-350-00-700321-53510</t>
  </si>
  <si>
    <t>SWF - Nursing/ Allied Health : SUI Teaching</t>
  </si>
  <si>
    <t>12-350-00-700321-53520</t>
  </si>
  <si>
    <t>SWF - Nursing/ Allied Health : SUI Nonteaching</t>
  </si>
  <si>
    <t>12-350-00-700321-53610</t>
  </si>
  <si>
    <t>SWF - Nursing/ Allied Health : WC Teaching</t>
  </si>
  <si>
    <t>12-350-00-700321-53620</t>
  </si>
  <si>
    <t>SWF - Nursing/ Allied Health : WC Nonteaching</t>
  </si>
  <si>
    <t>12-350-00-700321-54300</t>
  </si>
  <si>
    <t>SWF - Nursing/ Allied Health : Supplies &amp; Materials</t>
  </si>
  <si>
    <t>12-350-00-700321-55630</t>
  </si>
  <si>
    <t>SWF - Nursing/ Allied Health : Printing &amp; Duplicating - Inhouse</t>
  </si>
  <si>
    <t>12-350-00-700321-56400</t>
  </si>
  <si>
    <t>SWF - Nursing/ Allied Health : Cap Equip - $200 to $4,999</t>
  </si>
  <si>
    <t>12-350-00-700322-51412</t>
  </si>
  <si>
    <t>SWF - Auto and Diesel : Acad Nonteach Special Projects</t>
  </si>
  <si>
    <t>12-350-00-700322-53000</t>
  </si>
  <si>
    <t>SWF - Auto and Diesel : Employee Benefits Control</t>
  </si>
  <si>
    <t>12-350-00-700322-54300</t>
  </si>
  <si>
    <t>SWF - Auto and Diesel : Supplies &amp; Materials</t>
  </si>
  <si>
    <t>12-350-00-700322-55200</t>
  </si>
  <si>
    <t>SWF - Auto and Diesel : Travel &amp; Conference</t>
  </si>
  <si>
    <t>12-350-00-700322-56400</t>
  </si>
  <si>
    <t>SWF - Auto and Diesel : Cap Equip - $200 to $4,999</t>
  </si>
  <si>
    <t>12-350-00-700322-56405</t>
  </si>
  <si>
    <t>SWF - Auto and Diesel : Cap Equip - $5,000 and Over</t>
  </si>
  <si>
    <t>12-350-00-700330-48627</t>
  </si>
  <si>
    <t>Strong Workforce 2017-18 : Other General Categorical Prog</t>
  </si>
  <si>
    <t>12-350-00-700330-51100</t>
  </si>
  <si>
    <t>Strong Workforce 2017-18 : Academic Teaching Full-time</t>
  </si>
  <si>
    <t>12-350-00-700330-51210</t>
  </si>
  <si>
    <t>Strong Workforce 2017-18 : Academic Nonteaching Management</t>
  </si>
  <si>
    <t>12-350-00-700330-51412</t>
  </si>
  <si>
    <t>Strong Workforce 2017-18 : Acad Nonteach Special Projects</t>
  </si>
  <si>
    <t>12-350-00-700330-52105</t>
  </si>
  <si>
    <t>Strong Workforce 2017-18 : Classified CSEA</t>
  </si>
  <si>
    <t>12-350-00-700330-52300</t>
  </si>
  <si>
    <t>Strong Workforce 2017-18 : Classified Overtime</t>
  </si>
  <si>
    <t>12-350-00-700330-52350</t>
  </si>
  <si>
    <t>Strong Workforce 2017-18 : Classified Student Dist Non-IA PT</t>
  </si>
  <si>
    <t>12-350-00-700330-52360</t>
  </si>
  <si>
    <t>Strong Workforce 2017-18 : Class Nonstu NonIA PT Prof Exp</t>
  </si>
  <si>
    <t>12-350-00-700330-53110</t>
  </si>
  <si>
    <t>Strong Workforce 2017-18 : STRS Teaching</t>
  </si>
  <si>
    <t>12-350-00-700330-53120</t>
  </si>
  <si>
    <t>Strong Workforce 2017-18 : STRS Nonteaching</t>
  </si>
  <si>
    <t>12-350-00-700330-53210</t>
  </si>
  <si>
    <t>Strong Workforce 2017-18 : PERS Teaching</t>
  </si>
  <si>
    <t>12-350-00-700330-53220</t>
  </si>
  <si>
    <t>Strong Workforce 2017-18 : PERS Nonteaching</t>
  </si>
  <si>
    <t>12-350-00-700330-53310</t>
  </si>
  <si>
    <t>Strong Workforce 2017-18 : OASDHI (FICA) Teaching</t>
  </si>
  <si>
    <t>12-350-00-700330-53320</t>
  </si>
  <si>
    <t>Strong Workforce 2017-18 : OASDHI (FICA) Nonteaching</t>
  </si>
  <si>
    <t>12-350-00-700330-53330</t>
  </si>
  <si>
    <t>Strong Workforce 2017-18 : Medicare Teaching</t>
  </si>
  <si>
    <t>12-350-00-700330-53340</t>
  </si>
  <si>
    <t>Strong Workforce 2017-18 : Medicare Nonteaching</t>
  </si>
  <si>
    <t>12-350-00-700330-53410</t>
  </si>
  <si>
    <t>Strong Workforce 2017-18 : H &amp; W Teaching</t>
  </si>
  <si>
    <t>12-350-00-700330-53420</t>
  </si>
  <si>
    <t>Strong Workforce 2017-18 : H &amp; W Nonteaching</t>
  </si>
  <si>
    <t>12-350-00-700330-53510</t>
  </si>
  <si>
    <t>Strong Workforce 2017-18 : SUI Teaching</t>
  </si>
  <si>
    <t>12-350-00-700330-53520</t>
  </si>
  <si>
    <t>Strong Workforce 2017-18 : SUI Nonteaching</t>
  </si>
  <si>
    <t>12-350-00-700330-53610</t>
  </si>
  <si>
    <t>Strong Workforce 2017-18 : WC Teaching</t>
  </si>
  <si>
    <t>12-350-00-700330-53620</t>
  </si>
  <si>
    <t>Strong Workforce 2017-18 : WC Nonteaching</t>
  </si>
  <si>
    <t>12-350-00-700330-53910</t>
  </si>
  <si>
    <t>Strong Workforce 2017-18 : Other Benefit-Teaching</t>
  </si>
  <si>
    <t>12-350-00-700330-53920</t>
  </si>
  <si>
    <t>Strong Workforce 2017-18 : Other Benefit-Non Teaching</t>
  </si>
  <si>
    <t>12-350-00-700330-54210</t>
  </si>
  <si>
    <t>Strong Workforce 2017-18 : Purchases - Food</t>
  </si>
  <si>
    <t>12-350-00-700330-54300</t>
  </si>
  <si>
    <t>Strong Workforce 2017-18 : Supplies &amp; Materials</t>
  </si>
  <si>
    <t>12-350-00-700330-55100</t>
  </si>
  <si>
    <t>Strong Workforce 2017-18 : Personal Service Contract - 1099</t>
  </si>
  <si>
    <t>12-350-00-700330-55105</t>
  </si>
  <si>
    <t>Strong Workforce 2017-18 : Contract Services</t>
  </si>
  <si>
    <t>12-350-00-700330-55200</t>
  </si>
  <si>
    <t>Strong Workforce 2017-18 : Travel &amp; Conference</t>
  </si>
  <si>
    <t>12-350-00-700330-55300</t>
  </si>
  <si>
    <t>Strong Workforce 2017-18 : Memberships</t>
  </si>
  <si>
    <t>12-350-00-700330-55309</t>
  </si>
  <si>
    <t>Strong Workforce 2017-18 : Subscriptions</t>
  </si>
  <si>
    <t>12-350-00-700330-55600</t>
  </si>
  <si>
    <t>Strong Workforce 2017-18 : Rents &amp; Leases</t>
  </si>
  <si>
    <t>12-350-00-700330-55630</t>
  </si>
  <si>
    <t>Strong Workforce 2017-18 : Printing &amp; Duplicating - Inhouse</t>
  </si>
  <si>
    <t>12-350-00-700330-55635</t>
  </si>
  <si>
    <t>Strong Workforce 2017-18 : Printing Services - Vendor</t>
  </si>
  <si>
    <t>12-350-00-700330-55651</t>
  </si>
  <si>
    <t>Strong Workforce 2017-18 : Equipment Repairs</t>
  </si>
  <si>
    <t>12-350-00-700330-55800</t>
  </si>
  <si>
    <t>Strong Workforce 2017-18 : Other Costs</t>
  </si>
  <si>
    <t>12-350-00-700330-55807</t>
  </si>
  <si>
    <t>Strong Workforce 2017-18 : License Fees</t>
  </si>
  <si>
    <t>12-350-00-700330-55830</t>
  </si>
  <si>
    <t>Strong Workforce 2017-18 : Advertising Expense</t>
  </si>
  <si>
    <t>12-350-00-700330-56400</t>
  </si>
  <si>
    <t>Strong Workforce 2017-18 : Cap Equip - $200 to $4,999</t>
  </si>
  <si>
    <t>12-350-00-700330-56405</t>
  </si>
  <si>
    <t>Strong Workforce 2017-18 : Cap Equip - $5,000 and Over</t>
  </si>
  <si>
    <t>12-350-00-700330-57350</t>
  </si>
  <si>
    <t>Strong Workforce 2017-18 : Tsf Indirect Costs-Interfund</t>
  </si>
  <si>
    <t>12-350-00-700330-57552</t>
  </si>
  <si>
    <t>Strong Workforce 2017-18 : Student Travel/Meals</t>
  </si>
  <si>
    <t>12-350-00-701010-48627</t>
  </si>
  <si>
    <t>Econ Dev For Distressed Areas : Other General Categorical Prog</t>
  </si>
  <si>
    <t>12-350-00-701010-54300</t>
  </si>
  <si>
    <t>12-350-00-701010-55105</t>
  </si>
  <si>
    <t>Econ Dev For Distressed Areas : Contract Services</t>
  </si>
  <si>
    <t>12-350-00-701010-55650</t>
  </si>
  <si>
    <t>12-350-00-701010-56300</t>
  </si>
  <si>
    <t>12-350-00-701010-56400</t>
  </si>
  <si>
    <t>12-350-00-701010-56405</t>
  </si>
  <si>
    <t>12-350-00-701500-48190</t>
  </si>
  <si>
    <t>Child Development Training Consortium* : Other Federal Revenues</t>
  </si>
  <si>
    <t>12-350-00-701500-54220</t>
  </si>
  <si>
    <t>Child Development Training Consortium* : Purchases - Books</t>
  </si>
  <si>
    <t>12-350-00-701500-54300</t>
  </si>
  <si>
    <t>Child Development Training Consortium* : Supplies &amp; Materials</t>
  </si>
  <si>
    <t>12-350-00-701500-57350</t>
  </si>
  <si>
    <t>Child Development Training Consortium* : Tsf Indirect Costs-Interfund</t>
  </si>
  <si>
    <t>12-350-00-701500-57500</t>
  </si>
  <si>
    <t>Child Development Training Consortium* : Student Financial Aid Payment</t>
  </si>
  <si>
    <t>12-350-00-703975-48690</t>
  </si>
  <si>
    <t>Innovation Award : Other State Revenue</t>
  </si>
  <si>
    <t>12-350-00-703975-51412</t>
  </si>
  <si>
    <t>Innovation Award : Acad Nonteach Special Projects</t>
  </si>
  <si>
    <t>12-350-00-703975-52105</t>
  </si>
  <si>
    <t>Innovation Award : Classified CSEA</t>
  </si>
  <si>
    <t>12-350-00-703975-52360</t>
  </si>
  <si>
    <t>Innovation Award : Class Nonstu NonIA PT Prof Exp</t>
  </si>
  <si>
    <t>12-350-00-703975-52420</t>
  </si>
  <si>
    <t>Innovation Award : Classified Student Dist Instructional Aides PT</t>
  </si>
  <si>
    <t>12-350-00-703975-53000</t>
  </si>
  <si>
    <t>Innovation Award : Employee Benefits Control</t>
  </si>
  <si>
    <t>12-350-00-703975-53120</t>
  </si>
  <si>
    <t>Innovation Award : STRS Nonteaching</t>
  </si>
  <si>
    <t>12-350-00-703975-53220</t>
  </si>
  <si>
    <t>Innovation Award : PERS Nonteaching</t>
  </si>
  <si>
    <t>12-350-00-703975-53320</t>
  </si>
  <si>
    <t>Innovation Award : OASDHI (FICA) Nonteaching</t>
  </si>
  <si>
    <t>12-350-00-703975-53340</t>
  </si>
  <si>
    <t>Innovation Award : Medicare Nonteaching</t>
  </si>
  <si>
    <t>12-350-00-703975-53420</t>
  </si>
  <si>
    <t>Innovation Award : H &amp; W Nonteaching</t>
  </si>
  <si>
    <t>12-350-00-703975-53520</t>
  </si>
  <si>
    <t>Innovation Award : SUI Nonteaching</t>
  </si>
  <si>
    <t>12-350-00-703975-53610</t>
  </si>
  <si>
    <t>Innovation Award : WC Teaching</t>
  </si>
  <si>
    <t>12-350-00-703975-53620</t>
  </si>
  <si>
    <t>Innovation Award : WC Nonteaching</t>
  </si>
  <si>
    <t>12-350-00-703975-53920</t>
  </si>
  <si>
    <t>Innovation Award : Other Benefit-Non Teaching</t>
  </si>
  <si>
    <t>12-350-00-703975-54210</t>
  </si>
  <si>
    <t>Innovation Award : Purchases - Food</t>
  </si>
  <si>
    <t>12-350-00-703975-54300</t>
  </si>
  <si>
    <t>Innovation Award : Supplies &amp; Materials</t>
  </si>
  <si>
    <t>12-350-00-703975-55105</t>
  </si>
  <si>
    <t>Innovation Award : Contract Services</t>
  </si>
  <si>
    <t>12-350-00-703975-55200</t>
  </si>
  <si>
    <t>Innovation Award : Travel &amp; Conference</t>
  </si>
  <si>
    <t>12-350-00-703975-55625</t>
  </si>
  <si>
    <t>Innovation Award : Inprocessing Costs</t>
  </si>
  <si>
    <t>12-350-00-703975-55630</t>
  </si>
  <si>
    <t>Innovation Award : Printing &amp; Duplicating - Inhouse</t>
  </si>
  <si>
    <t>12-350-00-703975-55800</t>
  </si>
  <si>
    <t>Innovation Award : Other Costs</t>
  </si>
  <si>
    <t>12-350-00-703975-56400</t>
  </si>
  <si>
    <t>Innovation Award : Cap Equip - $200 to $4,999</t>
  </si>
  <si>
    <t>12-350-00-703975-57500</t>
  </si>
  <si>
    <t>Innovation Award : Student Financial Aid Payment</t>
  </si>
  <si>
    <t>12-350-00-740000-48170</t>
  </si>
  <si>
    <t>Perkins - General : VATEA</t>
  </si>
  <si>
    <t>12-350-00-740000-51100</t>
  </si>
  <si>
    <t>Perkins - General : Academic Teaching Full-time</t>
  </si>
  <si>
    <t>12-350-00-740000-51210</t>
  </si>
  <si>
    <t>Perkins - General : Academic Nonteaching Management</t>
  </si>
  <si>
    <t>12-350-00-740000-51412</t>
  </si>
  <si>
    <t>Perkins - General : Acad Nonteach Special Projects</t>
  </si>
  <si>
    <t>12-350-00-740000-52105</t>
  </si>
  <si>
    <t>Perkins - General : Classified CSEA</t>
  </si>
  <si>
    <t>12-350-00-740000-52300</t>
  </si>
  <si>
    <t>Perkins - General : Classified Overtime</t>
  </si>
  <si>
    <t>12-350-00-740000-52350</t>
  </si>
  <si>
    <t>Perkins - General : Classified Student Dist Non-IA PT</t>
  </si>
  <si>
    <t>12-350-00-740000-52360</t>
  </si>
  <si>
    <t>Perkins - General : Class Nonstu NonIA PT Prof Exp</t>
  </si>
  <si>
    <t>12-350-00-740000-52400</t>
  </si>
  <si>
    <t>Perkins - General : Classified Nonstudent Instructional Aides PT</t>
  </si>
  <si>
    <t>12-350-00-740000-53000</t>
  </si>
  <si>
    <t>Perkins - General : Employee Benefits Control</t>
  </si>
  <si>
    <t>12-350-00-740000-53120</t>
  </si>
  <si>
    <t>Perkins - General : STRS Nonteaching</t>
  </si>
  <si>
    <t>12-350-00-740000-53220</t>
  </si>
  <si>
    <t>Perkins - General : PERS Nonteaching</t>
  </si>
  <si>
    <t>12-350-00-740000-53320</t>
  </si>
  <si>
    <t>Perkins - General : OASDHI (FICA) Nonteaching</t>
  </si>
  <si>
    <t>12-350-00-740000-53340</t>
  </si>
  <si>
    <t>Perkins - General : Medicare Nonteaching</t>
  </si>
  <si>
    <t>12-350-00-740000-53420</t>
  </si>
  <si>
    <t>Perkins - General : H &amp; W Nonteaching</t>
  </si>
  <si>
    <t>12-350-00-740000-53520</t>
  </si>
  <si>
    <t>Perkins - General : SUI Nonteaching</t>
  </si>
  <si>
    <t>12-350-00-740000-53610</t>
  </si>
  <si>
    <t>Perkins - General : WC Teaching</t>
  </si>
  <si>
    <t>12-350-00-740000-53620</t>
  </si>
  <si>
    <t>Perkins - General : WC Nonteaching</t>
  </si>
  <si>
    <t>12-350-00-740000-53920</t>
  </si>
  <si>
    <t>Perkins - General : Other Benefit-Non Teaching</t>
  </si>
  <si>
    <t>12-350-00-740000-54300</t>
  </si>
  <si>
    <t>Perkins - General : Supplies &amp; Materials</t>
  </si>
  <si>
    <t>12-350-00-740000-55105</t>
  </si>
  <si>
    <t>Perkins - General : Contract Services</t>
  </si>
  <si>
    <t>12-350-00-740000-55125</t>
  </si>
  <si>
    <t>Perkins - General : Training &amp; Seminars</t>
  </si>
  <si>
    <t>12-350-00-740000-55200</t>
  </si>
  <si>
    <t>Perkins - General : Travel &amp; Conference</t>
  </si>
  <si>
    <t>12-350-00-740000-55630</t>
  </si>
  <si>
    <t>Perkins - General : Printing &amp; Duplicating - Inhouse</t>
  </si>
  <si>
    <t>12-350-00-740000-55635</t>
  </si>
  <si>
    <t>Perkins - General : Printing Services - Vendor</t>
  </si>
  <si>
    <t>12-350-00-740000-55800</t>
  </si>
  <si>
    <t>Perkins - General : Other Costs</t>
  </si>
  <si>
    <t>12-350-00-740000-55830</t>
  </si>
  <si>
    <t>Perkins - General : Advertising Expense</t>
  </si>
  <si>
    <t>12-350-00-740000-56400</t>
  </si>
  <si>
    <t>Perkins - General : Cap Equip - $200 to $4,999</t>
  </si>
  <si>
    <t>12-350-00-740000-56405</t>
  </si>
  <si>
    <t>Perkins - General : Cap Equip - $5,000 and Over</t>
  </si>
  <si>
    <t>12-350-00-740000-57552</t>
  </si>
  <si>
    <t>Perkins - General : Student Travel/Meals</t>
  </si>
  <si>
    <t>12-350-00-740001-54300</t>
  </si>
  <si>
    <t>Perkins - Admin of Justice : Supplies &amp; Materials</t>
  </si>
  <si>
    <t>12-350-00-740001-55200</t>
  </si>
  <si>
    <t>Perkins - Admin of Justice : Travel &amp; Conference</t>
  </si>
  <si>
    <t>12-350-00-740001-56400</t>
  </si>
  <si>
    <t>Perkins - Admin of Justice : Cap Equip - $200 to $4,999</t>
  </si>
  <si>
    <t>12-350-00-740002-56400</t>
  </si>
  <si>
    <t>Perkins - Diesel : Cap Equip - $200 to $4,999</t>
  </si>
  <si>
    <t>12-350-00-740006-56400</t>
  </si>
  <si>
    <t>Perkins - Construction Tech : Cap Equip - $200 to $4,999</t>
  </si>
  <si>
    <t>12-350-00-740012-51412</t>
  </si>
  <si>
    <t>Perkins - Allied Health : Acad Nonteach Special Projects</t>
  </si>
  <si>
    <t>12-350-00-740012-52400</t>
  </si>
  <si>
    <t>Perkins - Allied Health : Classified Nonstudent Instructional Aides PT</t>
  </si>
  <si>
    <t>12-350-00-740012-53000</t>
  </si>
  <si>
    <t>Perkins - Allied Health : Employee Benefits Control</t>
  </si>
  <si>
    <t>12-350-00-740012-53610</t>
  </si>
  <si>
    <t>Perkins - Allied Health : WC Teaching</t>
  </si>
  <si>
    <t>12-350-00-740012-54300</t>
  </si>
  <si>
    <t>Perkins - Allied Health : Supplies &amp; Materials</t>
  </si>
  <si>
    <t>12-350-00-740012-55125</t>
  </si>
  <si>
    <t>Perkins - Allied Health : Training &amp; Seminars</t>
  </si>
  <si>
    <t>12-350-00-740012-56400</t>
  </si>
  <si>
    <t>Perkins - Allied Health : Cap Equip - $200 to $4,999</t>
  </si>
  <si>
    <t>12-350-00-740017-56400</t>
  </si>
  <si>
    <t>Perkins - Digital Media : Cap Equip - $200 to $4,999</t>
  </si>
  <si>
    <t>12-350-00-740020-52350</t>
  </si>
  <si>
    <t>Perkins - Student Success : Classified Student Dist Non-IA PT</t>
  </si>
  <si>
    <t>12-350-00-740020-53000</t>
  </si>
  <si>
    <t>Perkins - Student Success : Employee Benefits Control</t>
  </si>
  <si>
    <t>12-350-00-740020-53620</t>
  </si>
  <si>
    <t>Perkins - Student Success : WC Nonteaching</t>
  </si>
  <si>
    <t>12-350-00-740024-57552</t>
  </si>
  <si>
    <t>Perkins - R.C.P. : Student Travel/Meals</t>
  </si>
  <si>
    <t>12-350-00-760005-48890</t>
  </si>
  <si>
    <t xml:space="preserve">Foundation-Ag Tech Institute : Other Local Income </t>
  </si>
  <si>
    <t>12-350-00-760005-52105</t>
  </si>
  <si>
    <t>12-350-00-760005-52130</t>
  </si>
  <si>
    <t>Foundation-Ag Tech Institute : Classified Management</t>
  </si>
  <si>
    <t>12-350-00-760005-52300</t>
  </si>
  <si>
    <t>Foundation-Ag Tech Institute : Classified Overtime</t>
  </si>
  <si>
    <t>12-350-00-760005-53220</t>
  </si>
  <si>
    <t>12-350-00-760005-53320</t>
  </si>
  <si>
    <t>12-350-00-760005-53340</t>
  </si>
  <si>
    <t>12-350-00-760005-53420</t>
  </si>
  <si>
    <t>Foundation-Ag Tech Institute : H &amp; W Nonteaching</t>
  </si>
  <si>
    <t>12-350-00-760005-53520</t>
  </si>
  <si>
    <t>12-350-00-760005-53620</t>
  </si>
  <si>
    <t>12-350-00-760005-53920</t>
  </si>
  <si>
    <t>Foundation-Ag Tech Institute : Other Benefit-Non Teaching</t>
  </si>
  <si>
    <t>12-350-00-760005-55630</t>
  </si>
  <si>
    <t>12-350-00-760100-48890</t>
  </si>
  <si>
    <t xml:space="preserve">Driscoll's Farmworker Ed  : Other Local Income </t>
  </si>
  <si>
    <t>12-350-00-760100-51210</t>
  </si>
  <si>
    <t>Driscoll's Farmworker Ed  : Academic Nonteaching Management</t>
  </si>
  <si>
    <t>12-350-00-760100-51412</t>
  </si>
  <si>
    <t>Driscoll's Farmworker Ed  : Acad Nonteach Special Projects</t>
  </si>
  <si>
    <t>12-350-00-760100-52360</t>
  </si>
  <si>
    <t>Driscoll's Farmworker Ed  : Class Nonstu NonIA PT Prof Exp</t>
  </si>
  <si>
    <t>12-350-00-760100-53120</t>
  </si>
  <si>
    <t>Driscoll's Farmworker Ed  : STRS Nonteaching</t>
  </si>
  <si>
    <t>12-350-00-760100-53320</t>
  </si>
  <si>
    <t>Driscoll's Farmworker Ed  : OASDHI (FICA) Nonteaching</t>
  </si>
  <si>
    <t>12-350-00-760100-53340</t>
  </si>
  <si>
    <t>Driscoll's Farmworker Ed  : Medicare Nonteaching</t>
  </si>
  <si>
    <t>12-350-00-760100-53420</t>
  </si>
  <si>
    <t>Driscoll's Farmworker Ed  : H &amp; W Nonteaching</t>
  </si>
  <si>
    <t>12-350-00-760100-53520</t>
  </si>
  <si>
    <t>Driscoll's Farmworker Ed  : SUI Nonteaching</t>
  </si>
  <si>
    <t>12-350-00-760100-53620</t>
  </si>
  <si>
    <t>Driscoll's Farmworker Ed  : WC Nonteaching</t>
  </si>
  <si>
    <t>12-350-00-760100-53920</t>
  </si>
  <si>
    <t>Driscoll's Farmworker Ed  : Other Benefit-Non Teaching</t>
  </si>
  <si>
    <t>12-350-00-760100-55630</t>
  </si>
  <si>
    <t>Driscoll's Farmworker Ed  : Printing &amp; Duplicating - Inhouse</t>
  </si>
  <si>
    <t>12-350-00-760100-55800</t>
  </si>
  <si>
    <t>Driscoll's Farmworker Ed  : Other Costs</t>
  </si>
  <si>
    <t>12-350-00-760101-48890</t>
  </si>
  <si>
    <t xml:space="preserve">Driscoll's iAgriculture : Other Local Income </t>
  </si>
  <si>
    <t>12-350-00-760101-55200</t>
  </si>
  <si>
    <t>Driscoll's iAgriculture : Travel &amp; Conference</t>
  </si>
  <si>
    <t>12-350-00-760101-55240</t>
  </si>
  <si>
    <t>Driscoll's iAgriculture : Field Trips</t>
  </si>
  <si>
    <t>12-350-00-760101-55800</t>
  </si>
  <si>
    <t>Driscoll's iAgriculture : Other Costs</t>
  </si>
  <si>
    <t>12-350-03-700322-48627</t>
  </si>
  <si>
    <t>SWF - Auto and Diesel : Other General Categorical Prog</t>
  </si>
  <si>
    <t>12-350-03-700322-51100</t>
  </si>
  <si>
    <t>SWF - Auto and Diesel : Academic Teaching Full-time</t>
  </si>
  <si>
    <t>12-350-03-700322-51412</t>
  </si>
  <si>
    <t>12-350-03-700322-53000</t>
  </si>
  <si>
    <t>12-350-03-700322-53110</t>
  </si>
  <si>
    <t>SWF - Auto and Diesel : STRS Teaching</t>
  </si>
  <si>
    <t>12-350-03-700322-53330</t>
  </si>
  <si>
    <t>SWF - Auto and Diesel : Medicare Teaching</t>
  </si>
  <si>
    <t>12-350-03-700322-53410</t>
  </si>
  <si>
    <t>SWF - Auto and Diesel : H &amp; W Teaching</t>
  </si>
  <si>
    <t>12-350-03-700322-53510</t>
  </si>
  <si>
    <t>SWF - Auto and Diesel : SUI Teaching</t>
  </si>
  <si>
    <t>12-350-03-700322-53610</t>
  </si>
  <si>
    <t>SWF - Auto and Diesel : WC Teaching</t>
  </si>
  <si>
    <t>12-350-03-700322-53910</t>
  </si>
  <si>
    <t>SWF - Auto and Diesel : Other Benefit-Teaching</t>
  </si>
  <si>
    <t>12-350-03-700322-54300</t>
  </si>
  <si>
    <t>12-350-03-700322-55200</t>
  </si>
  <si>
    <t>12-350-03-700322-55300</t>
  </si>
  <si>
    <t>SWF - Auto and Diesel : Memberships</t>
  </si>
  <si>
    <t>12-350-03-700322-55652</t>
  </si>
  <si>
    <t>SWF - Auto and Diesel : Instructional Equipment Repairs</t>
  </si>
  <si>
    <t>12-350-03-700322-55807</t>
  </si>
  <si>
    <t>SWF - Auto and Diesel : License Fees</t>
  </si>
  <si>
    <t>12-350-03-700322-56400</t>
  </si>
  <si>
    <t>12-350-03-700322-56405</t>
  </si>
  <si>
    <t>12-350-03-700324-48627</t>
  </si>
  <si>
    <t>SWF - Teacher Pathways Project : Other General Categorical Prog</t>
  </si>
  <si>
    <t>12-350-03-700324-51412</t>
  </si>
  <si>
    <t>SWF - Teacher Pathways Project : Acad Nonteach Special Projects</t>
  </si>
  <si>
    <t>12-350-03-700324-53000</t>
  </si>
  <si>
    <t>SWF - Teacher Pathways Project : Employee Benefits Control</t>
  </si>
  <si>
    <t>12-350-03-700324-53120</t>
  </si>
  <si>
    <t>SWF - Teacher Pathways Project : STRS Nonteaching</t>
  </si>
  <si>
    <t>12-350-03-700324-53340</t>
  </si>
  <si>
    <t>SWF - Teacher Pathways Project : Medicare Nonteaching</t>
  </si>
  <si>
    <t>12-350-03-700324-53520</t>
  </si>
  <si>
    <t>SWF - Teacher Pathways Project : SUI Nonteaching</t>
  </si>
  <si>
    <t>12-350-03-700324-53620</t>
  </si>
  <si>
    <t>SWF - Teacher Pathways Project : WC Nonteaching</t>
  </si>
  <si>
    <t>12-350-03-700324-54300</t>
  </si>
  <si>
    <t>SWF - Teacher Pathways Project : Supplies &amp; Materials</t>
  </si>
  <si>
    <t>12-350-03-700324-55100</t>
  </si>
  <si>
    <t>SWF - Teacher Pathways Project : Personal Service Contract - 1099</t>
  </si>
  <si>
    <t>12-350-03-700324-55105</t>
  </si>
  <si>
    <t>SWF - Teacher Pathways Project : Contract Services</t>
  </si>
  <si>
    <t>12-350-03-700327-48627</t>
  </si>
  <si>
    <t>SWF - EMS : Other General Categorical Prog</t>
  </si>
  <si>
    <t>12-350-03-700327-51100</t>
  </si>
  <si>
    <t>SWF - EMS : Academic Teaching Full-time</t>
  </si>
  <si>
    <t>12-350-03-700327-51310</t>
  </si>
  <si>
    <t>SWF - EMS : Academic Teaching NIC</t>
  </si>
  <si>
    <t>12-350-03-700327-52400</t>
  </si>
  <si>
    <t>SWF - EMS : Classified Nonstudent Instructional Aides PT</t>
  </si>
  <si>
    <t>12-350-03-700327-53110</t>
  </si>
  <si>
    <t>SWF - EMS : STRS Teaching</t>
  </si>
  <si>
    <t>12-350-03-700327-53210</t>
  </si>
  <si>
    <t>SWF - EMS : PERS Teaching</t>
  </si>
  <si>
    <t>12-350-03-700327-53310</t>
  </si>
  <si>
    <t>SWF - EMS : OASDHI (FICA) Teaching</t>
  </si>
  <si>
    <t>12-350-03-700327-53320</t>
  </si>
  <si>
    <t>SWF - EMS : OASDHI (FICA) Nonteaching</t>
  </si>
  <si>
    <t>12-350-03-700327-53330</t>
  </si>
  <si>
    <t>SWF - EMS : Medicare Teaching</t>
  </si>
  <si>
    <t>12-350-03-700327-53410</t>
  </si>
  <si>
    <t>SWF - EMS : H &amp; W Teaching</t>
  </si>
  <si>
    <t>12-350-03-700327-53510</t>
  </si>
  <si>
    <t>SWF - EMS : SUI Teaching</t>
  </si>
  <si>
    <t>12-350-03-700327-53610</t>
  </si>
  <si>
    <t>SWF - EMS : WC Teaching</t>
  </si>
  <si>
    <t>12-350-03-700327-53620</t>
  </si>
  <si>
    <t>SWF - EMS : WC Nonteaching</t>
  </si>
  <si>
    <t>12-350-03-700327-53910</t>
  </si>
  <si>
    <t>SWF - EMS : Other Benefit-Teaching</t>
  </si>
  <si>
    <t>12-350-03-700327-54300</t>
  </si>
  <si>
    <t>SWF - EMS : Supplies &amp; Materials</t>
  </si>
  <si>
    <t>12-350-03-700327-55200</t>
  </si>
  <si>
    <t>SWF - EMS : Travel &amp; Conference</t>
  </si>
  <si>
    <t>12-350-03-700329-48627</t>
  </si>
  <si>
    <t>SWF - NextGen AutoTech : Other General Categorical Prog</t>
  </si>
  <si>
    <t>12-350-03-700329-55200</t>
  </si>
  <si>
    <t>SWF - NextGen AutoTech : Travel &amp; Conference</t>
  </si>
  <si>
    <t>12-350-03-700329-56405</t>
  </si>
  <si>
    <t>SWF - NextGen AutoTech : Cap Equip - $5,000 and Over</t>
  </si>
  <si>
    <t>12-360-00-679000-55105</t>
  </si>
  <si>
    <t>12-360-00-679000-55309</t>
  </si>
  <si>
    <t>CARES Act - Institutional : Subscriptions</t>
  </si>
  <si>
    <t>12-365-00-601020-48690</t>
  </si>
  <si>
    <t>Incarcerated Students Reentry  : Other State Revenue</t>
  </si>
  <si>
    <t>12-365-00-601020-51412</t>
  </si>
  <si>
    <t>Incarcerated Students Reentry  : Acad Nonteach Special Projects</t>
  </si>
  <si>
    <t>12-365-00-601020-52350</t>
  </si>
  <si>
    <t>Incarcerated Students Reentry  : Classified Student Dist Non-IA PT</t>
  </si>
  <si>
    <t>12-365-00-601020-52360</t>
  </si>
  <si>
    <t>Incarcerated Students Reentry  : Class Nonstu NonIA PT Prof Exp</t>
  </si>
  <si>
    <t>12-365-00-601020-53000</t>
  </si>
  <si>
    <t>Incarcerated Students Reentry  : Employee Benefits Control</t>
  </si>
  <si>
    <t>12-365-00-601020-53120</t>
  </si>
  <si>
    <t>Incarcerated Students Reentry  : STRS Nonteaching</t>
  </si>
  <si>
    <t>12-365-00-601020-53320</t>
  </si>
  <si>
    <t>Incarcerated Students Reentry  : OASDHI (FICA) Nonteaching</t>
  </si>
  <si>
    <t>12-365-00-601020-53330</t>
  </si>
  <si>
    <t>Incarcerated Students Reentry  : Medicare Teaching</t>
  </si>
  <si>
    <t>12-365-00-601020-53340</t>
  </si>
  <si>
    <t>Incarcerated Students Reentry  : Medicare Nonteaching</t>
  </si>
  <si>
    <t>12-365-00-601020-53520</t>
  </si>
  <si>
    <t>Incarcerated Students Reentry  : SUI Nonteaching</t>
  </si>
  <si>
    <t>12-365-00-601020-53620</t>
  </si>
  <si>
    <t>Incarcerated Students Reentry  : WC Nonteaching</t>
  </si>
  <si>
    <t>12-365-00-601020-54210</t>
  </si>
  <si>
    <t>Incarcerated Students Reentry  : Purchases - Food</t>
  </si>
  <si>
    <t>12-365-00-601020-54300</t>
  </si>
  <si>
    <t>Incarcerated Students Reentry  : Supplies &amp; Materials</t>
  </si>
  <si>
    <t>12-365-00-601020-55200</t>
  </si>
  <si>
    <t>Incarcerated Students Reentry  : Travel &amp; Conference</t>
  </si>
  <si>
    <t>12-365-00-601020-55800</t>
  </si>
  <si>
    <t>Incarcerated Students Reentry  : Other Costs</t>
  </si>
  <si>
    <t>12-365-00-601020-57350</t>
  </si>
  <si>
    <t>Incarcerated Students Reentry  : Tsf Indirect Costs-Interfund</t>
  </si>
  <si>
    <t>12-365-00-601020-57510</t>
  </si>
  <si>
    <t>Incarcerated Students Reentry  : Student Internship</t>
  </si>
  <si>
    <t>12-365-00-601020-57600</t>
  </si>
  <si>
    <t>Incarcerated Students Reentry  : Other Student Aid</t>
  </si>
  <si>
    <t>12-365-00-700410-48627</t>
  </si>
  <si>
    <t>Student Equity Plan (SEP) : Other General Categorical Prog</t>
  </si>
  <si>
    <t>12-365-00-700410-51200</t>
  </si>
  <si>
    <t>Student Equity Plan (SEP) : Academic Nonteaching Full-time</t>
  </si>
  <si>
    <t>12-365-00-700410-51210</t>
  </si>
  <si>
    <t>Student Equity Plan (SEP) : Academic Nonteaching Management</t>
  </si>
  <si>
    <t>12-365-00-700410-51412</t>
  </si>
  <si>
    <t>Student Equity Plan (SEP) : Acad Nonteach Special Projects</t>
  </si>
  <si>
    <t>12-365-00-700410-52105</t>
  </si>
  <si>
    <t>Student Equity Plan (SEP) : Classified CSEA</t>
  </si>
  <si>
    <t>12-365-00-700410-52200</t>
  </si>
  <si>
    <t>Student Equity Plan (SEP) : Classified Permanent Instructional Aides</t>
  </si>
  <si>
    <t>12-365-00-700410-52300</t>
  </si>
  <si>
    <t>Student Equity Plan (SEP) : Classified Overtime</t>
  </si>
  <si>
    <t>12-365-00-700410-52350</t>
  </si>
  <si>
    <t>Student Equity Plan (SEP) : Classified Student Dist Non-IA PT</t>
  </si>
  <si>
    <t>12-365-00-700410-52360</t>
  </si>
  <si>
    <t>Student Equity Plan (SEP) : Class Nonstu NonIA PT Prof Exp</t>
  </si>
  <si>
    <t>12-365-00-700410-53120</t>
  </si>
  <si>
    <t>Student Equity Plan (SEP) : STRS Nonteaching</t>
  </si>
  <si>
    <t>12-365-00-700410-53210</t>
  </si>
  <si>
    <t>Student Equity Plan (SEP) : PERS Teaching</t>
  </si>
  <si>
    <t>12-365-00-700410-53220</t>
  </si>
  <si>
    <t>Student Equity Plan (SEP) : PERS Nonteaching</t>
  </si>
  <si>
    <t>12-365-00-700410-53310</t>
  </si>
  <si>
    <t>Student Equity Plan (SEP) : OASDHI (FICA) Teaching</t>
  </si>
  <si>
    <t>12-365-00-700410-53320</t>
  </si>
  <si>
    <t>Student Equity Plan (SEP) : OASDHI (FICA) Nonteaching</t>
  </si>
  <si>
    <t>12-365-00-700410-53330</t>
  </si>
  <si>
    <t>Student Equity Plan (SEP) : Medicare Teaching</t>
  </si>
  <si>
    <t>12-365-00-700410-53340</t>
  </si>
  <si>
    <t>Student Equity Plan (SEP) : Medicare Nonteaching</t>
  </si>
  <si>
    <t>12-365-00-700410-53410</t>
  </si>
  <si>
    <t>Student Equity Plan (SEP) : H &amp; W Teaching</t>
  </si>
  <si>
    <t>12-365-00-700410-53420</t>
  </si>
  <si>
    <t>Student Equity Plan (SEP) : H &amp; W Nonteaching</t>
  </si>
  <si>
    <t>12-365-00-700410-53510</t>
  </si>
  <si>
    <t>Student Equity Plan (SEP) : SUI Teaching</t>
  </si>
  <si>
    <t>12-365-00-700410-53520</t>
  </si>
  <si>
    <t>Student Equity Plan (SEP) : SUI Nonteaching</t>
  </si>
  <si>
    <t>12-365-00-700410-53610</t>
  </si>
  <si>
    <t>Student Equity Plan (SEP) : WC Teaching</t>
  </si>
  <si>
    <t>12-365-00-700410-53620</t>
  </si>
  <si>
    <t>Student Equity Plan (SEP) : WC Nonteaching</t>
  </si>
  <si>
    <t>12-365-00-700410-53920</t>
  </si>
  <si>
    <t>Student Equity Plan (SEP) : Other Benefit-Non Teaching</t>
  </si>
  <si>
    <t>12-365-00-700410-54210</t>
  </si>
  <si>
    <t>Student Equity Plan (SEP) : Purchases - Food</t>
  </si>
  <si>
    <t>12-365-00-700410-54300</t>
  </si>
  <si>
    <t>Student Equity Plan (SEP) : Supplies &amp; Materials</t>
  </si>
  <si>
    <t>12-365-00-700410-55125</t>
  </si>
  <si>
    <t>Student Equity Plan (SEP) : Training &amp; Seminars</t>
  </si>
  <si>
    <t>12-365-00-700410-55200</t>
  </si>
  <si>
    <t>Student Equity Plan (SEP) : Travel &amp; Conference</t>
  </si>
  <si>
    <t>12-365-00-700410-55630</t>
  </si>
  <si>
    <t>Student Equity Plan (SEP) : Printing &amp; Duplicating - Inhouse</t>
  </si>
  <si>
    <t>12-365-00-700410-55800</t>
  </si>
  <si>
    <t>Student Equity Plan (SEP) : Other Costs</t>
  </si>
  <si>
    <t>12-365-00-700410-56300</t>
  </si>
  <si>
    <t>Student Equity Plan (SEP) : Capital Books &amp; Software</t>
  </si>
  <si>
    <t>12-365-00-700411-52105</t>
  </si>
  <si>
    <t>Student Equity (SEP) 16-17 : Classified CSEA</t>
  </si>
  <si>
    <t>12-365-00-700411-53220</t>
  </si>
  <si>
    <t>Student Equity (SEP) 16-17 : PERS Nonteaching</t>
  </si>
  <si>
    <t>12-365-00-700411-53320</t>
  </si>
  <si>
    <t>Student Equity (SEP) 16-17 : OASDHI (FICA) Nonteaching</t>
  </si>
  <si>
    <t>12-365-00-700411-53340</t>
  </si>
  <si>
    <t>Student Equity (SEP) 16-17 : Medicare Nonteaching</t>
  </si>
  <si>
    <t>12-365-00-700411-53520</t>
  </si>
  <si>
    <t>Student Equity (SEP) 16-17 : SUI Nonteaching</t>
  </si>
  <si>
    <t>12-365-00-700411-53620</t>
  </si>
  <si>
    <t>Student Equity (SEP) 16-17 : WC Nonteaching</t>
  </si>
  <si>
    <t>12-365-00-706141-48690</t>
  </si>
  <si>
    <t>Digital Literacy Castroville : Other State Revenue</t>
  </si>
  <si>
    <t>12-365-00-706141-52360</t>
  </si>
  <si>
    <t>Digital Literacy Castroville : Class Nonstu NonIA PT Prof Exp</t>
  </si>
  <si>
    <t>12-365-00-706141-53320</t>
  </si>
  <si>
    <t>Digital Literacy Castroville : OASDHI (FICA) Nonteaching</t>
  </si>
  <si>
    <t>12-365-00-706141-53340</t>
  </si>
  <si>
    <t>Digital Literacy Castroville : Medicare Nonteaching</t>
  </si>
  <si>
    <t>12-365-00-706141-53520</t>
  </si>
  <si>
    <t>Digital Literacy Castroville : SUI Nonteaching</t>
  </si>
  <si>
    <t>12-365-00-706141-53620</t>
  </si>
  <si>
    <t>Digital Literacy Castroville : WC Nonteaching</t>
  </si>
  <si>
    <t>12-365-00-706141-54300</t>
  </si>
  <si>
    <t>Digital Literacy Castroville : Supplies &amp; Materials</t>
  </si>
  <si>
    <t>12-365-00-706141-55105</t>
  </si>
  <si>
    <t>Digital Literacy Castroville : Contract Services</t>
  </si>
  <si>
    <t>12-365-00-706141-55200</t>
  </si>
  <si>
    <t>Digital Literacy Castroville : Travel &amp; Conference</t>
  </si>
  <si>
    <t>12-365-00-706141-56400</t>
  </si>
  <si>
    <t>Digital Literacy Castroville : Cap Equip - $200 to $4,999</t>
  </si>
  <si>
    <t>12-365-00-706141-56402</t>
  </si>
  <si>
    <t>Digital Literacy Castroville : Capital software $200-$4,999</t>
  </si>
  <si>
    <t>12-365-00-707723-48627</t>
  </si>
  <si>
    <t>AB 104 Hartnell 17-18 : Other General Categorical Prog</t>
  </si>
  <si>
    <t>12-365-00-707723-51200</t>
  </si>
  <si>
    <t>AB 104 Hartnell 17-18 : Academic Nonteaching Full-time</t>
  </si>
  <si>
    <t>12-365-00-707723-51210</t>
  </si>
  <si>
    <t>AB 104 Hartnell 17-18 : Academic Nonteaching Management</t>
  </si>
  <si>
    <t>12-365-00-707723-51412</t>
  </si>
  <si>
    <t>AB 104 Hartnell 17-18 : Acad Nonteach Special Projects</t>
  </si>
  <si>
    <t>12-365-00-707723-52105</t>
  </si>
  <si>
    <t>AB 104 Hartnell 17-18 : Classified CSEA</t>
  </si>
  <si>
    <t>12-365-00-707723-52350</t>
  </si>
  <si>
    <t>AB 104 Hartnell 17-18 : Classified Student Dist Non-IA PT</t>
  </si>
  <si>
    <t>12-365-00-707723-52360</t>
  </si>
  <si>
    <t>AB 104 Hartnell 17-18 : Class Nonstu NonIA PT Prof Exp</t>
  </si>
  <si>
    <t>12-365-00-707723-53000</t>
  </si>
  <si>
    <t>AB 104 Hartnell 17-18 : Employee Benefits Control</t>
  </si>
  <si>
    <t>12-365-00-707723-53120</t>
  </si>
  <si>
    <t>AB 104 Hartnell 17-18 : STRS Nonteaching</t>
  </si>
  <si>
    <t>12-365-00-707723-53220</t>
  </si>
  <si>
    <t>AB 104 Hartnell 17-18 : PERS Nonteaching</t>
  </si>
  <si>
    <t>12-365-00-707723-53320</t>
  </si>
  <si>
    <t>AB 104 Hartnell 17-18 : OASDHI (FICA) Nonteaching</t>
  </si>
  <si>
    <t>12-365-00-707723-53340</t>
  </si>
  <si>
    <t>AB 104 Hartnell 17-18 : Medicare Nonteaching</t>
  </si>
  <si>
    <t>12-365-00-707723-53420</t>
  </si>
  <si>
    <t>AB 104 Hartnell 17-18 : H &amp; W Nonteaching</t>
  </si>
  <si>
    <t>12-365-00-707723-53520</t>
  </si>
  <si>
    <t>AB 104 Hartnell 17-18 : SUI Nonteaching</t>
  </si>
  <si>
    <t>12-365-00-707723-53620</t>
  </si>
  <si>
    <t>AB 104 Hartnell 17-18 : WC Nonteaching</t>
  </si>
  <si>
    <t>12-365-00-707723-53920</t>
  </si>
  <si>
    <t>AB 104 Hartnell 17-18 : Other Benefit-Non Teaching</t>
  </si>
  <si>
    <t>12-365-00-707723-54300</t>
  </si>
  <si>
    <t>AB 104 Hartnell 17-18 : Supplies &amp; Materials</t>
  </si>
  <si>
    <t>12-365-00-707723-55200</t>
  </si>
  <si>
    <t>AB 104 Hartnell 17-18 : Travel &amp; Conference</t>
  </si>
  <si>
    <t>12-365-00-707723-55550</t>
  </si>
  <si>
    <t>AB 104 Hartnell 17-18 : Telephone Service</t>
  </si>
  <si>
    <t>12-365-00-707723-55630</t>
  </si>
  <si>
    <t>AB 104 Hartnell 17-18 : Printing &amp; Duplicating - Inhouse</t>
  </si>
  <si>
    <t>12-365-00-707723-56400</t>
  </si>
  <si>
    <t>AB 104 Hartnell 17-18 : Cap Equip - $200 to $4,999</t>
  </si>
  <si>
    <t>12-365-00-707723-57350</t>
  </si>
  <si>
    <t>AB 104 Hartnell 17-18 : Tsf Indirect Costs-Interfund</t>
  </si>
  <si>
    <t>12-365-00-707733-48627</t>
  </si>
  <si>
    <t>AB-104 2017-18 : Other General Categorical Prog</t>
  </si>
  <si>
    <t>12-365-00-707733-51210</t>
  </si>
  <si>
    <t>AB-104 2017-18 : Academic Nonteaching Management</t>
  </si>
  <si>
    <t>12-365-00-707733-52105</t>
  </si>
  <si>
    <t>AB-104 2017-18 : Classified CSEA</t>
  </si>
  <si>
    <t>12-365-00-707733-52360</t>
  </si>
  <si>
    <t>AB-104 2017-18 : Class Nonstu NonIA PT Prof Exp</t>
  </si>
  <si>
    <t>12-365-00-707733-53120</t>
  </si>
  <si>
    <t>AB-104 2017-18 : STRS Nonteaching</t>
  </si>
  <si>
    <t>12-365-00-707733-53220</t>
  </si>
  <si>
    <t>AB-104 2017-18 : PERS Nonteaching</t>
  </si>
  <si>
    <t>12-365-00-707733-53320</t>
  </si>
  <si>
    <t>AB-104 2017-18 : OASDHI (FICA) Nonteaching</t>
  </si>
  <si>
    <t>12-365-00-707733-53340</t>
  </si>
  <si>
    <t>AB-104 2017-18 : Medicare Nonteaching</t>
  </si>
  <si>
    <t>12-365-00-707733-53420</t>
  </si>
  <si>
    <t>AB-104 2017-18 : H &amp; W Nonteaching</t>
  </si>
  <si>
    <t>12-365-00-707733-53520</t>
  </si>
  <si>
    <t>AB-104 2017-18 : SUI Nonteaching</t>
  </si>
  <si>
    <t>12-365-00-707733-53620</t>
  </si>
  <si>
    <t>AB-104 2017-18 : WC Nonteaching</t>
  </si>
  <si>
    <t>12-365-00-707733-53920</t>
  </si>
  <si>
    <t>AB-104 2017-18 : Other Benefit-Non Teaching</t>
  </si>
  <si>
    <t>12-365-00-707733-54300</t>
  </si>
  <si>
    <t>AB-104 2017-18 : Supplies &amp; Materials</t>
  </si>
  <si>
    <t>12-365-00-707733-55105</t>
  </si>
  <si>
    <t>AB-104 2017-18 : Contract Services</t>
  </si>
  <si>
    <t>12-365-00-707733-55125</t>
  </si>
  <si>
    <t>AB-104 2017-18 : Training &amp; Seminars</t>
  </si>
  <si>
    <t>12-365-00-707733-55200</t>
  </si>
  <si>
    <t>AB-104 2017-18 : Travel &amp; Conference</t>
  </si>
  <si>
    <t>12-365-00-707733-55300</t>
  </si>
  <si>
    <t>AB-104 2017-18 : Memberships</t>
  </si>
  <si>
    <t>12-365-00-707733-55630</t>
  </si>
  <si>
    <t>AB-104 2017-18 : Printing &amp; Duplicating - Inhouse</t>
  </si>
  <si>
    <t>12-365-00-707733-55800</t>
  </si>
  <si>
    <t>AB-104 2017-18 : Other Costs</t>
  </si>
  <si>
    <t>12-365-00-707733-55830</t>
  </si>
  <si>
    <t>AB-104 2017-18 : Advertising Expense</t>
  </si>
  <si>
    <t>12-365-00-707733-56400</t>
  </si>
  <si>
    <t>AB-104 2017-18 : Cap Equip - $200 to $4,999</t>
  </si>
  <si>
    <t>12-365-00-707733-57350</t>
  </si>
  <si>
    <t>AB-104 2017-18 : Tsf Indirect Costs-Interfund</t>
  </si>
  <si>
    <t>12-365-00-707733-57351</t>
  </si>
  <si>
    <t>AB-104 2017-18 : Other Admin Costs</t>
  </si>
  <si>
    <t>12-365-00-707734-48970</t>
  </si>
  <si>
    <t>18-19 AEBG : Fiscal Agent Pass Through</t>
  </si>
  <si>
    <t>12-365-00-707734-57400</t>
  </si>
  <si>
    <t>18-19 AEBG : Other Transfers</t>
  </si>
  <si>
    <t>12-365-00-720014-48627</t>
  </si>
  <si>
    <t>Basic Skills Initiative : Other General Categorical Prog</t>
  </si>
  <si>
    <t>12-365-00-720014-51412</t>
  </si>
  <si>
    <t>Basic Skills Initiative : Acad Nonteach Special Projects</t>
  </si>
  <si>
    <t>12-365-00-720014-52200</t>
  </si>
  <si>
    <t>Basic Skills Initiative : Classified Permanent Instructional Aides</t>
  </si>
  <si>
    <t>12-365-00-720014-52350</t>
  </si>
  <si>
    <t>Basic Skills Initiative : Classified Student Dist Non-IA PT</t>
  </si>
  <si>
    <t>12-365-00-720014-52360</t>
  </si>
  <si>
    <t>Basic Skills Initiative : Class Nonstu NonIA PT Prof Exp</t>
  </si>
  <si>
    <t>12-365-00-720014-53000</t>
  </si>
  <si>
    <t>Basic Skills Initiative : Employee Benefits Control</t>
  </si>
  <si>
    <t>12-365-00-720014-53120</t>
  </si>
  <si>
    <t>Basic Skills Initiative : STRS Nonteaching</t>
  </si>
  <si>
    <t>12-365-00-720014-53210</t>
  </si>
  <si>
    <t>Basic Skills Initiative : PERS Teaching</t>
  </si>
  <si>
    <t>12-365-00-720014-53310</t>
  </si>
  <si>
    <t>Basic Skills Initiative : OASDHI (FICA) Teaching</t>
  </si>
  <si>
    <t>12-365-00-720014-53320</t>
  </si>
  <si>
    <t>Basic Skills Initiative : OASDHI (FICA) Nonteaching</t>
  </si>
  <si>
    <t>12-365-00-720014-53330</t>
  </si>
  <si>
    <t>Basic Skills Initiative : Medicare Teaching</t>
  </si>
  <si>
    <t>12-365-00-720014-53340</t>
  </si>
  <si>
    <t>Basic Skills Initiative : Medicare Nonteaching</t>
  </si>
  <si>
    <t>12-365-00-720014-53410</t>
  </si>
  <si>
    <t>Basic Skills Initiative : H &amp; W Teaching</t>
  </si>
  <si>
    <t>12-365-00-720014-53510</t>
  </si>
  <si>
    <t>Basic Skills Initiative : SUI Teaching</t>
  </si>
  <si>
    <t>12-365-00-720014-53520</t>
  </si>
  <si>
    <t>Basic Skills Initiative : SUI Nonteaching</t>
  </si>
  <si>
    <t>12-365-00-720014-53610</t>
  </si>
  <si>
    <t>Basic Skills Initiative : WC Teaching</t>
  </si>
  <si>
    <t>12-365-00-720014-53620</t>
  </si>
  <si>
    <t>Basic Skills Initiative : WC Nonteaching</t>
  </si>
  <si>
    <t>12-365-00-720014-54300</t>
  </si>
  <si>
    <t>Basic Skills Initiative : Supplies &amp; Materials</t>
  </si>
  <si>
    <t>12-365-00-720014-55200</t>
  </si>
  <si>
    <t>Basic Skills Initiative : Travel &amp; Conference</t>
  </si>
  <si>
    <t>12-365-00-720014-55800</t>
  </si>
  <si>
    <t>Basic Skills Initiative : Other Costs</t>
  </si>
  <si>
    <t>12-365-00-720014-56300</t>
  </si>
  <si>
    <t>Basic Skills Initiative : Capital Books &amp; Software</t>
  </si>
  <si>
    <t>12-365-00-720014-56400</t>
  </si>
  <si>
    <t>Basic Skills Initiative : Cap Equip - $200 to $4,999</t>
  </si>
  <si>
    <t>12-365-00-720016-52360</t>
  </si>
  <si>
    <t>B.S. &amp; S.O. Transformation : Class Nonstu NonIA PT Prof Exp</t>
  </si>
  <si>
    <t>12-365-00-720016-53220</t>
  </si>
  <si>
    <t>B.S. &amp; S.O. Transformation : PERS Nonteaching</t>
  </si>
  <si>
    <t>12-365-00-720016-53320</t>
  </si>
  <si>
    <t>B.S. &amp; S.O. Transformation : OASDHI (FICA) Nonteaching</t>
  </si>
  <si>
    <t>12-365-00-720016-53340</t>
  </si>
  <si>
    <t>B.S. &amp; S.O. Transformation : Medicare Nonteaching</t>
  </si>
  <si>
    <t>12-365-00-720016-53520</t>
  </si>
  <si>
    <t>B.S. &amp; S.O. Transformation : SUI Nonteaching</t>
  </si>
  <si>
    <t>12-365-00-720016-53620</t>
  </si>
  <si>
    <t>B.S. &amp; S.O. Transformation : WC Nonteaching</t>
  </si>
  <si>
    <t>12-370-00-701100-48120</t>
  </si>
  <si>
    <t>FKCE-State of CA : Higher Education Act</t>
  </si>
  <si>
    <t>12-370-00-701100-48627</t>
  </si>
  <si>
    <t>FKCE-State of CA : Other General Categorical Prog</t>
  </si>
  <si>
    <t>12-370-00-701100-52105</t>
  </si>
  <si>
    <t>FKCE-State of CA : Classified CSEA</t>
  </si>
  <si>
    <t>12-370-00-701100-52130</t>
  </si>
  <si>
    <t>FKCE-State of CA : Classified Management</t>
  </si>
  <si>
    <t>12-370-00-701100-52300</t>
  </si>
  <si>
    <t>FKCE-State of CA : Classified Overtime</t>
  </si>
  <si>
    <t>12-370-00-701100-52360</t>
  </si>
  <si>
    <t>FKCE-State of CA : Class Nonstu NonIA PT Prof Exp</t>
  </si>
  <si>
    <t>12-370-00-701100-53000</t>
  </si>
  <si>
    <t>FKCE-State of CA : Employee Benefits Control</t>
  </si>
  <si>
    <t>12-370-00-701100-53120</t>
  </si>
  <si>
    <t>FKCE-State of CA : STRS Nonteaching</t>
  </si>
  <si>
    <t>12-370-00-701100-53220</t>
  </si>
  <si>
    <t>FKCE-State of CA : PERS Nonteaching</t>
  </si>
  <si>
    <t>12-370-00-701100-53320</t>
  </si>
  <si>
    <t>FKCE-State of CA : OASDHI (FICA) Nonteaching</t>
  </si>
  <si>
    <t>12-370-00-701100-53340</t>
  </si>
  <si>
    <t>FKCE-State of CA : Medicare Nonteaching</t>
  </si>
  <si>
    <t>12-370-00-701100-53420</t>
  </si>
  <si>
    <t>FKCE-State of CA : H &amp; W Nonteaching</t>
  </si>
  <si>
    <t>12-370-00-701100-53520</t>
  </si>
  <si>
    <t>FKCE-State of CA : SUI Nonteaching</t>
  </si>
  <si>
    <t>12-370-00-701100-53620</t>
  </si>
  <si>
    <t>FKCE-State of CA : WC Nonteaching</t>
  </si>
  <si>
    <t>12-370-00-701100-54210</t>
  </si>
  <si>
    <t>FKCE-State of CA : Purchases - Food</t>
  </si>
  <si>
    <t>12-370-00-701100-54300</t>
  </si>
  <si>
    <t>FKCE-State of CA : Supplies &amp; Materials</t>
  </si>
  <si>
    <t>12-370-00-701100-55100</t>
  </si>
  <si>
    <t>FKCE-State of CA : Personal Service Contract - 1099</t>
  </si>
  <si>
    <t>12-370-00-701100-55105</t>
  </si>
  <si>
    <t>FKCE-State of CA : Contract Services</t>
  </si>
  <si>
    <t>12-370-00-701100-55200</t>
  </si>
  <si>
    <t>FKCE-State of CA : Travel &amp; Conference</t>
  </si>
  <si>
    <t>12-370-00-701100-55210</t>
  </si>
  <si>
    <t>FKCE-State of CA : Instructional Mileage</t>
  </si>
  <si>
    <t>12-370-00-701100-55630</t>
  </si>
  <si>
    <t>FKCE-State of CA : Printing &amp; Duplicating - Inhouse</t>
  </si>
  <si>
    <t>12-370-00-701100-55635</t>
  </si>
  <si>
    <t>FKCE-State of CA : Printing Services - Vendor</t>
  </si>
  <si>
    <t>12-370-00-701100-56400</t>
  </si>
  <si>
    <t>FKCE-State of CA : Cap Equip - $200 to $4,999</t>
  </si>
  <si>
    <t>12-370-00-701100-57350</t>
  </si>
  <si>
    <t>FKCE-State of CA : Tsf Indirect Costs-Interfund</t>
  </si>
  <si>
    <t>12-370-00-701200-48890</t>
  </si>
  <si>
    <t xml:space="preserve">ILP Program : Other Local Income </t>
  </si>
  <si>
    <t>12-370-00-701200-52105</t>
  </si>
  <si>
    <t>ILP Program : Classified CSEA</t>
  </si>
  <si>
    <t>12-370-00-701200-52360</t>
  </si>
  <si>
    <t>ILP Program : Class Nonstu NonIA PT Prof Exp</t>
  </si>
  <si>
    <t>12-370-00-701200-53220</t>
  </si>
  <si>
    <t>ILP Program : PERS Nonteaching</t>
  </si>
  <si>
    <t>12-370-00-701200-53320</t>
  </si>
  <si>
    <t>ILP Program : OASDHI (FICA) Nonteaching</t>
  </si>
  <si>
    <t>12-370-00-701200-53340</t>
  </si>
  <si>
    <t>ILP Program : Medicare Nonteaching</t>
  </si>
  <si>
    <t>12-370-00-701200-53420</t>
  </si>
  <si>
    <t>ILP Program : H &amp; W Nonteaching</t>
  </si>
  <si>
    <t>12-370-00-701200-53520</t>
  </si>
  <si>
    <t>ILP Program : SUI Nonteaching</t>
  </si>
  <si>
    <t>12-370-00-701200-53620</t>
  </si>
  <si>
    <t>ILP Program : WC Nonteaching</t>
  </si>
  <si>
    <t>12-370-00-701200-53920</t>
  </si>
  <si>
    <t>ILP Program : Other Benefit-Non Teaching</t>
  </si>
  <si>
    <t>12-370-00-701200-54210</t>
  </si>
  <si>
    <t>ILP Program : Purchases - Food</t>
  </si>
  <si>
    <t>12-370-00-701200-54300</t>
  </si>
  <si>
    <t>ILP Program : Supplies &amp; Materials</t>
  </si>
  <si>
    <t>12-370-00-701200-55100</t>
  </si>
  <si>
    <t>ILP Program : Personal Service Contract - 1099</t>
  </si>
  <si>
    <t>12-370-00-701200-55105</t>
  </si>
  <si>
    <t>ILP Program : Contract Services</t>
  </si>
  <si>
    <t>12-370-00-701200-55200</t>
  </si>
  <si>
    <t>ILP Program : Travel &amp; Conference</t>
  </si>
  <si>
    <t>12-370-00-701200-55210</t>
  </si>
  <si>
    <t>ILP Program : Instructional Mileage</t>
  </si>
  <si>
    <t>12-370-00-701200-55240</t>
  </si>
  <si>
    <t>ILP Program : Field Trips</t>
  </si>
  <si>
    <t>12-370-00-701200-55600</t>
  </si>
  <si>
    <t>ILP Program : Rents &amp; Leases</t>
  </si>
  <si>
    <t>12-370-00-701200-55630</t>
  </si>
  <si>
    <t>ILP Program : Printing &amp; Duplicating - Inhouse</t>
  </si>
  <si>
    <t>12-370-00-701200-57350</t>
  </si>
  <si>
    <t>ILP Program : Tsf Indirect Costs-Interfund</t>
  </si>
  <si>
    <t>12-370-00-708300-48120</t>
  </si>
  <si>
    <t>Dept of Social &amp; Employ Svs : Higher Education Act</t>
  </si>
  <si>
    <t>12-370-00-708300-52105</t>
  </si>
  <si>
    <t>12-370-00-708300-52130</t>
  </si>
  <si>
    <t>12-370-00-708300-52300</t>
  </si>
  <si>
    <t>Dept of Social &amp; Employ Svs : Classified Overtime</t>
  </si>
  <si>
    <t>12-370-00-708300-52360</t>
  </si>
  <si>
    <t>12-370-00-708300-53000</t>
  </si>
  <si>
    <t>Dept of Social &amp; Employ Svs : Employee Benefits Control</t>
  </si>
  <si>
    <t>12-370-00-708300-53220</t>
  </si>
  <si>
    <t>12-370-00-708300-53320</t>
  </si>
  <si>
    <t>12-370-00-708300-53340</t>
  </si>
  <si>
    <t>12-370-00-708300-53420</t>
  </si>
  <si>
    <t>12-370-00-708300-53520</t>
  </si>
  <si>
    <t>12-370-00-708300-53620</t>
  </si>
  <si>
    <t>12-370-00-708300-54210</t>
  </si>
  <si>
    <t>12-370-00-708300-54300</t>
  </si>
  <si>
    <t>12-370-00-708300-55100</t>
  </si>
  <si>
    <t>12-370-00-708300-55105</t>
  </si>
  <si>
    <t>12-370-00-708300-55200</t>
  </si>
  <si>
    <t>12-370-00-708300-55600</t>
  </si>
  <si>
    <t>12-370-00-708300-55630</t>
  </si>
  <si>
    <t>12-370-00-708300-55635</t>
  </si>
  <si>
    <t>12-370-00-708300-55810</t>
  </si>
  <si>
    <t>Dept of Social &amp; Employ Svs : Bulk Mail</t>
  </si>
  <si>
    <t>12-370-00-708300-57350</t>
  </si>
  <si>
    <t>12-370-00-708305-48690</t>
  </si>
  <si>
    <t>YESS - ILP : Other State Revenue</t>
  </si>
  <si>
    <t>12-370-00-708305-52360</t>
  </si>
  <si>
    <t>YESS - ILP : Class Nonstu NonIA PT Prof Exp</t>
  </si>
  <si>
    <t>12-370-00-708305-53220</t>
  </si>
  <si>
    <t>YESS - ILP : PERS Nonteaching</t>
  </si>
  <si>
    <t>12-370-00-708305-53320</t>
  </si>
  <si>
    <t>YESS - ILP : OASDHI (FICA) Nonteaching</t>
  </si>
  <si>
    <t>12-370-00-708305-53340</t>
  </si>
  <si>
    <t>YESS - ILP : Medicare Nonteaching</t>
  </si>
  <si>
    <t>12-370-00-708305-53520</t>
  </si>
  <si>
    <t>YESS - ILP : SUI Nonteaching</t>
  </si>
  <si>
    <t>12-370-00-708305-53620</t>
  </si>
  <si>
    <t>YESS - ILP : WC Nonteaching</t>
  </si>
  <si>
    <t>12-370-00-708305-54210</t>
  </si>
  <si>
    <t>YESS - ILP : Purchases - Food</t>
  </si>
  <si>
    <t>12-370-00-708305-54300</t>
  </si>
  <si>
    <t>YESS - ILP : Supplies &amp; Materials</t>
  </si>
  <si>
    <t>12-370-00-708305-55100</t>
  </si>
  <si>
    <t>YESS - ILP : Personal Service Contract - 1099</t>
  </si>
  <si>
    <t>12-370-00-708305-55200</t>
  </si>
  <si>
    <t>YESS - ILP : Travel &amp; Conference</t>
  </si>
  <si>
    <t>12-370-00-708305-55630</t>
  </si>
  <si>
    <t>YESS - ILP : Printing &amp; Duplicating - Inhouse</t>
  </si>
  <si>
    <t>12-370-00-732030-48890</t>
  </si>
  <si>
    <t xml:space="preserve">Burton Book Fund : Other Local Income </t>
  </si>
  <si>
    <t>12-370-00-732030-57600</t>
  </si>
  <si>
    <t>Burton Book Fund : Other Student Aid</t>
  </si>
  <si>
    <t>12-372-00-679020-56400</t>
  </si>
  <si>
    <t>12-395-00-735050-48890</t>
  </si>
  <si>
    <t xml:space="preserve">Catalyst : Other Local Income </t>
  </si>
  <si>
    <t>12-395-00-735050-51412</t>
  </si>
  <si>
    <t>Catalyst : Acad Nonteach Special Projects</t>
  </si>
  <si>
    <t>12-395-00-735050-52105</t>
  </si>
  <si>
    <t>Catalyst : Classified CSEA</t>
  </si>
  <si>
    <t>12-395-00-735050-52350</t>
  </si>
  <si>
    <t>Catalyst : Classified Student Dist Non-IA PT</t>
  </si>
  <si>
    <t>12-395-00-735050-52360</t>
  </si>
  <si>
    <t>Catalyst : Class Nonstu NonIA PT Prof Exp</t>
  </si>
  <si>
    <t>12-395-00-735050-53120</t>
  </si>
  <si>
    <t>Catalyst : STRS Nonteaching</t>
  </si>
  <si>
    <t>12-395-00-735050-53220</t>
  </si>
  <si>
    <t>Catalyst : PERS Nonteaching</t>
  </si>
  <si>
    <t>12-395-00-735050-53320</t>
  </si>
  <si>
    <t>Catalyst : OASDHI (FICA) Nonteaching</t>
  </si>
  <si>
    <t>12-395-00-735050-53340</t>
  </si>
  <si>
    <t>Catalyst : Medicare Nonteaching</t>
  </si>
  <si>
    <t>12-395-00-735050-53420</t>
  </si>
  <si>
    <t>Catalyst : H &amp; W Nonteaching</t>
  </si>
  <si>
    <t>12-395-00-735050-53520</t>
  </si>
  <si>
    <t>Catalyst : SUI Nonteaching</t>
  </si>
  <si>
    <t>12-395-00-735050-53620</t>
  </si>
  <si>
    <t>Catalyst : WC Nonteaching</t>
  </si>
  <si>
    <t>12-395-00-735050-54210</t>
  </si>
  <si>
    <t>Catalyst : Purchases - Food</t>
  </si>
  <si>
    <t>12-395-00-735050-54300</t>
  </si>
  <si>
    <t>Catalyst : Supplies &amp; Materials</t>
  </si>
  <si>
    <t>12-395-00-735050-55100</t>
  </si>
  <si>
    <t>Catalyst : Personal Service Contract - 1099</t>
  </si>
  <si>
    <t>12-395-00-735050-55105</t>
  </si>
  <si>
    <t>Catalyst : Contract Services</t>
  </si>
  <si>
    <t>12-395-00-735050-55200</t>
  </si>
  <si>
    <t>Catalyst : Travel &amp; Conference</t>
  </si>
  <si>
    <t>12-395-00-735050-55240</t>
  </si>
  <si>
    <t>Catalyst : Field Trips</t>
  </si>
  <si>
    <t>12-395-00-735050-55630</t>
  </si>
  <si>
    <t>Catalyst : Printing &amp; Duplicating - Inhouse</t>
  </si>
  <si>
    <t>12-395-00-735050-55635</t>
  </si>
  <si>
    <t>Catalyst : Printing Services - Vendor</t>
  </si>
  <si>
    <t>12-395-00-735050-55800</t>
  </si>
  <si>
    <t>Catalyst : Other Costs</t>
  </si>
  <si>
    <t>12-395-00-735050-56400</t>
  </si>
  <si>
    <t>Catalyst : Cap Equip - $200 to $4,999</t>
  </si>
  <si>
    <t>12-395-00-735050-57350</t>
  </si>
  <si>
    <t>Catalyst : Tsf Indirect Costs-Interfund</t>
  </si>
  <si>
    <t>12-395-00-735050-57510</t>
  </si>
  <si>
    <t>Catalyst : Student Internship</t>
  </si>
  <si>
    <t>12-395-00-735050-57600</t>
  </si>
  <si>
    <t>Catalyst : Other Student Aid</t>
  </si>
  <si>
    <t>12-400-00-649001-48690</t>
  </si>
  <si>
    <t>Umoja : Other State Revenue</t>
  </si>
  <si>
    <t>12-400-00-649001-54210</t>
  </si>
  <si>
    <t>Umoja : Purchases - Food</t>
  </si>
  <si>
    <t>12-400-00-649001-54300</t>
  </si>
  <si>
    <t>Umoja : Supplies &amp; Materials</t>
  </si>
  <si>
    <t>12-400-00-649001-55200</t>
  </si>
  <si>
    <t>Umoja : Travel &amp; Conference</t>
  </si>
  <si>
    <t>12-400-00-649001-55800</t>
  </si>
  <si>
    <t>Umoja : Other Costs</t>
  </si>
  <si>
    <t>12-400-00-649001-55830</t>
  </si>
  <si>
    <t>Umoja : Advertising Expense</t>
  </si>
  <si>
    <t>12-400-00-649001-56400</t>
  </si>
  <si>
    <t>Umoja : Cap Equip - $200 to $4,999</t>
  </si>
  <si>
    <t>12-400-00-649001-57600</t>
  </si>
  <si>
    <t>Umoja : Other Student Aid</t>
  </si>
  <si>
    <t>12-400-00-649005-48627</t>
  </si>
  <si>
    <t>Undocumented Resource Liaisons : Other General Categorical Prog</t>
  </si>
  <si>
    <t>12-400-00-679000-54300</t>
  </si>
  <si>
    <t>12-400-00-700400-48627</t>
  </si>
  <si>
    <t>SSSP : Other General Categorical Prog</t>
  </si>
  <si>
    <t>12-400-00-700400-51200</t>
  </si>
  <si>
    <t>SSSP : Academic Nonteaching Full-time</t>
  </si>
  <si>
    <t>12-400-00-700400-51311</t>
  </si>
  <si>
    <t>SSSP : Academic Teaching PT</t>
  </si>
  <si>
    <t>12-400-00-700400-51410</t>
  </si>
  <si>
    <t>SSSP : Academic Nonteaching NIC</t>
  </si>
  <si>
    <t>12-400-00-700400-51411</t>
  </si>
  <si>
    <t>SSSP : Academic Nonteaching PT</t>
  </si>
  <si>
    <t>12-400-00-700400-51412</t>
  </si>
  <si>
    <t>SSSP : Acad Nonteach Special Projects</t>
  </si>
  <si>
    <t>12-400-00-700400-52105</t>
  </si>
  <si>
    <t>SSSP : Classified CSEA</t>
  </si>
  <si>
    <t>12-400-00-700400-52300</t>
  </si>
  <si>
    <t>SSSP : Classified Overtime</t>
  </si>
  <si>
    <t>12-400-00-700400-52350</t>
  </si>
  <si>
    <t>SSSP : Classified Student Dist Non-IA PT</t>
  </si>
  <si>
    <t>12-400-00-700400-52360</t>
  </si>
  <si>
    <t>SSSP : Class Nonstu NonIA PT Prof Exp</t>
  </si>
  <si>
    <t>12-400-00-700400-53110</t>
  </si>
  <si>
    <t>SSSP : STRS Teaching</t>
  </si>
  <si>
    <t>12-400-00-700400-53120</t>
  </si>
  <si>
    <t>SSSP : STRS Nonteaching</t>
  </si>
  <si>
    <t>12-400-00-700400-53220</t>
  </si>
  <si>
    <t>SSSP : PERS Nonteaching</t>
  </si>
  <si>
    <t>12-400-00-700400-53320</t>
  </si>
  <si>
    <t>SSSP : OASDHI (FICA) Nonteaching</t>
  </si>
  <si>
    <t>12-400-00-700400-53330</t>
  </si>
  <si>
    <t>SSSP : Medicare Teaching</t>
  </si>
  <si>
    <t>12-400-00-700400-53340</t>
  </si>
  <si>
    <t>SSSP : Medicare Nonteaching</t>
  </si>
  <si>
    <t>12-400-00-700400-53420</t>
  </si>
  <si>
    <t>SSSP : H &amp; W Nonteaching</t>
  </si>
  <si>
    <t>12-400-00-700400-53510</t>
  </si>
  <si>
    <t>SSSP : SUI Teaching</t>
  </si>
  <si>
    <t>12-400-00-700400-53520</t>
  </si>
  <si>
    <t>SSSP : SUI Nonteaching</t>
  </si>
  <si>
    <t>12-400-00-700400-53610</t>
  </si>
  <si>
    <t>SSSP : WC Teaching</t>
  </si>
  <si>
    <t>12-400-00-700400-53620</t>
  </si>
  <si>
    <t>SSSP : WC Nonteaching</t>
  </si>
  <si>
    <t>12-400-00-700400-53920</t>
  </si>
  <si>
    <t>SSSP : Other Benefit-Non Teaching</t>
  </si>
  <si>
    <t>12-400-00-700400-54210</t>
  </si>
  <si>
    <t>SSSP : Purchases - Food</t>
  </si>
  <si>
    <t>12-400-00-700400-54300</t>
  </si>
  <si>
    <t>SSSP : Supplies &amp; Materials</t>
  </si>
  <si>
    <t>12-400-00-700400-55105</t>
  </si>
  <si>
    <t>SSSP : Contract Services</t>
  </si>
  <si>
    <t>12-400-00-700400-55200</t>
  </si>
  <si>
    <t>SSSP : Travel &amp; Conference</t>
  </si>
  <si>
    <t>12-400-00-700400-55240</t>
  </si>
  <si>
    <t>SSSP : Field Trips</t>
  </si>
  <si>
    <t>12-400-00-700400-55300</t>
  </si>
  <si>
    <t>SSSP : Memberships</t>
  </si>
  <si>
    <t>12-400-00-700400-55309</t>
  </si>
  <si>
    <t>SSSP : Subscriptions</t>
  </si>
  <si>
    <t>12-400-00-700400-55610</t>
  </si>
  <si>
    <t>SSSP : Software licensing</t>
  </si>
  <si>
    <t>12-400-00-700400-55630</t>
  </si>
  <si>
    <t>12-400-00-700400-55635</t>
  </si>
  <si>
    <t>SSSP : Printing Services - Vendor</t>
  </si>
  <si>
    <t>12-400-00-700400-55800</t>
  </si>
  <si>
    <t>SSSP : Other Costs</t>
  </si>
  <si>
    <t>12-400-00-700400-55830</t>
  </si>
  <si>
    <t>SSSP : Advertising Expense</t>
  </si>
  <si>
    <t>12-400-00-700400-56300</t>
  </si>
  <si>
    <t>SSSP : Capital Books &amp; Software</t>
  </si>
  <si>
    <t>12-400-00-700400-56400</t>
  </si>
  <si>
    <t>SSSP : Cap Equip - $200 to $4,999</t>
  </si>
  <si>
    <t>12-400-00-700402-48627</t>
  </si>
  <si>
    <t>Hunger Free Support : Other General Categorical Prog</t>
  </si>
  <si>
    <t>12-400-00-700402-52360</t>
  </si>
  <si>
    <t>Hunger Free Support : Class Nonstu NonIA PT Prof Exp</t>
  </si>
  <si>
    <t>12-400-00-700402-53320</t>
  </si>
  <si>
    <t>Hunger Free Support : OASDHI (FICA) Nonteaching</t>
  </si>
  <si>
    <t>12-400-00-700402-53340</t>
  </si>
  <si>
    <t>Hunger Free Support : Medicare Nonteaching</t>
  </si>
  <si>
    <t>12-400-00-700402-53520</t>
  </si>
  <si>
    <t>Hunger Free Support : SUI Nonteaching</t>
  </si>
  <si>
    <t>12-400-00-700402-53620</t>
  </si>
  <si>
    <t>Hunger Free Support : WC Nonteaching</t>
  </si>
  <si>
    <t>12-400-00-700402-54210</t>
  </si>
  <si>
    <t>Hunger Free Support : Purchases - Food</t>
  </si>
  <si>
    <t>12-400-00-700402-54300</t>
  </si>
  <si>
    <t>Hunger Free Support : Supplies &amp; Materials</t>
  </si>
  <si>
    <t>12-400-00-700402-57600</t>
  </si>
  <si>
    <t>Hunger Free Support : Other Student Aid</t>
  </si>
  <si>
    <t>12-400-00-700403-48627</t>
  </si>
  <si>
    <t>Mental Health Support : Other General Categorical Prog</t>
  </si>
  <si>
    <t>12-400-00-700403-51310</t>
  </si>
  <si>
    <t>Mental Health Support : Academic Teaching NIC</t>
  </si>
  <si>
    <t>12-400-00-700403-53000</t>
  </si>
  <si>
    <t>Mental Health Support : Employee Benefits Control</t>
  </si>
  <si>
    <t>12-400-00-700403-54210</t>
  </si>
  <si>
    <t>Mental Health Support : Purchases - Food</t>
  </si>
  <si>
    <t>12-400-00-700403-54300</t>
  </si>
  <si>
    <t>Mental Health Support : Supplies &amp; Materials</t>
  </si>
  <si>
    <t>12-400-00-700403-55105</t>
  </si>
  <si>
    <t>Mental Health Support : Contract Services</t>
  </si>
  <si>
    <t>12-400-00-700403-55200</t>
  </si>
  <si>
    <t>Mental Health Support : Travel &amp; Conference</t>
  </si>
  <si>
    <t>12-400-00-700410-54210</t>
  </si>
  <si>
    <t>12-400-00-700601-54300</t>
  </si>
  <si>
    <t>Veteran Resource Center : Supplies &amp; Materials</t>
  </si>
  <si>
    <t>12-400-00-700601-55800</t>
  </si>
  <si>
    <t>Veteran Resource Center : Other Costs</t>
  </si>
  <si>
    <t>12-400-00-700601-57600</t>
  </si>
  <si>
    <t>Veteran Resource Center : Other Student Aid</t>
  </si>
  <si>
    <t>12-400-00-703540-48120</t>
  </si>
  <si>
    <t>SSS TRIO  : Higher Education Act</t>
  </si>
  <si>
    <t>12-400-00-703540-51200</t>
  </si>
  <si>
    <t>SSS TRIO  : Academic Nonteaching Full-time</t>
  </si>
  <si>
    <t>12-400-00-703540-51210</t>
  </si>
  <si>
    <t>SSS TRIO  : Academic Nonteaching Management</t>
  </si>
  <si>
    <t>12-400-00-703540-51411</t>
  </si>
  <si>
    <t>SSS TRIO  : Academic Nonteaching PT</t>
  </si>
  <si>
    <t>12-400-00-703540-51412</t>
  </si>
  <si>
    <t>SSS TRIO  : Acad Nonteach Special Projects</t>
  </si>
  <si>
    <t>12-400-00-703540-52105</t>
  </si>
  <si>
    <t>SSS TRIO  : Classified CSEA</t>
  </si>
  <si>
    <t>12-400-00-703540-52350</t>
  </si>
  <si>
    <t>SSS TRIO  : Classified Student Dist Non-IA PT</t>
  </si>
  <si>
    <t>12-400-00-703540-53120</t>
  </si>
  <si>
    <t>SSS TRIO  : STRS Nonteaching</t>
  </si>
  <si>
    <t>12-400-00-703540-53220</t>
  </si>
  <si>
    <t>SSS TRIO  : PERS Nonteaching</t>
  </si>
  <si>
    <t>12-400-00-703540-53320</t>
  </si>
  <si>
    <t>SSS TRIO  : OASDHI (FICA) Nonteaching</t>
  </si>
  <si>
    <t>12-400-00-703540-53340</t>
  </si>
  <si>
    <t>SSS TRIO  : Medicare Nonteaching</t>
  </si>
  <si>
    <t>12-400-00-703540-53420</t>
  </si>
  <si>
    <t>SSS TRIO  : H &amp; W Nonteaching</t>
  </si>
  <si>
    <t>12-400-00-703540-53520</t>
  </si>
  <si>
    <t>SSS TRIO  : SUI Nonteaching</t>
  </si>
  <si>
    <t>12-400-00-703540-53620</t>
  </si>
  <si>
    <t>SSS TRIO  : WC Nonteaching</t>
  </si>
  <si>
    <t>12-400-00-703540-53920</t>
  </si>
  <si>
    <t>SSS TRIO  : Other Benefit-Non Teaching</t>
  </si>
  <si>
    <t>12-400-00-703540-54300</t>
  </si>
  <si>
    <t>SSS TRIO  : Supplies &amp; Materials</t>
  </si>
  <si>
    <t>12-400-00-703540-55105</t>
  </si>
  <si>
    <t>SSS TRIO  : Contract Services</t>
  </si>
  <si>
    <t>12-400-00-703540-55125</t>
  </si>
  <si>
    <t>SSS TRIO  : Training &amp; Seminars</t>
  </si>
  <si>
    <t>12-400-00-703540-55200</t>
  </si>
  <si>
    <t>SSS TRIO  : Travel &amp; Conference</t>
  </si>
  <si>
    <t>12-400-00-703540-55630</t>
  </si>
  <si>
    <t>SSS TRIO  : Printing &amp; Duplicating - Inhouse</t>
  </si>
  <si>
    <t>12-400-00-703540-55800</t>
  </si>
  <si>
    <t>SSS TRIO  : Other Costs</t>
  </si>
  <si>
    <t>12-400-00-703540-56400</t>
  </si>
  <si>
    <t>SSS TRIO  : Cap Equip - $200 to $4,999</t>
  </si>
  <si>
    <t>12-400-00-703540-56405</t>
  </si>
  <si>
    <t>SSS TRIO  : Cap Equip - $5,000 and Over</t>
  </si>
  <si>
    <t>12-400-00-703540-57350</t>
  </si>
  <si>
    <t>SSS TRIO  : Tsf Indirect Costs-Interfund</t>
  </si>
  <si>
    <t>12-400-00-703541-48120</t>
  </si>
  <si>
    <t>SSS TRIO ESL : Higher Education Act</t>
  </si>
  <si>
    <t>12-400-00-703541-51200</t>
  </si>
  <si>
    <t>SSS TRIO ESL : Academic Nonteaching Full-time</t>
  </si>
  <si>
    <t>12-400-00-703541-51210</t>
  </si>
  <si>
    <t>SSS TRIO ESL : Academic Nonteaching Management</t>
  </si>
  <si>
    <t>12-400-00-703541-51411</t>
  </si>
  <si>
    <t>SSS TRIO ESL : Academic Nonteaching PT</t>
  </si>
  <si>
    <t>12-400-00-703541-51412</t>
  </si>
  <si>
    <t>SSS TRIO ESL : Acad Nonteach Special Projects</t>
  </si>
  <si>
    <t>12-400-00-703541-52105</t>
  </si>
  <si>
    <t>SSS TRIO ESL : Classified CSEA</t>
  </si>
  <si>
    <t>12-400-00-703541-52350</t>
  </si>
  <si>
    <t>SSS TRIO ESL : Classified Student Dist Non-IA PT</t>
  </si>
  <si>
    <t>12-400-00-703541-53120</t>
  </si>
  <si>
    <t>SSS TRIO ESL : STRS Nonteaching</t>
  </si>
  <si>
    <t>12-400-00-703541-53220</t>
  </si>
  <si>
    <t>SSS TRIO ESL : PERS Nonteaching</t>
  </si>
  <si>
    <t>12-400-00-703541-53320</t>
  </si>
  <si>
    <t>SSS TRIO ESL : OASDHI (FICA) Nonteaching</t>
  </si>
  <si>
    <t>12-400-00-703541-53340</t>
  </si>
  <si>
    <t>SSS TRIO ESL : Medicare Nonteaching</t>
  </si>
  <si>
    <t>12-400-00-703541-53420</t>
  </si>
  <si>
    <t>SSS TRIO ESL : H &amp; W Nonteaching</t>
  </si>
  <si>
    <t>12-400-00-703541-53520</t>
  </si>
  <si>
    <t>SSS TRIO ESL : SUI Nonteaching</t>
  </si>
  <si>
    <t>12-400-00-703541-53620</t>
  </si>
  <si>
    <t>SSS TRIO ESL : WC Nonteaching</t>
  </si>
  <si>
    <t>12-400-00-703541-53920</t>
  </si>
  <si>
    <t>SSS TRIO ESL : Other Benefit-Non Teaching</t>
  </si>
  <si>
    <t>12-400-00-703541-54300</t>
  </si>
  <si>
    <t>SSS TRIO ESL : Supplies &amp; Materials</t>
  </si>
  <si>
    <t>12-400-00-703541-55105</t>
  </si>
  <si>
    <t>SSS TRIO ESL : Contract Services</t>
  </si>
  <si>
    <t>12-400-00-703541-55125</t>
  </si>
  <si>
    <t>SSS TRIO ESL : Training &amp; Seminars</t>
  </si>
  <si>
    <t>12-400-00-703541-55200</t>
  </si>
  <si>
    <t>SSS TRIO ESL : Travel &amp; Conference</t>
  </si>
  <si>
    <t>12-400-00-703541-55630</t>
  </si>
  <si>
    <t>SSS TRIO ESL : Printing &amp; Duplicating - Inhouse</t>
  </si>
  <si>
    <t>12-400-00-703541-55800</t>
  </si>
  <si>
    <t>SSS TRIO ESL : Other Costs</t>
  </si>
  <si>
    <t>12-400-00-703541-56400</t>
  </si>
  <si>
    <t>SSS TRIO ESL : Cap Equip - $200 to $4,999</t>
  </si>
  <si>
    <t>12-400-00-703541-57350</t>
  </si>
  <si>
    <t>SSS TRIO ESL : Tsf Indirect Costs-Interfund</t>
  </si>
  <si>
    <t>12-400-00-703560-48120</t>
  </si>
  <si>
    <t>H S Equivalencey  HEP"  USDOE : Higher Education Act"</t>
  </si>
  <si>
    <t>12-400-00-703560-52105</t>
  </si>
  <si>
    <t>H S Equivalencey  HEP"  USDOE : Classified CSEA"</t>
  </si>
  <si>
    <t>12-400-00-703560-52130</t>
  </si>
  <si>
    <t>H S Equivalencey  HEP"  USDOE : Classified Management"</t>
  </si>
  <si>
    <t>12-400-00-703560-52360</t>
  </si>
  <si>
    <t>H S Equivalencey  HEP"  USDOE : Class Nonstu NonIA PT Prof Exp"</t>
  </si>
  <si>
    <t>12-400-00-703560-53220</t>
  </si>
  <si>
    <t>H S Equivalencey  HEP"  USDOE : PERS Nonteaching"</t>
  </si>
  <si>
    <t>12-400-00-703560-53320</t>
  </si>
  <si>
    <t>H S Equivalencey  HEP"  USDOE : OASDHI (FICA) Nonteaching"</t>
  </si>
  <si>
    <t>12-400-00-703560-53340</t>
  </si>
  <si>
    <t>H S Equivalencey  HEP"  USDOE : Medicare Nonteaching"</t>
  </si>
  <si>
    <t>12-400-00-703560-53420</t>
  </si>
  <si>
    <t>H S Equivalencey  HEP"  USDOE : H &amp; W Nonteaching"</t>
  </si>
  <si>
    <t>12-400-00-703560-53520</t>
  </si>
  <si>
    <t>H S Equivalencey  HEP"  USDOE : SUI Nonteaching"</t>
  </si>
  <si>
    <t>12-400-00-703560-53620</t>
  </si>
  <si>
    <t>H S Equivalencey  HEP"  USDOE : WC Nonteaching"</t>
  </si>
  <si>
    <t>12-400-00-703560-54210</t>
  </si>
  <si>
    <t>H S Equivalencey  HEP"  USDOE : Purchases - Food"</t>
  </si>
  <si>
    <t>12-400-00-703560-54220</t>
  </si>
  <si>
    <t>H S Equivalencey  HEP"  USDOE : Purchases - Books"</t>
  </si>
  <si>
    <t>12-400-00-703560-54300</t>
  </si>
  <si>
    <t>H S Equivalencey  HEP"  USDOE : Supplies &amp; Materials"</t>
  </si>
  <si>
    <t>12-400-00-703560-54320</t>
  </si>
  <si>
    <t>H S Equivalencey  HEP"  USDOE : Laundry"</t>
  </si>
  <si>
    <t>12-400-00-703560-55105</t>
  </si>
  <si>
    <t>H S Equivalencey  HEP"  USDOE : Contract Services"</t>
  </si>
  <si>
    <t>12-400-00-703560-55200</t>
  </si>
  <si>
    <t>H S Equivalencey  HEP"  USDOE : Travel &amp; Conference"</t>
  </si>
  <si>
    <t>12-400-00-703560-55240</t>
  </si>
  <si>
    <t>H S Equivalencey  HEP"  USDOE : Field Trips"</t>
  </si>
  <si>
    <t>12-400-00-703560-55300</t>
  </si>
  <si>
    <t>H S Equivalencey  HEP"  USDOE : Memberships"</t>
  </si>
  <si>
    <t>12-400-00-703560-55630</t>
  </si>
  <si>
    <t>H S Equivalencey  HEP"  USDOE : Printing &amp; Duplicating - Inhouse"</t>
  </si>
  <si>
    <t>12-400-00-703560-55635</t>
  </si>
  <si>
    <t>H S Equivalencey  HEP"  USDOE : Printing Services - Vendor"</t>
  </si>
  <si>
    <t>12-400-00-703560-55650</t>
  </si>
  <si>
    <t>H S Equivalencey  HEP"  USDOE : Maintenance Agreement"</t>
  </si>
  <si>
    <t>12-400-00-703560-57350</t>
  </si>
  <si>
    <t>H S Equivalencey  HEP"  USDOE : Tsf Indirect Costs-Interfund"</t>
  </si>
  <si>
    <t>12-400-00-703560-57500</t>
  </si>
  <si>
    <t>H S Equivalencey  HEP"  USDOE : Student Financial Aid Payment"</t>
  </si>
  <si>
    <t>12-400-00-703560-57600</t>
  </si>
  <si>
    <t>H S Equivalencey  HEP"  USDOE : Other Student Aid"</t>
  </si>
  <si>
    <t>12-400-00-703570-56400</t>
  </si>
  <si>
    <t>Upward Bound Alisal &amp; Alvarez : Cap Equip - $200 to $4,999</t>
  </si>
  <si>
    <t>12-400-00-703571-48120</t>
  </si>
  <si>
    <t>UB Alisal &amp; Alvarez  FY 18-19 : Higher Education Act</t>
  </si>
  <si>
    <t>12-400-00-703571-51410</t>
  </si>
  <si>
    <t>UB Alisal &amp; Alvarez  FY 18-19 : Academic Nonteaching NIC</t>
  </si>
  <si>
    <t>12-400-00-703571-52105</t>
  </si>
  <si>
    <t>UB Alisal &amp; Alvarez  FY 18-19 : Classified CSEA</t>
  </si>
  <si>
    <t>12-400-00-703571-52130</t>
  </si>
  <si>
    <t>UB Alisal &amp; Alvarez  FY 18-19 : Classified Management</t>
  </si>
  <si>
    <t>12-400-00-703571-52360</t>
  </si>
  <si>
    <t>UB Alisal &amp; Alvarez  FY 18-19 : Class Nonstu NonIA PT Prof Exp</t>
  </si>
  <si>
    <t>12-400-00-703571-52420</t>
  </si>
  <si>
    <t>UB Alisal &amp; Alvarez  FY 18-19 : Classified Student Dist Instructional Aides PT</t>
  </si>
  <si>
    <t>12-400-00-703571-53120</t>
  </si>
  <si>
    <t>UB Alisal &amp; Alvarez  FY 18-19 : STRS Nonteaching</t>
  </si>
  <si>
    <t>12-400-00-703571-53220</t>
  </si>
  <si>
    <t>UB Alisal &amp; Alvarez  FY 18-19 : PERS Nonteaching</t>
  </si>
  <si>
    <t>12-400-00-703571-53320</t>
  </si>
  <si>
    <t>UB Alisal &amp; Alvarez  FY 18-19 : OASDHI (FICA) Nonteaching</t>
  </si>
  <si>
    <t>12-400-00-703571-53340</t>
  </si>
  <si>
    <t>UB Alisal &amp; Alvarez  FY 18-19 : Medicare Nonteaching</t>
  </si>
  <si>
    <t>12-400-00-703571-53420</t>
  </si>
  <si>
    <t>UB Alisal &amp; Alvarez  FY 18-19 : H &amp; W Nonteaching</t>
  </si>
  <si>
    <t>12-400-00-703571-53520</t>
  </si>
  <si>
    <t>UB Alisal &amp; Alvarez  FY 18-19 : SUI Nonteaching</t>
  </si>
  <si>
    <t>12-400-00-703571-53610</t>
  </si>
  <si>
    <t>UB Alisal &amp; Alvarez  FY 18-19 : WC Teaching</t>
  </si>
  <si>
    <t>12-400-00-703571-53620</t>
  </si>
  <si>
    <t>UB Alisal &amp; Alvarez  FY 18-19 : WC Nonteaching</t>
  </si>
  <si>
    <t>12-400-00-703571-53920</t>
  </si>
  <si>
    <t>UB Alisal &amp; Alvarez  FY 18-19 : Other Benefit-Non Teaching</t>
  </si>
  <si>
    <t>12-400-00-703571-54210</t>
  </si>
  <si>
    <t>UB Alisal &amp; Alvarez  FY 18-19 : Purchases - Food</t>
  </si>
  <si>
    <t>12-400-00-703571-54300</t>
  </si>
  <si>
    <t>UB Alisal &amp; Alvarez  FY 18-19 : Supplies &amp; Materials</t>
  </si>
  <si>
    <t>12-400-00-703571-55105</t>
  </si>
  <si>
    <t>UB Alisal &amp; Alvarez  FY 18-19 : Contract Services</t>
  </si>
  <si>
    <t>12-400-00-703571-55200</t>
  </si>
  <si>
    <t>UB Alisal &amp; Alvarez  FY 18-19 : Travel &amp; Conference</t>
  </si>
  <si>
    <t>12-400-00-703571-55240</t>
  </si>
  <si>
    <t>UB Alisal &amp; Alvarez  FY 18-19 : Field Trips</t>
  </si>
  <si>
    <t>12-400-00-703571-55300</t>
  </si>
  <si>
    <t>UB Alisal &amp; Alvarez  FY 18-19 : Memberships</t>
  </si>
  <si>
    <t>12-400-00-703571-55630</t>
  </si>
  <si>
    <t>UB Alisal &amp; Alvarez  FY 18-19 : Printing &amp; Duplicating - Inhouse</t>
  </si>
  <si>
    <t>12-400-00-703571-55635</t>
  </si>
  <si>
    <t>UB Alisal &amp; Alvarez  FY 18-19 : Printing Services - Vendor</t>
  </si>
  <si>
    <t>12-400-00-703571-55800</t>
  </si>
  <si>
    <t>UB Alisal &amp; Alvarez  FY 18-19 : Other Costs</t>
  </si>
  <si>
    <t>12-400-00-703571-56400</t>
  </si>
  <si>
    <t>UB Alisal &amp; Alvarez  FY 18-19 : Cap Equip - $200 to $4,999</t>
  </si>
  <si>
    <t>12-400-00-703571-57350</t>
  </si>
  <si>
    <t>UB Alisal &amp; Alvarez  FY 18-19 : Tsf Indirect Costs-Interfund</t>
  </si>
  <si>
    <t>12-400-00-703571-57500</t>
  </si>
  <si>
    <t>UB Alisal &amp; Alvarez  FY 18-19 : Student Financial Aid Payment</t>
  </si>
  <si>
    <t>12-400-00-703571-57510</t>
  </si>
  <si>
    <t>UB Alisal &amp; Alvarez  FY 18-19 : Student Internship</t>
  </si>
  <si>
    <t>12-400-00-703571-57552</t>
  </si>
  <si>
    <t>UB Alisal &amp; Alvarez  FY 18-19 : Student Travel/Meals</t>
  </si>
  <si>
    <t>12-400-00-703571-57600</t>
  </si>
  <si>
    <t>UB Alisal &amp; Alvarez  FY 18-19 : Other Student Aid</t>
  </si>
  <si>
    <t>12-400-00-703580-56400</t>
  </si>
  <si>
    <t>Upward Bound North Salinas : Cap Equip - $200 to $4,999</t>
  </si>
  <si>
    <t>12-400-00-703581-48120</t>
  </si>
  <si>
    <t>UB North Salinas FY 18-19 : Higher Education Act</t>
  </si>
  <si>
    <t>12-400-00-703581-51410</t>
  </si>
  <si>
    <t>UB North Salinas FY 18-19 : Academic Nonteaching NIC</t>
  </si>
  <si>
    <t>12-400-00-703581-52105</t>
  </si>
  <si>
    <t>UB North Salinas FY 18-19 : Classified CSEA</t>
  </si>
  <si>
    <t>12-400-00-703581-52130</t>
  </si>
  <si>
    <t>UB North Salinas FY 18-19 : Classified Management</t>
  </si>
  <si>
    <t>12-400-00-703581-52360</t>
  </si>
  <si>
    <t>UB North Salinas FY 18-19 : Class Nonstu NonIA PT Prof Exp</t>
  </si>
  <si>
    <t>12-400-00-703581-52420</t>
  </si>
  <si>
    <t>UB North Salinas FY 18-19 : Classified Student Dist Instructional Aides PT</t>
  </si>
  <si>
    <t>12-400-00-703581-53120</t>
  </si>
  <si>
    <t>UB North Salinas FY 18-19 : STRS Nonteaching</t>
  </si>
  <si>
    <t>12-400-00-703581-53220</t>
  </si>
  <si>
    <t>UB North Salinas FY 18-19 : PERS Nonteaching</t>
  </si>
  <si>
    <t>12-400-00-703581-53320</t>
  </si>
  <si>
    <t>UB North Salinas FY 18-19 : OASDHI (FICA) Nonteaching</t>
  </si>
  <si>
    <t>12-400-00-703581-53340</t>
  </si>
  <si>
    <t>UB North Salinas FY 18-19 : Medicare Nonteaching</t>
  </si>
  <si>
    <t>12-400-00-703581-53420</t>
  </si>
  <si>
    <t>UB North Salinas FY 18-19 : H &amp; W Nonteaching</t>
  </si>
  <si>
    <t>12-400-00-703581-53520</t>
  </si>
  <si>
    <t>UB North Salinas FY 18-19 : SUI Nonteaching</t>
  </si>
  <si>
    <t>12-400-00-703581-53620</t>
  </si>
  <si>
    <t>UB North Salinas FY 18-19 : WC Nonteaching</t>
  </si>
  <si>
    <t>12-400-00-703581-53920</t>
  </si>
  <si>
    <t>UB North Salinas FY 18-19 : Other Benefit-Non Teaching</t>
  </si>
  <si>
    <t>12-400-00-703581-54210</t>
  </si>
  <si>
    <t>UB North Salinas FY 18-19 : Purchases - Food</t>
  </si>
  <si>
    <t>12-400-00-703581-54300</t>
  </si>
  <si>
    <t>UB North Salinas FY 18-19 : Supplies &amp; Materials</t>
  </si>
  <si>
    <t>12-400-00-703581-55105</t>
  </si>
  <si>
    <t>UB North Salinas FY 18-19 : Contract Services</t>
  </si>
  <si>
    <t>12-400-00-703581-55200</t>
  </si>
  <si>
    <t>UB North Salinas FY 18-19 : Travel &amp; Conference</t>
  </si>
  <si>
    <t>12-400-00-703581-55240</t>
  </si>
  <si>
    <t>UB North Salinas FY 18-19 : Field Trips</t>
  </si>
  <si>
    <t>12-400-00-703581-55300</t>
  </si>
  <si>
    <t>UB North Salinas FY 18-19 : Memberships</t>
  </si>
  <si>
    <t>12-400-00-703581-55630</t>
  </si>
  <si>
    <t>UB North Salinas FY 18-19 : Printing &amp; Duplicating - Inhouse</t>
  </si>
  <si>
    <t>12-400-00-703581-55635</t>
  </si>
  <si>
    <t>UB North Salinas FY 18-19 : Printing Services - Vendor</t>
  </si>
  <si>
    <t>12-400-00-703581-55800</t>
  </si>
  <si>
    <t>UB North Salinas FY 18-19 : Other Costs</t>
  </si>
  <si>
    <t>12-400-00-703581-56400</t>
  </si>
  <si>
    <t>UB North Salinas FY 18-19 : Cap Equip - $200 to $4,999</t>
  </si>
  <si>
    <t>12-400-00-703581-57350</t>
  </si>
  <si>
    <t>UB North Salinas FY 18-19 : Tsf Indirect Costs-Interfund</t>
  </si>
  <si>
    <t>12-400-00-703581-57500</t>
  </si>
  <si>
    <t>UB North Salinas FY 18-19 : Student Financial Aid Payment</t>
  </si>
  <si>
    <t>12-400-00-703581-57510</t>
  </si>
  <si>
    <t>UB North Salinas FY 18-19 : Student Internship</t>
  </si>
  <si>
    <t>12-400-00-703581-57552</t>
  </si>
  <si>
    <t>UB North Salinas FY 18-19 : Student Travel/Meals</t>
  </si>
  <si>
    <t>12-400-00-703581-57600</t>
  </si>
  <si>
    <t>UB North Salinas FY 18-19 : Other Student Aid</t>
  </si>
  <si>
    <t>12-400-00-703602-48600</t>
  </si>
  <si>
    <t>First 5 ECE Counselors : State Grants &amp; Contracts Rev</t>
  </si>
  <si>
    <t>12-400-00-703602-48690</t>
  </si>
  <si>
    <t>First 5 ECE Counselors : Other State Revenue</t>
  </si>
  <si>
    <t>12-400-00-703602-51200</t>
  </si>
  <si>
    <t>12-400-00-703602-53000</t>
  </si>
  <si>
    <t>First 5 ECE Counselors : Employee Benefits Control</t>
  </si>
  <si>
    <t>12-400-00-703602-53120</t>
  </si>
  <si>
    <t>12-400-00-703602-53340</t>
  </si>
  <si>
    <t>12-400-00-703602-53420</t>
  </si>
  <si>
    <t>12-400-00-703602-53520</t>
  </si>
  <si>
    <t>12-400-00-703602-53620</t>
  </si>
  <si>
    <t>12-400-00-703602-57350</t>
  </si>
  <si>
    <t>First 5 ECE Counselors : Tsf Indirect Costs-Interfund</t>
  </si>
  <si>
    <t>12-400-00-704700-48625</t>
  </si>
  <si>
    <t>CalWORKs : CalWORKs</t>
  </si>
  <si>
    <t>12-400-00-704700-51200</t>
  </si>
  <si>
    <t>CalWORKs : Academic Nonteaching Full-time</t>
  </si>
  <si>
    <t>12-400-00-704700-52105</t>
  </si>
  <si>
    <t>CalWORKs : Classified CSEA</t>
  </si>
  <si>
    <t>12-400-00-704700-52315</t>
  </si>
  <si>
    <t>12-400-00-704700-52350</t>
  </si>
  <si>
    <t>CalWORKs : Classified Student Dist Non-IA PT</t>
  </si>
  <si>
    <t>12-400-00-704700-53120</t>
  </si>
  <si>
    <t>CalWORKs : STRS Nonteaching</t>
  </si>
  <si>
    <t>12-400-00-704700-53220</t>
  </si>
  <si>
    <t>CalWORKs : PERS Nonteaching</t>
  </si>
  <si>
    <t>12-400-00-704700-53320</t>
  </si>
  <si>
    <t>CalWORKs : OASDHI (FICA) Nonteaching</t>
  </si>
  <si>
    <t>12-400-00-704700-53340</t>
  </si>
  <si>
    <t>CalWORKs : Medicare Nonteaching</t>
  </si>
  <si>
    <t>12-400-00-704700-53420</t>
  </si>
  <si>
    <t>CalWORKs : H &amp; W Nonteaching</t>
  </si>
  <si>
    <t>12-400-00-704700-53520</t>
  </si>
  <si>
    <t>CalWORKs : SUI Nonteaching</t>
  </si>
  <si>
    <t>12-400-00-704700-53620</t>
  </si>
  <si>
    <t>12-400-00-704700-53920</t>
  </si>
  <si>
    <t>CalWORKs : Other Benefit-Non Teaching</t>
  </si>
  <si>
    <t>12-400-00-704700-54300</t>
  </si>
  <si>
    <t>CalWORKs : Supplies &amp; Materials</t>
  </si>
  <si>
    <t>12-400-00-704700-55105</t>
  </si>
  <si>
    <t>CalWORKs : Contract Services</t>
  </si>
  <si>
    <t>12-400-00-704700-55200</t>
  </si>
  <si>
    <t>CalWORKs : Travel &amp; Conference</t>
  </si>
  <si>
    <t>12-400-00-704700-55630</t>
  </si>
  <si>
    <t>CalWORKs : Printing &amp; Duplicating - Inhouse</t>
  </si>
  <si>
    <t>12-400-00-704700-55635</t>
  </si>
  <si>
    <t>CalWORKs : Printing Services - Vendor</t>
  </si>
  <si>
    <t>12-400-00-704700-55800</t>
  </si>
  <si>
    <t>CalWORKs : Other Costs</t>
  </si>
  <si>
    <t>12-400-00-705500-48140</t>
  </si>
  <si>
    <t>TANF : TANF</t>
  </si>
  <si>
    <t>12-400-00-705500-51200</t>
  </si>
  <si>
    <t>TANF : Academic Nonteaching Full-time</t>
  </si>
  <si>
    <t>12-400-00-705500-53120</t>
  </si>
  <si>
    <t>TANF : STRS Nonteaching</t>
  </si>
  <si>
    <t>12-400-00-705500-53340</t>
  </si>
  <si>
    <t>TANF : Medicare Nonteaching</t>
  </si>
  <si>
    <t>12-400-00-705500-53420</t>
  </si>
  <si>
    <t>TANF : H &amp; W Nonteaching</t>
  </si>
  <si>
    <t>12-400-00-705500-53520</t>
  </si>
  <si>
    <t>TANF : SUI Nonteaching</t>
  </si>
  <si>
    <t>12-400-00-705500-53620</t>
  </si>
  <si>
    <t>TANF : WC Nonteaching</t>
  </si>
  <si>
    <t>12-400-00-705500-53920</t>
  </si>
  <si>
    <t>TANF : Other Benefit-Non Teaching</t>
  </si>
  <si>
    <t>12-400-00-705500-55630</t>
  </si>
  <si>
    <t>TANF : Printing &amp; Duplicating - Inhouse</t>
  </si>
  <si>
    <t>12-400-00-760087-48627</t>
  </si>
  <si>
    <t>Salinas Valley Promise : Other General Categorical Prog</t>
  </si>
  <si>
    <t>12-400-00-760087-51412</t>
  </si>
  <si>
    <t>Salinas Valley Promise : Acad Nonteach Special Projects</t>
  </si>
  <si>
    <t>12-400-00-760087-52105</t>
  </si>
  <si>
    <t>Salinas Valley Promise : Classified CSEA</t>
  </si>
  <si>
    <t>12-400-00-760087-52350</t>
  </si>
  <si>
    <t>Salinas Valley Promise : Classified Student Dist Non-IA PT</t>
  </si>
  <si>
    <t>12-400-00-760087-52360</t>
  </si>
  <si>
    <t>Salinas Valley Promise : Class Nonstu NonIA PT Prof Exp</t>
  </si>
  <si>
    <t>12-400-00-760087-53120</t>
  </si>
  <si>
    <t>Salinas Valley Promise : STRS Nonteaching</t>
  </si>
  <si>
    <t>12-400-00-760087-53220</t>
  </si>
  <si>
    <t>Salinas Valley Promise : PERS Nonteaching</t>
  </si>
  <si>
    <t>12-400-00-760087-53320</t>
  </si>
  <si>
    <t>Salinas Valley Promise : OASDHI (FICA) Nonteaching</t>
  </si>
  <si>
    <t>12-400-00-760087-53340</t>
  </si>
  <si>
    <t>Salinas Valley Promise : Medicare Nonteaching</t>
  </si>
  <si>
    <t>12-400-00-760087-53420</t>
  </si>
  <si>
    <t>Salinas Valley Promise : H &amp; W Nonteaching</t>
  </si>
  <si>
    <t>12-400-00-760087-53520</t>
  </si>
  <si>
    <t>Salinas Valley Promise : SUI Nonteaching</t>
  </si>
  <si>
    <t>12-400-00-760087-53620</t>
  </si>
  <si>
    <t>Salinas Valley Promise : WC Nonteaching</t>
  </si>
  <si>
    <t>12-400-00-760087-53920</t>
  </si>
  <si>
    <t>Salinas Valley Promise : Other Benefit-Non Teaching</t>
  </si>
  <si>
    <t>12-400-00-760087-54210</t>
  </si>
  <si>
    <t>Salinas Valley Promise : Purchases - Food</t>
  </si>
  <si>
    <t>12-400-00-760087-54300</t>
  </si>
  <si>
    <t>Salinas Valley Promise : Supplies &amp; Materials</t>
  </si>
  <si>
    <t>12-400-00-760087-55100</t>
  </si>
  <si>
    <t>Salinas Valley Promise : Personal Service Contract - 1099</t>
  </si>
  <si>
    <t>12-400-00-760087-55105</t>
  </si>
  <si>
    <t>Salinas Valley Promise : Contract Services</t>
  </si>
  <si>
    <t>12-400-00-760087-55630</t>
  </si>
  <si>
    <t>Salinas Valley Promise : Printing &amp; Duplicating - Inhouse</t>
  </si>
  <si>
    <t>12-400-00-760087-55800</t>
  </si>
  <si>
    <t>Salinas Valley Promise : Other Costs</t>
  </si>
  <si>
    <t>12-400-00-760087-56402</t>
  </si>
  <si>
    <t>Salinas Valley Promise : Capital software $200-$4,999</t>
  </si>
  <si>
    <t>12-420-00-700600-48627</t>
  </si>
  <si>
    <t>Student Financial Aid Administration* : Other General Categorical Prog</t>
  </si>
  <si>
    <t>12-420-00-700600-52105</t>
  </si>
  <si>
    <t>Student Financial Aid Administration* : Classified CSEA</t>
  </si>
  <si>
    <t>12-420-00-700600-52300</t>
  </si>
  <si>
    <t>Student Financial Aid Administration* : Classified Overtime</t>
  </si>
  <si>
    <t>12-420-00-700600-52360</t>
  </si>
  <si>
    <t>Student Financial Aid Administration* : Class Nonstu NonIA PT Prof Exp</t>
  </si>
  <si>
    <t>12-420-00-700600-53220</t>
  </si>
  <si>
    <t>Student Financial Aid Administration* : PERS Nonteaching</t>
  </si>
  <si>
    <t>12-420-00-700600-53320</t>
  </si>
  <si>
    <t>Student Financial Aid Administration* : OASDHI (FICA) Nonteaching</t>
  </si>
  <si>
    <t>12-420-00-700600-53340</t>
  </si>
  <si>
    <t>Student Financial Aid Administration* : Medicare Nonteaching</t>
  </si>
  <si>
    <t>12-420-00-700600-53420</t>
  </si>
  <si>
    <t>Student Financial Aid Administration* : H &amp; W Nonteaching</t>
  </si>
  <si>
    <t>12-420-00-700600-53520</t>
  </si>
  <si>
    <t>Student Financial Aid Administration* : SUI Nonteaching</t>
  </si>
  <si>
    <t>12-420-00-700600-53620</t>
  </si>
  <si>
    <t>Student Financial Aid Administration* : WC Nonteaching</t>
  </si>
  <si>
    <t>12-420-00-700600-55200</t>
  </si>
  <si>
    <t>Student Financial Aid Administration* : Travel &amp; Conference</t>
  </si>
  <si>
    <t>12-420-00-700600-55630</t>
  </si>
  <si>
    <t>Student Financial Aid Administration* : Printing &amp; Duplicating - Inhouse</t>
  </si>
  <si>
    <t>12-420-00-700600-55800</t>
  </si>
  <si>
    <t>Student Financial Aid Administration* : Other Costs</t>
  </si>
  <si>
    <t>12-420-00-700601-48627</t>
  </si>
  <si>
    <t>Veteran Resource Center : Other General Categorical Prog</t>
  </si>
  <si>
    <t>12-420-00-700601-54210</t>
  </si>
  <si>
    <t>Veteran Resource Center : Purchases - Food</t>
  </si>
  <si>
    <t>12-420-00-700601-54300</t>
  </si>
  <si>
    <t>12-420-00-700601-55200</t>
  </si>
  <si>
    <t>Veteran Resource Center : Travel &amp; Conference</t>
  </si>
  <si>
    <t>12-420-00-700601-55800</t>
  </si>
  <si>
    <t>12-420-00-700601-56400</t>
  </si>
  <si>
    <t>Veteran Resource Center : Cap Equip - $200 to $4,999</t>
  </si>
  <si>
    <t>12-420-00-700603-48627</t>
  </si>
  <si>
    <t>FA Technology : Other General Categorical Prog</t>
  </si>
  <si>
    <t>12-420-00-700603-55105</t>
  </si>
  <si>
    <t>FA Technology : Contract Services</t>
  </si>
  <si>
    <t>12-420-00-700603-55555</t>
  </si>
  <si>
    <t>FA Technology : Hotspot Service</t>
  </si>
  <si>
    <t>12-420-00-700603-55610</t>
  </si>
  <si>
    <t>FA Technology : Software licensing</t>
  </si>
  <si>
    <t>12-420-00-700603-55800</t>
  </si>
  <si>
    <t>FA Technology : Other Costs</t>
  </si>
  <si>
    <t>12-420-00-700603-56400</t>
  </si>
  <si>
    <t>FA Technology : Cap Equip - $200 to $4,999</t>
  </si>
  <si>
    <t>12-420-00-706500-48120</t>
  </si>
  <si>
    <t>Federal Work Study : Higher Education Act</t>
  </si>
  <si>
    <t>12-420-00-706500-52310</t>
  </si>
  <si>
    <t>Federal Work Study : Classified Student FWS Non-IA</t>
  </si>
  <si>
    <t>12-420-00-706500-57350</t>
  </si>
  <si>
    <t>Federal Work Study : Tsf Indirect Costs-Interfund</t>
  </si>
  <si>
    <t>12-420-00-708100-48101</t>
  </si>
  <si>
    <t>Natl Service Award Schlrshps : Federal grants &amp; contracts rev</t>
  </si>
  <si>
    <t>12-420-00-708100-57500</t>
  </si>
  <si>
    <t>Natl Service Award Schlrshps : Student Financial Aid Payment</t>
  </si>
  <si>
    <t>12-430-00-700500-48622</t>
  </si>
  <si>
    <t>EOPS - State : EOPS</t>
  </si>
  <si>
    <t>12-430-00-700500-51200</t>
  </si>
  <si>
    <t>EOPS - State : Academic Nonteaching Full-time</t>
  </si>
  <si>
    <t>12-430-00-700500-51411</t>
  </si>
  <si>
    <t>EOPS - State : Academic Nonteaching PT</t>
  </si>
  <si>
    <t>12-430-00-700500-52105</t>
  </si>
  <si>
    <t>EOPS - State : Classified CSEA</t>
  </si>
  <si>
    <t>12-430-00-700500-53120</t>
  </si>
  <si>
    <t>EOPS - State : STRS Nonteaching</t>
  </si>
  <si>
    <t>12-430-00-700500-53220</t>
  </si>
  <si>
    <t>12-430-00-700500-53320</t>
  </si>
  <si>
    <t>12-430-00-700500-53340</t>
  </si>
  <si>
    <t>12-430-00-700500-53420</t>
  </si>
  <si>
    <t>12-430-00-700500-53520</t>
  </si>
  <si>
    <t>12-430-00-700500-53620</t>
  </si>
  <si>
    <t>12-430-00-700500-53920</t>
  </si>
  <si>
    <t>EOPS - State : Other Benefit-Non Teaching</t>
  </si>
  <si>
    <t>12-430-00-700500-54210</t>
  </si>
  <si>
    <t>EOPS - State : Purchases - Food</t>
  </si>
  <si>
    <t>12-430-00-700500-54220</t>
  </si>
  <si>
    <t>EOPS - State : Purchases - Books</t>
  </si>
  <si>
    <t>12-430-00-700500-54300</t>
  </si>
  <si>
    <t>EOPS - State : Supplies &amp; Materials</t>
  </si>
  <si>
    <t>12-430-00-700500-55105</t>
  </si>
  <si>
    <t>EOPS - State : Contract Services</t>
  </si>
  <si>
    <t>12-430-00-700500-55200</t>
  </si>
  <si>
    <t>EOPS - State : Travel &amp; Conference</t>
  </si>
  <si>
    <t>12-430-00-700500-55300</t>
  </si>
  <si>
    <t>EOPS - State : Memberships</t>
  </si>
  <si>
    <t>12-430-00-700500-55610</t>
  </si>
  <si>
    <t>EOPS - State : Software licensing</t>
  </si>
  <si>
    <t>12-430-00-700500-55630</t>
  </si>
  <si>
    <t>12-430-00-700500-55635</t>
  </si>
  <si>
    <t>EOPS - State : Printing Services - Vendor</t>
  </si>
  <si>
    <t>12-430-00-700500-55800</t>
  </si>
  <si>
    <t>EOPS - State : Other Costs</t>
  </si>
  <si>
    <t>12-430-00-700500-56400</t>
  </si>
  <si>
    <t>EOPS - State : Cap Equip - $200 to $4,999</t>
  </si>
  <si>
    <t>12-430-00-700500-57500</t>
  </si>
  <si>
    <t>EOPS - State : Student Financial Aid Payment</t>
  </si>
  <si>
    <t>12-430-00-700800-48627</t>
  </si>
  <si>
    <t>CARE Program : Other General Categorical Prog</t>
  </si>
  <si>
    <t>12-430-00-700800-51200</t>
  </si>
  <si>
    <t>CARE Program : Academic Nonteaching Full-time</t>
  </si>
  <si>
    <t>12-430-00-700800-52105</t>
  </si>
  <si>
    <t>CARE Program : Classified CSEA</t>
  </si>
  <si>
    <t>12-430-00-700800-53120</t>
  </si>
  <si>
    <t>CARE Program : STRS Nonteaching</t>
  </si>
  <si>
    <t>12-430-00-700800-53220</t>
  </si>
  <si>
    <t>CARE Program : PERS Nonteaching</t>
  </si>
  <si>
    <t>12-430-00-700800-53320</t>
  </si>
  <si>
    <t>CARE Program : OASDHI (FICA) Nonteaching</t>
  </si>
  <si>
    <t>12-430-00-700800-53340</t>
  </si>
  <si>
    <t>CARE Program : Medicare Nonteaching</t>
  </si>
  <si>
    <t>12-430-00-700800-53420</t>
  </si>
  <si>
    <t>CARE Program : H &amp; W Nonteaching</t>
  </si>
  <si>
    <t>12-430-00-700800-53520</t>
  </si>
  <si>
    <t>CARE Program : SUI Nonteaching</t>
  </si>
  <si>
    <t>12-430-00-700800-53620</t>
  </si>
  <si>
    <t>CARE Program : WC Nonteaching</t>
  </si>
  <si>
    <t>12-430-00-700800-53920</t>
  </si>
  <si>
    <t>CARE Program : Other Benefit-Non Teaching</t>
  </si>
  <si>
    <t>12-430-00-700800-54210</t>
  </si>
  <si>
    <t>CARE Program : Purchases - Food</t>
  </si>
  <si>
    <t>12-430-00-700800-54220</t>
  </si>
  <si>
    <t>CARE Program : Purchases - Books</t>
  </si>
  <si>
    <t>12-430-00-700800-54300</t>
  </si>
  <si>
    <t>CARE Program : Supplies &amp; Materials</t>
  </si>
  <si>
    <t>12-430-00-700800-55105</t>
  </si>
  <si>
    <t>CARE Program : Contract Services</t>
  </si>
  <si>
    <t>12-430-00-700800-55300</t>
  </si>
  <si>
    <t>CARE Program : Memberships</t>
  </si>
  <si>
    <t>12-430-00-700800-55610</t>
  </si>
  <si>
    <t>CARE Program : Software licensing</t>
  </si>
  <si>
    <t>12-430-00-700800-55630</t>
  </si>
  <si>
    <t>CARE Program : Printing &amp; Duplicating - Inhouse</t>
  </si>
  <si>
    <t>12-430-00-700800-55650</t>
  </si>
  <si>
    <t>CARE Program : Maintenance Agreement</t>
  </si>
  <si>
    <t>12-430-00-700800-55800</t>
  </si>
  <si>
    <t>CARE Program : Other Costs</t>
  </si>
  <si>
    <t>12-430-00-700800-56400</t>
  </si>
  <si>
    <t>CARE Program : Cap Equip - $200 to $4,999</t>
  </si>
  <si>
    <t>12-430-00-700800-57500</t>
  </si>
  <si>
    <t>CARE Program : Student Financial Aid Payment</t>
  </si>
  <si>
    <t>12-440-00-701020-48623</t>
  </si>
  <si>
    <t>DSPS : DSPS</t>
  </si>
  <si>
    <t>12-440-00-701020-51200</t>
  </si>
  <si>
    <t>DSPS : Academic Nonteaching Full-time</t>
  </si>
  <si>
    <t>12-440-00-701020-51210</t>
  </si>
  <si>
    <t>DSPS : Academic Nonteaching Management</t>
  </si>
  <si>
    <t>12-440-00-701020-51310</t>
  </si>
  <si>
    <t>DSPS : Academic Teaching NIC</t>
  </si>
  <si>
    <t>12-440-00-701020-51311</t>
  </si>
  <si>
    <t>DSPS : Academic Teaching PT</t>
  </si>
  <si>
    <t>12-440-00-701020-51410</t>
  </si>
  <si>
    <t>DSPS : Academic Nonteaching NIC</t>
  </si>
  <si>
    <t>12-440-00-701020-51411</t>
  </si>
  <si>
    <t>DSPS : Academic Nonteaching PT</t>
  </si>
  <si>
    <t>12-440-00-701020-52105</t>
  </si>
  <si>
    <t>DSPS : Classified CSEA</t>
  </si>
  <si>
    <t>12-440-00-701020-52300</t>
  </si>
  <si>
    <t>DSPS : Classified Overtime</t>
  </si>
  <si>
    <t>12-440-00-701020-52400</t>
  </si>
  <si>
    <t>DSPS : Classified Nonstudent Instructional Aides PT</t>
  </si>
  <si>
    <t>12-440-00-701020-52420</t>
  </si>
  <si>
    <t>DSPS : Classified Student Dist Instructional Aides PT</t>
  </si>
  <si>
    <t>12-440-00-701020-53110</t>
  </si>
  <si>
    <t>DSPS : STRS Teaching</t>
  </si>
  <si>
    <t>12-440-00-701020-53120</t>
  </si>
  <si>
    <t>DSPS : STRS Nonteaching</t>
  </si>
  <si>
    <t>12-440-00-701020-53210</t>
  </si>
  <si>
    <t>DSPS : PERS Teaching</t>
  </si>
  <si>
    <t>12-440-00-701020-53220</t>
  </si>
  <si>
    <t>DSPS : PERS Nonteaching</t>
  </si>
  <si>
    <t>12-440-00-701020-53310</t>
  </si>
  <si>
    <t>DSPS : OASDHI (FICA) Teaching</t>
  </si>
  <si>
    <t>12-440-00-701020-53320</t>
  </si>
  <si>
    <t>DSPS : OASDHI (FICA) Nonteaching</t>
  </si>
  <si>
    <t>12-440-00-701020-53330</t>
  </si>
  <si>
    <t>DSPS : Medicare Teaching</t>
  </si>
  <si>
    <t>12-440-00-701020-53340</t>
  </si>
  <si>
    <t>DSPS : Medicare Nonteaching</t>
  </si>
  <si>
    <t>12-440-00-701020-53410</t>
  </si>
  <si>
    <t>DSPS : H &amp; W Teaching</t>
  </si>
  <si>
    <t>12-440-00-701020-53420</t>
  </si>
  <si>
    <t>DSPS : H &amp; W Nonteaching</t>
  </si>
  <si>
    <t>12-440-00-701020-53510</t>
  </si>
  <si>
    <t>DSPS : SUI Teaching</t>
  </si>
  <si>
    <t>12-440-00-701020-53520</t>
  </si>
  <si>
    <t>DSPS : SUI Nonteaching</t>
  </si>
  <si>
    <t>12-440-00-701020-53610</t>
  </si>
  <si>
    <t>DSPS : WC Teaching</t>
  </si>
  <si>
    <t>12-440-00-701020-53620</t>
  </si>
  <si>
    <t>DSPS : WC Nonteaching</t>
  </si>
  <si>
    <t>12-440-00-701020-53920</t>
  </si>
  <si>
    <t>DSPS : Other Benefit-Non Teaching</t>
  </si>
  <si>
    <t>12-440-00-701020-54300</t>
  </si>
  <si>
    <t>DSPS : Supplies &amp; Materials</t>
  </si>
  <si>
    <t>12-440-00-701020-55100</t>
  </si>
  <si>
    <t>DSPS : Personal Service Contract - 1099</t>
  </si>
  <si>
    <t>12-440-00-701020-55105</t>
  </si>
  <si>
    <t>DSPS : Contract Services</t>
  </si>
  <si>
    <t>12-440-00-701020-55200</t>
  </si>
  <si>
    <t>DSPS : Travel &amp; Conference</t>
  </si>
  <si>
    <t>12-440-00-701020-55300</t>
  </si>
  <si>
    <t>DSPS : Memberships</t>
  </si>
  <si>
    <t>12-440-00-701020-55309</t>
  </si>
  <si>
    <t>DSPS : Subscriptions</t>
  </si>
  <si>
    <t>12-440-00-701020-55630</t>
  </si>
  <si>
    <t>DSPS : Printing &amp; Duplicating - Inhouse</t>
  </si>
  <si>
    <t>12-440-00-701020-55800</t>
  </si>
  <si>
    <t>DSPS : Other Costs</t>
  </si>
  <si>
    <t>12-440-00-701020-56400</t>
  </si>
  <si>
    <t>DSPS : Cap Equip - $200 to $4,999</t>
  </si>
  <si>
    <t>12-440-00-701021-48623</t>
  </si>
  <si>
    <t>DHH - DSPS : DSPS</t>
  </si>
  <si>
    <t>12-440-00-701021-55800</t>
  </si>
  <si>
    <t>DHH - DSPS : Other Costs</t>
  </si>
  <si>
    <t>12-440-00-701022-48623</t>
  </si>
  <si>
    <t>A2P&amp;EI - DSPS : DSPS</t>
  </si>
  <si>
    <t>12-440-00-701022-55800</t>
  </si>
  <si>
    <t>A2P&amp;EI - DSPS : Other Costs</t>
  </si>
  <si>
    <t>12-500-00-710100-48627</t>
  </si>
  <si>
    <t>Class. Prof. Dev. : Other General Categorical Prog</t>
  </si>
  <si>
    <t>12-500-00-710100-55100</t>
  </si>
  <si>
    <t>Class. Prof. Dev. : Personal Service Contract - 1099</t>
  </si>
  <si>
    <t>12-500-00-710100-55125</t>
  </si>
  <si>
    <t>Class. Prof. Dev. : Training &amp; Seminars</t>
  </si>
  <si>
    <t>12-500-00-710100-55200</t>
  </si>
  <si>
    <t>Class. Prof. Dev. : Travel &amp; Conference</t>
  </si>
  <si>
    <t>12-500-00-710500-48627</t>
  </si>
  <si>
    <t>Equal Employment Opportunity : Other General Categorical Prog</t>
  </si>
  <si>
    <t>12-500-00-710500-55200</t>
  </si>
  <si>
    <t>Equal Employment Opportunity : Travel &amp; Conference</t>
  </si>
  <si>
    <t>12-500-00-710500-55300</t>
  </si>
  <si>
    <t>Equal Employment Opportunity : Memberships</t>
  </si>
  <si>
    <t>12-500-00-710500-55830</t>
  </si>
  <si>
    <t>Equal Employment Opportunity : Advertising Expense</t>
  </si>
  <si>
    <t>12-600-00-679000-54300</t>
  </si>
  <si>
    <t>12-600-00-679000-55610</t>
  </si>
  <si>
    <t>12-600-00-679020-54300</t>
  </si>
  <si>
    <t>13-000-00-000000-48891</t>
  </si>
  <si>
    <t>General Use - Nonprogram : Parking Citations</t>
  </si>
  <si>
    <t>13-000-00-695000-48881</t>
  </si>
  <si>
    <t>Parking Services : Parking Fees - Restricted</t>
  </si>
  <si>
    <t>13-210-00-695000-48881</t>
  </si>
  <si>
    <t>13-210-00-695000-52350</t>
  </si>
  <si>
    <t>Parking Services : Classified Student Dist Non-IA PT</t>
  </si>
  <si>
    <t>13-210-00-695000-53620</t>
  </si>
  <si>
    <t>Parking Services : WC Nonteaching</t>
  </si>
  <si>
    <t>13-210-00-695000-55105</t>
  </si>
  <si>
    <t>13-210-00-695000-55650</t>
  </si>
  <si>
    <t>Parking Services : Maintenance Agreement</t>
  </si>
  <si>
    <t>13-210-00-695000-55861</t>
  </si>
  <si>
    <t xml:space="preserve">Parking Services : Credit Card Fees </t>
  </si>
  <si>
    <t>13-210-00-702810-48682</t>
  </si>
  <si>
    <t>Lottery - Prop 20 : Lottery - Prop 20</t>
  </si>
  <si>
    <t>13-210-00-702810-54300</t>
  </si>
  <si>
    <t>Lottery - Prop 20 : Supplies &amp; Materials</t>
  </si>
  <si>
    <t>13-210-00-702810-55105</t>
  </si>
  <si>
    <t>Lottery - Prop 20 : Contract Services</t>
  </si>
  <si>
    <t>13-210-00-702810-56341</t>
  </si>
  <si>
    <t>Lottery - Prop 20 : On-line Database Services</t>
  </si>
  <si>
    <t>13-210-00-702810-56400</t>
  </si>
  <si>
    <t>Lottery - Prop 20 : Cap Equip - $200 to $4,999</t>
  </si>
  <si>
    <t>31-240-00-000000-48850</t>
  </si>
  <si>
    <t>General Use - Nonprogram : Rents &amp; Leases</t>
  </si>
  <si>
    <t>31-240-00-000000-48860</t>
  </si>
  <si>
    <t>31-240-00-000000-57300</t>
  </si>
  <si>
    <t>General Use - Nonprogram : Interfund Transfer</t>
  </si>
  <si>
    <t>33-300-00-000000-48600</t>
  </si>
  <si>
    <t>General Use - Nonprogram : State Grants &amp; Contracts Rev</t>
  </si>
  <si>
    <t>33-300-00-000000-48627</t>
  </si>
  <si>
    <t>General Use - Nonprogram : Other General Categorical Prog</t>
  </si>
  <si>
    <t>33-300-00-000000-48860</t>
  </si>
  <si>
    <t>33-300-00-000000-51210</t>
  </si>
  <si>
    <t>General Use - Nonprogram : Academic Nonteaching Management</t>
  </si>
  <si>
    <t>33-300-00-000000-52105</t>
  </si>
  <si>
    <t>General Use - Nonprogram : Classified CSEA</t>
  </si>
  <si>
    <t>33-300-00-000000-52350</t>
  </si>
  <si>
    <t>General Use - Nonprogram : Classified Student Dist Non-IA PT</t>
  </si>
  <si>
    <t>33-300-00-000000-52360</t>
  </si>
  <si>
    <t>General Use - Nonprogram : Class Nonstu NonIA PT Prof Exp</t>
  </si>
  <si>
    <t>33-300-00-000000-53120</t>
  </si>
  <si>
    <t>General Use - Nonprogram : STRS Nonteaching</t>
  </si>
  <si>
    <t>33-300-00-000000-53220</t>
  </si>
  <si>
    <t>General Use - Nonprogram : PERS Nonteaching</t>
  </si>
  <si>
    <t>33-300-00-000000-53320</t>
  </si>
  <si>
    <t>General Use - Nonprogram : OASDHI (FICA) Nonteaching</t>
  </si>
  <si>
    <t>33-300-00-000000-53340</t>
  </si>
  <si>
    <t>General Use - Nonprogram : Medicare Nonteaching</t>
  </si>
  <si>
    <t>33-300-00-000000-53420</t>
  </si>
  <si>
    <t>General Use - Nonprogram : H &amp; W Nonteaching</t>
  </si>
  <si>
    <t>33-300-00-000000-53520</t>
  </si>
  <si>
    <t>General Use - Nonprogram : SUI Nonteaching</t>
  </si>
  <si>
    <t>33-300-00-000000-53620</t>
  </si>
  <si>
    <t>General Use - Nonprogram : WC Nonteaching</t>
  </si>
  <si>
    <t>33-300-00-000000-54210</t>
  </si>
  <si>
    <t>General Use - Nonprogram : Purchases - Food</t>
  </si>
  <si>
    <t>33-300-00-000000-54300</t>
  </si>
  <si>
    <t>General Use - Nonprogram : Supplies &amp; Materials</t>
  </si>
  <si>
    <t>33-300-00-000000-55200</t>
  </si>
  <si>
    <t>General Use - Nonprogram : Travel &amp; Conference</t>
  </si>
  <si>
    <t>33-300-00-000000-55240</t>
  </si>
  <si>
    <t>General Use - Nonprogram : Field Trips</t>
  </si>
  <si>
    <t>33-300-00-000000-55300</t>
  </si>
  <si>
    <t>General Use - Nonprogram : Memberships</t>
  </si>
  <si>
    <t>33-300-00-000000-55630</t>
  </si>
  <si>
    <t>General Use - Nonprogram : Printing &amp; Duplicating - Inhouse</t>
  </si>
  <si>
    <t>33-300-00-000000-55635</t>
  </si>
  <si>
    <t>General Use - Nonprogram : Printing Services - Vendor</t>
  </si>
  <si>
    <t>33-300-00-000000-55650</t>
  </si>
  <si>
    <t>General Use - Nonprogram : Maintenance Agreement</t>
  </si>
  <si>
    <t>33-300-00-000000-55651</t>
  </si>
  <si>
    <t>General Use - Nonprogram : Equipment Repairs</t>
  </si>
  <si>
    <t>33-300-00-000000-55807</t>
  </si>
  <si>
    <t>General Use - Nonprogram : License Fees</t>
  </si>
  <si>
    <t>33-300-00-000000-56400</t>
  </si>
  <si>
    <t>General Use - Nonprogram : Cap Equip - $200 to $4,999</t>
  </si>
  <si>
    <t>33-300-00-000001-52105</t>
  </si>
  <si>
    <t>CDC Fund 33 : Classified CSEA</t>
  </si>
  <si>
    <t>33-300-00-000001-53220</t>
  </si>
  <si>
    <t>CDC Fund 33 : PERS Nonteaching</t>
  </si>
  <si>
    <t>33-300-00-000001-53320</t>
  </si>
  <si>
    <t>CDC Fund 33 : OASDHI (FICA) Nonteaching</t>
  </si>
  <si>
    <t>33-300-00-000001-53340</t>
  </si>
  <si>
    <t>CDC Fund 33 : Medicare Nonteaching</t>
  </si>
  <si>
    <t>33-300-00-000001-53420</t>
  </si>
  <si>
    <t>CDC Fund 33 : H &amp; W Nonteaching</t>
  </si>
  <si>
    <t>33-300-00-000001-53520</t>
  </si>
  <si>
    <t>CDC Fund 33 : SUI Nonteaching</t>
  </si>
  <si>
    <t>33-300-00-000001-53620</t>
  </si>
  <si>
    <t>CDC Fund 33 : WC Nonteaching</t>
  </si>
  <si>
    <t>33-300-00-000001-55630</t>
  </si>
  <si>
    <t>CDC Fund 33 : Printing &amp; Duplicating - Inhouse</t>
  </si>
  <si>
    <t>33-300-00-692001-48690</t>
  </si>
  <si>
    <t>CDC - AB212 : Other State Revenue</t>
  </si>
  <si>
    <t>33-300-00-692001-54300</t>
  </si>
  <si>
    <t>CDC - AB212 : Supplies &amp; Materials</t>
  </si>
  <si>
    <t>33-300-00-692001-55100</t>
  </si>
  <si>
    <t>CDC - AB212 : Personal Service Contract - 1099</t>
  </si>
  <si>
    <t>33-300-00-760004-48890</t>
  </si>
  <si>
    <t xml:space="preserve">Child Enrollment Fees : Other Local Income </t>
  </si>
  <si>
    <t>33-300-00-760004-55240</t>
  </si>
  <si>
    <t>Child Enrollment Fees : Field Trips</t>
  </si>
  <si>
    <t>33-300-00-760023-48690</t>
  </si>
  <si>
    <t>CDC - Quality Matters : Other State Revenue</t>
  </si>
  <si>
    <t>33-300-00-760023-54300</t>
  </si>
  <si>
    <t>CDC - Quality Matters : Supplies &amp; Materials</t>
  </si>
  <si>
    <t>41-200-00-000000-48816</t>
  </si>
  <si>
    <t>General Use - Nonprogram : Property Tax-RDA/RPTTF</t>
  </si>
  <si>
    <t>41-200-00-000000-48818</t>
  </si>
  <si>
    <t>41-200-00-000000-48860</t>
  </si>
  <si>
    <t>41-200-00-672020-55663</t>
  </si>
  <si>
    <t>41-200-00-672020-55800</t>
  </si>
  <si>
    <t>41-200-00-672020-56400</t>
  </si>
  <si>
    <t>Fiscal Operations : Cap Equip - $200 to $4,999</t>
  </si>
  <si>
    <t>41-210-00-672020-48890</t>
  </si>
  <si>
    <t xml:space="preserve">Fiscal Operations : Other Local Income </t>
  </si>
  <si>
    <t>41-210-00-672020-55105</t>
  </si>
  <si>
    <t>41-210-00-672020-55600</t>
  </si>
  <si>
    <t>41-220-00-651000-55105</t>
  </si>
  <si>
    <t>Building Maintenance &amp; Repairs : Contract Services</t>
  </si>
  <si>
    <t>41-220-00-659010-48890</t>
  </si>
  <si>
    <t xml:space="preserve">Maintenance &amp; Operations : Other Local Income </t>
  </si>
  <si>
    <t>41-220-00-659010-55105</t>
  </si>
  <si>
    <t>41-220-00-659010-56100</t>
  </si>
  <si>
    <t>Maintenance &amp; Operations : Site Improvements</t>
  </si>
  <si>
    <t>41-220-02-651000-55105</t>
  </si>
  <si>
    <t>41-304-00-190200-56400</t>
  </si>
  <si>
    <t>Physics : Cap Equip - $200 to $4,999</t>
  </si>
  <si>
    <t>41-600-00-678000-55105</t>
  </si>
  <si>
    <t>41-600-00-678000-56400</t>
  </si>
  <si>
    <t>41-600-00-678000-56405</t>
  </si>
  <si>
    <t>Management Information Systems : Cap Equip - $5,000 and Over</t>
  </si>
  <si>
    <t>43-220-00-745003-56202</t>
  </si>
  <si>
    <t>LRC - Construction : Construction Costs</t>
  </si>
  <si>
    <t>44-000-00-000000-55105</t>
  </si>
  <si>
    <t>General Use - Nonprogram : Contract Services</t>
  </si>
  <si>
    <t>44-200-00-000000-48850</t>
  </si>
  <si>
    <t>44-200-00-000000-48860</t>
  </si>
  <si>
    <t>44-200-00-000000-55105</t>
  </si>
  <si>
    <t>44-200-00-000000-55540</t>
  </si>
  <si>
    <t>General Use - Nonprogram : Gas Utility</t>
  </si>
  <si>
    <t>44-200-00-000000-55560</t>
  </si>
  <si>
    <t>General Use - Nonprogram : Water Service</t>
  </si>
  <si>
    <t>44-200-00-000000-55570</t>
  </si>
  <si>
    <t>General Use - Nonprogram : Sewer Service</t>
  </si>
  <si>
    <t>44-200-00-000000-55580</t>
  </si>
  <si>
    <t>General Use - Nonprogram : Trash Collection Service</t>
  </si>
  <si>
    <t>44-200-00-000000-55600</t>
  </si>
  <si>
    <t>44-200-00-000000-55642</t>
  </si>
  <si>
    <t>General Use - Nonprogram : Residential Repairs (Other)</t>
  </si>
  <si>
    <t>44-200-00-000000-55650</t>
  </si>
  <si>
    <t>44-200-00-000000-55651</t>
  </si>
  <si>
    <t>44-200-00-000000-55800</t>
  </si>
  <si>
    <t>General Use - Nonprogram : Other Costs</t>
  </si>
  <si>
    <t>44-200-00-000000-56211</t>
  </si>
  <si>
    <t>General Use - Nonprogram : Arch+Engr Fees Working Drawing</t>
  </si>
  <si>
    <t>44-200-00-000000-56400</t>
  </si>
  <si>
    <t>44-200-01-000000-55800</t>
  </si>
  <si>
    <t>44-200-05-000000-55800</t>
  </si>
  <si>
    <t>44-220-00-000000-55105</t>
  </si>
  <si>
    <t>44-220-00-000000-55800</t>
  </si>
  <si>
    <t>44-220-00-000000-56203</t>
  </si>
  <si>
    <t>General Use - Nonprogram : Inspection</t>
  </si>
  <si>
    <t>44-220-00-000000-56225</t>
  </si>
  <si>
    <t>General Use - Nonprogram : New Construction</t>
  </si>
  <si>
    <t>44-220-00-000000-56400</t>
  </si>
  <si>
    <t>44-220-00-000000-56405</t>
  </si>
  <si>
    <t>General Use - Nonprogram : Cap Equip - $5,000 and Over</t>
  </si>
  <si>
    <t>44-340-00-000000-56224</t>
  </si>
  <si>
    <t>General Use - Nonprogram : Reconstruction</t>
  </si>
  <si>
    <t>46-000-00-000000-48860</t>
  </si>
  <si>
    <t>46-000-00-000000-56400</t>
  </si>
  <si>
    <t>46-000-00-801000-52105</t>
  </si>
  <si>
    <t>Measure T Administration : Classified CSEA</t>
  </si>
  <si>
    <t>46-000-00-801000-52130</t>
  </si>
  <si>
    <t>Measure T Administration : Classified Management</t>
  </si>
  <si>
    <t>46-000-00-801000-53000</t>
  </si>
  <si>
    <t>Measure T Administration : Employee Benefits Control</t>
  </si>
  <si>
    <t>46-000-00-801000-53220</t>
  </si>
  <si>
    <t>Measure T Administration : PERS Nonteaching</t>
  </si>
  <si>
    <t>46-000-00-801000-53320</t>
  </si>
  <si>
    <t>Measure T Administration : OASDHI (FICA) Nonteaching</t>
  </si>
  <si>
    <t>46-000-00-801000-53340</t>
  </si>
  <si>
    <t>Measure T Administration : Medicare Nonteaching</t>
  </si>
  <si>
    <t>46-000-00-801000-53420</t>
  </si>
  <si>
    <t>Measure T Administration : H &amp; W Nonteaching</t>
  </si>
  <si>
    <t>46-000-00-801000-53520</t>
  </si>
  <si>
    <t>Measure T Administration : SUI Nonteaching</t>
  </si>
  <si>
    <t>46-000-00-801000-53620</t>
  </si>
  <si>
    <t>Measure T Administration : WC Nonteaching</t>
  </si>
  <si>
    <t>46-000-00-801000-55630</t>
  </si>
  <si>
    <t>Measure T Administration : Printing &amp; Duplicating - Inhouse</t>
  </si>
  <si>
    <t>46-000-00-801000-55700</t>
  </si>
  <si>
    <t>Measure T Administration : Legal &amp; Audit Expenses</t>
  </si>
  <si>
    <t>46-000-00-801000-55710</t>
  </si>
  <si>
    <t>Measure T Administration : Elections</t>
  </si>
  <si>
    <t>46-001-00-880000-54300</t>
  </si>
  <si>
    <t>Measure T-Proj Adm : Supplies &amp; Materials</t>
  </si>
  <si>
    <t>46-001-00-880000-55200</t>
  </si>
  <si>
    <t>Measure T-Proj Adm : Travel &amp; Conference</t>
  </si>
  <si>
    <t>46-001-00-880000-55635</t>
  </si>
  <si>
    <t>Measure T-Proj Adm : Printing Services - Vendor</t>
  </si>
  <si>
    <t>46-001-00-880000-55700</t>
  </si>
  <si>
    <t>Measure T-Proj Adm : Legal &amp; Audit Expenses</t>
  </si>
  <si>
    <t>46-001-00-880100-55200</t>
  </si>
  <si>
    <t>Soledad Education Center : Travel &amp; Conference</t>
  </si>
  <si>
    <t>46-001-00-880200-56203</t>
  </si>
  <si>
    <t>HC Center for Nursing &amp; Health : Inspection</t>
  </si>
  <si>
    <t>46-001-00-880200-56210</t>
  </si>
  <si>
    <t>HC Center for Nursing &amp; Health : Arch+Engr Fees Prelim Plans</t>
  </si>
  <si>
    <t>46-001-00-880200-56220</t>
  </si>
  <si>
    <t>HC Center for Nursing &amp; Health : Utility Service</t>
  </si>
  <si>
    <t>46-001-00-880200-56222</t>
  </si>
  <si>
    <t>HC Center for Nursing &amp; Health : Site Development General</t>
  </si>
  <si>
    <t>46-001-00-880200-56223</t>
  </si>
  <si>
    <t>HC Center for Nursing &amp; Health : Other Site Development</t>
  </si>
  <si>
    <t>46-001-00-880200-56225</t>
  </si>
  <si>
    <t>HC Center for Nursing &amp; Health : New Construction</t>
  </si>
  <si>
    <t>46-001-00-880200-56250</t>
  </si>
  <si>
    <t>HC Center for Nursing &amp; Health : Tests and Inspections</t>
  </si>
  <si>
    <t>46-001-00-880300-56215</t>
  </si>
  <si>
    <t>NM Cty Education Center : Preliminary Tests</t>
  </si>
  <si>
    <t>46-001-00-880400-56203</t>
  </si>
  <si>
    <t>MC Hartnell Center-Bldg D &amp; E : Inspection</t>
  </si>
  <si>
    <t>46-001-00-880400-56210</t>
  </si>
  <si>
    <t>MC Hartnell Center-Bldg D &amp; E : Arch+Engr Fees Prelim Plans</t>
  </si>
  <si>
    <t>46-001-00-880400-56217</t>
  </si>
  <si>
    <t>MC Hartnell Center-Bldg D &amp; E : Permits and Fees</t>
  </si>
  <si>
    <t>46-001-00-880400-56218</t>
  </si>
  <si>
    <t>MC Hartnell Center-Bldg D &amp; E : Fixtures, Furniture &amp; Equip.</t>
  </si>
  <si>
    <t>46-001-00-880400-56223</t>
  </si>
  <si>
    <t>MC Hartnell Center-Bldg D &amp; E : Other Site Development</t>
  </si>
  <si>
    <t>46-001-00-880400-56224</t>
  </si>
  <si>
    <t>MC Hartnell Center-Bldg D &amp; E : Reconstruction</t>
  </si>
  <si>
    <t>46-001-00-880400-56250</t>
  </si>
  <si>
    <t>MC Hartnell Center-Bldg D &amp; E : Tests and Inspections</t>
  </si>
  <si>
    <t>46-001-00-881100-56226</t>
  </si>
  <si>
    <t>IT/Safety/Energy Efficiency Pr : Other Costs</t>
  </si>
  <si>
    <t>46-001-02-880500-56202</t>
  </si>
  <si>
    <t>King City Education Center : Construction Costs</t>
  </si>
  <si>
    <t>46-001-02-880500-56203</t>
  </si>
  <si>
    <t>King City Education Center : Inspection</t>
  </si>
  <si>
    <t>46-001-02-880500-56210</t>
  </si>
  <si>
    <t>King City Education Center : Arch+Engr Fees Prelim Plans</t>
  </si>
  <si>
    <t>46-001-02-880500-56218</t>
  </si>
  <si>
    <t>King City Education Center : Fixtures, Furniture &amp; Equip.</t>
  </si>
  <si>
    <t>46-001-02-880500-56225</t>
  </si>
  <si>
    <t>King City Education Center : New Construction</t>
  </si>
  <si>
    <t>46-001-02-880500-56250</t>
  </si>
  <si>
    <t>King City Education Center : Tests and Inspections</t>
  </si>
  <si>
    <t>46-001-04-880100-56203</t>
  </si>
  <si>
    <t>Soledad Education Center : Inspection</t>
  </si>
  <si>
    <t>46-001-04-880100-56210</t>
  </si>
  <si>
    <t>Soledad Education Center : Arch+Engr Fees Prelim Plans</t>
  </si>
  <si>
    <t>46-001-04-880100-56217</t>
  </si>
  <si>
    <t>Soledad Education Center : Permits and Fees</t>
  </si>
  <si>
    <t>46-001-04-880100-56218</t>
  </si>
  <si>
    <t>Soledad Education Center : Fixtures, Furniture &amp; Equip.</t>
  </si>
  <si>
    <t>46-001-04-880100-56220</t>
  </si>
  <si>
    <t>Soledad Education Center : Utility Service</t>
  </si>
  <si>
    <t>46-001-04-880100-56225</t>
  </si>
  <si>
    <t>Soledad Education Center : New Construction</t>
  </si>
  <si>
    <t>46-001-04-880100-56250</t>
  </si>
  <si>
    <t>Soledad Education Center : Tests and Inspections</t>
  </si>
  <si>
    <t>46-001-05-880300-56203</t>
  </si>
  <si>
    <t>NM Cty Education Center : Inspection</t>
  </si>
  <si>
    <t>46-001-05-880300-56211</t>
  </si>
  <si>
    <t>NM Cty Education Center : Arch+Engr Fees Working Drawing</t>
  </si>
  <si>
    <t>46-001-05-880300-56215</t>
  </si>
  <si>
    <t>46-001-05-880300-56216</t>
  </si>
  <si>
    <t>NM Cty Education Center : Other Costs</t>
  </si>
  <si>
    <t>46-001-05-880300-56217</t>
  </si>
  <si>
    <t>NM Cty Education Center : Permits and Fees</t>
  </si>
  <si>
    <t>46-001-05-880300-56220</t>
  </si>
  <si>
    <t>NM Cty Education Center : Utility Service</t>
  </si>
  <si>
    <t>46-001-05-880300-56223</t>
  </si>
  <si>
    <t>NM Cty Education Center : Other Site Development</t>
  </si>
  <si>
    <t>46-001-05-880300-56225</t>
  </si>
  <si>
    <t>NM Cty Education Center : New Construction</t>
  </si>
  <si>
    <t>46-001-05-880300-56250</t>
  </si>
  <si>
    <t>NM Cty Education Center : Tests and Inspections</t>
  </si>
  <si>
    <t>46-002-00-000000-48940</t>
  </si>
  <si>
    <t>General Use - Nonprogram : Sale of Bonds</t>
  </si>
  <si>
    <t>46-002-00-880250-56203</t>
  </si>
  <si>
    <t>Bldg. B 2nd Floor Reno : Inspection</t>
  </si>
  <si>
    <t>46-002-00-880250-56211</t>
  </si>
  <si>
    <t>Bldg. B 2nd Floor Reno : Arch+Engr Fees Working Drawing</t>
  </si>
  <si>
    <t>46-002-00-880250-56224</t>
  </si>
  <si>
    <t>Bldg. B 2nd Floor Reno : Reconstruction</t>
  </si>
  <si>
    <t>46-002-00-880350-56200</t>
  </si>
  <si>
    <t>Building C reroof : Building Improvements</t>
  </si>
  <si>
    <t>46-002-00-880450-56216</t>
  </si>
  <si>
    <t>MC Disability Access Eval. : Other Costs</t>
  </si>
  <si>
    <t>46-002-00-880450-56250</t>
  </si>
  <si>
    <t>MC Disability Access Eval. : Tests and Inspections</t>
  </si>
  <si>
    <t>46-002-00-880700-56224</t>
  </si>
  <si>
    <t>Main Campus-Bldg F,G &amp; H : Reconstruction</t>
  </si>
  <si>
    <t>46-002-00-880750-56224</t>
  </si>
  <si>
    <t>PE Fields Reno : Reconstruction</t>
  </si>
  <si>
    <t>46-002-00-880800-56211</t>
  </si>
  <si>
    <t>Main Campus-Bldg K : Arch+Engr Fees Working Drawing</t>
  </si>
  <si>
    <t>46-002-00-880800-56215</t>
  </si>
  <si>
    <t>Main Campus-Bldg K : Preliminary Tests</t>
  </si>
  <si>
    <t>46-002-00-880800-56223</t>
  </si>
  <si>
    <t>Main Campus-Bldg K : Other Site Development</t>
  </si>
  <si>
    <t>46-002-00-880800-56224</t>
  </si>
  <si>
    <t>Main Campus-Bldg K : Reconstruction</t>
  </si>
  <si>
    <t>46-002-00-880800-56250</t>
  </si>
  <si>
    <t>Main Campus-Bldg K : Tests and Inspections</t>
  </si>
  <si>
    <t>46-002-00-880900-56211</t>
  </si>
  <si>
    <t>Main Campus-Bldg J : Arch+Engr Fees Working Drawing</t>
  </si>
  <si>
    <t>46-002-00-880900-56215</t>
  </si>
  <si>
    <t>Main Campus-Bldg J : Preliminary Tests</t>
  </si>
  <si>
    <t>46-002-01-880600-56211</t>
  </si>
  <si>
    <t>Alisal Project : Arch+Engr Fees Working Drawing</t>
  </si>
  <si>
    <t>46-002-02-880500-55575</t>
  </si>
  <si>
    <t>King City Education Center : Hazardous Waste Disposal</t>
  </si>
  <si>
    <t>46-002-02-880500-56203</t>
  </si>
  <si>
    <t>46-002-02-880500-56211</t>
  </si>
  <si>
    <t>King City Education Center : Arch+Engr Fees Working Drawing</t>
  </si>
  <si>
    <t>52-230-00-000000-48844</t>
  </si>
  <si>
    <t>General Use - Nonprogram : Food Service Sales</t>
  </si>
  <si>
    <t>52-230-00-000000-48845</t>
  </si>
  <si>
    <t>General Use - Nonprogram : Vending Machine Sales</t>
  </si>
  <si>
    <t>52-230-00-000000-48849</t>
  </si>
  <si>
    <t>General Use - Nonprogram : ATM Sales</t>
  </si>
  <si>
    <t>52-230-00-000000-48860</t>
  </si>
  <si>
    <t>52-230-00-000000-52105</t>
  </si>
  <si>
    <t>52-230-00-000000-52115</t>
  </si>
  <si>
    <t>General Use - Nonprogram : Classified Supervisory</t>
  </si>
  <si>
    <t>52-230-00-000000-52120</t>
  </si>
  <si>
    <t>General Use - Nonprogram : Classified Confidential</t>
  </si>
  <si>
    <t>52-230-00-000000-52125</t>
  </si>
  <si>
    <t>General Use - Nonprogram : Classified L-39</t>
  </si>
  <si>
    <t>52-230-00-000000-52130</t>
  </si>
  <si>
    <t>General Use - Nonprogram : Classified Management</t>
  </si>
  <si>
    <t>52-230-00-000000-52300</t>
  </si>
  <si>
    <t>General Use - Nonprogram : Classified Overtime</t>
  </si>
  <si>
    <t>52-230-00-000000-52310</t>
  </si>
  <si>
    <t>General Use - Nonprogram : Classified Student FWS Non-IA</t>
  </si>
  <si>
    <t>52-230-00-000000-52350</t>
  </si>
  <si>
    <t>52-230-00-000000-53220</t>
  </si>
  <si>
    <t>52-230-00-000000-53320</t>
  </si>
  <si>
    <t>52-230-00-000000-53340</t>
  </si>
  <si>
    <t>52-230-00-000000-53420</t>
  </si>
  <si>
    <t>52-230-00-000000-53520</t>
  </si>
  <si>
    <t>52-230-00-000000-53620</t>
  </si>
  <si>
    <t>52-230-00-000000-53920</t>
  </si>
  <si>
    <t>General Use - Nonprogram : Other Benefit-Non Teaching</t>
  </si>
  <si>
    <t>52-230-00-000000-54210</t>
  </si>
  <si>
    <t>52-230-00-000000-54300</t>
  </si>
  <si>
    <t>52-230-00-000000-54320</t>
  </si>
  <si>
    <t>General Use - Nonprogram : Laundry</t>
  </si>
  <si>
    <t>52-230-00-000000-55200</t>
  </si>
  <si>
    <t>52-230-00-000000-55600</t>
  </si>
  <si>
    <t>52-230-00-000000-55630</t>
  </si>
  <si>
    <t>52-230-00-000000-55651</t>
  </si>
  <si>
    <t>52-230-00-000000-55800</t>
  </si>
  <si>
    <t>52-230-00-000000-55805</t>
  </si>
  <si>
    <t>General Use - Nonprogram : Cash, Over / Short</t>
  </si>
  <si>
    <t>52-230-00-000000-55861</t>
  </si>
  <si>
    <t xml:space="preserve">General Use - Nonprogram : Credit Card Fees </t>
  </si>
  <si>
    <t>52-230-00-000000-56217</t>
  </si>
  <si>
    <t>General Use - Nonprogram : Permits and Fees</t>
  </si>
  <si>
    <t>52-230-00-000000-57300</t>
  </si>
  <si>
    <t>55-230-00-000000-48844</t>
  </si>
  <si>
    <t>55-230-00-000000-48860</t>
  </si>
  <si>
    <t>55-230-00-000000-48862</t>
  </si>
  <si>
    <t>General Use - Nonprogram : Credit Card Sales</t>
  </si>
  <si>
    <t>55-230-00-000000-48863</t>
  </si>
  <si>
    <t>General Use - Nonprogram : Starbucks Pay Sales</t>
  </si>
  <si>
    <t>55-230-00-000000-48864</t>
  </si>
  <si>
    <t>General Use - Nonprogram : Cat Card Sales</t>
  </si>
  <si>
    <t>55-230-00-000000-48980</t>
  </si>
  <si>
    <t>55-230-00-000000-52105</t>
  </si>
  <si>
    <t>55-230-00-000000-52115</t>
  </si>
  <si>
    <t>55-230-00-000000-52300</t>
  </si>
  <si>
    <t>55-230-00-000000-53220</t>
  </si>
  <si>
    <t>55-230-00-000000-53320</t>
  </si>
  <si>
    <t>55-230-00-000000-53340</t>
  </si>
  <si>
    <t>55-230-00-000000-53420</t>
  </si>
  <si>
    <t>55-230-00-000000-53520</t>
  </si>
  <si>
    <t>55-230-00-000000-53620</t>
  </si>
  <si>
    <t>55-230-00-000000-53920</t>
  </si>
  <si>
    <t>55-230-00-000000-54210</t>
  </si>
  <si>
    <t>55-230-00-000000-54300</t>
  </si>
  <si>
    <t>55-230-00-000000-54320</t>
  </si>
  <si>
    <t>55-230-00-000000-55105</t>
  </si>
  <si>
    <t>55-230-00-000000-55200</t>
  </si>
  <si>
    <t>55-230-00-000000-55630</t>
  </si>
  <si>
    <t>55-230-00-000000-55640</t>
  </si>
  <si>
    <t>General Use - Nonprogram : Royalty Payments</t>
  </si>
  <si>
    <t>55-230-00-000000-55650</t>
  </si>
  <si>
    <t>55-230-00-000000-55651</t>
  </si>
  <si>
    <t>55-230-00-000000-55800</t>
  </si>
  <si>
    <t>55-230-00-000000-55861</t>
  </si>
  <si>
    <t>55-230-00-000000-56217</t>
  </si>
  <si>
    <t>55-230-00-000000-56400</t>
  </si>
  <si>
    <t>59-000-00-000000-48860</t>
  </si>
  <si>
    <t>59-350-01-682210-48890</t>
  </si>
  <si>
    <t xml:space="preserve">Taylor Farms : Other Local Income </t>
  </si>
  <si>
    <t>61-000-00-000000-53600</t>
  </si>
  <si>
    <t>General Use - Nonprogram : Workers' Comp Budget</t>
  </si>
  <si>
    <t>61-000-00-000000-55400</t>
  </si>
  <si>
    <t>General Use - Nonprogram : Insurance</t>
  </si>
  <si>
    <t>61-000-00-000000-55800</t>
  </si>
  <si>
    <t>61-200-00-000000-48860</t>
  </si>
  <si>
    <t>62-000-00-000000-48860</t>
  </si>
  <si>
    <t>62-000-00-000000-55709</t>
  </si>
  <si>
    <t>General Use - Nonprogram : Administrative Expense</t>
  </si>
  <si>
    <t>62-000-00-000000-55800</t>
  </si>
  <si>
    <t>63-000-00-000000-48860</t>
  </si>
  <si>
    <t>63-000-00-000000-55709</t>
  </si>
  <si>
    <t>63-000-00-000000-57300</t>
  </si>
  <si>
    <t>71-400-00-000000-48843</t>
  </si>
  <si>
    <t>General Use - Nonprogram : Student I D Card Sales</t>
  </si>
  <si>
    <t>71-400-00-000000-48860</t>
  </si>
  <si>
    <t>71-400-00-000000-48890</t>
  </si>
  <si>
    <t>71-400-00-000000-48980</t>
  </si>
  <si>
    <t>71-400-00-000000-52105</t>
  </si>
  <si>
    <t>71-400-00-000000-52350</t>
  </si>
  <si>
    <t>71-400-00-000000-53220</t>
  </si>
  <si>
    <t>71-400-00-000000-53320</t>
  </si>
  <si>
    <t>71-400-00-000000-53340</t>
  </si>
  <si>
    <t>71-400-00-000000-53420</t>
  </si>
  <si>
    <t>71-400-00-000000-53520</t>
  </si>
  <si>
    <t>71-400-00-000000-53620</t>
  </si>
  <si>
    <t>71-400-00-000000-54300</t>
  </si>
  <si>
    <t>71-400-00-000000-55200</t>
  </si>
  <si>
    <t>71-400-00-000000-55240</t>
  </si>
  <si>
    <t>71-400-00-000000-55243</t>
  </si>
  <si>
    <t>General Use - Nonprogram : Activities &amp; Films</t>
  </si>
  <si>
    <t>71-400-00-000000-55244</t>
  </si>
  <si>
    <t>General Use - Nonprogram : Cultural Activities</t>
  </si>
  <si>
    <t>71-400-00-000000-55247</t>
  </si>
  <si>
    <t>General Use - Nonprogram : Inter-Club Council</t>
  </si>
  <si>
    <t>71-400-00-000000-55300</t>
  </si>
  <si>
    <t>71-400-00-000000-55600</t>
  </si>
  <si>
    <t>71-400-00-000000-55635</t>
  </si>
  <si>
    <t>71-400-00-000000-55650</t>
  </si>
  <si>
    <t>71-400-00-000000-57510</t>
  </si>
  <si>
    <t>General Use - Nonprogram : Student Internship</t>
  </si>
  <si>
    <t>72-400-00-000000-48844</t>
  </si>
  <si>
    <t>72-400-00-000000-48860</t>
  </si>
  <si>
    <t>72-400-00-000000-48884</t>
  </si>
  <si>
    <t>General Use - Nonprogram : Student Representation Fee</t>
  </si>
  <si>
    <t>72-400-00-000000-55200</t>
  </si>
  <si>
    <t>72-400-00-000000-55800</t>
  </si>
  <si>
    <t>72-400-00-000000-57351</t>
  </si>
  <si>
    <t>General Use - Nonprogram : Other Admin Costs</t>
  </si>
  <si>
    <t>74-420-00-700700-48150</t>
  </si>
  <si>
    <t>S.E.O.G. : Student Financial Aid</t>
  </si>
  <si>
    <t>74-420-00-700700-57350</t>
  </si>
  <si>
    <t>S.E.O.G. : Tsf Indirect Costs-Interfund</t>
  </si>
  <si>
    <t>74-420-00-700700-57500</t>
  </si>
  <si>
    <t>S.E.O.G. : Student Financial Aid Payment</t>
  </si>
  <si>
    <t>74-420-00-700900-48690</t>
  </si>
  <si>
    <t>CAL Grants : Other State Revenue</t>
  </si>
  <si>
    <t>74-420-00-700900-57500</t>
  </si>
  <si>
    <t>CAL Grants : Student Financial Aid Payment</t>
  </si>
  <si>
    <t>74-420-00-700901-57500</t>
  </si>
  <si>
    <t>Cal Grant AB540 : Student Financial Aid Payment</t>
  </si>
  <si>
    <t>74-420-00-706000-48150</t>
  </si>
  <si>
    <t>PELL  : Student Financial Aid</t>
  </si>
  <si>
    <t>74-420-00-706000-57500</t>
  </si>
  <si>
    <t>PELL  : Student Financial Aid Payment</t>
  </si>
  <si>
    <t>74-420-00-708900-48150</t>
  </si>
  <si>
    <t>PELL 1 : Student Financial Aid</t>
  </si>
  <si>
    <t>74-420-00-708900-57500</t>
  </si>
  <si>
    <t>PELL 1 : Student Financial Aid Payment</t>
  </si>
  <si>
    <t>74-420-00-732010-48115</t>
  </si>
  <si>
    <t>CARES Act-Stdnt Aid Portion : Federal CARES Act</t>
  </si>
  <si>
    <t>74-420-00-732010-57500</t>
  </si>
  <si>
    <t>CARES Act-Stdnt Aid Portion : Student Financial Aid Payment</t>
  </si>
  <si>
    <t>74-420-00-732100-48627</t>
  </si>
  <si>
    <t>Disaster Relief Emerg SFA : Other General Categorical Prog</t>
  </si>
  <si>
    <t>74-420-00-732100-57500</t>
  </si>
  <si>
    <t>Disaster Relief Emerg SFA : Student Financial Aid Payment</t>
  </si>
  <si>
    <t>74-420-00-760010-48150</t>
  </si>
  <si>
    <t>Direct Loans : Student Financial Aid</t>
  </si>
  <si>
    <t>74-420-00-760010-57500</t>
  </si>
  <si>
    <t>Direct Loans : Student Financial Aid Payment</t>
  </si>
  <si>
    <t>74-420-00-760085-48627</t>
  </si>
  <si>
    <t>Student Success Completion : Other General Categorical Prog</t>
  </si>
  <si>
    <t>74-420-00-760085-57500</t>
  </si>
  <si>
    <t>Student Success Completion : Student Financial Aid Payment</t>
  </si>
  <si>
    <t>74-420-00-760087-48620</t>
  </si>
  <si>
    <t>Salinas Valley Promise : General Categorical Program</t>
  </si>
  <si>
    <t>74-420-00-760087-48627</t>
  </si>
  <si>
    <t>74-420-00-760087-57500</t>
  </si>
  <si>
    <t>Salinas Valley Promise : Student Financial Aid Payment</t>
  </si>
  <si>
    <t>75-000-00-000000-48860</t>
  </si>
  <si>
    <t>75-000-00-000000-55800</t>
  </si>
  <si>
    <t>75-200-00-000000-55105</t>
  </si>
  <si>
    <t>75-200-00-975109-48000</t>
  </si>
  <si>
    <t>Hartnell Cares : Cash Receipts</t>
  </si>
  <si>
    <t>75-200-00-975109-55000</t>
  </si>
  <si>
    <t>Hartnell Cares : Other Operating Expenses &amp; Svc</t>
  </si>
  <si>
    <t>75-400-00-000000-48885</t>
  </si>
  <si>
    <t>General Use - Nonprogram : Other Student Fees &amp; Charges</t>
  </si>
  <si>
    <t>79-320-00-000000-48840</t>
  </si>
  <si>
    <t>General Use - Nonprogram : Basketball - Gate Receipts</t>
  </si>
  <si>
    <t>79-320-00-000000-48841</t>
  </si>
  <si>
    <t>General Use - Nonprogram : Football - Gate Receipts</t>
  </si>
  <si>
    <t>79-320-00-000000-48846</t>
  </si>
  <si>
    <t>General Use - Nonprogram : ASB Student Fees</t>
  </si>
  <si>
    <t>79-320-00-000000-48847</t>
  </si>
  <si>
    <t>General Use - Nonprogram : Basketball - Concession Sales</t>
  </si>
  <si>
    <t>79-320-00-000000-48848</t>
  </si>
  <si>
    <t>General Use - Nonprogram : Football - Concession Sales</t>
  </si>
  <si>
    <t>79-320-00-000000-48860</t>
  </si>
  <si>
    <t>79-320-00-000000-48890</t>
  </si>
  <si>
    <t>79-320-00-000000-52360</t>
  </si>
  <si>
    <t>79-320-00-000000-53320</t>
  </si>
  <si>
    <t>79-320-00-000000-53340</t>
  </si>
  <si>
    <t>79-320-00-000000-53520</t>
  </si>
  <si>
    <t>79-320-00-000000-53620</t>
  </si>
  <si>
    <t>79-320-00-000000-54210</t>
  </si>
  <si>
    <t>79-320-00-000000-55140</t>
  </si>
  <si>
    <t>General Use - Nonprogram : Game Employees</t>
  </si>
  <si>
    <t>79-320-00-000000-55250</t>
  </si>
  <si>
    <t>General Use - Nonprogram : Championship Meals</t>
  </si>
  <si>
    <t>79-320-00-000000-55251</t>
  </si>
  <si>
    <t>General Use - Nonprogram : Baseball (M) Meals</t>
  </si>
  <si>
    <t>79-320-00-000000-55252</t>
  </si>
  <si>
    <t>General Use - Nonprogram : Basketball (M) Meals</t>
  </si>
  <si>
    <t>79-320-00-000000-55253</t>
  </si>
  <si>
    <t>General Use - Nonprogram : Basketball (W) Meals</t>
  </si>
  <si>
    <t>79-320-00-000000-55254</t>
  </si>
  <si>
    <t>General Use - Nonprogram : Cross Country (M) Meals</t>
  </si>
  <si>
    <t>79-320-00-000000-55255</t>
  </si>
  <si>
    <t>General Use - Nonprogram : Football Meals</t>
  </si>
  <si>
    <t>79-320-00-000000-55256</t>
  </si>
  <si>
    <t>General Use - Nonprogram : Soccer (M) Meals</t>
  </si>
  <si>
    <t>79-320-00-000000-55257</t>
  </si>
  <si>
    <t xml:space="preserve">General Use - Nonprogram : Soccer (W) Meals </t>
  </si>
  <si>
    <t>79-320-00-000000-55258</t>
  </si>
  <si>
    <t>General Use - Nonprogram : Softball (W) Meals</t>
  </si>
  <si>
    <t>79-320-00-000000-55261</t>
  </si>
  <si>
    <t>General Use - Nonprogram : Track (M)  Meals</t>
  </si>
  <si>
    <t>79-320-00-000000-55262</t>
  </si>
  <si>
    <t>General Use - Nonprogram : Volleyball  (W) Meals</t>
  </si>
  <si>
    <t>79-320-00-000000-55264</t>
  </si>
  <si>
    <t>General Use - Nonprogram : Entry Fees</t>
  </si>
  <si>
    <t>79-320-00-000000-55800</t>
  </si>
  <si>
    <t>79-320-00-000000-55861</t>
  </si>
  <si>
    <t>Actuals as of 4/6/2021</t>
  </si>
  <si>
    <t>2020-21 Budget</t>
  </si>
  <si>
    <t>2021-22 Budget</t>
  </si>
  <si>
    <t>Fund</t>
  </si>
  <si>
    <t>Location</t>
  </si>
  <si>
    <t>Area</t>
  </si>
  <si>
    <t>TOP</t>
  </si>
  <si>
    <t>Object</t>
  </si>
  <si>
    <t>GL Class</t>
  </si>
  <si>
    <t>David Techaira</t>
  </si>
  <si>
    <t>Notes/Budget Justification</t>
  </si>
  <si>
    <t>Mostafa Ghous</t>
  </si>
  <si>
    <t>Totals</t>
  </si>
  <si>
    <t>Cathryn Wilkinson</t>
  </si>
  <si>
    <t>Mohammed Yahdi</t>
  </si>
  <si>
    <t>Debra Kaczmar</t>
  </si>
  <si>
    <t>Inmate Ed</t>
  </si>
  <si>
    <t>Continuing Education</t>
  </si>
  <si>
    <t>Carla Johnson</t>
  </si>
  <si>
    <t>Expires 9/30/21</t>
  </si>
  <si>
    <t xml:space="preserve">grant extended? </t>
  </si>
  <si>
    <t>Projected SCFF 21/22</t>
  </si>
  <si>
    <t>assume same as 21/22</t>
  </si>
  <si>
    <t>assume same as 21/22 actuals</t>
  </si>
  <si>
    <t>paul's estimate for 20/21</t>
  </si>
  <si>
    <t>Line No.</t>
  </si>
  <si>
    <t>Group</t>
  </si>
  <si>
    <t xml:space="preserve">
Employee</t>
  </si>
  <si>
    <t>Description</t>
  </si>
  <si>
    <t>FTE</t>
  </si>
  <si>
    <t>Step Advancement</t>
  </si>
  <si>
    <t>Range</t>
  </si>
  <si>
    <t>Step</t>
  </si>
  <si>
    <t>Total</t>
  </si>
  <si>
    <t xml:space="preserve">Step </t>
  </si>
  <si>
    <t>Annual</t>
  </si>
  <si>
    <t>1% increase</t>
  </si>
  <si>
    <t>Merit</t>
  </si>
  <si>
    <t>Diff</t>
  </si>
  <si>
    <t>Lng</t>
  </si>
  <si>
    <t>New Lng</t>
  </si>
  <si>
    <t>PG/BIL/Phd</t>
  </si>
  <si>
    <t>Annual Total</t>
  </si>
  <si>
    <t>Distribution</t>
  </si>
  <si>
    <t>Dist Amount</t>
  </si>
  <si>
    <t>Assign
Type</t>
  </si>
  <si>
    <t>Loc</t>
  </si>
  <si>
    <t>Tops</t>
  </si>
  <si>
    <t>Disability</t>
  </si>
  <si>
    <t>Dis Dist</t>
  </si>
  <si>
    <t>AD&amp;D Life</t>
  </si>
  <si>
    <t>Life Dist</t>
  </si>
  <si>
    <t>H&amp;W</t>
  </si>
  <si>
    <t>H&amp;W Dist</t>
  </si>
  <si>
    <t>H&amp;W Dist + 8%</t>
  </si>
  <si>
    <t>HRA</t>
  </si>
  <si>
    <t>HRA Dist</t>
  </si>
  <si>
    <t>Ben. Dist. Amount</t>
  </si>
  <si>
    <t>Total Sal &amp; Ben</t>
  </si>
  <si>
    <t>Vice President</t>
  </si>
  <si>
    <t>Project Director</t>
  </si>
  <si>
    <t>Program</t>
  </si>
  <si>
    <t>Pos Desc + Dist %</t>
  </si>
  <si>
    <t>CSEA</t>
  </si>
  <si>
    <t>Aguilar, Carlos</t>
  </si>
  <si>
    <t>ASUPSP</t>
  </si>
  <si>
    <t xml:space="preserve"> 34</t>
  </si>
  <si>
    <t>C</t>
  </si>
  <si>
    <t>D</t>
  </si>
  <si>
    <t>12</t>
  </si>
  <si>
    <t>365</t>
  </si>
  <si>
    <t>00</t>
  </si>
  <si>
    <t>700410</t>
  </si>
  <si>
    <t>52200</t>
  </si>
  <si>
    <t>Jainesh Singh</t>
  </si>
  <si>
    <t>Student Equity Program</t>
  </si>
  <si>
    <t>Anderson, Celia</t>
  </si>
  <si>
    <t>PRGASST_II</t>
  </si>
  <si>
    <t xml:space="preserve"> 31</t>
  </si>
  <si>
    <t>E</t>
  </si>
  <si>
    <t>350</t>
  </si>
  <si>
    <t>700307</t>
  </si>
  <si>
    <t>52105</t>
  </si>
  <si>
    <t>Sharon Albert</t>
  </si>
  <si>
    <t>CTE Transitions</t>
  </si>
  <si>
    <t>700330</t>
  </si>
  <si>
    <t>Strong Workforce</t>
  </si>
  <si>
    <t>740000</t>
  </si>
  <si>
    <t>Perkins</t>
  </si>
  <si>
    <t>Arreguin De Salinas, Rosa Isuara</t>
  </si>
  <si>
    <t>400</t>
  </si>
  <si>
    <t>700400</t>
  </si>
  <si>
    <t>Romero Jalomo</t>
  </si>
  <si>
    <t>Student Success &amp; Support Program (SSSP)</t>
  </si>
  <si>
    <t>ESERV_SPEC</t>
  </si>
  <si>
    <t xml:space="preserve"> 26</t>
  </si>
  <si>
    <t>11</t>
  </si>
  <si>
    <t>410</t>
  </si>
  <si>
    <t>620000</t>
  </si>
  <si>
    <t>420</t>
  </si>
  <si>
    <t>646000</t>
  </si>
  <si>
    <t>Benavides-Bartholomew, Victoria</t>
  </si>
  <si>
    <t>ASMNT_TEC</t>
  </si>
  <si>
    <t xml:space="preserve"> 15</t>
  </si>
  <si>
    <t>Barron Vargas, Fatima</t>
  </si>
  <si>
    <t>PROGASST_I</t>
  </si>
  <si>
    <t>634000</t>
  </si>
  <si>
    <t>Black, Joni J</t>
  </si>
  <si>
    <t>SCILABTEC</t>
  </si>
  <si>
    <t xml:space="preserve"> 25</t>
  </si>
  <si>
    <t>330</t>
  </si>
  <si>
    <t>040110</t>
  </si>
  <si>
    <t xml:space="preserve">Brandt, Bruce </t>
  </si>
  <si>
    <t>COMP_TECH</t>
  </si>
  <si>
    <t xml:space="preserve"> 35</t>
  </si>
  <si>
    <t>600</t>
  </si>
  <si>
    <t>678000</t>
  </si>
  <si>
    <t>Bridges, Michaela</t>
  </si>
  <si>
    <t>ADM_ASSTII</t>
  </si>
  <si>
    <t>20</t>
  </si>
  <si>
    <t>A</t>
  </si>
  <si>
    <t>B</t>
  </si>
  <si>
    <t xml:space="preserve">Cabrera, Rosa </t>
  </si>
  <si>
    <t>ADMASSTIII</t>
  </si>
  <si>
    <t xml:space="preserve"> 23</t>
  </si>
  <si>
    <t xml:space="preserve">Canter, Sarah </t>
  </si>
  <si>
    <t>430</t>
  </si>
  <si>
    <t>700500</t>
  </si>
  <si>
    <t>Paul Casey</t>
  </si>
  <si>
    <t>Extended Opportunity Programs and Services (EOPS)</t>
  </si>
  <si>
    <t>700800</t>
  </si>
  <si>
    <t>Cooperative Agencies Resources for Education (CARE) Program</t>
  </si>
  <si>
    <t>Ramirez, Erika</t>
  </si>
  <si>
    <t>AR_TECH</t>
  </si>
  <si>
    <t xml:space="preserve"> 18</t>
  </si>
  <si>
    <t>Carranza, Xochtil</t>
  </si>
  <si>
    <t>ADM_ASST_I</t>
  </si>
  <si>
    <t xml:space="preserve"> 17</t>
  </si>
  <si>
    <t>631000</t>
  </si>
  <si>
    <t>Carrasco, Monica</t>
  </si>
  <si>
    <t>FA_SPEC</t>
  </si>
  <si>
    <t>Carreon, Yvonne</t>
  </si>
  <si>
    <t>301</t>
  </si>
  <si>
    <t>601000</t>
  </si>
  <si>
    <t>Carrillo, Alejandra</t>
  </si>
  <si>
    <t xml:space="preserve">Chavez, Lenni </t>
  </si>
  <si>
    <t>700600</t>
  </si>
  <si>
    <t>Marina Reyes</t>
  </si>
  <si>
    <t>Student Financial Aid Administration (SFAA)</t>
  </si>
  <si>
    <t>Chen, Paul</t>
  </si>
  <si>
    <t>INFOTECHSP</t>
  </si>
  <si>
    <t xml:space="preserve"> 39</t>
  </si>
  <si>
    <t>Chhom, Tony</t>
  </si>
  <si>
    <t>190500</t>
  </si>
  <si>
    <t>Clemente Ruiz, Jesus</t>
  </si>
  <si>
    <t>TPP_COORD</t>
  </si>
  <si>
    <t xml:space="preserve"> 36</t>
  </si>
  <si>
    <t>703605</t>
  </si>
  <si>
    <t>Jihan Ejan</t>
  </si>
  <si>
    <t>Foundation - Giannini</t>
  </si>
  <si>
    <t>706260</t>
  </si>
  <si>
    <t>MAESTROS Project</t>
  </si>
  <si>
    <t>Cortez, Herbert</t>
  </si>
  <si>
    <t>CURR_SCH_L</t>
  </si>
  <si>
    <t>300</t>
  </si>
  <si>
    <t>De Leon, Maria</t>
  </si>
  <si>
    <t>707733</t>
  </si>
  <si>
    <t>Ivan Pagan</t>
  </si>
  <si>
    <t>Adult Education - SVAEC</t>
  </si>
  <si>
    <t>Deiss, Melanie</t>
  </si>
  <si>
    <t>Del Rio, Lluvia</t>
  </si>
  <si>
    <t>Diaz, Eva</t>
  </si>
  <si>
    <t>440</t>
  </si>
  <si>
    <t>701020</t>
  </si>
  <si>
    <t>Michelle Peters</t>
  </si>
  <si>
    <t>Disabled Student Programs and Services (DSPS)</t>
  </si>
  <si>
    <t>Downie, Mariana</t>
  </si>
  <si>
    <t xml:space="preserve"> 20</t>
  </si>
  <si>
    <t>370</t>
  </si>
  <si>
    <t>701100</t>
  </si>
  <si>
    <t>Margie Wiebusch</t>
  </si>
  <si>
    <t>Foster and Kinship Care Education program (FKCE)</t>
  </si>
  <si>
    <t>708300</t>
  </si>
  <si>
    <t>Department of Social Services Contract (DSES)</t>
  </si>
  <si>
    <t>Edeza, Delia S</t>
  </si>
  <si>
    <t>360</t>
  </si>
  <si>
    <t>Fischler, Lisa</t>
  </si>
  <si>
    <t>709831</t>
  </si>
  <si>
    <t>Raul Rodriguez</t>
  </si>
  <si>
    <t>Moises Almendariz</t>
  </si>
  <si>
    <t>HSI STEM GPS</t>
  </si>
  <si>
    <t>720014</t>
  </si>
  <si>
    <t>Sachiko Matsunaga</t>
  </si>
  <si>
    <t>Basic Skills</t>
  </si>
  <si>
    <t>Fitch, James D</t>
  </si>
  <si>
    <t>WEBADMIN</t>
  </si>
  <si>
    <t xml:space="preserve"> 48</t>
  </si>
  <si>
    <t>Flores, Elizabeth</t>
  </si>
  <si>
    <t>BG_ACCT</t>
  </si>
  <si>
    <t>210</t>
  </si>
  <si>
    <t>672010</t>
  </si>
  <si>
    <t>672040</t>
  </si>
  <si>
    <t>Fortman, Nonita</t>
  </si>
  <si>
    <t>760005</t>
  </si>
  <si>
    <t>Jackie Cruz</t>
  </si>
  <si>
    <t>Foundation - AgTech</t>
  </si>
  <si>
    <t>Galvan, Olga L</t>
  </si>
  <si>
    <t>120</t>
  </si>
  <si>
    <t>02</t>
  </si>
  <si>
    <t>Amezola Garcia, Blanca</t>
  </si>
  <si>
    <t>ACCT_ASST</t>
  </si>
  <si>
    <t xml:space="preserve"> 21</t>
  </si>
  <si>
    <t>Garcia, Claudia</t>
  </si>
  <si>
    <t>703540</t>
  </si>
  <si>
    <t>Manuel Bersamin</t>
  </si>
  <si>
    <t>TRiO</t>
  </si>
  <si>
    <t>46a</t>
  </si>
  <si>
    <t>703541</t>
  </si>
  <si>
    <t>TRIO ESL</t>
  </si>
  <si>
    <t>Garcia, Ruby Y</t>
  </si>
  <si>
    <t>CURR_SCH</t>
  </si>
  <si>
    <t xml:space="preserve"> 28</t>
  </si>
  <si>
    <t xml:space="preserve">Gentry, Heidi </t>
  </si>
  <si>
    <t>DSPS_LEAD</t>
  </si>
  <si>
    <t>Ghavamian, Babak</t>
  </si>
  <si>
    <t>LIBTECH_I</t>
  </si>
  <si>
    <t xml:space="preserve"> 22</t>
  </si>
  <si>
    <t>613000</t>
  </si>
  <si>
    <t>Gonzales, Belen</t>
  </si>
  <si>
    <t>COORD_JIP</t>
  </si>
  <si>
    <t>Gonzalez, Carla</t>
  </si>
  <si>
    <t>Gonzalez, Maria</t>
  </si>
  <si>
    <t>CDTCHR</t>
  </si>
  <si>
    <t xml:space="preserve"> 43</t>
  </si>
  <si>
    <t>33</t>
  </si>
  <si>
    <t>000000</t>
  </si>
  <si>
    <t>130500</t>
  </si>
  <si>
    <t>Gonzalez, Sandra</t>
  </si>
  <si>
    <t>Gonzalez-C, Catalina</t>
  </si>
  <si>
    <t>335</t>
  </si>
  <si>
    <t>Gonzalez-Sebastian, Adriana</t>
  </si>
  <si>
    <t>26</t>
  </si>
  <si>
    <t>395</t>
  </si>
  <si>
    <t>635050</t>
  </si>
  <si>
    <t>VACANT (Grant)</t>
  </si>
  <si>
    <t>INSTIT_DATAANLYT</t>
  </si>
  <si>
    <t>38</t>
  </si>
  <si>
    <t>150</t>
  </si>
  <si>
    <t>663000</t>
  </si>
  <si>
    <t>Gray, Kerry M</t>
  </si>
  <si>
    <t>NETADMIN</t>
  </si>
  <si>
    <t>Green, Jessica</t>
  </si>
  <si>
    <t>Guerrero Perez, Maria</t>
  </si>
  <si>
    <t>703560</t>
  </si>
  <si>
    <t>Laura Zavala</t>
  </si>
  <si>
    <t>H.S. Equivalencey Program (HEP)</t>
  </si>
  <si>
    <t>Gutierrez, Frances</t>
  </si>
  <si>
    <t xml:space="preserve">Haneta, Irene </t>
  </si>
  <si>
    <t>ES_LEAD</t>
  </si>
  <si>
    <t>Hanna, S. G</t>
  </si>
  <si>
    <t>O&amp;A_SPC</t>
  </si>
  <si>
    <t>Henderson, Frank</t>
  </si>
  <si>
    <t>TUTCENCOOR</t>
  </si>
  <si>
    <t>493035</t>
  </si>
  <si>
    <t>Henry, Dawn D</t>
  </si>
  <si>
    <t>LDPROGCOOR</t>
  </si>
  <si>
    <t>46</t>
  </si>
  <si>
    <t>000</t>
  </si>
  <si>
    <t>801000</t>
  </si>
  <si>
    <t>Hernandez, Gabriel</t>
  </si>
  <si>
    <t>69A</t>
  </si>
  <si>
    <t>VACANT (Programmer)</t>
  </si>
  <si>
    <t>PROG_ANLYT</t>
  </si>
  <si>
    <t xml:space="preserve"> 40</t>
  </si>
  <si>
    <t>Hu, Min</t>
  </si>
  <si>
    <t>Hutchins, Elizbeth</t>
  </si>
  <si>
    <t>VACANT (Hutchins V)</t>
  </si>
  <si>
    <t>Ichikawa, Rodney</t>
  </si>
  <si>
    <t>ATH_EQATTD</t>
  </si>
  <si>
    <t>320</t>
  </si>
  <si>
    <t>696500</t>
  </si>
  <si>
    <t xml:space="preserve">Isaias, Jorge </t>
  </si>
  <si>
    <t>COMPLABCOR</t>
  </si>
  <si>
    <t>Jaime, Antonia</t>
  </si>
  <si>
    <t>EOPS_LEAD</t>
  </si>
  <si>
    <t>Jerezano, Maria</t>
  </si>
  <si>
    <t>Jimmeye, Daniel</t>
  </si>
  <si>
    <t>MULTMEDSPC</t>
  </si>
  <si>
    <t xml:space="preserve"> 33</t>
  </si>
  <si>
    <t xml:space="preserve">Jones, Brenda </t>
  </si>
  <si>
    <t>CP_COORD</t>
  </si>
  <si>
    <t>Jose Alonzo, Yerdaliney</t>
  </si>
  <si>
    <t>100</t>
  </si>
  <si>
    <t>709650</t>
  </si>
  <si>
    <t>Title V HSI Cultivamos</t>
  </si>
  <si>
    <t>Kimm, Maj-Brit</t>
  </si>
  <si>
    <t>SS_SPEC</t>
  </si>
  <si>
    <t xml:space="preserve"> 37</t>
  </si>
  <si>
    <t>Kirkland, Samuel</t>
  </si>
  <si>
    <t>Ledesma, Joanna</t>
  </si>
  <si>
    <t>Ledesma-Calderon, Joel</t>
  </si>
  <si>
    <t>WARETECH</t>
  </si>
  <si>
    <t>220</t>
  </si>
  <si>
    <t>677000</t>
  </si>
  <si>
    <t>VACANT (Lemus)</t>
  </si>
  <si>
    <t>701200</t>
  </si>
  <si>
    <t>Independent Living Program (ILP)</t>
  </si>
  <si>
    <t>LEMUS, MARISELA</t>
  </si>
  <si>
    <t>PAII_GS</t>
  </si>
  <si>
    <t>31</t>
  </si>
  <si>
    <t>Lipowski, Marek</t>
  </si>
  <si>
    <t>INSASSOCI</t>
  </si>
  <si>
    <t>01</t>
  </si>
  <si>
    <t>094500</t>
  </si>
  <si>
    <t>095650</t>
  </si>
  <si>
    <t>Lo, Aimee L</t>
  </si>
  <si>
    <t>659010</t>
  </si>
  <si>
    <t>683000</t>
  </si>
  <si>
    <t>VACANT (Lo)</t>
  </si>
  <si>
    <t>Lopez, Angelita</t>
  </si>
  <si>
    <t>Lopez, Elizabeth</t>
  </si>
  <si>
    <t>Luciano, Paul</t>
  </si>
  <si>
    <t>SNRACCT</t>
  </si>
  <si>
    <t>45</t>
  </si>
  <si>
    <t>Magdaleno, Crystal</t>
  </si>
  <si>
    <t>Maldonado-Moreno, Clara</t>
  </si>
  <si>
    <t>Marin, Maria Z</t>
  </si>
  <si>
    <t>310</t>
  </si>
  <si>
    <t>100200</t>
  </si>
  <si>
    <t>101100</t>
  </si>
  <si>
    <t>Martinez, Janice</t>
  </si>
  <si>
    <t>Martinez, Jose</t>
  </si>
  <si>
    <t>Martinez, Karen</t>
  </si>
  <si>
    <t>Martinez-Aguilar, Ana</t>
  </si>
  <si>
    <t>Martinez-Jimenez, Julio</t>
  </si>
  <si>
    <t>094700</t>
  </si>
  <si>
    <t>McCall-Ortega, Adair</t>
  </si>
  <si>
    <t>McGriff III, Nathaniel</t>
  </si>
  <si>
    <t>Mejia Rosas Jasso, Angelica</t>
  </si>
  <si>
    <t>230</t>
  </si>
  <si>
    <t>679000</t>
  </si>
  <si>
    <t>Steven Crow</t>
  </si>
  <si>
    <t>HEERF 1 &amp; 2 Funding (CARES)</t>
  </si>
  <si>
    <t>Mena, Julia A</t>
  </si>
  <si>
    <t>STUSVSTECH</t>
  </si>
  <si>
    <t>Mendoza, Rocio</t>
  </si>
  <si>
    <t>304</t>
  </si>
  <si>
    <t>703402</t>
  </si>
  <si>
    <t>Julie Stephens-Carrillo</t>
  </si>
  <si>
    <t>Foundation - K-12 STEM</t>
  </si>
  <si>
    <t>Meneses, Anely</t>
  </si>
  <si>
    <t>703800</t>
  </si>
  <si>
    <t>Joel Thompson</t>
  </si>
  <si>
    <t>Mathematics, Engineering, Science Achievement (MESA) Program</t>
  </si>
  <si>
    <t>708003</t>
  </si>
  <si>
    <t>NSF ESTEEM</t>
  </si>
  <si>
    <t>Molina, Annett</t>
  </si>
  <si>
    <t>Montelongo, Juana</t>
  </si>
  <si>
    <t>ADMIN ASSIST IV</t>
  </si>
  <si>
    <t>32</t>
  </si>
  <si>
    <t>INSTR_ASII</t>
  </si>
  <si>
    <t>23</t>
  </si>
  <si>
    <t>Montes Mariz, Jocelyn</t>
  </si>
  <si>
    <t>PROG ASST I</t>
  </si>
  <si>
    <t>703571</t>
  </si>
  <si>
    <t>Cesar Velazquez</t>
  </si>
  <si>
    <t xml:space="preserve">Upward Bound Alisal &amp; Alvarez </t>
  </si>
  <si>
    <t>Nguyen, Long D</t>
  </si>
  <si>
    <t>Niduaza, Mezaiah</t>
  </si>
  <si>
    <t>612000</t>
  </si>
  <si>
    <t xml:space="preserve">Nunez, Lorena </t>
  </si>
  <si>
    <t>000001</t>
  </si>
  <si>
    <t xml:space="preserve">Obana, Chynna </t>
  </si>
  <si>
    <t>760087</t>
  </si>
  <si>
    <t>Bronwyn Moreno</t>
  </si>
  <si>
    <t>Salinas Valley Promise (College Promise) Program</t>
  </si>
  <si>
    <t>Otero, Laura M</t>
  </si>
  <si>
    <t>INST_TECH</t>
  </si>
  <si>
    <t>Otero, Stephen</t>
  </si>
  <si>
    <t>Perez, Josephie</t>
  </si>
  <si>
    <t xml:space="preserve">Pleak, Joanne </t>
  </si>
  <si>
    <t>Polio, Leda</t>
  </si>
  <si>
    <t>132a</t>
  </si>
  <si>
    <t>132b</t>
  </si>
  <si>
    <t>679040</t>
  </si>
  <si>
    <t>GANAS Grant</t>
  </si>
  <si>
    <t>Polio, Ligia</t>
  </si>
  <si>
    <t>648000</t>
  </si>
  <si>
    <t>Polo, Tito F</t>
  </si>
  <si>
    <t>090100</t>
  </si>
  <si>
    <t>190200</t>
  </si>
  <si>
    <t>191400</t>
  </si>
  <si>
    <t>Provencio, Valeria</t>
  </si>
  <si>
    <t xml:space="preserve">Pullum, Shawn </t>
  </si>
  <si>
    <t>Ramirez, Alicia</t>
  </si>
  <si>
    <t>30A</t>
  </si>
  <si>
    <t>707723</t>
  </si>
  <si>
    <t>141A</t>
  </si>
  <si>
    <t>Regalado, Christian</t>
  </si>
  <si>
    <t xml:space="preserve">Reyes, Marina </t>
  </si>
  <si>
    <t>FA_LEAD</t>
  </si>
  <si>
    <t>Ritter, Joanne</t>
  </si>
  <si>
    <t>PURCH_TECH</t>
  </si>
  <si>
    <t>Ritz, Alexandra</t>
  </si>
  <si>
    <t>ATH_TRNR</t>
  </si>
  <si>
    <t xml:space="preserve">Rivera, Betty </t>
  </si>
  <si>
    <t>LIBTEIII</t>
  </si>
  <si>
    <t>Rodriguez, Ariana</t>
  </si>
  <si>
    <t>Rodriguez, Ernesto</t>
  </si>
  <si>
    <t>Romero, Melissa</t>
  </si>
  <si>
    <t>71</t>
  </si>
  <si>
    <t>696000</t>
  </si>
  <si>
    <t>Ruiz-Camacho, Roberta</t>
  </si>
  <si>
    <t>AR_EVALTEC</t>
  </si>
  <si>
    <t xml:space="preserve"> 24</t>
  </si>
  <si>
    <t>Saechao-Jimmey, Belinda</t>
  </si>
  <si>
    <t>703916</t>
  </si>
  <si>
    <t>Nursing Education</t>
  </si>
  <si>
    <t>Salgado, Fanny</t>
  </si>
  <si>
    <t>Ana Gonzalez</t>
  </si>
  <si>
    <t>Adult Education - Hartnell</t>
  </si>
  <si>
    <t>Sanchez, Leticia</t>
  </si>
  <si>
    <t>703404</t>
  </si>
  <si>
    <t>Foundation - NASA SEMAA</t>
  </si>
  <si>
    <t>Sanchez, Lourdes</t>
  </si>
  <si>
    <t>Sanchez, Robert</t>
  </si>
  <si>
    <t>Sanchez-Ryan, Mindy</t>
  </si>
  <si>
    <t>703975</t>
  </si>
  <si>
    <t>Mindy Sanchez-Ryan</t>
  </si>
  <si>
    <t>Innovation Award</t>
  </si>
  <si>
    <t>Santana, Jennifer</t>
  </si>
  <si>
    <t>ACCT_TECH</t>
  </si>
  <si>
    <t>Serrano, Ramon</t>
  </si>
  <si>
    <t>Silveira, Carolina</t>
  </si>
  <si>
    <t>Silveira, Julia</t>
  </si>
  <si>
    <t>Suarez, Imelda</t>
  </si>
  <si>
    <t>Suarez, Martha</t>
  </si>
  <si>
    <t>Summers, Kris Tina</t>
  </si>
  <si>
    <t>ACCT_SPEC</t>
  </si>
  <si>
    <t xml:space="preserve"> 27</t>
  </si>
  <si>
    <t>Tapia, Marlene</t>
  </si>
  <si>
    <t>704700</t>
  </si>
  <si>
    <t>California Work Opportunity and Responsibility to Kids (CalWORKs)</t>
  </si>
  <si>
    <t>Ting, Layheng</t>
  </si>
  <si>
    <t>IR_ANALYST</t>
  </si>
  <si>
    <t xml:space="preserve"> 38</t>
  </si>
  <si>
    <t xml:space="preserve">Trafton, Mary </t>
  </si>
  <si>
    <t>Uribe, Dina N</t>
  </si>
  <si>
    <t>Valles, Ana C</t>
  </si>
  <si>
    <t>646021</t>
  </si>
  <si>
    <t>Vazquez, Cecila</t>
  </si>
  <si>
    <t>Vazquez-Gonzalez, Miriam</t>
  </si>
  <si>
    <t>Catalyst Fund</t>
  </si>
  <si>
    <t>LIBTECH_II</t>
  </si>
  <si>
    <t>Venegas, Joanne</t>
  </si>
  <si>
    <t>VACANT (Villalobos, Nicolasa)</t>
  </si>
  <si>
    <t>West, Jutta L</t>
  </si>
  <si>
    <t>Westfall, Marta Cristina</t>
  </si>
  <si>
    <t>Wilson Jr., Tony</t>
  </si>
  <si>
    <t>Xiong, Peter</t>
  </si>
  <si>
    <t>703581</t>
  </si>
  <si>
    <t>Upward Bound North Salinas</t>
  </si>
  <si>
    <t>Zepeda, Silvina</t>
  </si>
  <si>
    <t>L-39</t>
  </si>
  <si>
    <t xml:space="preserve">Aguilar, Jose </t>
  </si>
  <si>
    <t>CUSTOD</t>
  </si>
  <si>
    <t xml:space="preserve"> 13</t>
  </si>
  <si>
    <t>653000</t>
  </si>
  <si>
    <t>52125</t>
  </si>
  <si>
    <t xml:space="preserve">Alfaro, Josue </t>
  </si>
  <si>
    <t>UTCUST</t>
  </si>
  <si>
    <t xml:space="preserve"> 16</t>
  </si>
  <si>
    <t>655000</t>
  </si>
  <si>
    <t>Arroyo, Margarita</t>
  </si>
  <si>
    <t>FS_WRKR</t>
  </si>
  <si>
    <t xml:space="preserve">  8</t>
  </si>
  <si>
    <t>Bailon, Rachel</t>
  </si>
  <si>
    <t>Balcazar-Murillo, Edgar</t>
  </si>
  <si>
    <t>Cabrera, Guadalupe</t>
  </si>
  <si>
    <t xml:space="preserve">Cabrera, Jose </t>
  </si>
  <si>
    <t>MAINT_SPC</t>
  </si>
  <si>
    <t xml:space="preserve"> 32</t>
  </si>
  <si>
    <t>651000</t>
  </si>
  <si>
    <t>Capulong, Maria</t>
  </si>
  <si>
    <t>Chavarin, Carlos</t>
  </si>
  <si>
    <t>Cintron, Nancy</t>
  </si>
  <si>
    <t xml:space="preserve">Diaz, Alberto </t>
  </si>
  <si>
    <t>Enriquez, Lucia</t>
  </si>
  <si>
    <t>Flores, Gloria</t>
  </si>
  <si>
    <t>FSWRK_LD</t>
  </si>
  <si>
    <t xml:space="preserve"> 11</t>
  </si>
  <si>
    <t>Garcia, Veroninca</t>
  </si>
  <si>
    <t>Garibay, Evaristo</t>
  </si>
  <si>
    <t>Gonzales, Mary</t>
  </si>
  <si>
    <t>Guzman, Jose R</t>
  </si>
  <si>
    <t>Hernandez, Anselmo</t>
  </si>
  <si>
    <t>GRN_EQOP</t>
  </si>
  <si>
    <t>Jones, David L</t>
  </si>
  <si>
    <t>Magallon, Jose</t>
  </si>
  <si>
    <t>Margarito, Carlos</t>
  </si>
  <si>
    <t>Mosqueda, Hector</t>
  </si>
  <si>
    <t>Murillo, Edwin</t>
  </si>
  <si>
    <t>SWPMNT</t>
  </si>
  <si>
    <t>Nonella Jr., Raymond</t>
  </si>
  <si>
    <t>Oviedo, Daniel</t>
  </si>
  <si>
    <t>Ramirez, Ismael</t>
  </si>
  <si>
    <t>Gallegos Jr, Frank</t>
  </si>
  <si>
    <t>CUST_L</t>
  </si>
  <si>
    <t>Rodriguez-Alfaro, Maria</t>
  </si>
  <si>
    <t>Stuart, Keith</t>
  </si>
  <si>
    <t>Stuart, Kenneth</t>
  </si>
  <si>
    <t>VACANT (Tankesly)</t>
  </si>
  <si>
    <t>13</t>
  </si>
  <si>
    <t>Yanez, Jesse</t>
  </si>
  <si>
    <t>Zuniga, Jose</t>
  </si>
  <si>
    <t>CONF</t>
  </si>
  <si>
    <t xml:space="preserve">Arriaga, Alma </t>
  </si>
  <si>
    <t>HR_SPEC</t>
  </si>
  <si>
    <t>500</t>
  </si>
  <si>
    <t>673000</t>
  </si>
  <si>
    <t>52120</t>
  </si>
  <si>
    <t>Del Real, Abel</t>
  </si>
  <si>
    <t>PR_SPEC</t>
  </si>
  <si>
    <t>52</t>
  </si>
  <si>
    <t>Flores, Jacque</t>
  </si>
  <si>
    <t>EXEC_ASST</t>
  </si>
  <si>
    <t>665000</t>
  </si>
  <si>
    <t xml:space="preserve">Hayashi, Dina </t>
  </si>
  <si>
    <t>Meldahl, Vanessa</t>
  </si>
  <si>
    <t xml:space="preserve">Raras, Louann </t>
  </si>
  <si>
    <t>Rowe, Erica C</t>
  </si>
  <si>
    <t>HR_ANALY</t>
  </si>
  <si>
    <t>Serrano, Lucille</t>
  </si>
  <si>
    <t>SR_EX_ASST</t>
  </si>
  <si>
    <t xml:space="preserve"> 29</t>
  </si>
  <si>
    <t>661000</t>
  </si>
  <si>
    <t>680500</t>
  </si>
  <si>
    <t>140</t>
  </si>
  <si>
    <t>684000</t>
  </si>
  <si>
    <t>Torres-Zuniga, Nora</t>
  </si>
  <si>
    <t xml:space="preserve">Ugale, Teresa </t>
  </si>
  <si>
    <t>Zavala, Cristina</t>
  </si>
  <si>
    <t>ADM_ASST</t>
  </si>
  <si>
    <t>682000</t>
  </si>
  <si>
    <t>SUPV</t>
  </si>
  <si>
    <t>Miller, Lea F</t>
  </si>
  <si>
    <t>FS_SUPV</t>
  </si>
  <si>
    <t xml:space="preserve"> 19</t>
  </si>
  <si>
    <t>52115</t>
  </si>
  <si>
    <t>Munoz, George</t>
  </si>
  <si>
    <t>CUST_SPR</t>
  </si>
  <si>
    <t>Rinsamout, Sabrina</t>
  </si>
  <si>
    <t xml:space="preserve">Sanchez, Dora </t>
  </si>
  <si>
    <t>PYRL_SUP</t>
  </si>
  <si>
    <t>MGMT</t>
  </si>
  <si>
    <t xml:space="preserve">Adamson, Anne </t>
  </si>
  <si>
    <t>DIR_ECE</t>
  </si>
  <si>
    <t>51210</t>
  </si>
  <si>
    <t>Albert, Sharon</t>
  </si>
  <si>
    <t>AST_DEAN</t>
  </si>
  <si>
    <t>Almendariz, Moises</t>
  </si>
  <si>
    <t>DIR_HSII</t>
  </si>
  <si>
    <t>52130</t>
  </si>
  <si>
    <t>259a</t>
  </si>
  <si>
    <t>Armstrong, Rosie</t>
  </si>
  <si>
    <t>DIR_WDAH</t>
  </si>
  <si>
    <t>760045</t>
  </si>
  <si>
    <t>Rosie Armstrong</t>
  </si>
  <si>
    <t>Ag Healthcare Sector Partnership</t>
  </si>
  <si>
    <t>Bersamin, Manuel</t>
  </si>
  <si>
    <t>GRPR_DIR</t>
  </si>
  <si>
    <t>261a</t>
  </si>
  <si>
    <t>Casey, Paul</t>
  </si>
  <si>
    <t>DIR_CTPRG</t>
  </si>
  <si>
    <t>Casillas, Melissa</t>
  </si>
  <si>
    <t>Ceja, Maria D</t>
  </si>
  <si>
    <t>DEAN_SA</t>
  </si>
  <si>
    <t xml:space="preserve">Cowden, Clint </t>
  </si>
  <si>
    <t>DEAN_TWD</t>
  </si>
  <si>
    <t>Cowden, Joy F</t>
  </si>
  <si>
    <t>INTERIM-DEAN_AA</t>
  </si>
  <si>
    <t>3</t>
  </si>
  <si>
    <t>Crow, Steven</t>
  </si>
  <si>
    <t>VP_ADMSRV</t>
  </si>
  <si>
    <t>Cruz, Jaqueline</t>
  </si>
  <si>
    <t>VP_ADVDVP</t>
  </si>
  <si>
    <t>Ejan, Jihan N</t>
  </si>
  <si>
    <t>AVP_HREOO</t>
  </si>
  <si>
    <t>DIR_CMPR</t>
  </si>
  <si>
    <t>Ghous, Mostafa</t>
  </si>
  <si>
    <t>DEAN_AA</t>
  </si>
  <si>
    <t xml:space="preserve">Gonzalez, Ana </t>
  </si>
  <si>
    <t>DIR_AEWD/SCES</t>
  </si>
  <si>
    <t>9</t>
  </si>
  <si>
    <t>277a</t>
  </si>
  <si>
    <t>306</t>
  </si>
  <si>
    <t>04</t>
  </si>
  <si>
    <t>Foundation - Soledad Director</t>
  </si>
  <si>
    <t>Jalomo, Romero</t>
  </si>
  <si>
    <t>VP_STUAFF</t>
  </si>
  <si>
    <t>Johnson, Carla</t>
  </si>
  <si>
    <t>Kaczmar, Debra</t>
  </si>
  <si>
    <t>Kappagantula, Bala</t>
  </si>
  <si>
    <t>DIR_ITS</t>
  </si>
  <si>
    <t xml:space="preserve">Lofman, Brian </t>
  </si>
  <si>
    <t>DEAN_IPR</t>
  </si>
  <si>
    <t>VACANT (London)</t>
  </si>
  <si>
    <t>DIR_ABTI</t>
  </si>
  <si>
    <t>12-350-00-709101-52130</t>
  </si>
  <si>
    <t>709101</t>
  </si>
  <si>
    <t>Melissa Casillas</t>
  </si>
  <si>
    <t>NSF ATE AgScience</t>
  </si>
  <si>
    <t>12-350-00-709710-52130</t>
  </si>
  <si>
    <t>709710</t>
  </si>
  <si>
    <t>Clint Cowden</t>
  </si>
  <si>
    <t>NIFA-CSUMB</t>
  </si>
  <si>
    <t>Gregory, Alicia</t>
  </si>
  <si>
    <t>ACCT_MGR</t>
  </si>
  <si>
    <t>Matsunaga, Sachiko</t>
  </si>
  <si>
    <t>Moreno, Bronwyn</t>
  </si>
  <si>
    <t>DIR_SA</t>
  </si>
  <si>
    <t>Nevarez, Augustine</t>
  </si>
  <si>
    <t>Pagan, Ivan</t>
  </si>
  <si>
    <t>DIR_SVAEC</t>
  </si>
  <si>
    <t>Parker, Melissa (return 1/1/22)</t>
  </si>
  <si>
    <t>ED_ART_PG</t>
  </si>
  <si>
    <t>340</t>
  </si>
  <si>
    <t>682500</t>
  </si>
  <si>
    <t>Peregrin, Michelle</t>
  </si>
  <si>
    <t>DIR_DVLP&amp;INNOV</t>
  </si>
  <si>
    <t>5</t>
  </si>
  <si>
    <t>Peters, Michelle</t>
  </si>
  <si>
    <t>493032</t>
  </si>
  <si>
    <t>Phillips, David</t>
  </si>
  <si>
    <t>VP_INFTCH</t>
  </si>
  <si>
    <t>Reyes, Joe L</t>
  </si>
  <si>
    <t>EXDIR_FPC</t>
  </si>
  <si>
    <t>Riggillo, Marc</t>
  </si>
  <si>
    <t>DIR_FM</t>
  </si>
  <si>
    <t>Rodriguez, Raul (Russell)</t>
  </si>
  <si>
    <t>PRESIDENT/SUPT</t>
  </si>
  <si>
    <t>51205</t>
  </si>
  <si>
    <t xml:space="preserve">Scott, Daniel </t>
  </si>
  <si>
    <t>DIR_PSEM</t>
  </si>
  <si>
    <t>672020</t>
  </si>
  <si>
    <t>Sheppard, Sonja</t>
  </si>
  <si>
    <t>ASSTDIRNURN</t>
  </si>
  <si>
    <t>703929</t>
  </si>
  <si>
    <t>Foundation - SVMH</t>
  </si>
  <si>
    <t>VACANT (Selover)</t>
  </si>
  <si>
    <t>DIR_TWS</t>
  </si>
  <si>
    <t>Singh, Jainesh</t>
  </si>
  <si>
    <t>DIR_SAS</t>
  </si>
  <si>
    <t>Skinner, Kenneth</t>
  </si>
  <si>
    <t>MGR_FDSRV</t>
  </si>
  <si>
    <t>Stephens Carrillo, Julie</t>
  </si>
  <si>
    <t>DIR_K12</t>
  </si>
  <si>
    <t>703405</t>
  </si>
  <si>
    <t>NASA MAA</t>
  </si>
  <si>
    <t>Techaira, David</t>
  </si>
  <si>
    <t>CNTRLLR</t>
  </si>
  <si>
    <t>Teresa, Dan</t>
  </si>
  <si>
    <t>ATHL_DIR</t>
  </si>
  <si>
    <t>Thompson, Joel</t>
  </si>
  <si>
    <t>INERIM DIR_SMI</t>
  </si>
  <si>
    <t>Tovar, Jessica</t>
  </si>
  <si>
    <t>DIR_SA_FA</t>
  </si>
  <si>
    <t>Trengove, Matthew</t>
  </si>
  <si>
    <t>DIR_IR</t>
  </si>
  <si>
    <t>Velasquez, Cesar</t>
  </si>
  <si>
    <t>Walker, Laurencia</t>
  </si>
  <si>
    <t>Wiebusch, Margaret</t>
  </si>
  <si>
    <t>Wilkinson, Catherine</t>
  </si>
  <si>
    <t>VP_ACDAF</t>
  </si>
  <si>
    <t>Yahdi, Mohammed</t>
  </si>
  <si>
    <t xml:space="preserve">Zavala, Laura </t>
  </si>
  <si>
    <t>HCFA</t>
  </si>
  <si>
    <t>Adams, Lawrence J</t>
  </si>
  <si>
    <t>POLSCI_INS</t>
  </si>
  <si>
    <t>220700</t>
  </si>
  <si>
    <t>51100</t>
  </si>
  <si>
    <t>Ainsworth, Cynthia G</t>
  </si>
  <si>
    <t>SS_LIBRAR</t>
  </si>
  <si>
    <t>160100</t>
  </si>
  <si>
    <t>Alexander, Mitzi C</t>
  </si>
  <si>
    <t>EOPS_CARE</t>
  </si>
  <si>
    <t>51200</t>
  </si>
  <si>
    <t>Almodovar, Mayra</t>
  </si>
  <si>
    <t>ECE_INS</t>
  </si>
  <si>
    <t>Anderson, J. Tony</t>
  </si>
  <si>
    <t>COU_GEN</t>
  </si>
  <si>
    <t>Arteaga, Sonia M</t>
  </si>
  <si>
    <t>CSS_INS</t>
  </si>
  <si>
    <t>070100</t>
  </si>
  <si>
    <t>Barminski Jr, Robert F</t>
  </si>
  <si>
    <t>GEO_INS</t>
  </si>
  <si>
    <t>OCN_INS</t>
  </si>
  <si>
    <t>191900</t>
  </si>
  <si>
    <t>Beck, James C</t>
  </si>
  <si>
    <t>ESL_INS</t>
  </si>
  <si>
    <t>375</t>
  </si>
  <si>
    <t>493080</t>
  </si>
  <si>
    <t>Bertomen, Lindsey J</t>
  </si>
  <si>
    <t>ADJ_INS</t>
  </si>
  <si>
    <t>210500</t>
  </si>
  <si>
    <t>Beymer, David S</t>
  </si>
  <si>
    <t>083500</t>
  </si>
  <si>
    <t>083550</t>
  </si>
  <si>
    <t>Boates, Tammy L</t>
  </si>
  <si>
    <t>VACANT (Bosler)</t>
  </si>
  <si>
    <t>ART_INS</t>
  </si>
  <si>
    <t>PHOTO_INS</t>
  </si>
  <si>
    <t>11-310-00-101100-51100</t>
  </si>
  <si>
    <t>Brandt, Emily R</t>
  </si>
  <si>
    <t>RCP_COORD</t>
  </si>
  <si>
    <t>120400</t>
  </si>
  <si>
    <t>11-335-00-120400-51200</t>
  </si>
  <si>
    <t>Bravo, Gabriel S</t>
  </si>
  <si>
    <t>Brozada, Lisa</t>
  </si>
  <si>
    <t>NRS_INS</t>
  </si>
  <si>
    <t>700321</t>
  </si>
  <si>
    <t>Butler Jr, James J</t>
  </si>
  <si>
    <t>MATH_INS</t>
  </si>
  <si>
    <t>170100</t>
  </si>
  <si>
    <t>Calvert, Peter K</t>
  </si>
  <si>
    <t>BUS_INS</t>
  </si>
  <si>
    <t>050000</t>
  </si>
  <si>
    <t>Chappman, Richard</t>
  </si>
  <si>
    <t>AG_INS</t>
  </si>
  <si>
    <t>602001</t>
  </si>
  <si>
    <t>Foundation - Taylor Farms-Ag. &amp; Engineering</t>
  </si>
  <si>
    <t>PSYCH_INS</t>
  </si>
  <si>
    <t>200100</t>
  </si>
  <si>
    <t>Clark, Angela</t>
  </si>
  <si>
    <t>120300</t>
  </si>
  <si>
    <t>Collins, Matt P</t>
  </si>
  <si>
    <t>COACH</t>
  </si>
  <si>
    <t>Contreras, Leticia</t>
  </si>
  <si>
    <t>Coria, Jose C</t>
  </si>
  <si>
    <t>Davis, Lisa M</t>
  </si>
  <si>
    <t>Davis, Michael L</t>
  </si>
  <si>
    <t>WELD_INS</t>
  </si>
  <si>
    <t>DeHart, Mark A</t>
  </si>
  <si>
    <t>DSLTEC_INS</t>
  </si>
  <si>
    <t>Del Real, Mercedes</t>
  </si>
  <si>
    <t>COU_CTCC</t>
  </si>
  <si>
    <t>Diamond, Denise J</t>
  </si>
  <si>
    <t>120320</t>
  </si>
  <si>
    <t>Diaz, Sergio S</t>
  </si>
  <si>
    <t>ECE_FIRST5</t>
  </si>
  <si>
    <t>703602</t>
  </si>
  <si>
    <t>First 5 ECE</t>
  </si>
  <si>
    <t>Edelen, Alicia</t>
  </si>
  <si>
    <t>Edens, Alexander S</t>
  </si>
  <si>
    <t>BIO_INS</t>
  </si>
  <si>
    <t>Entekhabi, Parviz</t>
  </si>
  <si>
    <t>ENGR_INS</t>
  </si>
  <si>
    <t>DRFT_INS</t>
  </si>
  <si>
    <t>095300</t>
  </si>
  <si>
    <t>Escoto, Pedro</t>
  </si>
  <si>
    <t>AUTO_INS</t>
  </si>
  <si>
    <t>03</t>
  </si>
  <si>
    <t>700322</t>
  </si>
  <si>
    <t>Esparza, Christina M</t>
  </si>
  <si>
    <t>ECON_INS</t>
  </si>
  <si>
    <t>220400</t>
  </si>
  <si>
    <t>Estrella, Elizabeth A</t>
  </si>
  <si>
    <t>Ettinger, Steve J</t>
  </si>
  <si>
    <t>MUS_INS</t>
  </si>
  <si>
    <t>100400</t>
  </si>
  <si>
    <t>Fatuzzo, Laura M</t>
  </si>
  <si>
    <t>PHYS_INS</t>
  </si>
  <si>
    <t>Fields, Rebecca D</t>
  </si>
  <si>
    <t>Flores, Janet</t>
  </si>
  <si>
    <t>SPAN_INS</t>
  </si>
  <si>
    <t>110500</t>
  </si>
  <si>
    <t>Foley, Brooksley L</t>
  </si>
  <si>
    <t>COU_STEM</t>
  </si>
  <si>
    <t>375a</t>
  </si>
  <si>
    <t>Gabriel, Ashley K</t>
  </si>
  <si>
    <t>ADTPE_INS</t>
  </si>
  <si>
    <t>083510</t>
  </si>
  <si>
    <t>VACANT (Garcia)</t>
  </si>
  <si>
    <t>CWEX_INS</t>
  </si>
  <si>
    <t>12-350-00-700320-51100</t>
  </si>
  <si>
    <t>700320</t>
  </si>
  <si>
    <t>Glazier, Marnie J</t>
  </si>
  <si>
    <t>TH_ART_INS</t>
  </si>
  <si>
    <t>100700</t>
  </si>
  <si>
    <t>COMM_INS</t>
  </si>
  <si>
    <t>150600</t>
  </si>
  <si>
    <t>Gray, Peter M</t>
  </si>
  <si>
    <t>ENG_INS</t>
  </si>
  <si>
    <t>150100</t>
  </si>
  <si>
    <t>Guerrero, Albar I</t>
  </si>
  <si>
    <t>Gutierrez, Emily</t>
  </si>
  <si>
    <t>Harley, Diane J</t>
  </si>
  <si>
    <t>Hernandez, Norma Isela C</t>
  </si>
  <si>
    <t>Ho, Tanya</t>
  </si>
  <si>
    <t>RSCR_PR</t>
  </si>
  <si>
    <t>Hobson, Carol A</t>
  </si>
  <si>
    <t>Hooper, Michael F</t>
  </si>
  <si>
    <t>Hornstein, Melissa K</t>
  </si>
  <si>
    <t>Hough, Jason</t>
  </si>
  <si>
    <t>Hughey, Jeffery R</t>
  </si>
  <si>
    <t>Hussain, Mohammad T</t>
  </si>
  <si>
    <t>Jimenez, Hortencia</t>
  </si>
  <si>
    <t>SOCI_INS</t>
  </si>
  <si>
    <t>220800</t>
  </si>
  <si>
    <t>Jimenez, Melvin P</t>
  </si>
  <si>
    <t>F-ASERV</t>
  </si>
  <si>
    <t>King, Carol</t>
  </si>
  <si>
    <t>Lampart, Wendy</t>
  </si>
  <si>
    <t>CHEM_INS</t>
  </si>
  <si>
    <t>Lanka, Sunita V</t>
  </si>
  <si>
    <t>Locke, Kelly M</t>
  </si>
  <si>
    <t>Lopez, Daniel R</t>
  </si>
  <si>
    <t>Lopez, Gabriela F</t>
  </si>
  <si>
    <t>404a</t>
  </si>
  <si>
    <t>Madrigal, Millicent</t>
  </si>
  <si>
    <t>COU_DSPS</t>
  </si>
  <si>
    <t>Manrique, Miguel-Angel</t>
  </si>
  <si>
    <t>Marciel, Jacob</t>
  </si>
  <si>
    <t>AOD_INST</t>
  </si>
  <si>
    <t>210440</t>
  </si>
  <si>
    <t>Marquez, Maria C</t>
  </si>
  <si>
    <t>Matsushita-Arao, Yoshiko J</t>
  </si>
  <si>
    <t>Maturino, Valerie K</t>
  </si>
  <si>
    <t>VACANT (Mayfield)</t>
  </si>
  <si>
    <t>HD_LIB</t>
  </si>
  <si>
    <t>McCarthy, Michael R</t>
  </si>
  <si>
    <t>McClary, Kelley A</t>
  </si>
  <si>
    <t>McElhenie, Matthew M</t>
  </si>
  <si>
    <t>EMT_INS</t>
  </si>
  <si>
    <t>700327</t>
  </si>
  <si>
    <t>McKown, Joel</t>
  </si>
  <si>
    <t>SAOSFO</t>
  </si>
  <si>
    <t>Mendoza-Lewis, Rhea L</t>
  </si>
  <si>
    <t>Moorhouse, Jennifer L</t>
  </si>
  <si>
    <t>Moss, Christopher R</t>
  </si>
  <si>
    <t>Moth, Pimol</t>
  </si>
  <si>
    <t>ASTRON_INS</t>
  </si>
  <si>
    <t>191100</t>
  </si>
  <si>
    <t>O'Donnell, Cheryl E</t>
  </si>
  <si>
    <t>Ortega, Daniel</t>
  </si>
  <si>
    <t>Pacheco, Samuel J</t>
  </si>
  <si>
    <t>HIS_INS</t>
  </si>
  <si>
    <t>220500</t>
  </si>
  <si>
    <t>Palmer, Brian R</t>
  </si>
  <si>
    <t>Panggat, Rosser O</t>
  </si>
  <si>
    <t>Pasquale, Nicholas D</t>
  </si>
  <si>
    <t>Pedroza, Jamie L</t>
  </si>
  <si>
    <t>PE_INST</t>
  </si>
  <si>
    <t>Perez Jr., John R</t>
  </si>
  <si>
    <t>Perez, Daniel</t>
  </si>
  <si>
    <t>LSC_INS</t>
  </si>
  <si>
    <t>Perkins, Gregory S</t>
  </si>
  <si>
    <t>Petersen, Daniel L</t>
  </si>
  <si>
    <t>Plumb, Meagan B</t>
  </si>
  <si>
    <t>Rayappan, Sagayamary V</t>
  </si>
  <si>
    <t>Reyes, Nancy V</t>
  </si>
  <si>
    <t>COU_CLWK</t>
  </si>
  <si>
    <t>705500</t>
  </si>
  <si>
    <t>Temporary Assistance for Needy Families (TANF)</t>
  </si>
  <si>
    <t>Riley, Ann</t>
  </si>
  <si>
    <t>Rocha, Hermelinda</t>
  </si>
  <si>
    <t>ETHNIC_INS</t>
  </si>
  <si>
    <t>220210</t>
  </si>
  <si>
    <t>Rodriguez, Heather T</t>
  </si>
  <si>
    <t>COU_SSSP</t>
  </si>
  <si>
    <t>Rodriguez, Lesha M</t>
  </si>
  <si>
    <t>Rodriquez, Valentin Rico</t>
  </si>
  <si>
    <t>Rustad, Emily K</t>
  </si>
  <si>
    <t>010100</t>
  </si>
  <si>
    <t>Sanchez, Jorge</t>
  </si>
  <si>
    <t>ANTH_INS</t>
  </si>
  <si>
    <t>220200</t>
  </si>
  <si>
    <t>Schur Beymer, Nancy</t>
  </si>
  <si>
    <t>Soto, Andrew C</t>
  </si>
  <si>
    <t>PHILO_INS</t>
  </si>
  <si>
    <t>150900</t>
  </si>
  <si>
    <t>Stephens, Deborah L</t>
  </si>
  <si>
    <t>LIBRAR</t>
  </si>
  <si>
    <t>Storm, Lisa M</t>
  </si>
  <si>
    <t>Sullinger, Seaneen S</t>
  </si>
  <si>
    <t>Svendsen, Christine S</t>
  </si>
  <si>
    <t>11-330-00-070100-51100</t>
  </si>
  <si>
    <t>11-330-00-070100-51200</t>
  </si>
  <si>
    <t>Szamos, Aron</t>
  </si>
  <si>
    <t>Teutsch, Maria G</t>
  </si>
  <si>
    <t>Thorpe, Deborah M</t>
  </si>
  <si>
    <t>Torres, Joel</t>
  </si>
  <si>
    <t>Triano, Steven R</t>
  </si>
  <si>
    <t>Uribe-Cruz, Gemma</t>
  </si>
  <si>
    <t>COU_VET</t>
  </si>
  <si>
    <t>VACANT (Vacaflor)</t>
  </si>
  <si>
    <t>Vasher, Andrew M</t>
  </si>
  <si>
    <t>Vazquez, Senorina R</t>
  </si>
  <si>
    <t>Waddy, Ron T</t>
  </si>
  <si>
    <t>Ward, Robert B</t>
  </si>
  <si>
    <t>SUSDES_INS</t>
  </si>
  <si>
    <t>095200</t>
  </si>
  <si>
    <t>VACANT (WATT)</t>
  </si>
  <si>
    <t>Watson, Maya</t>
  </si>
  <si>
    <t>Weber, Mark F</t>
  </si>
  <si>
    <t>Wenger, Violeta M</t>
  </si>
  <si>
    <t>Wheat, Nancy C</t>
  </si>
  <si>
    <t>Whitmore, Janeen M</t>
  </si>
  <si>
    <t>Williams, Travis J</t>
  </si>
  <si>
    <t>Wilson, Molly R</t>
  </si>
  <si>
    <t>Wright, Ann E</t>
  </si>
  <si>
    <t>VACANT (Yahdi)</t>
  </si>
  <si>
    <t>Yee, Lawrence J</t>
  </si>
  <si>
    <t>Yelland, Hetty L</t>
  </si>
  <si>
    <t>GD_PTH_COR</t>
  </si>
  <si>
    <t>Zarate-McCoy, Andrea J</t>
  </si>
  <si>
    <t>Zepeda, Christopher L</t>
  </si>
  <si>
    <t>INS_COACH</t>
  </si>
  <si>
    <t>BOARD</t>
  </si>
  <si>
    <t>DePauw, Candice S</t>
  </si>
  <si>
    <t>BOARD OF TRUSTEE</t>
  </si>
  <si>
    <t>DiArrigo, Margaret</t>
  </si>
  <si>
    <t>Lopez, Irma C</t>
  </si>
  <si>
    <t>Montemayor, Raymond M</t>
  </si>
  <si>
    <t>Padilla-Chavez, Erica</t>
  </si>
  <si>
    <t>Salazar, Aurelio</t>
  </si>
  <si>
    <t>Gonzalez, Alejandra</t>
  </si>
  <si>
    <t>Director of Job and Internship Placement</t>
  </si>
  <si>
    <t>12-140-00-647001-52130</t>
  </si>
  <si>
    <t>647001</t>
  </si>
  <si>
    <t>12-350-00-700330-52130</t>
  </si>
  <si>
    <t>DIR_PHIL</t>
  </si>
  <si>
    <t>293a</t>
  </si>
  <si>
    <t>Parker, Melissa (thru 12/31/21)</t>
  </si>
  <si>
    <t>CLIN_OPS_SPEC</t>
  </si>
  <si>
    <t>37</t>
  </si>
  <si>
    <t>VACANT (Navarro)</t>
  </si>
  <si>
    <t>Planetarium Coordinator</t>
  </si>
  <si>
    <t>11-304-00-682100-52105</t>
  </si>
  <si>
    <t>Sum of Dist Amount</t>
  </si>
  <si>
    <t>Sum of Ben. Dist. Amount</t>
  </si>
  <si>
    <t>Row Labels</t>
  </si>
  <si>
    <t>Grand Total</t>
  </si>
  <si>
    <t>MO</t>
  </si>
  <si>
    <t>51</t>
  </si>
  <si>
    <t>11 Total</t>
  </si>
  <si>
    <t>52 Total</t>
  </si>
  <si>
    <t>To be hired - VACANT (Morales)</t>
  </si>
  <si>
    <t>VACANT (Navarro, Monica)</t>
  </si>
  <si>
    <t>To be hired - VACANT (Director of Philanthropy)</t>
  </si>
  <si>
    <t>To be hired - VACANT (Director of Job and Internship Placement)</t>
  </si>
  <si>
    <t>Taylor, Jennifer Hilda</t>
  </si>
  <si>
    <t>To be hired - VACANT (Gifford, Toni M)</t>
  </si>
  <si>
    <t>To be hired - VACANT (Montes)</t>
  </si>
  <si>
    <t>To be hired - VACANT (Barron, Fatima)</t>
  </si>
  <si>
    <t>22</t>
  </si>
  <si>
    <t>VACANT (Velazquez, Wilson)</t>
  </si>
  <si>
    <t>(Multiple Items)</t>
  </si>
  <si>
    <t>All positions (including vacancies)</t>
  </si>
  <si>
    <t>budget positions (including vacancies to be hired)</t>
  </si>
  <si>
    <t>Revenues</t>
  </si>
  <si>
    <t>Federal</t>
  </si>
  <si>
    <t>State</t>
  </si>
  <si>
    <t>Local</t>
  </si>
  <si>
    <t>Expenses</t>
  </si>
  <si>
    <t>Academic Salaries</t>
  </si>
  <si>
    <t>Classified Salaries</t>
  </si>
  <si>
    <t>Employee Benefits</t>
  </si>
  <si>
    <t>Supplies &amp; Materials</t>
  </si>
  <si>
    <t>Other Operating Expenses &amp; Svcs</t>
  </si>
  <si>
    <t>Capital Outlay</t>
  </si>
  <si>
    <t>Other Outgo</t>
  </si>
  <si>
    <r>
      <t>Deficit</t>
    </r>
    <r>
      <rPr>
        <b/>
        <sz val="16"/>
        <color rgb="FF000000"/>
        <rFont val="Calibri"/>
        <family val="2"/>
      </rPr>
      <t>/Surplus</t>
    </r>
  </si>
  <si>
    <t>675020</t>
  </si>
  <si>
    <t>new</t>
  </si>
  <si>
    <t>11-350-01-094500-51100</t>
  </si>
  <si>
    <t>373</t>
  </si>
  <si>
    <t>1. 2021 Budget</t>
  </si>
  <si>
    <t>2. 2021 Actual + PO's as of 5-5-21</t>
  </si>
  <si>
    <t>3. 2022 Tentative Budget</t>
  </si>
  <si>
    <t>Total Benefits</t>
  </si>
  <si>
    <t>Total Cost</t>
  </si>
  <si>
    <t>11-120-02-050000-51310 : Business Education : Academic Teaching NIC</t>
  </si>
  <si>
    <t>11-310-00-050000-51310 : Business Education : Academic Teaching NIC</t>
  </si>
  <si>
    <t>11-310-00-100200-51310 : Art : Academic Teaching NIC</t>
  </si>
  <si>
    <t>11-310-00-100400-51310 : Music : Academic Teaching NIC</t>
  </si>
  <si>
    <t>11-310-00-100700-51310 : Theater Arts : Academic Teaching NIC</t>
  </si>
  <si>
    <t>11-310-00-101100-51310 : Photography : Academic Teaching NIC</t>
  </si>
  <si>
    <t>11-310-00-130500-51310 : Early Childhood Education : Academic Teaching NIC</t>
  </si>
  <si>
    <t>11-310-00-150900-51310 : Philosophy : Academic Teaching NIC</t>
  </si>
  <si>
    <t>11-310-00-200100-51310 : Psychology : Academic Teaching NIC</t>
  </si>
  <si>
    <t>11-310-00-210500-51310 : Administration of Justice : Academic Teaching NIC</t>
  </si>
  <si>
    <t>11-310-00-220200-51310 : Anthropology : Academic Teaching NIC</t>
  </si>
  <si>
    <t>11-310-00-220210-51310 : Ethnic Studies : Academic Teaching NIC</t>
  </si>
  <si>
    <t>11-310-00-220400-51310 : Economics : Academic Teaching NIC</t>
  </si>
  <si>
    <t>11-310-00-220500-51310 : History : Academic Teaching NIC</t>
  </si>
  <si>
    <t>11-310-00-220700-51310 : Political Science : Academic Teaching NIC</t>
  </si>
  <si>
    <t>11-310-00-220800-51310 : Sociology : Academic Teaching NIC</t>
  </si>
  <si>
    <t>11-320-00-083500-51310 : Physical Education : Academic Teaching NIC</t>
  </si>
  <si>
    <t>11-320-00-083510-51310 : Adaptive Physical Education : Academic Teaching NIC</t>
  </si>
  <si>
    <t>11-320-00-083550-51310 : Athletics - Instruction : Academic Teaching NIC</t>
  </si>
  <si>
    <t>11-320-00-083700-51310 : Health Education : Academic Teaching NIC</t>
  </si>
  <si>
    <t>11-330-00-040110-51310 : Biology : Academic Teaching NIC</t>
  </si>
  <si>
    <t>11-330-00-090100-51310 : Engineering : Academic Teaching NIC</t>
  </si>
  <si>
    <t>11-330-00-170100-51310 : Mathematics : Academic Teaching NIC</t>
  </si>
  <si>
    <t>11-330-00-190200-51310 : Physics : Academic Teaching NIC</t>
  </si>
  <si>
    <t>11-330-00-190500-51310 : Chemistry : Academic Teaching NIC</t>
  </si>
  <si>
    <t>11-330-00-191100-51310 : Astronomy : Academic Teaching NIC</t>
  </si>
  <si>
    <t>11-330-01-070100-51310 : Computer &amp; Information Science : Academic Teaching NIC</t>
  </si>
  <si>
    <t>11-335-00-120300-51310 : Nursing - RN : Academic Teaching NIC</t>
  </si>
  <si>
    <t>11-335-00-120320-51310 : Nursing - LVN : Academic Teaching NIC</t>
  </si>
  <si>
    <t>11-335-00-120400-51310 : Respiratory Care Program : Academic Teaching NIC</t>
  </si>
  <si>
    <t>11-335-00-125000-51310 : Mobile Intensive Care Paramedic : Academic Teaching NIC</t>
  </si>
  <si>
    <t>11-335-00-126000-51310 : Health Professions : Academic Teaching NIC</t>
  </si>
  <si>
    <t>11-350-00-050000-51310 : Business Education : Academic Teaching NIC</t>
  </si>
  <si>
    <t>11-350-00-130500-51310 : Early Childhood Education : Academic Teaching NIC</t>
  </si>
  <si>
    <t>11-350-00-210440-51310 : Alcohol &amp; Drug Counseling : Academic Teaching NIC</t>
  </si>
  <si>
    <t>11-350-00-210500-51310 : Administration of Justice : Academic Teaching NIC</t>
  </si>
  <si>
    <t>11-350-01-010100-51310 : Agriculture Technology : Academic Teaching NIC</t>
  </si>
  <si>
    <t>11-350-01-094700-51310 : Diesel Mechanics : Academic Teaching NIC</t>
  </si>
  <si>
    <t>11-350-01-094800-51310 : Automotive Technology : Academic Teaching NIC</t>
  </si>
  <si>
    <t>11-350-01-095200-51310 : Construction Technology : Academic Teaching NIC</t>
  </si>
  <si>
    <t>11-350-01-095650-51310 : Welding Technology : Academic Teaching NIC</t>
  </si>
  <si>
    <t>11-360-00-160100-51310 : Library Science : Academic Teaching NIC</t>
  </si>
  <si>
    <t>11-375-00-110500-51310 : Spanish : Academic Teaching NIC</t>
  </si>
  <si>
    <t>11-375-00-150100-51310 : English : Academic Teaching NIC</t>
  </si>
  <si>
    <t>11-375-00-150600-51310 : Speech : Academic Teaching NIC</t>
  </si>
  <si>
    <t>11-375-00-493080-51310 : ESL : Academic Teaching NIC</t>
  </si>
  <si>
    <t>11-400-00-493010-51310 : Counseling Instruction : Academic Teaching NIC</t>
  </si>
  <si>
    <t>11-400-00-631000-51310 : Counseling &amp; Guidance : Academic Teaching NIC</t>
  </si>
  <si>
    <t>51310 Total</t>
  </si>
  <si>
    <t>11-120-02-010100-51311 : Agriculture Technology : Academic Teaching PT</t>
  </si>
  <si>
    <t>11-120-02-040110-51311 : Biology : Academic Teaching PT</t>
  </si>
  <si>
    <t>11-120-02-050000-51311 : Business Education : Academic Teaching PT</t>
  </si>
  <si>
    <t>11-120-02-070100-51311 : Computer &amp; Information Science : Academic Teaching PT</t>
  </si>
  <si>
    <t>11-120-02-100200-51311 : Art : Academic Teaching PT</t>
  </si>
  <si>
    <t>11-120-02-100400-51311 : Music : Academic Teaching PT</t>
  </si>
  <si>
    <t>11-120-02-101100-51311 : Photography : Academic Teaching PT</t>
  </si>
  <si>
    <t>11-120-02-110500-51311 : Spanish : Academic Teaching PT</t>
  </si>
  <si>
    <t>11-120-02-130500-51311 : Early Childhood Education : Academic Teaching PT</t>
  </si>
  <si>
    <t>11-120-02-150100-51311 : English : Academic Teaching PT</t>
  </si>
  <si>
    <t>11-120-02-150600-51311 : Speech : Academic Teaching PT</t>
  </si>
  <si>
    <t>11-120-02-170100-51311 : Mathematics : Academic Teaching PT</t>
  </si>
  <si>
    <t>11-120-02-190200-51311 : Physics : Academic Teaching PT</t>
  </si>
  <si>
    <t>11-120-02-191900-51311 : Oceanography : Academic Teaching PT</t>
  </si>
  <si>
    <t>11-120-02-200100-51311 : Psychology : Academic Teaching PT</t>
  </si>
  <si>
    <t>11-120-02-210500-51311 : Administration of Justice : Academic Teaching PT</t>
  </si>
  <si>
    <t>11-120-02-220200-51311 : Anthropology : Academic Teaching PT</t>
  </si>
  <si>
    <t>11-120-02-220210-51311 : Ethnic Studies : Academic Teaching PT</t>
  </si>
  <si>
    <t>11-120-02-220500-51311 : History : Academic Teaching PT</t>
  </si>
  <si>
    <t>11-120-02-220600-51311 : Geography : Academic Teaching PT</t>
  </si>
  <si>
    <t>11-120-02-220700-51311 : Political Science : Academic Teaching PT</t>
  </si>
  <si>
    <t>11-120-02-220800-51311 : Sociology : Academic Teaching PT</t>
  </si>
  <si>
    <t>11-120-02-493010-51311 : Counseling Instruction : Academic Teaching PT</t>
  </si>
  <si>
    <t>11-120-02-493080-51311 : ESL : Academic Teaching PT</t>
  </si>
  <si>
    <t>11-120-02-631000-51311 : Counseling &amp; Guidance : Academic Teaching PT</t>
  </si>
  <si>
    <t>11-300-04-490000-51311 : Interdisiplinary Studies : Academic Teaching PT</t>
  </si>
  <si>
    <t>11-310-00-050000-51311 : Business Education : Academic Teaching PT</t>
  </si>
  <si>
    <t>11-310-00-080100-51311 : EDU (Education) Adjunct Exps. : Academic Teaching PT</t>
  </si>
  <si>
    <t>11-310-00-100200-51311 : Art : Academic Teaching PT</t>
  </si>
  <si>
    <t>11-310-00-100400-51311 : Music : Academic Teaching PT</t>
  </si>
  <si>
    <t>11-310-00-100700-51311 : Theater Arts : Academic Teaching PT</t>
  </si>
  <si>
    <t>11-310-00-101100-51311 : Photography : Academic Teaching PT</t>
  </si>
  <si>
    <t>11-310-00-150900-51311 : Philosophy : Academic Teaching PT</t>
  </si>
  <si>
    <t>11-310-00-200100-51311 : Psychology : Academic Teaching PT</t>
  </si>
  <si>
    <t>11-310-00-210500-51311 : Administration of Justice : Academic Teaching PT</t>
  </si>
  <si>
    <t>11-310-00-220200-51311 : Anthropology : Academic Teaching PT</t>
  </si>
  <si>
    <t>11-310-00-220210-51311 : Ethnic Studies : Academic Teaching PT</t>
  </si>
  <si>
    <t>11-310-00-220400-51311 : Economics : Academic Teaching PT</t>
  </si>
  <si>
    <t>11-310-00-220500-51311 : History : Academic Teaching PT</t>
  </si>
  <si>
    <t>11-310-00-220700-51311 : Political Science : Academic Teaching PT</t>
  </si>
  <si>
    <t>11-310-00-220800-51311 : Sociology : Academic Teaching PT</t>
  </si>
  <si>
    <t>11-320-00-083500-51311 : Physical Education : Academic Teaching PT</t>
  </si>
  <si>
    <t>11-320-00-083510-51311 : Adaptive Physical Education : Academic Teaching PT</t>
  </si>
  <si>
    <t>11-320-00-083550-51311 : Athletics - Instruction : Academic Teaching PT</t>
  </si>
  <si>
    <t>11-320-00-083700-51311 : Health Education : Academic Teaching PT</t>
  </si>
  <si>
    <t>11-320-00-130600-51311 : Food Service Management : Academic Teaching PT</t>
  </si>
  <si>
    <t>11-330-00-040110-51311 : Biology : Academic Teaching PT</t>
  </si>
  <si>
    <t>11-330-00-090100-51311 : Engineering : Academic Teaching PT</t>
  </si>
  <si>
    <t>11-330-00-170100-51311 : Mathematics : Academic Teaching PT</t>
  </si>
  <si>
    <t>11-330-00-190200-51311 : Physics : Academic Teaching PT</t>
  </si>
  <si>
    <t>11-330-00-190500-51311 : Chemistry : Academic Teaching PT</t>
  </si>
  <si>
    <t>11-330-00-191100-51311 : Astronomy : Academic Teaching PT</t>
  </si>
  <si>
    <t>11-330-00-191400-51311 : Geology : Academic Teaching PT</t>
  </si>
  <si>
    <t>11-330-00-191900-51311 : Oceanography : Academic Teaching PT</t>
  </si>
  <si>
    <t>11-330-00-220600-51311 : Geography : Academic Teaching PT</t>
  </si>
  <si>
    <t>11-335-00-120300-51311 : Nursing - RN : Academic Teaching PT</t>
  </si>
  <si>
    <t>11-335-00-120320-51311 : Nursing - LVN : Academic Teaching PT</t>
  </si>
  <si>
    <t>11-335-00-120400-51311 : Respiratory Care Program : Academic Teaching PT</t>
  </si>
  <si>
    <t>11-335-00-125000-51311 : Mobile Intensive Care Paramedic : Academic Teaching PT</t>
  </si>
  <si>
    <t>11-335-00-126000-51311 : Health Professions : Academic Teaching PT</t>
  </si>
  <si>
    <t>11-350-00-050000-51311 : Business Education : Academic Teaching PT</t>
  </si>
  <si>
    <t>11-350-00-130500-51311 : Early Childhood Education : Academic Teaching PT</t>
  </si>
  <si>
    <t>11-350-00-210440-51311 : Alcohol &amp; Drug Counseling : Academic Teaching PT</t>
  </si>
  <si>
    <t>11-350-00-210500-51311 : Administration of Justice : Academic Teaching PT</t>
  </si>
  <si>
    <t>11-350-01-010100-51311 : Agriculture Technology : Academic Teaching PT</t>
  </si>
  <si>
    <t>11-350-01-070100-51311 : Computer &amp; Information Science : Academic Teaching PT</t>
  </si>
  <si>
    <t>11-350-01-094700-51311 : Diesel Mechanics : Academic Teaching PT</t>
  </si>
  <si>
    <t>11-350-01-094800-51311 : Automotive Technology : Academic Teaching PT</t>
  </si>
  <si>
    <t>11-350-01-095200-51311 : Construction Technology : Academic Teaching PT</t>
  </si>
  <si>
    <t>11-350-01-095650-51311 : Welding Technology : Academic Teaching PT</t>
  </si>
  <si>
    <t>11-360-00-160100-51311 : Library Science : Academic Teaching PT</t>
  </si>
  <si>
    <t>11-365-00-493034-51311 : Learning Skills Center : Academic Teaching PT</t>
  </si>
  <si>
    <t>11-375-00-085000-51311 : American Sign Language : Academic Teaching PT</t>
  </si>
  <si>
    <t>11-375-00-110500-51311 : Spanish : Academic Teaching PT</t>
  </si>
  <si>
    <t>11-375-00-150100-51311 : English : Academic Teaching PT</t>
  </si>
  <si>
    <t>11-375-00-150600-51311 : Speech : Academic Teaching PT</t>
  </si>
  <si>
    <t>11-375-00-493080-51311 : ESL : Academic Teaching PT</t>
  </si>
  <si>
    <t>11-400-00-631000-51311 : Counseling &amp; Guidance : Academic Teaching PT</t>
  </si>
  <si>
    <t>11-440-00-493032-51311 : DSP&amp;S Instruction : Academic Teaching PT</t>
  </si>
  <si>
    <t>51311 Total</t>
  </si>
  <si>
    <t>11-400-00-631000-51410 : Counseling &amp; Guidance : Academic Nonteaching NIC</t>
  </si>
  <si>
    <t>51410 Total</t>
  </si>
  <si>
    <t>11-120-02-612000-51411 : Library Services : Academic Nonteaching PT</t>
  </si>
  <si>
    <t>11-120-02-631000-51411 : Counseling &amp; Guidance : Academic Nonteaching PT</t>
  </si>
  <si>
    <t>11-360-00-612000-51411 : Library Services : Academic Nonteaching PT</t>
  </si>
  <si>
    <t>11-400-00-631000-51411 : Counseling &amp; Guidance : Academic Nonteaching PT</t>
  </si>
  <si>
    <t>11-440-00-493032-51411 : DSP&amp;S Instruction : Academic Nonteaching PT</t>
  </si>
  <si>
    <t>51411 Total</t>
  </si>
  <si>
    <t>11-120-02-601000-51412 : Academic Administration : Acad Nonteach Special Projects</t>
  </si>
  <si>
    <t>11-140-00-602003-51412 : Cultural Curriculum Audit : Acad Nonteach Special Projects</t>
  </si>
  <si>
    <t>11-150-00-663000-51412 : Research Office : Acad Nonteach Special Projects</t>
  </si>
  <si>
    <t>11-300-00-601000-51412 : Academic Administration : Acad Nonteach Special Projects</t>
  </si>
  <si>
    <t>11-301-00-601000-51412 : Academic Administration : Acad Nonteach Special Projects</t>
  </si>
  <si>
    <t>11-310-00-150900-51412 : Philosophy : Acad Nonteach Special Projects</t>
  </si>
  <si>
    <t>11-310-00-200100-51412 : Psychology : Acad Nonteach Special Projects</t>
  </si>
  <si>
    <t>11-320-00-083500-51412 : Physical Education : Acad Nonteach Special Projects</t>
  </si>
  <si>
    <t>11-320-00-083510-51412 : Adaptive Physical Education : Acad Nonteach Special Projects</t>
  </si>
  <si>
    <t>11-320-00-696500-51412 : Athletic Activities : Acad Nonteach Special Projects</t>
  </si>
  <si>
    <t>11-330-00-090100-51412 : Engineering : Acad Nonteach Special Projects</t>
  </si>
  <si>
    <t>11-330-00-170100-51412 : Mathematics : Acad Nonteach Special Projects</t>
  </si>
  <si>
    <t>11-335-00-120300-51412 : Nursing - RN : Acad Nonteach Special Projects</t>
  </si>
  <si>
    <t>11-350-00-210440-51412 : Alcohol &amp; Drug Counseling : Acad Nonteach Special Projects</t>
  </si>
  <si>
    <t>11-350-00-210500-51412 : Administration of Justice : Acad Nonteach Special Projects</t>
  </si>
  <si>
    <t>11-350-00-703800-51412 : MESA Grant : Acad Nonteach Special Projects</t>
  </si>
  <si>
    <t>11-350-01-010100-51412 : Agriculture Technology : Acad Nonteach Special Projects</t>
  </si>
  <si>
    <t>11-350-01-094700-51412 : Diesel Mechanics : Acad Nonteach Special Projects</t>
  </si>
  <si>
    <t>11-350-01-094800-51412 : Automotive Technology : Acad Nonteach Special Projects</t>
  </si>
  <si>
    <t>11-360-00-612000-51412 : Library Services : Acad Nonteach Special Projects</t>
  </si>
  <si>
    <t>11-372-00-601000-51412 : Academic Administration : Acad Nonteach Special Projects</t>
  </si>
  <si>
    <t>11-375-00-085000-51412 : American Sign Language : Acad Nonteach Special Projects</t>
  </si>
  <si>
    <t>11-395-00-635050-51412 : ACE Program : Acad Nonteach Special Projects</t>
  </si>
  <si>
    <t>51412 Total</t>
  </si>
  <si>
    <t>51 Total</t>
  </si>
  <si>
    <t>11-100-00-661000-52300 : Planning &amp; Policy Making : Classified Overtime</t>
  </si>
  <si>
    <t>11-100-00-680500-52300 : Community Information : Classified Overtime</t>
  </si>
  <si>
    <t>11-100-00-682000-52300 : Workforce &amp; Community Development : Classified Overtime</t>
  </si>
  <si>
    <t>11-100-00-684000-52300 : Community Relations &amp; Develop. : Classified Overtime</t>
  </si>
  <si>
    <t>11-120-02-601000-52300 : Academic Administration : Classified Overtime</t>
  </si>
  <si>
    <t>11-210-00-672010-52300 : Business Office : Classified Overtime</t>
  </si>
  <si>
    <t>11-210-00-672040-52300 : Grants Administration : Classified Overtime</t>
  </si>
  <si>
    <t>11-220-00-651000-52300 : Building Maintenance &amp; Repairs : Classified Overtime</t>
  </si>
  <si>
    <t>11-220-00-653000-52300 : Custodial Services : Classified Overtime</t>
  </si>
  <si>
    <t>11-220-00-655000-52300 : Grounds Maintenance &amp; Repairs : Classified Overtime</t>
  </si>
  <si>
    <t>11-220-00-677000-52300 : Purchasing/Receiving : Classified Overtime</t>
  </si>
  <si>
    <t>11-220-00-683000-52300 : Community Use of Facilities : Classified Overtime</t>
  </si>
  <si>
    <t>11-300-00-601000-52300 : Academic Administration : Classified Overtime</t>
  </si>
  <si>
    <t>11-301-00-601000-52300 : Academic Administration : Classified Overtime</t>
  </si>
  <si>
    <t>11-320-00-601000-52300 : Academic Administration : Classified Overtime</t>
  </si>
  <si>
    <t>11-320-00-696500-52300 : Athletic Activities : Classified Overtime</t>
  </si>
  <si>
    <t>11-330-00-040110-52300 : Biology : Classified Overtime</t>
  </si>
  <si>
    <t>11-330-00-090100-52300 : Engineering : Classified Overtime</t>
  </si>
  <si>
    <t>11-330-00-190200-52300 : Physics : Classified Overtime</t>
  </si>
  <si>
    <t>11-330-00-190500-52300 : Chemistry : Classified Overtime</t>
  </si>
  <si>
    <t>11-330-00-191400-52300 : Geology : Classified Overtime</t>
  </si>
  <si>
    <t>11-350-01-010100-52300 : Agriculture Technology : Classified Overtime</t>
  </si>
  <si>
    <t>11-350-01-601000-52300 : Academic Administration : Classified Overtime</t>
  </si>
  <si>
    <t>11-360-00-601000-52300 : Academic Administration : Classified Overtime</t>
  </si>
  <si>
    <t>11-360-00-612000-52300 : Library Services : Classified Overtime</t>
  </si>
  <si>
    <t>11-360-00-613000-52300 : Instructional Media : Classified Overtime</t>
  </si>
  <si>
    <t>11-370-00-708300-52300 : Dept of Social &amp; Employ Svs : Classified Overtime</t>
  </si>
  <si>
    <t>11-400-00-620020-52300 : Graduation Program : Classified Overtime</t>
  </si>
  <si>
    <t>11-400-00-631000-52300 : Counseling &amp; Guidance : Classified Overtime</t>
  </si>
  <si>
    <t>11-400-00-634000-52300 : Career Center : Classified Overtime</t>
  </si>
  <si>
    <t>11-400-00-665000-52300 : Student Services Administration : Classified Overtime</t>
  </si>
  <si>
    <t>11-400-00-696000-52300 : Student Activities : Classified Overtime</t>
  </si>
  <si>
    <t>11-410-00-620000-52300 : Admissions &amp; Records : Classified Overtime</t>
  </si>
  <si>
    <t>11-420-00-646000-52300 : Financial Aid : Classified Overtime</t>
  </si>
  <si>
    <t>11-420-00-646021-52300 : Scholarship Operations : Classified Overtime</t>
  </si>
  <si>
    <t>11-420-00-648000-52300 : Veterans : Classified Overtime</t>
  </si>
  <si>
    <t>11-500-00-673000-52300 : Human Resources : Classified Overtime</t>
  </si>
  <si>
    <t>11-600-00-678000-52300 : Management Information Systems : Classified Overtime</t>
  </si>
  <si>
    <t>52300 Total</t>
  </si>
  <si>
    <t>11-400-00-633050-52310 : Transfer Center : Classified Student FWS Non-IA</t>
  </si>
  <si>
    <t>11-420-00-646000-52310 : Financial Aid : Classified Student FWS Non-IA</t>
  </si>
  <si>
    <t>52310 Total</t>
  </si>
  <si>
    <t>11-430-00-704700-52315 : CalWORKs : Classified Student SWS Non-IA</t>
  </si>
  <si>
    <t>52315 Total</t>
  </si>
  <si>
    <t>11-140-00-684000-52350 : Community Relations &amp; Develop. : Classified Student Dist Non-IA PT</t>
  </si>
  <si>
    <t>11-210-00-672010-52350 : Business Office : Classified Student Dist Non-IA PT</t>
  </si>
  <si>
    <t>11-300-00-601000-52350 : Academic Administration : Classified Student Dist Non-IA PT</t>
  </si>
  <si>
    <t>11-304-00-703800-52350 : MESA Grant : Classified Student Dist Non-IA PT</t>
  </si>
  <si>
    <t>11-310-00-100700-52350 : Theater Arts : Classified Student Dist Non-IA PT</t>
  </si>
  <si>
    <t>11-350-01-601000-52350 : Academic Administration : Classified Student Dist Non-IA PT</t>
  </si>
  <si>
    <t>11-360-00-612000-52350 : Library Services : Classified Student Dist Non-IA PT</t>
  </si>
  <si>
    <t>11-365-00-493034-52350 : Learning Skills Center : Classified Student Dist Non-IA PT</t>
  </si>
  <si>
    <t>11-365-00-493035-52350 : Tutorial Center : Classified Student Dist Non-IA PT</t>
  </si>
  <si>
    <t>11-395-00-635050-52350 : ACE Program : Classified Student Dist Non-IA PT</t>
  </si>
  <si>
    <t>11-600-00-678000-52350 : Management Information Systems : Classified Student Dist Non-IA PT</t>
  </si>
  <si>
    <t>52350 Total</t>
  </si>
  <si>
    <t>11-210-00-672010-52360 : Business Office : Class Nonstu NonIA PT Prof Exp</t>
  </si>
  <si>
    <t>11-220-00-659010-52360 : Maintenance &amp; Operations : Class Nonstu NonIA PT Prof Exp</t>
  </si>
  <si>
    <t>11-300-00-601000-52360 : Academic Administration : Class Nonstu NonIA PT Prof Exp</t>
  </si>
  <si>
    <t>11-301-00-601000-52360 : Academic Administration : Class Nonstu NonIA PT Prof Exp</t>
  </si>
  <si>
    <t>11-304-00-703800-52360 : MESA Grant : Class Nonstu NonIA PT Prof Exp</t>
  </si>
  <si>
    <t>11-310-00-100200-52360 : Art : Class Nonstu NonIA PT Prof Exp</t>
  </si>
  <si>
    <t>11-310-00-100700-52360 : Theater Arts : Class Nonstu NonIA PT Prof Exp</t>
  </si>
  <si>
    <t>11-320-00-083500-52360 : Physical Education : Class Nonstu NonIA PT Prof Exp</t>
  </si>
  <si>
    <t>11-320-00-696500-52360 : Athletic Activities : Class Nonstu NonIA PT Prof Exp</t>
  </si>
  <si>
    <t>11-335-00-120300-52360 : Nursing - RN : Class Nonstu NonIA PT Prof Exp</t>
  </si>
  <si>
    <t>11-340-00-682500-52360 : Western Stage : Class Nonstu NonIA PT Prof Exp</t>
  </si>
  <si>
    <t>11-350-00-210500-52360 : Administration of Justice : Class Nonstu NonIA PT Prof Exp</t>
  </si>
  <si>
    <t>11-350-00-601000-52360 : Academic Administration : Class Nonstu NonIA PT Prof Exp</t>
  </si>
  <si>
    <t>11-350-01-094700-52360 : Diesel Mechanics : Class Nonstu NonIA PT Prof Exp</t>
  </si>
  <si>
    <t>11-360-00-601000-52360 : Academic Administration : Class Nonstu NonIA PT Prof Exp</t>
  </si>
  <si>
    <t>11-365-00-493035-52360 : Tutorial Center : Class Nonstu NonIA PT Prof Exp</t>
  </si>
  <si>
    <t>11-370-00-708300-52360 : Dept of Social &amp; Employ Svs : Class Nonstu NonIA PT Prof Exp</t>
  </si>
  <si>
    <t>11-395-00-635050-52360 : ACE Program : Class Nonstu NonIA PT Prof Exp</t>
  </si>
  <si>
    <t>11-400-00-631000-52360 : Counseling &amp; Guidance : Class Nonstu NonIA PT Prof Exp</t>
  </si>
  <si>
    <t>11-400-00-631020-52360 : Crisis Counseling : Class Nonstu NonIA PT Prof Exp</t>
  </si>
  <si>
    <t>11-400-00-665000-52360 : Student Services Administration : Class Nonstu NonIA PT Prof Exp</t>
  </si>
  <si>
    <t>11-410-00-620000-52360 : Admissions &amp; Records : Class Nonstu NonIA PT Prof Exp</t>
  </si>
  <si>
    <t>11-420-00-646000-52360 : Financial Aid : Class Nonstu NonIA PT Prof Exp</t>
  </si>
  <si>
    <t>11-500-00-673000-52360 : Human Resources : Class Nonstu NonIA PT Prof Exp</t>
  </si>
  <si>
    <t>52360 Total</t>
  </si>
  <si>
    <t>11-310-00-100400-52400 : Music : Classified Nonstudent Instructional Aides PT</t>
  </si>
  <si>
    <t>11-320-00-083500-52400 : Physical Education : Classified Nonstudent Instructional Aides PT</t>
  </si>
  <si>
    <t>11-320-00-083550-52400 : Athletics - Instruction : Classified Nonstudent Instructional Aides PT</t>
  </si>
  <si>
    <t>11-335-00-125000-52400 : Mobile Intensive Care Paramedic : Classified Nonstudent Instructional Aides PT</t>
  </si>
  <si>
    <t>11-335-00-126000-52400 : Health Professions : Classified Nonstudent Instructional Aides PT</t>
  </si>
  <si>
    <t>11-440-00-493032-52400 : DSP&amp;S Instruction : Classified Nonstudent Instructional Aides PT</t>
  </si>
  <si>
    <t>52400 Total</t>
  </si>
  <si>
    <t>11-365-00-493034-52420 : Learning Skills Center : Classified Student Dist Instructional Aides PT</t>
  </si>
  <si>
    <t>11-440-00-493032-52420 : DSP&amp;S Instruction : Classified Student Dist Instructional Aides PT</t>
  </si>
  <si>
    <t>52420 Total</t>
  </si>
  <si>
    <t>Total Personnel Costs</t>
  </si>
  <si>
    <t>Total Revenue</t>
  </si>
  <si>
    <t>Total Expense</t>
  </si>
  <si>
    <t>Total Discretionary Costs</t>
  </si>
  <si>
    <t>11-200-00-590000-53411 : Retired Staff - Instructional : Medical Benefits Teaching Retirees</t>
  </si>
  <si>
    <t>11-200-00-674000-53421 : Retired Staff - Noninstructional : Medical Benefits Nonteaching Retirees</t>
  </si>
  <si>
    <t>Total Retiree Benefits</t>
  </si>
  <si>
    <t>11-100-00-661000-53902 : Planning &amp; Policy Making : Term Life Insurance - Crown</t>
  </si>
  <si>
    <t>11-100-00-680500-53902 : Community Information : Term Life Insurance - Crown</t>
  </si>
  <si>
    <t>11-100-00-684000-53902 : Community Relations &amp; Develop. : Term Life Insurance - Crown</t>
  </si>
  <si>
    <t>Total Life Insurance (President/Superintendent)</t>
  </si>
  <si>
    <t>54</t>
  </si>
  <si>
    <t>11-100-00-661000-54210 : Planning &amp; Policy Making : Purchases - Food</t>
  </si>
  <si>
    <t>11-100-00-662000-54210 : Board of Trustees : Purchases - Food</t>
  </si>
  <si>
    <t>11-300-00-601000-54210 : Academic Administration : Purchases - Food</t>
  </si>
  <si>
    <t>11-335-00-120400-54210 : Respiratory Care Program : Purchases - Food</t>
  </si>
  <si>
    <t>11-370-00-708300-54210 : Dept of Social &amp; Employ Svs : Purchases - Food</t>
  </si>
  <si>
    <t>11-395-00-635050-54210 : ACE Program : Purchases - Food</t>
  </si>
  <si>
    <t>11-100-00-661000-54300 : Planning &amp; Policy Making : Supplies &amp; Materials</t>
  </si>
  <si>
    <t>11-100-00-662000-54300 : Board of Trustees : Supplies &amp; Materials</t>
  </si>
  <si>
    <t>11-120-02-601000-54300 : Academic Administration : Supplies &amp; Materials</t>
  </si>
  <si>
    <t>11-140-00-684000-54300 : Community Relations &amp; Develop. : Supplies &amp; Materials</t>
  </si>
  <si>
    <t>11-150-00-663000-54300 : Research Office : Supplies &amp; Materials</t>
  </si>
  <si>
    <t>11-200-00-677100-54300 : Campus Security : Supplies &amp; Materials</t>
  </si>
  <si>
    <t>11-210-00-672010-54300 : Business Office : Supplies &amp; Materials</t>
  </si>
  <si>
    <t>11-210-00-672020-54300 : Fiscal Operations : Supplies &amp; Materials</t>
  </si>
  <si>
    <t>11-210-00-677020-54300 : Emergency Management : Supplies &amp; Materials</t>
  </si>
  <si>
    <t>11-220-00-653000-54300 : Custodial Services : Supplies &amp; Materials</t>
  </si>
  <si>
    <t>11-220-00-655000-54300 : Grounds Maintenance &amp; Repairs : Supplies &amp; Materials</t>
  </si>
  <si>
    <t>11-220-00-659010-54300 : Maintenance &amp; Operations : Supplies &amp; Materials</t>
  </si>
  <si>
    <t>11-220-00-659020-54300 : Safety &amp; Hazardous Materials : Supplies &amp; Materials</t>
  </si>
  <si>
    <t>11-300-00-490000-54300 : Interdisiplinary Studies : Supplies &amp; Materials</t>
  </si>
  <si>
    <t>11-300-00-601000-54300 : Academic Administration : Supplies &amp; Materials</t>
  </si>
  <si>
    <t>11-301-00-601000-54300 : Academic Administration : Supplies &amp; Materials</t>
  </si>
  <si>
    <t>11-304-00-601000-54300 : Academic Administration : Supplies &amp; Materials</t>
  </si>
  <si>
    <t>11-304-00-682100-54300 : Planetarium : Supplies &amp; Materials</t>
  </si>
  <si>
    <t>11-310-00-100200-54300 : Art : Supplies &amp; Materials</t>
  </si>
  <si>
    <t>11-310-00-100400-54300 : Music : Supplies &amp; Materials</t>
  </si>
  <si>
    <t>11-310-00-101100-54300 : Photography : Supplies &amp; Materials</t>
  </si>
  <si>
    <t>11-320-00-083500-54300 : Physical Education : Supplies &amp; Materials</t>
  </si>
  <si>
    <t>11-320-00-696500-54300 : Athletic Activities : Supplies &amp; Materials</t>
  </si>
  <si>
    <t>11-330-00-040110-54300 : Biology : Supplies &amp; Materials</t>
  </si>
  <si>
    <t>11-330-00-070710-54300 : Computer Programming : Supplies &amp; Materials</t>
  </si>
  <si>
    <t>11-330-00-090100-54300 : Engineering : Supplies &amp; Materials</t>
  </si>
  <si>
    <t>11-330-00-170100-54300 : Mathematics : Supplies &amp; Materials</t>
  </si>
  <si>
    <t>11-330-00-190200-54300 : Physics : Supplies &amp; Materials</t>
  </si>
  <si>
    <t>11-330-00-190500-54300 : Chemistry : Supplies &amp; Materials</t>
  </si>
  <si>
    <t>11-330-00-191100-54300 : Astronomy : Supplies &amp; Materials</t>
  </si>
  <si>
    <t>11-330-00-191400-54300 : Geology : Supplies &amp; Materials</t>
  </si>
  <si>
    <t>11-330-01-070100-54300 : Computer &amp; Information Science : Supplies &amp; Materials</t>
  </si>
  <si>
    <t>11-335-00-120300-54300 : Nursing - RN : Supplies &amp; Materials</t>
  </si>
  <si>
    <t>11-335-00-120400-54300 : Respiratory Care Program : Supplies &amp; Materials</t>
  </si>
  <si>
    <t>11-335-00-125000-54300 : Mobile Intensive Care Paramedic : Supplies &amp; Materials</t>
  </si>
  <si>
    <t>11-335-00-126000-54300 : Health Professions : Supplies &amp; Materials</t>
  </si>
  <si>
    <t>11-340-00-682500-54300 : Western Stage : Supplies &amp; Materials</t>
  </si>
  <si>
    <t>11-350-00-050000-54300 : Business Education : Supplies &amp; Materials</t>
  </si>
  <si>
    <t>11-350-01-010100-54300 : Agriculture Technology : Supplies &amp; Materials</t>
  </si>
  <si>
    <t>11-350-01-094500-54300 : Agriculture &amp; Industrial Tech. : Supplies &amp; Materials</t>
  </si>
  <si>
    <t>11-350-01-094700-54300 : Diesel Mechanics : Supplies &amp; Materials</t>
  </si>
  <si>
    <t>11-350-01-094800-54300 : Automotive Technology : Supplies &amp; Materials</t>
  </si>
  <si>
    <t>11-350-01-095200-54300 : Construction Technology : Supplies &amp; Materials</t>
  </si>
  <si>
    <t>11-350-01-095300-54300 : Drafting Technology : Supplies &amp; Materials</t>
  </si>
  <si>
    <t>11-350-01-095650-54300 : Welding Technology : Supplies &amp; Materials</t>
  </si>
  <si>
    <t>11-350-01-601000-54300 : Academic Administration : Supplies &amp; Materials</t>
  </si>
  <si>
    <t>11-360-00-160100-54300 : Library Science : Supplies &amp; Materials</t>
  </si>
  <si>
    <t>11-360-00-490110-54300 : Interdisciplinary Studies : Supplies &amp; Materials</t>
  </si>
  <si>
    <t>11-360-00-601000-54300 : Academic Administration : Supplies &amp; Materials</t>
  </si>
  <si>
    <t>11-360-00-612000-54300 : Library Services : Supplies &amp; Materials</t>
  </si>
  <si>
    <t>11-360-00-613000-54300 : Instructional Media : Supplies &amp; Materials</t>
  </si>
  <si>
    <t>11-365-00-493035-54300 : Tutorial Center : Supplies &amp; Materials</t>
  </si>
  <si>
    <t>11-370-00-708300-54300 : Dept of Social &amp; Employ Svs : Supplies &amp; Materials</t>
  </si>
  <si>
    <t>11-372-00-601000-54300 : Academic Administration : Supplies &amp; Materials</t>
  </si>
  <si>
    <t>11-375-00-110500-54300 : Spanish : Supplies &amp; Materials</t>
  </si>
  <si>
    <t>11-375-00-150100-54300 : English : Supplies &amp; Materials</t>
  </si>
  <si>
    <t>11-375-00-150600-54300 : Speech : Supplies &amp; Materials</t>
  </si>
  <si>
    <t>11-375-00-493080-54300 : ESL : Supplies &amp; Materials</t>
  </si>
  <si>
    <t>11-395-00-635050-54300 : ACE Program : Supplies &amp; Materials</t>
  </si>
  <si>
    <t>11-400-00-620020-54300 : Graduation Program : Supplies &amp; Materials</t>
  </si>
  <si>
    <t>11-400-00-631000-54300 : Counseling &amp; Guidance : Supplies &amp; Materials</t>
  </si>
  <si>
    <t>11-400-00-634000-54300 : Career Center : Supplies &amp; Materials</t>
  </si>
  <si>
    <t>11-400-00-665000-54300 : Student Services Administration : Supplies &amp; Materials</t>
  </si>
  <si>
    <t>11-400-00-696000-54300 : Student Activities : Supplies &amp; Materials</t>
  </si>
  <si>
    <t>11-410-00-620000-54300 : Admissions &amp; Records : Supplies &amp; Materials</t>
  </si>
  <si>
    <t>11-420-00-646000-54300 : Financial Aid : Supplies &amp; Materials</t>
  </si>
  <si>
    <t>11-440-00-493032-54300 : DSP&amp;S Instruction : Supplies &amp; Materials</t>
  </si>
  <si>
    <t>11-500-00-673000-54300 : Human Resources : Supplies &amp; Materials</t>
  </si>
  <si>
    <t>11-600-00-678000-54300 : Management Information Systems : Supplies &amp; Materials</t>
  </si>
  <si>
    <t>11-340-00-682500-54320 : Western Stage : Laundry</t>
  </si>
  <si>
    <t>11-220-00-651000-54330 : Building Maintenance &amp; Repairs : M &amp; O General Supplies</t>
  </si>
  <si>
    <t>11-220-00-655000-54330 : Grounds Maintenance &amp; Repairs : M &amp; O General Supplies</t>
  </si>
  <si>
    <t>11-220-00-651000-54335 : Building Maintenance &amp; Repairs : M &amp; O Stnry Equipment Parts</t>
  </si>
  <si>
    <t>11-220-00-651000-54337 : Building Maintenance &amp; Repairs : M &amp; O Electrical Supplies</t>
  </si>
  <si>
    <t>11-220-00-651000-54338 : Building Maintenance &amp; Repairs : M &amp; O Plumbing Supplies</t>
  </si>
  <si>
    <t>11-220-00-683000-54340 : Community Use of Facilities : M &amp; O Pool Chemicals</t>
  </si>
  <si>
    <t>11-220-00-677300-54349 : Vehicle Maintenance : M&amp;O Fuel and Oil Expense</t>
  </si>
  <si>
    <t>11-350-00-601000-54349 : Academic Administration : M&amp;O Fuel and Oil Expense</t>
  </si>
  <si>
    <t>11-350-01-601000-54349 : Academic Administration : M&amp;O Fuel and Oil Expense</t>
  </si>
  <si>
    <t>55</t>
  </si>
  <si>
    <t>11-100-00-661000-55100 : Planning &amp; Policy Making : Personal Service Contract - 1099</t>
  </si>
  <si>
    <t>11-140-00-684000-55100 : Community Relations &amp; Develop. : Personal Service Contract - 1099</t>
  </si>
  <si>
    <t>11-320-00-696500-55100 : Athletic Activities : Personal Service Contract - 1099</t>
  </si>
  <si>
    <t>11-370-00-708300-55100 : Dept of Social &amp; Employ Svs : Personal Service Contract - 1099</t>
  </si>
  <si>
    <t>11-400-00-620020-55100 : Graduation Program : Personal Service Contract - 1099</t>
  </si>
  <si>
    <t>11-400-00-665000-55100 : Student Services Administration : Personal Service Contract - 1099</t>
  </si>
  <si>
    <t>11-100-00-661000-55105 : Planning &amp; Policy Making : Contract Services</t>
  </si>
  <si>
    <t>11-100-00-671020-55105 : Institutional Advancement : Contract Services</t>
  </si>
  <si>
    <t>11-140-00-684000-55105 : Community Relations &amp; Develop. : Contract Services</t>
  </si>
  <si>
    <t>11-200-00-677100-55105 : Campus Security : Contract Services</t>
  </si>
  <si>
    <t>11-210-00-672010-55105 : Business Office : Contract Services</t>
  </si>
  <si>
    <t>11-210-00-672020-55105 : Fiscal Operations : Contract Services</t>
  </si>
  <si>
    <t>11-210-00-695000-55105 : Parking Services : Contract Services</t>
  </si>
  <si>
    <t>11-220-00-659010-55105 : Maintenance &amp; Operations : Contract Services</t>
  </si>
  <si>
    <t>11-220-00-659020-55105 : Safety &amp; Hazardous Materials : Contract Services</t>
  </si>
  <si>
    <t>11-300-00-601000-55105 : Academic Administration : Contract Services</t>
  </si>
  <si>
    <t>11-310-00-100700-55105 : Theater Arts : Contract Services</t>
  </si>
  <si>
    <t>11-320-00-696500-55105 : Athletic Activities : Contract Services</t>
  </si>
  <si>
    <t>11-340-00-682500-55105 : Western Stage : Contract Services</t>
  </si>
  <si>
    <t>11-350-01-095220-55105 : Electrical Apprentice : Contract Services</t>
  </si>
  <si>
    <t>11-370-00-708300-55105 : Dept of Social &amp; Employ Svs : Contract Services</t>
  </si>
  <si>
    <t>11-375-00-085000-55105 : American Sign Language : Contract Services</t>
  </si>
  <si>
    <t>11-395-00-635050-55105 : ACE Program : Contract Services</t>
  </si>
  <si>
    <t>11-400-00-649000-55105 : Miscellaneous Student Services : Contract Services</t>
  </si>
  <si>
    <t>11-400-00-665000-55105 : Student Services Administration : Contract Services</t>
  </si>
  <si>
    <t>11-420-00-646000-55105 : Financial Aid : Contract Services</t>
  </si>
  <si>
    <t>11-440-00-493032-55105 : DSP&amp;S Instruction : Contract Services</t>
  </si>
  <si>
    <t>11-440-00-701021-55105 : DHH - DSPS : Contract Services</t>
  </si>
  <si>
    <t>11-500-00-673000-55105 : Human Resources : Contract Services</t>
  </si>
  <si>
    <t>11-600-00-678000-55105 : Management Information Systems : Contract Services</t>
  </si>
  <si>
    <t>11-600-00-678001-55105 : Mngmnt Information Systems PPA : Contract Services</t>
  </si>
  <si>
    <t>11-320-00-696500-55110 : Athletic Activities : Athletic Officials</t>
  </si>
  <si>
    <t>11-120-02-601000-55125 : Academic Administration : Training &amp; Seminars</t>
  </si>
  <si>
    <t>11-200-00-675000-55125 : Staff Development : Training &amp; Seminars</t>
  </si>
  <si>
    <t>11-210-00-672020-55125 : Fiscal Operations : Training &amp; Seminars</t>
  </si>
  <si>
    <t>11-320-00-696500-55125 : Athletic Activities : Training &amp; Seminars</t>
  </si>
  <si>
    <t>11-350-01-094700-55125 : Diesel Mechanics : Training &amp; Seminars</t>
  </si>
  <si>
    <t>11-350-01-601000-55125 : Academic Administration : Training &amp; Seminars</t>
  </si>
  <si>
    <t>11-395-00-635050-55125 : ACE Program : Training &amp; Seminars</t>
  </si>
  <si>
    <t>11-500-00-673000-55125 : Human Resources : Training &amp; Seminars</t>
  </si>
  <si>
    <t>11-600-00-678000-55125 : Management Information Systems : Training &amp; Seminars</t>
  </si>
  <si>
    <t>11-100-00-661000-55200 : Planning &amp; Policy Making : Travel &amp; Conference</t>
  </si>
  <si>
    <t>11-100-00-662000-55200 : Board of Trustees : Travel &amp; Conference</t>
  </si>
  <si>
    <t>11-100-00-675020-55200 : Academic Senate : Travel &amp; Conference</t>
  </si>
  <si>
    <t>11-120-02-601000-55200 : Academic Administration : Travel &amp; Conference</t>
  </si>
  <si>
    <t>11-140-00-602003-55200 : Cultural Curriculum Audit : Travel &amp; Conference</t>
  </si>
  <si>
    <t>11-140-00-684000-55200 : Community Relations &amp; Develop. : Travel &amp; Conference</t>
  </si>
  <si>
    <t>11-150-00-663000-55200 : Research Office : Travel &amp; Conference</t>
  </si>
  <si>
    <t>11-210-00-672010-55200 : Business Office : Travel &amp; Conference</t>
  </si>
  <si>
    <t>11-210-00-677020-55200 : Emergency Management : Travel &amp; Conference</t>
  </si>
  <si>
    <t>11-300-00-601000-55200 : Academic Administration : Travel &amp; Conference</t>
  </si>
  <si>
    <t>11-301-00-601000-55200 : Academic Administration : Travel &amp; Conference</t>
  </si>
  <si>
    <t>11-304-00-601000-55200 : Academic Administration : Travel &amp; Conference</t>
  </si>
  <si>
    <t>11-310-00-100700-55200 : Theater Arts : Travel &amp; Conference</t>
  </si>
  <si>
    <t>11-310-00-220210-55200 : Ethnic Studies : Travel &amp; Conference</t>
  </si>
  <si>
    <t>11-320-00-696500-55200 : Athletic Activities : Travel &amp; Conference</t>
  </si>
  <si>
    <t>11-335-00-120300-55200 : Nursing - RN : Travel &amp; Conference</t>
  </si>
  <si>
    <t>11-335-00-120320-55200 : Nursing - LVN : Travel &amp; Conference</t>
  </si>
  <si>
    <t>11-340-00-682500-55200 : Western Stage : Travel &amp; Conference</t>
  </si>
  <si>
    <t>11-350-01-010100-55200 : Agriculture Technology : Travel &amp; Conference</t>
  </si>
  <si>
    <t>11-350-01-094500-55200 : Agriculture &amp; Industrial Tech. : Travel &amp; Conference</t>
  </si>
  <si>
    <t>11-350-01-601000-55200 : Academic Administration : Travel &amp; Conference</t>
  </si>
  <si>
    <t>11-360-00-160100-55200 : Library Science : Travel &amp; Conference</t>
  </si>
  <si>
    <t>11-360-00-490110-55200 : Interdisciplinary Studies : Travel &amp; Conference</t>
  </si>
  <si>
    <t>11-360-00-612000-55200 : Library Services : Travel &amp; Conference</t>
  </si>
  <si>
    <t>11-370-00-708300-55200 : Dept of Social &amp; Employ Svs : Travel &amp; Conference</t>
  </si>
  <si>
    <t>11-372-00-601000-55200 : Academic Administration : Travel &amp; Conference</t>
  </si>
  <si>
    <t>11-375-00-150600-55200 : Speech : Travel &amp; Conference</t>
  </si>
  <si>
    <t>11-395-00-635050-55200 : ACE Program : Travel &amp; Conference</t>
  </si>
  <si>
    <t>11-400-00-634000-55200 : Career Center : Travel &amp; Conference</t>
  </si>
  <si>
    <t>11-400-00-649000-55200 : Miscellaneous Student Services : Travel &amp; Conference</t>
  </si>
  <si>
    <t>11-400-00-665000-55200 : Student Services Administration : Travel &amp; Conference</t>
  </si>
  <si>
    <t>11-410-00-620000-55200 : Admissions &amp; Records : Travel &amp; Conference</t>
  </si>
  <si>
    <t>11-420-00-646000-55200 : Financial Aid : Travel &amp; Conference</t>
  </si>
  <si>
    <t>11-420-00-648000-55200 : Veterans : Travel &amp; Conference</t>
  </si>
  <si>
    <t>11-440-00-493032-55200 : DSP&amp;S Instruction : Travel &amp; Conference</t>
  </si>
  <si>
    <t>11-500-00-673000-55200 : Human Resources : Travel &amp; Conference</t>
  </si>
  <si>
    <t>11-600-00-678000-55200 : Management Information Systems : Travel &amp; Conference</t>
  </si>
  <si>
    <t>11-120-02-601000-55210 : Academic Administration : Instructional Mileage</t>
  </si>
  <si>
    <t>11-335-00-120300-55210 : Instructional Mileage</t>
  </si>
  <si>
    <t>11-320-00-696500-55240 : Athletic Activities : Field Trips</t>
  </si>
  <si>
    <t>11-320-00-696500-55264 : Athletic Activities : Entry Fees</t>
  </si>
  <si>
    <t>11-100-00-661000-55300 : Planning &amp; Policy Making : Memberships</t>
  </si>
  <si>
    <t>11-100-00-661100-55300 : Accreditation : Memberships</t>
  </si>
  <si>
    <t>11-100-00-662000-55300 : Board of Trustees : Memberships</t>
  </si>
  <si>
    <t>11-100-00-675020-55300 : Academic Senate : Memberships</t>
  </si>
  <si>
    <t>11-140-00-684000-55300 : Community Relations &amp; Develop. : Memberships</t>
  </si>
  <si>
    <t>11-150-00-663000-55300 : Research Office : Memberships</t>
  </si>
  <si>
    <t>11-210-00-672020-55300 : Fiscal Operations : Memberships</t>
  </si>
  <si>
    <t>11-210-00-677020-55300 : Emergency Management : Memberships</t>
  </si>
  <si>
    <t>11-300-00-601000-55300 : Academic Administration : Memberships</t>
  </si>
  <si>
    <t>11-310-00-100700-55300 : Theater Arts : Memberships</t>
  </si>
  <si>
    <t>11-310-00-140100-55300 : General Law : Memberships</t>
  </si>
  <si>
    <t>11-320-00-696500-55300 : Athletic Activities : Memberships</t>
  </si>
  <si>
    <t>11-335-00-120300-55300 : Nursing - RN : Memberships</t>
  </si>
  <si>
    <t>11-350-01-010100-55300 : Agriculture Technology : Memberships</t>
  </si>
  <si>
    <t>11-350-01-094500-55300 : Agriculture &amp; Industrial Tech. : Memberships</t>
  </si>
  <si>
    <t>11-350-01-095200-55300 : Construction Technology : Memberships</t>
  </si>
  <si>
    <t>11-350-01-601000-55300 : Academic Administration : Memberships</t>
  </si>
  <si>
    <t>11-360-00-612000-55300 : Library Services : Memberships</t>
  </si>
  <si>
    <t>11-365-00-493035-55300 : Tutorial Center : Memberships</t>
  </si>
  <si>
    <t>11-375-00-150100-55300 : English : Memberships</t>
  </si>
  <si>
    <t>11-400-00-665000-55300 : Student Services Administration : Memberships</t>
  </si>
  <si>
    <t>11-410-00-620000-55300 : Admissions &amp; Records : Memberships</t>
  </si>
  <si>
    <t>11-420-00-646000-55300 : Financial Aid : Memberships</t>
  </si>
  <si>
    <t>11-420-00-648000-55300 : Veterans : Memberships</t>
  </si>
  <si>
    <t>11-500-00-673000-55300 : Human Resources : Memberships</t>
  </si>
  <si>
    <t>11-600-00-678000-55300 : Management Information Systems : Memberships</t>
  </si>
  <si>
    <t>11-150-00-663000-55309 : Research Office : Subscriptions</t>
  </si>
  <si>
    <t>11-210-00-672010-55309 : Business Office : Subscriptions</t>
  </si>
  <si>
    <t>11-320-00-083500-55309 : Physical Education : Subscriptions</t>
  </si>
  <si>
    <t>11-320-00-696500-55309 : Athletic Activities : Subscriptions</t>
  </si>
  <si>
    <t>11-335-00-120400-55309 : Respiratory Care Program : Subscriptions</t>
  </si>
  <si>
    <t>11-350-00-210500-55309 : Administration of Justice : Subscriptions</t>
  </si>
  <si>
    <t>11-350-01-095200-55309 : Construction Technology : Subscriptions</t>
  </si>
  <si>
    <t>11-350-01-601000-55309 : Academic Administration : Subscriptions</t>
  </si>
  <si>
    <t>11-420-00-646000-55309 : Financial Aid : Subscriptions</t>
  </si>
  <si>
    <t>11-440-00-493032-55309 : DSP&amp;S Instruction : Subscriptions</t>
  </si>
  <si>
    <t>11-210-00-672020-55400 : Fiscal Operations : Insurance</t>
  </si>
  <si>
    <t>11-320-00-696500-55400 : Athletic Activities : Insurance</t>
  </si>
  <si>
    <t>11-400-00-665000-55400 : Student Services Administration : Insurance</t>
  </si>
  <si>
    <t>11-120-02-657000-55530 : Utilities : Electric Utility</t>
  </si>
  <si>
    <t>11-200-04-657000-55530 : Utilities : Electric Utility</t>
  </si>
  <si>
    <t>11-210-00-657000-55530 : Utilities : Electric Utility</t>
  </si>
  <si>
    <t>11-210-05-657000-55530 : Utilities : Electric Utility</t>
  </si>
  <si>
    <t>11-220-00-657000-55530 : Utilities : Electric Utility</t>
  </si>
  <si>
    <t>11-220-04-657000-55530 : Utilities : Electric Utility</t>
  </si>
  <si>
    <t>11-120-02-657000-55540 : Utilities : Gas Utility</t>
  </si>
  <si>
    <t>11-200-04-657000-55540 : Utilities : Gas Utility</t>
  </si>
  <si>
    <t>11-210-00-657000-55540 : Utilities : Gas Utility</t>
  </si>
  <si>
    <t>11-220-00-657000-55540 : Utilities : Gas Utility</t>
  </si>
  <si>
    <t>11-100-00-661000-55550 : Planning &amp; Policy Making : Telephone Service</t>
  </si>
  <si>
    <t>11-100-00-680500-55550 : Community Information : Telephone Service</t>
  </si>
  <si>
    <t>11-100-00-684000-55550 : Community Relations &amp; Develop. : Telephone Service</t>
  </si>
  <si>
    <t>11-210-00-672020-55550 : Fiscal Operations : Telephone Service</t>
  </si>
  <si>
    <t>11-210-00-677020-55550 : Emergency Management : Telephone Service</t>
  </si>
  <si>
    <t>11-220-00-659010-55550 : Maintenance &amp; Operations : Telephone Service</t>
  </si>
  <si>
    <t>11-600-00-678000-55550 : Management Information Systems : Telephone Service</t>
  </si>
  <si>
    <t>11-200-00-677010-55555 : COVID-19 : Hotspot Service</t>
  </si>
  <si>
    <t>11-100-00-661000-55560 : Planning &amp; Policy Making : Water Service</t>
  </si>
  <si>
    <t>11-120-02-657000-55560 : Utilities : Water Service</t>
  </si>
  <si>
    <t>11-210-00-657000-55560 : Utilities : Water Service</t>
  </si>
  <si>
    <t>11-220-00-657000-55560 : Utilities : Water Service</t>
  </si>
  <si>
    <t>11-350-01-010100-55560 : Agriculture Technology : Water Service</t>
  </si>
  <si>
    <t>11-210-00-657000-55570 : Utilities : Sewer Service</t>
  </si>
  <si>
    <t>11-220-00-657000-55570 : Utilities : Sewer Service</t>
  </si>
  <si>
    <t>11-210-00-657000-55575 : Utilities : Hazardous Waste Disposal</t>
  </si>
  <si>
    <t>11-220-00-657000-55575 : Utilities : Hazardous Waste Disposal</t>
  </si>
  <si>
    <t>11-220-00-659020-55575 : Safety &amp; Hazardous Materials : Hazardous Waste Disposal</t>
  </si>
  <si>
    <t>11-350-01-094700-55575 : Diesel Mechanics : Hazardous Waste Disposal</t>
  </si>
  <si>
    <t>11-120-02-657000-55580 : Utilities : Trash Collection Service</t>
  </si>
  <si>
    <t>11-210-00-657000-55580 : Utilities : Trash Collection Service</t>
  </si>
  <si>
    <t>11-220-00-657000-55580 : Utilities : Trash Collection Service</t>
  </si>
  <si>
    <t>11-210-00-672020-55600 : Fiscal Operations : Rents &amp; Leases</t>
  </si>
  <si>
    <t>11-220-00-659010-55600 : Maintenance &amp; Operations : Rents &amp; Leases</t>
  </si>
  <si>
    <t>11-320-00-696500-55600 : Athletic Activities : Rents &amp; Leases</t>
  </si>
  <si>
    <t>11-340-00-682500-55600 : Western Stage : Rents &amp; Leases</t>
  </si>
  <si>
    <t>11-350-01-601000-55600 : Academic Administration : Rents &amp; Leases</t>
  </si>
  <si>
    <t>11-370-00-708300-55600 : Dept of Social &amp; Employ Svs : Rents &amp; Leases</t>
  </si>
  <si>
    <t>11-150-00-663000-55610 : Research Office : Software licensing</t>
  </si>
  <si>
    <t>11-300-00-490000-55610 : Interdisiplinary Studies : Software licensing</t>
  </si>
  <si>
    <t>11-600-00-678000-55610 : Management Information Systems : Software licensing</t>
  </si>
  <si>
    <t>11-335-00-120300-55625 : Nursing - RN : Inprocessing Costs</t>
  </si>
  <si>
    <t>11-500-00-673000-55625 : Human Resources : Inprocessing Costs</t>
  </si>
  <si>
    <t>11-100-00-661000-55630 : Planning &amp; Policy Making : Printing &amp; Duplicating - Inhouse</t>
  </si>
  <si>
    <t>11-100-00-675020-55630 : Academic Senate : Printing &amp; Duplicating - Inhouse</t>
  </si>
  <si>
    <t>11-100-00-680500-55630 : Community Information : Printing &amp; Duplicating - Inhouse</t>
  </si>
  <si>
    <t>11-100-00-682000-55630 : Workforce &amp; Community Development : Printing &amp; Duplicating - Inhouse</t>
  </si>
  <si>
    <t>11-100-00-684000-55630 : Community Relations &amp; Develop. : Printing &amp; Duplicating - Inhouse</t>
  </si>
  <si>
    <t>11-120-02-150100-55630 : English : Printing &amp; Duplicating - Inhouse</t>
  </si>
  <si>
    <t>11-120-02-150600-55630 : Speech : Printing &amp; Duplicating - Inhouse</t>
  </si>
  <si>
    <t>11-120-02-170100-55630 : Mathematics : Printing &amp; Duplicating - Inhouse</t>
  </si>
  <si>
    <t>11-120-02-190200-55630 : Physics : Printing &amp; Duplicating - Inhouse</t>
  </si>
  <si>
    <t>11-120-02-210500-55630 : Administration of Justice : Printing &amp; Duplicating - Inhouse</t>
  </si>
  <si>
    <t>11-120-02-220200-55630 : Anthropology : Printing &amp; Duplicating - Inhouse</t>
  </si>
  <si>
    <t>11-120-02-220500-55630 : History : Printing &amp; Duplicating - Inhouse</t>
  </si>
  <si>
    <t>11-120-02-220700-55630 : Political Science : Printing &amp; Duplicating - Inhouse</t>
  </si>
  <si>
    <t>11-120-02-220800-55630 : Sociology : Printing &amp; Duplicating - Inhouse</t>
  </si>
  <si>
    <t>11-120-02-601000-55630 : Academic Administration : Printing &amp; Duplicating - Inhouse</t>
  </si>
  <si>
    <t>11-120-02-612000-55630 : Library Services : Printing &amp; Duplicating - Inhouse</t>
  </si>
  <si>
    <t>11-120-02-631000-55630 : Counseling &amp; Guidance : Printing &amp; Duplicating - Inhouse</t>
  </si>
  <si>
    <t>11-120-02-700400-55630 : SSSP : Printing &amp; Duplicating - Inhouse</t>
  </si>
  <si>
    <t>11-140-00-671020-55630 : Institutional Advancement : Printing &amp; Duplicating - Inhouse</t>
  </si>
  <si>
    <t>11-140-00-684000-55630 : Community Relations &amp; Develop. : Printing &amp; Duplicating - Inhouse</t>
  </si>
  <si>
    <t>11-150-00-663000-55630 : Research Office : Printing &amp; Duplicating - Inhouse</t>
  </si>
  <si>
    <t>11-200-00-677100-55630 : Campus Security : Printing &amp; Duplicating - Inhouse</t>
  </si>
  <si>
    <t>11-210-00-672010-55630 : Business Office : Printing &amp; Duplicating - Inhouse</t>
  </si>
  <si>
    <t>11-210-00-672040-55630 : Grants Administration : Printing &amp; Duplicating - Inhouse</t>
  </si>
  <si>
    <t>11-215-00-677000-55630 : Purchasing/Receiving : Printing &amp; Duplicating - Inhouse</t>
  </si>
  <si>
    <t>11-220-00-651000-55630 : Building Maintenance &amp; Repairs : Printing &amp; Duplicating - Inhouse</t>
  </si>
  <si>
    <t>11-220-00-653000-55630 : Custodial Services : Printing &amp; Duplicating - Inhouse</t>
  </si>
  <si>
    <t>11-220-00-655000-55630 : Grounds Maintenance &amp; Repairs : Printing &amp; Duplicating - Inhouse</t>
  </si>
  <si>
    <t>11-220-00-659010-55630 : Maintenance &amp; Operations : Printing &amp; Duplicating - Inhouse</t>
  </si>
  <si>
    <t>11-220-00-677000-55630 : Purchasing/Receiving : Printing &amp; Duplicating - Inhouse</t>
  </si>
  <si>
    <t>11-220-00-683000-55630 : Community Use of Facilities : Printing &amp; Duplicating - Inhouse</t>
  </si>
  <si>
    <t>11-300-00-601000-55630 : Academic Administration : Printing &amp; Duplicating - Inhouse</t>
  </si>
  <si>
    <t>11-300-00-675020-55630 : Academic Senate : Printing &amp; Duplicating - Inhouse</t>
  </si>
  <si>
    <t>11-301-00-601000-55630 : Academic Administration : Printing &amp; Duplicating - Inhouse</t>
  </si>
  <si>
    <t>11-304-00-601000-55630 : Academic Administration : Printing &amp; Duplicating - Inhouse</t>
  </si>
  <si>
    <t>11-304-00-682100-55630 : Planetarium : Printing &amp; Duplicating - Inhouse</t>
  </si>
  <si>
    <t>11-304-00-703800-55630 : MESA Grant : Printing &amp; Duplicating - Inhouse</t>
  </si>
  <si>
    <t>11-310-00-100200-55630 : Art : Printing &amp; Duplicating - Inhouse</t>
  </si>
  <si>
    <t>11-310-00-100400-55630 : Music : Printing &amp; Duplicating - Inhouse</t>
  </si>
  <si>
    <t>11-310-00-100700-55630 : Theater Arts : Printing &amp; Duplicating - Inhouse</t>
  </si>
  <si>
    <t>11-310-00-101100-55630 : Photography : Printing &amp; Duplicating - Inhouse</t>
  </si>
  <si>
    <t>11-310-00-130500-55630 : Early Childhood Education : Printing &amp; Duplicating - Inhouse</t>
  </si>
  <si>
    <t>11-310-00-150900-55630 : Philosophy : Printing &amp; Duplicating - Inhouse</t>
  </si>
  <si>
    <t>11-310-00-200100-55630 : Psychology : Printing &amp; Duplicating - Inhouse</t>
  </si>
  <si>
    <t>11-310-00-210440-55630 : Alcohol &amp; Drug Counseling : Printing &amp; Duplicating - Inhouse</t>
  </si>
  <si>
    <t>11-310-00-220200-55630 : Anthropology : Printing &amp; Duplicating - Inhouse</t>
  </si>
  <si>
    <t>11-310-00-220210-55630 : Ethnic Studies : Printing &amp; Duplicating - Inhouse</t>
  </si>
  <si>
    <t>11-310-00-220400-55630 : Economics : Printing &amp; Duplicating - Inhouse</t>
  </si>
  <si>
    <t>11-310-00-220500-55630 : History : Printing &amp; Duplicating - Inhouse</t>
  </si>
  <si>
    <t>11-310-00-220700-55630 : Political Science : Printing &amp; Duplicating - Inhouse</t>
  </si>
  <si>
    <t>11-310-00-220800-55630 : Sociology : Printing &amp; Duplicating - Inhouse</t>
  </si>
  <si>
    <t>11-320-00-083500-55630 : Physical Education : Printing &amp; Duplicating - Inhouse</t>
  </si>
  <si>
    <t>11-320-00-083510-55630 : Adaptive Physical Education : Printing &amp; Duplicating - Inhouse</t>
  </si>
  <si>
    <t>11-320-00-083550-55630 : Athletics - Instruction : Printing &amp; Duplicating - Inhouse</t>
  </si>
  <si>
    <t>11-320-00-083700-55630 : Health Education : Printing &amp; Duplicating - Inhouse</t>
  </si>
  <si>
    <t>11-320-00-130600-55630 : Food Service Management : Printing &amp; Duplicating - Inhouse</t>
  </si>
  <si>
    <t>11-320-00-601000-55630 : Academic Administration : Printing &amp; Duplicating - Inhouse</t>
  </si>
  <si>
    <t>11-320-00-696500-55630 : Athletic Activities : Printing &amp; Duplicating - Inhouse</t>
  </si>
  <si>
    <t>11-330-00-040110-55630 : Biology : Printing &amp; Duplicating - Inhouse</t>
  </si>
  <si>
    <t>11-330-00-070710-55630 : Computer Programming : Printing &amp; Duplicating - Inhouse</t>
  </si>
  <si>
    <t>11-330-00-090100-55630 : Engineering : Printing &amp; Duplicating - Inhouse</t>
  </si>
  <si>
    <t>11-330-00-170100-55630 : Mathematics : Printing &amp; Duplicating - Inhouse</t>
  </si>
  <si>
    <t>11-330-00-190200-55630 : Physics : Printing &amp; Duplicating - Inhouse</t>
  </si>
  <si>
    <t>11-330-00-190500-55630 : Chemistry : Printing &amp; Duplicating - Inhouse</t>
  </si>
  <si>
    <t>11-330-00-191100-55630 : Astronomy : Printing &amp; Duplicating - Inhouse</t>
  </si>
  <si>
    <t>11-330-00-191400-55630 : Geology : Printing &amp; Duplicating - Inhouse</t>
  </si>
  <si>
    <t>11-330-00-191900-55630 : Oceanography : Printing &amp; Duplicating - Inhouse</t>
  </si>
  <si>
    <t>11-330-00-220600-55630 : Geography : Printing &amp; Duplicating - Inhouse</t>
  </si>
  <si>
    <t>11-330-00-601000-55630 : Academic Administration : Printing &amp; Duplicating - Inhouse</t>
  </si>
  <si>
    <t>11-330-01-070100-55630 : Computer &amp; Information Science : Printing &amp; Duplicating - Inhouse</t>
  </si>
  <si>
    <t>11-330-01-090100-55630 : Engineering : Printing &amp; Duplicating - Inhouse</t>
  </si>
  <si>
    <t>11-335-00-120300-55630 : Nursing - RN : Printing &amp; Duplicating - Inhouse</t>
  </si>
  <si>
    <t>11-335-00-120320-55630 : Nursing - LVN : Printing &amp; Duplicating - Inhouse</t>
  </si>
  <si>
    <t>11-335-00-120400-55630 : Respiratory Care Program : Printing &amp; Duplicating - Inhouse</t>
  </si>
  <si>
    <t>11-335-00-125000-55630 : Mobile Intensive Care Paramedic : Printing &amp; Duplicating - Inhouse</t>
  </si>
  <si>
    <t>11-335-00-601000-55630 : Academic Administration : Printing &amp; Duplicating - Inhouse</t>
  </si>
  <si>
    <t>11-340-00-682500-55630 : Western Stage : Printing &amp; Duplicating - Inhouse</t>
  </si>
  <si>
    <t>11-350-00-050000-55630 : Business Education : Printing &amp; Duplicating - Inhouse</t>
  </si>
  <si>
    <t>11-350-00-094800-55630 : Automotive Technology : Printing &amp; Duplicating - Inhouse</t>
  </si>
  <si>
    <t>11-350-00-130500-55630 : Early Childhood Education : Printing &amp; Duplicating - Inhouse</t>
  </si>
  <si>
    <t>11-350-00-210440-55630 : Alcohol &amp; Drug Counseling : Printing &amp; Duplicating - Inhouse</t>
  </si>
  <si>
    <t>11-350-00-210500-55630 : Administration of Justice : Printing &amp; Duplicating - Inhouse</t>
  </si>
  <si>
    <t>11-350-00-601000-55630 : Academic Administration : Printing &amp; Duplicating - Inhouse</t>
  </si>
  <si>
    <t>11-350-01-010100-55630 : Agriculture Technology : Printing &amp; Duplicating - Inhouse</t>
  </si>
  <si>
    <t>11-350-01-094500-55630 : Agriculture &amp; Industrial Tech. : Printing &amp; Duplicating - Inhouse</t>
  </si>
  <si>
    <t>11-350-01-094700-55630 : Diesel Mechanics : Printing &amp; Duplicating - Inhouse</t>
  </si>
  <si>
    <t>11-350-01-094800-55630 : Automotive Technology : Printing &amp; Duplicating - Inhouse</t>
  </si>
  <si>
    <t>11-350-01-095200-55630 : Construction Technology : Printing &amp; Duplicating - Inhouse</t>
  </si>
  <si>
    <t>11-350-01-095300-55630 : Drafting Technology : Printing &amp; Duplicating - Inhouse</t>
  </si>
  <si>
    <t>11-350-01-095650-55630 : Welding Technology : Printing &amp; Duplicating - Inhouse</t>
  </si>
  <si>
    <t>11-350-01-601000-55630 : Academic Administration : Printing &amp; Duplicating - Inhouse</t>
  </si>
  <si>
    <t>11-360-00-160100-55630 : Library Science : Printing &amp; Duplicating - Inhouse</t>
  </si>
  <si>
    <t>11-360-00-601000-55630 : Academic Administration : Printing &amp; Duplicating - Inhouse</t>
  </si>
  <si>
    <t>11-360-00-612000-55630 : Library Services : Printing &amp; Duplicating - Inhouse</t>
  </si>
  <si>
    <t>11-360-00-613000-55630 : Instructional Media : Printing &amp; Duplicating - Inhouse</t>
  </si>
  <si>
    <t>11-365-00-493034-55630 : Learning Skills Center : Printing &amp; Duplicating - Inhouse</t>
  </si>
  <si>
    <t>11-370-00-708300-55630 : Dept of Social &amp; Employ Svs : Printing &amp; Duplicating - Inhouse</t>
  </si>
  <si>
    <t>11-375-00-110500-55630 : Spanish : Printing &amp; Duplicating - Inhouse</t>
  </si>
  <si>
    <t>11-375-00-150100-55630 : English : Printing &amp; Duplicating - Inhouse</t>
  </si>
  <si>
    <t>11-375-00-150600-55630 : Speech : Printing &amp; Duplicating - Inhouse</t>
  </si>
  <si>
    <t>11-375-00-493080-55630 : ESL : Printing &amp; Duplicating - Inhouse</t>
  </si>
  <si>
    <t>11-395-00-635050-55630 : ACE Program : Printing &amp; Duplicating - Inhouse</t>
  </si>
  <si>
    <t>11-395-00-696000-55630 : Student Activities : Printing &amp; Duplicating - Inhouse</t>
  </si>
  <si>
    <t>11-400-00-631000-55630 : Counseling &amp; Guidance : Printing &amp; Duplicating - Inhouse</t>
  </si>
  <si>
    <t>11-400-00-631020-55630 : Crisis Counseling : Printing &amp; Duplicating - Inhouse</t>
  </si>
  <si>
    <t>11-400-00-634000-55630 : Career Center : Printing &amp; Duplicating - Inhouse</t>
  </si>
  <si>
    <t>11-400-00-665000-55630 : Student Services Administration : Printing &amp; Duplicating - Inhouse</t>
  </si>
  <si>
    <t>11-400-00-696000-55630 : Student Activities : Printing &amp; Duplicating - Inhouse</t>
  </si>
  <si>
    <t>11-410-00-620000-55630 : Admissions &amp; Records : Printing &amp; Duplicating - Inhouse</t>
  </si>
  <si>
    <t>11-420-00-646000-55630 : Financial Aid : Printing &amp; Duplicating - Inhouse</t>
  </si>
  <si>
    <t>11-420-00-646021-55630 : Scholarship Operations : Printing &amp; Duplicating - Inhouse</t>
  </si>
  <si>
    <t>11-420-00-648000-55630 : Veterans : Printing &amp; Duplicating - Inhouse</t>
  </si>
  <si>
    <t>11-430-00-700500-55630 : EOPS - State : Printing &amp; Duplicating - Inhouse</t>
  </si>
  <si>
    <t>11-440-00-493032-55630 : DSP&amp;S Instruction : Printing &amp; Duplicating - Inhouse</t>
  </si>
  <si>
    <t>11-500-00-673000-55630 : Human Resources : Printing &amp; Duplicating - Inhouse</t>
  </si>
  <si>
    <t>11-600-00-678000-55630 : Management Information Systems : Printing &amp; Duplicating - Inhouse</t>
  </si>
  <si>
    <t>11-100-00-661000-55635 : Planning &amp; Policy Making : Printing Services - Vendor</t>
  </si>
  <si>
    <t>11-140-00-684000-55635 : Community Relations &amp; Develop. : Printing Services - Vendor</t>
  </si>
  <si>
    <t>11-210-00-672020-55635 : Fiscal Operations : Printing Services - Vendor</t>
  </si>
  <si>
    <t>11-300-00-601000-55635 : Academic Administration : Printing Services - Vendor</t>
  </si>
  <si>
    <t>11-340-00-682500-55635 : Western Stage : Printing Services - Vendor</t>
  </si>
  <si>
    <t>11-350-01-010100-55635 : Agriculture Technology : Printing Services - Vendor</t>
  </si>
  <si>
    <t>11-350-01-601000-55635 : Academic Administration : Printing Services - Vendor</t>
  </si>
  <si>
    <t>11-370-00-708300-55635 : Dept of Social &amp; Employ Svs : Printing Services - Vendor</t>
  </si>
  <si>
    <t>11-400-00-620020-55635 : Graduation Program : Printing Services - Vendor</t>
  </si>
  <si>
    <t>11-410-00-620000-55635 : Admissions &amp; Records : Printing Services - Vendor</t>
  </si>
  <si>
    <t>11-500-00-673000-55635 : Human Resources : Printing Services - Vendor</t>
  </si>
  <si>
    <t>11-120-02-601000-55650 : Academic Administration : Maintenance Agreement</t>
  </si>
  <si>
    <t>11-210-00-672020-55650 : Fiscal Operations : Maintenance Agreement</t>
  </si>
  <si>
    <t>11-210-00-677000-55650 : Purchasing/Receiving : Maintenance Agreement</t>
  </si>
  <si>
    <t>11-210-00-677020-55650 : Emergency Management : Maintenance Agreement</t>
  </si>
  <si>
    <t>11-220-00-651000-55650 : Building Maintenance &amp; Repairs : Maintenance Agreement</t>
  </si>
  <si>
    <t>11-220-00-653000-55650 : Custodial Services : Maintenance Agreement</t>
  </si>
  <si>
    <t>11-220-00-655000-55650 : Grounds Maintenance &amp; Repairs : Maintenance Agreement</t>
  </si>
  <si>
    <t>11-220-00-659010-55650 : Maintenance &amp; Operations : Maintenance Agreement</t>
  </si>
  <si>
    <t>11-300-00-601000-55650 : Academic Administration : Maintenance Agreement</t>
  </si>
  <si>
    <t>11-300-04-601000-55650 : Academic Administration : Maintenance Agreement</t>
  </si>
  <si>
    <t>11-304-00-601000-55650 : Academic Administration : Maintenance Agreement</t>
  </si>
  <si>
    <t>11-330-00-040110-55650 : Biology : Maintenance Agreement</t>
  </si>
  <si>
    <t>11-330-00-170100-55650 : Mathematics : Maintenance Agreement</t>
  </si>
  <si>
    <t>11-330-00-190500-55650 : Chemistry : Maintenance Agreement</t>
  </si>
  <si>
    <t>11-330-01-070100-55650 : Computer &amp; Information Science : Maintenance Agreement</t>
  </si>
  <si>
    <t>11-335-00-120300-55650 : Nursing - RN : Maintenance Agreement</t>
  </si>
  <si>
    <t>11-335-00-120400-55650 : Respiratory Care Program : Maintenance Agreement</t>
  </si>
  <si>
    <t>11-340-00-682500-55650 : Western Stage : Maintenance Agreement</t>
  </si>
  <si>
    <t>11-350-01-010100-55650 : Agriculture Technology : Maintenance Agreement</t>
  </si>
  <si>
    <t>11-350-01-094700-55650 : Diesel Mechanics : Maintenance Agreement</t>
  </si>
  <si>
    <t>11-350-01-094800-55650 : Automotive Technology : Maintenance Agreement</t>
  </si>
  <si>
    <t>11-350-01-601000-55650 : Academic Administration : Maintenance Agreement</t>
  </si>
  <si>
    <t>11-360-00-612000-55650 : Library Services : Maintenance Agreement</t>
  </si>
  <si>
    <t>11-395-00-635050-55650 : ACE Program : Maintenance Agreement</t>
  </si>
  <si>
    <t>11-410-00-620000-55650 : Admissions &amp; Records : Maintenance Agreement</t>
  </si>
  <si>
    <t>11-600-00-678000-55650 : Management Information Systems : Maintenance Agreement</t>
  </si>
  <si>
    <t>11-220-00-651000-55651 : Building Maintenance &amp; Repairs : Equipment Repairs</t>
  </si>
  <si>
    <t>11-220-00-655000-55651 : Grounds Maintenance &amp; Repairs : Equipment Repairs</t>
  </si>
  <si>
    <t>11-220-00-659010-55651 : Maintenance &amp; Operations : Equipment Repairs</t>
  </si>
  <si>
    <t>11-220-00-677300-55651 : Vehicle Maintenance : Equipment Repairs</t>
  </si>
  <si>
    <t>11-310-00-100200-55651 : Art : Equipment Repairs</t>
  </si>
  <si>
    <t>11-310-00-100400-55651 : Music : Equipment Repairs</t>
  </si>
  <si>
    <t>11-320-00-083500-55651 : Physical Education : Equipment Repairs</t>
  </si>
  <si>
    <t>11-320-00-696500-55651 : Athletic Activities : Equipment Repairs</t>
  </si>
  <si>
    <t>11-340-00-682500-55651 : Western Stage : Equipment Repairs</t>
  </si>
  <si>
    <t>11-350-01-094500-55651 : Agriculture &amp; Industrial Tech. : Equipment Repairs</t>
  </si>
  <si>
    <t>11-350-01-094700-55651 : Diesel Mechanics : Equipment Repairs</t>
  </si>
  <si>
    <t>11-350-01-094800-55651 : Automotive Technology : Equipment Repairs</t>
  </si>
  <si>
    <t>11-350-01-095300-55651 : Drafting Technology : Equipment Repairs</t>
  </si>
  <si>
    <t>11-350-01-095650-55651 : Welding Technology : Equipment Repairs</t>
  </si>
  <si>
    <t>11-600-00-678000-55653 : Management Information Systems : Instructional Computer Repair</t>
  </si>
  <si>
    <t>11-210-00-672020-55663 : Fiscal Operations : Bank Fees</t>
  </si>
  <si>
    <t>11-210-00-672020-55700 : Fiscal Operations : Legal &amp; Audit Expenses</t>
  </si>
  <si>
    <t>11-500-00-673000-55700 : Human Resources : Legal &amp; Audit Expenses</t>
  </si>
  <si>
    <t>11-100-00-662000-55710 : Board of Trustees : Elections</t>
  </si>
  <si>
    <t>11-100-00-661000-55800 : Planning &amp; Policy Making : Other Costs</t>
  </si>
  <si>
    <t>11-100-00-662000-55800 : Board of Trustees : Other Costs</t>
  </si>
  <si>
    <t>11-200-00-695000-55800 : Parking Services : Other Costs</t>
  </si>
  <si>
    <t>11-210-00-672010-55800 : Business Office : Other Costs</t>
  </si>
  <si>
    <t>11-210-00-672020-55800 : Fiscal Operations : Other Costs</t>
  </si>
  <si>
    <t>11-350-01-094700-55800 : Diesel Mechanics : Other Costs</t>
  </si>
  <si>
    <t>11-350-01-601000-55800 : Academic Administration : Other Costs</t>
  </si>
  <si>
    <t>11-140-00-684000-55810 : Community Relations &amp; Develop. : Bulk Mail</t>
  </si>
  <si>
    <t>11-340-00-682500-55810 : Western Stage : Bulk Mail</t>
  </si>
  <si>
    <t>11-140-00-684000-55820 : Community Relations &amp; Develop. : US Postage</t>
  </si>
  <si>
    <t>11-210-00-672020-55820 : Fiscal Operations : US Postage</t>
  </si>
  <si>
    <t>11-340-00-682500-55820 : Western Stage : US Postage</t>
  </si>
  <si>
    <t>11-370-00-708300-55820 : Dept of Social &amp; Employ Svs : US Postage</t>
  </si>
  <si>
    <t>11-200-00-677000-55821 : Purchasing/Receiving : Commercial Parcel Service</t>
  </si>
  <si>
    <t>11-372-00-601000-55821 : Academic Administration : Commercial Parcel Service</t>
  </si>
  <si>
    <t>11-500-00-673000-55825 : Human Resources : Relocation Expenses</t>
  </si>
  <si>
    <t>11-120-02-601000-55830 : Academic Administration : Advertising Expense</t>
  </si>
  <si>
    <t>11-140-00-684000-55830 : Community Relations &amp; Develop. : Advertising Expense</t>
  </si>
  <si>
    <t>11-220-00-659010-55830 : Maintenance &amp; Operations : Advertising Expense</t>
  </si>
  <si>
    <t>11-340-00-682500-55830 : Western Stage : Advertising Expense</t>
  </si>
  <si>
    <t>11-350-01-601000-55830 : Academic Administration : Advertising Expense</t>
  </si>
  <si>
    <t>11-210-00-672020-55835 : Fiscal Operations : Classified Newspaper Ads</t>
  </si>
  <si>
    <t xml:space="preserve">11-210-00-672020-55861 : Fiscal Operations : Credit Card Fees </t>
  </si>
  <si>
    <t>11-210-00-672020-55862 : Fiscal Operations : Credit Card Holding</t>
  </si>
  <si>
    <t>56</t>
  </si>
  <si>
    <t>11-220-00-659010-56216 : Maintenance &amp; Operations : Other Costs</t>
  </si>
  <si>
    <t>11-220-00-659020-56217 : Safety &amp; Hazardous Materials : Permits and Fees</t>
  </si>
  <si>
    <t>11-350-01-095300-56300 : Drafting Technology : Capital Books &amp; Software</t>
  </si>
  <si>
    <t>11-350-01-601000-56300 : Academic Administration : Capital Books &amp; Software</t>
  </si>
  <si>
    <t>11-360-00-490110-56300 : Interdisciplinary Studies : Capital Books &amp; Software</t>
  </si>
  <si>
    <t>11-360-00-612000-56300 : Library Services : Capital Books &amp; Software</t>
  </si>
  <si>
    <t>11-360-00-613000-56300 : Instructional Media : Capital Books &amp; Software</t>
  </si>
  <si>
    <t>11-300-00-612000-56310 : Library Services : Periodicals &amp; Newspapers</t>
  </si>
  <si>
    <t>11-360-00-612000-56310 : Library Services : Periodicals &amp; Newspapers</t>
  </si>
  <si>
    <t>11-360-00-612000-56340 : Library Services : Bibliographic Utilities</t>
  </si>
  <si>
    <t>11-350-01-094800-56341 : Automotive Technology : On-line Database Services</t>
  </si>
  <si>
    <t>11-360-00-612000-56341 : Library Services : On-line Database Services</t>
  </si>
  <si>
    <t>11-120-02-601000-56400 : Academic Administration : Cap Equip - $200 to $4,999</t>
  </si>
  <si>
    <t>11-140-00-684000-56400 : Community Relations &amp; Develop. : Cap Equip - $200 to $4,999</t>
  </si>
  <si>
    <t>11-210-00-672010-56400 : Business Office : Cap Equip - $200 to $4,999</t>
  </si>
  <si>
    <t>11-220-00-651000-56400 : Building Maintenance &amp; Repairs : Cap Equip - $200 to $4,999</t>
  </si>
  <si>
    <t>11-300-00-490000-56400 : Interdisiplinary Studies : Cap Equip - $200 to $4,999</t>
  </si>
  <si>
    <t>11-310-00-100200-56400 : Art : Cap Equip - $200 to $4,999</t>
  </si>
  <si>
    <t>11-320-00-696500-56400 : Athletic Activities : Cap Equip - $200 to $4,999</t>
  </si>
  <si>
    <t>11-350-00-050000-56400 : Business Education : Cap Equip - $200 to $4,999</t>
  </si>
  <si>
    <t>11-350-01-094700-56400 : Diesel Mechanics : Cap Equip - $200 to $4,999</t>
  </si>
  <si>
    <t>11-350-01-095200-56400 : Construction Technology : Cap Equip - $200 to $4,999</t>
  </si>
  <si>
    <t>11-350-01-095650-56400 : Welding Technology : Cap Equip - $200 to $4,999</t>
  </si>
  <si>
    <t>11-360-00-613000-56400 : Instructional Media : Cap Equip - $200 to $4,999</t>
  </si>
  <si>
    <t>11-372-00-601000-56400 : Academic Administration : Cap Equip - $200 to $4,999</t>
  </si>
  <si>
    <t>11-395-00-635050-56400 : ACE Program : Cap Equip - $200 to $4,999</t>
  </si>
  <si>
    <t>11-500-00-673000-56400 : Human Resources : Cap Equip - $200 to $4,999</t>
  </si>
  <si>
    <t>11-600-00-678000-56400 : Management Information Systems : Cap Equip - $200 to $4,999</t>
  </si>
  <si>
    <t>11-600-00-678001-56402 : Mngmnt Information Systems PPA : Capital software $200-$4,999</t>
  </si>
  <si>
    <t>11-220-00-651000-56405 : Building Maintenance &amp; Repairs : Cap Equip - $5,000 and Over</t>
  </si>
  <si>
    <t>11-300-00-490000-56405 : Interdisiplinary Studies : Cap Equip - $5,000 and Over</t>
  </si>
  <si>
    <t>57</t>
  </si>
  <si>
    <t>11-210-00-672020-57300 : Fiscal Operations : Interfund Transfer</t>
  </si>
  <si>
    <t>11-210-00-672020-57350 : Fiscal Operations : Tsf Indirect Costs-Interfund</t>
  </si>
  <si>
    <t>11-370-00-708300-57350 : Dept of Social &amp; Employ Svs : Tsf Indirect Costs-Interfund</t>
  </si>
  <si>
    <t>11-210-00-672020-57351 : Fiscal Operations : Other Admin Costs</t>
  </si>
  <si>
    <t>11-210-00-732000-57510 : Student Aid : Student Internship</t>
  </si>
  <si>
    <t>11-100-00-662000-57552 : Board of Trustees : Student Travel/Meals</t>
  </si>
  <si>
    <t>11-100-00-662000-57552 : Board of Trustees : Student Travel/Workshps/Meals</t>
  </si>
  <si>
    <t>11-310-00-100700-57552 : Theater Arts : Student Travel/Meals</t>
  </si>
  <si>
    <t>11-310-00-100700-57552 : Theater Arts : Student Travel/Workshps/Meals</t>
  </si>
  <si>
    <t>11-320-00-696500-57552 : Athletic Activities : Student Travel/Workshps/Meals</t>
  </si>
  <si>
    <t>(All)</t>
  </si>
  <si>
    <t>Sum of Amount</t>
  </si>
  <si>
    <t>Column Labels</t>
  </si>
  <si>
    <t>11-100-00-661000-51205 : Planning &amp; Policy Making : Academic Nonteaching President</t>
  </si>
  <si>
    <t>11-100-00-661000-52120 : Planning &amp; Policy Making : Classified Confidential</t>
  </si>
  <si>
    <t>11-100-00-661000-53120 : Planning &amp; Policy Making : STRS Nonteaching</t>
  </si>
  <si>
    <t>11-100-00-661000-53220 : Planning &amp; Policy Making : PERS Nonteaching</t>
  </si>
  <si>
    <t>11-100-00-661000-53320 : Planning &amp; Policy Making : OASDHI (FICA) Nonteaching</t>
  </si>
  <si>
    <t>11-100-00-661000-53340 : Planning &amp; Policy Making : Medicare Nonteaching</t>
  </si>
  <si>
    <t>11-100-00-661000-53420 : Planning &amp; Policy Making : H &amp; W Nonteaching</t>
  </si>
  <si>
    <t>11-100-00-661000-53520 : Planning &amp; Policy Making : SUI Nonteaching</t>
  </si>
  <si>
    <t>11-100-00-661000-53620 : Planning &amp; Policy Making : WC Nonteaching</t>
  </si>
  <si>
    <t>11-100-00-661000-53920 : Planning &amp; Policy Making : Other Benefit-Non Teaching</t>
  </si>
  <si>
    <t>11-100-00-662000-52130 : Board of Trustees : Classified Management</t>
  </si>
  <si>
    <t>11-100-00-662000-53220 : Board of Trustees : PERS Nonteaching</t>
  </si>
  <si>
    <t>11-100-00-662000-53320 : Board of Trustees : OASDHI (FICA) Nonteaching</t>
  </si>
  <si>
    <t>11-100-00-662000-53340 : Board of Trustees : Medicare Nonteaching</t>
  </si>
  <si>
    <t>11-100-00-662000-53420 : Board of Trustees : H &amp; W Nonteaching</t>
  </si>
  <si>
    <t>11-100-00-662000-53430 : Board of Trustees : Trustee Benefits</t>
  </si>
  <si>
    <t>11-100-00-662000-53520 : Board of Trustees : SUI Nonteaching</t>
  </si>
  <si>
    <t>11-100-00-662000-53620 : Board of Trustees : WC Nonteaching</t>
  </si>
  <si>
    <t>11-100-00-680500-51205 : Community Information : Academic Nonteaching President</t>
  </si>
  <si>
    <t>11-100-00-680500-52120 : Community Information : Classified Confidential</t>
  </si>
  <si>
    <t>11-100-00-680500-53120 : Community Information : STRS Nonteaching</t>
  </si>
  <si>
    <t>11-100-00-680500-53220 : Community Information : PERS Nonteaching</t>
  </si>
  <si>
    <t>11-100-00-680500-53320 : Community Information : OASDHI (FICA) Nonteaching</t>
  </si>
  <si>
    <t>11-100-00-680500-53340 : Community Information : Medicare Nonteaching</t>
  </si>
  <si>
    <t>11-100-00-680500-53420 : Community Information : H &amp; W Nonteaching</t>
  </si>
  <si>
    <t>11-100-00-680500-53520 : Community Information : SUI Nonteaching</t>
  </si>
  <si>
    <t>11-100-00-680500-53620 : Community Information : WC Nonteaching</t>
  </si>
  <si>
    <t>11-100-00-680500-53920 : Community Information : Other Benefit-Non Teaching</t>
  </si>
  <si>
    <t>11-100-00-682000-52120 : Workforce &amp; Community Development : Classified Confidential</t>
  </si>
  <si>
    <t>11-100-00-682000-53220 : Workforce &amp; Community Development : PERS Nonteaching</t>
  </si>
  <si>
    <t>11-100-00-682000-53320 : Workforce &amp; Community Development : OASDHI (FICA) Nonteaching</t>
  </si>
  <si>
    <t>11-100-00-682000-53340 : Workforce &amp; Community Development : Medicare Nonteaching</t>
  </si>
  <si>
    <t>11-100-00-682000-53420 : Workforce &amp; Community Development : H &amp; W Nonteaching</t>
  </si>
  <si>
    <t>11-100-00-682000-53520 : Workforce &amp; Community Development : SUI Nonteaching</t>
  </si>
  <si>
    <t>11-100-00-682000-53620 : Workforce &amp; Community Development : WC Nonteaching</t>
  </si>
  <si>
    <t>11-100-00-682000-53920 : Workforce &amp; Community Development : Other Benefit-Non Teaching</t>
  </si>
  <si>
    <t>11-100-00-684000-51205 : Community Relations &amp; Develop. : Academic Nonteaching President</t>
  </si>
  <si>
    <t>11-100-00-684000-53120 : Community Relations &amp; Develop. : STRS Nonteaching</t>
  </si>
  <si>
    <t>11-100-00-684000-53220 : Community Relations &amp; Develop. : PERS Nonteaching</t>
  </si>
  <si>
    <t>11-100-00-684000-53320 : Community Relations &amp; Develop. : OASDHI (FICA) Nonteaching</t>
  </si>
  <si>
    <t>11-100-00-684000-53340 : Community Relations &amp; Develop. : Medicare Nonteaching</t>
  </si>
  <si>
    <t>11-100-00-684000-53420 : Community Relations &amp; Develop. : H &amp; W Nonteaching</t>
  </si>
  <si>
    <t>11-100-00-684000-53520 : Community Relations &amp; Develop. : SUI Nonteaching</t>
  </si>
  <si>
    <t>11-100-00-684000-53620 : Community Relations &amp; Develop. : WC Nonteaching</t>
  </si>
  <si>
    <t>11-120-02-010100-53310 : Agriculture Technology : OASDHI (FICA) Teaching</t>
  </si>
  <si>
    <t>11-120-02-010100-53330 : Agriculture Technology : Medicare Teaching</t>
  </si>
  <si>
    <t>11-120-02-010100-53510 : Agriculture Technology : SUI Teaching</t>
  </si>
  <si>
    <t>11-120-02-010100-53610 : Agriculture Technology : WC Teaching</t>
  </si>
  <si>
    <t>11-120-02-040110-53110 : Biology : STRS Teaching</t>
  </si>
  <si>
    <t>11-120-02-040110-53310 : Biology : OASDHI (FICA) Teaching</t>
  </si>
  <si>
    <t>11-120-02-040110-53330 : Biology : Medicare Teaching</t>
  </si>
  <si>
    <t>11-120-02-040110-53510 : Biology : SUI Teaching</t>
  </si>
  <si>
    <t>11-120-02-040110-53610 : Biology : WC Teaching</t>
  </si>
  <si>
    <t>11-120-02-050000-53110 : Business Education : STRS Teaching</t>
  </si>
  <si>
    <t>11-120-02-050000-53330 : Business Education : Medicare Teaching</t>
  </si>
  <si>
    <t>11-120-02-050000-53510 : Business Education : SUI Teaching</t>
  </si>
  <si>
    <t>11-120-02-050000-53610 : Business Education : WC Teaching</t>
  </si>
  <si>
    <t>11-120-02-070100-53110 : Computer &amp; Information Science : STRS Teaching</t>
  </si>
  <si>
    <t>11-120-02-070100-53330 : Computer &amp; Information Science : Medicare Teaching</t>
  </si>
  <si>
    <t>11-120-02-070100-53510 : Computer &amp; Information Science : SUI Teaching</t>
  </si>
  <si>
    <t>11-120-02-070100-53610 : Computer &amp; Information Science : WC Teaching</t>
  </si>
  <si>
    <t>11-120-02-100200-53110 : Art : STRS Teaching</t>
  </si>
  <si>
    <t>11-120-02-100200-53330 : Art : Medicare Teaching</t>
  </si>
  <si>
    <t>11-120-02-100200-53510 : Art : SUI Teaching</t>
  </si>
  <si>
    <t>11-120-02-100200-53610 : Art : WC Teaching</t>
  </si>
  <si>
    <t>11-120-02-100400-53110 : Music : STRS Teaching</t>
  </si>
  <si>
    <t>11-120-02-100400-53330 : Music : Medicare Teaching</t>
  </si>
  <si>
    <t>11-120-02-100400-53510 : Music : SUI Teaching</t>
  </si>
  <si>
    <t>11-120-02-100400-53610 : Music : WC Teaching</t>
  </si>
  <si>
    <t>11-120-02-101100-53110 : Photography : STRS Teaching</t>
  </si>
  <si>
    <t>11-120-02-101100-53330 : Photography : Medicare Teaching</t>
  </si>
  <si>
    <t>11-120-02-101100-53510 : Photography : SUI Teaching</t>
  </si>
  <si>
    <t>11-120-02-101100-53610 : Photography : WC Teaching</t>
  </si>
  <si>
    <t>11-120-02-110500-53110 : Spanish : STRS Teaching</t>
  </si>
  <si>
    <t>11-120-02-110500-53330 : Spanish : Medicare Teaching</t>
  </si>
  <si>
    <t>11-120-02-110500-53510 : Spanish : SUI Teaching</t>
  </si>
  <si>
    <t>11-120-02-110500-53610 : Spanish : WC Teaching</t>
  </si>
  <si>
    <t>11-120-02-130500-53110 : Early Childhood Education : STRS Teaching</t>
  </si>
  <si>
    <t>11-120-02-130500-53310 : Early Childhood Education : OASDHI (FICA) Teaching</t>
  </si>
  <si>
    <t>11-120-02-130500-53330 : Early Childhood Education : Medicare Teaching</t>
  </si>
  <si>
    <t>11-120-02-130500-53510 : Early Childhood Education : SUI Teaching</t>
  </si>
  <si>
    <t>11-120-02-130500-53610 : Early Childhood Education : WC Teaching</t>
  </si>
  <si>
    <t>11-120-02-150100-53110 : English : STRS Teaching</t>
  </si>
  <si>
    <t>11-120-02-150100-53310 : English : OASDHI (FICA) Teaching</t>
  </si>
  <si>
    <t>11-120-02-150100-53330 : English : Medicare Teaching</t>
  </si>
  <si>
    <t>11-120-02-150100-53510 : English : SUI Teaching</t>
  </si>
  <si>
    <t>11-120-02-150100-53610 : English : WC Teaching</t>
  </si>
  <si>
    <t>11-120-02-150600-53110 : Speech : STRS Teaching</t>
  </si>
  <si>
    <t>11-120-02-150600-53330 : Speech : Medicare Teaching</t>
  </si>
  <si>
    <t>11-120-02-150600-53510 : Speech : SUI Teaching</t>
  </si>
  <si>
    <t>11-120-02-150600-53610 : Speech : WC Teaching</t>
  </si>
  <si>
    <t>11-120-02-170100-53110 : Mathematics : STRS Teaching</t>
  </si>
  <si>
    <t>11-120-02-170100-53330 : Mathematics : Medicare Teaching</t>
  </si>
  <si>
    <t>11-120-02-170100-53510 : Mathematics : SUI Teaching</t>
  </si>
  <si>
    <t>11-120-02-170100-53610 : Mathematics : WC Teaching</t>
  </si>
  <si>
    <t>11-120-02-190200-53110 : Physics : STRS Teaching</t>
  </si>
  <si>
    <t>11-120-02-190200-53330 : Physics : Medicare Teaching</t>
  </si>
  <si>
    <t>11-120-02-190200-53510 : Physics : SUI Teaching</t>
  </si>
  <si>
    <t>11-120-02-190200-53610 : Physics : WC Teaching</t>
  </si>
  <si>
    <t>11-120-02-191900-53110 : Oceanography : STRS Teaching</t>
  </si>
  <si>
    <t>11-120-02-191900-53330 : Oceanography : Medicare Teaching</t>
  </si>
  <si>
    <t>11-120-02-191900-53510 : Oceanography : SUI Teaching</t>
  </si>
  <si>
    <t>11-120-02-191900-53610 : Oceanography : WC Teaching</t>
  </si>
  <si>
    <t>11-120-02-200100-53110 : Psychology : STRS Teaching</t>
  </si>
  <si>
    <t>11-120-02-200100-53310 : Psychology : OASDHI (FICA) Teaching</t>
  </si>
  <si>
    <t>11-120-02-200100-53330 : Psychology : Medicare Teaching</t>
  </si>
  <si>
    <t>11-120-02-200100-53510 : Psychology : SUI Teaching</t>
  </si>
  <si>
    <t>11-120-02-200100-53610 : Psychology : WC Teaching</t>
  </si>
  <si>
    <t>11-120-02-210500-53110 : Administration of Justice : STRS Teaching</t>
  </si>
  <si>
    <t>11-120-02-210500-53310 : Administration of Justice : OASDHI (FICA) Teaching</t>
  </si>
  <si>
    <t>11-120-02-210500-53330 : Administration of Justice : Medicare Teaching</t>
  </si>
  <si>
    <t>11-120-02-210500-53510 : Administration of Justice : SUI Teaching</t>
  </si>
  <si>
    <t>11-120-02-210500-53610 : Administration of Justice : WC Teaching</t>
  </si>
  <si>
    <t>11-120-02-220200-53110 : Anthropology : STRS Teaching</t>
  </si>
  <si>
    <t>11-120-02-220200-53330 : Anthropology : Medicare Teaching</t>
  </si>
  <si>
    <t>11-120-02-220200-53510 : Anthropology : SUI Teaching</t>
  </si>
  <si>
    <t>11-120-02-220200-53610 : Anthropology : WC Teaching</t>
  </si>
  <si>
    <t>11-120-02-220210-53110 : Ethnic Studies : STRS Teaching</t>
  </si>
  <si>
    <t>11-120-02-220210-53330 : Ethnic Studies : Medicare Teaching</t>
  </si>
  <si>
    <t>11-120-02-220210-53510 : Ethnic Studies : SUI Teaching</t>
  </si>
  <si>
    <t>11-120-02-220210-53610 : Ethnic Studies : WC Teaching</t>
  </si>
  <si>
    <t>11-120-02-220500-53110 : History : STRS Teaching</t>
  </si>
  <si>
    <t>11-120-02-220500-53330 : History : Medicare Teaching</t>
  </si>
  <si>
    <t>11-120-02-220500-53510 : History : SUI Teaching</t>
  </si>
  <si>
    <t>11-120-02-220500-53610 : History : WC Teaching</t>
  </si>
  <si>
    <t>11-120-02-220600-53110 : Geography : STRS Teaching</t>
  </si>
  <si>
    <t>11-120-02-220600-53330 : Geography : Medicare Teaching</t>
  </si>
  <si>
    <t>11-120-02-220600-53510 : Geography : SUI Teaching</t>
  </si>
  <si>
    <t>11-120-02-220600-53610 : Geography : WC Teaching</t>
  </si>
  <si>
    <t>11-120-02-220700-53110 : Political Science : STRS Teaching</t>
  </si>
  <si>
    <t>11-120-02-220700-53330 : Political Science : Medicare Teaching</t>
  </si>
  <si>
    <t>11-120-02-220700-53510 : Political Science : SUI Teaching</t>
  </si>
  <si>
    <t>11-120-02-220700-53610 : Political Science : WC Teaching</t>
  </si>
  <si>
    <t>11-120-02-220800-53110 : Sociology : STRS Teaching</t>
  </si>
  <si>
    <t>11-120-02-220800-53330 : Sociology : Medicare Teaching</t>
  </si>
  <si>
    <t>11-120-02-220800-53510 : Sociology : SUI Teaching</t>
  </si>
  <si>
    <t>11-120-02-220800-53610 : Sociology : WC Teaching</t>
  </si>
  <si>
    <t>11-120-02-493010-53110 : Counseling Instruction : STRS Teaching</t>
  </si>
  <si>
    <t>11-120-02-493010-53330 : Counseling Instruction : Medicare Teaching</t>
  </si>
  <si>
    <t>11-120-02-493010-53510 : Counseling Instruction : SUI Teaching</t>
  </si>
  <si>
    <t>11-120-02-493010-53610 : Counseling Instruction : WC Teaching</t>
  </si>
  <si>
    <t>11-120-02-493080-53110 : ESL : STRS Teaching</t>
  </si>
  <si>
    <t>11-120-02-493080-53330 : ESL : Medicare Teaching</t>
  </si>
  <si>
    <t>11-120-02-493080-53510 : ESL : SUI Teaching</t>
  </si>
  <si>
    <t>11-120-02-493080-53610 : ESL : WC Teaching</t>
  </si>
  <si>
    <t>11-120-02-601000-51210 : Academic Administration : Academic Nonteaching Management</t>
  </si>
  <si>
    <t>11-120-02-601000-52105 : Academic Administration : Classified CSEA</t>
  </si>
  <si>
    <t>11-120-02-601000-53120 : Academic Administration : STRS Nonteaching</t>
  </si>
  <si>
    <t>11-120-02-601000-53220 : Academic Administration : PERS Nonteaching</t>
  </si>
  <si>
    <t>11-120-02-601000-53320 : Academic Administration : OASDHI (FICA) Nonteaching</t>
  </si>
  <si>
    <t>11-120-02-601000-53340 : Academic Administration : Medicare Nonteaching</t>
  </si>
  <si>
    <t>11-120-02-601000-53420 : Academic Administration : H &amp; W Nonteaching</t>
  </si>
  <si>
    <t>11-120-02-601000-53520 : Academic Administration : SUI Nonteaching</t>
  </si>
  <si>
    <t>11-120-02-601000-53620 : Academic Administration : WC Nonteaching</t>
  </si>
  <si>
    <t>11-120-02-601000-53920 : Academic Administration : Other Benefit-Non Teaching</t>
  </si>
  <si>
    <t>11-120-02-612000-53120 : Library Services : STRS Nonteaching</t>
  </si>
  <si>
    <t>11-120-02-612000-53340 : Library Services : Medicare Nonteaching</t>
  </si>
  <si>
    <t>11-120-02-612000-53520 : Library Services : SUI Nonteaching</t>
  </si>
  <si>
    <t>11-120-02-612000-53620 : Library Services : WC Nonteaching</t>
  </si>
  <si>
    <t>11-120-02-631000-53110 : Counseling &amp; Guidance : STRS Teaching</t>
  </si>
  <si>
    <t>11-120-02-631000-53120 : Counseling &amp; Guidance : STRS Nonteaching</t>
  </si>
  <si>
    <t>11-120-02-631000-53330 : Counseling &amp; Guidance : Medicare Teaching</t>
  </si>
  <si>
    <t>11-120-02-631000-53340 : Counseling &amp; Guidance : Medicare Nonteaching</t>
  </si>
  <si>
    <t>11-120-02-631000-53510 : Counseling &amp; Guidance : SUI Teaching</t>
  </si>
  <si>
    <t>11-120-02-631000-53520 : Counseling &amp; Guidance : SUI Nonteaching</t>
  </si>
  <si>
    <t>11-120-02-631000-53610 : Counseling &amp; Guidance : WC Teaching</t>
  </si>
  <si>
    <t>11-120-02-631000-53620 : Counseling &amp; Guidance : WC Nonteaching</t>
  </si>
  <si>
    <t>11-140-00-602003-53120 : Cultural Curriculum Audit : STRS Nonteaching</t>
  </si>
  <si>
    <t>11-140-00-602003-53340 : Cultural Curriculum Audit : Medicare Nonteaching</t>
  </si>
  <si>
    <t>11-140-00-602003-53520 : Cultural Curriculum Audit : SUI Nonteaching</t>
  </si>
  <si>
    <t>11-140-00-602003-53620 : Cultural Curriculum Audit : WC Nonteaching</t>
  </si>
  <si>
    <t>11-140-00-684000-52120 : Community Relations &amp; Develop. : Classified Confidential</t>
  </si>
  <si>
    <t>11-140-00-684000-52130 : Community Relations &amp; Develop. : Classified Management</t>
  </si>
  <si>
    <t>11-140-00-684000-53220 : Community Relations &amp; Develop. : PERS Nonteaching</t>
  </si>
  <si>
    <t>11-140-00-684000-53320 : Community Relations &amp; Develop. : OASDHI (FICA) Nonteaching</t>
  </si>
  <si>
    <t>11-140-00-684000-53340 : Community Relations &amp; Develop. : Medicare Nonteaching</t>
  </si>
  <si>
    <t>11-140-00-684000-53420 : Community Relations &amp; Develop. : H &amp; W Nonteaching</t>
  </si>
  <si>
    <t>11-140-00-684000-53520 : Community Relations &amp; Develop. : SUI Nonteaching</t>
  </si>
  <si>
    <t>11-140-00-684000-53620 : Community Relations &amp; Develop. : WC Nonteaching</t>
  </si>
  <si>
    <t>11-150-00-663000-51210 : Research Office : Academic Nonteaching Management</t>
  </si>
  <si>
    <t>11-150-00-663000-52105 : Research Office : Classified CSEA</t>
  </si>
  <si>
    <t>11-150-00-663000-52130 : Research Office : Classified Management</t>
  </si>
  <si>
    <t>11-150-00-663000-53120 : Research Office : STRS Nonteaching</t>
  </si>
  <si>
    <t>11-150-00-663000-53220 : Research Office : PERS Nonteaching</t>
  </si>
  <si>
    <t>11-150-00-663000-53320 : Research Office : OASDHI (FICA) Nonteaching</t>
  </si>
  <si>
    <t>11-150-00-663000-53340 : Research Office : Medicare Nonteaching</t>
  </si>
  <si>
    <t>11-150-00-663000-53420 : Research Office : H &amp; W Nonteaching</t>
  </si>
  <si>
    <t>11-150-00-663000-53520 : Research Office : SUI Nonteaching</t>
  </si>
  <si>
    <t>11-150-00-663000-53620 : Research Office : WC Nonteaching</t>
  </si>
  <si>
    <t>11-150-00-663000-53920 : Research Office : Other Benefit-Non Teaching</t>
  </si>
  <si>
    <t>11-200-00-590000-53410 : Retired Staff - Instructional : H &amp; W Teaching</t>
  </si>
  <si>
    <t>11-200-00-672020-53420 : Fiscal Operations : H &amp; W Nonteaching</t>
  </si>
  <si>
    <t>11-200-00-674000-53420 : Retired Staff - Noninstructional : H &amp; W Nonteaching</t>
  </si>
  <si>
    <t>11-210-00-672010-52105 : Business Office : Classified CSEA</t>
  </si>
  <si>
    <t>11-210-00-672010-52115 : Business Office : Classified Supervisory</t>
  </si>
  <si>
    <t>11-210-00-672010-52120 : Business Office : Classified Confidential</t>
  </si>
  <si>
    <t>11-210-00-672010-52130 : Business Office : Classified Management</t>
  </si>
  <si>
    <t>11-210-00-672010-53220 : Business Office : PERS Nonteaching</t>
  </si>
  <si>
    <t>11-210-00-672010-53320 : Business Office : OASDHI (FICA) Nonteaching</t>
  </si>
  <si>
    <t>11-210-00-672010-53340 : Business Office : Medicare Nonteaching</t>
  </si>
  <si>
    <t>11-210-00-672010-53420 : Business Office : H &amp; W Nonteaching</t>
  </si>
  <si>
    <t>11-210-00-672010-53520 : Business Office : SUI Nonteaching</t>
  </si>
  <si>
    <t>11-210-00-672010-53620 : Business Office : WC Nonteaching</t>
  </si>
  <si>
    <t>11-210-00-672010-53904 : Business Office : Benefits Clearing Account</t>
  </si>
  <si>
    <t>11-210-00-672010-53920 : Business Office : Other Benefit-Non Teaching</t>
  </si>
  <si>
    <t>11-210-00-672020-52130 : Fiscal Operations : Classified Management</t>
  </si>
  <si>
    <t>11-210-00-672020-53220 : Fiscal Operations : PERS Nonteaching</t>
  </si>
  <si>
    <t>11-210-00-672020-53320 : Fiscal Operations : OASDHI (FICA) Nonteaching</t>
  </si>
  <si>
    <t>11-210-00-672020-53340 : Fiscal Operations : Medicare Nonteaching</t>
  </si>
  <si>
    <t>11-210-00-672020-53420 : Fiscal Operations : H &amp; W Nonteaching</t>
  </si>
  <si>
    <t>11-210-00-672020-53501 : Fiscal Operations : Unemployment Insurance Local Experience Charge</t>
  </si>
  <si>
    <t>11-210-00-672020-53520 : Fiscal Operations : SUI Nonteaching</t>
  </si>
  <si>
    <t>11-210-00-672020-53620 : Fiscal Operations : WC Nonteaching</t>
  </si>
  <si>
    <t>11-210-00-672020-53900 : Fiscal Operations : Retiree Benefits Other</t>
  </si>
  <si>
    <t>11-210-00-672020-53904 : Fiscal Operations : Benefits Clearing Account</t>
  </si>
  <si>
    <t>11-210-00-672040-52105 : Grants Administration : Classified CSEA</t>
  </si>
  <si>
    <t>11-210-00-672040-52130 : Grants Administration : Classified Management</t>
  </si>
  <si>
    <t>11-210-00-672040-53220 : Grants Administration : PERS Nonteaching</t>
  </si>
  <si>
    <t>11-210-00-672040-53320 : Grants Administration : OASDHI (FICA) Nonteaching</t>
  </si>
  <si>
    <t>11-210-00-672040-53340 : Grants Administration : Medicare Nonteaching</t>
  </si>
  <si>
    <t>11-210-00-672040-53420 : Grants Administration : H &amp; W Nonteaching</t>
  </si>
  <si>
    <t>11-210-00-672040-53520 : Grants Administration : SUI Nonteaching</t>
  </si>
  <si>
    <t>11-210-00-672040-53620 : Grants Administration : WC Nonteaching</t>
  </si>
  <si>
    <t>11-210-00-672040-53920 : Grants Administration : Other Benefit-Non Teaching</t>
  </si>
  <si>
    <t>11-210-00-677000-52105 : Purchasing/Receiving : Classified CSEA</t>
  </si>
  <si>
    <t>11-210-00-677000-53220 : Purchasing/Receiving : PERS Nonteaching</t>
  </si>
  <si>
    <t>11-210-00-677000-53320 : Purchasing/Receiving : OASDHI (FICA) Nonteaching</t>
  </si>
  <si>
    <t>11-210-00-677000-53340 : Purchasing/Receiving : Medicare Nonteaching</t>
  </si>
  <si>
    <t>11-210-00-677000-53420 : Purchasing/Receiving : H &amp; W Nonteaching</t>
  </si>
  <si>
    <t>11-210-00-677000-53520 : Purchasing/Receiving : SUI Nonteaching</t>
  </si>
  <si>
    <t>11-210-00-677000-53620 : Purchasing/Receiving : WC Nonteaching</t>
  </si>
  <si>
    <t>11-220-00-651000-52125 : Building Maintenance &amp; Repairs : Classified L-39</t>
  </si>
  <si>
    <t>11-220-00-651000-53220 : Building Maintenance &amp; Repairs : PERS Nonteaching</t>
  </si>
  <si>
    <t>11-220-00-651000-53320 : Building Maintenance &amp; Repairs : OASDHI (FICA) Nonteaching</t>
  </si>
  <si>
    <t>11-220-00-651000-53340 : Building Maintenance &amp; Repairs : Medicare Nonteaching</t>
  </si>
  <si>
    <t>11-220-00-651000-53420 : Building Maintenance &amp; Repairs : H &amp; W Nonteaching</t>
  </si>
  <si>
    <t>11-220-00-651000-53520 : Building Maintenance &amp; Repairs : SUI Nonteaching</t>
  </si>
  <si>
    <t>11-220-00-651000-53620 : Building Maintenance &amp; Repairs : WC Nonteaching</t>
  </si>
  <si>
    <t>11-220-00-651000-53920 : Building Maintenance &amp; Repairs : Other Benefit-Non Teaching</t>
  </si>
  <si>
    <t>11-220-00-653000-52115 : Custodial Services : Classified Supervisory</t>
  </si>
  <si>
    <t>11-220-00-653000-52125 : Custodial Services : Classified L-39</t>
  </si>
  <si>
    <t>11-220-00-653000-53220 : Custodial Services : PERS Nonteaching</t>
  </si>
  <si>
    <t>11-220-00-653000-53320 : Custodial Services : OASDHI (FICA) Nonteaching</t>
  </si>
  <si>
    <t>11-220-00-653000-53340 : Custodial Services : Medicare Nonteaching</t>
  </si>
  <si>
    <t>11-220-00-653000-53420 : Custodial Services : H &amp; W Nonteaching</t>
  </si>
  <si>
    <t>11-220-00-653000-53520 : Custodial Services : SUI Nonteaching</t>
  </si>
  <si>
    <t>11-220-00-653000-53620 : Custodial Services : WC Nonteaching</t>
  </si>
  <si>
    <t>11-220-00-653000-53920 : Custodial Services : Other Benefit-Non Teaching</t>
  </si>
  <si>
    <t>11-220-00-655000-52125 : Grounds Maintenance &amp; Repairs : Classified L-39</t>
  </si>
  <si>
    <t>11-220-00-655000-53220 : Grounds Maintenance &amp; Repairs : PERS Nonteaching</t>
  </si>
  <si>
    <t>11-220-00-655000-53320 : Grounds Maintenance &amp; Repairs : OASDHI (FICA) Nonteaching</t>
  </si>
  <si>
    <t>11-220-00-655000-53340 : Grounds Maintenance &amp; Repairs : Medicare Nonteaching</t>
  </si>
  <si>
    <t>11-220-00-655000-53420 : Grounds Maintenance &amp; Repairs : H &amp; W Nonteaching</t>
  </si>
  <si>
    <t>11-220-00-655000-53520 : Grounds Maintenance &amp; Repairs : SUI Nonteaching</t>
  </si>
  <si>
    <t>11-220-00-655000-53620 : Grounds Maintenance &amp; Repairs : WC Nonteaching</t>
  </si>
  <si>
    <t>11-220-00-655000-53920 : Grounds Maintenance &amp; Repairs : Other Benefit-Non Teaching</t>
  </si>
  <si>
    <t>11-220-00-659010-52105 : Maintenance &amp; Operations : Classified CSEA</t>
  </si>
  <si>
    <t>11-220-00-659010-52125 : Maintenance &amp; Operations : Classified L-39</t>
  </si>
  <si>
    <t>11-220-00-659010-52130 : Maintenance &amp; Operations : Classified Management</t>
  </si>
  <si>
    <t>11-220-00-659010-53220 : Maintenance &amp; Operations : PERS Nonteaching</t>
  </si>
  <si>
    <t>11-220-00-659010-53320 : Maintenance &amp; Operations : OASDHI (FICA) Nonteaching</t>
  </si>
  <si>
    <t>11-220-00-659010-53340 : Maintenance &amp; Operations : Medicare Nonteaching</t>
  </si>
  <si>
    <t>11-220-00-659010-53420 : Maintenance &amp; Operations : H &amp; W Nonteaching</t>
  </si>
  <si>
    <t>11-220-00-659010-53520 : Maintenance &amp; Operations : SUI Nonteaching</t>
  </si>
  <si>
    <t>11-220-00-659010-53620 : Maintenance &amp; Operations : WC Nonteaching</t>
  </si>
  <si>
    <t>11-220-00-659010-53920 : Maintenance &amp; Operations : Other Benefit-Non Teaching</t>
  </si>
  <si>
    <t>11-220-00-677000-52105 : Purchasing/Receiving : Classified CSEA</t>
  </si>
  <si>
    <t>11-220-00-677000-53220 : Purchasing/Receiving : PERS Nonteaching</t>
  </si>
  <si>
    <t>11-220-00-677000-53320 : Purchasing/Receiving : OASDHI (FICA) Nonteaching</t>
  </si>
  <si>
    <t>11-220-00-677000-53340 : Purchasing/Receiving : Medicare Nonteaching</t>
  </si>
  <si>
    <t>11-220-00-677000-53420 : Purchasing/Receiving : H &amp; W Nonteaching</t>
  </si>
  <si>
    <t>11-220-00-677000-53520 : Purchasing/Receiving : SUI Nonteaching</t>
  </si>
  <si>
    <t>11-220-00-677000-53620 : Purchasing/Receiving : WC Nonteaching</t>
  </si>
  <si>
    <t>11-220-00-683000-52105 : Community Use of Facilities : Classified CSEA</t>
  </si>
  <si>
    <t>11-220-00-683000-52115 : Community Use of Facilities : Classified Supervisory</t>
  </si>
  <si>
    <t>11-220-00-683000-52125 : Community Use of Facilities : Classified L-39</t>
  </si>
  <si>
    <t>11-220-00-683000-53220 : Community Use of Facilities : PERS Nonteaching</t>
  </si>
  <si>
    <t>11-220-00-683000-53320 : Community Use of Facilities : OASDHI (FICA) Nonteaching</t>
  </si>
  <si>
    <t>11-220-00-683000-53340 : Community Use of Facilities : Medicare Nonteaching</t>
  </si>
  <si>
    <t>11-220-00-683000-53420 : Community Use of Facilities : H &amp; W Nonteaching</t>
  </si>
  <si>
    <t>11-220-00-683000-53520 : Community Use of Facilities : SUI Nonteaching</t>
  </si>
  <si>
    <t>11-220-00-683000-53620 : Community Use of Facilities : WC Nonteaching</t>
  </si>
  <si>
    <t>11-220-00-683000-53920 : Community Use of Facilities : Other Benefit-Non Teaching</t>
  </si>
  <si>
    <t>11-300-00-601000-51200 : Academic Administration : Academic Nonteaching Full-time</t>
  </si>
  <si>
    <t>11-300-00-601000-51210 : Academic Administration : Academic Nonteaching Management</t>
  </si>
  <si>
    <t>11-300-00-601000-52105 : Academic Administration : Classified CSEA</t>
  </si>
  <si>
    <t>11-300-00-601000-52120 : Academic Administration : Classified Confidential</t>
  </si>
  <si>
    <t>11-300-00-601000-53120 : Academic Administration : STRS Nonteaching</t>
  </si>
  <si>
    <t>11-300-00-601000-53220 : Academic Administration : PERS Nonteaching</t>
  </si>
  <si>
    <t>11-300-00-601000-53320 : Academic Administration : OASDHI (FICA) Nonteaching</t>
  </si>
  <si>
    <t>11-300-00-601000-53340 : Academic Administration : Medicare Nonteaching</t>
  </si>
  <si>
    <t>11-300-00-601000-53420 : Academic Administration : H &amp; W Nonteaching</t>
  </si>
  <si>
    <t>11-300-00-601000-53520 : Academic Administration : SUI Nonteaching</t>
  </si>
  <si>
    <t>11-300-00-601000-53620 : Academic Administration : WC Nonteaching</t>
  </si>
  <si>
    <t>11-300-00-601000-53920 : Academic Administration : Other Benefit-Non Teaching</t>
  </si>
  <si>
    <t>11-300-00-675020-51200 : Academic Senate : Academic Nonteaching Full-time</t>
  </si>
  <si>
    <t>11-300-00-675020-53120 : Academic Senate : STRS Nonteaching</t>
  </si>
  <si>
    <t>11-300-00-675020-53340 : Academic Senate : Medicare Nonteaching</t>
  </si>
  <si>
    <t>11-300-00-675020-53420 : Academic Senate : H &amp; W Nonteaching</t>
  </si>
  <si>
    <t>11-300-00-675020-53520 : Academic Senate : SUI Nonteaching</t>
  </si>
  <si>
    <t>11-300-00-675020-53620 : Academic Senate : WC Nonteaching</t>
  </si>
  <si>
    <t>11-300-04-490000-53110 : Interdisiplinary Studies : STRS Teaching</t>
  </si>
  <si>
    <t>11-300-04-490000-53330 : Interdisiplinary Studies : Medicare Teaching</t>
  </si>
  <si>
    <t>11-300-04-490000-53510 : Interdisiplinary Studies : SUI Teaching</t>
  </si>
  <si>
    <t>11-300-04-490000-53610 : Interdisiplinary Studies : WC Teaching</t>
  </si>
  <si>
    <t>11-301-00-601000-51210 : Academic Administration : Academic Nonteaching Management</t>
  </si>
  <si>
    <t>11-301-00-601000-52105 : Academic Administration : Classified CSEA</t>
  </si>
  <si>
    <t>11-301-00-601000-53120 : Academic Administration : STRS Nonteaching</t>
  </si>
  <si>
    <t>11-301-00-601000-53220 : Academic Administration : PERS Nonteaching</t>
  </si>
  <si>
    <t>11-301-00-601000-53320 : Academic Administration : OASDHI (FICA) Nonteaching</t>
  </si>
  <si>
    <t>11-301-00-601000-53340 : Academic Administration : Medicare Nonteaching</t>
  </si>
  <si>
    <t>11-301-00-601000-53420 : Academic Administration : H &amp; W Nonteaching</t>
  </si>
  <si>
    <t>11-301-00-601000-53520 : Academic Administration : SUI Nonteaching</t>
  </si>
  <si>
    <t>11-301-00-601000-53620 : Academic Administration : WC Nonteaching</t>
  </si>
  <si>
    <t>11-301-00-601000-53920 : Academic Administration : Other Benefit-Non Teaching</t>
  </si>
  <si>
    <t>11-304-00-601000-51210 : Academic Administration : Academic Nonteaching Management</t>
  </si>
  <si>
    <t>11-304-00-601000-52105 : Academic Administration : Classified CSEA</t>
  </si>
  <si>
    <t>11-304-00-601000-53120 : Academic Administration : STRS Nonteaching</t>
  </si>
  <si>
    <t>11-304-00-601000-53220 : Academic Administration : PERS Nonteaching</t>
  </si>
  <si>
    <t>11-304-00-601000-53320 : Academic Administration : OASDHI (FICA) Nonteaching</t>
  </si>
  <si>
    <t>11-304-00-601000-53340 : Academic Administration : Medicare Nonteaching</t>
  </si>
  <si>
    <t>11-304-00-601000-53420 : Academic Administration : H &amp; W Nonteaching</t>
  </si>
  <si>
    <t>11-304-00-601000-53520 : Academic Administration : SUI Nonteaching</t>
  </si>
  <si>
    <t>11-304-00-601000-53620 : Academic Administration : WC Nonteaching</t>
  </si>
  <si>
    <t>11-304-00-601000-53920 : Academic Administration : Other Benefit-Non Teaching</t>
  </si>
  <si>
    <t>11-304-00-682100-53320 : Planetarium : OASDHI (FICA) Nonteaching</t>
  </si>
  <si>
    <t>11-304-00-682100-53340 : Planetarium : Medicare Nonteaching</t>
  </si>
  <si>
    <t>11-304-00-682100-53420 : Planetarium : H &amp; W Nonteaching</t>
  </si>
  <si>
    <t>11-304-00-703800-52105 : MESA Grant : Classified CSEA</t>
  </si>
  <si>
    <t>11-304-00-703800-52130 : MESA Grant : Classified Management</t>
  </si>
  <si>
    <t>11-304-00-703800-53120 : MESA Grant : STRS Nonteaching</t>
  </si>
  <si>
    <t>11-304-00-703800-53220 : MESA Grant : PERS Nonteaching</t>
  </si>
  <si>
    <t>11-304-00-703800-53320 : MESA Grant : OASDHI (FICA) Nonteaching</t>
  </si>
  <si>
    <t>11-304-00-703800-53340 : MESA Grant : Medicare Nonteaching</t>
  </si>
  <si>
    <t>11-304-00-703800-53420 : MESA Grant : H &amp; W Nonteaching</t>
  </si>
  <si>
    <t>11-304-00-703800-53520 : MESA Grant : SUI Nonteaching</t>
  </si>
  <si>
    <t>11-304-00-703800-53620 : MESA Grant : WC Nonteaching</t>
  </si>
  <si>
    <t>11-304-00-703800-53920 : MESA Grant : Other Benefit-Non Teaching</t>
  </si>
  <si>
    <t>11-310-00-050000-53110 : Business Education : STRS Teaching</t>
  </si>
  <si>
    <t>11-310-00-050000-53310 : Business Education : OASDHI (FICA) Teaching</t>
  </si>
  <si>
    <t>11-310-00-050000-53330 : Business Education : Medicare Teaching</t>
  </si>
  <si>
    <t>11-310-00-050000-53510 : Business Education : SUI Teaching</t>
  </si>
  <si>
    <t>11-310-00-050000-53610 : Business Education : WC Teaching</t>
  </si>
  <si>
    <t>11-310-00-080100-53110 : EDU (Education) Adjunct Exps. : STRS Teaching</t>
  </si>
  <si>
    <t>11-310-00-080100-53330 : EDU (Education) Adjunct Exps. : Medicare Teaching</t>
  </si>
  <si>
    <t>11-310-00-080100-53510 : EDU (Education) Adjunct Exps. : SUI Teaching</t>
  </si>
  <si>
    <t>11-310-00-080100-53610 : EDU (Education) Adjunct Exps. : WC Teaching</t>
  </si>
  <si>
    <t>11-310-00-100200-51100 : Art : Academic Teaching Full-time</t>
  </si>
  <si>
    <t>11-310-00-100200-52200 : Art : Classified Permanent Instructional Aides</t>
  </si>
  <si>
    <t>11-310-00-100200-53110 : Art : STRS Teaching</t>
  </si>
  <si>
    <t>11-310-00-100200-53210 : Art : PERS Teaching</t>
  </si>
  <si>
    <t>11-310-00-100200-53310 : Art : OASDHI (FICA) Teaching</t>
  </si>
  <si>
    <t>11-310-00-100200-53320 : Art : OASDHI (FICA) Nonteaching</t>
  </si>
  <si>
    <t>11-310-00-100200-53330 : Art : Medicare Teaching</t>
  </si>
  <si>
    <t>11-310-00-100200-53340 : Art : Medicare Nonteaching</t>
  </si>
  <si>
    <t>11-310-00-100200-53410 : Art : H &amp; W Teaching</t>
  </si>
  <si>
    <t>11-310-00-100200-53510 : Art : SUI Teaching</t>
  </si>
  <si>
    <t>11-310-00-100200-53520 : Art : SUI Nonteaching</t>
  </si>
  <si>
    <t>11-310-00-100200-53610 : Art : WC Teaching</t>
  </si>
  <si>
    <t>11-310-00-100200-53620 : Art : WC Nonteaching</t>
  </si>
  <si>
    <t>11-310-00-100200-53910 : Art : Other Benefit-Teaching</t>
  </si>
  <si>
    <t>11-310-00-100400-51100 : Music : Academic Teaching Full-time</t>
  </si>
  <si>
    <t>11-310-00-100400-53110 : Music : STRS Teaching</t>
  </si>
  <si>
    <t>11-310-00-100400-53310 : Music : OASDHI (FICA) Teaching</t>
  </si>
  <si>
    <t>11-310-00-100400-53330 : Music : Medicare Teaching</t>
  </si>
  <si>
    <t>11-310-00-100400-53410 : Music : H &amp; W Teaching</t>
  </si>
  <si>
    <t>11-310-00-100400-53510 : Music : SUI Teaching</t>
  </si>
  <si>
    <t>11-310-00-100400-53610 : Music : WC Teaching</t>
  </si>
  <si>
    <t>11-310-00-100700-51100 : Theater Arts : Academic Teaching Full-time</t>
  </si>
  <si>
    <t>11-310-00-100700-53110 : Theater Arts : STRS Teaching</t>
  </si>
  <si>
    <t>11-310-00-100700-53310 : Theater Arts : OASDHI (FICA) Teaching</t>
  </si>
  <si>
    <t>11-310-00-100700-53320 : Theater Arts : OASDHI (FICA) Nonteaching</t>
  </si>
  <si>
    <t>11-310-00-100700-53330 : Theater Arts : Medicare Teaching</t>
  </si>
  <si>
    <t>11-310-00-100700-53340 : Theater Arts : Medicare Nonteaching</t>
  </si>
  <si>
    <t>11-310-00-100700-53410 : Theater Arts : H &amp; W Teaching</t>
  </si>
  <si>
    <t>11-310-00-100700-53510 : Theater Arts : SUI Teaching</t>
  </si>
  <si>
    <t>11-310-00-100700-53520 : Theater Arts : SUI Nonteaching</t>
  </si>
  <si>
    <t>11-310-00-100700-53610 : Theater Arts : WC Teaching</t>
  </si>
  <si>
    <t>11-310-00-100700-53620 : Theater Arts : WC Nonteaching</t>
  </si>
  <si>
    <t>11-310-00-101100-52200 : Photography : Classified Permanent Instructional Aides</t>
  </si>
  <si>
    <t>11-310-00-101100-53110 : Photography : STRS Teaching</t>
  </si>
  <si>
    <t>11-310-00-101100-53210 : Photography : PERS Teaching</t>
  </si>
  <si>
    <t>11-310-00-101100-53310 : Photography : OASDHI (FICA) Teaching</t>
  </si>
  <si>
    <t>11-310-00-101100-53330 : Photography : Medicare Teaching</t>
  </si>
  <si>
    <t>11-310-00-101100-53410 : Photography : H &amp; W Teaching</t>
  </si>
  <si>
    <t>11-310-00-101100-53510 : Photography : SUI Teaching</t>
  </si>
  <si>
    <t>11-310-00-101100-53610 : Photography : WC Teaching</t>
  </si>
  <si>
    <t>11-310-00-130500-52200 : Early Childhood Education : Classified Permanent Instructional Aides</t>
  </si>
  <si>
    <t>11-310-00-130500-53110 : Early Childhood Education : STRS Teaching</t>
  </si>
  <si>
    <t>11-310-00-130500-53210 : Early Childhood Education : PERS Teaching</t>
  </si>
  <si>
    <t>11-310-00-130500-53310 : Early Childhood Education : OASDHI (FICA) Teaching</t>
  </si>
  <si>
    <t>11-310-00-130500-53330 : Early Childhood Education : Medicare Teaching</t>
  </si>
  <si>
    <t>11-310-00-130500-53510 : Early Childhood Education : SUI Teaching</t>
  </si>
  <si>
    <t>11-310-00-130500-53610 : Early Childhood Education : WC Teaching</t>
  </si>
  <si>
    <t>11-310-00-150900-51100 : Philosophy : Academic Teaching Full-time</t>
  </si>
  <si>
    <t>11-310-00-150900-53110 : Philosophy : STRS Teaching</t>
  </si>
  <si>
    <t>11-310-00-150900-53120 : Philosophy : STRS Nonteaching</t>
  </si>
  <si>
    <t>11-310-00-150900-53330 : Philosophy : Medicare Teaching</t>
  </si>
  <si>
    <t>11-310-00-150900-53340 : Philosophy : Medicare Nonteaching</t>
  </si>
  <si>
    <t>11-310-00-150900-53410 : Philosophy : H &amp; W Teaching</t>
  </si>
  <si>
    <t>11-310-00-150900-53510 : Philosophy : SUI Teaching</t>
  </si>
  <si>
    <t>11-310-00-150900-53520 : Philosophy : SUI Nonteaching</t>
  </si>
  <si>
    <t>11-310-00-150900-53610 : Philosophy : WC Teaching</t>
  </si>
  <si>
    <t>11-310-00-150900-53620 : Philosophy : WC Nonteaching</t>
  </si>
  <si>
    <t>11-310-00-200100-51100 : Psychology : Academic Teaching Full-time</t>
  </si>
  <si>
    <t>11-310-00-200100-53110 : Psychology : STRS Teaching</t>
  </si>
  <si>
    <t>11-310-00-200100-53120 : Psychology : STRS Nonteaching</t>
  </si>
  <si>
    <t>11-310-00-200100-53310 : Psychology : OASDHI (FICA) Teaching</t>
  </si>
  <si>
    <t>11-310-00-200100-53330 : Psychology : Medicare Teaching</t>
  </si>
  <si>
    <t>11-310-00-200100-53340 : Psychology : Medicare Nonteaching</t>
  </si>
  <si>
    <t>11-310-00-200100-53410 : Psychology : H &amp; W Teaching</t>
  </si>
  <si>
    <t>11-310-00-200100-53510 : Psychology : SUI Teaching</t>
  </si>
  <si>
    <t>11-310-00-200100-53520 : Psychology : SUI Nonteaching</t>
  </si>
  <si>
    <t>11-310-00-200100-53610 : Psychology : WC Teaching</t>
  </si>
  <si>
    <t>11-310-00-200100-53620 : Psychology : WC Nonteaching</t>
  </si>
  <si>
    <t>11-310-00-200100-53910 : Psychology : Other Benefit-Teaching</t>
  </si>
  <si>
    <t>11-310-00-210440-51100 : Alcohol &amp; Drug Counseling : Academic Teaching Full-time</t>
  </si>
  <si>
    <t>11-310-00-210440-53110 : Alcohol &amp; Drug Counseling : STRS Teaching</t>
  </si>
  <si>
    <t>11-310-00-210440-53330 : Alcohol &amp; Drug Counseling : Medicare Teaching</t>
  </si>
  <si>
    <t>11-310-00-210440-53410 : Alcohol &amp; Drug Counseling : H &amp; W Teaching</t>
  </si>
  <si>
    <t>11-310-00-210440-53510 : Alcohol &amp; Drug Counseling : SUI Teaching</t>
  </si>
  <si>
    <t>11-310-00-210440-53610 : Alcohol &amp; Drug Counseling : WC Teaching</t>
  </si>
  <si>
    <t>11-310-00-210500-53110 : Administration of Justice : STRS Teaching</t>
  </si>
  <si>
    <t>11-310-00-210500-53330 : Administration of Justice : Medicare Teaching</t>
  </si>
  <si>
    <t>11-310-00-210500-53510 : Administration of Justice : SUI Teaching</t>
  </si>
  <si>
    <t>11-310-00-210500-53610 : Administration of Justice : WC Teaching</t>
  </si>
  <si>
    <t>11-310-00-220200-51100 : Anthropology : Academic Teaching Full-time</t>
  </si>
  <si>
    <t>11-310-00-220200-53110 : Anthropology : STRS Teaching</t>
  </si>
  <si>
    <t>11-310-00-220200-53310 : Anthropology : OASDHI (FICA) Teaching</t>
  </si>
  <si>
    <t>11-310-00-220200-53330 : Anthropology : Medicare Teaching</t>
  </si>
  <si>
    <t>11-310-00-220200-53410 : Anthropology : H &amp; W Teaching</t>
  </si>
  <si>
    <t>11-310-00-220200-53510 : Anthropology : SUI Teaching</t>
  </si>
  <si>
    <t>11-310-00-220200-53610 : Anthropology : WC Teaching</t>
  </si>
  <si>
    <t>11-310-00-220210-51100 : Ethnic Studies : Academic Teaching Full-time</t>
  </si>
  <si>
    <t>11-310-00-220210-53110 : Ethnic Studies : STRS Teaching</t>
  </si>
  <si>
    <t>11-310-00-220210-53330 : Ethnic Studies : Medicare Teaching</t>
  </si>
  <si>
    <t>11-310-00-220210-53410 : Ethnic Studies : H &amp; W Teaching</t>
  </si>
  <si>
    <t>11-310-00-220210-53510 : Ethnic Studies : SUI Teaching</t>
  </si>
  <si>
    <t>11-310-00-220210-53610 : Ethnic Studies : WC Teaching</t>
  </si>
  <si>
    <t>11-310-00-220400-51100 : Economics : Academic Teaching Full-time</t>
  </si>
  <si>
    <t>11-310-00-220400-53110 : Economics : STRS Teaching</t>
  </si>
  <si>
    <t>11-310-00-220400-53330 : Economics : Medicare Teaching</t>
  </si>
  <si>
    <t>11-310-00-220400-53410 : Economics : H &amp; W Teaching</t>
  </si>
  <si>
    <t>11-310-00-220400-53510 : Economics : SUI Teaching</t>
  </si>
  <si>
    <t>11-310-00-220400-53610 : Economics : WC Teaching</t>
  </si>
  <si>
    <t>11-310-00-220500-51100 : History : Academic Teaching Full-time</t>
  </si>
  <si>
    <t>11-310-00-220500-53110 : History : STRS Teaching</t>
  </si>
  <si>
    <t>11-310-00-220500-53310 : History : OASDHI (FICA) Teaching</t>
  </si>
  <si>
    <t>11-310-00-220500-53330 : History : Medicare Teaching</t>
  </si>
  <si>
    <t>11-310-00-220500-53410 : History : H &amp; W Teaching</t>
  </si>
  <si>
    <t>11-310-00-220500-53510 : History : SUI Teaching</t>
  </si>
  <si>
    <t>11-310-00-220500-53610 : History : WC Teaching</t>
  </si>
  <si>
    <t>11-310-00-220700-51100 : Political Science : Academic Teaching Full-time</t>
  </si>
  <si>
    <t>11-310-00-220700-53110 : Political Science : STRS Teaching</t>
  </si>
  <si>
    <t>11-310-00-220700-53330 : Political Science : Medicare Teaching</t>
  </si>
  <si>
    <t>11-310-00-220700-53410 : Political Science : H &amp; W Teaching</t>
  </si>
  <si>
    <t>11-310-00-220700-53510 : Political Science : SUI Teaching</t>
  </si>
  <si>
    <t>11-310-00-220700-53610 : Political Science : WC Teaching</t>
  </si>
  <si>
    <t>11-310-00-220800-51100 : Sociology : Academic Teaching Full-time</t>
  </si>
  <si>
    <t>11-310-00-220800-53110 : Sociology : STRS Teaching</t>
  </si>
  <si>
    <t>11-310-00-220800-53310 : Sociology : OASDHI (FICA) Teaching</t>
  </si>
  <si>
    <t>11-310-00-220800-53330 : Sociology : Medicare Teaching</t>
  </si>
  <si>
    <t>11-310-00-220800-53410 : Sociology : H &amp; W Teaching</t>
  </si>
  <si>
    <t>11-310-00-220800-53510 : Sociology : SUI Teaching</t>
  </si>
  <si>
    <t>11-310-00-220800-53610 : Sociology : WC Teaching</t>
  </si>
  <si>
    <t>11-320-00-083500-51100 : Physical Education : Academic Teaching Full-time</t>
  </si>
  <si>
    <t>11-320-00-083500-53110 : Physical Education : STRS Teaching</t>
  </si>
  <si>
    <t>11-320-00-083500-53120 : Physical Education : STRS Nonteaching</t>
  </si>
  <si>
    <t>11-320-00-083500-53310 : Physical Education : OASDHI (FICA) Teaching</t>
  </si>
  <si>
    <t>11-320-00-083500-53320 : Physical Education : OASDHI (FICA) Nonteaching</t>
  </si>
  <si>
    <t>11-320-00-083500-53330 : Physical Education : Medicare Teaching</t>
  </si>
  <si>
    <t>11-320-00-083500-53340 : Physical Education : Medicare Nonteaching</t>
  </si>
  <si>
    <t>11-320-00-083500-53410 : Physical Education : H &amp; W Teaching</t>
  </si>
  <si>
    <t>11-320-00-083500-53510 : Physical Education : SUI Teaching</t>
  </si>
  <si>
    <t>11-320-00-083500-53520 : Physical Education : SUI Nonteaching</t>
  </si>
  <si>
    <t>11-320-00-083500-53610 : Physical Education : WC Teaching</t>
  </si>
  <si>
    <t>11-320-00-083500-53620 : Physical Education : WC Nonteaching</t>
  </si>
  <si>
    <t>11-320-00-083510-51100 : Adaptive Physical Education : Academic Teaching Full-time</t>
  </si>
  <si>
    <t>11-320-00-083510-53110 : Adaptive Physical Education : STRS Teaching</t>
  </si>
  <si>
    <t>11-320-00-083510-53120 : Adaptive Physical Education : STRS Nonteaching</t>
  </si>
  <si>
    <t>11-320-00-083510-53330 : Adaptive Physical Education : Medicare Teaching</t>
  </si>
  <si>
    <t>11-320-00-083510-53340 : Adaptive Physical Education : Medicare Nonteaching</t>
  </si>
  <si>
    <t>11-320-00-083510-53410 : Adaptive Physical Education : H &amp; W Teaching</t>
  </si>
  <si>
    <t>11-320-00-083510-53510 : Adaptive Physical Education : SUI Teaching</t>
  </si>
  <si>
    <t>11-320-00-083510-53520 : Adaptive Physical Education : SUI Nonteaching</t>
  </si>
  <si>
    <t>11-320-00-083510-53610 : Adaptive Physical Education : WC Teaching</t>
  </si>
  <si>
    <t>11-320-00-083510-53620 : Adaptive Physical Education : WC Nonteaching</t>
  </si>
  <si>
    <t>11-320-00-083550-51100 : Athletics - Instruction : Academic Teaching Full-time</t>
  </si>
  <si>
    <t>11-320-00-083550-53110 : Athletics - Instruction : STRS Teaching</t>
  </si>
  <si>
    <t>11-320-00-083550-53310 : Athletics - Instruction : OASDHI (FICA) Teaching</t>
  </si>
  <si>
    <t>11-320-00-083550-53330 : Athletics - Instruction : Medicare Teaching</t>
  </si>
  <si>
    <t>11-320-00-083550-53410 : Athletics - Instruction : H &amp; W Teaching</t>
  </si>
  <si>
    <t>11-320-00-083550-53510 : Athletics - Instruction : SUI Teaching</t>
  </si>
  <si>
    <t>11-320-00-083550-53610 : Athletics - Instruction : WC Teaching</t>
  </si>
  <si>
    <t>11-320-00-083700-53110 : Health Education : STRS Teaching</t>
  </si>
  <si>
    <t>11-320-00-083700-53330 : Health Education : Medicare Teaching</t>
  </si>
  <si>
    <t>11-320-00-083700-53510 : Health Education : SUI Teaching</t>
  </si>
  <si>
    <t>11-320-00-083700-53610 : Health Education : WC Teaching</t>
  </si>
  <si>
    <t>11-320-00-130600-53110 : Food Service Management : STRS Teaching</t>
  </si>
  <si>
    <t>11-320-00-130600-53330 : Food Service Management : Medicare Teaching</t>
  </si>
  <si>
    <t>11-320-00-130600-53510 : Food Service Management : SUI Teaching</t>
  </si>
  <si>
    <t>11-320-00-130600-53610 : Food Service Management : WC Teaching</t>
  </si>
  <si>
    <t>11-320-00-601000-51210 : Academic Administration : Academic Nonteaching Management</t>
  </si>
  <si>
    <t>11-320-00-601000-52105 : Academic Administration : Classified CSEA</t>
  </si>
  <si>
    <t>11-320-00-601000-53120 : Academic Administration : STRS Nonteaching</t>
  </si>
  <si>
    <t>11-320-00-601000-53220 : Academic Administration : PERS Nonteaching</t>
  </si>
  <si>
    <t>11-320-00-601000-53320 : Academic Administration : OASDHI (FICA) Nonteaching</t>
  </si>
  <si>
    <t>11-320-00-601000-53340 : Academic Administration : Medicare Nonteaching</t>
  </si>
  <si>
    <t>11-320-00-601000-53420 : Academic Administration : H &amp; W Nonteaching</t>
  </si>
  <si>
    <t>11-320-00-601000-53520 : Academic Administration : SUI Nonteaching</t>
  </si>
  <si>
    <t>11-320-00-601000-53620 : Academic Administration : WC Nonteaching</t>
  </si>
  <si>
    <t>11-320-00-601000-53920 : Academic Administration : Other Benefit-Non Teaching</t>
  </si>
  <si>
    <t>11-320-00-696500-51210 : Athletic Activities : Academic Nonteaching Management</t>
  </si>
  <si>
    <t>11-320-00-696500-52105 : Athletic Activities : Classified CSEA</t>
  </si>
  <si>
    <t>11-320-00-696500-53120 : Athletic Activities : STRS Nonteaching</t>
  </si>
  <si>
    <t>11-320-00-696500-53220 : Athletic Activities : PERS Nonteaching</t>
  </si>
  <si>
    <t>11-320-00-696500-53320 : Athletic Activities : OASDHI (FICA) Nonteaching</t>
  </si>
  <si>
    <t>11-320-00-696500-53340 : Athletic Activities : Medicare Nonteaching</t>
  </si>
  <si>
    <t>11-320-00-696500-53420 : Athletic Activities : H &amp; W Nonteaching</t>
  </si>
  <si>
    <t>11-320-00-696500-53520 : Athletic Activities : SUI Nonteaching</t>
  </si>
  <si>
    <t>11-320-00-696500-53620 : Athletic Activities : WC Nonteaching</t>
  </si>
  <si>
    <t>11-320-00-696500-53920 : Athletic Activities : Other Benefit-Non Teaching</t>
  </si>
  <si>
    <t>11-320-00-696500-57552 : Athletic Activities : Student Travel/Meals</t>
  </si>
  <si>
    <t>11-330-00-040110-51100 : Biology : Academic Teaching Full-time</t>
  </si>
  <si>
    <t>11-330-00-040110-52200 : Biology : Classified Permanent Instructional Aides</t>
  </si>
  <si>
    <t>11-330-00-040110-53110 : Biology : STRS Teaching</t>
  </si>
  <si>
    <t>11-330-00-040110-53210 : Biology : PERS Teaching</t>
  </si>
  <si>
    <t>11-330-00-040110-53310 : Biology : OASDHI (FICA) Teaching</t>
  </si>
  <si>
    <t>11-330-00-040110-53320 : Biology : OASDHI (FICA) Nonteaching</t>
  </si>
  <si>
    <t>11-330-00-040110-53330 : Biology : Medicare Teaching</t>
  </si>
  <si>
    <t>11-330-00-040110-53340 : Biology : Medicare Nonteaching</t>
  </si>
  <si>
    <t>11-330-00-040110-53410 : Biology : H &amp; W Teaching</t>
  </si>
  <si>
    <t>11-330-00-040110-53510 : Biology : SUI Teaching</t>
  </si>
  <si>
    <t>11-330-00-040110-53610 : Biology : WC Teaching</t>
  </si>
  <si>
    <t>11-330-00-040110-53620 : Biology : WC Nonteaching</t>
  </si>
  <si>
    <t>11-330-00-040110-53910 : Biology : Other Benefit-Teaching</t>
  </si>
  <si>
    <t>11-330-00-090100-51100 : Engineering : Academic Teaching Full-time</t>
  </si>
  <si>
    <t>11-330-00-090100-52200 : Engineering : Classified Permanent Instructional Aides</t>
  </si>
  <si>
    <t>11-330-00-090100-53110 : Engineering : STRS Teaching</t>
  </si>
  <si>
    <t>11-330-00-090100-53120 : Engineering : STRS Nonteaching</t>
  </si>
  <si>
    <t>11-330-00-090100-53210 : Engineering : PERS Teaching</t>
  </si>
  <si>
    <t>11-330-00-090100-53310 : Engineering : OASDHI (FICA) Teaching</t>
  </si>
  <si>
    <t>11-330-00-090100-53320 : Engineering : OASDHI (FICA) Nonteaching</t>
  </si>
  <si>
    <t>11-330-00-090100-53330 : Engineering : Medicare Teaching</t>
  </si>
  <si>
    <t>11-330-00-090100-53340 : Engineering : Medicare Nonteaching</t>
  </si>
  <si>
    <t>11-330-00-090100-53410 : Engineering : H &amp; W Teaching</t>
  </si>
  <si>
    <t>11-330-00-090100-53510 : Engineering : SUI Teaching</t>
  </si>
  <si>
    <t>11-330-00-090100-53520 : Engineering : SUI Nonteaching</t>
  </si>
  <si>
    <t>11-330-00-090100-53610 : Engineering : WC Teaching</t>
  </si>
  <si>
    <t>11-330-00-090100-53620 : Engineering : WC Nonteaching</t>
  </si>
  <si>
    <t>11-330-00-090100-53910 : Engineering : Other Benefit-Teaching</t>
  </si>
  <si>
    <t>11-330-00-170100-51100 : Mathematics : Academic Teaching Full-time</t>
  </si>
  <si>
    <t>11-330-00-170100-53110 : Mathematics : STRS Teaching</t>
  </si>
  <si>
    <t>11-330-00-170100-53120 : Mathematics : STRS Nonteaching</t>
  </si>
  <si>
    <t>11-330-00-170100-53310 : Mathematics : OASDHI (FICA) Teaching</t>
  </si>
  <si>
    <t>11-330-00-170100-53330 : Mathematics : Medicare Teaching</t>
  </si>
  <si>
    <t>11-330-00-170100-53340 : Mathematics : Medicare Nonteaching</t>
  </si>
  <si>
    <t>11-330-00-170100-53410 : Mathematics : H &amp; W Teaching</t>
  </si>
  <si>
    <t>11-330-00-170100-53510 : Mathematics : SUI Teaching</t>
  </si>
  <si>
    <t>11-330-00-170100-53520 : Mathematics : SUI Nonteaching</t>
  </si>
  <si>
    <t>11-330-00-170100-53610 : Mathematics : WC Teaching</t>
  </si>
  <si>
    <t>11-330-00-170100-53620 : Mathematics : WC Nonteaching</t>
  </si>
  <si>
    <t>11-330-00-170100-53910 : Mathematics : Other Benefit-Teaching</t>
  </si>
  <si>
    <t>11-330-00-190200-51100 : Physics : Academic Teaching Full-time</t>
  </si>
  <si>
    <t>11-330-00-190200-52200 : Physics : Classified Permanent Instructional Aides</t>
  </si>
  <si>
    <t>11-330-00-190200-53110 : Physics : STRS Teaching</t>
  </si>
  <si>
    <t>11-330-00-190200-53210 : Physics : PERS Teaching</t>
  </si>
  <si>
    <t>11-330-00-190200-53310 : Physics : OASDHI (FICA) Teaching</t>
  </si>
  <si>
    <t>11-330-00-190200-53320 : Physics : OASDHI (FICA) Nonteaching</t>
  </si>
  <si>
    <t>11-330-00-190200-53330 : Physics : Medicare Teaching</t>
  </si>
  <si>
    <t>11-330-00-190200-53340 : Physics : Medicare Nonteaching</t>
  </si>
  <si>
    <t>11-330-00-190200-53410 : Physics : H &amp; W Teaching</t>
  </si>
  <si>
    <t>11-330-00-190200-53510 : Physics : SUI Teaching</t>
  </si>
  <si>
    <t>11-330-00-190200-53520 : Physics : SUI Nonteaching</t>
  </si>
  <si>
    <t>11-330-00-190200-53610 : Physics : WC Teaching</t>
  </si>
  <si>
    <t>11-330-00-190200-53620 : Physics : WC Nonteaching</t>
  </si>
  <si>
    <t>11-330-00-190200-53910 : Physics : Other Benefit-Teaching</t>
  </si>
  <si>
    <t>11-330-00-190500-51100 : Chemistry : Academic Teaching Full-time</t>
  </si>
  <si>
    <t>11-330-00-190500-52200 : Chemistry : Classified Permanent Instructional Aides</t>
  </si>
  <si>
    <t>11-330-00-190500-53110 : Chemistry : STRS Teaching</t>
  </si>
  <si>
    <t>11-330-00-190500-53210 : Chemistry : PERS Teaching</t>
  </si>
  <si>
    <t>11-330-00-190500-53310 : Chemistry : OASDHI (FICA) Teaching</t>
  </si>
  <si>
    <t>11-330-00-190500-53320 : Chemistry : OASDHI (FICA) Nonteaching</t>
  </si>
  <si>
    <t>11-330-00-190500-53330 : Chemistry : Medicare Teaching</t>
  </si>
  <si>
    <t>11-330-00-190500-53340 : Chemistry : Medicare Nonteaching</t>
  </si>
  <si>
    <t>11-330-00-190500-53410 : Chemistry : H &amp; W Teaching</t>
  </si>
  <si>
    <t>11-330-00-190500-53510 : Chemistry : SUI Teaching</t>
  </si>
  <si>
    <t>11-330-00-190500-53520 : Chemistry : SUI Nonteaching</t>
  </si>
  <si>
    <t>11-330-00-190500-53610 : Chemistry : WC Teaching</t>
  </si>
  <si>
    <t>11-330-00-190500-53620 : Chemistry : WC Nonteaching</t>
  </si>
  <si>
    <t>11-330-00-190500-53910 : Chemistry : Other Benefit-Teaching</t>
  </si>
  <si>
    <t>11-330-00-191100-51100 : Astronomy : Academic Teaching Full-time</t>
  </si>
  <si>
    <t>11-330-00-191100-53110 : Astronomy : STRS Teaching</t>
  </si>
  <si>
    <t>11-330-00-191100-53330 : Astronomy : Medicare Teaching</t>
  </si>
  <si>
    <t>11-330-00-191100-53410 : Astronomy : H &amp; W Teaching</t>
  </si>
  <si>
    <t>11-330-00-191100-53510 : Astronomy : SUI Teaching</t>
  </si>
  <si>
    <t>11-330-00-191100-53610 : Astronomy : WC Teaching</t>
  </si>
  <si>
    <t>11-330-00-191400-51100 : Geology : Academic Teaching Full-time</t>
  </si>
  <si>
    <t>11-330-00-191400-52200 : Geology : Classified Permanent Instructional Aides</t>
  </si>
  <si>
    <t>11-330-00-191400-53110 : Geology : STRS Teaching</t>
  </si>
  <si>
    <t>11-330-00-191400-53210 : Geology : PERS Teaching</t>
  </si>
  <si>
    <t>11-330-00-191400-53310 : Geology : OASDHI (FICA) Teaching</t>
  </si>
  <si>
    <t>11-330-00-191400-53320 : Geology : OASDHI (FICA) Nonteaching</t>
  </si>
  <si>
    <t>11-330-00-191400-53330 : Geology : Medicare Teaching</t>
  </si>
  <si>
    <t>11-330-00-191400-53340 : Geology : Medicare Nonteaching</t>
  </si>
  <si>
    <t>11-330-00-191400-53410 : Geology : H &amp; W Teaching</t>
  </si>
  <si>
    <t>11-330-00-191400-53510 : Geology : SUI Teaching</t>
  </si>
  <si>
    <t>11-330-00-191400-53520 : Geology : SUI Nonteaching</t>
  </si>
  <si>
    <t>11-330-00-191400-53610 : Geology : WC Teaching</t>
  </si>
  <si>
    <t>11-330-00-191400-53620 : Geology : WC Nonteaching</t>
  </si>
  <si>
    <t>11-330-00-191400-53910 : Geology : Other Benefit-Teaching</t>
  </si>
  <si>
    <t>11-330-00-191900-51100 : Oceanography : Academic Teaching Full-time</t>
  </si>
  <si>
    <t>11-330-00-191900-53110 : Oceanography : STRS Teaching</t>
  </si>
  <si>
    <t>11-330-00-191900-53330 : Oceanography : Medicare Teaching</t>
  </si>
  <si>
    <t>11-330-00-191900-53410 : Oceanography : H &amp; W Teaching</t>
  </si>
  <si>
    <t>11-330-00-191900-53510 : Oceanography : SUI Teaching</t>
  </si>
  <si>
    <t>11-330-00-191900-53610 : Oceanography : WC Teaching</t>
  </si>
  <si>
    <t>11-330-00-220600-53110 : Geography : STRS Teaching</t>
  </si>
  <si>
    <t>11-330-00-220600-53310 : Geography : OASDHI (FICA) Teaching</t>
  </si>
  <si>
    <t>11-330-00-220600-53330 : Geography : Medicare Teaching</t>
  </si>
  <si>
    <t>11-330-00-220600-53510 : Geography : SUI Teaching</t>
  </si>
  <si>
    <t>11-330-00-220600-53610 : Geography : WC Teaching</t>
  </si>
  <si>
    <t>11-330-00-601000-52130 : Academic Administration : Classified Management</t>
  </si>
  <si>
    <t>11-330-00-601000-53220 : Academic Administration : PERS Nonteaching</t>
  </si>
  <si>
    <t>11-330-00-601000-53320 : Academic Administration : OASDHI (FICA) Nonteaching</t>
  </si>
  <si>
    <t>11-330-00-601000-53340 : Academic Administration : Medicare Nonteaching</t>
  </si>
  <si>
    <t>11-330-00-601000-53420 : Academic Administration : H &amp; W Nonteaching</t>
  </si>
  <si>
    <t>11-330-00-601000-53520 : Academic Administration : SUI Nonteaching</t>
  </si>
  <si>
    <t>11-330-00-601000-53620 : Academic Administration : WC Nonteaching</t>
  </si>
  <si>
    <t>11-330-00-703800-52105 : MESA Grant : Classified CSEA</t>
  </si>
  <si>
    <t>11-330-00-703800-53220 : MESA Grant : PERS Nonteaching</t>
  </si>
  <si>
    <t>11-330-00-703800-53320 : MESA Grant : OASDHI (FICA) Nonteaching</t>
  </si>
  <si>
    <t>11-330-00-703800-53340 : MESA Grant : Medicare Nonteaching</t>
  </si>
  <si>
    <t>11-330-00-703800-53420 : MESA Grant : H &amp; W Nonteaching</t>
  </si>
  <si>
    <t>11-330-00-703800-53520 : MESA Grant : SUI Nonteaching</t>
  </si>
  <si>
    <t>11-330-00-703800-53620 : MESA Grant : WC Nonteaching</t>
  </si>
  <si>
    <t>11-330-01-070100-51100 : Computer &amp; Information Science : Academic Teaching Full-time</t>
  </si>
  <si>
    <t>11-330-01-070100-53110 : Computer &amp; Information Science : STRS Teaching</t>
  </si>
  <si>
    <t>11-330-01-070100-53330 : Computer &amp; Information Science : Medicare Teaching</t>
  </si>
  <si>
    <t>11-330-01-070100-53410 : Computer &amp; Information Science : H &amp; W Teaching</t>
  </si>
  <si>
    <t>11-330-01-070100-53510 : Computer &amp; Information Science : SUI Teaching</t>
  </si>
  <si>
    <t>11-330-01-070100-53610 : Computer &amp; Information Science : WC Teaching</t>
  </si>
  <si>
    <t>11-330-01-070100-53910 : Computer &amp; Information Science : Other Benefit-Teaching</t>
  </si>
  <si>
    <t>11-330-01-090100-51100 : Engineering : Academic Teaching Full-time</t>
  </si>
  <si>
    <t>11-330-01-090100-53110 : Engineering : STRS Teaching</t>
  </si>
  <si>
    <t>11-330-01-090100-53330 : Engineering : Medicare Teaching</t>
  </si>
  <si>
    <t>11-330-01-090100-53410 : Engineering : H &amp; W Teaching</t>
  </si>
  <si>
    <t>11-330-01-090100-53510 : Engineering : SUI Teaching</t>
  </si>
  <si>
    <t>11-330-01-090100-53610 : Engineering : WC Teaching</t>
  </si>
  <si>
    <t>11-335-00-120300-51100 : Nursing - RN : Academic Teaching Full-time</t>
  </si>
  <si>
    <t>11-335-00-120300-53110 : Nursing - RN : STRS Teaching</t>
  </si>
  <si>
    <t>11-335-00-120300-53120 : Nursing - RN : STRS Nonteaching</t>
  </si>
  <si>
    <t>11-335-00-120300-53310 : Nursing - RN : OASDHI (FICA) Teaching</t>
  </si>
  <si>
    <t>11-335-00-120300-53320 : Nursing - RN : OASDHI (FICA) Nonteaching</t>
  </si>
  <si>
    <t>11-335-00-120300-53330 : Nursing - RN : Medicare Teaching</t>
  </si>
  <si>
    <t>11-335-00-120300-53340 : Nursing - RN : Medicare Nonteaching</t>
  </si>
  <si>
    <t>11-335-00-120300-53410 : Nursing - RN : H &amp; W Teaching</t>
  </si>
  <si>
    <t>11-335-00-120300-53420 : Nursing - RN : H &amp; W Nonteaching</t>
  </si>
  <si>
    <t>11-335-00-120300-53510 : Nursing - RN : SUI Teaching</t>
  </si>
  <si>
    <t>11-335-00-120300-53520 : Nursing - RN : SUI Nonteaching</t>
  </si>
  <si>
    <t>11-335-00-120300-53610 : Nursing - RN : WC Teaching</t>
  </si>
  <si>
    <t>11-335-00-120300-53620 : Nursing - RN : WC Nonteaching</t>
  </si>
  <si>
    <t>11-335-00-120320-51100 : Nursing - LVN : Academic Teaching Full-time</t>
  </si>
  <si>
    <t>11-335-00-120320-53110 : Nursing - LVN : STRS Teaching</t>
  </si>
  <si>
    <t>11-335-00-120320-53310 : Nursing - LVN : OASDHI (FICA) Teaching</t>
  </si>
  <si>
    <t>11-335-00-120320-53330 : Nursing - LVN : Medicare Teaching</t>
  </si>
  <si>
    <t>11-335-00-120320-53410 : Nursing - LVN : H &amp; W Teaching</t>
  </si>
  <si>
    <t>11-335-00-120320-53510 : Nursing - LVN : SUI Teaching</t>
  </si>
  <si>
    <t>11-335-00-120320-53610 : Nursing - LVN : WC Teaching</t>
  </si>
  <si>
    <t>11-335-00-120400-51100 : Respiratory Care Program : Academic Teaching Full-time</t>
  </si>
  <si>
    <t>11-335-00-120400-53110 : Respiratory Care Program : STRS Teaching</t>
  </si>
  <si>
    <t>11-335-00-120400-53310 : Respiratory Care Program : OASDHI (FICA) Teaching</t>
  </si>
  <si>
    <t>11-335-00-120400-53330 : Respiratory Care Program : Medicare Teaching</t>
  </si>
  <si>
    <t>11-335-00-120400-53410 : Respiratory Care Program : H &amp; W Teaching</t>
  </si>
  <si>
    <t>11-335-00-120400-53510 : Respiratory Care Program : SUI Teaching</t>
  </si>
  <si>
    <t>11-335-00-120400-53610 : Respiratory Care Program : WC Teaching</t>
  </si>
  <si>
    <t>11-335-00-125000-53110 : Mobile Intensive Care Paramedic : STRS Teaching</t>
  </si>
  <si>
    <t>11-335-00-125000-53310 : Mobile Intensive Care Paramedic : OASDHI (FICA) Teaching</t>
  </si>
  <si>
    <t>11-335-00-125000-53330 : Mobile Intensive Care Paramedic : Medicare Teaching</t>
  </si>
  <si>
    <t>11-335-00-125000-53410 : Mobile Intensive Care Paramedic : H &amp; W Teaching</t>
  </si>
  <si>
    <t>11-335-00-125000-53510 : Mobile Intensive Care Paramedic : SUI Teaching</t>
  </si>
  <si>
    <t>11-335-00-125000-53610 : Mobile Intensive Care Paramedic : WC Teaching</t>
  </si>
  <si>
    <t>11-335-00-125000-53910 : Mobile Intensive Care Paramedic : Other Benefit-Teaching</t>
  </si>
  <si>
    <t>11-335-00-126000-53110 : Health Professions : STRS Teaching</t>
  </si>
  <si>
    <t>11-335-00-126000-53310 : Health Professions : OASDHI (FICA) Teaching</t>
  </si>
  <si>
    <t>11-335-00-126000-53330 : Health Professions : Medicare Teaching</t>
  </si>
  <si>
    <t>11-335-00-126000-53410 : Health Professions : H &amp; W Teaching</t>
  </si>
  <si>
    <t>11-335-00-126000-53510 : Health Professions : SUI Teaching</t>
  </si>
  <si>
    <t>11-335-00-126000-53610 : Health Professions : WC Teaching</t>
  </si>
  <si>
    <t>11-335-00-126000-53910 : Health Professions : Other Benefit-Teaching</t>
  </si>
  <si>
    <t>11-335-00-601000-51210 : Academic Administration : Academic Nonteaching Management</t>
  </si>
  <si>
    <t>11-335-00-601000-52105 : Academic Administration : Classified CSEA</t>
  </si>
  <si>
    <t>11-335-00-601000-53120 : Academic Administration : STRS Nonteaching</t>
  </si>
  <si>
    <t>11-335-00-601000-53220 : Academic Administration : PERS Nonteaching</t>
  </si>
  <si>
    <t>11-335-00-601000-53320 : Academic Administration : OASDHI (FICA) Nonteaching</t>
  </si>
  <si>
    <t>11-335-00-601000-53340 : Academic Administration : Medicare Nonteaching</t>
  </si>
  <si>
    <t>11-335-00-601000-53420 : Academic Administration : H &amp; W Nonteaching</t>
  </si>
  <si>
    <t>11-335-00-601000-53520 : Academic Administration : SUI Nonteaching</t>
  </si>
  <si>
    <t>11-335-00-601000-53620 : Academic Administration : WC Nonteaching</t>
  </si>
  <si>
    <t>11-335-00-601000-53920 : Academic Administration : Other Benefit-Non Teaching</t>
  </si>
  <si>
    <t>11-340-00-682500-51210 : Western Stage : Academic Nonteaching Management</t>
  </si>
  <si>
    <t>11-340-00-682500-53120 : Western Stage : STRS Nonteaching</t>
  </si>
  <si>
    <t>11-340-00-682500-53220 : Western Stage : PERS Nonteaching</t>
  </si>
  <si>
    <t>11-340-00-682500-53320 : Western Stage : OASDHI (FICA) Nonteaching</t>
  </si>
  <si>
    <t>11-340-00-682500-53340 : Western Stage : Medicare Nonteaching</t>
  </si>
  <si>
    <t>11-340-00-682500-53420 : Western Stage : H &amp; W Nonteaching</t>
  </si>
  <si>
    <t>11-340-00-682500-53520 : Western Stage : SUI Nonteaching</t>
  </si>
  <si>
    <t>11-340-00-682500-53620 : Western Stage : WC Nonteaching</t>
  </si>
  <si>
    <t>11-340-00-682500-53920 : Western Stage : Other Benefit-Non Teaching</t>
  </si>
  <si>
    <t>11-350-00-050000-51100 : Business Education : Academic Teaching Full-time</t>
  </si>
  <si>
    <t>11-350-00-050000-53110 : Business Education : STRS Teaching</t>
  </si>
  <si>
    <t>11-350-00-050000-53310 : Business Education : OASDHI (FICA) Teaching</t>
  </si>
  <si>
    <t>11-350-00-050000-53330 : Business Education : Medicare Teaching</t>
  </si>
  <si>
    <t>11-350-00-050000-53410 : Business Education : H &amp; W Teaching</t>
  </si>
  <si>
    <t>11-350-00-050000-53510 : Business Education : SUI Teaching</t>
  </si>
  <si>
    <t>11-350-00-050000-53610 : Business Education : WC Teaching</t>
  </si>
  <si>
    <t>11-350-00-050000-53910 : Business Education : Other Benefit-Teaching</t>
  </si>
  <si>
    <t>11-350-00-130500-51100 : Early Childhood Education : Academic Teaching Full-time</t>
  </si>
  <si>
    <t>11-350-00-130500-52200 : Early Childhood Education : Classified Permanent Instructional Aides</t>
  </si>
  <si>
    <t>11-350-00-130500-53110 : Early Childhood Education : STRS Teaching</t>
  </si>
  <si>
    <t>11-350-00-130500-53210 : Early Childhood Education : PERS Teaching</t>
  </si>
  <si>
    <t>11-350-00-130500-53310 : Early Childhood Education : OASDHI (FICA) Teaching</t>
  </si>
  <si>
    <t>11-350-00-130500-53330 : Early Childhood Education : Medicare Teaching</t>
  </si>
  <si>
    <t>11-350-00-130500-53410 : Early Childhood Education : H &amp; W Teaching</t>
  </si>
  <si>
    <t>11-350-00-130500-53510 : Early Childhood Education : SUI Teaching</t>
  </si>
  <si>
    <t>11-350-00-130500-53610 : Early Childhood Education : WC Teaching</t>
  </si>
  <si>
    <t>11-350-00-210440-51100 : Alcohol &amp; Drug Counseling : Academic Teaching Full-time</t>
  </si>
  <si>
    <t>11-350-00-210440-53110 : Alcohol &amp; Drug Counseling : STRS Teaching</t>
  </si>
  <si>
    <t>11-350-00-210440-53120 : Alcohol &amp; Drug Counseling : STRS Nonteaching</t>
  </si>
  <si>
    <t>11-350-00-210440-53330 : Alcohol &amp; Drug Counseling : Medicare Teaching</t>
  </si>
  <si>
    <t>11-350-00-210440-53340 : Alcohol &amp; Drug Counseling : Medicare Nonteaching</t>
  </si>
  <si>
    <t>11-350-00-210440-53410 : Alcohol &amp; Drug Counseling : H &amp; W Teaching</t>
  </si>
  <si>
    <t>11-350-00-210440-53510 : Alcohol &amp; Drug Counseling : SUI Teaching</t>
  </si>
  <si>
    <t>11-350-00-210440-53520 : Alcohol &amp; Drug Counseling : SUI Nonteaching</t>
  </si>
  <si>
    <t>11-350-00-210440-53610 : Alcohol &amp; Drug Counseling : WC Teaching</t>
  </si>
  <si>
    <t>11-350-00-210440-53620 : Alcohol &amp; Drug Counseling : WC Nonteaching</t>
  </si>
  <si>
    <t>11-350-00-210500-51100 : Administration of Justice : Academic Teaching Full-time</t>
  </si>
  <si>
    <t>11-350-00-210500-53110 : Administration of Justice : STRS Teaching</t>
  </si>
  <si>
    <t>11-350-00-210500-53120 : Administration of Justice : STRS Nonteaching</t>
  </si>
  <si>
    <t>11-350-00-210500-53310 : Administration of Justice : OASDHI (FICA) Teaching</t>
  </si>
  <si>
    <t>11-350-00-210500-53320 : Administration of Justice : OASDHI (FICA) Nonteaching</t>
  </si>
  <si>
    <t>11-350-00-210500-53330 : Administration of Justice : Medicare Teaching</t>
  </si>
  <si>
    <t>11-350-00-210500-53340 : Administration of Justice : Medicare Nonteaching</t>
  </si>
  <si>
    <t>11-350-00-210500-53410 : Administration of Justice : H &amp; W Teaching</t>
  </si>
  <si>
    <t>11-350-00-210500-53510 : Administration of Justice : SUI Teaching</t>
  </si>
  <si>
    <t>11-350-00-210500-53520 : Administration of Justice : SUI Nonteaching</t>
  </si>
  <si>
    <t>11-350-00-210500-53610 : Administration of Justice : WC Teaching</t>
  </si>
  <si>
    <t>11-350-00-210500-53620 : Administration of Justice : WC Nonteaching</t>
  </si>
  <si>
    <t>11-350-00-601000-51210 : Academic Administration : Academic Nonteaching Management</t>
  </si>
  <si>
    <t>11-350-00-601000-52105 : Academic Administration : Classified CSEA</t>
  </si>
  <si>
    <t>11-350-00-601000-53120 : Academic Administration : STRS Nonteaching</t>
  </si>
  <si>
    <t>11-350-00-601000-53220 : Academic Administration : PERS Nonteaching</t>
  </si>
  <si>
    <t>11-350-00-601000-53320 : Academic Administration : OASDHI (FICA) Nonteaching</t>
  </si>
  <si>
    <t>11-350-00-601000-53340 : Academic Administration : Medicare Nonteaching</t>
  </si>
  <si>
    <t>11-350-00-601000-53420 : Academic Administration : H &amp; W Nonteaching</t>
  </si>
  <si>
    <t>11-350-00-601000-53520 : Academic Administration : SUI Nonteaching</t>
  </si>
  <si>
    <t>11-350-00-601000-53620 : Academic Administration : WC Nonteaching</t>
  </si>
  <si>
    <t>11-350-00-703800-52105 : MESA Grant : Classified CSEA</t>
  </si>
  <si>
    <t>11-350-00-703800-53120 : MESA Grant : STRS Nonteaching</t>
  </si>
  <si>
    <t>11-350-00-703800-53220 : MESA Grant : PERS Nonteaching</t>
  </si>
  <si>
    <t>11-350-00-703800-53320 : MESA Grant : OASDHI (FICA) Nonteaching</t>
  </si>
  <si>
    <t>11-350-00-703800-53340 : MESA Grant : Medicare Nonteaching</t>
  </si>
  <si>
    <t>11-350-00-703800-53420 : MESA Grant : H &amp; W Nonteaching</t>
  </si>
  <si>
    <t>11-350-00-703800-53520 : MESA Grant : SUI Nonteaching</t>
  </si>
  <si>
    <t>11-350-00-703800-53620 : MESA Grant : WC Nonteaching</t>
  </si>
  <si>
    <t>11-350-01-010100-51100 : Agriculture Technology : Academic Teaching Full-time</t>
  </si>
  <si>
    <t>11-350-01-010100-52200 : Agriculture Technology : Classified Permanent Instructional Aides</t>
  </si>
  <si>
    <t>11-350-01-010100-53110 : Agriculture Technology : STRS Teaching</t>
  </si>
  <si>
    <t>11-350-01-010100-53120 : Agriculture Technology : STRS Nonteaching</t>
  </si>
  <si>
    <t>11-350-01-010100-53210 : Agriculture Technology : PERS Teaching</t>
  </si>
  <si>
    <t>11-350-01-010100-53310 : Agriculture Technology : OASDHI (FICA) Teaching</t>
  </si>
  <si>
    <t>11-350-01-010100-53320 : Agriculture Technology : OASDHI (FICA) Nonteaching</t>
  </si>
  <si>
    <t>11-350-01-010100-53330 : Agriculture Technology : Medicare Teaching</t>
  </si>
  <si>
    <t>11-350-01-010100-53340 : Agriculture Technology : Medicare Nonteaching</t>
  </si>
  <si>
    <t>11-350-01-010100-53410 : Agriculture Technology : H &amp; W Teaching</t>
  </si>
  <si>
    <t>11-350-01-010100-53510 : Agriculture Technology : SUI Teaching</t>
  </si>
  <si>
    <t>11-350-01-010100-53520 : Agriculture Technology : SUI Nonteaching</t>
  </si>
  <si>
    <t>11-350-01-010100-53610 : Agriculture Technology : WC Teaching</t>
  </si>
  <si>
    <t>11-350-01-010100-53620 : Agriculture Technology : WC Nonteaching</t>
  </si>
  <si>
    <t>11-350-01-010100-53910 : Agriculture Technology : Other Benefit-Teaching</t>
  </si>
  <si>
    <t>11-350-01-070100-51100 : Computer &amp; Information Science : Academic Teaching Full-time</t>
  </si>
  <si>
    <t>11-350-01-070100-51200 : Computer &amp; Information Science : Academic Nonteaching Full-time</t>
  </si>
  <si>
    <t>11-350-01-070100-53110 : Computer &amp; Information Science : STRS Teaching</t>
  </si>
  <si>
    <t>11-350-01-070100-53120 : Computer &amp; Information Science : STRS Nonteaching</t>
  </si>
  <si>
    <t>11-350-01-070100-53330 : Computer &amp; Information Science : Medicare Teaching</t>
  </si>
  <si>
    <t>11-350-01-070100-53340 : Computer &amp; Information Science : Medicare Nonteaching</t>
  </si>
  <si>
    <t>11-350-01-070100-53410 : Computer &amp; Information Science : H &amp; W Teaching</t>
  </si>
  <si>
    <t>11-350-01-070100-53420 : Computer &amp; Information Science : H &amp; W Nonteaching</t>
  </si>
  <si>
    <t>11-350-01-070100-53510 : Computer &amp; Information Science : SUI Teaching</t>
  </si>
  <si>
    <t>11-350-01-070100-53520 : Computer &amp; Information Science : SUI Nonteaching</t>
  </si>
  <si>
    <t>11-350-01-070100-53610 : Computer &amp; Information Science : WC Teaching</t>
  </si>
  <si>
    <t>11-350-01-070100-53620 : Computer &amp; Information Science : WC Nonteaching</t>
  </si>
  <si>
    <t>11-350-01-094500-52200 : Agriculture &amp; Industrial Tech. : Classified Permanent Instructional Aides</t>
  </si>
  <si>
    <t>11-350-01-094500-53210 : Agriculture &amp; Industrial Tech. : PERS Teaching</t>
  </si>
  <si>
    <t>11-350-01-094500-53310 : Agriculture &amp; Industrial Tech. : OASDHI (FICA) Teaching</t>
  </si>
  <si>
    <t>11-350-01-094500-53330 : Agriculture &amp; Industrial Tech. : Medicare Teaching</t>
  </si>
  <si>
    <t>11-350-01-094500-53410 : Agriculture &amp; Industrial Tech. : H &amp; W Teaching</t>
  </si>
  <si>
    <t>11-350-01-094500-53510 : Agriculture &amp; Industrial Tech. : SUI Teaching</t>
  </si>
  <si>
    <t>11-350-01-094500-53610 : Agriculture &amp; Industrial Tech. : WC Teaching</t>
  </si>
  <si>
    <t>11-350-01-094700-51100 : Diesel Mechanics : Academic Teaching Full-time</t>
  </si>
  <si>
    <t>11-350-01-094700-52200 : Diesel Mechanics : Classified Permanent Instructional Aides</t>
  </si>
  <si>
    <t>11-350-01-094700-53110 : Diesel Mechanics : STRS Teaching</t>
  </si>
  <si>
    <t>11-350-01-094700-53120 : Diesel Mechanics : STRS Nonteaching</t>
  </si>
  <si>
    <t>11-350-01-094700-53210 : Diesel Mechanics : PERS Teaching</t>
  </si>
  <si>
    <t>11-350-01-094700-53310 : Diesel Mechanics : OASDHI (FICA) Teaching</t>
  </si>
  <si>
    <t>11-350-01-094700-53320 : Diesel Mechanics : OASDHI (FICA) Nonteaching</t>
  </si>
  <si>
    <t>11-350-01-094700-53330 : Diesel Mechanics : Medicare Teaching</t>
  </si>
  <si>
    <t>11-350-01-094700-53340 : Diesel Mechanics : Medicare Nonteaching</t>
  </si>
  <si>
    <t>11-350-01-094700-53410 : Diesel Mechanics : H &amp; W Teaching</t>
  </si>
  <si>
    <t>11-350-01-094700-53510 : Diesel Mechanics : SUI Teaching</t>
  </si>
  <si>
    <t>11-350-01-094700-53520 : Diesel Mechanics : SUI Nonteaching</t>
  </si>
  <si>
    <t>11-350-01-094700-53610 : Diesel Mechanics : WC Teaching</t>
  </si>
  <si>
    <t>11-350-01-094700-53620 : Diesel Mechanics : WC Nonteaching</t>
  </si>
  <si>
    <t>11-350-01-094700-53910 : Diesel Mechanics : Other Benefit-Teaching</t>
  </si>
  <si>
    <t>11-350-01-094800-53110 : Automotive Technology : STRS Teaching</t>
  </si>
  <si>
    <t>11-350-01-094800-53120 : Automotive Technology : STRS Nonteaching</t>
  </si>
  <si>
    <t>11-350-01-094800-53310 : Automotive Technology : OASDHI (FICA) Teaching</t>
  </si>
  <si>
    <t>11-350-01-094800-53330 : Automotive Technology : Medicare Teaching</t>
  </si>
  <si>
    <t>11-350-01-094800-53340 : Automotive Technology : Medicare Nonteaching</t>
  </si>
  <si>
    <t>11-350-01-094800-53510 : Automotive Technology : SUI Teaching</t>
  </si>
  <si>
    <t>11-350-01-094800-53520 : Automotive Technology : SUI Nonteaching</t>
  </si>
  <si>
    <t>11-350-01-094800-53610 : Automotive Technology : WC Teaching</t>
  </si>
  <si>
    <t>11-350-01-094800-53620 : Automotive Technology : WC Nonteaching</t>
  </si>
  <si>
    <t>11-350-01-095200-51100 : Construction Technology : Academic Teaching Full-time</t>
  </si>
  <si>
    <t>11-350-01-095200-53110 : Construction Technology : STRS Teaching</t>
  </si>
  <si>
    <t>11-350-01-095200-53330 : Construction Technology : Medicare Teaching</t>
  </si>
  <si>
    <t>11-350-01-095200-53410 : Construction Technology : H &amp; W Teaching</t>
  </si>
  <si>
    <t>11-350-01-095200-53510 : Construction Technology : SUI Teaching</t>
  </si>
  <si>
    <t>11-350-01-095200-53610 : Construction Technology : WC Teaching</t>
  </si>
  <si>
    <t>11-350-01-095200-53910 : Construction Technology : Other Benefit-Teaching</t>
  </si>
  <si>
    <t>11-350-01-095300-51100 : Drafting Technology : Academic Teaching Full-time</t>
  </si>
  <si>
    <t>11-350-01-095300-53110 : Drafting Technology : STRS Teaching</t>
  </si>
  <si>
    <t>11-350-01-095300-53330 : Drafting Technology : Medicare Teaching</t>
  </si>
  <si>
    <t>11-350-01-095300-53410 : Drafting Technology : H &amp; W Teaching</t>
  </si>
  <si>
    <t>11-350-01-095300-53510 : Drafting Technology : SUI Teaching</t>
  </si>
  <si>
    <t>11-350-01-095300-53610 : Drafting Technology : WC Teaching</t>
  </si>
  <si>
    <t>11-350-01-095650-51100 : Welding Technology : Academic Teaching Full-time</t>
  </si>
  <si>
    <t>11-350-01-095650-52200 : Welding Technology : Classified Permanent Instructional Aides</t>
  </si>
  <si>
    <t>11-350-01-095650-53110 : Welding Technology : STRS Teaching</t>
  </si>
  <si>
    <t>11-350-01-095650-53210 : Welding Technology : PERS Teaching</t>
  </si>
  <si>
    <t>11-350-01-095650-53310 : Welding Technology : OASDHI (FICA) Teaching</t>
  </si>
  <si>
    <t>11-350-01-095650-53330 : Welding Technology : Medicare Teaching</t>
  </si>
  <si>
    <t>11-350-01-095650-53410 : Welding Technology : H &amp; W Teaching</t>
  </si>
  <si>
    <t>11-350-01-095650-53510 : Welding Technology : SUI Teaching</t>
  </si>
  <si>
    <t>11-350-01-095650-53610 : Welding Technology : WC Teaching</t>
  </si>
  <si>
    <t>11-350-01-601000-51210 : Academic Administration : Academic Nonteaching Management</t>
  </si>
  <si>
    <t>11-350-01-601000-52105 : Academic Administration : Classified CSEA</t>
  </si>
  <si>
    <t>11-350-01-601000-53120 : Academic Administration : STRS Nonteaching</t>
  </si>
  <si>
    <t>11-350-01-601000-53220 : Academic Administration : PERS Nonteaching</t>
  </si>
  <si>
    <t>11-350-01-601000-53320 : Academic Administration : OASDHI (FICA) Nonteaching</t>
  </si>
  <si>
    <t>11-350-01-601000-53340 : Academic Administration : Medicare Nonteaching</t>
  </si>
  <si>
    <t>11-350-01-601000-53420 : Academic Administration : H &amp; W Nonteaching</t>
  </si>
  <si>
    <t>11-350-01-601000-53520 : Academic Administration : SUI Nonteaching</t>
  </si>
  <si>
    <t>11-350-01-601000-53620 : Academic Administration : WC Nonteaching</t>
  </si>
  <si>
    <t>11-350-01-601000-53920 : Academic Administration : Other Benefit-Non Teaching</t>
  </si>
  <si>
    <t>11-360-00-160100-51100 : Library Science : Academic Teaching Full-time</t>
  </si>
  <si>
    <t>11-360-00-160100-53110 : Library Science : STRS Teaching</t>
  </si>
  <si>
    <t>11-360-00-160100-53210 : Library Science : PERS Teaching</t>
  </si>
  <si>
    <t>11-360-00-160100-53310 : Library Science : OASDHI (FICA) Teaching</t>
  </si>
  <si>
    <t>11-360-00-160100-53330 : Library Science : Medicare Teaching</t>
  </si>
  <si>
    <t>11-360-00-160100-53410 : Library Science : H &amp; W Teaching</t>
  </si>
  <si>
    <t>11-360-00-160100-53510 : Library Science : SUI Teaching</t>
  </si>
  <si>
    <t>11-360-00-160100-53610 : Library Science : WC Teaching</t>
  </si>
  <si>
    <t>11-360-00-601000-51210 : Academic Administration : Academic Nonteaching Management</t>
  </si>
  <si>
    <t>11-360-00-601000-52105 : Academic Administration : Classified CSEA</t>
  </si>
  <si>
    <t>11-360-00-601000-53120 : Academic Administration : STRS Nonteaching</t>
  </si>
  <si>
    <t>11-360-00-601000-53220 : Academic Administration : PERS Nonteaching</t>
  </si>
  <si>
    <t>11-360-00-601000-53320 : Academic Administration : OASDHI (FICA) Nonteaching</t>
  </si>
  <si>
    <t>11-360-00-601000-53340 : Academic Administration : Medicare Nonteaching</t>
  </si>
  <si>
    <t>11-360-00-601000-53420 : Academic Administration : H &amp; W Nonteaching</t>
  </si>
  <si>
    <t>11-360-00-601000-53520 : Academic Administration : SUI Nonteaching</t>
  </si>
  <si>
    <t>11-360-00-601000-53620 : Academic Administration : WC Nonteaching</t>
  </si>
  <si>
    <t>11-360-00-601000-53920 : Academic Administration : Other Benefit-Non Teaching</t>
  </si>
  <si>
    <t>11-360-00-612000-51200 : Library Services : Academic Nonteaching Full-time</t>
  </si>
  <si>
    <t>11-360-00-612000-52105 : Library Services : Classified CSEA</t>
  </si>
  <si>
    <t>11-360-00-612000-53120 : Library Services : STRS Nonteaching</t>
  </si>
  <si>
    <t>11-360-00-612000-53220 : Library Services : PERS Nonteaching</t>
  </si>
  <si>
    <t>11-360-00-612000-53320 : Library Services : OASDHI (FICA) Nonteaching</t>
  </si>
  <si>
    <t>11-360-00-612000-53340 : Library Services : Medicare Nonteaching</t>
  </si>
  <si>
    <t>11-360-00-612000-53420 : Library Services : H &amp; W Nonteaching</t>
  </si>
  <si>
    <t>11-360-00-612000-53520 : Library Services : SUI Nonteaching</t>
  </si>
  <si>
    <t>11-360-00-612000-53620 : Library Services : WC Nonteaching</t>
  </si>
  <si>
    <t>11-360-00-613000-52105 : Instructional Media : Classified CSEA</t>
  </si>
  <si>
    <t>11-360-00-613000-53220 : Instructional Media : PERS Nonteaching</t>
  </si>
  <si>
    <t>11-360-00-613000-53320 : Instructional Media : OASDHI (FICA) Nonteaching</t>
  </si>
  <si>
    <t>11-360-00-613000-53340 : Instructional Media : Medicare Nonteaching</t>
  </si>
  <si>
    <t>11-360-00-613000-53420 : Instructional Media : H &amp; W Nonteaching</t>
  </si>
  <si>
    <t>11-360-00-613000-53520 : Instructional Media : SUI Nonteaching</t>
  </si>
  <si>
    <t>11-360-00-613000-53620 : Instructional Media : WC Nonteaching</t>
  </si>
  <si>
    <t>11-365-00-493034-53110 : Learning Skills Center : STRS Teaching</t>
  </si>
  <si>
    <t>11-365-00-493034-53310 : Learning Skills Center : OASDHI (FICA) Teaching</t>
  </si>
  <si>
    <t>11-365-00-493034-53330 : Learning Skills Center : Medicare Teaching</t>
  </si>
  <si>
    <t>11-365-00-493034-53510 : Learning Skills Center : SUI Teaching</t>
  </si>
  <si>
    <t>11-365-00-493034-53610 : Learning Skills Center : WC Teaching</t>
  </si>
  <si>
    <t>11-365-00-493034-53620 : Learning Skills Center : WC Nonteaching</t>
  </si>
  <si>
    <t>11-365-00-493035-52105 : Tutorial Center : Classified CSEA</t>
  </si>
  <si>
    <t>11-365-00-493035-53220 : Tutorial Center : PERS Nonteaching</t>
  </si>
  <si>
    <t>11-365-00-493035-53320 : Tutorial Center : OASDHI (FICA) Nonteaching</t>
  </si>
  <si>
    <t>11-365-00-493035-53340 : Tutorial Center : Medicare Nonteaching</t>
  </si>
  <si>
    <t>11-365-00-493035-53420 : Tutorial Center : H &amp; W Nonteaching</t>
  </si>
  <si>
    <t>11-365-00-493035-53520 : Tutorial Center : SUI Nonteaching</t>
  </si>
  <si>
    <t>11-365-00-493035-53620 : Tutorial Center : WC Nonteaching</t>
  </si>
  <si>
    <t>11-370-00-708300-52105 : Dept of Social &amp; Employ Svs : Classified CSEA</t>
  </si>
  <si>
    <t>11-370-00-708300-52130 : Dept of Social &amp; Employ Svs : Classified Management</t>
  </si>
  <si>
    <t>11-370-00-708300-53220 : Dept of Social &amp; Employ Svs : PERS Nonteaching</t>
  </si>
  <si>
    <t>11-370-00-708300-53320 : Dept of Social &amp; Employ Svs : OASDHI (FICA) Nonteaching</t>
  </si>
  <si>
    <t>11-370-00-708300-53340 : Dept of Social &amp; Employ Svs : Medicare Nonteaching</t>
  </si>
  <si>
    <t>11-370-00-708300-53420 : Dept of Social &amp; Employ Svs : H &amp; W Nonteaching</t>
  </si>
  <si>
    <t>11-370-00-708300-53520 : Dept of Social &amp; Employ Svs : SUI Nonteaching</t>
  </si>
  <si>
    <t>11-370-00-708300-53620 : Dept of Social &amp; Employ Svs : WC Nonteaching</t>
  </si>
  <si>
    <t>11-372-00-601000-53120 : Academic Administration : STRS Nonteaching</t>
  </si>
  <si>
    <t>11-372-00-601000-53340 : Academic Administration : Medicare Nonteaching</t>
  </si>
  <si>
    <t>11-372-00-601000-53520 : Academic Administration : SUI Nonteaching</t>
  </si>
  <si>
    <t>11-372-00-601000-53620 : Academic Administration : WC Nonteaching</t>
  </si>
  <si>
    <t>11-373-00-601000-51210 : Academic Administration : Academic Nonteaching Management</t>
  </si>
  <si>
    <t>11-373-00-601000-52105 : Academic Administration : Classified CSEA</t>
  </si>
  <si>
    <t>11-373-00-601000-53120 : Academic Administration : STRS Nonteaching</t>
  </si>
  <si>
    <t>11-373-00-601000-53220 : Academic Administration : PERS Nonteaching</t>
  </si>
  <si>
    <t>11-373-00-601000-53320 : Academic Administration : OASDHI (FICA) Nonteaching</t>
  </si>
  <si>
    <t>11-373-00-601000-53340 : Academic Administration : Medicare Nonteaching</t>
  </si>
  <si>
    <t>11-373-00-601000-53420 : Academic Administration : H &amp; W Nonteaching</t>
  </si>
  <si>
    <t>11-373-00-601000-53520 : Academic Administration : SUI Nonteaching</t>
  </si>
  <si>
    <t>11-373-00-601000-53620 : Academic Administration : WC Nonteaching</t>
  </si>
  <si>
    <t>11-373-00-601000-53920 : Academic Administration : Other Benefit-Non Teaching</t>
  </si>
  <si>
    <t>11-375-00-085000-53110 : American Sign Language : STRS Teaching</t>
  </si>
  <si>
    <t>11-375-00-085000-53120 : American Sign Language : STRS Nonteaching</t>
  </si>
  <si>
    <t>11-375-00-085000-53330 : American Sign Language : Medicare Teaching</t>
  </si>
  <si>
    <t>11-375-00-085000-53340 : American Sign Language : Medicare Nonteaching</t>
  </si>
  <si>
    <t>11-375-00-085000-53510 : American Sign Language : SUI Teaching</t>
  </si>
  <si>
    <t>11-375-00-085000-53520 : American Sign Language : SUI Nonteaching</t>
  </si>
  <si>
    <t>11-375-00-085000-53610 : American Sign Language : WC Teaching</t>
  </si>
  <si>
    <t>11-375-00-085000-53620 : American Sign Language : WC Nonteaching</t>
  </si>
  <si>
    <t>11-375-00-110500-51100 : Spanish : Academic Teaching Full-time</t>
  </si>
  <si>
    <t>11-375-00-110500-53110 : Spanish : STRS Teaching</t>
  </si>
  <si>
    <t>11-375-00-110500-53310 : Spanish : OASDHI (FICA) Teaching</t>
  </si>
  <si>
    <t>11-375-00-110500-53330 : Spanish : Medicare Teaching</t>
  </si>
  <si>
    <t>11-375-00-110500-53410 : Spanish : H &amp; W Teaching</t>
  </si>
  <si>
    <t>11-375-00-110500-53510 : Spanish : SUI Teaching</t>
  </si>
  <si>
    <t>11-375-00-110500-53610 : Spanish : WC Teaching</t>
  </si>
  <si>
    <t>11-375-00-150100-51100 : English : Academic Teaching Full-time</t>
  </si>
  <si>
    <t>11-375-00-150100-53110 : English : STRS Teaching</t>
  </si>
  <si>
    <t>11-375-00-150100-53310 : English : OASDHI (FICA) Teaching</t>
  </si>
  <si>
    <t>11-375-00-150100-53330 : English : Medicare Teaching</t>
  </si>
  <si>
    <t>11-375-00-150100-53410 : English : H &amp; W Teaching</t>
  </si>
  <si>
    <t>11-375-00-150100-53510 : English : SUI Teaching</t>
  </si>
  <si>
    <t>11-375-00-150100-53610 : English : WC Teaching</t>
  </si>
  <si>
    <t>11-375-00-150100-53910 : English : Other Benefit-Teaching</t>
  </si>
  <si>
    <t>11-375-00-150600-51100 : Speech : Academic Teaching Full-time</t>
  </si>
  <si>
    <t>11-375-00-150600-53110 : Speech : STRS Teaching</t>
  </si>
  <si>
    <t>11-375-00-150600-53310 : Speech : OASDHI (FICA) Teaching</t>
  </si>
  <si>
    <t>11-375-00-150600-53330 : Speech : Medicare Teaching</t>
  </si>
  <si>
    <t>11-375-00-150600-53410 : Speech : H &amp; W Teaching</t>
  </si>
  <si>
    <t>11-375-00-150600-53510 : Speech : SUI Teaching</t>
  </si>
  <si>
    <t>11-375-00-150600-53610 : Speech : WC Teaching</t>
  </si>
  <si>
    <t>11-375-00-493080-51100 : ESL : Academic Teaching Full-time</t>
  </si>
  <si>
    <t>11-375-00-493080-53110 : ESL : STRS Teaching</t>
  </si>
  <si>
    <t>11-375-00-493080-53330 : ESL : Medicare Teaching</t>
  </si>
  <si>
    <t>11-375-00-493080-53410 : ESL : H &amp; W Teaching</t>
  </si>
  <si>
    <t>11-375-00-493080-53510 : ESL : SUI Teaching</t>
  </si>
  <si>
    <t>11-375-00-493080-53610 : ESL : WC Teaching</t>
  </si>
  <si>
    <t>11-395-00-635050-52105 : ACE Program : Classified CSEA</t>
  </si>
  <si>
    <t>11-395-00-635050-53120 : ACE Program : STRS Nonteaching</t>
  </si>
  <si>
    <t>11-395-00-635050-53220 : ACE Program : PERS Nonteaching</t>
  </si>
  <si>
    <t>11-395-00-635050-53320 : ACE Program : OASDHI (FICA) Nonteaching</t>
  </si>
  <si>
    <t>11-395-00-635050-53340 : ACE Program : Medicare Nonteaching</t>
  </si>
  <si>
    <t>11-395-00-635050-53420 : ACE Program : H &amp; W Nonteaching</t>
  </si>
  <si>
    <t>11-395-00-635050-53520 : ACE Program : SUI Nonteaching</t>
  </si>
  <si>
    <t>11-395-00-635050-53620 : ACE Program : WC Nonteaching</t>
  </si>
  <si>
    <t>11-395-00-696000-52130 : Student Activities : Classified Management</t>
  </si>
  <si>
    <t>11-395-00-696000-53220 : Student Activities : PERS Nonteaching</t>
  </si>
  <si>
    <t>11-395-00-696000-53320 : Student Activities : OASDHI (FICA) Nonteaching</t>
  </si>
  <si>
    <t>11-395-00-696000-53340 : Student Activities : Medicare Nonteaching</t>
  </si>
  <si>
    <t>11-395-00-696000-53420 : Student Activities : H &amp; W Nonteaching</t>
  </si>
  <si>
    <t>11-395-00-696000-53520 : Student Activities : SUI Nonteaching</t>
  </si>
  <si>
    <t>11-395-00-696000-53620 : Student Activities : WC Nonteaching</t>
  </si>
  <si>
    <t>11-395-00-696000-53920 : Student Activities : Other Benefit-Non Teaching</t>
  </si>
  <si>
    <t>11-400-00-493010-53110 : Counseling Instruction : STRS Teaching</t>
  </si>
  <si>
    <t>11-400-00-493010-53330 : Counseling Instruction : Medicare Teaching</t>
  </si>
  <si>
    <t>11-400-00-493010-53510 : Counseling Instruction : SUI Teaching</t>
  </si>
  <si>
    <t>11-400-00-493010-53610 : Counseling Instruction : WC Teaching</t>
  </si>
  <si>
    <t>11-400-00-620020-53320 : Graduation Program : OASDHI (FICA) Nonteaching</t>
  </si>
  <si>
    <t>11-400-00-620020-53340 : Graduation Program : Medicare Nonteaching</t>
  </si>
  <si>
    <t>11-400-00-620020-53520 : Graduation Program : SUI Nonteaching</t>
  </si>
  <si>
    <t>11-400-00-620020-53620 : Graduation Program : WC Nonteaching</t>
  </si>
  <si>
    <t>11-400-00-631000-51200 : Counseling &amp; Guidance : Academic Nonteaching Full-time</t>
  </si>
  <si>
    <t>11-400-00-631000-51210 : Counseling &amp; Guidance : Academic Nonteaching Management</t>
  </si>
  <si>
    <t>11-400-00-631000-52105 : Counseling &amp; Guidance : Classified CSEA</t>
  </si>
  <si>
    <t>11-400-00-631000-53110 : Counseling &amp; Guidance : STRS Teaching</t>
  </si>
  <si>
    <t>11-400-00-631000-53120 : Counseling &amp; Guidance : STRS Nonteaching</t>
  </si>
  <si>
    <t>11-400-00-631000-53220 : Counseling &amp; Guidance : PERS Nonteaching</t>
  </si>
  <si>
    <t>11-400-00-631000-53310 : Counseling &amp; Guidance : OASDHI (FICA) Teaching</t>
  </si>
  <si>
    <t>11-400-00-631000-53320 : Counseling &amp; Guidance : OASDHI (FICA) Nonteaching</t>
  </si>
  <si>
    <t>11-400-00-631000-53330 : Counseling &amp; Guidance : Medicare Teaching</t>
  </si>
  <si>
    <t>11-400-00-631000-53340 : Counseling &amp; Guidance : Medicare Nonteaching</t>
  </si>
  <si>
    <t>11-400-00-631000-53410 : Counseling &amp; Guidance : H &amp; W Teaching</t>
  </si>
  <si>
    <t>11-400-00-631000-53420 : Counseling &amp; Guidance : H &amp; W Nonteaching</t>
  </si>
  <si>
    <t>11-400-00-631000-53510 : Counseling &amp; Guidance : SUI Teaching</t>
  </si>
  <si>
    <t>11-400-00-631000-53520 : Counseling &amp; Guidance : SUI Nonteaching</t>
  </si>
  <si>
    <t>11-400-00-631000-53610 : Counseling &amp; Guidance : WC Teaching</t>
  </si>
  <si>
    <t>11-400-00-631000-53620 : Counseling &amp; Guidance : WC Nonteaching</t>
  </si>
  <si>
    <t>11-400-00-631000-53920 : Counseling &amp; Guidance : Other Benefit-Non Teaching</t>
  </si>
  <si>
    <t>11-400-00-631020-53120 : Crisis Counseling : STRS Nonteaching</t>
  </si>
  <si>
    <t>11-400-00-631020-53220 : Crisis Counseling : PERS Nonteaching</t>
  </si>
  <si>
    <t>11-400-00-631020-53320 : Crisis Counseling : OASDHI (FICA) Nonteaching</t>
  </si>
  <si>
    <t>11-400-00-631020-53340 : Crisis Counseling : Medicare Nonteaching</t>
  </si>
  <si>
    <t>11-400-00-631020-53420 : Crisis Counseling : H &amp; W Nonteaching</t>
  </si>
  <si>
    <t>11-400-00-631020-53520 : Crisis Counseling : SUI Nonteaching</t>
  </si>
  <si>
    <t>11-400-00-631020-53620 : Crisis Counseling : WC Nonteaching</t>
  </si>
  <si>
    <t>11-400-00-633050-53620 : Transfer Center : WC Nonteaching</t>
  </si>
  <si>
    <t>11-400-00-634000-51200 : Career Center : Academic Nonteaching Full-time</t>
  </si>
  <si>
    <t>11-400-00-634000-52105 : Career Center : Classified CSEA</t>
  </si>
  <si>
    <t>11-400-00-634000-53120 : Career Center : STRS Nonteaching</t>
  </si>
  <si>
    <t>11-400-00-634000-53220 : Career Center : PERS Nonteaching</t>
  </si>
  <si>
    <t>11-400-00-634000-53320 : Career Center : OASDHI (FICA) Nonteaching</t>
  </si>
  <si>
    <t>11-400-00-634000-53340 : Career Center : Medicare Nonteaching</t>
  </si>
  <si>
    <t>11-400-00-634000-53420 : Career Center : H &amp; W Nonteaching</t>
  </si>
  <si>
    <t>11-400-00-634000-53520 : Career Center : SUI Nonteaching</t>
  </si>
  <si>
    <t>11-400-00-634000-53620 : Career Center : WC Nonteaching</t>
  </si>
  <si>
    <t>11-400-00-634000-53920 : Career Center : Other Benefit-Non Teaching</t>
  </si>
  <si>
    <t>11-400-00-665000-51210 : Student Services Administration : Academic Nonteaching Management</t>
  </si>
  <si>
    <t>11-400-00-665000-52120 : Student Services Administration : Classified Confidential</t>
  </si>
  <si>
    <t>11-400-00-665000-53120 : Student Services Administration : STRS Nonteaching</t>
  </si>
  <si>
    <t>11-400-00-665000-53220 : Student Services Administration : PERS Nonteaching</t>
  </si>
  <si>
    <t>11-400-00-665000-53320 : Student Services Administration : OASDHI (FICA) Nonteaching</t>
  </si>
  <si>
    <t>11-400-00-665000-53340 : Student Services Administration : Medicare Nonteaching</t>
  </si>
  <si>
    <t>11-400-00-665000-53420 : Student Services Administration : H &amp; W Nonteaching</t>
  </si>
  <si>
    <t>11-400-00-665000-53520 : Student Services Administration : SUI Nonteaching</t>
  </si>
  <si>
    <t>11-400-00-665000-53620 : Student Services Administration : WC Nonteaching</t>
  </si>
  <si>
    <t>11-400-00-665000-53920 : Student Services Administration : Other Benefit-Non Teaching</t>
  </si>
  <si>
    <t>11-400-00-696000-52105 : Student Activities : Classified CSEA</t>
  </si>
  <si>
    <t>11-400-00-696000-52130 : Student Activities : Classified Management</t>
  </si>
  <si>
    <t>11-400-00-696000-53220 : Student Activities : PERS Nonteaching</t>
  </si>
  <si>
    <t>11-400-00-696000-53320 : Student Activities : OASDHI (FICA) Nonteaching</t>
  </si>
  <si>
    <t>11-400-00-696000-53340 : Student Activities : Medicare Nonteaching</t>
  </si>
  <si>
    <t>11-400-00-696000-53420 : Student Activities : H &amp; W Nonteaching</t>
  </si>
  <si>
    <t>11-400-00-696000-53520 : Student Activities : SUI Nonteaching</t>
  </si>
  <si>
    <t>11-400-00-696000-53620 : Student Activities : WC Nonteaching</t>
  </si>
  <si>
    <t>11-400-00-696000-53920 : Student Activities : Other Benefit-Non Teaching</t>
  </si>
  <si>
    <t>11-400-00-703602-51200 : First 5 ECE Counselors : Academic Nonteaching Full-time</t>
  </si>
  <si>
    <t>11-400-00-703602-53120 : First 5 ECE Counselors : STRS Nonteaching</t>
  </si>
  <si>
    <t>11-400-00-703602-53340 : First 5 ECE Counselors : Medicare Nonteaching</t>
  </si>
  <si>
    <t>11-400-00-703602-53420 : First 5 ECE Counselors : H &amp; W Nonteaching</t>
  </si>
  <si>
    <t>11-400-00-703602-53520 : First 5 ECE Counselors : SUI Nonteaching</t>
  </si>
  <si>
    <t>11-400-00-703602-53620 : First 5 ECE Counselors : WC Nonteaching</t>
  </si>
  <si>
    <t>11-400-01-130500-52105 : Early Childhood Education : Classified CSEA</t>
  </si>
  <si>
    <t>11-400-01-130500-53220 : Early Childhood Education : PERS Nonteaching</t>
  </si>
  <si>
    <t>11-400-01-130500-53320 : Early Childhood Education : OASDHI (FICA) Nonteaching</t>
  </si>
  <si>
    <t>11-400-01-130500-53340 : Early Childhood Education : Medicare Nonteaching</t>
  </si>
  <si>
    <t>11-400-01-130500-53420 : Early Childhood Education : H &amp; W Nonteaching</t>
  </si>
  <si>
    <t>11-400-01-130500-53520 : Early Childhood Education : SUI Nonteaching</t>
  </si>
  <si>
    <t>11-400-01-130500-53620 : Early Childhood Education : WC Nonteaching</t>
  </si>
  <si>
    <t>11-410-00-620000-52105 : Admissions &amp; Records : Classified CSEA</t>
  </si>
  <si>
    <t>11-410-00-620000-52130 : Admissions &amp; Records : Classified Management</t>
  </si>
  <si>
    <t>11-410-00-620000-53220 : Admissions &amp; Records : PERS Nonteaching</t>
  </si>
  <si>
    <t>11-410-00-620000-53320 : Admissions &amp; Records : OASDHI (FICA) Nonteaching</t>
  </si>
  <si>
    <t>11-410-00-620000-53340 : Admissions &amp; Records : Medicare Nonteaching</t>
  </si>
  <si>
    <t>11-410-00-620000-53420 : Admissions &amp; Records : H &amp; W Nonteaching</t>
  </si>
  <si>
    <t>11-410-00-620000-53520 : Admissions &amp; Records : SUI Nonteaching</t>
  </si>
  <si>
    <t>11-410-00-620000-53620 : Admissions &amp; Records : WC Nonteaching</t>
  </si>
  <si>
    <t>11-410-00-620000-53920 : Admissions &amp; Records : Other Benefit-Non Teaching</t>
  </si>
  <si>
    <t>11-420-00-646000-52105 : Financial Aid : Classified CSEA</t>
  </si>
  <si>
    <t>11-420-00-646000-52130 : Financial Aid : Classified Management</t>
  </si>
  <si>
    <t>11-420-00-646000-53220 : Financial Aid : PERS Nonteaching</t>
  </si>
  <si>
    <t>11-420-00-646000-53320 : Financial Aid : OASDHI (FICA) Nonteaching</t>
  </si>
  <si>
    <t>11-420-00-646000-53340 : Financial Aid : Medicare Nonteaching</t>
  </si>
  <si>
    <t>11-420-00-646000-53420 : Financial Aid : H &amp; W Nonteaching</t>
  </si>
  <si>
    <t>11-420-00-646000-53520 : Financial Aid : SUI Nonteaching</t>
  </si>
  <si>
    <t>11-420-00-646000-53620 : Financial Aid : WC Nonteaching</t>
  </si>
  <si>
    <t>11-420-00-646000-53920 : Financial Aid : Other Benefit-Non Teaching</t>
  </si>
  <si>
    <t>11-420-00-646021-52105 : Scholarship Operations : Classified CSEA</t>
  </si>
  <si>
    <t>11-420-00-646021-53220 : Scholarship Operations : PERS Nonteaching</t>
  </si>
  <si>
    <t>11-420-00-646021-53320 : Scholarship Operations : OASDHI (FICA) Nonteaching</t>
  </si>
  <si>
    <t>11-420-00-646021-53340 : Scholarship Operations : Medicare Nonteaching</t>
  </si>
  <si>
    <t>11-420-00-646021-53420 : Scholarship Operations : H &amp; W Nonteaching</t>
  </si>
  <si>
    <t>11-420-00-646021-53520 : Scholarship Operations : SUI Nonteaching</t>
  </si>
  <si>
    <t>11-420-00-646021-53620 : Scholarship Operations : WC Nonteaching</t>
  </si>
  <si>
    <t>11-420-00-648000-51200 : Veterans : Academic Nonteaching Full-time</t>
  </si>
  <si>
    <t>11-420-00-648000-52105 : Veterans : Classified CSEA</t>
  </si>
  <si>
    <t>11-420-00-648000-53120 : Veterans : STRS Nonteaching</t>
  </si>
  <si>
    <t>11-420-00-648000-53220 : Veterans : PERS Nonteaching</t>
  </si>
  <si>
    <t>11-420-00-648000-53320 : Veterans : OASDHI (FICA) Nonteaching</t>
  </si>
  <si>
    <t>11-420-00-648000-53340 : Veterans : Medicare Nonteaching</t>
  </si>
  <si>
    <t>11-420-00-648000-53420 : Veterans : H &amp; W Nonteaching</t>
  </si>
  <si>
    <t>11-420-00-648000-53520 : Veterans : SUI Nonteaching</t>
  </si>
  <si>
    <t>11-420-00-648000-53620 : Veterans : WC Nonteaching</t>
  </si>
  <si>
    <t>11-430-00-643000-51210 : EOPS : Academic Nonteaching Management</t>
  </si>
  <si>
    <t>11-430-00-643000-53220 : EOPS : PERS Nonteaching</t>
  </si>
  <si>
    <t>11-430-00-643000-53320 : EOPS : OASDHI (FICA) Nonteaching</t>
  </si>
  <si>
    <t>11-430-00-643000-53340 : EOPS : Medicare Nonteaching</t>
  </si>
  <si>
    <t>11-430-00-643000-53420 : EOPS : H &amp; W Nonteaching</t>
  </si>
  <si>
    <t>11-430-00-643000-53520 : EOPS : SUI Nonteaching</t>
  </si>
  <si>
    <t>11-430-00-643000-53620 : EOPS : WC Nonteaching</t>
  </si>
  <si>
    <t>11-430-00-700500-51210 : EOPS - State : Academic Nonteaching Management</t>
  </si>
  <si>
    <t>11-430-00-700500-53220 : EOPS - State : PERS Nonteaching</t>
  </si>
  <si>
    <t>11-430-00-700500-53320 : EOPS - State : OASDHI (FICA) Nonteaching</t>
  </si>
  <si>
    <t>11-430-00-700500-53340 : EOPS - State : Medicare Nonteaching</t>
  </si>
  <si>
    <t>11-430-00-700500-53420 : EOPS - State : H &amp; W Nonteaching</t>
  </si>
  <si>
    <t>11-430-00-700500-53520 : EOPS - State : SUI Nonteaching</t>
  </si>
  <si>
    <t>11-430-00-700500-53620 : EOPS - State : WC Nonteaching</t>
  </si>
  <si>
    <t>11-430-00-704700-53620 : CalWORKs : WC Nonteaching</t>
  </si>
  <si>
    <t>11-440-00-493032-51210 : DSP&amp;S Instruction : Academic Nonteaching Management</t>
  </si>
  <si>
    <t>11-440-00-493032-53110 : DSP&amp;S Instruction : STRS Teaching</t>
  </si>
  <si>
    <t>11-440-00-493032-53120 : DSP&amp;S Instruction : STRS Nonteaching</t>
  </si>
  <si>
    <t>11-440-00-493032-53310 : DSP&amp;S Instruction : OASDHI (FICA) Teaching</t>
  </si>
  <si>
    <t>11-440-00-493032-53320 : DSP&amp;S Instruction : OASDHI (FICA) Nonteaching</t>
  </si>
  <si>
    <t>11-440-00-493032-53330 : DSP&amp;S Instruction : Medicare Teaching</t>
  </si>
  <si>
    <t>11-440-00-493032-53340 : DSP&amp;S Instruction : Medicare Nonteaching</t>
  </si>
  <si>
    <t>11-440-00-493032-53420 : DSP&amp;S Instruction : H &amp; W Nonteaching</t>
  </si>
  <si>
    <t>11-440-00-493032-53510 : DSP&amp;S Instruction : SUI Teaching</t>
  </si>
  <si>
    <t>11-440-00-493032-53520 : DSP&amp;S Instruction : SUI Nonteaching</t>
  </si>
  <si>
    <t>11-440-00-493032-53610 : DSP&amp;S Instruction : WC Teaching</t>
  </si>
  <si>
    <t>11-440-00-493032-53620 : DSP&amp;S Instruction : WC Nonteaching</t>
  </si>
  <si>
    <t>11-500-00-673000-52120 : Human Resources : Classified Confidential</t>
  </si>
  <si>
    <t>11-500-00-673000-52130 : Human Resources : Classified Management</t>
  </si>
  <si>
    <t>11-500-00-673000-53220 : Human Resources : PERS Nonteaching</t>
  </si>
  <si>
    <t>11-500-00-673000-53320 : Human Resources : OASDHI (FICA) Nonteaching</t>
  </si>
  <si>
    <t>11-500-00-673000-53340 : Human Resources : Medicare Nonteaching</t>
  </si>
  <si>
    <t>11-500-00-673000-53420 : Human Resources : H &amp; W Nonteaching</t>
  </si>
  <si>
    <t>11-500-00-673000-53520 : Human Resources : SUI Nonteaching</t>
  </si>
  <si>
    <t>11-500-00-673000-53620 : Human Resources : WC Nonteaching</t>
  </si>
  <si>
    <t>11-500-00-673000-53920 : Human Resources : Other Benefit-Non Teaching</t>
  </si>
  <si>
    <t>11-600-00-678000-52105 : Management Information Systems : Classified CSEA</t>
  </si>
  <si>
    <t>11-600-00-678000-52130 : Management Information Systems : Classified Management</t>
  </si>
  <si>
    <t>11-600-00-678000-53220 : Management Information Systems : PERS Nonteaching</t>
  </si>
  <si>
    <t>11-600-00-678000-53320 : Management Information Systems : OASDHI (FICA) Nonteaching</t>
  </si>
  <si>
    <t>11-600-00-678000-53340 : Management Information Systems : Medicare Nonteaching</t>
  </si>
  <si>
    <t>11-600-00-678000-53420 : Management Information Systems : H &amp; W Nonteaching</t>
  </si>
  <si>
    <t>11-600-00-678000-53520 : Management Information Systems : SUI Nonteaching</t>
  </si>
  <si>
    <t>11-600-00-678000-53620 : Management Information Systems : WC Nonteaching</t>
  </si>
  <si>
    <t>11-600-00-678000-53920 : Management Information Systems : Other Benefit-Non Teaching</t>
  </si>
  <si>
    <t>FY</t>
  </si>
  <si>
    <t>Minor</t>
  </si>
  <si>
    <t>GL Acct + Desc</t>
  </si>
  <si>
    <t xml:space="preserve"> Description</t>
  </si>
  <si>
    <t>Amount</t>
  </si>
  <si>
    <t>11-000-00-000000-48110 : General Use - Nonprogram : Forest Reserve</t>
  </si>
  <si>
    <t>11-000-00-000000-48160 : General Use - Nonprogram : Veterans Education</t>
  </si>
  <si>
    <t>11-000-00-000000-48180 : General Use - Nonprogram : Pell Administration Cost</t>
  </si>
  <si>
    <t>11-000-00-000000-48611 : General Use - Nonprogram : Principal Apportionment</t>
  </si>
  <si>
    <t>11-000-00-000000-48613 : General Use - Nonprogram : BOG Fee Waivers Admin Fee</t>
  </si>
  <si>
    <t>11-000-00-000000-48614 : General Use - Nonprogram : Apprenticeship</t>
  </si>
  <si>
    <t>11-000-00-000000-48616 : General Use - Nonprogram : Part Time Faculty</t>
  </si>
  <si>
    <t>11-000-00-000000-48617 : General Use - Nonprogram : Apportionment PY Adjustment</t>
  </si>
  <si>
    <t>11-000-00-000000-48630 : General Use - Nonprogram : Prop 30-EPA Funds</t>
  </si>
  <si>
    <t>11-000-00-000000-48668 : General Use - Nonprogram : Full Time Faculty Hiring</t>
  </si>
  <si>
    <t>11-000-00-000000-48670 : General Use - Nonprogram : HOPTR</t>
  </si>
  <si>
    <t>11-000-00-000000-48681 : General Use - Nonprogram : State Mandated Costs</t>
  </si>
  <si>
    <t>11-000-00-000000-48811 : General Use - Nonprogram : Property Taxes - Secured</t>
  </si>
  <si>
    <t>11-000-00-000000-48812 : General Use - Nonprogram : Property Taxes - Unsecured</t>
  </si>
  <si>
    <t>11-000-00-000000-48813 : General Use - Nonprogram : Property Taxes - Prior Year</t>
  </si>
  <si>
    <t>11-000-00-000000-48814 : General Use - Nonprogram : Property Taxes - Supplemental</t>
  </si>
  <si>
    <t>11-000-00-000000-48817 : General Use - Nonprogram : Education Revenue Augmentation Fund</t>
  </si>
  <si>
    <t>11-000-00-000000-48818 : General Use - Nonprogram : RDA/RPTTF Pass-Through</t>
  </si>
  <si>
    <t>11-000-00-000000-48819 : General Use - Nonprogram : RDA/RPTTF Residual PTAX</t>
  </si>
  <si>
    <t>11-000-00-000000-48860 : General Use - Nonprogram : Interest Income</t>
  </si>
  <si>
    <t>11-000-00-000000-48872 : General Use - Nonprogram : Planetarium</t>
  </si>
  <si>
    <t>11-000-00-000000-48874 : General Use - Nonprogram : Enrollment Fees</t>
  </si>
  <si>
    <t>11-000-00-000000-48879 : General Use - Nonprogram : Transcript Fees</t>
  </si>
  <si>
    <t>11-000-00-000000-48880 : General Use - Nonprogram : Non-resident Tuition</t>
  </si>
  <si>
    <t xml:space="preserve">11-000-00-000000-48890 : General Use - Nonprogram : Other Local Income </t>
  </si>
  <si>
    <t>11-000-00-000000-48892 : General Use - Nonprogram : Community Use of Facilities</t>
  </si>
  <si>
    <t>11-000-00-000000-48980 : General Use - Nonprogram : Interfund Transfer-In</t>
  </si>
  <si>
    <t>11-000-00-677010-48887 : COVID-19 : Enrollment Fees - Contra Acct.</t>
  </si>
  <si>
    <t>Board of Trustees : Student Travel/Workshps/Meals</t>
  </si>
  <si>
    <t>11-120-02-010100-51311</t>
  </si>
  <si>
    <t>11-120-02-010100-53310</t>
  </si>
  <si>
    <t>11-120-02-010100-53330</t>
  </si>
  <si>
    <t>11-120-02-010100-53510</t>
  </si>
  <si>
    <t>11-120-02-010100-53610</t>
  </si>
  <si>
    <t>11-140-00-602003-51412</t>
  </si>
  <si>
    <t>Cultural Curriculum Audit : Acad Nonteach Special Projects</t>
  </si>
  <si>
    <t>11-140-00-602003-53120</t>
  </si>
  <si>
    <t>Cultural Curriculum Audit : STRS Nonteaching</t>
  </si>
  <si>
    <t>11-140-00-602003-53340</t>
  </si>
  <si>
    <t>Cultural Curriculum Audit : Medicare Nonteaching</t>
  </si>
  <si>
    <t>11-140-00-602003-53520</t>
  </si>
  <si>
    <t>Cultural Curriculum Audit : SUI Nonteaching</t>
  </si>
  <si>
    <t>11-140-00-602003-53620</t>
  </si>
  <si>
    <t>Cultural Curriculum Audit : WC Nonteaching</t>
  </si>
  <si>
    <t>11-140-00-602003-55200</t>
  </si>
  <si>
    <t>Cultural Curriculum Audit : Travel &amp; Conference</t>
  </si>
  <si>
    <t>11-140-00-684000-55820</t>
  </si>
  <si>
    <t>Community Relations &amp; Develop. : US Postage</t>
  </si>
  <si>
    <t>11-150-00-663000-51412</t>
  </si>
  <si>
    <t>Research Office : Acad Nonteach Special Projects</t>
  </si>
  <si>
    <t>11-210-05-657000-55530</t>
  </si>
  <si>
    <t>11-300-00-490000-54300</t>
  </si>
  <si>
    <t>Interdisiplinary Studies : Supplies &amp; Materials</t>
  </si>
  <si>
    <t>11-300-00-490000-55610</t>
  </si>
  <si>
    <t>Interdisiplinary Studies : Software licensing</t>
  </si>
  <si>
    <t>11-300-00-490000-56405</t>
  </si>
  <si>
    <t>Interdisiplinary Studies : Cap Equip - $5,000 and Over</t>
  </si>
  <si>
    <t>Theater Arts : Student Travel/Workshps/Meals</t>
  </si>
  <si>
    <t>11-320-00-696500-55125</t>
  </si>
  <si>
    <t>Athletic Activities : Training &amp; Seminars</t>
  </si>
  <si>
    <t>Athletic Activities : Student Travel/Workshps/Meals</t>
  </si>
  <si>
    <t>11-350-01-094500-55300</t>
  </si>
  <si>
    <t>Agriculture &amp; Industrial Tech. : Memberships</t>
  </si>
  <si>
    <t>11-370-00-708300-52300</t>
  </si>
  <si>
    <t>11-370-00-708300-55820</t>
  </si>
  <si>
    <t>Dept of Social &amp; Employ Svs : US Postage</t>
  </si>
  <si>
    <t>11-398-00-000000-48630 : General Use - Nonprogram : Prop 30-EPA Funds</t>
  </si>
  <si>
    <t>11-399-00-000000-48680 : General Use - Nonprogram : State Lottery</t>
  </si>
  <si>
    <t>11-400-00-649000-55105</t>
  </si>
  <si>
    <t>Miscellaneous Student Services : Contract Services</t>
  </si>
  <si>
    <t>11-400-00-649000-55200</t>
  </si>
  <si>
    <t>Miscellaneous Student Services : Travel &amp; Conference</t>
  </si>
  <si>
    <t>11-410-00-620000-48885 : Admissions &amp; Records : Other Student Fees &amp; Charges</t>
  </si>
  <si>
    <t>11-420-00-646000-55105</t>
  </si>
  <si>
    <t>Financial Aid : Contract Services</t>
  </si>
  <si>
    <t>11-600-00-678001-55105</t>
  </si>
  <si>
    <t>Mngmnt Information Systems PPA : Contract Services</t>
  </si>
  <si>
    <t>11-600-00-678001-56402</t>
  </si>
  <si>
    <t>Mngmnt Information Systems PPA : Capital software $200-$4,999</t>
  </si>
  <si>
    <t>13-000-00-000000-48891 : General Use - Nonprogram : Parking Citations</t>
  </si>
  <si>
    <t>13-000-00-695000-48881 : Parking Services : Parking Fees - Restricted</t>
  </si>
  <si>
    <t>13-210-00-695000-48881 : Parking Services : Parking Fees - Restricted</t>
  </si>
  <si>
    <t>13-210-00-695000-52350 : Parking Services : Classified Student Dist Non-IA PT</t>
  </si>
  <si>
    <t>13-210-00-695000-53620 : Parking Services : WC Nonteaching</t>
  </si>
  <si>
    <t>13-210-00-695000-55105 : Parking Services : Contract Services</t>
  </si>
  <si>
    <t>13-210-00-695000-55650 : Parking Services : Maintenance Agreement</t>
  </si>
  <si>
    <t xml:space="preserve">13-210-00-695000-55861 : Parking Services : Credit Card Fees </t>
  </si>
  <si>
    <t>13-210-00-702810-48682 : Lottery - Prop 20 : Lottery - Prop 20</t>
  </si>
  <si>
    <t>13-210-00-702810-54300 : Lottery - Prop 20 : Supplies &amp; Materials</t>
  </si>
  <si>
    <t>13-210-00-702810-55105 : Lottery - Prop 20 : Contract Services</t>
  </si>
  <si>
    <t>13-210-00-702810-56341 : Lottery - Prop 20 : On-line Database Services</t>
  </si>
  <si>
    <t>13-210-00-702810-56400 : Lottery - Prop 20 : Cap Equip - $200 to $4,999</t>
  </si>
  <si>
    <t>31-240-00-000000-48850 : General Use - Nonprogram : Rents &amp; Leases</t>
  </si>
  <si>
    <t>31-240-00-000000-48860 : General Use - Nonprogram : Interest Income</t>
  </si>
  <si>
    <t>31-240-00-000000-57300 : General Use - Nonprogram : Interfund Transfer</t>
  </si>
  <si>
    <t>41-200-00-000000-48816 : General Use - Nonprogram : Property Tax-RDA/RPTTF</t>
  </si>
  <si>
    <t>41-200-00-000000-48818 : General Use - Nonprogram : RDA/RPTTF Pass-Through</t>
  </si>
  <si>
    <t>41-200-00-000000-48860 : General Use - Nonprogram : Interest Income</t>
  </si>
  <si>
    <t>41-200-00-659010-55105</t>
  </si>
  <si>
    <t>41-200-00-659010-55105 : Maintenance &amp; Operations : Contract Services</t>
  </si>
  <si>
    <t>41-200-00-659010-56400</t>
  </si>
  <si>
    <t>41-200-00-659010-56400 : Maintenance &amp; Operations : Cap Equip - $200 to $4,999</t>
  </si>
  <si>
    <t>Maintenance &amp; Operations : Cap Equip - $200 to $4,999</t>
  </si>
  <si>
    <t>41-200-00-672020-55663 : Fiscal Operations : Bank Fees</t>
  </si>
  <si>
    <t>41-200-00-672020-55800 : Fiscal Operations : Other Costs</t>
  </si>
  <si>
    <t>41-200-00-672020-56400 : Fiscal Operations : Cap Equip - $200 to $4,999</t>
  </si>
  <si>
    <t xml:space="preserve">41-210-00-672020-48890 : Fiscal Operations : Other Local Income </t>
  </si>
  <si>
    <t>41-210-00-672020-55105 : Fiscal Operations : Contract Services</t>
  </si>
  <si>
    <t>41-210-00-672020-55600 : Fiscal Operations : Rents &amp; Leases</t>
  </si>
  <si>
    <t>41-220-00-651000-55105 : Building Maintenance &amp; Repairs : Contract Services</t>
  </si>
  <si>
    <t xml:space="preserve">41-220-00-659010-48890 : Maintenance &amp; Operations : Other Local Income </t>
  </si>
  <si>
    <t>41-220-00-659010-55105 : Maintenance &amp; Operations : Contract Services</t>
  </si>
  <si>
    <t>41-220-00-659010-56100 : Maintenance &amp; Operations : Site Improvements</t>
  </si>
  <si>
    <t>41-220-02-651000-55105 : Building Maintenance &amp; Repairs : Contract Services</t>
  </si>
  <si>
    <t>41-304-00-190200-56400 : Physics : Cap Equip - $200 to $4,999</t>
  </si>
  <si>
    <t>41-600-00-678000-55105 : Management Information Systems : Contract Services</t>
  </si>
  <si>
    <t>41-600-00-678000-56400 : Management Information Systems : Cap Equip - $200 to $4,999</t>
  </si>
  <si>
    <t>41-600-00-678000-56405 : Management Information Systems : Cap Equip - $5,000 and Over</t>
  </si>
  <si>
    <t>44-000-00-000000-55105 : General Use - Nonprogram : Contract Services</t>
  </si>
  <si>
    <t>44-200-00-000000-48850 : General Use - Nonprogram : Rents &amp; Leases</t>
  </si>
  <si>
    <t>44-200-00-000000-48860 : General Use - Nonprogram : Interest Income</t>
  </si>
  <si>
    <t>44-200-00-000000-55105 : General Use - Nonprogram : Contract Services</t>
  </si>
  <si>
    <t>44-200-00-000000-55540 : General Use - Nonprogram : Gas Utility</t>
  </si>
  <si>
    <t>44-200-00-000000-55560 : General Use - Nonprogram : Water Service</t>
  </si>
  <si>
    <t>44-200-00-000000-55570 : General Use - Nonprogram : Sewer Service</t>
  </si>
  <si>
    <t>44-200-00-000000-55580 : General Use - Nonprogram : Trash Collection Service</t>
  </si>
  <si>
    <t>44-200-00-000000-55600 : General Use - Nonprogram : Rents &amp; Leases</t>
  </si>
  <si>
    <t>44-200-00-000000-55642 : General Use - Nonprogram : Residential Repairs (Other)</t>
  </si>
  <si>
    <t>44-200-00-000000-55650 : General Use - Nonprogram : Maintenance Agreement</t>
  </si>
  <si>
    <t>44-200-00-000000-55651 : General Use - Nonprogram : Equipment Repairs</t>
  </si>
  <si>
    <t>44-200-00-000000-55800 : General Use - Nonprogram : Other Costs</t>
  </si>
  <si>
    <t>44-200-00-000000-56211 : General Use - Nonprogram : Arch+Engr Fees Working Drawing</t>
  </si>
  <si>
    <t>44-200-00-000000-56400 : General Use - Nonprogram : Cap Equip - $200 to $4,999</t>
  </si>
  <si>
    <t>44-200-01-000000-55800 : General Use - Nonprogram : Other Costs</t>
  </si>
  <si>
    <t>44-200-05-000000-55800 : General Use - Nonprogram : Other Costs</t>
  </si>
  <si>
    <t>44-220-00-000000-55105 : General Use - Nonprogram : Contract Services</t>
  </si>
  <si>
    <t>44-220-00-000000-55800 : General Use - Nonprogram : Other Costs</t>
  </si>
  <si>
    <t>44-220-00-000000-56203 : General Use - Nonprogram : Inspection</t>
  </si>
  <si>
    <t>44-220-00-000000-56225 : General Use - Nonprogram : New Construction</t>
  </si>
  <si>
    <t>44-220-00-000000-56400 : General Use - Nonprogram : Cap Equip - $200 to $4,999</t>
  </si>
  <si>
    <t>44-220-00-000000-56405 : General Use - Nonprogram : Cap Equip - $5,000 and Over</t>
  </si>
  <si>
    <t>44-340-00-000000-56224 : General Use - Nonprogram : Reconstruction</t>
  </si>
  <si>
    <t>44-400-00-649000-56200</t>
  </si>
  <si>
    <t>44-400-00-649000-56200 : Miscellaneous Student Services : Building Improvements</t>
  </si>
  <si>
    <t>Miscellaneous Student Services : Building Improvements</t>
  </si>
  <si>
    <t>46-000-00-000000-48860 : General Use - Nonprogram : Interest Income</t>
  </si>
  <si>
    <t>46-000-00-000000-56400 : General Use - Nonprogram : Cap Equip - $200 to $4,999</t>
  </si>
  <si>
    <t>46-000-00-801000-52105 : Measure T Administration : Classified CSEA</t>
  </si>
  <si>
    <t>46-000-00-801000-52130 : Measure T Administration : Classified Management</t>
  </si>
  <si>
    <t>46-000-00-801000-53000 : Measure T Administration : Employee Benefits Control</t>
  </si>
  <si>
    <t>46-000-00-801000-53220 : Measure T Administration : PERS Nonteaching</t>
  </si>
  <si>
    <t>46-000-00-801000-53320 : Measure T Administration : OASDHI (FICA) Nonteaching</t>
  </si>
  <si>
    <t>46-000-00-801000-53340 : Measure T Administration : Medicare Nonteaching</t>
  </si>
  <si>
    <t>46-000-00-801000-53420 : Measure T Administration : H &amp; W Nonteaching</t>
  </si>
  <si>
    <t>46-000-00-801000-53520 : Measure T Administration : SUI Nonteaching</t>
  </si>
  <si>
    <t>46-000-00-801000-53620 : Measure T Administration : WC Nonteaching</t>
  </si>
  <si>
    <t>46-000-00-801000-55630 : Measure T Administration : Printing &amp; Duplicating - Inhouse</t>
  </si>
  <si>
    <t>46-000-00-801000-55700 : Measure T Administration : Legal &amp; Audit Expenses</t>
  </si>
  <si>
    <t>46-000-00-801000-55710 : Measure T Administration : Elections</t>
  </si>
  <si>
    <t>46-001-00-880000-54300 : Measure T-Proj Adm : Supplies &amp; Materials</t>
  </si>
  <si>
    <t>46-001-00-880000-55200 : Measure T-Proj Adm : Travel &amp; Conference</t>
  </si>
  <si>
    <t>46-001-00-880000-55635 : Measure T-Proj Adm : Printing Services - Vendor</t>
  </si>
  <si>
    <t>46-001-00-880000-55700 : Measure T-Proj Adm : Legal &amp; Audit Expenses</t>
  </si>
  <si>
    <t>46-001-00-880100-55200 : Soledad Education Center : Travel &amp; Conference</t>
  </si>
  <si>
    <t>46-001-00-880200-56203 : HC Center for Nursing &amp; Health : Inspection</t>
  </si>
  <si>
    <t>46-001-00-880200-56210 : HC Center for Nursing &amp; Health : Arch+Engr Fees Prelim Plans</t>
  </si>
  <si>
    <t>46-001-00-880200-56220 : HC Center for Nursing &amp; Health : Utility Service</t>
  </si>
  <si>
    <t>46-001-00-880200-56222 : HC Center for Nursing &amp; Health : Site Development General</t>
  </si>
  <si>
    <t>46-001-00-880200-56223 : HC Center for Nursing &amp; Health : Other Site Development</t>
  </si>
  <si>
    <t>46-001-00-880200-56225 : HC Center for Nursing &amp; Health : New Construction</t>
  </si>
  <si>
    <t>46-001-00-880200-56250 : HC Center for Nursing &amp; Health : Tests and Inspections</t>
  </si>
  <si>
    <t>46-001-00-880300-56215 : NM Cty Education Center : Preliminary Tests</t>
  </si>
  <si>
    <t>46-001-00-880400-56203 : MC Hartnell Center-Bldg D &amp; E : Inspection</t>
  </si>
  <si>
    <t>46-001-00-880400-56210 : MC Hartnell Center-Bldg D &amp; E : Arch+Engr Fees Prelim Plans</t>
  </si>
  <si>
    <t>46-001-00-880400-56217 : MC Hartnell Center-Bldg D &amp; E : Permits and Fees</t>
  </si>
  <si>
    <t>46-001-00-880400-56218 : MC Hartnell Center-Bldg D &amp; E : Fixtures, Furniture &amp; Equip.</t>
  </si>
  <si>
    <t>46-001-00-880400-56223 : MC Hartnell Center-Bldg D &amp; E : Other Site Development</t>
  </si>
  <si>
    <t>46-001-00-880400-56224 : MC Hartnell Center-Bldg D &amp; E : Reconstruction</t>
  </si>
  <si>
    <t>46-001-00-880400-56250 : MC Hartnell Center-Bldg D &amp; E : Tests and Inspections</t>
  </si>
  <si>
    <t>46-001-00-881100-56226 : IT/Safety/Energy Efficiency Pr : Other Costs</t>
  </si>
  <si>
    <t>46-001-02-880500-56202 : King City Education Center : Construction Costs</t>
  </si>
  <si>
    <t>46-001-02-880500-56203 : King City Education Center : Inspection</t>
  </si>
  <si>
    <t>46-001-02-880500-56210 : King City Education Center : Arch+Engr Fees Prelim Plans</t>
  </si>
  <si>
    <t>46-001-02-880500-56218 : King City Education Center : Fixtures, Furniture &amp; Equip.</t>
  </si>
  <si>
    <t>46-001-02-880500-56225 : King City Education Center : New Construction</t>
  </si>
  <si>
    <t>46-001-02-880500-56250 : King City Education Center : Tests and Inspections</t>
  </si>
  <si>
    <t>46-001-04-880100-56203 : Soledad Education Center : Inspection</t>
  </si>
  <si>
    <t>46-001-04-880100-56210 : Soledad Education Center : Arch+Engr Fees Prelim Plans</t>
  </si>
  <si>
    <t>46-001-04-880100-56217 : Soledad Education Center : Permits and Fees</t>
  </si>
  <si>
    <t>46-001-04-880100-56218 : Soledad Education Center : Fixtures, Furniture &amp; Equip.</t>
  </si>
  <si>
    <t>46-001-04-880100-56220 : Soledad Education Center : Utility Service</t>
  </si>
  <si>
    <t>46-001-04-880100-56225 : Soledad Education Center : New Construction</t>
  </si>
  <si>
    <t>46-001-04-880100-56250 : Soledad Education Center : Tests and Inspections</t>
  </si>
  <si>
    <t>46-001-05-880300-56203 : NM Cty Education Center : Inspection</t>
  </si>
  <si>
    <t>46-001-05-880300-56211 : NM Cty Education Center : Arch+Engr Fees Working Drawing</t>
  </si>
  <si>
    <t>46-001-05-880300-56215 : NM Cty Education Center : Preliminary Tests</t>
  </si>
  <si>
    <t>46-001-05-880300-56216 : NM Cty Education Center : Other Costs</t>
  </si>
  <si>
    <t>46-001-05-880300-56217 : NM Cty Education Center : Permits and Fees</t>
  </si>
  <si>
    <t>46-001-05-880300-56218</t>
  </si>
  <si>
    <t>46-001-05-880300-56218 : NM Cty Education Center : Fixtures, Furniture &amp; Equip.</t>
  </si>
  <si>
    <t>NM Cty Education Center : Fixtures, Furniture &amp; Equip.</t>
  </si>
  <si>
    <t>46-001-05-880300-56220 : NM Cty Education Center : Utility Service</t>
  </si>
  <si>
    <t>46-001-05-880300-56223 : NM Cty Education Center : Other Site Development</t>
  </si>
  <si>
    <t>46-001-05-880300-56225 : NM Cty Education Center : New Construction</t>
  </si>
  <si>
    <t>46-001-05-880300-56250 : NM Cty Education Center : Tests and Inspections</t>
  </si>
  <si>
    <t>46-002-00-000000-48940 : General Use - Nonprogram : Sale of Bonds</t>
  </si>
  <si>
    <t>46-002-00-880250-56203 : Bldg. B 2nd Floor Reno : Inspection</t>
  </si>
  <si>
    <t>46-002-00-880250-56211 : Bldg. B 2nd Floor Reno : Arch+Engr Fees Working Drawing</t>
  </si>
  <si>
    <t>46-002-00-880250-56224 : Bldg. B 2nd Floor Reno : Reconstruction</t>
  </si>
  <si>
    <t>46-002-00-880350-56200 : Building C reroof : Building Improvements</t>
  </si>
  <si>
    <t>46-002-00-880450-56216 : MC Disability Access Eval. : Other Costs</t>
  </si>
  <si>
    <t>46-002-00-880450-56250 : MC Disability Access Eval. : Tests and Inspections</t>
  </si>
  <si>
    <t>46-002-00-880700-56224 : Main Campus-Bldg F,G &amp; H : Reconstruction</t>
  </si>
  <si>
    <t>46-002-00-880750-56224 : PE Fields Reno : Reconstruction</t>
  </si>
  <si>
    <t>46-002-00-880800-56211 : Main Campus-Bldg K : Arch+Engr Fees Working Drawing</t>
  </si>
  <si>
    <t>46-002-00-880800-56215 : Main Campus-Bldg K : Preliminary Tests</t>
  </si>
  <si>
    <t>46-002-00-880800-56223 : Main Campus-Bldg K : Other Site Development</t>
  </si>
  <si>
    <t>46-002-00-880800-56224 : Main Campus-Bldg K : Reconstruction</t>
  </si>
  <si>
    <t>46-002-00-880800-56250 : Main Campus-Bldg K : Tests and Inspections</t>
  </si>
  <si>
    <t>46-002-00-880900-56211 : Main Campus-Bldg J : Arch+Engr Fees Working Drawing</t>
  </si>
  <si>
    <t>46-002-00-880900-56215 : Main Campus-Bldg J : Preliminary Tests</t>
  </si>
  <si>
    <t>46-002-00-880900-56223</t>
  </si>
  <si>
    <t>46-002-00-880900-56223 : Main Campus-Bldg J : Other Site Development</t>
  </si>
  <si>
    <t>Main Campus-Bldg J : Other Site Development</t>
  </si>
  <si>
    <t>46-002-01-880600-56211 : Alisal Project : Arch+Engr Fees Working Drawing</t>
  </si>
  <si>
    <t>46-002-02-880500-55575 : King City Education Center : Hazardous Waste Disposal</t>
  </si>
  <si>
    <t>46-002-02-880500-56203 : King City Education Center : Inspection</t>
  </si>
  <si>
    <t>46-002-02-880500-56211 : King City Education Center : Arch+Engr Fees Working Drawing</t>
  </si>
  <si>
    <t>52-230-00-000000-48844 : General Use - Nonprogram : Food Service Sales</t>
  </si>
  <si>
    <t>52-230-00-000000-48845 : General Use - Nonprogram : Vending Machine Sales</t>
  </si>
  <si>
    <t>52-230-00-000000-48849 : General Use - Nonprogram : ATM Sales</t>
  </si>
  <si>
    <t>52-230-00-000000-48860 : General Use - Nonprogram : Interest Income</t>
  </si>
  <si>
    <t>52-230-00-000000-52105 : General Use - Nonprogram : Classified CSEA</t>
  </si>
  <si>
    <t>52-230-00-000000-52115 : General Use - Nonprogram : Classified Supervisory</t>
  </si>
  <si>
    <t>52-230-00-000000-52120 : General Use - Nonprogram : Classified Confidential</t>
  </si>
  <si>
    <t>52-230-00-000000-52125 : General Use - Nonprogram : Classified L-39</t>
  </si>
  <si>
    <t>52-230-00-000000-52130 : General Use - Nonprogram : Classified Management</t>
  </si>
  <si>
    <t>52-230-00-000000-52300 : General Use - Nonprogram : Classified Overtime</t>
  </si>
  <si>
    <t>52-230-00-000000-52310 : General Use - Nonprogram : Classified Student FWS Non-IA</t>
  </si>
  <si>
    <t>52-230-00-000000-52350 : General Use - Nonprogram : Classified Student Dist Non-IA PT</t>
  </si>
  <si>
    <t>52-230-00-000000-53220 : General Use - Nonprogram : PERS Nonteaching</t>
  </si>
  <si>
    <t>52-230-00-000000-53320 : General Use - Nonprogram : OASDHI (FICA) Nonteaching</t>
  </si>
  <si>
    <t>52-230-00-000000-53340 : General Use - Nonprogram : Medicare Nonteaching</t>
  </si>
  <si>
    <t>52-230-00-000000-53420 : General Use - Nonprogram : H &amp; W Nonteaching</t>
  </si>
  <si>
    <t>52-230-00-000000-53520 : General Use - Nonprogram : SUI Nonteaching</t>
  </si>
  <si>
    <t>52-230-00-000000-53620 : General Use - Nonprogram : WC Nonteaching</t>
  </si>
  <si>
    <t>52-230-00-000000-53920 : General Use - Nonprogram : Other Benefit-Non Teaching</t>
  </si>
  <si>
    <t>52-230-00-000000-54210 : General Use - Nonprogram : Purchases - Food</t>
  </si>
  <si>
    <t>52-230-00-000000-54300 : General Use - Nonprogram : Supplies &amp; Materials</t>
  </si>
  <si>
    <t>52-230-00-000000-54320 : General Use - Nonprogram : Laundry</t>
  </si>
  <si>
    <t>52-230-00-000000-55200 : General Use - Nonprogram : Travel &amp; Conference</t>
  </si>
  <si>
    <t>52-230-00-000000-55600 : General Use - Nonprogram : Rents &amp; Leases</t>
  </si>
  <si>
    <t>52-230-00-000000-55630 : General Use - Nonprogram : Printing &amp; Duplicating - Inhouse</t>
  </si>
  <si>
    <t>52-230-00-000000-55651 : General Use - Nonprogram : Equipment Repairs</t>
  </si>
  <si>
    <t>52-230-00-000000-55800 : General Use - Nonprogram : Other Costs</t>
  </si>
  <si>
    <t>52-230-00-000000-55805 : General Use - Nonprogram : Cash, Over / Short</t>
  </si>
  <si>
    <t xml:space="preserve">52-230-00-000000-55861 : General Use - Nonprogram : Credit Card Fees </t>
  </si>
  <si>
    <t>52-230-00-000000-56217 : General Use - Nonprogram : Permits and Fees</t>
  </si>
  <si>
    <t>52-230-00-000000-57300 : General Use - Nonprogram : Interfund Transfer</t>
  </si>
  <si>
    <t>55-230-00-000000-48844 : General Use - Nonprogram : Food Service Sales</t>
  </si>
  <si>
    <t>55-230-00-000000-48860 : General Use - Nonprogram : Interest Income</t>
  </si>
  <si>
    <t>55-230-00-000000-48862 : General Use - Nonprogram : Credit Card Sales</t>
  </si>
  <si>
    <t>55-230-00-000000-48863 : General Use - Nonprogram : Starbucks Pay Sales</t>
  </si>
  <si>
    <t>55-230-00-000000-48864 : General Use - Nonprogram : Cat Card Sales</t>
  </si>
  <si>
    <t>55-230-00-000000-48980 : General Use - Nonprogram : Interfund Transfer-In</t>
  </si>
  <si>
    <t>55-230-00-000000-52105 : General Use - Nonprogram : Classified CSEA</t>
  </si>
  <si>
    <t>55-230-00-000000-52115 : General Use - Nonprogram : Classified Supervisory</t>
  </si>
  <si>
    <t>55-230-00-000000-52300 : General Use - Nonprogram : Classified Overtime</t>
  </si>
  <si>
    <t>55-230-00-000000-53220 : General Use - Nonprogram : PERS Nonteaching</t>
  </si>
  <si>
    <t>55-230-00-000000-53320 : General Use - Nonprogram : OASDHI (FICA) Nonteaching</t>
  </si>
  <si>
    <t>55-230-00-000000-53340 : General Use - Nonprogram : Medicare Nonteaching</t>
  </si>
  <si>
    <t>55-230-00-000000-53420 : General Use - Nonprogram : H &amp; W Nonteaching</t>
  </si>
  <si>
    <t>55-230-00-000000-53520 : General Use - Nonprogram : SUI Nonteaching</t>
  </si>
  <si>
    <t>55-230-00-000000-53620 : General Use - Nonprogram : WC Nonteaching</t>
  </si>
  <si>
    <t>55-230-00-000000-53920 : General Use - Nonprogram : Other Benefit-Non Teaching</t>
  </si>
  <si>
    <t>55-230-00-000000-54210 : General Use - Nonprogram : Purchases - Food</t>
  </si>
  <si>
    <t>55-230-00-000000-54300 : General Use - Nonprogram : Supplies &amp; Materials</t>
  </si>
  <si>
    <t>55-230-00-000000-54320 : General Use - Nonprogram : Laundry</t>
  </si>
  <si>
    <t>55-230-00-000000-55105 : General Use - Nonprogram : Contract Services</t>
  </si>
  <si>
    <t>55-230-00-000000-55200 : General Use - Nonprogram : Travel &amp; Conference</t>
  </si>
  <si>
    <t>55-230-00-000000-55630 : General Use - Nonprogram : Printing &amp; Duplicating - Inhouse</t>
  </si>
  <si>
    <t>55-230-00-000000-55640 : General Use - Nonprogram : Royalty Payments</t>
  </si>
  <si>
    <t>55-230-00-000000-55650 : General Use - Nonprogram : Maintenance Agreement</t>
  </si>
  <si>
    <t>55-230-00-000000-55651 : General Use - Nonprogram : Equipment Repairs</t>
  </si>
  <si>
    <t>55-230-00-000000-55800 : General Use - Nonprogram : Other Costs</t>
  </si>
  <si>
    <t xml:space="preserve">55-230-00-000000-55861 : General Use - Nonprogram : Credit Card Fees </t>
  </si>
  <si>
    <t>55-230-00-000000-56217 : General Use - Nonprogram : Permits and Fees</t>
  </si>
  <si>
    <t>55-230-00-000000-56400 : General Use - Nonprogram : Cap Equip - $200 to $4,999</t>
  </si>
  <si>
    <t>61-000-00-000000-53600 : General Use - Nonprogram : Workers' Comp Budget</t>
  </si>
  <si>
    <t>61-000-00-000000-55400 : General Use - Nonprogram : Insurance</t>
  </si>
  <si>
    <t>61-000-00-000000-55800 : General Use - Nonprogram : Other Costs</t>
  </si>
  <si>
    <t>61-200-00-000000-48860 : General Use - Nonprogram : Interest Income</t>
  </si>
  <si>
    <t>62-000-00-000000-48860 : General Use - Nonprogram : Interest Income</t>
  </si>
  <si>
    <t>62-000-00-000000-55709 : General Use - Nonprogram : Administrative Expense</t>
  </si>
  <si>
    <t>62-000-00-000000-55800 : General Use - Nonprogram : Other Costs</t>
  </si>
  <si>
    <t>63-000-00-000000-48860 : General Use - Nonprogram : Interest Income</t>
  </si>
  <si>
    <t>63-000-00-000000-55709 : General Use - Nonprogram : Administrative Expense</t>
  </si>
  <si>
    <t>63-000-00-000000-57300 : General Use - Nonprogram : Interfund Transfer</t>
  </si>
  <si>
    <t>71-400-00-000000-48843 : General Use - Nonprogram : Student I D Card Sales</t>
  </si>
  <si>
    <t>71-400-00-000000-48860 : General Use - Nonprogram : Interest Income</t>
  </si>
  <si>
    <t xml:space="preserve">71-400-00-000000-48890 : General Use - Nonprogram : Other Local Income </t>
  </si>
  <si>
    <t>71-400-00-000000-48980 : General Use - Nonprogram : Interfund Transfer-In</t>
  </si>
  <si>
    <t>71-400-00-000000-52105 : General Use - Nonprogram : Classified CSEA</t>
  </si>
  <si>
    <t>71-400-00-000000-52350 : General Use - Nonprogram : Classified Student Dist Non-IA PT</t>
  </si>
  <si>
    <t>71-400-00-000000-52360</t>
  </si>
  <si>
    <t>71-400-00-000000-52360 : General Use - Nonprogram : Class Nonstu NonIA PT Prof Exp</t>
  </si>
  <si>
    <t>71-400-00-000000-53220 : General Use - Nonprogram : PERS Nonteaching</t>
  </si>
  <si>
    <t>71-400-00-000000-53320 : General Use - Nonprogram : OASDHI (FICA) Nonteaching</t>
  </si>
  <si>
    <t>71-400-00-000000-53340 : General Use - Nonprogram : Medicare Nonteaching</t>
  </si>
  <si>
    <t>71-400-00-000000-53420 : General Use - Nonprogram : H &amp; W Nonteaching</t>
  </si>
  <si>
    <t>71-400-00-000000-53520 : General Use - Nonprogram : SUI Nonteaching</t>
  </si>
  <si>
    <t>71-400-00-000000-53620 : General Use - Nonprogram : WC Nonteaching</t>
  </si>
  <si>
    <t>71-400-00-000000-54300 : General Use - Nonprogram : Supplies &amp; Materials</t>
  </si>
  <si>
    <t>71-400-00-000000-55200 : General Use - Nonprogram : Travel &amp; Conference</t>
  </si>
  <si>
    <t>71-400-00-000000-55240 : General Use - Nonprogram : Field Trips</t>
  </si>
  <si>
    <t>71-400-00-000000-55243 : General Use - Nonprogram : Activities &amp; Films</t>
  </si>
  <si>
    <t>71-400-00-000000-55244 : General Use - Nonprogram : Cultural Activities</t>
  </si>
  <si>
    <t>71-400-00-000000-55247 : General Use - Nonprogram : Inter-Club Council</t>
  </si>
  <si>
    <t>71-400-00-000000-55300 : General Use - Nonprogram : Memberships</t>
  </si>
  <si>
    <t>71-400-00-000000-55600 : General Use - Nonprogram : Rents &amp; Leases</t>
  </si>
  <si>
    <t>71-400-00-000000-55635 : General Use - Nonprogram : Printing Services - Vendor</t>
  </si>
  <si>
    <t>71-400-00-000000-55650 : General Use - Nonprogram : Maintenance Agreement</t>
  </si>
  <si>
    <t>71-400-00-000000-57510 : General Use - Nonprogram : Student Internship</t>
  </si>
  <si>
    <t>72-400-00-000000-48844 : General Use - Nonprogram : Food Service Sales</t>
  </si>
  <si>
    <t>72-400-00-000000-48860 : General Use - Nonprogram : Interest Income</t>
  </si>
  <si>
    <t>72-400-00-000000-48884 : General Use - Nonprogram : Student Representation Fee</t>
  </si>
  <si>
    <t>72-400-00-000000-55200 : General Use - Nonprogram : Travel &amp; Conference</t>
  </si>
  <si>
    <t>72-400-00-000000-55800 : General Use - Nonprogram : Other Costs</t>
  </si>
  <si>
    <t>72-400-00-000000-57351 : General Use - Nonprogram : Other Admin Costs</t>
  </si>
  <si>
    <t>75-000-00-000000-48860 : General Use - Nonprogram : Interest Income</t>
  </si>
  <si>
    <t>75-000-00-000000-55800 : General Use - Nonprogram : Other Costs</t>
  </si>
  <si>
    <t>75-200-00-000000-55105 : General Use - Nonprogram : Contract Services</t>
  </si>
  <si>
    <t>75-200-00-975109-48000 : Hartnell Cares : Cash Receipts</t>
  </si>
  <si>
    <t>75-200-00-975109-55000 : Hartnell Cares : Other Operating Expenses &amp; Svc</t>
  </si>
  <si>
    <t>75-400-00-000000-48885 : General Use - Nonprogram : Other Student Fees &amp; Charges</t>
  </si>
  <si>
    <t>79-320-00-000000-48840 : General Use - Nonprogram : Basketball - Gate Receipts</t>
  </si>
  <si>
    <t>79-320-00-000000-48841 : General Use - Nonprogram : Football - Gate Receipts</t>
  </si>
  <si>
    <t>79-320-00-000000-48846 : General Use - Nonprogram : ASB Student Fees</t>
  </si>
  <si>
    <t>79-320-00-000000-48847 : General Use - Nonprogram : Basketball - Concession Sales</t>
  </si>
  <si>
    <t>79-320-00-000000-48848 : General Use - Nonprogram : Football - Concession Sales</t>
  </si>
  <si>
    <t>79-320-00-000000-48860 : General Use - Nonprogram : Interest Income</t>
  </si>
  <si>
    <t xml:space="preserve">79-320-00-000000-48890 : General Use - Nonprogram : Other Local Income </t>
  </si>
  <si>
    <t>79-320-00-000000-52360 : General Use - Nonprogram : Class Nonstu NonIA PT Prof Exp</t>
  </si>
  <si>
    <t>79-320-00-000000-53320 : General Use - Nonprogram : OASDHI (FICA) Nonteaching</t>
  </si>
  <si>
    <t>79-320-00-000000-53340 : General Use - Nonprogram : Medicare Nonteaching</t>
  </si>
  <si>
    <t>79-320-00-000000-53520 : General Use - Nonprogram : SUI Nonteaching</t>
  </si>
  <si>
    <t>79-320-00-000000-53620 : General Use - Nonprogram : WC Nonteaching</t>
  </si>
  <si>
    <t>79-320-00-000000-54210 : General Use - Nonprogram : Purchases - Food</t>
  </si>
  <si>
    <t>79-320-00-000000-55140 : General Use - Nonprogram : Game Employees</t>
  </si>
  <si>
    <t>79-320-00-000000-55250 : General Use - Nonprogram : Championship Meals</t>
  </si>
  <si>
    <t>79-320-00-000000-55251 : General Use - Nonprogram : Baseball (M) Meals</t>
  </si>
  <si>
    <t>79-320-00-000000-55252 : General Use - Nonprogram : Basketball (M) Meals</t>
  </si>
  <si>
    <t>79-320-00-000000-55253 : General Use - Nonprogram : Basketball (W) Meals</t>
  </si>
  <si>
    <t>79-320-00-000000-55254 : General Use - Nonprogram : Cross Country (M) Meals</t>
  </si>
  <si>
    <t>79-320-00-000000-55255 : General Use - Nonprogram : Football Meals</t>
  </si>
  <si>
    <t>79-320-00-000000-55256 : General Use - Nonprogram : Soccer (M) Meals</t>
  </si>
  <si>
    <t xml:space="preserve">79-320-00-000000-55257 : General Use - Nonprogram : Soccer (W) Meals </t>
  </si>
  <si>
    <t>79-320-00-000000-55258 : General Use - Nonprogram : Softball (W) Meals</t>
  </si>
  <si>
    <t>79-320-00-000000-55261 : General Use - Nonprogram : Track (M)  Meals</t>
  </si>
  <si>
    <t>79-320-00-000000-55262 : General Use - Nonprogram : Volleyball  (W) Meals</t>
  </si>
  <si>
    <t>79-320-00-000000-55264 : General Use - Nonprogram : Entry Fees</t>
  </si>
  <si>
    <t>79-320-00-000000-55800 : General Use - Nonprogram : Other Costs</t>
  </si>
  <si>
    <t xml:space="preserve">79-320-00-000000-55861 : General Use - Nonprogram : Credit Card Fees </t>
  </si>
  <si>
    <t>11-220-00-657000-55530</t>
  </si>
  <si>
    <t>11-220-00-657000-55540</t>
  </si>
  <si>
    <t>11-220-00-657000-55560</t>
  </si>
  <si>
    <t>11-220-00-657000-55570</t>
  </si>
  <si>
    <t>11-220-00-657000-55575</t>
  </si>
  <si>
    <t>11-220-00-657000-55580</t>
  </si>
  <si>
    <t>Increase fitness center maintenance</t>
  </si>
  <si>
    <t>increase of assist. coaches</t>
  </si>
  <si>
    <t>sports back in season</t>
  </si>
  <si>
    <t>reinstate previous budget of $125,000 and use covid-19 fund for additional transportation due to social distancing</t>
  </si>
  <si>
    <t xml:space="preserve">reinstate the previous budget to $38,000 as sports are back in season </t>
  </si>
  <si>
    <t>11-335-00-120300-55210</t>
  </si>
  <si>
    <t>Instructional Mileage</t>
  </si>
  <si>
    <t>Notes/Assumptions</t>
  </si>
  <si>
    <t>21/22 Tentative Budget (5/6/21)</t>
  </si>
  <si>
    <t>move printer/copier lease charges to Fund 41</t>
  </si>
  <si>
    <t>??? Average</t>
  </si>
  <si>
    <t>cummins and ap technology</t>
  </si>
  <si>
    <t>$150K Lozano, $54.3K CWDL, $2.3K Music license</t>
  </si>
  <si>
    <t>contingency?</t>
  </si>
  <si>
    <t>for RFPs?</t>
  </si>
  <si>
    <t>student reprentation fee is 7% of total collection</t>
  </si>
  <si>
    <t>$5k Keenan, $320k BACCD?</t>
  </si>
  <si>
    <t>Total Comp Sys. (Actuary) + Sameday Shred</t>
  </si>
  <si>
    <t>MidAmerica Admin Fee</t>
  </si>
  <si>
    <t>restore budget</t>
  </si>
  <si>
    <t>student internships</t>
  </si>
  <si>
    <t>increased for curriqunet $9,700 and replacement $57k</t>
  </si>
  <si>
    <t>mercury commerce</t>
  </si>
  <si>
    <t>Library services, instructional equipment; did not rollover one-time PPA requests</t>
  </si>
  <si>
    <t>significantly lower electricity bills, but restore?</t>
  </si>
  <si>
    <t>nuventive</t>
  </si>
  <si>
    <t>need to move to IT 55610</t>
  </si>
  <si>
    <t>4-year avg (17/18 to 20/21)</t>
  </si>
  <si>
    <t>assume same as 20/21</t>
  </si>
  <si>
    <t>loss revenue from CARES? (3 yr avg.)</t>
  </si>
  <si>
    <t>director of philanthropy reimb., bad debt collection</t>
  </si>
  <si>
    <t>2% growth year to year</t>
  </si>
  <si>
    <t>2019-20 headcount (3,089) x $5</t>
  </si>
  <si>
    <t>loss revenue of $184k, expense reduced, moved to Fund 13</t>
  </si>
  <si>
    <t>PELL admin cost and veteran ed</t>
  </si>
  <si>
    <t>loss revenue supplementation for planetarium and facilities ($74k); 2% growth property tax; director of philanthropy reimbursement ($128k)</t>
  </si>
  <si>
    <t>departmental budgets restored or augmented based on reopening.</t>
  </si>
  <si>
    <t>Position</t>
  </si>
  <si>
    <t>Enrollment Services Specialist</t>
  </si>
  <si>
    <t>Instructional Aide II</t>
  </si>
  <si>
    <t>Custodian</t>
  </si>
  <si>
    <t>Executive Assistant</t>
  </si>
  <si>
    <t>Director of Communications</t>
  </si>
  <si>
    <t>Ag Instructor</t>
  </si>
  <si>
    <t>Math Instructor</t>
  </si>
  <si>
    <t>Director of Philanthropy</t>
  </si>
  <si>
    <t>Projected Salary</t>
  </si>
  <si>
    <t>Projected Benefits</t>
  </si>
  <si>
    <t>Includes vacancies requested to be hired (see "Vacancies Budget (F11) Tab")</t>
  </si>
  <si>
    <t>5. Yr-to-yr budget variance</t>
  </si>
  <si>
    <t>4. Budget to Actual Variance</t>
  </si>
  <si>
    <t>Notes</t>
  </si>
  <si>
    <t>Removed one-time PPA requests from 20/21</t>
  </si>
  <si>
    <t>% increase in budget</t>
  </si>
  <si>
    <t>2. 2021 Actual as of 5-5-21</t>
  </si>
  <si>
    <t>South Bay JPA (175 FTES); departmental budgets restored based on reopening (e.g. printing, travel, field trips, utilities); $250k contingency</t>
  </si>
  <si>
    <t>To be hired - VACANT (Ruiz, Selso H)</t>
  </si>
  <si>
    <t>To be hired - VACANT (Engeldinger, Lyle)</t>
  </si>
  <si>
    <t>VACANT (Gallegos Jr, Frank)</t>
  </si>
  <si>
    <t>VACANT (Lozada, Christabele)</t>
  </si>
  <si>
    <t>VACANT (Faust, Scott C)</t>
  </si>
  <si>
    <t>VACANT (Graham, Albert)</t>
  </si>
  <si>
    <t>VACANT (Riley, James A)</t>
  </si>
  <si>
    <t>VACANT (Wayne Foster)</t>
  </si>
  <si>
    <t>Program Assistant I</t>
  </si>
  <si>
    <t>difference</t>
  </si>
  <si>
    <t>vacancies not budgeted</t>
  </si>
  <si>
    <t>Summary of budget changes:</t>
  </si>
  <si>
    <t>From internships, was $50K</t>
  </si>
  <si>
    <t>From vacancies previously budgeted</t>
  </si>
  <si>
    <t>original deficit</t>
  </si>
  <si>
    <t>reduction</t>
  </si>
  <si>
    <t>From electric utilities, was $769,170</t>
  </si>
  <si>
    <t>Cut 68% of travel budgets across all budgets</t>
  </si>
  <si>
    <t>6% reduction in NIC Teaching (sal + bens)</t>
  </si>
  <si>
    <t>37% reduction in campus printing</t>
  </si>
  <si>
    <t>reduction in supplies for south county ed center</t>
  </si>
  <si>
    <t>3a. 2022 Tentative Budget (1st version)</t>
  </si>
  <si>
    <t>3b. 2022 Tentative Budget (Revised)</t>
  </si>
  <si>
    <t>Total Personnel</t>
  </si>
  <si>
    <t>Total Discretionary</t>
  </si>
  <si>
    <t>33% reductin in NIC Nonteaching (counseling, sal + bens).</t>
  </si>
  <si>
    <t>6.5% reduction in PT teaching budget (to match 20/21 budget)</t>
  </si>
  <si>
    <t>Net effect of indirect costs from grants ($457k); student travel $45k (athletics $38k, theatre $2k, student rep $5k) ; Internships of $10k</t>
  </si>
  <si>
    <t>21/22 Tentative Budget (5/14/21)</t>
  </si>
  <si>
    <t>0.77% STRS increase (16.92%); 2.21% PERS increase (22.91%); 1.18% UI increase (1.23%); 8.03% increase in H&amp;W on 1/1/22; Includes vacancies requested to be hired</t>
  </si>
  <si>
    <t>21/22 Tentative Budget (5/17/21)</t>
  </si>
  <si>
    <t>4.05% COLA</t>
  </si>
  <si>
    <t>1.6% increase in rate per May Joint Analysis</t>
  </si>
  <si>
    <t>same as 20/21 per May Joint Analysis</t>
  </si>
  <si>
    <t>same rate as 20/21 ($30.16 per FTES) per May Joint Analysis</t>
  </si>
  <si>
    <t>tentative as of 5/14/2021</t>
  </si>
  <si>
    <t>tentative update per May Revise</t>
  </si>
  <si>
    <t>4.05% COLA on SCFF (was 1.05%)</t>
  </si>
  <si>
    <t>Change from 5/14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</si>
</sst>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"/>
    <numFmt numFmtId="165" formatCode="00"/>
    <numFmt numFmtId="166" formatCode="000000"/>
    <numFmt numFmtId="167" formatCode="0.0%"/>
    <numFmt numFmtId="168" formatCode="0.000%"/>
    <numFmt numFmtId="169" formatCode="#"/>
    <numFmt numFmtId="170" formatCode="#,##0.00;#,##0.00\-"/>
    <numFmt numFmtId="171" formatCode="#,###.00"/>
    <numFmt numFmtId="172" formatCode="_(* #,##0_);_(* \(#,##0\);_(* &quot;-&quot;??_);_(@_)"/>
    <numFmt numFmtId="173" formatCode="_(&quot;$&quot;* #,##0_);_(&quot;$&quot;* \(#,##0\);_(&quot;$&quot;* &quot;-&quot;??_);_(@_)"/>
    <numFmt numFmtId="174" formatCode="_(* #,##0.0000000_);_(* \(#,##0.0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color rgb="FF283036"/>
      <name val="Helvetica"/>
      <family val="2"/>
    </font>
    <font>
      <sz val="10"/>
      <color rgb="FF283036"/>
      <name val="Helvetica"/>
      <family val="2"/>
    </font>
    <font>
      <sz val="18"/>
      <name val="Arial"/>
      <family val="2"/>
    </font>
    <font>
      <b/>
      <sz val="16"/>
      <color rgb="FF000000"/>
      <name val="Calibri"/>
      <family val="2"/>
    </font>
    <font>
      <b/>
      <u/>
      <sz val="16"/>
      <color rgb="FF000000"/>
      <name val="Calibri"/>
      <family val="2"/>
    </font>
    <font>
      <b/>
      <sz val="16"/>
      <color rgb="FFFF0000"/>
      <name val="Calibri"/>
      <family val="2"/>
    </font>
    <font>
      <b/>
      <sz val="16"/>
      <name val="Calibri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5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283036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/>
      <right/>
      <top style="double">
        <color theme="6" tint="-0.249977111117893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top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alignment vertical="top"/>
    </xf>
    <xf numFmtId="9" fontId="1" fillId="0" borderId="0" applyFont="0" applyFill="0" applyBorder="0" applyAlignment="0" applyProtection="0"/>
  </cellStyleXfs>
  <cellXfs count="259">
    <xf numFmtId="0" fontId="0" fillId="0" borderId="0" xfId="0"/>
    <xf numFmtId="43" fontId="0" fillId="33" borderId="0" xfId="1" applyFont="1" applyFill="1"/>
    <xf numFmtId="43" fontId="0" fillId="34" borderId="0" xfId="1" applyFont="1" applyFill="1"/>
    <xf numFmtId="0" fontId="0" fillId="0" borderId="0" xfId="0" applyFill="1"/>
    <xf numFmtId="0" fontId="0" fillId="0" borderId="0" xfId="0" applyFill="1" applyAlignment="1">
      <alignment horizontal="right"/>
    </xf>
    <xf numFmtId="164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43" fontId="0" fillId="0" borderId="0" xfId="1" applyFont="1" applyFill="1"/>
    <xf numFmtId="0" fontId="16" fillId="0" borderId="0" xfId="0" applyFont="1" applyFill="1"/>
    <xf numFmtId="44" fontId="0" fillId="0" borderId="10" xfId="2" applyFont="1" applyFill="1" applyBorder="1"/>
    <xf numFmtId="44" fontId="0" fillId="0" borderId="0" xfId="2" applyFont="1" applyFill="1" applyBorder="1"/>
    <xf numFmtId="0" fontId="16" fillId="0" borderId="11" xfId="0" applyFont="1" applyFill="1" applyBorder="1"/>
    <xf numFmtId="43" fontId="16" fillId="0" borderId="11" xfId="1" applyFont="1" applyFill="1" applyBorder="1" applyAlignment="1">
      <alignment horizontal="center" wrapText="1"/>
    </xf>
    <xf numFmtId="164" fontId="16" fillId="0" borderId="11" xfId="0" applyNumberFormat="1" applyFont="1" applyFill="1" applyBorder="1"/>
    <xf numFmtId="165" fontId="16" fillId="0" borderId="11" xfId="0" applyNumberFormat="1" applyFont="1" applyFill="1" applyBorder="1"/>
    <xf numFmtId="166" fontId="16" fillId="0" borderId="11" xfId="0" applyNumberFormat="1" applyFont="1" applyFill="1" applyBorder="1"/>
    <xf numFmtId="43" fontId="0" fillId="0" borderId="0" xfId="0" applyNumberFormat="1" applyFill="1"/>
    <xf numFmtId="43" fontId="0" fillId="33" borderId="0" xfId="0" applyNumberFormat="1" applyFill="1"/>
    <xf numFmtId="44" fontId="0" fillId="34" borderId="10" xfId="2" applyFont="1" applyFill="1" applyBorder="1"/>
    <xf numFmtId="0" fontId="18" fillId="0" borderId="0" xfId="44">
      <alignment vertical="top"/>
    </xf>
    <xf numFmtId="10" fontId="0" fillId="0" borderId="0" xfId="45" applyNumberFormat="1" applyFont="1" applyAlignment="1">
      <alignment vertical="top"/>
    </xf>
    <xf numFmtId="2" fontId="18" fillId="0" borderId="0" xfId="44" applyNumberFormat="1">
      <alignment vertical="top"/>
    </xf>
    <xf numFmtId="43" fontId="0" fillId="0" borderId="0" xfId="46" applyFont="1" applyAlignment="1">
      <alignment vertical="top"/>
    </xf>
    <xf numFmtId="2" fontId="0" fillId="35" borderId="0" xfId="46" applyNumberFormat="1" applyFont="1" applyFill="1" applyAlignment="1">
      <alignment vertical="top"/>
    </xf>
    <xf numFmtId="9" fontId="0" fillId="0" borderId="0" xfId="45" applyFont="1" applyAlignment="1">
      <alignment vertical="top"/>
    </xf>
    <xf numFmtId="167" fontId="0" fillId="0" borderId="0" xfId="45" applyNumberFormat="1" applyFont="1" applyAlignment="1">
      <alignment vertical="top"/>
    </xf>
    <xf numFmtId="9" fontId="0" fillId="35" borderId="0" xfId="45" applyNumberFormat="1" applyFont="1" applyFill="1" applyAlignment="1">
      <alignment vertical="top"/>
    </xf>
    <xf numFmtId="43" fontId="0" fillId="35" borderId="0" xfId="46" applyFont="1" applyFill="1" applyAlignment="1">
      <alignment vertical="top"/>
    </xf>
    <xf numFmtId="10" fontId="18" fillId="0" borderId="0" xfId="44" applyNumberFormat="1">
      <alignment vertical="top"/>
    </xf>
    <xf numFmtId="168" fontId="18" fillId="0" borderId="0" xfId="44" applyNumberFormat="1">
      <alignment vertical="top"/>
    </xf>
    <xf numFmtId="2" fontId="18" fillId="35" borderId="0" xfId="44" applyNumberFormat="1" applyFill="1">
      <alignment vertical="top"/>
    </xf>
    <xf numFmtId="10" fontId="0" fillId="0" borderId="0" xfId="46" applyNumberFormat="1" applyFont="1" applyAlignment="1">
      <alignment vertical="top"/>
    </xf>
    <xf numFmtId="0" fontId="18" fillId="35" borderId="0" xfId="44" applyFill="1">
      <alignment vertical="top"/>
    </xf>
    <xf numFmtId="14" fontId="18" fillId="0" borderId="0" xfId="44" applyNumberFormat="1">
      <alignment vertical="top"/>
    </xf>
    <xf numFmtId="49" fontId="18" fillId="0" borderId="0" xfId="44" applyNumberFormat="1">
      <alignment vertical="top"/>
    </xf>
    <xf numFmtId="9" fontId="0" fillId="0" borderId="0" xfId="45" applyNumberFormat="1" applyFont="1" applyAlignment="1">
      <alignment vertical="top"/>
    </xf>
    <xf numFmtId="43" fontId="18" fillId="0" borderId="0" xfId="44" applyNumberFormat="1">
      <alignment vertical="top"/>
    </xf>
    <xf numFmtId="0" fontId="18" fillId="33" borderId="0" xfId="44" applyFill="1">
      <alignment vertical="top"/>
    </xf>
    <xf numFmtId="0" fontId="18" fillId="34" borderId="0" xfId="44" applyFill="1">
      <alignment vertical="top"/>
    </xf>
    <xf numFmtId="0" fontId="19" fillId="34" borderId="0" xfId="44" applyFont="1" applyFill="1">
      <alignment vertical="top"/>
    </xf>
    <xf numFmtId="10" fontId="0" fillId="34" borderId="0" xfId="45" applyNumberFormat="1" applyFont="1" applyFill="1" applyAlignment="1">
      <alignment vertical="top"/>
    </xf>
    <xf numFmtId="14" fontId="18" fillId="34" borderId="0" xfId="44" applyNumberFormat="1" applyFill="1">
      <alignment vertical="top"/>
    </xf>
    <xf numFmtId="49" fontId="18" fillId="34" borderId="0" xfId="44" applyNumberFormat="1" applyFill="1">
      <alignment vertical="top"/>
    </xf>
    <xf numFmtId="2" fontId="18" fillId="34" borderId="0" xfId="44" applyNumberFormat="1" applyFill="1">
      <alignment vertical="top"/>
    </xf>
    <xf numFmtId="43" fontId="0" fillId="34" borderId="0" xfId="46" applyFont="1" applyFill="1" applyAlignment="1">
      <alignment vertical="top"/>
    </xf>
    <xf numFmtId="9" fontId="0" fillId="34" borderId="0" xfId="45" applyFont="1" applyFill="1" applyAlignment="1">
      <alignment vertical="top"/>
    </xf>
    <xf numFmtId="167" fontId="0" fillId="34" borderId="0" xfId="45" applyNumberFormat="1" applyFont="1" applyFill="1" applyAlignment="1">
      <alignment vertical="top"/>
    </xf>
    <xf numFmtId="9" fontId="0" fillId="34" borderId="0" xfId="45" applyNumberFormat="1" applyFont="1" applyFill="1" applyAlignment="1">
      <alignment vertical="top"/>
    </xf>
    <xf numFmtId="43" fontId="18" fillId="34" borderId="0" xfId="44" applyNumberFormat="1" applyFill="1">
      <alignment vertical="top"/>
    </xf>
    <xf numFmtId="0" fontId="19" fillId="0" borderId="0" xfId="44" applyFont="1" applyFill="1">
      <alignment vertical="top"/>
    </xf>
    <xf numFmtId="0" fontId="19" fillId="0" borderId="0" xfId="44" applyFont="1">
      <alignment vertical="top"/>
    </xf>
    <xf numFmtId="0" fontId="19" fillId="33" borderId="0" xfId="44" applyFont="1" applyFill="1">
      <alignment vertical="top"/>
    </xf>
    <xf numFmtId="0" fontId="20" fillId="0" borderId="0" xfId="44" applyFont="1">
      <alignment vertical="top"/>
    </xf>
    <xf numFmtId="10" fontId="19" fillId="0" borderId="0" xfId="45" applyNumberFormat="1" applyFont="1" applyAlignment="1">
      <alignment vertical="top"/>
    </xf>
    <xf numFmtId="49" fontId="19" fillId="0" borderId="0" xfId="44" applyNumberFormat="1" applyFont="1">
      <alignment vertical="top"/>
    </xf>
    <xf numFmtId="0" fontId="18" fillId="0" borderId="0" xfId="44" applyFill="1">
      <alignment vertical="top"/>
    </xf>
    <xf numFmtId="10" fontId="0" fillId="0" borderId="0" xfId="45" applyNumberFormat="1" applyFont="1" applyFill="1" applyAlignment="1">
      <alignment vertical="top"/>
    </xf>
    <xf numFmtId="14" fontId="18" fillId="0" borderId="0" xfId="44" applyNumberFormat="1" applyFill="1">
      <alignment vertical="top"/>
    </xf>
    <xf numFmtId="49" fontId="18" fillId="0" borderId="0" xfId="44" applyNumberFormat="1" applyFill="1">
      <alignment vertical="top"/>
    </xf>
    <xf numFmtId="2" fontId="18" fillId="0" borderId="0" xfId="44" applyNumberFormat="1" applyFill="1">
      <alignment vertical="top"/>
    </xf>
    <xf numFmtId="43" fontId="0" fillId="0" borderId="0" xfId="46" applyFont="1" applyFill="1" applyAlignment="1">
      <alignment vertical="top"/>
    </xf>
    <xf numFmtId="9" fontId="0" fillId="0" borderId="0" xfId="45" applyFont="1" applyFill="1" applyAlignment="1">
      <alignment vertical="top"/>
    </xf>
    <xf numFmtId="167" fontId="0" fillId="0" borderId="0" xfId="45" applyNumberFormat="1" applyFont="1" applyFill="1" applyAlignment="1">
      <alignment vertical="top"/>
    </xf>
    <xf numFmtId="9" fontId="0" fillId="0" borderId="0" xfId="45" applyNumberFormat="1" applyFont="1" applyFill="1" applyAlignment="1">
      <alignment vertical="top"/>
    </xf>
    <xf numFmtId="43" fontId="18" fillId="0" borderId="0" xfId="44" applyNumberFormat="1" applyFill="1">
      <alignment vertical="top"/>
    </xf>
    <xf numFmtId="9" fontId="18" fillId="0" borderId="0" xfId="44" applyNumberFormat="1">
      <alignment vertical="top"/>
    </xf>
    <xf numFmtId="10" fontId="18" fillId="34" borderId="0" xfId="44" applyNumberFormat="1" applyFill="1">
      <alignment vertical="top"/>
    </xf>
    <xf numFmtId="9" fontId="18" fillId="34" borderId="0" xfId="44" applyNumberFormat="1" applyFill="1">
      <alignment vertical="top"/>
    </xf>
    <xf numFmtId="9" fontId="0" fillId="33" borderId="0" xfId="45" applyFont="1" applyFill="1" applyAlignment="1">
      <alignment vertical="top"/>
    </xf>
    <xf numFmtId="49" fontId="18" fillId="33" borderId="0" xfId="44" applyNumberFormat="1" applyFill="1">
      <alignment vertical="top"/>
    </xf>
    <xf numFmtId="2" fontId="18" fillId="33" borderId="0" xfId="44" applyNumberFormat="1" applyFill="1">
      <alignment vertical="top"/>
    </xf>
    <xf numFmtId="43" fontId="0" fillId="33" borderId="0" xfId="46" applyFont="1" applyFill="1" applyAlignment="1">
      <alignment vertical="top"/>
    </xf>
    <xf numFmtId="9" fontId="18" fillId="33" borderId="0" xfId="44" applyNumberFormat="1" applyFill="1">
      <alignment vertical="top"/>
    </xf>
    <xf numFmtId="167" fontId="0" fillId="33" borderId="0" xfId="45" applyNumberFormat="1" applyFont="1" applyFill="1" applyAlignment="1">
      <alignment vertical="top"/>
    </xf>
    <xf numFmtId="43" fontId="18" fillId="33" borderId="0" xfId="44" applyNumberFormat="1" applyFill="1">
      <alignment vertical="top"/>
    </xf>
    <xf numFmtId="167" fontId="18" fillId="0" borderId="0" xfId="44" applyNumberFormat="1">
      <alignment vertical="top"/>
    </xf>
    <xf numFmtId="167" fontId="0" fillId="0" borderId="0" xfId="46" applyNumberFormat="1" applyFont="1" applyAlignment="1">
      <alignment vertical="top"/>
    </xf>
    <xf numFmtId="169" fontId="18" fillId="0" borderId="0" xfId="44" applyNumberFormat="1">
      <alignment vertical="top"/>
    </xf>
    <xf numFmtId="169" fontId="18" fillId="33" borderId="0" xfId="44" applyNumberFormat="1" applyFill="1">
      <alignment vertical="top"/>
    </xf>
    <xf numFmtId="170" fontId="18" fillId="0" borderId="0" xfId="44" applyNumberFormat="1">
      <alignment vertical="top"/>
    </xf>
    <xf numFmtId="170" fontId="18" fillId="34" borderId="0" xfId="44" applyNumberFormat="1" applyFill="1">
      <alignment vertical="top"/>
    </xf>
    <xf numFmtId="171" fontId="18" fillId="0" borderId="0" xfId="44" applyNumberFormat="1">
      <alignment vertical="top"/>
    </xf>
    <xf numFmtId="169" fontId="18" fillId="34" borderId="0" xfId="44" applyNumberFormat="1" applyFill="1">
      <alignment vertical="top"/>
    </xf>
    <xf numFmtId="171" fontId="18" fillId="34" borderId="0" xfId="44" applyNumberFormat="1" applyFill="1">
      <alignment vertical="top"/>
    </xf>
    <xf numFmtId="169" fontId="18" fillId="0" borderId="0" xfId="44" applyNumberFormat="1" applyFill="1">
      <alignment vertical="top"/>
    </xf>
    <xf numFmtId="171" fontId="18" fillId="0" borderId="0" xfId="44" applyNumberFormat="1" applyFill="1">
      <alignment vertical="top"/>
    </xf>
    <xf numFmtId="49" fontId="19" fillId="0" borderId="0" xfId="44" applyNumberFormat="1" applyFont="1" applyFill="1">
      <alignment vertical="top"/>
    </xf>
    <xf numFmtId="49" fontId="19" fillId="34" borderId="0" xfId="44" applyNumberFormat="1" applyFont="1" applyFill="1">
      <alignment vertical="top"/>
    </xf>
    <xf numFmtId="168" fontId="0" fillId="0" borderId="0" xfId="45" applyNumberFormat="1" applyFont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applyAlignment="1">
      <alignment horizontal="left" indent="1"/>
    </xf>
    <xf numFmtId="0" fontId="21" fillId="34" borderId="0" xfId="44" applyFont="1" applyFill="1">
      <alignment vertical="top"/>
    </xf>
    <xf numFmtId="0" fontId="22" fillId="0" borderId="12" xfId="0" applyFont="1" applyFill="1" applyBorder="1" applyAlignment="1">
      <alignment wrapText="1"/>
    </xf>
    <xf numFmtId="0" fontId="23" fillId="0" borderId="13" xfId="0" applyFont="1" applyFill="1" applyBorder="1" applyAlignment="1">
      <alignment horizontal="center" wrapText="1" readingOrder="1"/>
    </xf>
    <xf numFmtId="0" fontId="24" fillId="0" borderId="14" xfId="0" applyFont="1" applyFill="1" applyBorder="1" applyAlignment="1">
      <alignment wrapText="1" readingOrder="1"/>
    </xf>
    <xf numFmtId="0" fontId="24" fillId="0" borderId="15" xfId="0" applyFont="1" applyFill="1" applyBorder="1" applyAlignment="1">
      <alignment wrapText="1" readingOrder="1"/>
    </xf>
    <xf numFmtId="0" fontId="24" fillId="0" borderId="16" xfId="0" applyFont="1" applyFill="1" applyBorder="1" applyAlignment="1">
      <alignment wrapText="1" readingOrder="1"/>
    </xf>
    <xf numFmtId="0" fontId="23" fillId="0" borderId="17" xfId="0" applyFont="1" applyFill="1" applyBorder="1" applyAlignment="1">
      <alignment horizontal="left" wrapText="1" readingOrder="1"/>
    </xf>
    <xf numFmtId="172" fontId="23" fillId="0" borderId="18" xfId="46" applyNumberFormat="1" applyFont="1" applyFill="1" applyBorder="1" applyAlignment="1">
      <alignment horizontal="left" wrapText="1" readingOrder="1"/>
    </xf>
    <xf numFmtId="172" fontId="23" fillId="0" borderId="19" xfId="46" applyNumberFormat="1" applyFont="1" applyFill="1" applyBorder="1" applyAlignment="1">
      <alignment horizontal="left" wrapText="1" readingOrder="1"/>
    </xf>
    <xf numFmtId="173" fontId="23" fillId="0" borderId="16" xfId="2" applyNumberFormat="1" applyFont="1" applyFill="1" applyBorder="1" applyAlignment="1">
      <alignment horizontal="left" wrapText="1" readingOrder="1"/>
    </xf>
    <xf numFmtId="0" fontId="22" fillId="0" borderId="17" xfId="0" applyFont="1" applyFill="1" applyBorder="1" applyAlignment="1">
      <alignment wrapText="1"/>
    </xf>
    <xf numFmtId="0" fontId="22" fillId="0" borderId="18" xfId="0" applyFont="1" applyFill="1" applyBorder="1" applyAlignment="1">
      <alignment wrapText="1"/>
    </xf>
    <xf numFmtId="0" fontId="24" fillId="0" borderId="20" xfId="0" applyFont="1" applyFill="1" applyBorder="1" applyAlignment="1">
      <alignment wrapText="1" readingOrder="1"/>
    </xf>
    <xf numFmtId="0" fontId="24" fillId="0" borderId="18" xfId="0" applyFont="1" applyFill="1" applyBorder="1" applyAlignment="1">
      <alignment wrapText="1" readingOrder="1"/>
    </xf>
    <xf numFmtId="0" fontId="23" fillId="0" borderId="17" xfId="0" applyFont="1" applyFill="1" applyBorder="1" applyAlignment="1">
      <alignment horizontal="right" wrapText="1" readingOrder="1"/>
    </xf>
    <xf numFmtId="0" fontId="22" fillId="0" borderId="17" xfId="0" applyFont="1" applyFill="1" applyBorder="1" applyAlignment="1">
      <alignment horizontal="right" wrapText="1" readingOrder="1"/>
    </xf>
    <xf numFmtId="0" fontId="25" fillId="0" borderId="21" xfId="0" applyFont="1" applyFill="1" applyBorder="1" applyAlignment="1">
      <alignment horizontal="right" wrapText="1" readingOrder="1"/>
    </xf>
    <xf numFmtId="173" fontId="26" fillId="0" borderId="22" xfId="2" applyNumberFormat="1" applyFont="1" applyFill="1" applyBorder="1" applyAlignment="1">
      <alignment horizontal="left" wrapText="1" readingOrder="1"/>
    </xf>
    <xf numFmtId="0" fontId="16" fillId="36" borderId="23" xfId="0" applyFont="1" applyFill="1" applyBorder="1"/>
    <xf numFmtId="0" fontId="16" fillId="0" borderId="23" xfId="0" applyFont="1" applyBorder="1" applyAlignment="1">
      <alignment horizontal="left"/>
    </xf>
    <xf numFmtId="0" fontId="16" fillId="0" borderId="24" xfId="0" applyFont="1" applyBorder="1" applyAlignment="1">
      <alignment horizontal="left"/>
    </xf>
    <xf numFmtId="0" fontId="16" fillId="36" borderId="25" xfId="0" applyFont="1" applyFill="1" applyBorder="1" applyAlignment="1">
      <alignment horizontal="left"/>
    </xf>
    <xf numFmtId="43" fontId="16" fillId="36" borderId="23" xfId="1" applyFont="1" applyFill="1" applyBorder="1" applyAlignment="1">
      <alignment wrapText="1"/>
    </xf>
    <xf numFmtId="43" fontId="16" fillId="36" borderId="23" xfId="1" applyFont="1" applyFill="1" applyBorder="1" applyAlignment="1">
      <alignment horizontal="center" wrapText="1"/>
    </xf>
    <xf numFmtId="10" fontId="27" fillId="0" borderId="0" xfId="47" applyNumberFormat="1" applyFont="1" applyAlignment="1"/>
    <xf numFmtId="168" fontId="27" fillId="0" borderId="0" xfId="47" applyNumberFormat="1" applyFont="1" applyAlignment="1"/>
    <xf numFmtId="0" fontId="16" fillId="0" borderId="0" xfId="0" applyFont="1"/>
    <xf numFmtId="43" fontId="16" fillId="0" borderId="23" xfId="1" applyFont="1" applyBorder="1"/>
    <xf numFmtId="0" fontId="16" fillId="0" borderId="0" xfId="0" applyFont="1" applyAlignment="1">
      <alignment horizontal="left" indent="1"/>
    </xf>
    <xf numFmtId="43" fontId="16" fillId="0" borderId="0" xfId="1" applyFont="1"/>
    <xf numFmtId="0" fontId="0" fillId="0" borderId="0" xfId="0" applyAlignment="1">
      <alignment horizontal="left" indent="2"/>
    </xf>
    <xf numFmtId="43" fontId="0" fillId="0" borderId="0" xfId="1" applyFont="1"/>
    <xf numFmtId="0" fontId="0" fillId="0" borderId="0" xfId="0" applyFill="1" applyAlignment="1">
      <alignment horizontal="left" indent="2"/>
    </xf>
    <xf numFmtId="0" fontId="0" fillId="33" borderId="0" xfId="0" applyFill="1" applyAlignment="1">
      <alignment horizontal="left" indent="2"/>
    </xf>
    <xf numFmtId="43" fontId="16" fillId="0" borderId="24" xfId="1" applyFont="1" applyBorder="1"/>
    <xf numFmtId="43" fontId="16" fillId="36" borderId="25" xfId="1" applyFont="1" applyFill="1" applyBorder="1"/>
    <xf numFmtId="0" fontId="24" fillId="0" borderId="14" xfId="0" applyFont="1" applyFill="1" applyBorder="1" applyAlignment="1">
      <alignment horizontal="left" wrapText="1" readingOrder="1"/>
    </xf>
    <xf numFmtId="172" fontId="23" fillId="0" borderId="26" xfId="46" applyNumberFormat="1" applyFont="1" applyFill="1" applyBorder="1" applyAlignment="1">
      <alignment horizontal="left" wrapText="1" readingOrder="1"/>
    </xf>
    <xf numFmtId="0" fontId="16" fillId="0" borderId="0" xfId="0" applyFont="1" applyFill="1" applyBorder="1" applyAlignment="1">
      <alignment horizontal="left"/>
    </xf>
    <xf numFmtId="43" fontId="16" fillId="0" borderId="0" xfId="1" applyFont="1" applyFill="1" applyBorder="1"/>
    <xf numFmtId="43" fontId="0" fillId="0" borderId="0" xfId="1" applyFont="1" applyAlignment="1">
      <alignment horizontal="center"/>
    </xf>
    <xf numFmtId="43" fontId="16" fillId="0" borderId="0" xfId="0" applyNumberFormat="1" applyFont="1"/>
    <xf numFmtId="43" fontId="0" fillId="0" borderId="11" xfId="1" applyFont="1" applyBorder="1"/>
    <xf numFmtId="0" fontId="16" fillId="0" borderId="0" xfId="0" applyFont="1" applyAlignment="1">
      <alignment horizontal="right"/>
    </xf>
    <xf numFmtId="0" fontId="0" fillId="0" borderId="0" xfId="0" applyNumberFormat="1"/>
    <xf numFmtId="0" fontId="0" fillId="0" borderId="0" xfId="0" applyAlignment="1">
      <alignment horizontal="right" indent="2"/>
    </xf>
    <xf numFmtId="0" fontId="16" fillId="0" borderId="0" xfId="0" applyFont="1" applyAlignment="1">
      <alignment horizontal="right" indent="1"/>
    </xf>
    <xf numFmtId="0" fontId="16" fillId="0" borderId="0" xfId="0" applyFont="1" applyAlignment="1">
      <alignment horizontal="center"/>
    </xf>
    <xf numFmtId="43" fontId="16" fillId="36" borderId="23" xfId="1" applyFont="1" applyFill="1" applyBorder="1"/>
    <xf numFmtId="0" fontId="16" fillId="33" borderId="23" xfId="0" applyFont="1" applyFill="1" applyBorder="1" applyAlignment="1">
      <alignment horizontal="left"/>
    </xf>
    <xf numFmtId="43" fontId="16" fillId="33" borderId="23" xfId="1" applyFont="1" applyFill="1" applyBorder="1"/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43" fontId="0" fillId="0" borderId="0" xfId="1" applyFont="1" applyBorder="1" applyAlignment="1">
      <alignment horizontal="left"/>
    </xf>
    <xf numFmtId="0" fontId="0" fillId="0" borderId="0" xfId="0" applyBorder="1"/>
    <xf numFmtId="0" fontId="0" fillId="37" borderId="0" xfId="0" applyFill="1" applyBorder="1"/>
    <xf numFmtId="0" fontId="0" fillId="0" borderId="0" xfId="0" applyFill="1" applyBorder="1"/>
    <xf numFmtId="43" fontId="0" fillId="37" borderId="0" xfId="1" applyFont="1" applyFill="1" applyBorder="1"/>
    <xf numFmtId="0" fontId="0" fillId="33" borderId="0" xfId="0" applyFill="1" applyBorder="1"/>
    <xf numFmtId="43" fontId="0" fillId="33" borderId="0" xfId="1" applyFont="1" applyFill="1" applyBorder="1"/>
    <xf numFmtId="0" fontId="16" fillId="33" borderId="0" xfId="0" applyFont="1" applyFill="1" applyBorder="1"/>
    <xf numFmtId="43" fontId="16" fillId="33" borderId="0" xfId="1" applyFont="1" applyFill="1" applyBorder="1"/>
    <xf numFmtId="0" fontId="0" fillId="35" borderId="0" xfId="0" applyFill="1" applyBorder="1"/>
    <xf numFmtId="43" fontId="0" fillId="35" borderId="0" xfId="1" applyFont="1" applyFill="1" applyBorder="1"/>
    <xf numFmtId="0" fontId="28" fillId="38" borderId="0" xfId="0" applyFont="1" applyFill="1" applyBorder="1"/>
    <xf numFmtId="43" fontId="29" fillId="38" borderId="0" xfId="1" applyFont="1" applyFill="1" applyBorder="1" applyAlignment="1"/>
    <xf numFmtId="43" fontId="28" fillId="38" borderId="0" xfId="1" applyFont="1" applyFill="1" applyBorder="1"/>
    <xf numFmtId="43" fontId="0" fillId="0" borderId="0" xfId="1" applyFont="1" applyFill="1" applyAlignment="1">
      <alignment horizontal="justify"/>
    </xf>
    <xf numFmtId="43" fontId="14" fillId="33" borderId="0" xfId="1" applyFont="1" applyFill="1" applyBorder="1"/>
    <xf numFmtId="43" fontId="28" fillId="38" borderId="0" xfId="1" applyFont="1" applyFill="1" applyBorder="1" applyAlignment="1"/>
    <xf numFmtId="0" fontId="29" fillId="38" borderId="0" xfId="0" applyFont="1" applyFill="1" applyBorder="1" applyAlignment="1"/>
    <xf numFmtId="43" fontId="30" fillId="33" borderId="0" xfId="1" applyFont="1" applyFill="1" applyBorder="1"/>
    <xf numFmtId="0" fontId="31" fillId="33" borderId="0" xfId="0" applyFont="1" applyFill="1" applyBorder="1"/>
    <xf numFmtId="0" fontId="0" fillId="39" borderId="0" xfId="0" applyFill="1" applyBorder="1"/>
    <xf numFmtId="0" fontId="0" fillId="40" borderId="0" xfId="0" applyFill="1" applyBorder="1"/>
    <xf numFmtId="43" fontId="0" fillId="40" borderId="0" xfId="1" applyFont="1" applyFill="1" applyBorder="1"/>
    <xf numFmtId="43" fontId="0" fillId="0" borderId="0" xfId="1" applyFont="1" applyBorder="1"/>
    <xf numFmtId="172" fontId="19" fillId="0" borderId="0" xfId="0" applyNumberFormat="1" applyFont="1" applyAlignment="1">
      <alignment vertical="top"/>
    </xf>
    <xf numFmtId="0" fontId="0" fillId="41" borderId="0" xfId="0" applyFill="1" applyAlignment="1">
      <alignment horizontal="left" indent="2"/>
    </xf>
    <xf numFmtId="43" fontId="0" fillId="41" borderId="0" xfId="1" applyFont="1" applyFill="1"/>
    <xf numFmtId="43" fontId="0" fillId="41" borderId="0" xfId="0" applyNumberFormat="1" applyFill="1"/>
    <xf numFmtId="0" fontId="0" fillId="41" borderId="0" xfId="0" applyFill="1"/>
    <xf numFmtId="0" fontId="32" fillId="42" borderId="27" xfId="0" applyNumberFormat="1" applyFont="1" applyFill="1" applyBorder="1"/>
    <xf numFmtId="0" fontId="32" fillId="42" borderId="27" xfId="0" applyFont="1" applyFill="1" applyBorder="1"/>
    <xf numFmtId="0" fontId="32" fillId="42" borderId="29" xfId="0" applyFont="1" applyFill="1" applyBorder="1"/>
    <xf numFmtId="0" fontId="32" fillId="42" borderId="28" xfId="0" applyFont="1" applyFill="1" applyBorder="1"/>
    <xf numFmtId="43" fontId="32" fillId="43" borderId="30" xfId="0" applyNumberFormat="1" applyFont="1" applyFill="1" applyBorder="1"/>
    <xf numFmtId="43" fontId="0" fillId="44" borderId="31" xfId="0" applyNumberFormat="1" applyFont="1" applyFill="1" applyBorder="1"/>
    <xf numFmtId="43" fontId="0" fillId="0" borderId="30" xfId="0" applyNumberFormat="1" applyFont="1" applyBorder="1"/>
    <xf numFmtId="43" fontId="33" fillId="0" borderId="32" xfId="0" applyNumberFormat="1" applyFont="1" applyBorder="1"/>
    <xf numFmtId="173" fontId="16" fillId="0" borderId="0" xfId="2" applyNumberFormat="1" applyFont="1"/>
    <xf numFmtId="43" fontId="16" fillId="33" borderId="0" xfId="0" applyNumberFormat="1" applyFont="1" applyFill="1"/>
    <xf numFmtId="43" fontId="16" fillId="33" borderId="0" xfId="1" applyFont="1" applyFill="1"/>
    <xf numFmtId="44" fontId="16" fillId="33" borderId="0" xfId="2" applyNumberFormat="1" applyFont="1" applyFill="1"/>
    <xf numFmtId="43" fontId="16" fillId="45" borderId="25" xfId="1" applyFont="1" applyFill="1" applyBorder="1"/>
    <xf numFmtId="0" fontId="18" fillId="0" borderId="0" xfId="44" applyFont="1" applyFill="1">
      <alignment vertical="top"/>
    </xf>
    <xf numFmtId="0" fontId="27" fillId="0" borderId="0" xfId="44" applyFont="1" applyFill="1">
      <alignment vertical="top"/>
    </xf>
    <xf numFmtId="43" fontId="18" fillId="0" borderId="0" xfId="44" applyNumberFormat="1" applyFont="1" applyFill="1">
      <alignment vertical="top"/>
    </xf>
    <xf numFmtId="49" fontId="18" fillId="0" borderId="0" xfId="44" applyNumberFormat="1" applyFont="1" applyFill="1">
      <alignment vertical="top"/>
    </xf>
    <xf numFmtId="169" fontId="18" fillId="0" borderId="0" xfId="44" applyNumberFormat="1" applyFont="1" applyFill="1">
      <alignment vertical="top"/>
    </xf>
    <xf numFmtId="0" fontId="34" fillId="0" borderId="0" xfId="44" applyFont="1" applyFill="1">
      <alignment vertical="top"/>
    </xf>
    <xf numFmtId="10" fontId="35" fillId="0" borderId="0" xfId="45" applyNumberFormat="1" applyFont="1" applyFill="1" applyAlignment="1">
      <alignment vertical="top"/>
    </xf>
    <xf numFmtId="43" fontId="35" fillId="0" borderId="0" xfId="46" applyFont="1" applyFill="1" applyAlignment="1">
      <alignment vertical="top"/>
    </xf>
    <xf numFmtId="0" fontId="35" fillId="0" borderId="0" xfId="0" applyFont="1" applyFill="1"/>
    <xf numFmtId="10" fontId="36" fillId="0" borderId="0" xfId="45" applyNumberFormat="1" applyFont="1" applyFill="1" applyAlignment="1">
      <alignment horizontal="right" vertical="top"/>
    </xf>
    <xf numFmtId="43" fontId="36" fillId="0" borderId="0" xfId="46" applyFont="1" applyFill="1" applyAlignment="1">
      <alignment vertical="top"/>
    </xf>
    <xf numFmtId="43" fontId="36" fillId="33" borderId="0" xfId="46" applyFont="1" applyFill="1" applyAlignment="1">
      <alignment vertical="top"/>
    </xf>
    <xf numFmtId="10" fontId="18" fillId="0" borderId="0" xfId="45" applyNumberFormat="1" applyFont="1" applyFill="1" applyAlignment="1">
      <alignment vertical="top"/>
    </xf>
    <xf numFmtId="10" fontId="18" fillId="0" borderId="0" xfId="44" applyNumberFormat="1" applyFont="1" applyFill="1">
      <alignment vertical="top"/>
    </xf>
    <xf numFmtId="10" fontId="36" fillId="0" borderId="0" xfId="45" applyNumberFormat="1" applyFont="1" applyFill="1" applyAlignment="1">
      <alignment vertical="top"/>
    </xf>
    <xf numFmtId="0" fontId="36" fillId="0" borderId="0" xfId="0" applyFont="1" applyFill="1"/>
    <xf numFmtId="0" fontId="0" fillId="46" borderId="0" xfId="0" applyFill="1" applyAlignment="1">
      <alignment horizontal="left" indent="2"/>
    </xf>
    <xf numFmtId="43" fontId="0" fillId="46" borderId="0" xfId="1" applyFont="1" applyFill="1"/>
    <xf numFmtId="43" fontId="16" fillId="36" borderId="0" xfId="1" applyFont="1" applyFill="1" applyBorder="1"/>
    <xf numFmtId="43" fontId="16" fillId="0" borderId="0" xfId="1" applyFont="1" applyFill="1"/>
    <xf numFmtId="9" fontId="0" fillId="0" borderId="0" xfId="48" applyFont="1"/>
    <xf numFmtId="9" fontId="16" fillId="36" borderId="0" xfId="48" applyFont="1" applyFill="1" applyBorder="1" applyAlignment="1">
      <alignment horizontal="center"/>
    </xf>
    <xf numFmtId="9" fontId="0" fillId="0" borderId="0" xfId="48" applyFont="1" applyAlignment="1">
      <alignment horizontal="center"/>
    </xf>
    <xf numFmtId="43" fontId="16" fillId="36" borderId="0" xfId="1" applyFont="1" applyFill="1" applyBorder="1" applyAlignment="1">
      <alignment horizontal="center" wrapText="1"/>
    </xf>
    <xf numFmtId="43" fontId="16" fillId="0" borderId="0" xfId="1" applyFont="1" applyBorder="1"/>
    <xf numFmtId="9" fontId="16" fillId="36" borderId="0" xfId="48" applyFont="1" applyFill="1" applyBorder="1" applyAlignment="1">
      <alignment horizontal="center" wrapText="1"/>
    </xf>
    <xf numFmtId="10" fontId="0" fillId="0" borderId="0" xfId="48" applyNumberFormat="1" applyFont="1"/>
    <xf numFmtId="0" fontId="18" fillId="34" borderId="0" xfId="44" applyFont="1" applyFill="1">
      <alignment vertical="top"/>
    </xf>
    <xf numFmtId="0" fontId="37" fillId="0" borderId="0" xfId="0" applyFont="1" applyFill="1"/>
    <xf numFmtId="0" fontId="37" fillId="0" borderId="0" xfId="44" applyFont="1" applyFill="1">
      <alignment vertical="top"/>
    </xf>
    <xf numFmtId="10" fontId="14" fillId="0" borderId="0" xfId="45" applyNumberFormat="1" applyFont="1" applyFill="1" applyAlignment="1">
      <alignment vertical="top"/>
    </xf>
    <xf numFmtId="43" fontId="14" fillId="0" borderId="0" xfId="46" applyFont="1" applyFill="1" applyAlignment="1">
      <alignment vertical="top"/>
    </xf>
    <xf numFmtId="43" fontId="37" fillId="0" borderId="0" xfId="44" applyNumberFormat="1" applyFont="1" applyFill="1">
      <alignment vertical="top"/>
    </xf>
    <xf numFmtId="43" fontId="35" fillId="0" borderId="0" xfId="0" applyNumberFormat="1" applyFont="1" applyFill="1"/>
    <xf numFmtId="44" fontId="0" fillId="0" borderId="0" xfId="0" applyNumberFormat="1"/>
    <xf numFmtId="43" fontId="18" fillId="35" borderId="0" xfId="1" applyFont="1" applyFill="1" applyAlignment="1">
      <alignment vertical="top"/>
    </xf>
    <xf numFmtId="43" fontId="18" fillId="47" borderId="0" xfId="1" applyFont="1" applyFill="1" applyAlignment="1">
      <alignment vertical="top"/>
    </xf>
    <xf numFmtId="43" fontId="18" fillId="34" borderId="0" xfId="1" applyFont="1" applyFill="1" applyAlignment="1">
      <alignment vertical="top"/>
    </xf>
    <xf numFmtId="43" fontId="18" fillId="0" borderId="0" xfId="1" applyFont="1" applyAlignment="1">
      <alignment vertical="top"/>
    </xf>
    <xf numFmtId="0" fontId="0" fillId="0" borderId="0" xfId="0" applyAlignment="1">
      <alignment horizontal="center"/>
    </xf>
    <xf numFmtId="43" fontId="0" fillId="0" borderId="0" xfId="0" applyNumberFormat="1" applyAlignment="1">
      <alignment horizontal="center"/>
    </xf>
    <xf numFmtId="43" fontId="0" fillId="48" borderId="0" xfId="1" applyFont="1" applyFill="1"/>
    <xf numFmtId="44" fontId="0" fillId="0" borderId="0" xfId="2" applyFont="1"/>
    <xf numFmtId="9" fontId="16" fillId="0" borderId="0" xfId="48" applyFont="1"/>
    <xf numFmtId="43" fontId="16" fillId="45" borderId="0" xfId="1" applyFont="1" applyFill="1" applyBorder="1"/>
    <xf numFmtId="167" fontId="16" fillId="0" borderId="0" xfId="48" applyNumberFormat="1" applyFont="1"/>
    <xf numFmtId="167" fontId="0" fillId="0" borderId="0" xfId="48" applyNumberFormat="1" applyFont="1"/>
    <xf numFmtId="0" fontId="0" fillId="0" borderId="11" xfId="0" applyBorder="1"/>
    <xf numFmtId="44" fontId="16" fillId="0" borderId="0" xfId="0" applyNumberFormat="1" applyFont="1"/>
    <xf numFmtId="44" fontId="0" fillId="0" borderId="11" xfId="2" applyFont="1" applyBorder="1"/>
    <xf numFmtId="174" fontId="0" fillId="0" borderId="0" xfId="0" applyNumberFormat="1"/>
    <xf numFmtId="0" fontId="23" fillId="0" borderId="33" xfId="0" applyFont="1" applyFill="1" applyBorder="1" applyAlignment="1">
      <alignment horizontal="center" wrapText="1" readingOrder="1"/>
    </xf>
    <xf numFmtId="0" fontId="22" fillId="0" borderId="20" xfId="0" applyFont="1" applyFill="1" applyBorder="1" applyAlignment="1">
      <alignment wrapText="1"/>
    </xf>
    <xf numFmtId="6" fontId="23" fillId="0" borderId="20" xfId="0" applyNumberFormat="1" applyFont="1" applyFill="1" applyBorder="1" applyAlignment="1">
      <alignment horizontal="left" wrapText="1" readingOrder="1"/>
    </xf>
    <xf numFmtId="3" fontId="23" fillId="0" borderId="20" xfId="0" applyNumberFormat="1" applyFont="1" applyFill="1" applyBorder="1" applyAlignment="1">
      <alignment horizontal="left" wrapText="1" readingOrder="1"/>
    </xf>
    <xf numFmtId="9" fontId="23" fillId="0" borderId="20" xfId="48" applyNumberFormat="1" applyFont="1" applyFill="1" applyBorder="1" applyAlignment="1">
      <alignment horizontal="left" wrapText="1" readingOrder="1"/>
    </xf>
    <xf numFmtId="6" fontId="25" fillId="0" borderId="34" xfId="0" applyNumberFormat="1" applyFont="1" applyFill="1" applyBorder="1" applyAlignment="1">
      <alignment horizontal="left" wrapText="1" readingOrder="1"/>
    </xf>
    <xf numFmtId="172" fontId="23" fillId="0" borderId="35" xfId="46" applyNumberFormat="1" applyFont="1" applyFill="1" applyBorder="1" applyAlignment="1">
      <alignment horizontal="left" wrapText="1" readingOrder="1"/>
    </xf>
    <xf numFmtId="0" fontId="23" fillId="33" borderId="13" xfId="0" applyFont="1" applyFill="1" applyBorder="1" applyAlignment="1">
      <alignment horizontal="center" wrapText="1" readingOrder="1"/>
    </xf>
    <xf numFmtId="0" fontId="24" fillId="33" borderId="16" xfId="0" applyFont="1" applyFill="1" applyBorder="1" applyAlignment="1">
      <alignment wrapText="1" readingOrder="1"/>
    </xf>
    <xf numFmtId="172" fontId="23" fillId="33" borderId="18" xfId="46" applyNumberFormat="1" applyFont="1" applyFill="1" applyBorder="1" applyAlignment="1">
      <alignment horizontal="left" wrapText="1" readingOrder="1"/>
    </xf>
    <xf numFmtId="172" fontId="23" fillId="33" borderId="19" xfId="46" applyNumberFormat="1" applyFont="1" applyFill="1" applyBorder="1" applyAlignment="1">
      <alignment horizontal="left" wrapText="1" readingOrder="1"/>
    </xf>
    <xf numFmtId="173" fontId="23" fillId="33" borderId="16" xfId="2" applyNumberFormat="1" applyFont="1" applyFill="1" applyBorder="1" applyAlignment="1">
      <alignment horizontal="left" wrapText="1" readingOrder="1"/>
    </xf>
    <xf numFmtId="0" fontId="22" fillId="33" borderId="18" xfId="0" applyFont="1" applyFill="1" applyBorder="1" applyAlignment="1">
      <alignment wrapText="1"/>
    </xf>
    <xf numFmtId="0" fontId="24" fillId="33" borderId="18" xfId="0" applyFont="1" applyFill="1" applyBorder="1" applyAlignment="1">
      <alignment wrapText="1" readingOrder="1"/>
    </xf>
    <xf numFmtId="172" fontId="23" fillId="33" borderId="26" xfId="46" applyNumberFormat="1" applyFont="1" applyFill="1" applyBorder="1" applyAlignment="1">
      <alignment horizontal="left" wrapText="1" readingOrder="1"/>
    </xf>
    <xf numFmtId="173" fontId="26" fillId="33" borderId="22" xfId="2" applyNumberFormat="1" applyFont="1" applyFill="1" applyBorder="1" applyAlignment="1">
      <alignment horizontal="left" wrapText="1" readingOrder="1"/>
    </xf>
    <xf numFmtId="43" fontId="0" fillId="0" borderId="11" xfId="1" applyFont="1" applyBorder="1" applyAlignment="1">
      <alignment horizontal="center"/>
    </xf>
    <xf numFmtId="10" fontId="0" fillId="0" borderId="0" xfId="48" applyNumberFormat="1" applyFont="1" applyFill="1"/>
    <xf numFmtId="172" fontId="23" fillId="0" borderId="19" xfId="1" applyNumberFormat="1" applyFont="1" applyFill="1" applyBorder="1" applyAlignment="1">
      <alignment horizontal="left" wrapText="1" readingOrder="1"/>
    </xf>
  </cellXfs>
  <cellStyles count="49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2 2" xfId="47"/>
    <cellStyle name="Note" xfId="17" builtinId="10" customBuiltin="1"/>
    <cellStyle name="Output" xfId="12" builtinId="21" customBuiltin="1"/>
    <cellStyle name="Percent" xfId="48" builtinId="5"/>
    <cellStyle name="Percent 2" xfId="45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</dxf>
    <dxf>
      <font>
        <color rgb="FF9C0006"/>
      </font>
    </dxf>
    <dxf>
      <font>
        <color rgb="FF9C0006"/>
      </font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Techaira" refreshedDate="44323.167052083336" createdVersion="6" refreshedVersion="6" minRefreshableVersion="3" recordCount="4965">
  <cacheSource type="worksheet">
    <worksheetSource ref="A1:M4966" sheet="GLBR-5-5-21"/>
  </cacheSource>
  <cacheFields count="13">
    <cacheField name="FY" numFmtId="0">
      <sharedItems count="3">
        <s v="1. 2021 Budget"/>
        <s v="3. 2022 Tentative Budget"/>
        <s v="2. 2021 Actual + PO's as of 5-5-21"/>
      </sharedItems>
    </cacheField>
    <cacheField name="GL Account" numFmtId="0">
      <sharedItems/>
    </cacheField>
    <cacheField name="Fund" numFmtId="0">
      <sharedItems containsSemiMixedTypes="0" containsString="0" containsNumber="1" containsInteger="1" minValue="11" maxValue="79" count="15">
        <n v="11"/>
        <n v="13"/>
        <n v="31"/>
        <n v="41"/>
        <n v="44"/>
        <n v="46"/>
        <n v="52"/>
        <n v="55"/>
        <n v="61"/>
        <n v="62"/>
        <n v="63"/>
        <n v="71"/>
        <n v="72"/>
        <n v="75"/>
        <n v="79"/>
      </sharedItems>
    </cacheField>
    <cacheField name="Area" numFmtId="0">
      <sharedItems containsSemiMixedTypes="0" containsString="0" containsNumber="1" containsInteger="1" minValue="0" maxValue="600"/>
    </cacheField>
    <cacheField name="Location" numFmtId="0">
      <sharedItems containsSemiMixedTypes="0" containsString="0" containsNumber="1" containsInteger="1" minValue="0" maxValue="5"/>
    </cacheField>
    <cacheField name="TOP" numFmtId="0">
      <sharedItems containsSemiMixedTypes="0" containsString="0" containsNumber="1" containsInteger="1" minValue="0" maxValue="975109" count="138">
        <n v="0"/>
        <n v="677010"/>
        <n v="661000"/>
        <n v="661100"/>
        <n v="662000"/>
        <n v="671020"/>
        <n v="675020"/>
        <n v="680500"/>
        <n v="682000"/>
        <n v="684000"/>
        <n v="10100"/>
        <n v="40110"/>
        <n v="50000"/>
        <n v="70100"/>
        <n v="100200"/>
        <n v="100400"/>
        <n v="101100"/>
        <n v="110500"/>
        <n v="130500"/>
        <n v="150100"/>
        <n v="150600"/>
        <n v="170100"/>
        <n v="190200"/>
        <n v="191900"/>
        <n v="200100"/>
        <n v="210500"/>
        <n v="220200"/>
        <n v="220210"/>
        <n v="220500"/>
        <n v="220600"/>
        <n v="220700"/>
        <n v="220800"/>
        <n v="493010"/>
        <n v="493080"/>
        <n v="601000"/>
        <n v="612000"/>
        <n v="631000"/>
        <n v="657000"/>
        <n v="700400"/>
        <n v="602003"/>
        <n v="663000"/>
        <n v="590000"/>
        <n v="672020"/>
        <n v="674000"/>
        <n v="675000"/>
        <n v="677000"/>
        <n v="677100"/>
        <n v="695000"/>
        <n v="672010"/>
        <n v="672040"/>
        <n v="677020"/>
        <n v="732000"/>
        <n v="651000"/>
        <n v="653000"/>
        <n v="655000"/>
        <n v="659010"/>
        <n v="659020"/>
        <n v="677300"/>
        <n v="683000"/>
        <n v="490000"/>
        <n v="682100"/>
        <n v="703800"/>
        <n v="80100"/>
        <n v="100700"/>
        <n v="140100"/>
        <n v="150900"/>
        <n v="210440"/>
        <n v="220400"/>
        <n v="83500"/>
        <n v="83510"/>
        <n v="83550"/>
        <n v="83700"/>
        <n v="130600"/>
        <n v="696500"/>
        <n v="70710"/>
        <n v="90100"/>
        <n v="190500"/>
        <n v="191100"/>
        <n v="191400"/>
        <n v="120300"/>
        <n v="120320"/>
        <n v="120400"/>
        <n v="125000"/>
        <n v="126000"/>
        <n v="682500"/>
        <n v="94800"/>
        <n v="94500"/>
        <n v="94700"/>
        <n v="95200"/>
        <n v="95220"/>
        <n v="95300"/>
        <n v="95650"/>
        <n v="160100"/>
        <n v="490110"/>
        <n v="613000"/>
        <n v="493034"/>
        <n v="493035"/>
        <n v="708300"/>
        <n v="85000"/>
        <n v="635050"/>
        <n v="696000"/>
        <n v="620020"/>
        <n v="631020"/>
        <n v="633050"/>
        <n v="634000"/>
        <n v="649000"/>
        <n v="665000"/>
        <n v="703602"/>
        <n v="620000"/>
        <n v="646000"/>
        <n v="646021"/>
        <n v="648000"/>
        <n v="643000"/>
        <n v="700500"/>
        <n v="704700"/>
        <n v="493032"/>
        <n v="701021"/>
        <n v="673000"/>
        <n v="678000"/>
        <n v="678001"/>
        <n v="702810"/>
        <n v="801000"/>
        <n v="880000"/>
        <n v="880100"/>
        <n v="880200"/>
        <n v="880300"/>
        <n v="880400"/>
        <n v="881100"/>
        <n v="880500"/>
        <n v="880250"/>
        <n v="880350"/>
        <n v="880450"/>
        <n v="880700"/>
        <n v="880750"/>
        <n v="880800"/>
        <n v="880900"/>
        <n v="880600"/>
        <n v="975109"/>
      </sharedItems>
    </cacheField>
    <cacheField name="Object" numFmtId="0">
      <sharedItems containsSemiMixedTypes="0" containsString="0" containsNumber="1" containsInteger="1" minValue="48000" maxValue="57552"/>
    </cacheField>
    <cacheField name="GL Class" numFmtId="0">
      <sharedItems count="2">
        <s v="4"/>
        <s v="5"/>
      </sharedItems>
    </cacheField>
    <cacheField name="MO" numFmtId="0">
      <sharedItems/>
    </cacheField>
    <cacheField name="Minor" numFmtId="0">
      <sharedItems/>
    </cacheField>
    <cacheField name="GL Acct + Desc" numFmtId="0">
      <sharedItems count="2166">
        <s v="11-000-00-000000-48110 : General Use - Nonprogram : Forest Reserve"/>
        <s v="11-000-00-000000-48160 : General Use - Nonprogram : Veterans Education"/>
        <s v="11-000-00-000000-48180 : General Use - Nonprogram : Pell Administration Cost"/>
        <s v="11-000-00-000000-48611 : General Use - Nonprogram : Principal Apportionment"/>
        <s v="11-000-00-000000-48613 : General Use - Nonprogram : BOG Fee Waivers Admin Fee"/>
        <s v="11-000-00-000000-48614 : General Use - Nonprogram : Apprenticeship"/>
        <s v="11-000-00-000000-48616 : General Use - Nonprogram : Part Time Faculty"/>
        <s v="11-000-00-000000-48617 : General Use - Nonprogram : Apportionment PY Adjustment"/>
        <s v="11-000-00-000000-48630 : General Use - Nonprogram : Prop 30-EPA Funds"/>
        <s v="11-000-00-000000-48668 : General Use - Nonprogram : Full Time Faculty Hiring"/>
        <s v="11-000-00-000000-48670 : General Use - Nonprogram : HOPTR"/>
        <s v="11-000-00-000000-48681 : General Use - Nonprogram : State Mandated Costs"/>
        <s v="11-000-00-000000-48811 : General Use - Nonprogram : Property Taxes - Secured"/>
        <s v="11-000-00-000000-48812 : General Use - Nonprogram : Property Taxes - Unsecured"/>
        <s v="11-000-00-000000-48813 : General Use - Nonprogram : Property Taxes - Prior Year"/>
        <s v="11-000-00-000000-48814 : General Use - Nonprogram : Property Taxes - Supplemental"/>
        <s v="11-000-00-000000-48817 : General Use - Nonprogram : Education Revenue Augmentation Fund"/>
        <s v="11-000-00-000000-48818 : General Use - Nonprogram : RDA/RPTTF Pass-Through"/>
        <s v="11-000-00-000000-48819 : General Use - Nonprogram : RDA/RPTTF Residual PTAX"/>
        <s v="11-000-00-000000-48860 : General Use - Nonprogram : Interest Income"/>
        <s v="11-000-00-000000-48872 : General Use - Nonprogram : Planetarium"/>
        <s v="11-000-00-000000-48874 : General Use - Nonprogram : Enrollment Fees"/>
        <s v="11-000-00-000000-48879 : General Use - Nonprogram : Transcript Fees"/>
        <s v="11-000-00-000000-48880 : General Use - Nonprogram : Non-resident Tuition"/>
        <s v="11-000-00-000000-48890 : General Use - Nonprogram : Other Local Income "/>
        <s v="11-000-00-000000-48892 : General Use - Nonprogram : Community Use of Facilities"/>
        <s v="11-000-00-000000-48980 : General Use - Nonprogram : Interfund Transfer-In"/>
        <s v="11-000-00-677010-48887 : COVID-19 : Enrollment Fees - Contra Acct."/>
        <s v="11-100-00-661000-51205 : Planning &amp; Policy Making : Academic Nonteaching President"/>
        <s v="11-100-00-661000-52120 : Planning &amp; Policy Making : Classified Confidential"/>
        <s v="11-100-00-661000-52300 : Planning &amp; Policy Making : Classified Overtime"/>
        <s v="11-100-00-661000-53120 : Planning &amp; Policy Making : STRS Nonteaching"/>
        <s v="11-100-00-661000-53220 : Planning &amp; Policy Making : PERS Nonteaching"/>
        <s v="11-100-00-661000-53320 : Planning &amp; Policy Making : OASDHI (FICA) Nonteaching"/>
        <s v="11-100-00-661000-53340 : Planning &amp; Policy Making : Medicare Nonteaching"/>
        <s v="11-100-00-661000-53420 : Planning &amp; Policy Making : H &amp; W Nonteaching"/>
        <s v="11-100-00-661000-53520 : Planning &amp; Policy Making : SUI Nonteaching"/>
        <s v="11-100-00-661000-53620 : Planning &amp; Policy Making : WC Nonteaching"/>
        <s v="11-100-00-661000-53902 : Planning &amp; Policy Making : Term Life Insurance - Crown"/>
        <s v="11-100-00-661000-53920 : Planning &amp; Policy Making : Other Benefit-Non Teaching"/>
        <s v="11-100-00-661000-54210 : Planning &amp; Policy Making : Purchases - Food"/>
        <s v="11-100-00-661000-54300 : Planning &amp; Policy Making : Supplies &amp; Materials"/>
        <s v="11-100-00-661000-55100 : Planning &amp; Policy Making : Personal Service Contract - 1099"/>
        <s v="11-100-00-661000-55105 : Planning &amp; Policy Making : Contract Services"/>
        <s v="11-100-00-661000-55200 : Planning &amp; Policy Making : Travel &amp; Conference"/>
        <s v="11-100-00-661000-55300 : Planning &amp; Policy Making : Memberships"/>
        <s v="11-100-00-661000-55550 : Planning &amp; Policy Making : Telephone Service"/>
        <s v="11-100-00-661000-55560 : Planning &amp; Policy Making : Water Service"/>
        <s v="11-100-00-661000-55630 : Planning &amp; Policy Making : Printing &amp; Duplicating - Inhouse"/>
        <s v="11-100-00-661000-55635 : Planning &amp; Policy Making : Printing Services - Vendor"/>
        <s v="11-100-00-661000-55800 : Planning &amp; Policy Making : Other Costs"/>
        <s v="11-100-00-661100-55300 : Accreditation : Memberships"/>
        <s v="11-100-00-662000-52130 : Board of Trustees : Classified Management"/>
        <s v="11-100-00-662000-53220 : Board of Trustees : PERS Nonteaching"/>
        <s v="11-100-00-662000-53320 : Board of Trustees : OASDHI (FICA) Nonteaching"/>
        <s v="11-100-00-662000-53340 : Board of Trustees : Medicare Nonteaching"/>
        <s v="11-100-00-662000-53420 : Board of Trustees : H &amp; W Nonteaching"/>
        <s v="11-100-00-662000-53430 : Board of Trustees : Trustee Benefits"/>
        <s v="11-100-00-662000-53520 : Board of Trustees : SUI Nonteaching"/>
        <s v="11-100-00-662000-53620 : Board of Trustees : WC Nonteaching"/>
        <s v="11-100-00-662000-54210 : Board of Trustees : Purchases - Food"/>
        <s v="11-100-00-662000-54300 : Board of Trustees : Supplies &amp; Materials"/>
        <s v="11-100-00-662000-55200 : Board of Trustees : Travel &amp; Conference"/>
        <s v="11-100-00-662000-55300 : Board of Trustees : Memberships"/>
        <s v="11-100-00-662000-55710 : Board of Trustees : Elections"/>
        <s v="11-100-00-662000-55800 : Board of Trustees : Other Costs"/>
        <s v="11-100-00-662000-57552 : Board of Trustees : Student Travel/Workshps/Meals"/>
        <s v="11-100-00-671020-55105 : Institutional Advancement : Contract Services"/>
        <s v="11-100-00-675020-55200 : Academic Senate : Travel &amp; Conference"/>
        <s v="11-100-00-675020-55300 : Academic Senate : Memberships"/>
        <s v="11-100-00-675020-55630 : Academic Senate : Printing &amp; Duplicating - Inhouse"/>
        <s v="11-100-00-680500-51205 : Community Information : Academic Nonteaching President"/>
        <s v="11-100-00-680500-52120 : Community Information : Classified Confidential"/>
        <s v="11-100-00-680500-52300 : Community Information : Classified Overtime"/>
        <s v="11-100-00-680500-53120 : Community Information : STRS Nonteaching"/>
        <s v="11-100-00-680500-53220 : Community Information : PERS Nonteaching"/>
        <s v="11-100-00-680500-53320 : Community Information : OASDHI (FICA) Nonteaching"/>
        <s v="11-100-00-680500-53340 : Community Information : Medicare Nonteaching"/>
        <s v="11-100-00-680500-53420 : Community Information : H &amp; W Nonteaching"/>
        <s v="11-100-00-680500-53520 : Community Information : SUI Nonteaching"/>
        <s v="11-100-00-680500-53620 : Community Information : WC Nonteaching"/>
        <s v="11-100-00-680500-53902 : Community Information : Term Life Insurance - Crown"/>
        <s v="11-100-00-680500-53920 : Community Information : Other Benefit-Non Teaching"/>
        <s v="11-100-00-680500-55550 : Community Information : Telephone Service"/>
        <s v="11-100-00-680500-55630 : Community Information : Printing &amp; Duplicating - Inhouse"/>
        <s v="11-100-00-682000-52120 : Workforce &amp; Community Development : Classified Confidential"/>
        <s v="11-100-00-682000-52300 : Workforce &amp; Community Development : Classified Overtime"/>
        <s v="11-100-00-682000-53220 : Workforce &amp; Community Development : PERS Nonteaching"/>
        <s v="11-100-00-682000-53320 : Workforce &amp; Community Development : OASDHI (FICA) Nonteaching"/>
        <s v="11-100-00-682000-53340 : Workforce &amp; Community Development : Medicare Nonteaching"/>
        <s v="11-100-00-682000-53420 : Workforce &amp; Community Development : H &amp; W Nonteaching"/>
        <s v="11-100-00-682000-53520 : Workforce &amp; Community Development : SUI Nonteaching"/>
        <s v="11-100-00-682000-53620 : Workforce &amp; Community Development : WC Nonteaching"/>
        <s v="11-100-00-682000-53920 : Workforce &amp; Community Development : Other Benefit-Non Teaching"/>
        <s v="11-100-00-682000-55630 : Workforce &amp; Community Development : Printing &amp; Duplicating - Inhouse"/>
        <s v="11-100-00-684000-51205 : Community Relations &amp; Develop. : Academic Nonteaching President"/>
        <s v="11-100-00-684000-52300 : Community Relations &amp; Develop. : Classified Overtime"/>
        <s v="11-100-00-684000-53120 : Community Relations &amp; Develop. : STRS Nonteaching"/>
        <s v="11-100-00-684000-53220 : Community Relations &amp; Develop. : PERS Nonteaching"/>
        <s v="11-100-00-684000-53320 : Community Relations &amp; Develop. : OASDHI (FICA) Nonteaching"/>
        <s v="11-100-00-684000-53340 : Community Relations &amp; Develop. : Medicare Nonteaching"/>
        <s v="11-100-00-684000-53420 : Community Relations &amp; Develop. : H &amp; W Nonteaching"/>
        <s v="11-100-00-684000-53520 : Community Relations &amp; Develop. : SUI Nonteaching"/>
        <s v="11-100-00-684000-53620 : Community Relations &amp; Develop. : WC Nonteaching"/>
        <s v="11-100-00-684000-53902 : Community Relations &amp; Develop. : Term Life Insurance - Crown"/>
        <s v="11-100-00-684000-55550 : Community Relations &amp; Develop. : Telephone Service"/>
        <s v="11-100-00-684000-55630 : Community Relations &amp; Develop. : Printing &amp; Duplicating - Inhouse"/>
        <s v="11-120-02-010100-51311 : Agriculture Technology : Academic Teaching PT"/>
        <s v="11-120-02-010100-53310 : Agriculture Technology : OASDHI (FICA) Teaching"/>
        <s v="11-120-02-010100-53330 : Agriculture Technology : Medicare Teaching"/>
        <s v="11-120-02-010100-53510 : Agriculture Technology : SUI Teaching"/>
        <s v="11-120-02-010100-53610 : Agriculture Technology : WC Teaching"/>
        <s v="11-120-02-040110-51311 : Biology : Academic Teaching PT"/>
        <s v="11-120-02-040110-53110 : Biology : STRS Teaching"/>
        <s v="11-120-02-040110-53310 : Biology : OASDHI (FICA) Teaching"/>
        <s v="11-120-02-040110-53330 : Biology : Medicare Teaching"/>
        <s v="11-120-02-040110-53510 : Biology : SUI Teaching"/>
        <s v="11-120-02-040110-53610 : Biology : WC Teaching"/>
        <s v="11-120-02-050000-51310 : Business Education : Academic Teaching NIC"/>
        <s v="11-120-02-050000-51311 : Business Education : Academic Teaching PT"/>
        <s v="11-120-02-050000-53110 : Business Education : STRS Teaching"/>
        <s v="11-120-02-050000-53330 : Business Education : Medicare Teaching"/>
        <s v="11-120-02-050000-53510 : Business Education : SUI Teaching"/>
        <s v="11-120-02-050000-53610 : Business Education : WC Teaching"/>
        <s v="11-120-02-070100-51311 : Computer &amp; Information Science : Academic Teaching PT"/>
        <s v="11-120-02-070100-53110 : Computer &amp; Information Science : STRS Teaching"/>
        <s v="11-120-02-070100-53330 : Computer &amp; Information Science : Medicare Teaching"/>
        <s v="11-120-02-070100-53510 : Computer &amp; Information Science : SUI Teaching"/>
        <s v="11-120-02-070100-53610 : Computer &amp; Information Science : WC Teaching"/>
        <s v="11-120-02-100200-51311 : Art : Academic Teaching PT"/>
        <s v="11-120-02-100200-53110 : Art : STRS Teaching"/>
        <s v="11-120-02-100200-53330 : Art : Medicare Teaching"/>
        <s v="11-120-02-100200-53510 : Art : SUI Teaching"/>
        <s v="11-120-02-100200-53610 : Art : WC Teaching"/>
        <s v="11-120-02-100400-51311 : Music : Academic Teaching PT"/>
        <s v="11-120-02-100400-53110 : Music : STRS Teaching"/>
        <s v="11-120-02-100400-53330 : Music : Medicare Teaching"/>
        <s v="11-120-02-100400-53510 : Music : SUI Teaching"/>
        <s v="11-120-02-100400-53610 : Music : WC Teaching"/>
        <s v="11-120-02-101100-51311 : Photography : Academic Teaching PT"/>
        <s v="11-120-02-101100-53110 : Photography : STRS Teaching"/>
        <s v="11-120-02-101100-53330 : Photography : Medicare Teaching"/>
        <s v="11-120-02-101100-53510 : Photography : SUI Teaching"/>
        <s v="11-120-02-101100-53610 : Photography : WC Teaching"/>
        <s v="11-120-02-110500-51311 : Spanish : Academic Teaching PT"/>
        <s v="11-120-02-110500-53110 : Spanish : STRS Teaching"/>
        <s v="11-120-02-110500-53330 : Spanish : Medicare Teaching"/>
        <s v="11-120-02-110500-53510 : Spanish : SUI Teaching"/>
        <s v="11-120-02-110500-53610 : Spanish : WC Teaching"/>
        <s v="11-120-02-130500-51311 : Early Childhood Education : Academic Teaching PT"/>
        <s v="11-120-02-130500-53110 : Early Childhood Education : STRS Teaching"/>
        <s v="11-120-02-130500-53310 : Early Childhood Education : OASDHI (FICA) Teaching"/>
        <s v="11-120-02-130500-53330 : Early Childhood Education : Medicare Teaching"/>
        <s v="11-120-02-130500-53510 : Early Childhood Education : SUI Teaching"/>
        <s v="11-120-02-130500-53610 : Early Childhood Education : WC Teaching"/>
        <s v="11-120-02-150100-51311 : English : Academic Teaching PT"/>
        <s v="11-120-02-150100-53110 : English : STRS Teaching"/>
        <s v="11-120-02-150100-53310 : English : OASDHI (FICA) Teaching"/>
        <s v="11-120-02-150100-53330 : English : Medicare Teaching"/>
        <s v="11-120-02-150100-53510 : English : SUI Teaching"/>
        <s v="11-120-02-150100-53610 : English : WC Teaching"/>
        <s v="11-120-02-150100-55630 : English : Printing &amp; Duplicating - Inhouse"/>
        <s v="11-120-02-150600-51311 : Speech : Academic Teaching PT"/>
        <s v="11-120-02-150600-53110 : Speech : STRS Teaching"/>
        <s v="11-120-02-150600-53330 : Speech : Medicare Teaching"/>
        <s v="11-120-02-150600-53510 : Speech : SUI Teaching"/>
        <s v="11-120-02-150600-53610 : Speech : WC Teaching"/>
        <s v="11-120-02-150600-55630 : Speech : Printing &amp; Duplicating - Inhouse"/>
        <s v="11-120-02-170100-51311 : Mathematics : Academic Teaching PT"/>
        <s v="11-120-02-170100-53110 : Mathematics : STRS Teaching"/>
        <s v="11-120-02-170100-53330 : Mathematics : Medicare Teaching"/>
        <s v="11-120-02-170100-53510 : Mathematics : SUI Teaching"/>
        <s v="11-120-02-170100-53610 : Mathematics : WC Teaching"/>
        <s v="11-120-02-170100-55630 : Mathematics : Printing &amp; Duplicating - Inhouse"/>
        <s v="11-120-02-190200-51311 : Physics : Academic Teaching PT"/>
        <s v="11-120-02-190200-53110 : Physics : STRS Teaching"/>
        <s v="11-120-02-190200-53330 : Physics : Medicare Teaching"/>
        <s v="11-120-02-190200-53510 : Physics : SUI Teaching"/>
        <s v="11-120-02-190200-53610 : Physics : WC Teaching"/>
        <s v="11-120-02-190200-55630 : Physics : Printing &amp; Duplicating - Inhouse"/>
        <s v="11-120-02-191900-51311 : Oceanography : Academic Teaching PT"/>
        <s v="11-120-02-191900-53110 : Oceanography : STRS Teaching"/>
        <s v="11-120-02-191900-53330 : Oceanography : Medicare Teaching"/>
        <s v="11-120-02-191900-53510 : Oceanography : SUI Teaching"/>
        <s v="11-120-02-191900-53610 : Oceanography : WC Teaching"/>
        <s v="11-120-02-200100-51311 : Psychology : Academic Teaching PT"/>
        <s v="11-120-02-200100-53110 : Psychology : STRS Teaching"/>
        <s v="11-120-02-200100-53310 : Psychology : OASDHI (FICA) Teaching"/>
        <s v="11-120-02-200100-53330 : Psychology : Medicare Teaching"/>
        <s v="11-120-02-200100-53510 : Psychology : SUI Teaching"/>
        <s v="11-120-02-200100-53610 : Psychology : WC Teaching"/>
        <s v="11-120-02-210500-51311 : Administration of Justice : Academic Teaching PT"/>
        <s v="11-120-02-210500-53110 : Administration of Justice : STRS Teaching"/>
        <s v="11-120-02-210500-53310 : Administration of Justice : OASDHI (FICA) Teaching"/>
        <s v="11-120-02-210500-53330 : Administration of Justice : Medicare Teaching"/>
        <s v="11-120-02-210500-53510 : Administration of Justice : SUI Teaching"/>
        <s v="11-120-02-210500-53610 : Administration of Justice : WC Teaching"/>
        <s v="11-120-02-210500-55630 : Administration of Justice : Printing &amp; Duplicating - Inhouse"/>
        <s v="11-120-02-220200-51311 : Anthropology : Academic Teaching PT"/>
        <s v="11-120-02-220200-53110 : Anthropology : STRS Teaching"/>
        <s v="11-120-02-220200-53330 : Anthropology : Medicare Teaching"/>
        <s v="11-120-02-220200-53510 : Anthropology : SUI Teaching"/>
        <s v="11-120-02-220200-53610 : Anthropology : WC Teaching"/>
        <s v="11-120-02-220200-55630 : Anthropology : Printing &amp; Duplicating - Inhouse"/>
        <s v="11-120-02-220210-51311 : Ethnic Studies : Academic Teaching PT"/>
        <s v="11-120-02-220210-53110 : Ethnic Studies : STRS Teaching"/>
        <s v="11-120-02-220210-53330 : Ethnic Studies : Medicare Teaching"/>
        <s v="11-120-02-220210-53510 : Ethnic Studies : SUI Teaching"/>
        <s v="11-120-02-220210-53610 : Ethnic Studies : WC Teaching"/>
        <s v="11-120-02-220500-51311 : History : Academic Teaching PT"/>
        <s v="11-120-02-220500-53110 : History : STRS Teaching"/>
        <s v="11-120-02-220500-53330 : History : Medicare Teaching"/>
        <s v="11-120-02-220500-53510 : History : SUI Teaching"/>
        <s v="11-120-02-220500-53610 : History : WC Teaching"/>
        <s v="11-120-02-220500-55630 : History : Printing &amp; Duplicating - Inhouse"/>
        <s v="11-120-02-220600-51311 : Geography : Academic Teaching PT"/>
        <s v="11-120-02-220600-53110 : Geography : STRS Teaching"/>
        <s v="11-120-02-220600-53330 : Geography : Medicare Teaching"/>
        <s v="11-120-02-220600-53510 : Geography : SUI Teaching"/>
        <s v="11-120-02-220600-53610 : Geography : WC Teaching"/>
        <s v="11-120-02-220700-51311 : Political Science : Academic Teaching PT"/>
        <s v="11-120-02-220700-53110 : Political Science : STRS Teaching"/>
        <s v="11-120-02-220700-53330 : Political Science : Medicare Teaching"/>
        <s v="11-120-02-220700-53510 : Political Science : SUI Teaching"/>
        <s v="11-120-02-220700-53610 : Political Science : WC Teaching"/>
        <s v="11-120-02-220700-55630 : Political Science : Printing &amp; Duplicating - Inhouse"/>
        <s v="11-120-02-220800-51311 : Sociology : Academic Teaching PT"/>
        <s v="11-120-02-220800-53110 : Sociology : STRS Teaching"/>
        <s v="11-120-02-220800-53330 : Sociology : Medicare Teaching"/>
        <s v="11-120-02-220800-53510 : Sociology : SUI Teaching"/>
        <s v="11-120-02-220800-53610 : Sociology : WC Teaching"/>
        <s v="11-120-02-220800-55630 : Sociology : Printing &amp; Duplicating - Inhouse"/>
        <s v="11-120-02-493010-51311 : Counseling Instruction : Academic Teaching PT"/>
        <s v="11-120-02-493010-53110 : Counseling Instruction : STRS Teaching"/>
        <s v="11-120-02-493010-53330 : Counseling Instruction : Medicare Teaching"/>
        <s v="11-120-02-493010-53510 : Counseling Instruction : SUI Teaching"/>
        <s v="11-120-02-493010-53610 : Counseling Instruction : WC Teaching"/>
        <s v="11-120-02-493080-51311 : ESL : Academic Teaching PT"/>
        <s v="11-120-02-493080-53110 : ESL : STRS Teaching"/>
        <s v="11-120-02-493080-53330 : ESL : Medicare Teaching"/>
        <s v="11-120-02-493080-53510 : ESL : SUI Teaching"/>
        <s v="11-120-02-493080-53610 : ESL : WC Teaching"/>
        <s v="11-120-02-601000-51210 : Academic Administration : Academic Nonteaching Management"/>
        <s v="11-120-02-601000-51412 : Academic Administration : Acad Nonteach Special Projects"/>
        <s v="11-120-02-601000-52105 : Academic Administration : Classified CSEA"/>
        <s v="11-120-02-601000-52300 : Academic Administration : Classified Overtime"/>
        <s v="11-120-02-601000-53120 : Academic Administration : STRS Nonteaching"/>
        <s v="11-120-02-601000-53220 : Academic Administration : PERS Nonteaching"/>
        <s v="11-120-02-601000-53320 : Academic Administration : OASDHI (FICA) Nonteaching"/>
        <s v="11-120-02-601000-53340 : Academic Administration : Medicare Nonteaching"/>
        <s v="11-120-02-601000-53420 : Academic Administration : H &amp; W Nonteaching"/>
        <s v="11-120-02-601000-53520 : Academic Administration : SUI Nonteaching"/>
        <s v="11-120-02-601000-53620 : Academic Administration : WC Nonteaching"/>
        <s v="11-120-02-601000-53920 : Academic Administration : Other Benefit-Non Teaching"/>
        <s v="11-120-02-601000-54300 : Academic Administration : Supplies &amp; Materials"/>
        <s v="11-120-02-601000-55125 : Academic Administration : Training &amp; Seminars"/>
        <s v="11-120-02-601000-55200 : Academic Administration : Travel &amp; Conference"/>
        <s v="11-120-02-601000-55210 : Academic Administration : Instructional Mileage"/>
        <s v="11-120-02-601000-55630 : Academic Administration : Printing &amp; Duplicating - Inhouse"/>
        <s v="11-120-02-601000-55650 : Academic Administration : Maintenance Agreement"/>
        <s v="11-120-02-601000-55830 : Academic Administration : Advertising Expense"/>
        <s v="11-120-02-601000-56400 : Academic Administration : Cap Equip - $200 to $4,999"/>
        <s v="11-120-02-612000-51411 : Library Services : Academic Nonteaching PT"/>
        <s v="11-120-02-612000-53120 : Library Services : STRS Nonteaching"/>
        <s v="11-120-02-612000-53340 : Library Services : Medicare Nonteaching"/>
        <s v="11-120-02-612000-53520 : Library Services : SUI Nonteaching"/>
        <s v="11-120-02-612000-53620 : Library Services : WC Nonteaching"/>
        <s v="11-120-02-612000-55630 : Library Services : Printing &amp; Duplicating - Inhouse"/>
        <s v="11-120-02-631000-51311 : Counseling &amp; Guidance : Academic Teaching PT"/>
        <s v="11-120-02-631000-51411 : Counseling &amp; Guidance : Academic Nonteaching PT"/>
        <s v="11-120-02-631000-53110 : Counseling &amp; Guidance : STRS Teaching"/>
        <s v="11-120-02-631000-53120 : Counseling &amp; Guidance : STRS Nonteaching"/>
        <s v="11-120-02-631000-53330 : Counseling &amp; Guidance : Medicare Teaching"/>
        <s v="11-120-02-631000-53340 : Counseling &amp; Guidance : Medicare Nonteaching"/>
        <s v="11-120-02-631000-53510 : Counseling &amp; Guidance : SUI Teaching"/>
        <s v="11-120-02-631000-53520 : Counseling &amp; Guidance : SUI Nonteaching"/>
        <s v="11-120-02-631000-53610 : Counseling &amp; Guidance : WC Teaching"/>
        <s v="11-120-02-631000-53620 : Counseling &amp; Guidance : WC Nonteaching"/>
        <s v="11-120-02-631000-55630 : Counseling &amp; Guidance : Printing &amp; Duplicating - Inhouse"/>
        <s v="11-120-02-657000-55530 : Utilities : Electric Utility"/>
        <s v="11-120-02-657000-55540 : Utilities : Gas Utility"/>
        <s v="11-120-02-657000-55560 : Utilities : Water Service"/>
        <s v="11-120-02-657000-55580 : Utilities : Trash Collection Service"/>
        <s v="11-120-02-700400-55630 : SSSP : Printing &amp; Duplicating - Inhouse"/>
        <s v="11-140-00-602003-51412 : Cultural Curriculum Audit : Acad Nonteach Special Projects"/>
        <s v="11-140-00-602003-53120 : Cultural Curriculum Audit : STRS Nonteaching"/>
        <s v="11-140-00-602003-53340 : Cultural Curriculum Audit : Medicare Nonteaching"/>
        <s v="11-140-00-602003-53520 : Cultural Curriculum Audit : SUI Nonteaching"/>
        <s v="11-140-00-602003-53620 : Cultural Curriculum Audit : WC Nonteaching"/>
        <s v="11-140-00-602003-55200 : Cultural Curriculum Audit : Travel &amp; Conference"/>
        <s v="11-140-00-671020-55630 : Institutional Advancement : Printing &amp; Duplicating - Inhouse"/>
        <s v="11-140-00-684000-52120 : Community Relations &amp; Develop. : Classified Confidential"/>
        <s v="11-140-00-684000-52130 : Community Relations &amp; Develop. : Classified Management"/>
        <s v="11-140-00-684000-52350 : Community Relations &amp; Develop. : Classified Student Dist Non-IA PT"/>
        <s v="11-140-00-684000-53220 : Community Relations &amp; Develop. : PERS Nonteaching"/>
        <s v="11-140-00-684000-53320 : Community Relations &amp; Develop. : OASDHI (FICA) Nonteaching"/>
        <s v="11-140-00-684000-53340 : Community Relations &amp; Develop. : Medicare Nonteaching"/>
        <s v="11-140-00-684000-53420 : Community Relations &amp; Develop. : H &amp; W Nonteaching"/>
        <s v="11-140-00-684000-53520 : Community Relations &amp; Develop. : SUI Nonteaching"/>
        <s v="11-140-00-684000-53620 : Community Relations &amp; Develop. : WC Nonteaching"/>
        <s v="11-140-00-684000-54300 : Community Relations &amp; Develop. : Supplies &amp; Materials"/>
        <s v="11-140-00-684000-55100 : Community Relations &amp; Develop. : Personal Service Contract - 1099"/>
        <s v="11-140-00-684000-55105 : Community Relations &amp; Develop. : Contract Services"/>
        <s v="11-140-00-684000-55200 : Community Relations &amp; Develop. : Travel &amp; Conference"/>
        <s v="11-140-00-684000-55300 : Community Relations &amp; Develop. : Memberships"/>
        <s v="11-140-00-684000-55630 : Community Relations &amp; Develop. : Printing &amp; Duplicating - Inhouse"/>
        <s v="11-140-00-684000-55635 : Community Relations &amp; Develop. : Printing Services - Vendor"/>
        <s v="11-140-00-684000-55810 : Community Relations &amp; Develop. : Bulk Mail"/>
        <s v="11-140-00-684000-55820 : Community Relations &amp; Develop. : US Postage"/>
        <s v="11-140-00-684000-55830 : Community Relations &amp; Develop. : Advertising Expense"/>
        <s v="11-140-00-684000-56400 : Community Relations &amp; Develop. : Cap Equip - $200 to $4,999"/>
        <s v="11-150-00-663000-51210 : Research Office : Academic Nonteaching Management"/>
        <s v="11-150-00-663000-51412 : Research Office : Acad Nonteach Special Projects"/>
        <s v="11-150-00-663000-52105 : Research Office : Classified CSEA"/>
        <s v="11-150-00-663000-52130 : Research Office : Classified Management"/>
        <s v="11-150-00-663000-53120 : Research Office : STRS Nonteaching"/>
        <s v="11-150-00-663000-53220 : Research Office : PERS Nonteaching"/>
        <s v="11-150-00-663000-53320 : Research Office : OASDHI (FICA) Nonteaching"/>
        <s v="11-150-00-663000-53340 : Research Office : Medicare Nonteaching"/>
        <s v="11-150-00-663000-53420 : Research Office : H &amp; W Nonteaching"/>
        <s v="11-150-00-663000-53520 : Research Office : SUI Nonteaching"/>
        <s v="11-150-00-663000-53620 : Research Office : WC Nonteaching"/>
        <s v="11-150-00-663000-53920 : Research Office : Other Benefit-Non Teaching"/>
        <s v="11-150-00-663000-54300 : Research Office : Supplies &amp; Materials"/>
        <s v="11-150-00-663000-55200 : Research Office : Travel &amp; Conference"/>
        <s v="11-150-00-663000-55300 : Research Office : Memberships"/>
        <s v="11-150-00-663000-55309 : Research Office : Subscriptions"/>
        <s v="11-150-00-663000-55610 : Research Office : Software licensing"/>
        <s v="11-150-00-663000-55630 : Research Office : Printing &amp; Duplicating - Inhouse"/>
        <s v="11-200-00-590000-53410 : Retired Staff - Instructional : H &amp; W Teaching"/>
        <s v="11-200-00-590000-53411 : Retired Staff - Instructional : Medical Benefits Teaching Retirees"/>
        <s v="11-200-00-672020-53420 : Fiscal Operations : H &amp; W Nonteaching"/>
        <s v="11-200-00-674000-53420 : Retired Staff - Noninstructional : H &amp; W Nonteaching"/>
        <s v="11-200-00-674000-53421 : Retired Staff - Noninstructional : Medical Benefits Nonteaching Retirees"/>
        <s v="11-200-00-675000-55125 : Staff Development : Training &amp; Seminars"/>
        <s v="11-200-00-677000-55821 : Purchasing/Receiving : Commercial Parcel Service"/>
        <s v="11-200-00-677010-55555 : COVID-19 : Hotspot Service"/>
        <s v="11-200-00-677100-54300 : Campus Security : Supplies &amp; Materials"/>
        <s v="11-200-00-677100-55105 : Campus Security : Contract Services"/>
        <s v="11-200-00-677100-55630 : Campus Security : Printing &amp; Duplicating - Inhouse"/>
        <s v="11-200-00-695000-55800 : Parking Services : Other Costs"/>
        <s v="11-200-04-657000-55530 : Utilities : Electric Utility"/>
        <s v="11-200-04-657000-55540 : Utilities : Gas Utility"/>
        <s v="11-210-00-657000-55530 : Utilities : Electric Utility"/>
        <s v="11-210-00-657000-55540 : Utilities : Gas Utility"/>
        <s v="11-210-00-657000-55560 : Utilities : Water Service"/>
        <s v="11-210-00-657000-55570 : Utilities : Sewer Service"/>
        <s v="11-210-00-657000-55575 : Utilities : Hazardous Waste Disposal"/>
        <s v="11-210-00-657000-55580 : Utilities : Trash Collection Service"/>
        <s v="11-210-00-672010-52105 : Business Office : Classified CSEA"/>
        <s v="11-210-00-672010-52115 : Business Office : Classified Supervisory"/>
        <s v="11-210-00-672010-52120 : Business Office : Classified Confidential"/>
        <s v="11-210-00-672010-52130 : Business Office : Classified Management"/>
        <s v="11-210-00-672010-52300 : Business Office : Classified Overtime"/>
        <s v="11-210-00-672010-52350 : Business Office : Classified Student Dist Non-IA PT"/>
        <s v="11-210-00-672010-52360 : Business Office : Class Nonstu NonIA PT Prof Exp"/>
        <s v="11-210-00-672010-53220 : Business Office : PERS Nonteaching"/>
        <s v="11-210-00-672010-53320 : Business Office : OASDHI (FICA) Nonteaching"/>
        <s v="11-210-00-672010-53340 : Business Office : Medicare Nonteaching"/>
        <s v="11-210-00-672010-53420 : Business Office : H &amp; W Nonteaching"/>
        <s v="11-210-00-672010-53520 : Business Office : SUI Nonteaching"/>
        <s v="11-210-00-672010-53620 : Business Office : WC Nonteaching"/>
        <s v="11-210-00-672010-53904 : Business Office : Benefits Clearing Account"/>
        <s v="11-210-00-672010-53920 : Business Office : Other Benefit-Non Teaching"/>
        <s v="11-210-00-672010-54300 : Business Office : Supplies &amp; Materials"/>
        <s v="11-210-00-672010-55105 : Business Office : Contract Services"/>
        <s v="11-210-00-672010-55200 : Business Office : Travel &amp; Conference"/>
        <s v="11-210-00-672010-55309 : Business Office : Subscriptions"/>
        <s v="11-210-00-672010-55630 : Business Office : Printing &amp; Duplicating - Inhouse"/>
        <s v="11-210-00-672010-55800 : Business Office : Other Costs"/>
        <s v="11-210-00-672010-56400 : Business Office : Cap Equip - $200 to $4,999"/>
        <s v="11-210-00-672020-52130 : Fiscal Operations : Classified Management"/>
        <s v="11-210-00-672020-53220 : Fiscal Operations : PERS Nonteaching"/>
        <s v="11-210-00-672020-53320 : Fiscal Operations : OASDHI (FICA) Nonteaching"/>
        <s v="11-210-00-672020-53340 : Fiscal Operations : Medicare Nonteaching"/>
        <s v="11-210-00-672020-53420 : Fiscal Operations : H &amp; W Nonteaching"/>
        <s v="11-210-00-672020-53501 : Fiscal Operations : Unemployment Insurance Local Experience Charge"/>
        <s v="11-210-00-672020-53520 : Fiscal Operations : SUI Nonteaching"/>
        <s v="11-210-00-672020-53620 : Fiscal Operations : WC Nonteaching"/>
        <s v="11-210-00-672020-53900 : Fiscal Operations : Retiree Benefits Other"/>
        <s v="11-210-00-672020-53904 : Fiscal Operations : Benefits Clearing Account"/>
        <s v="11-210-00-672020-54300 : Fiscal Operations : Supplies &amp; Materials"/>
        <s v="11-210-00-672020-55105 : Fiscal Operations : Contract Services"/>
        <s v="11-210-00-672020-55125 : Fiscal Operations : Training &amp; Seminars"/>
        <s v="11-210-00-672020-55300 : Fiscal Operations : Memberships"/>
        <s v="11-210-00-672020-55400 : Fiscal Operations : Insurance"/>
        <s v="11-210-00-672020-55550 : Fiscal Operations : Telephone Service"/>
        <s v="11-210-00-672020-55600 : Fiscal Operations : Rents &amp; Leases"/>
        <s v="11-210-00-672020-55635 : Fiscal Operations : Printing Services - Vendor"/>
        <s v="11-210-00-672020-55650 : Fiscal Operations : Maintenance Agreement"/>
        <s v="11-210-00-672020-55663 : Fiscal Operations : Bank Fees"/>
        <s v="11-210-00-672020-55700 : Fiscal Operations : Legal &amp; Audit Expenses"/>
        <s v="11-210-00-672020-55800 : Fiscal Operations : Other Costs"/>
        <s v="11-210-00-672020-55820 : Fiscal Operations : US Postage"/>
        <s v="11-210-00-672020-55835 : Fiscal Operations : Classified Newspaper Ads"/>
        <s v="11-210-00-672020-55861 : Fiscal Operations : Credit Card Fees "/>
        <s v="11-210-00-672020-55862 : Fiscal Operations : Credit Card Holding"/>
        <s v="11-210-00-672020-57300 : Fiscal Operations : Interfund Transfer"/>
        <s v="11-210-00-672020-57350 : Fiscal Operations : Tsf Indirect Costs-Interfund"/>
        <s v="11-210-00-672020-57351 : Fiscal Operations : Other Admin Costs"/>
        <s v="11-210-00-672040-52105 : Grants Administration : Classified CSEA"/>
        <s v="11-210-00-672040-52130 : Grants Administration : Classified Management"/>
        <s v="11-210-00-672040-52300 : Grants Administration : Classified Overtime"/>
        <s v="11-210-00-672040-53220 : Grants Administration : PERS Nonteaching"/>
        <s v="11-210-00-672040-53320 : Grants Administration : OASDHI (FICA) Nonteaching"/>
        <s v="11-210-00-672040-53340 : Grants Administration : Medicare Nonteaching"/>
        <s v="11-210-00-672040-53420 : Grants Administration : H &amp; W Nonteaching"/>
        <s v="11-210-00-672040-53520 : Grants Administration : SUI Nonteaching"/>
        <s v="11-210-00-672040-53620 : Grants Administration : WC Nonteaching"/>
        <s v="11-210-00-672040-53920 : Grants Administration : Other Benefit-Non Teaching"/>
        <s v="11-210-00-672040-55630 : Grants Administration : Printing &amp; Duplicating - Inhouse"/>
        <s v="11-210-00-677000-52105 : Purchasing/Receiving : Classified CSEA"/>
        <s v="11-210-00-677000-53220 : Purchasing/Receiving : PERS Nonteaching"/>
        <s v="11-210-00-677000-53320 : Purchasing/Receiving : OASDHI (FICA) Nonteaching"/>
        <s v="11-210-00-677000-53340 : Purchasing/Receiving : Medicare Nonteaching"/>
        <s v="11-210-00-677000-53420 : Purchasing/Receiving : H &amp; W Nonteaching"/>
        <s v="11-210-00-677000-53520 : Purchasing/Receiving : SUI Nonteaching"/>
        <s v="11-210-00-677000-53620 : Purchasing/Receiving : WC Nonteaching"/>
        <s v="11-210-00-677000-55650 : Purchasing/Receiving : Maintenance Agreement"/>
        <s v="11-210-00-677020-54300 : Emergency Management : Supplies &amp; Materials"/>
        <s v="11-210-00-677020-55200 : Emergency Management : Travel &amp; Conference"/>
        <s v="11-210-00-677020-55300 : Emergency Management : Memberships"/>
        <s v="11-210-00-677020-55550 : Emergency Management : Telephone Service"/>
        <s v="11-210-00-677020-55650 : Emergency Management : Maintenance Agreement"/>
        <s v="11-210-00-695000-55105 : Parking Services : Contract Services"/>
        <s v="11-210-00-732000-57510 : Student Aid : Student Internship"/>
        <s v="11-210-05-657000-55530 : Utilities : Electric Utility"/>
        <s v="11-215-00-677000-55630 : Purchasing/Receiving : Printing &amp; Duplicating - Inhouse"/>
        <s v="11-220-00-651000-52125 : Building Maintenance &amp; Repairs : Classified L-39"/>
        <s v="11-220-00-651000-52300 : Building Maintenance &amp; Repairs : Classified Overtime"/>
        <s v="11-220-00-651000-53220 : Building Maintenance &amp; Repairs : PERS Nonteaching"/>
        <s v="11-220-00-651000-53320 : Building Maintenance &amp; Repairs : OASDHI (FICA) Nonteaching"/>
        <s v="11-220-00-651000-53340 : Building Maintenance &amp; Repairs : Medicare Nonteaching"/>
        <s v="11-220-00-651000-53420 : Building Maintenance &amp; Repairs : H &amp; W Nonteaching"/>
        <s v="11-220-00-651000-53520 : Building Maintenance &amp; Repairs : SUI Nonteaching"/>
        <s v="11-220-00-651000-53620 : Building Maintenance &amp; Repairs : WC Nonteaching"/>
        <s v="11-220-00-651000-53920 : Building Maintenance &amp; Repairs : Other Benefit-Non Teaching"/>
        <s v="11-220-00-651000-54330 : Building Maintenance &amp; Repairs : M &amp; O General Supplies"/>
        <s v="11-220-00-651000-54335 : Building Maintenance &amp; Repairs : M &amp; O Stnry Equipment Parts"/>
        <s v="11-220-00-651000-54337 : Building Maintenance &amp; Repairs : M &amp; O Electrical Supplies"/>
        <s v="11-220-00-651000-54338 : Building Maintenance &amp; Repairs : M &amp; O Plumbing Supplies"/>
        <s v="11-220-00-651000-55630 : Building Maintenance &amp; Repairs : Printing &amp; Duplicating - Inhouse"/>
        <s v="11-220-00-651000-55650 : Building Maintenance &amp; Repairs : Maintenance Agreement"/>
        <s v="11-220-00-651000-55651 : Building Maintenance &amp; Repairs : Equipment Repairs"/>
        <s v="11-220-00-651000-56400 : Building Maintenance &amp; Repairs : Cap Equip - $200 to $4,999"/>
        <s v="11-220-00-651000-56405 : Building Maintenance &amp; Repairs : Cap Equip - $5,000 and Over"/>
        <s v="11-220-00-653000-52115 : Custodial Services : Classified Supervisory"/>
        <s v="11-220-00-653000-52125 : Custodial Services : Classified L-39"/>
        <s v="11-220-00-653000-52300 : Custodial Services : Classified Overtime"/>
        <s v="11-220-00-653000-53220 : Custodial Services : PERS Nonteaching"/>
        <s v="11-220-00-653000-53320 : Custodial Services : OASDHI (FICA) Nonteaching"/>
        <s v="11-220-00-653000-53340 : Custodial Services : Medicare Nonteaching"/>
        <s v="11-220-00-653000-53420 : Custodial Services : H &amp; W Nonteaching"/>
        <s v="11-220-00-653000-53520 : Custodial Services : SUI Nonteaching"/>
        <s v="11-220-00-653000-53620 : Custodial Services : WC Nonteaching"/>
        <s v="11-220-00-653000-53920 : Custodial Services : Other Benefit-Non Teaching"/>
        <s v="11-220-00-653000-54300 : Custodial Services : Supplies &amp; Materials"/>
        <s v="11-220-00-653000-55630 : Custodial Services : Printing &amp; Duplicating - Inhouse"/>
        <s v="11-220-00-653000-55650 : Custodial Services : Maintenance Agreement"/>
        <s v="11-220-00-655000-52125 : Grounds Maintenance &amp; Repairs : Classified L-39"/>
        <s v="11-220-00-655000-52300 : Grounds Maintenance &amp; Repairs : Classified Overtime"/>
        <s v="11-220-00-655000-53220 : Grounds Maintenance &amp; Repairs : PERS Nonteaching"/>
        <s v="11-220-00-655000-53320 : Grounds Maintenance &amp; Repairs : OASDHI (FICA) Nonteaching"/>
        <s v="11-220-00-655000-53340 : Grounds Maintenance &amp; Repairs : Medicare Nonteaching"/>
        <s v="11-220-00-655000-53420 : Grounds Maintenance &amp; Repairs : H &amp; W Nonteaching"/>
        <s v="11-220-00-655000-53520 : Grounds Maintenance &amp; Repairs : SUI Nonteaching"/>
        <s v="11-220-00-655000-53620 : Grounds Maintenance &amp; Repairs : WC Nonteaching"/>
        <s v="11-220-00-655000-53920 : Grounds Maintenance &amp; Repairs : Other Benefit-Non Teaching"/>
        <s v="11-220-00-655000-54300 : Grounds Maintenance &amp; Repairs : Supplies &amp; Materials"/>
        <s v="11-220-00-655000-54330 : Grounds Maintenance &amp; Repairs : M &amp; O General Supplies"/>
        <s v="11-220-00-655000-55630 : Grounds Maintenance &amp; Repairs : Printing &amp; Duplicating - Inhouse"/>
        <s v="11-220-00-655000-55650 : Grounds Maintenance &amp; Repairs : Maintenance Agreement"/>
        <s v="11-220-00-655000-55651 : Grounds Maintenance &amp; Repairs : Equipment Repairs"/>
        <s v="11-220-00-659010-52105 : Maintenance &amp; Operations : Classified CSEA"/>
        <s v="11-220-00-659010-52125 : Maintenance &amp; Operations : Classified L-39"/>
        <s v="11-220-00-659010-52130 : Maintenance &amp; Operations : Classified Management"/>
        <s v="11-220-00-659010-52360 : Maintenance &amp; Operations : Class Nonstu NonIA PT Prof Exp"/>
        <s v="11-220-00-659010-53220 : Maintenance &amp; Operations : PERS Nonteaching"/>
        <s v="11-220-00-659010-53320 : Maintenance &amp; Operations : OASDHI (FICA) Nonteaching"/>
        <s v="11-220-00-659010-53340 : Maintenance &amp; Operations : Medicare Nonteaching"/>
        <s v="11-220-00-659010-53420 : Maintenance &amp; Operations : H &amp; W Nonteaching"/>
        <s v="11-220-00-659010-53520 : Maintenance &amp; Operations : SUI Nonteaching"/>
        <s v="11-220-00-659010-53620 : Maintenance &amp; Operations : WC Nonteaching"/>
        <s v="11-220-00-659010-53920 : Maintenance &amp; Operations : Other Benefit-Non Teaching"/>
        <s v="11-220-00-659010-54300 : Maintenance &amp; Operations : Supplies &amp; Materials"/>
        <s v="11-220-00-659010-55105 : Maintenance &amp; Operations : Contract Services"/>
        <s v="11-220-00-659010-55550 : Maintenance &amp; Operations : Telephone Service"/>
        <s v="11-220-00-659010-55600 : Maintenance &amp; Operations : Rents &amp; Leases"/>
        <s v="11-220-00-659010-55630 : Maintenance &amp; Operations : Printing &amp; Duplicating - Inhouse"/>
        <s v="11-220-00-659010-55650 : Maintenance &amp; Operations : Maintenance Agreement"/>
        <s v="11-220-00-659010-55651 : Maintenance &amp; Operations : Equipment Repairs"/>
        <s v="11-220-00-659010-55830 : Maintenance &amp; Operations : Advertising Expense"/>
        <s v="11-220-00-659010-56216 : Maintenance &amp; Operations : Other Costs"/>
        <s v="11-220-00-659020-54300 : Safety &amp; Hazardous Materials : Supplies &amp; Materials"/>
        <s v="11-220-00-659020-55105 : Safety &amp; Hazardous Materials : Contract Services"/>
        <s v="11-220-00-659020-55575 : Safety &amp; Hazardous Materials : Hazardous Waste Disposal"/>
        <s v="11-220-00-659020-56217 : Safety &amp; Hazardous Materials : Permits and Fees"/>
        <s v="11-220-00-677000-52105 : Purchasing/Receiving : Classified CSEA"/>
        <s v="11-220-00-677000-52300 : Purchasing/Receiving : Classified Overtime"/>
        <s v="11-220-00-677000-53220 : Purchasing/Receiving : PERS Nonteaching"/>
        <s v="11-220-00-677000-53320 : Purchasing/Receiving : OASDHI (FICA) Nonteaching"/>
        <s v="11-220-00-677000-53340 : Purchasing/Receiving : Medicare Nonteaching"/>
        <s v="11-220-00-677000-53420 : Purchasing/Receiving : H &amp; W Nonteaching"/>
        <s v="11-220-00-677000-53520 : Purchasing/Receiving : SUI Nonteaching"/>
        <s v="11-220-00-677000-53620 : Purchasing/Receiving : WC Nonteaching"/>
        <s v="11-220-00-677000-55630 : Purchasing/Receiving : Printing &amp; Duplicating - Inhouse"/>
        <s v="11-220-00-677300-54349 : Vehicle Maintenance : M&amp;O Fuel and Oil Expense"/>
        <s v="11-220-00-677300-55651 : Vehicle Maintenance : Equipment Repairs"/>
        <s v="11-220-00-683000-52105 : Community Use of Facilities : Classified CSEA"/>
        <s v="11-220-00-683000-52115 : Community Use of Facilities : Classified Supervisory"/>
        <s v="11-220-00-683000-52125 : Community Use of Facilities : Classified L-39"/>
        <s v="11-220-00-683000-52300 : Community Use of Facilities : Classified Overtime"/>
        <s v="11-220-00-683000-53220 : Community Use of Facilities : PERS Nonteaching"/>
        <s v="11-220-00-683000-53320 : Community Use of Facilities : OASDHI (FICA) Nonteaching"/>
        <s v="11-220-00-683000-53340 : Community Use of Facilities : Medicare Nonteaching"/>
        <s v="11-220-00-683000-53420 : Community Use of Facilities : H &amp; W Nonteaching"/>
        <s v="11-220-00-683000-53520 : Community Use of Facilities : SUI Nonteaching"/>
        <s v="11-220-00-683000-53620 : Community Use of Facilities : WC Nonteaching"/>
        <s v="11-220-00-683000-53920 : Community Use of Facilities : Other Benefit-Non Teaching"/>
        <s v="11-220-00-683000-54340 : Community Use of Facilities : M &amp; O Pool Chemicals"/>
        <s v="11-220-00-683000-55630 : Community Use of Facilities : Printing &amp; Duplicating - Inhouse"/>
        <s v="11-220-04-657000-55530 : Utilities : Electric Utility"/>
        <s v="11-300-00-490000-54300 : Interdisiplinary Studies : Supplies &amp; Materials"/>
        <s v="11-300-00-490000-55610 : Interdisiplinary Studies : Software licensing"/>
        <s v="11-300-00-490000-56400 : Interdisiplinary Studies : Cap Equip - $200 to $4,999"/>
        <s v="11-300-00-490000-56405 : Interdisiplinary Studies : Cap Equip - $5,000 and Over"/>
        <s v="11-300-00-601000-51200 : Academic Administration : Academic Nonteaching Full-time"/>
        <s v="11-300-00-601000-51210 : Academic Administration : Academic Nonteaching Management"/>
        <s v="11-300-00-601000-51412 : Academic Administration : Acad Nonteach Special Projects"/>
        <s v="11-300-00-601000-52105 : Academic Administration : Classified CSEA"/>
        <s v="11-300-00-601000-52120 : Academic Administration : Classified Confidential"/>
        <s v="11-300-00-601000-52300 : Academic Administration : Classified Overtime"/>
        <s v="11-300-00-601000-52350 : Academic Administration : Classified Student Dist Non-IA PT"/>
        <s v="11-300-00-601000-52360 : Academic Administration : Class Nonstu NonIA PT Prof Exp"/>
        <s v="11-300-00-601000-53120 : Academic Administration : STRS Nonteaching"/>
        <s v="11-300-00-601000-53220 : Academic Administration : PERS Nonteaching"/>
        <s v="11-300-00-601000-53320 : Academic Administration : OASDHI (FICA) Nonteaching"/>
        <s v="11-300-00-601000-53340 : Academic Administration : Medicare Nonteaching"/>
        <s v="11-300-00-601000-53420 : Academic Administration : H &amp; W Nonteaching"/>
        <s v="11-300-00-601000-53520 : Academic Administration : SUI Nonteaching"/>
        <s v="11-300-00-601000-53620 : Academic Administration : WC Nonteaching"/>
        <s v="11-300-00-601000-53920 : Academic Administration : Other Benefit-Non Teaching"/>
        <s v="11-300-00-601000-54210 : Academic Administration : Purchases - Food"/>
        <s v="11-300-00-601000-54300 : Academic Administration : Supplies &amp; Materials"/>
        <s v="11-300-00-601000-55105 : Academic Administration : Contract Services"/>
        <s v="11-300-00-601000-55200 : Academic Administration : Travel &amp; Conference"/>
        <s v="11-300-00-601000-55300 : Academic Administration : Memberships"/>
        <s v="11-300-00-601000-55630 : Academic Administration : Printing &amp; Duplicating - Inhouse"/>
        <s v="11-300-00-601000-55635 : Academic Administration : Printing Services - Vendor"/>
        <s v="11-300-00-601000-55650 : Academic Administration : Maintenance Agreement"/>
        <s v="11-300-00-612000-56310 : Library Services : Periodicals &amp; Newspapers"/>
        <s v="11-300-00-675020-51200 : Academic Senate : Academic Nonteaching Full-time"/>
        <s v="11-300-00-675020-53120 : Academic Senate : STRS Nonteaching"/>
        <s v="11-300-00-675020-53340 : Academic Senate : Medicare Nonteaching"/>
        <s v="11-300-00-675020-53420 : Academic Senate : H &amp; W Nonteaching"/>
        <s v="11-300-00-675020-53520 : Academic Senate : SUI Nonteaching"/>
        <s v="11-300-00-675020-53620 : Academic Senate : WC Nonteaching"/>
        <s v="11-300-00-675020-55630 : Academic Senate : Printing &amp; Duplicating - Inhouse"/>
        <s v="11-300-04-490000-51311 : Interdisiplinary Studies : Academic Teaching PT"/>
        <s v="11-300-04-490000-53110 : Interdisiplinary Studies : STRS Teaching"/>
        <s v="11-300-04-490000-53330 : Interdisiplinary Studies : Medicare Teaching"/>
        <s v="11-300-04-490000-53510 : Interdisiplinary Studies : SUI Teaching"/>
        <s v="11-300-04-490000-53610 : Interdisiplinary Studies : WC Teaching"/>
        <s v="11-300-04-601000-55650 : Academic Administration : Maintenance Agreement"/>
        <s v="11-301-00-601000-51210 : Academic Administration : Academic Nonteaching Management"/>
        <s v="11-301-00-601000-51412 : Academic Administration : Acad Nonteach Special Projects"/>
        <s v="11-301-00-601000-52105 : Academic Administration : Classified CSEA"/>
        <s v="11-301-00-601000-52300 : Academic Administration : Classified Overtime"/>
        <s v="11-301-00-601000-52360 : Academic Administration : Class Nonstu NonIA PT Prof Exp"/>
        <s v="11-301-00-601000-53120 : Academic Administration : STRS Nonteaching"/>
        <s v="11-301-00-601000-53220 : Academic Administration : PERS Nonteaching"/>
        <s v="11-301-00-601000-53320 : Academic Administration : OASDHI (FICA) Nonteaching"/>
        <s v="11-301-00-601000-53340 : Academic Administration : Medicare Nonteaching"/>
        <s v="11-301-00-601000-53420 : Academic Administration : H &amp; W Nonteaching"/>
        <s v="11-301-00-601000-53520 : Academic Administration : SUI Nonteaching"/>
        <s v="11-301-00-601000-53620 : Academic Administration : WC Nonteaching"/>
        <s v="11-301-00-601000-53920 : Academic Administration : Other Benefit-Non Teaching"/>
        <s v="11-301-00-601000-54300 : Academic Administration : Supplies &amp; Materials"/>
        <s v="11-301-00-601000-55200 : Academic Administration : Travel &amp; Conference"/>
        <s v="11-301-00-601000-55630 : Academic Administration : Printing &amp; Duplicating - Inhouse"/>
        <s v="11-304-00-601000-51210 : Academic Administration : Academic Nonteaching Management"/>
        <s v="11-304-00-601000-52105 : Academic Administration : Classified CSEA"/>
        <s v="11-304-00-601000-53120 : Academic Administration : STRS Nonteaching"/>
        <s v="11-304-00-601000-53220 : Academic Administration : PERS Nonteaching"/>
        <s v="11-304-00-601000-53320 : Academic Administration : OASDHI (FICA) Nonteaching"/>
        <s v="11-304-00-601000-53340 : Academic Administration : Medicare Nonteaching"/>
        <s v="11-304-00-601000-53420 : Academic Administration : H &amp; W Nonteaching"/>
        <s v="11-304-00-601000-53520 : Academic Administration : SUI Nonteaching"/>
        <s v="11-304-00-601000-53620 : Academic Administration : WC Nonteaching"/>
        <s v="11-304-00-601000-53920 : Academic Administration : Other Benefit-Non Teaching"/>
        <s v="11-304-00-601000-54300 : Academic Administration : Supplies &amp; Materials"/>
        <s v="11-304-00-601000-55200 : Academic Administration : Travel &amp; Conference"/>
        <s v="11-304-00-601000-55630 : Academic Administration : Printing &amp; Duplicating - Inhouse"/>
        <s v="11-304-00-601000-55650 : Academic Administration : Maintenance Agreement"/>
        <s v="11-304-00-682100-53320 : Planetarium : OASDHI (FICA) Nonteaching"/>
        <s v="11-304-00-682100-53340 : Planetarium : Medicare Nonteaching"/>
        <s v="11-304-00-682100-53420 : Planetarium : H &amp; W Nonteaching"/>
        <s v="11-304-00-682100-54300 : Planetarium : Supplies &amp; Materials"/>
        <s v="11-304-00-682100-55630 : Planetarium : Printing &amp; Duplicating - Inhouse"/>
        <s v="11-304-00-703800-52105 : MESA Grant : Classified CSEA"/>
        <s v="11-304-00-703800-52130 : MESA Grant : Classified Management"/>
        <s v="11-304-00-703800-52350 : MESA Grant : Classified Student Dist Non-IA PT"/>
        <s v="11-304-00-703800-52360 : MESA Grant : Class Nonstu NonIA PT Prof Exp"/>
        <s v="11-304-00-703800-53120 : MESA Grant : STRS Nonteaching"/>
        <s v="11-304-00-703800-53220 : MESA Grant : PERS Nonteaching"/>
        <s v="11-304-00-703800-53320 : MESA Grant : OASDHI (FICA) Nonteaching"/>
        <s v="11-304-00-703800-53340 : MESA Grant : Medicare Nonteaching"/>
        <s v="11-304-00-703800-53420 : MESA Grant : H &amp; W Nonteaching"/>
        <s v="11-304-00-703800-53520 : MESA Grant : SUI Nonteaching"/>
        <s v="11-304-00-703800-53620 : MESA Grant : WC Nonteaching"/>
        <s v="11-304-00-703800-53920 : MESA Grant : Other Benefit-Non Teaching"/>
        <s v="11-304-00-703800-55630 : MESA Grant : Printing &amp; Duplicating - Inhouse"/>
        <s v="11-310-00-050000-51310 : Business Education : Academic Teaching NIC"/>
        <s v="11-310-00-050000-51311 : Business Education : Academic Teaching PT"/>
        <s v="11-310-00-050000-53110 : Business Education : STRS Teaching"/>
        <s v="11-310-00-050000-53310 : Business Education : OASDHI (FICA) Teaching"/>
        <s v="11-310-00-050000-53330 : Business Education : Medicare Teaching"/>
        <s v="11-310-00-050000-53510 : Business Education : SUI Teaching"/>
        <s v="11-310-00-050000-53610 : Business Education : WC Teaching"/>
        <s v="11-310-00-080100-51311 : EDU (Education) Adjunct Exps. : Academic Teaching PT"/>
        <s v="11-310-00-080100-53110 : EDU (Education) Adjunct Exps. : STRS Teaching"/>
        <s v="11-310-00-080100-53330 : EDU (Education) Adjunct Exps. : Medicare Teaching"/>
        <s v="11-310-00-080100-53510 : EDU (Education) Adjunct Exps. : SUI Teaching"/>
        <s v="11-310-00-080100-53610 : EDU (Education) Adjunct Exps. : WC Teaching"/>
        <s v="11-310-00-100200-51100 : Art : Academic Teaching Full-time"/>
        <s v="11-310-00-100200-51310 : Art : Academic Teaching NIC"/>
        <s v="11-310-00-100200-51311 : Art : Academic Teaching PT"/>
        <s v="11-310-00-100200-52200 : Art : Classified Permanent Instructional Aides"/>
        <s v="11-310-00-100200-52360 : Art : Class Nonstu NonIA PT Prof Exp"/>
        <s v="11-310-00-100200-53110 : Art : STRS Teaching"/>
        <s v="11-310-00-100200-53210 : Art : PERS Teaching"/>
        <s v="11-310-00-100200-53310 : Art : OASDHI (FICA) Teaching"/>
        <s v="11-310-00-100200-53320 : Art : OASDHI (FICA) Nonteaching"/>
        <s v="11-310-00-100200-53330 : Art : Medicare Teaching"/>
        <s v="11-310-00-100200-53340 : Art : Medicare Nonteaching"/>
        <s v="11-310-00-100200-53410 : Art : H &amp; W Teaching"/>
        <s v="11-310-00-100200-53510 : Art : SUI Teaching"/>
        <s v="11-310-00-100200-53520 : Art : SUI Nonteaching"/>
        <s v="11-310-00-100200-53610 : Art : WC Teaching"/>
        <s v="11-310-00-100200-53620 : Art : WC Nonteaching"/>
        <s v="11-310-00-100200-53910 : Art : Other Benefit-Teaching"/>
        <s v="11-310-00-100200-54300 : Art : Supplies &amp; Materials"/>
        <s v="11-310-00-100200-55630 : Art : Printing &amp; Duplicating - Inhouse"/>
        <s v="11-310-00-100200-55651 : Art : Equipment Repairs"/>
        <s v="11-310-00-100200-56400 : Art : Cap Equip - $200 to $4,999"/>
        <s v="11-310-00-100400-51100 : Music : Academic Teaching Full-time"/>
        <s v="11-310-00-100400-51310 : Music : Academic Teaching NIC"/>
        <s v="11-310-00-100400-51311 : Music : Academic Teaching PT"/>
        <s v="11-310-00-100400-52400 : Music : Classified Nonstudent Instructional Aides PT"/>
        <s v="11-310-00-100400-53110 : Music : STRS Teaching"/>
        <s v="11-310-00-100400-53310 : Music : OASDHI (FICA) Teaching"/>
        <s v="11-310-00-100400-53330 : Music : Medicare Teaching"/>
        <s v="11-310-00-100400-53410 : Music : H &amp; W Teaching"/>
        <s v="11-310-00-100400-53510 : Music : SUI Teaching"/>
        <s v="11-310-00-100400-53610 : Music : WC Teaching"/>
        <s v="11-310-00-100400-54300 : Music : Supplies &amp; Materials"/>
        <s v="11-310-00-100400-55630 : Music : Printing &amp; Duplicating - Inhouse"/>
        <s v="11-310-00-100400-55651 : Music : Equipment Repairs"/>
        <s v="11-310-00-100700-51100 : Theater Arts : Academic Teaching Full-time"/>
        <s v="11-310-00-100700-51310 : Theater Arts : Academic Teaching NIC"/>
        <s v="11-310-00-100700-51311 : Theater Arts : Academic Teaching PT"/>
        <s v="11-310-00-100700-52350 : Theater Arts : Classified Student Dist Non-IA PT"/>
        <s v="11-310-00-100700-52360 : Theater Arts : Class Nonstu NonIA PT Prof Exp"/>
        <s v="11-310-00-100700-53110 : Theater Arts : STRS Teaching"/>
        <s v="11-310-00-100700-53310 : Theater Arts : OASDHI (FICA) Teaching"/>
        <s v="11-310-00-100700-53320 : Theater Arts : OASDHI (FICA) Nonteaching"/>
        <s v="11-310-00-100700-53330 : Theater Arts : Medicare Teaching"/>
        <s v="11-310-00-100700-53340 : Theater Arts : Medicare Nonteaching"/>
        <s v="11-310-00-100700-53410 : Theater Arts : H &amp; W Teaching"/>
        <s v="11-310-00-100700-53510 : Theater Arts : SUI Teaching"/>
        <s v="11-310-00-100700-53520 : Theater Arts : SUI Nonteaching"/>
        <s v="11-310-00-100700-53610 : Theater Arts : WC Teaching"/>
        <s v="11-310-00-100700-53620 : Theater Arts : WC Nonteaching"/>
        <s v="11-310-00-100700-55105 : Theater Arts : Contract Services"/>
        <s v="11-310-00-100700-55200 : Theater Arts : Travel &amp; Conference"/>
        <s v="11-310-00-100700-55300 : Theater Arts : Memberships"/>
        <s v="11-310-00-100700-55630 : Theater Arts : Printing &amp; Duplicating - Inhouse"/>
        <s v="11-310-00-100700-57552 : Theater Arts : Student Travel/Workshps/Meals"/>
        <s v="11-310-00-101100-51310 : Photography : Academic Teaching NIC"/>
        <s v="11-310-00-101100-51311 : Photography : Academic Teaching PT"/>
        <s v="11-310-00-101100-52200 : Photography : Classified Permanent Instructional Aides"/>
        <s v="11-310-00-101100-53110 : Photography : STRS Teaching"/>
        <s v="11-310-00-101100-53210 : Photography : PERS Teaching"/>
        <s v="11-310-00-101100-53310 : Photography : OASDHI (FICA) Teaching"/>
        <s v="11-310-00-101100-53330 : Photography : Medicare Teaching"/>
        <s v="11-310-00-101100-53410 : Photography : H &amp; W Teaching"/>
        <s v="11-310-00-101100-53510 : Photography : SUI Teaching"/>
        <s v="11-310-00-101100-53610 : Photography : WC Teaching"/>
        <s v="11-310-00-101100-54300 : Photography : Supplies &amp; Materials"/>
        <s v="11-310-00-101100-55630 : Photography : Printing &amp; Duplicating - Inhouse"/>
        <s v="11-310-00-130500-51310 : Early Childhood Education : Academic Teaching NIC"/>
        <s v="11-310-00-130500-52200 : Early Childhood Education : Classified Permanent Instructional Aides"/>
        <s v="11-310-00-130500-53110 : Early Childhood Education : STRS Teaching"/>
        <s v="11-310-00-130500-53210 : Early Childhood Education : PERS Teaching"/>
        <s v="11-310-00-130500-53310 : Early Childhood Education : OASDHI (FICA) Teaching"/>
        <s v="11-310-00-130500-53330 : Early Childhood Education : Medicare Teaching"/>
        <s v="11-310-00-130500-53510 : Early Childhood Education : SUI Teaching"/>
        <s v="11-310-00-130500-53610 : Early Childhood Education : WC Teaching"/>
        <s v="11-310-00-130500-55630 : Early Childhood Education : Printing &amp; Duplicating - Inhouse"/>
        <s v="11-310-00-140100-55300 : General Law : Memberships"/>
        <s v="11-310-00-150900-51100 : Philosophy : Academic Teaching Full-time"/>
        <s v="11-310-00-150900-51310 : Philosophy : Academic Teaching NIC"/>
        <s v="11-310-00-150900-51311 : Philosophy : Academic Teaching PT"/>
        <s v="11-310-00-150900-51412 : Philosophy : Acad Nonteach Special Projects"/>
        <s v="11-310-00-150900-53110 : Philosophy : STRS Teaching"/>
        <s v="11-310-00-150900-53120 : Philosophy : STRS Nonteaching"/>
        <s v="11-310-00-150900-53330 : Philosophy : Medicare Teaching"/>
        <s v="11-310-00-150900-53340 : Philosophy : Medicare Nonteaching"/>
        <s v="11-310-00-150900-53410 : Philosophy : H &amp; W Teaching"/>
        <s v="11-310-00-150900-53510 : Philosophy : SUI Teaching"/>
        <s v="11-310-00-150900-53520 : Philosophy : SUI Nonteaching"/>
        <s v="11-310-00-150900-53610 : Philosophy : WC Teaching"/>
        <s v="11-310-00-150900-53620 : Philosophy : WC Nonteaching"/>
        <s v="11-310-00-150900-55630 : Philosophy : Printing &amp; Duplicating - Inhouse"/>
        <s v="11-310-00-200100-51100 : Psychology : Academic Teaching Full-time"/>
        <s v="11-310-00-200100-51310 : Psychology : Academic Teaching NIC"/>
        <s v="11-310-00-200100-51311 : Psychology : Academic Teaching PT"/>
        <s v="11-310-00-200100-51412 : Psychology : Acad Nonteach Special Projects"/>
        <s v="11-310-00-200100-53110 : Psychology : STRS Teaching"/>
        <s v="11-310-00-200100-53120 : Psychology : STRS Nonteaching"/>
        <s v="11-310-00-200100-53310 : Psychology : OASDHI (FICA) Teaching"/>
        <s v="11-310-00-200100-53330 : Psychology : Medicare Teaching"/>
        <s v="11-310-00-200100-53340 : Psychology : Medicare Nonteaching"/>
        <s v="11-310-00-200100-53410 : Psychology : H &amp; W Teaching"/>
        <s v="11-310-00-200100-53510 : Psychology : SUI Teaching"/>
        <s v="11-310-00-200100-53520 : Psychology : SUI Nonteaching"/>
        <s v="11-310-00-200100-53610 : Psychology : WC Teaching"/>
        <s v="11-310-00-200100-53620 : Psychology : WC Nonteaching"/>
        <s v="11-310-00-200100-53910 : Psychology : Other Benefit-Teaching"/>
        <s v="11-310-00-200100-55630 : Psychology : Printing &amp; Duplicating - Inhouse"/>
        <s v="11-310-00-210440-51100 : Alcohol &amp; Drug Counseling : Academic Teaching Full-time"/>
        <s v="11-310-00-210440-53110 : Alcohol &amp; Drug Counseling : STRS Teaching"/>
        <s v="11-310-00-210440-53330 : Alcohol &amp; Drug Counseling : Medicare Teaching"/>
        <s v="11-310-00-210440-53410 : Alcohol &amp; Drug Counseling : H &amp; W Teaching"/>
        <s v="11-310-00-210440-53510 : Alcohol &amp; Drug Counseling : SUI Teaching"/>
        <s v="11-310-00-210440-53610 : Alcohol &amp; Drug Counseling : WC Teaching"/>
        <s v="11-310-00-210440-55630 : Alcohol &amp; Drug Counseling : Printing &amp; Duplicating - Inhouse"/>
        <s v="11-310-00-210500-51310 : Administration of Justice : Academic Teaching NIC"/>
        <s v="11-310-00-210500-51311 : Administration of Justice : Academic Teaching PT"/>
        <s v="11-310-00-210500-53110 : Administration of Justice : STRS Teaching"/>
        <s v="11-310-00-210500-53330 : Administration of Justice : Medicare Teaching"/>
        <s v="11-310-00-210500-53510 : Administration of Justice : SUI Teaching"/>
        <s v="11-310-00-210500-53610 : Administration of Justice : WC Teaching"/>
        <s v="11-310-00-220200-51100 : Anthropology : Academic Teaching Full-time"/>
        <s v="11-310-00-220200-51310 : Anthropology : Academic Teaching NIC"/>
        <s v="11-310-00-220200-51311 : Anthropology : Academic Teaching PT"/>
        <s v="11-310-00-220200-53110 : Anthropology : STRS Teaching"/>
        <s v="11-310-00-220200-53310 : Anthropology : OASDHI (FICA) Teaching"/>
        <s v="11-310-00-220200-53330 : Anthropology : Medicare Teaching"/>
        <s v="11-310-00-220200-53410 : Anthropology : H &amp; W Teaching"/>
        <s v="11-310-00-220200-53510 : Anthropology : SUI Teaching"/>
        <s v="11-310-00-220200-53610 : Anthropology : WC Teaching"/>
        <s v="11-310-00-220200-55630 : Anthropology : Printing &amp; Duplicating - Inhouse"/>
        <s v="11-310-00-220210-51100 : Ethnic Studies : Academic Teaching Full-time"/>
        <s v="11-310-00-220210-51310 : Ethnic Studies : Academic Teaching NIC"/>
        <s v="11-310-00-220210-51311 : Ethnic Studies : Academic Teaching PT"/>
        <s v="11-310-00-220210-53110 : Ethnic Studies : STRS Teaching"/>
        <s v="11-310-00-220210-53330 : Ethnic Studies : Medicare Teaching"/>
        <s v="11-310-00-220210-53410 : Ethnic Studies : H &amp; W Teaching"/>
        <s v="11-310-00-220210-53510 : Ethnic Studies : SUI Teaching"/>
        <s v="11-310-00-220210-53610 : Ethnic Studies : WC Teaching"/>
        <s v="11-310-00-220210-55200 : Ethnic Studies : Travel &amp; Conference"/>
        <s v="11-310-00-220210-55630 : Ethnic Studies : Printing &amp; Duplicating - Inhouse"/>
        <s v="11-310-00-220400-51100 : Economics : Academic Teaching Full-time"/>
        <s v="11-310-00-220400-51310 : Economics : Academic Teaching NIC"/>
        <s v="11-310-00-220400-51311 : Economics : Academic Teaching PT"/>
        <s v="11-310-00-220400-53110 : Economics : STRS Teaching"/>
        <s v="11-310-00-220400-53330 : Economics : Medicare Teaching"/>
        <s v="11-310-00-220400-53410 : Economics : H &amp; W Teaching"/>
        <s v="11-310-00-220400-53510 : Economics : SUI Teaching"/>
        <s v="11-310-00-220400-53610 : Economics : WC Teaching"/>
        <s v="11-310-00-220400-55630 : Economics : Printing &amp; Duplicating - Inhouse"/>
        <s v="11-310-00-220500-51100 : History : Academic Teaching Full-time"/>
        <s v="11-310-00-220500-51310 : History : Academic Teaching NIC"/>
        <s v="11-310-00-220500-51311 : History : Academic Teaching PT"/>
        <s v="11-310-00-220500-53110 : History : STRS Teaching"/>
        <s v="11-310-00-220500-53310 : History : OASDHI (FICA) Teaching"/>
        <s v="11-310-00-220500-53330 : History : Medicare Teaching"/>
        <s v="11-310-00-220500-53410 : History : H &amp; W Teaching"/>
        <s v="11-310-00-220500-53510 : History : SUI Teaching"/>
        <s v="11-310-00-220500-53610 : History : WC Teaching"/>
        <s v="11-310-00-220500-55630 : History : Printing &amp; Duplicating - Inhouse"/>
        <s v="11-310-00-220700-51100 : Political Science : Academic Teaching Full-time"/>
        <s v="11-310-00-220700-51310 : Political Science : Academic Teaching NIC"/>
        <s v="11-310-00-220700-51311 : Political Science : Academic Teaching PT"/>
        <s v="11-310-00-220700-53110 : Political Science : STRS Teaching"/>
        <s v="11-310-00-220700-53330 : Political Science : Medicare Teaching"/>
        <s v="11-310-00-220700-53410 : Political Science : H &amp; W Teaching"/>
        <s v="11-310-00-220700-53510 : Political Science : SUI Teaching"/>
        <s v="11-310-00-220700-53610 : Political Science : WC Teaching"/>
        <s v="11-310-00-220700-55630 : Political Science : Printing &amp; Duplicating - Inhouse"/>
        <s v="11-310-00-220800-51100 : Sociology : Academic Teaching Full-time"/>
        <s v="11-310-00-220800-51310 : Sociology : Academic Teaching NIC"/>
        <s v="11-310-00-220800-51311 : Sociology : Academic Teaching PT"/>
        <s v="11-310-00-220800-53110 : Sociology : STRS Teaching"/>
        <s v="11-310-00-220800-53310 : Sociology : OASDHI (FICA) Teaching"/>
        <s v="11-310-00-220800-53330 : Sociology : Medicare Teaching"/>
        <s v="11-310-00-220800-53410 : Sociology : H &amp; W Teaching"/>
        <s v="11-310-00-220800-53510 : Sociology : SUI Teaching"/>
        <s v="11-310-00-220800-53610 : Sociology : WC Teaching"/>
        <s v="11-310-00-220800-55630 : Sociology : Printing &amp; Duplicating - Inhouse"/>
        <s v="11-320-00-083500-51100 : Physical Education : Academic Teaching Full-time"/>
        <s v="11-320-00-083500-51310 : Physical Education : Academic Teaching NIC"/>
        <s v="11-320-00-083500-51311 : Physical Education : Academic Teaching PT"/>
        <s v="11-320-00-083500-51412 : Physical Education : Acad Nonteach Special Projects"/>
        <s v="11-320-00-083500-52360 : Physical Education : Class Nonstu NonIA PT Prof Exp"/>
        <s v="11-320-00-083500-52400 : Physical Education : Classified Nonstudent Instructional Aides PT"/>
        <s v="11-320-00-083500-53110 : Physical Education : STRS Teaching"/>
        <s v="11-320-00-083500-53120 : Physical Education : STRS Nonteaching"/>
        <s v="11-320-00-083500-53310 : Physical Education : OASDHI (FICA) Teaching"/>
        <s v="11-320-00-083500-53320 : Physical Education : OASDHI (FICA) Nonteaching"/>
        <s v="11-320-00-083500-53330 : Physical Education : Medicare Teaching"/>
        <s v="11-320-00-083500-53340 : Physical Education : Medicare Nonteaching"/>
        <s v="11-320-00-083500-53410 : Physical Education : H &amp; W Teaching"/>
        <s v="11-320-00-083500-53510 : Physical Education : SUI Teaching"/>
        <s v="11-320-00-083500-53520 : Physical Education : SUI Nonteaching"/>
        <s v="11-320-00-083500-53610 : Physical Education : WC Teaching"/>
        <s v="11-320-00-083500-53620 : Physical Education : WC Nonteaching"/>
        <s v="11-320-00-083500-54300 : Physical Education : Supplies &amp; Materials"/>
        <s v="11-320-00-083500-55309 : Physical Education : Subscriptions"/>
        <s v="11-320-00-083500-55630 : Physical Education : Printing &amp; Duplicating - Inhouse"/>
        <s v="11-320-00-083500-55651 : Physical Education : Equipment Repairs"/>
        <s v="11-320-00-083510-51100 : Adaptive Physical Education : Academic Teaching Full-time"/>
        <s v="11-320-00-083510-51310 : Adaptive Physical Education : Academic Teaching NIC"/>
        <s v="11-320-00-083510-51311 : Adaptive Physical Education : Academic Teaching PT"/>
        <s v="11-320-00-083510-51412 : Adaptive Physical Education : Acad Nonteach Special Projects"/>
        <s v="11-320-00-083510-53110 : Adaptive Physical Education : STRS Teaching"/>
        <s v="11-320-00-083510-53120 : Adaptive Physical Education : STRS Nonteaching"/>
        <s v="11-320-00-083510-53330 : Adaptive Physical Education : Medicare Teaching"/>
        <s v="11-320-00-083510-53340 : Adaptive Physical Education : Medicare Nonteaching"/>
        <s v="11-320-00-083510-53410 : Adaptive Physical Education : H &amp; W Teaching"/>
        <s v="11-320-00-083510-53510 : Adaptive Physical Education : SUI Teaching"/>
        <s v="11-320-00-083510-53520 : Adaptive Physical Education : SUI Nonteaching"/>
        <s v="11-320-00-083510-53610 : Adaptive Physical Education : WC Teaching"/>
        <s v="11-320-00-083510-53620 : Adaptive Physical Education : WC Nonteaching"/>
        <s v="11-320-00-083510-55630 : Adaptive Physical Education : Printing &amp; Duplicating - Inhouse"/>
        <s v="11-320-00-083550-51100 : Athletics - Instruction : Academic Teaching Full-time"/>
        <s v="11-320-00-083550-51310 : Athletics - Instruction : Academic Teaching NIC"/>
        <s v="11-320-00-083550-51311 : Athletics - Instruction : Academic Teaching PT"/>
        <s v="11-320-00-083550-52400 : Athletics - Instruction : Classified Nonstudent Instructional Aides PT"/>
        <s v="11-320-00-083550-53110 : Athletics - Instruction : STRS Teaching"/>
        <s v="11-320-00-083550-53310 : Athletics - Instruction : OASDHI (FICA) Teaching"/>
        <s v="11-320-00-083550-53330 : Athletics - Instruction : Medicare Teaching"/>
        <s v="11-320-00-083550-53410 : Athletics - Instruction : H &amp; W Teaching"/>
        <s v="11-320-00-083550-53510 : Athletics - Instruction : SUI Teaching"/>
        <s v="11-320-00-083550-53610 : Athletics - Instruction : WC Teaching"/>
        <s v="11-320-00-083550-55630 : Athletics - Instruction : Printing &amp; Duplicating - Inhouse"/>
        <s v="11-320-00-083700-51310 : Health Education : Academic Teaching NIC"/>
        <s v="11-320-00-083700-51311 : Health Education : Academic Teaching PT"/>
        <s v="11-320-00-083700-53110 : Health Education : STRS Teaching"/>
        <s v="11-320-00-083700-53330 : Health Education : Medicare Teaching"/>
        <s v="11-320-00-083700-53510 : Health Education : SUI Teaching"/>
        <s v="11-320-00-083700-53610 : Health Education : WC Teaching"/>
        <s v="11-320-00-083700-55630 : Health Education : Printing &amp; Duplicating - Inhouse"/>
        <s v="11-320-00-130600-51311 : Food Service Management : Academic Teaching PT"/>
        <s v="11-320-00-130600-53110 : Food Service Management : STRS Teaching"/>
        <s v="11-320-00-130600-53330 : Food Service Management : Medicare Teaching"/>
        <s v="11-320-00-130600-53510 : Food Service Management : SUI Teaching"/>
        <s v="11-320-00-130600-53610 : Food Service Management : WC Teaching"/>
        <s v="11-320-00-130600-55630 : Food Service Management : Printing &amp; Duplicating - Inhouse"/>
        <s v="11-320-00-601000-51210 : Academic Administration : Academic Nonteaching Management"/>
        <s v="11-320-00-601000-52105 : Academic Administration : Classified CSEA"/>
        <s v="11-320-00-601000-52300 : Academic Administration : Classified Overtime"/>
        <s v="11-320-00-601000-53120 : Academic Administration : STRS Nonteaching"/>
        <s v="11-320-00-601000-53220 : Academic Administration : PERS Nonteaching"/>
        <s v="11-320-00-601000-53320 : Academic Administration : OASDHI (FICA) Nonteaching"/>
        <s v="11-320-00-601000-53340 : Academic Administration : Medicare Nonteaching"/>
        <s v="11-320-00-601000-53420 : Academic Administration : H &amp; W Nonteaching"/>
        <s v="11-320-00-601000-53520 : Academic Administration : SUI Nonteaching"/>
        <s v="11-320-00-601000-53620 : Academic Administration : WC Nonteaching"/>
        <s v="11-320-00-601000-53920 : Academic Administration : Other Benefit-Non Teaching"/>
        <s v="11-320-00-601000-55630 : Academic Administration : Printing &amp; Duplicating - Inhouse"/>
        <s v="11-320-00-696500-51210 : Athletic Activities : Academic Nonteaching Management"/>
        <s v="11-320-00-696500-51412 : Athletic Activities : Acad Nonteach Special Projects"/>
        <s v="11-320-00-696500-52105 : Athletic Activities : Classified CSEA"/>
        <s v="11-320-00-696500-52300 : Athletic Activities : Classified Overtime"/>
        <s v="11-320-00-696500-52360 : Athletic Activities : Class Nonstu NonIA PT Prof Exp"/>
        <s v="11-320-00-696500-53120 : Athletic Activities : STRS Nonteaching"/>
        <s v="11-320-00-696500-53220 : Athletic Activities : PERS Nonteaching"/>
        <s v="11-320-00-696500-53320 : Athletic Activities : OASDHI (FICA) Nonteaching"/>
        <s v="11-320-00-696500-53340 : Athletic Activities : Medicare Nonteaching"/>
        <s v="11-320-00-696500-53420 : Athletic Activities : H &amp; W Nonteaching"/>
        <s v="11-320-00-696500-53520 : Athletic Activities : SUI Nonteaching"/>
        <s v="11-320-00-696500-53620 : Athletic Activities : WC Nonteaching"/>
        <s v="11-320-00-696500-53920 : Athletic Activities : Other Benefit-Non Teaching"/>
        <s v="11-320-00-696500-54300 : Athletic Activities : Supplies &amp; Materials"/>
        <s v="11-320-00-696500-55100 : Athletic Activities : Personal Service Contract - 1099"/>
        <s v="11-320-00-696500-55105 : Athletic Activities : Contract Services"/>
        <s v="11-320-00-696500-55110 : Athletic Activities : Athletic Officials"/>
        <s v="11-320-00-696500-55125 : Athletic Activities : Training &amp; Seminars"/>
        <s v="11-320-00-696500-55200 : Athletic Activities : Travel &amp; Conference"/>
        <s v="11-320-00-696500-55240 : Athletic Activities : Field Trips"/>
        <s v="11-320-00-696500-55264 : Athletic Activities : Entry Fees"/>
        <s v="11-320-00-696500-55300 : Athletic Activities : Memberships"/>
        <s v="11-320-00-696500-55309 : Athletic Activities : Subscriptions"/>
        <s v="11-320-00-696500-55400 : Athletic Activities : Insurance"/>
        <s v="11-320-00-696500-55600 : Athletic Activities : Rents &amp; Leases"/>
        <s v="11-320-00-696500-55630 : Athletic Activities : Printing &amp; Duplicating - Inhouse"/>
        <s v="11-320-00-696500-55651 : Athletic Activities : Equipment Repairs"/>
        <s v="11-320-00-696500-56400 : Athletic Activities : Cap Equip - $200 to $4,999"/>
        <s v="11-320-00-696500-57552 : Athletic Activities : Student Travel/Workshps/Meals"/>
        <s v="11-330-00-040110-51100 : Biology : Academic Teaching Full-time"/>
        <s v="11-330-00-040110-51310 : Biology : Academic Teaching NIC"/>
        <s v="11-330-00-040110-51311 : Biology : Academic Teaching PT"/>
        <s v="11-330-00-040110-52200 : Biology : Classified Permanent Instructional Aides"/>
        <s v="11-330-00-040110-52300 : Biology : Classified Overtime"/>
        <s v="11-330-00-040110-53110 : Biology : STRS Teaching"/>
        <s v="11-330-00-040110-53210 : Biology : PERS Teaching"/>
        <s v="11-330-00-040110-53310 : Biology : OASDHI (FICA) Teaching"/>
        <s v="11-330-00-040110-53320 : Biology : OASDHI (FICA) Nonteaching"/>
        <s v="11-330-00-040110-53330 : Biology : Medicare Teaching"/>
        <s v="11-330-00-040110-53340 : Biology : Medicare Nonteaching"/>
        <s v="11-330-00-040110-53410 : Biology : H &amp; W Teaching"/>
        <s v="11-330-00-040110-53510 : Biology : SUI Teaching"/>
        <s v="11-330-00-040110-53610 : Biology : WC Teaching"/>
        <s v="11-330-00-040110-53620 : Biology : WC Nonteaching"/>
        <s v="11-330-00-040110-53910 : Biology : Other Benefit-Teaching"/>
        <s v="11-330-00-040110-54300 : Biology : Supplies &amp; Materials"/>
        <s v="11-330-00-040110-55630 : Biology : Printing &amp; Duplicating - Inhouse"/>
        <s v="11-330-00-040110-55650 : Biology : Maintenance Agreement"/>
        <s v="11-330-00-070710-54300 : Computer Programming : Supplies &amp; Materials"/>
        <s v="11-330-00-070710-55630 : Computer Programming : Printing &amp; Duplicating - Inhouse"/>
        <s v="11-330-00-090100-51100 : Engineering : Academic Teaching Full-time"/>
        <s v="11-330-00-090100-51310 : Engineering : Academic Teaching NIC"/>
        <s v="11-330-00-090100-51311 : Engineering : Academic Teaching PT"/>
        <s v="11-330-00-090100-51412 : Engineering : Acad Nonteach Special Projects"/>
        <s v="11-330-00-090100-52200 : Engineering : Classified Permanent Instructional Aides"/>
        <s v="11-330-00-090100-52300 : Engineering : Classified Overtime"/>
        <s v="11-330-00-090100-53110 : Engineering : STRS Teaching"/>
        <s v="11-330-00-090100-53120 : Engineering : STRS Nonteaching"/>
        <s v="11-330-00-090100-53210 : Engineering : PERS Teaching"/>
        <s v="11-330-00-090100-53310 : Engineering : OASDHI (FICA) Teaching"/>
        <s v="11-330-00-090100-53320 : Engineering : OASDHI (FICA) Nonteaching"/>
        <s v="11-330-00-090100-53330 : Engineering : Medicare Teaching"/>
        <s v="11-330-00-090100-53340 : Engineering : Medicare Nonteaching"/>
        <s v="11-330-00-090100-53410 : Engineering : H &amp; W Teaching"/>
        <s v="11-330-00-090100-53510 : Engineering : SUI Teaching"/>
        <s v="11-330-00-090100-53520 : Engineering : SUI Nonteaching"/>
        <s v="11-330-00-090100-53610 : Engineering : WC Teaching"/>
        <s v="11-330-00-090100-53620 : Engineering : WC Nonteaching"/>
        <s v="11-330-00-090100-53910 : Engineering : Other Benefit-Teaching"/>
        <s v="11-330-00-090100-54300 : Engineering : Supplies &amp; Materials"/>
        <s v="11-330-00-090100-55630 : Engineering : Printing &amp; Duplicating - Inhouse"/>
        <s v="11-330-00-170100-51100 : Mathematics : Academic Teaching Full-time"/>
        <s v="11-330-00-170100-51310 : Mathematics : Academic Teaching NIC"/>
        <s v="11-330-00-170100-51311 : Mathematics : Academic Teaching PT"/>
        <s v="11-330-00-170100-51412 : Mathematics : Acad Nonteach Special Projects"/>
        <s v="11-330-00-170100-53110 : Mathematics : STRS Teaching"/>
        <s v="11-330-00-170100-53120 : Mathematics : STRS Nonteaching"/>
        <s v="11-330-00-170100-53310 : Mathematics : OASDHI (FICA) Teaching"/>
        <s v="11-330-00-170100-53330 : Mathematics : Medicare Teaching"/>
        <s v="11-330-00-170100-53340 : Mathematics : Medicare Nonteaching"/>
        <s v="11-330-00-170100-53410 : Mathematics : H &amp; W Teaching"/>
        <s v="11-330-00-170100-53510 : Mathematics : SUI Teaching"/>
        <s v="11-330-00-170100-53520 : Mathematics : SUI Nonteaching"/>
        <s v="11-330-00-170100-53610 : Mathematics : WC Teaching"/>
        <s v="11-330-00-170100-53620 : Mathematics : WC Nonteaching"/>
        <s v="11-330-00-170100-53910 : Mathematics : Other Benefit-Teaching"/>
        <s v="11-330-00-170100-54300 : Mathematics : Supplies &amp; Materials"/>
        <s v="11-330-00-170100-55630 : Mathematics : Printing &amp; Duplicating - Inhouse"/>
        <s v="11-330-00-170100-55650 : Mathematics : Maintenance Agreement"/>
        <s v="11-330-00-190200-51100 : Physics : Academic Teaching Full-time"/>
        <s v="11-330-00-190200-51310 : Physics : Academic Teaching NIC"/>
        <s v="11-330-00-190200-51311 : Physics : Academic Teaching PT"/>
        <s v="11-330-00-190200-52200 : Physics : Classified Permanent Instructional Aides"/>
        <s v="11-330-00-190200-52300 : Physics : Classified Overtime"/>
        <s v="11-330-00-190200-53110 : Physics : STRS Teaching"/>
        <s v="11-330-00-190200-53210 : Physics : PERS Teaching"/>
        <s v="11-330-00-190200-53310 : Physics : OASDHI (FICA) Teaching"/>
        <s v="11-330-00-190200-53320 : Physics : OASDHI (FICA) Nonteaching"/>
        <s v="11-330-00-190200-53330 : Physics : Medicare Teaching"/>
        <s v="11-330-00-190200-53340 : Physics : Medicare Nonteaching"/>
        <s v="11-330-00-190200-53410 : Physics : H &amp; W Teaching"/>
        <s v="11-330-00-190200-53510 : Physics : SUI Teaching"/>
        <s v="11-330-00-190200-53520 : Physics : SUI Nonteaching"/>
        <s v="11-330-00-190200-53610 : Physics : WC Teaching"/>
        <s v="11-330-00-190200-53620 : Physics : WC Nonteaching"/>
        <s v="11-330-00-190200-53910 : Physics : Other Benefit-Teaching"/>
        <s v="11-330-00-190200-54300 : Physics : Supplies &amp; Materials"/>
        <s v="11-330-00-190200-55630 : Physics : Printing &amp; Duplicating - Inhouse"/>
        <s v="11-330-00-190500-51100 : Chemistry : Academic Teaching Full-time"/>
        <s v="11-330-00-190500-51310 : Chemistry : Academic Teaching NIC"/>
        <s v="11-330-00-190500-51311 : Chemistry : Academic Teaching PT"/>
        <s v="11-330-00-190500-52200 : Chemistry : Classified Permanent Instructional Aides"/>
        <s v="11-330-00-190500-52300 : Chemistry : Classified Overtime"/>
        <s v="11-330-00-190500-53110 : Chemistry : STRS Teaching"/>
        <s v="11-330-00-190500-53210 : Chemistry : PERS Teaching"/>
        <s v="11-330-00-190500-53310 : Chemistry : OASDHI (FICA) Teaching"/>
        <s v="11-330-00-190500-53320 : Chemistry : OASDHI (FICA) Nonteaching"/>
        <s v="11-330-00-190500-53330 : Chemistry : Medicare Teaching"/>
        <s v="11-330-00-190500-53340 : Chemistry : Medicare Nonteaching"/>
        <s v="11-330-00-190500-53410 : Chemistry : H &amp; W Teaching"/>
        <s v="11-330-00-190500-53510 : Chemistry : SUI Teaching"/>
        <s v="11-330-00-190500-53520 : Chemistry : SUI Nonteaching"/>
        <s v="11-330-00-190500-53610 : Chemistry : WC Teaching"/>
        <s v="11-330-00-190500-53620 : Chemistry : WC Nonteaching"/>
        <s v="11-330-00-190500-53910 : Chemistry : Other Benefit-Teaching"/>
        <s v="11-330-00-190500-54300 : Chemistry : Supplies &amp; Materials"/>
        <s v="11-330-00-190500-55630 : Chemistry : Printing &amp; Duplicating - Inhouse"/>
        <s v="11-330-00-190500-55650 : Chemistry : Maintenance Agreement"/>
        <s v="11-330-00-191100-51100 : Astronomy : Academic Teaching Full-time"/>
        <s v="11-330-00-191100-51310 : Astronomy : Academic Teaching NIC"/>
        <s v="11-330-00-191100-51311 : Astronomy : Academic Teaching PT"/>
        <s v="11-330-00-191100-53110 : Astronomy : STRS Teaching"/>
        <s v="11-330-00-191100-53330 : Astronomy : Medicare Teaching"/>
        <s v="11-330-00-191100-53410 : Astronomy : H &amp; W Teaching"/>
        <s v="11-330-00-191100-53510 : Astronomy : SUI Teaching"/>
        <s v="11-330-00-191100-53610 : Astronomy : WC Teaching"/>
        <s v="11-330-00-191100-54300 : Astronomy : Supplies &amp; Materials"/>
        <s v="11-330-00-191100-55630 : Astronomy : Printing &amp; Duplicating - Inhouse"/>
        <s v="11-330-00-191400-51100 : Geology : Academic Teaching Full-time"/>
        <s v="11-330-00-191400-51311 : Geology : Academic Teaching PT"/>
        <s v="11-330-00-191400-52200 : Geology : Classified Permanent Instructional Aides"/>
        <s v="11-330-00-191400-52300 : Geology : Classified Overtime"/>
        <s v="11-330-00-191400-53110 : Geology : STRS Teaching"/>
        <s v="11-330-00-191400-53210 : Geology : PERS Teaching"/>
        <s v="11-330-00-191400-53310 : Geology : OASDHI (FICA) Teaching"/>
        <s v="11-330-00-191400-53320 : Geology : OASDHI (FICA) Nonteaching"/>
        <s v="11-330-00-191400-53330 : Geology : Medicare Teaching"/>
        <s v="11-330-00-191400-53340 : Geology : Medicare Nonteaching"/>
        <s v="11-330-00-191400-53410 : Geology : H &amp; W Teaching"/>
        <s v="11-330-00-191400-53510 : Geology : SUI Teaching"/>
        <s v="11-330-00-191400-53520 : Geology : SUI Nonteaching"/>
        <s v="11-330-00-191400-53610 : Geology : WC Teaching"/>
        <s v="11-330-00-191400-53620 : Geology : WC Nonteaching"/>
        <s v="11-330-00-191400-53910 : Geology : Other Benefit-Teaching"/>
        <s v="11-330-00-191400-54300 : Geology : Supplies &amp; Materials"/>
        <s v="11-330-00-191400-55630 : Geology : Printing &amp; Duplicating - Inhouse"/>
        <s v="11-330-00-191900-51100 : Oceanography : Academic Teaching Full-time"/>
        <s v="11-330-00-191900-51311 : Oceanography : Academic Teaching PT"/>
        <s v="11-330-00-191900-53110 : Oceanography : STRS Teaching"/>
        <s v="11-330-00-191900-53330 : Oceanography : Medicare Teaching"/>
        <s v="11-330-00-191900-53410 : Oceanography : H &amp; W Teaching"/>
        <s v="11-330-00-191900-53510 : Oceanography : SUI Teaching"/>
        <s v="11-330-00-191900-53610 : Oceanography : WC Teaching"/>
        <s v="11-330-00-191900-55630 : Oceanography : Printing &amp; Duplicating - Inhouse"/>
        <s v="11-330-00-220600-51311 : Geography : Academic Teaching PT"/>
        <s v="11-330-00-220600-53110 : Geography : STRS Teaching"/>
        <s v="11-330-00-220600-53310 : Geography : OASDHI (FICA) Teaching"/>
        <s v="11-330-00-220600-53330 : Geography : Medicare Teaching"/>
        <s v="11-330-00-220600-53510 : Geography : SUI Teaching"/>
        <s v="11-330-00-220600-53610 : Geography : WC Teaching"/>
        <s v="11-330-00-220600-55630 : Geography : Printing &amp; Duplicating - Inhouse"/>
        <s v="11-330-00-601000-52130 : Academic Administration : Classified Management"/>
        <s v="11-330-00-601000-53220 : Academic Administration : PERS Nonteaching"/>
        <s v="11-330-00-601000-53320 : Academic Administration : OASDHI (FICA) Nonteaching"/>
        <s v="11-330-00-601000-53340 : Academic Administration : Medicare Nonteaching"/>
        <s v="11-330-00-601000-53420 : Academic Administration : H &amp; W Nonteaching"/>
        <s v="11-330-00-601000-53520 : Academic Administration : SUI Nonteaching"/>
        <s v="11-330-00-601000-53620 : Academic Administration : WC Nonteaching"/>
        <s v="11-330-00-601000-55630 : Academic Administration : Printing &amp; Duplicating - Inhouse"/>
        <s v="11-330-00-703800-52105 : MESA Grant : Classified CSEA"/>
        <s v="11-330-00-703800-53220 : MESA Grant : PERS Nonteaching"/>
        <s v="11-330-00-703800-53320 : MESA Grant : OASDHI (FICA) Nonteaching"/>
        <s v="11-330-00-703800-53340 : MESA Grant : Medicare Nonteaching"/>
        <s v="11-330-00-703800-53420 : MESA Grant : H &amp; W Nonteaching"/>
        <s v="11-330-00-703800-53520 : MESA Grant : SUI Nonteaching"/>
        <s v="11-330-00-703800-53620 : MESA Grant : WC Nonteaching"/>
        <s v="11-330-01-070100-51100 : Computer &amp; Information Science : Academic Teaching Full-time"/>
        <s v="11-330-01-070100-51310 : Computer &amp; Information Science : Academic Teaching NIC"/>
        <s v="11-330-01-070100-53110 : Computer &amp; Information Science : STRS Teaching"/>
        <s v="11-330-01-070100-53330 : Computer &amp; Information Science : Medicare Teaching"/>
        <s v="11-330-01-070100-53410 : Computer &amp; Information Science : H &amp; W Teaching"/>
        <s v="11-330-01-070100-53510 : Computer &amp; Information Science : SUI Teaching"/>
        <s v="11-330-01-070100-53610 : Computer &amp; Information Science : WC Teaching"/>
        <s v="11-330-01-070100-53910 : Computer &amp; Information Science : Other Benefit-Teaching"/>
        <s v="11-330-01-070100-54300 : Computer &amp; Information Science : Supplies &amp; Materials"/>
        <s v="11-330-01-070100-55630 : Computer &amp; Information Science : Printing &amp; Duplicating - Inhouse"/>
        <s v="11-330-01-070100-55650 : Computer &amp; Information Science : Maintenance Agreement"/>
        <s v="11-330-01-090100-51100 : Engineering : Academic Teaching Full-time"/>
        <s v="11-330-01-090100-53110 : Engineering : STRS Teaching"/>
        <s v="11-330-01-090100-53330 : Engineering : Medicare Teaching"/>
        <s v="11-330-01-090100-53410 : Engineering : H &amp; W Teaching"/>
        <s v="11-330-01-090100-53510 : Engineering : SUI Teaching"/>
        <s v="11-330-01-090100-53610 : Engineering : WC Teaching"/>
        <s v="11-330-01-090100-55630 : Engineering : Printing &amp; Duplicating - Inhouse"/>
        <s v="11-335-00-120300-51100 : Nursing - RN : Academic Teaching Full-time"/>
        <s v="11-335-00-120300-51310 : Nursing - RN : Academic Teaching NIC"/>
        <s v="11-335-00-120300-51311 : Nursing - RN : Academic Teaching PT"/>
        <s v="11-335-00-120300-51412 : Nursing - RN : Acad Nonteach Special Projects"/>
        <s v="11-335-00-120300-52360 : Nursing - RN : Class Nonstu NonIA PT Prof Exp"/>
        <s v="11-335-00-120300-53110 : Nursing - RN : STRS Teaching"/>
        <s v="11-335-00-120300-53120 : Nursing - RN : STRS Nonteaching"/>
        <s v="11-335-00-120300-53310 : Nursing - RN : OASDHI (FICA) Teaching"/>
        <s v="11-335-00-120300-53320 : Nursing - RN : OASDHI (FICA) Nonteaching"/>
        <s v="11-335-00-120300-53330 : Nursing - RN : Medicare Teaching"/>
        <s v="11-335-00-120300-53340 : Nursing - RN : Medicare Nonteaching"/>
        <s v="11-335-00-120300-53410 : Nursing - RN : H &amp; W Teaching"/>
        <s v="11-335-00-120300-53420 : Nursing - RN : H &amp; W Nonteaching"/>
        <s v="11-335-00-120300-53510 : Nursing - RN : SUI Teaching"/>
        <s v="11-335-00-120300-53520 : Nursing - RN : SUI Nonteaching"/>
        <s v="11-335-00-120300-53610 : Nursing - RN : WC Teaching"/>
        <s v="11-335-00-120300-53620 : Nursing - RN : WC Nonteaching"/>
        <s v="11-335-00-120300-54300 : Nursing - RN : Supplies &amp; Materials"/>
        <s v="11-335-00-120300-55200 : Nursing - RN : Travel &amp; Conference"/>
        <s v="11-335-00-120300-55300 : Nursing - RN : Memberships"/>
        <s v="11-335-00-120300-55625 : Nursing - RN : Inprocessing Costs"/>
        <s v="11-335-00-120300-55630 : Nursing - RN : Printing &amp; Duplicating - Inhouse"/>
        <s v="11-335-00-120300-55650 : Nursing - RN : Maintenance Agreement"/>
        <s v="11-335-00-120320-51100 : Nursing - LVN : Academic Teaching Full-time"/>
        <s v="11-335-00-120320-51310 : Nursing - LVN : Academic Teaching NIC"/>
        <s v="11-335-00-120320-51311 : Nursing - LVN : Academic Teaching PT"/>
        <s v="11-335-00-120320-53110 : Nursing - LVN : STRS Teaching"/>
        <s v="11-335-00-120320-53310 : Nursing - LVN : OASDHI (FICA) Teaching"/>
        <s v="11-335-00-120320-53330 : Nursing - LVN : Medicare Teaching"/>
        <s v="11-335-00-120320-53410 : Nursing - LVN : H &amp; W Teaching"/>
        <s v="11-335-00-120320-53510 : Nursing - LVN : SUI Teaching"/>
        <s v="11-335-00-120320-53610 : Nursing - LVN : WC Teaching"/>
        <s v="11-335-00-120320-55200 : Nursing - LVN : Travel &amp; Conference"/>
        <s v="11-335-00-120320-55630 : Nursing - LVN : Printing &amp; Duplicating - Inhouse"/>
        <s v="11-335-00-120400-51100 : Respiratory Care Program : Academic Teaching Full-time"/>
        <s v="11-335-00-120400-51310 : Respiratory Care Program : Academic Teaching NIC"/>
        <s v="11-335-00-120400-51311 : Respiratory Care Program : Academic Teaching PT"/>
        <s v="11-335-00-120400-53110 : Respiratory Care Program : STRS Teaching"/>
        <s v="11-335-00-120400-53310 : Respiratory Care Program : OASDHI (FICA) Teaching"/>
        <s v="11-335-00-120400-53330 : Respiratory Care Program : Medicare Teaching"/>
        <s v="11-335-00-120400-53410 : Respiratory Care Program : H &amp; W Teaching"/>
        <s v="11-335-00-120400-53510 : Respiratory Care Program : SUI Teaching"/>
        <s v="11-335-00-120400-53610 : Respiratory Care Program : WC Teaching"/>
        <s v="11-335-00-120400-54210 : Respiratory Care Program : Purchases - Food"/>
        <s v="11-335-00-120400-54300 : Respiratory Care Program : Supplies &amp; Materials"/>
        <s v="11-335-00-120400-55309 : Respiratory Care Program : Subscriptions"/>
        <s v="11-335-00-120400-55630 : Respiratory Care Program : Printing &amp; Duplicating - Inhouse"/>
        <s v="11-335-00-120400-55650 : Respiratory Care Program : Maintenance Agreement"/>
        <s v="11-335-00-125000-51310 : Mobile Intensive Care Paramedic : Academic Teaching NIC"/>
        <s v="11-335-00-125000-51311 : Mobile Intensive Care Paramedic : Academic Teaching PT"/>
        <s v="11-335-00-125000-52400 : Mobile Intensive Care Paramedic : Classified Nonstudent Instructional Aides PT"/>
        <s v="11-335-00-125000-53110 : Mobile Intensive Care Paramedic : STRS Teaching"/>
        <s v="11-335-00-125000-53310 : Mobile Intensive Care Paramedic : OASDHI (FICA) Teaching"/>
        <s v="11-335-00-125000-53330 : Mobile Intensive Care Paramedic : Medicare Teaching"/>
        <s v="11-335-00-125000-53410 : Mobile Intensive Care Paramedic : H &amp; W Teaching"/>
        <s v="11-335-00-125000-53510 : Mobile Intensive Care Paramedic : SUI Teaching"/>
        <s v="11-335-00-125000-53610 : Mobile Intensive Care Paramedic : WC Teaching"/>
        <s v="11-335-00-125000-53910 : Mobile Intensive Care Paramedic : Other Benefit-Teaching"/>
        <s v="11-335-00-125000-54300 : Mobile Intensive Care Paramedic : Supplies &amp; Materials"/>
        <s v="11-335-00-125000-55630 : Mobile Intensive Care Paramedic : Printing &amp; Duplicating - Inhouse"/>
        <s v="11-335-00-126000-51310 : Health Professions : Academic Teaching NIC"/>
        <s v="11-335-00-126000-51311 : Health Professions : Academic Teaching PT"/>
        <s v="11-335-00-126000-52400 : Health Professions : Classified Nonstudent Instructional Aides PT"/>
        <s v="11-335-00-126000-53110 : Health Professions : STRS Teaching"/>
        <s v="11-335-00-126000-53310 : Health Professions : OASDHI (FICA) Teaching"/>
        <s v="11-335-00-126000-53330 : Health Professions : Medicare Teaching"/>
        <s v="11-335-00-126000-53410 : Health Professions : H &amp; W Teaching"/>
        <s v="11-335-00-126000-53510 : Health Professions : SUI Teaching"/>
        <s v="11-335-00-126000-53610 : Health Professions : WC Teaching"/>
        <s v="11-335-00-126000-53910 : Health Professions : Other Benefit-Teaching"/>
        <s v="11-335-00-126000-54300 : Health Professions : Supplies &amp; Materials"/>
        <s v="11-335-00-601000-51210 : Academic Administration : Academic Nonteaching Management"/>
        <s v="11-335-00-601000-52105 : Academic Administration : Classified CSEA"/>
        <s v="11-335-00-601000-53120 : Academic Administration : STRS Nonteaching"/>
        <s v="11-335-00-601000-53220 : Academic Administration : PERS Nonteaching"/>
        <s v="11-335-00-601000-53320 : Academic Administration : OASDHI (FICA) Nonteaching"/>
        <s v="11-335-00-601000-53340 : Academic Administration : Medicare Nonteaching"/>
        <s v="11-335-00-601000-53420 : Academic Administration : H &amp; W Nonteaching"/>
        <s v="11-335-00-601000-53520 : Academic Administration : SUI Nonteaching"/>
        <s v="11-335-00-601000-53620 : Academic Administration : WC Nonteaching"/>
        <s v="11-335-00-601000-53920 : Academic Administration : Other Benefit-Non Teaching"/>
        <s v="11-335-00-601000-55630 : Academic Administration : Printing &amp; Duplicating - Inhouse"/>
        <s v="11-340-00-682500-51210 : Western Stage : Academic Nonteaching Management"/>
        <s v="11-340-00-682500-52360 : Western Stage : Class Nonstu NonIA PT Prof Exp"/>
        <s v="11-340-00-682500-53120 : Western Stage : STRS Nonteaching"/>
        <s v="11-340-00-682500-53220 : Western Stage : PERS Nonteaching"/>
        <s v="11-340-00-682500-53320 : Western Stage : OASDHI (FICA) Nonteaching"/>
        <s v="11-340-00-682500-53340 : Western Stage : Medicare Nonteaching"/>
        <s v="11-340-00-682500-53420 : Western Stage : H &amp; W Nonteaching"/>
        <s v="11-340-00-682500-53520 : Western Stage : SUI Nonteaching"/>
        <s v="11-340-00-682500-53620 : Western Stage : WC Nonteaching"/>
        <s v="11-340-00-682500-53920 : Western Stage : Other Benefit-Non Teaching"/>
        <s v="11-340-00-682500-54300 : Western Stage : Supplies &amp; Materials"/>
        <s v="11-340-00-682500-54320 : Western Stage : Laundry"/>
        <s v="11-340-00-682500-55105 : Western Stage : Contract Services"/>
        <s v="11-340-00-682500-55200 : Western Stage : Travel &amp; Conference"/>
        <s v="11-340-00-682500-55600 : Western Stage : Rents &amp; Leases"/>
        <s v="11-340-00-682500-55630 : Western Stage : Printing &amp; Duplicating - Inhouse"/>
        <s v="11-340-00-682500-55635 : Western Stage : Printing Services - Vendor"/>
        <s v="11-340-00-682500-55650 : Western Stage : Maintenance Agreement"/>
        <s v="11-340-00-682500-55651 : Western Stage : Equipment Repairs"/>
        <s v="11-340-00-682500-55810 : Western Stage : Bulk Mail"/>
        <s v="11-340-00-682500-55820 : Western Stage : US Postage"/>
        <s v="11-340-00-682500-55830 : Western Stage : Advertising Expense"/>
        <s v="11-350-00-050000-51100 : Business Education : Academic Teaching Full-time"/>
        <s v="11-350-00-050000-51310 : Business Education : Academic Teaching NIC"/>
        <s v="11-350-00-050000-51311 : Business Education : Academic Teaching PT"/>
        <s v="11-350-00-050000-53110 : Business Education : STRS Teaching"/>
        <s v="11-350-00-050000-53310 : Business Education : OASDHI (FICA) Teaching"/>
        <s v="11-350-00-050000-53330 : Business Education : Medicare Teaching"/>
        <s v="11-350-00-050000-53410 : Business Education : H &amp; W Teaching"/>
        <s v="11-350-00-050000-53510 : Business Education : SUI Teaching"/>
        <s v="11-350-00-050000-53610 : Business Education : WC Teaching"/>
        <s v="11-350-00-050000-53910 : Business Education : Other Benefit-Teaching"/>
        <s v="11-350-00-050000-54300 : Business Education : Supplies &amp; Materials"/>
        <s v="11-350-00-050000-55630 : Business Education : Printing &amp; Duplicating - Inhouse"/>
        <s v="11-350-00-050000-56400 : Business Education : Cap Equip - $200 to $4,999"/>
        <s v="11-350-00-094800-55630 : Automotive Technology : Printing &amp; Duplicating - Inhouse"/>
        <s v="11-350-00-130500-51100 : Early Childhood Education : Academic Teaching Full-time"/>
        <s v="11-350-00-130500-51310 : Early Childhood Education : Academic Teaching NIC"/>
        <s v="11-350-00-130500-51311 : Early Childhood Education : Academic Teaching PT"/>
        <s v="11-350-00-130500-52200 : Early Childhood Education : Classified Permanent Instructional Aides"/>
        <s v="11-350-00-130500-53110 : Early Childhood Education : STRS Teaching"/>
        <s v="11-350-00-130500-53210 : Early Childhood Education : PERS Teaching"/>
        <s v="11-350-00-130500-53310 : Early Childhood Education : OASDHI (FICA) Teaching"/>
        <s v="11-350-00-130500-53330 : Early Childhood Education : Medicare Teaching"/>
        <s v="11-350-00-130500-53410 : Early Childhood Education : H &amp; W Teaching"/>
        <s v="11-350-00-130500-53510 : Early Childhood Education : SUI Teaching"/>
        <s v="11-350-00-130500-53610 : Early Childhood Education : WC Teaching"/>
        <s v="11-350-00-130500-55630 : Early Childhood Education : Printing &amp; Duplicating - Inhouse"/>
        <s v="11-350-00-210440-51100 : Alcohol &amp; Drug Counseling : Academic Teaching Full-time"/>
        <s v="11-350-00-210440-51310 : Alcohol &amp; Drug Counseling : Academic Teaching NIC"/>
        <s v="11-350-00-210440-51311 : Alcohol &amp; Drug Counseling : Academic Teaching PT"/>
        <s v="11-350-00-210440-51412 : Alcohol &amp; Drug Counseling : Acad Nonteach Special Projects"/>
        <s v="11-350-00-210440-53110 : Alcohol &amp; Drug Counseling : STRS Teaching"/>
        <s v="11-350-00-210440-53120 : Alcohol &amp; Drug Counseling : STRS Nonteaching"/>
        <s v="11-350-00-210440-53330 : Alcohol &amp; Drug Counseling : Medicare Teaching"/>
        <s v="11-350-00-210440-53340 : Alcohol &amp; Drug Counseling : Medicare Nonteaching"/>
        <s v="11-350-00-210440-53410 : Alcohol &amp; Drug Counseling : H &amp; W Teaching"/>
        <s v="11-350-00-210440-53510 : Alcohol &amp; Drug Counseling : SUI Teaching"/>
        <s v="11-350-00-210440-53520 : Alcohol &amp; Drug Counseling : SUI Nonteaching"/>
        <s v="11-350-00-210440-53610 : Alcohol &amp; Drug Counseling : WC Teaching"/>
        <s v="11-350-00-210440-53620 : Alcohol &amp; Drug Counseling : WC Nonteaching"/>
        <s v="11-350-00-210440-55630 : Alcohol &amp; Drug Counseling : Printing &amp; Duplicating - Inhouse"/>
        <s v="11-350-00-210500-51100 : Administration of Justice : Academic Teaching Full-time"/>
        <s v="11-350-00-210500-51310 : Administration of Justice : Academic Teaching NIC"/>
        <s v="11-350-00-210500-51311 : Administration of Justice : Academic Teaching PT"/>
        <s v="11-350-00-210500-51412 : Administration of Justice : Acad Nonteach Special Projects"/>
        <s v="11-350-00-210500-52360 : Administration of Justice : Class Nonstu NonIA PT Prof Exp"/>
        <s v="11-350-00-210500-53110 : Administration of Justice : STRS Teaching"/>
        <s v="11-350-00-210500-53120 : Administration of Justice : STRS Nonteaching"/>
        <s v="11-350-00-210500-53310 : Administration of Justice : OASDHI (FICA) Teaching"/>
        <s v="11-350-00-210500-53320 : Administration of Justice : OASDHI (FICA) Nonteaching"/>
        <s v="11-350-00-210500-53330 : Administration of Justice : Medicare Teaching"/>
        <s v="11-350-00-210500-53340 : Administration of Justice : Medicare Nonteaching"/>
        <s v="11-350-00-210500-53410 : Administration of Justice : H &amp; W Teaching"/>
        <s v="11-350-00-210500-53510 : Administration of Justice : SUI Teaching"/>
        <s v="11-350-00-210500-53520 : Administration of Justice : SUI Nonteaching"/>
        <s v="11-350-00-210500-53610 : Administration of Justice : WC Teaching"/>
        <s v="11-350-00-210500-53620 : Administration of Justice : WC Nonteaching"/>
        <s v="11-350-00-210500-55309 : Administration of Justice : Subscriptions"/>
        <s v="11-350-00-210500-55630 : Administration of Justice : Printing &amp; Duplicating - Inhouse"/>
        <s v="11-350-00-601000-51210 : Academic Administration : Academic Nonteaching Management"/>
        <s v="11-350-00-601000-52105 : Academic Administration : Classified CSEA"/>
        <s v="11-350-00-601000-52360 : Academic Administration : Class Nonstu NonIA PT Prof Exp"/>
        <s v="11-350-00-601000-53120 : Academic Administration : STRS Nonteaching"/>
        <s v="11-350-00-601000-53220 : Academic Administration : PERS Nonteaching"/>
        <s v="11-350-00-601000-53320 : Academic Administration : OASDHI (FICA) Nonteaching"/>
        <s v="11-350-00-601000-53340 : Academic Administration : Medicare Nonteaching"/>
        <s v="11-350-00-601000-53420 : Academic Administration : H &amp; W Nonteaching"/>
        <s v="11-350-00-601000-53520 : Academic Administration : SUI Nonteaching"/>
        <s v="11-350-00-601000-53620 : Academic Administration : WC Nonteaching"/>
        <s v="11-350-00-601000-54349 : Academic Administration : M&amp;O Fuel and Oil Expense"/>
        <s v="11-350-00-601000-55630 : Academic Administration : Printing &amp; Duplicating - Inhouse"/>
        <s v="11-350-00-703800-51412 : MESA Grant : Acad Nonteach Special Projects"/>
        <s v="11-350-00-703800-52105 : MESA Grant : Classified CSEA"/>
        <s v="11-350-00-703800-53120 : MESA Grant : STRS Nonteaching"/>
        <s v="11-350-00-703800-53220 : MESA Grant : PERS Nonteaching"/>
        <s v="11-350-00-703800-53320 : MESA Grant : OASDHI (FICA) Nonteaching"/>
        <s v="11-350-00-703800-53340 : MESA Grant : Medicare Nonteaching"/>
        <s v="11-350-00-703800-53420 : MESA Grant : H &amp; W Nonteaching"/>
        <s v="11-350-00-703800-53520 : MESA Grant : SUI Nonteaching"/>
        <s v="11-350-00-703800-53620 : MESA Grant : WC Nonteaching"/>
        <s v="11-350-01-010100-51100 : Agriculture Technology : Academic Teaching Full-time"/>
        <s v="11-350-01-010100-51310 : Agriculture Technology : Academic Teaching NIC"/>
        <s v="11-350-01-010100-51311 : Agriculture Technology : Academic Teaching PT"/>
        <s v="11-350-01-010100-51412 : Agriculture Technology : Acad Nonteach Special Projects"/>
        <s v="11-350-01-010100-52200 : Agriculture Technology : Classified Permanent Instructional Aides"/>
        <s v="11-350-01-010100-52300 : Agriculture Technology : Classified Overtime"/>
        <s v="11-350-01-010100-53110 : Agriculture Technology : STRS Teaching"/>
        <s v="11-350-01-010100-53120 : Agriculture Technology : STRS Nonteaching"/>
        <s v="11-350-01-010100-53210 : Agriculture Technology : PERS Teaching"/>
        <s v="11-350-01-010100-53310 : Agriculture Technology : OASDHI (FICA) Teaching"/>
        <s v="11-350-01-010100-53320 : Agriculture Technology : OASDHI (FICA) Nonteaching"/>
        <s v="11-350-01-010100-53330 : Agriculture Technology : Medicare Teaching"/>
        <s v="11-350-01-010100-53340 : Agriculture Technology : Medicare Nonteaching"/>
        <s v="11-350-01-010100-53410 : Agriculture Technology : H &amp; W Teaching"/>
        <s v="11-350-01-010100-53510 : Agriculture Technology : SUI Teaching"/>
        <s v="11-350-01-010100-53520 : Agriculture Technology : SUI Nonteaching"/>
        <s v="11-350-01-010100-53610 : Agriculture Technology : WC Teaching"/>
        <s v="11-350-01-010100-53620 : Agriculture Technology : WC Nonteaching"/>
        <s v="11-350-01-010100-53910 : Agriculture Technology : Other Benefit-Teaching"/>
        <s v="11-350-01-010100-54300 : Agriculture Technology : Supplies &amp; Materials"/>
        <s v="11-350-01-010100-55200 : Agriculture Technology : Travel &amp; Conference"/>
        <s v="11-350-01-010100-55300 : Agriculture Technology : Memberships"/>
        <s v="11-350-01-010100-55560 : Agriculture Technology : Water Service"/>
        <s v="11-350-01-010100-55630 : Agriculture Technology : Printing &amp; Duplicating - Inhouse"/>
        <s v="11-350-01-010100-55635 : Agriculture Technology : Printing Services - Vendor"/>
        <s v="11-350-01-010100-55650 : Agriculture Technology : Maintenance Agreement"/>
        <s v="11-350-01-070100-51100 : Computer &amp; Information Science : Academic Teaching Full-time"/>
        <s v="11-350-01-070100-51200 : Computer &amp; Information Science : Academic Nonteaching Full-time"/>
        <s v="11-350-01-070100-51311 : Computer &amp; Information Science : Academic Teaching PT"/>
        <s v="11-350-01-070100-53110 : Computer &amp; Information Science : STRS Teaching"/>
        <s v="11-350-01-070100-53120 : Computer &amp; Information Science : STRS Nonteaching"/>
        <s v="11-350-01-070100-53330 : Computer &amp; Information Science : Medicare Teaching"/>
        <s v="11-350-01-070100-53340 : Computer &amp; Information Science : Medicare Nonteaching"/>
        <s v="11-350-01-070100-53410 : Computer &amp; Information Science : H &amp; W Teaching"/>
        <s v="11-350-01-070100-53420 : Computer &amp; Information Science : H &amp; W Nonteaching"/>
        <s v="11-350-01-070100-53510 : Computer &amp; Information Science : SUI Teaching"/>
        <s v="11-350-01-070100-53520 : Computer &amp; Information Science : SUI Nonteaching"/>
        <s v="11-350-01-070100-53610 : Computer &amp; Information Science : WC Teaching"/>
        <s v="11-350-01-070100-53620 : Computer &amp; Information Science : WC Nonteaching"/>
        <s v="11-350-01-094500-52200 : Agriculture &amp; Industrial Tech. : Classified Permanent Instructional Aides"/>
        <s v="11-350-01-094500-53210 : Agriculture &amp; Industrial Tech. : PERS Teaching"/>
        <s v="11-350-01-094500-53310 : Agriculture &amp; Industrial Tech. : OASDHI (FICA) Teaching"/>
        <s v="11-350-01-094500-53330 : Agriculture &amp; Industrial Tech. : Medicare Teaching"/>
        <s v="11-350-01-094500-53410 : Agriculture &amp; Industrial Tech. : H &amp; W Teaching"/>
        <s v="11-350-01-094500-53510 : Agriculture &amp; Industrial Tech. : SUI Teaching"/>
        <s v="11-350-01-094500-53610 : Agriculture &amp; Industrial Tech. : WC Teaching"/>
        <s v="11-350-01-094500-54300 : Agriculture &amp; Industrial Tech. : Supplies &amp; Materials"/>
        <s v="11-350-01-094500-55200 : Agriculture &amp; Industrial Tech. : Travel &amp; Conference"/>
        <s v="11-350-01-094500-55300 : Agriculture &amp; Industrial Tech. : Memberships"/>
        <s v="11-350-01-094500-55630 : Agriculture &amp; Industrial Tech. : Printing &amp; Duplicating - Inhouse"/>
        <s v="11-350-01-094500-55651 : Agriculture &amp; Industrial Tech. : Equipment Repairs"/>
        <s v="11-350-01-094700-51100 : Diesel Mechanics : Academic Teaching Full-time"/>
        <s v="11-350-01-094700-51310 : Diesel Mechanics : Academic Teaching NIC"/>
        <s v="11-350-01-094700-51311 : Diesel Mechanics : Academic Teaching PT"/>
        <s v="11-350-01-094700-51412 : Diesel Mechanics : Acad Nonteach Special Projects"/>
        <s v="11-350-01-094700-52200 : Diesel Mechanics : Classified Permanent Instructional Aides"/>
        <s v="11-350-01-094700-52360 : Diesel Mechanics : Class Nonstu NonIA PT Prof Exp"/>
        <s v="11-350-01-094700-53110 : Diesel Mechanics : STRS Teaching"/>
        <s v="11-350-01-094700-53120 : Diesel Mechanics : STRS Nonteaching"/>
        <s v="11-350-01-094700-53210 : Diesel Mechanics : PERS Teaching"/>
        <s v="11-350-01-094700-53310 : Diesel Mechanics : OASDHI (FICA) Teaching"/>
        <s v="11-350-01-094700-53320 : Diesel Mechanics : OASDHI (FICA) Nonteaching"/>
        <s v="11-350-01-094700-53330 : Diesel Mechanics : Medicare Teaching"/>
        <s v="11-350-01-094700-53340 : Diesel Mechanics : Medicare Nonteaching"/>
        <s v="11-350-01-094700-53410 : Diesel Mechanics : H &amp; W Teaching"/>
        <s v="11-350-01-094700-53510 : Diesel Mechanics : SUI Teaching"/>
        <s v="11-350-01-094700-53520 : Diesel Mechanics : SUI Nonteaching"/>
        <s v="11-350-01-094700-53610 : Diesel Mechanics : WC Teaching"/>
        <s v="11-350-01-094700-53620 : Diesel Mechanics : WC Nonteaching"/>
        <s v="11-350-01-094700-53910 : Diesel Mechanics : Other Benefit-Teaching"/>
        <s v="11-350-01-094700-54300 : Diesel Mechanics : Supplies &amp; Materials"/>
        <s v="11-350-01-094700-55125 : Diesel Mechanics : Training &amp; Seminars"/>
        <s v="11-350-01-094700-55575 : Diesel Mechanics : Hazardous Waste Disposal"/>
        <s v="11-350-01-094700-55630 : Diesel Mechanics : Printing &amp; Duplicating - Inhouse"/>
        <s v="11-350-01-094700-55650 : Diesel Mechanics : Maintenance Agreement"/>
        <s v="11-350-01-094700-55651 : Diesel Mechanics : Equipment Repairs"/>
        <s v="11-350-01-094700-55800 : Diesel Mechanics : Other Costs"/>
        <s v="11-350-01-094700-56400 : Diesel Mechanics : Cap Equip - $200 to $4,999"/>
        <s v="11-350-01-094800-51310 : Automotive Technology : Academic Teaching NIC"/>
        <s v="11-350-01-094800-51311 : Automotive Technology : Academic Teaching PT"/>
        <s v="11-350-01-094800-51412 : Automotive Technology : Acad Nonteach Special Projects"/>
        <s v="11-350-01-094800-53110 : Automotive Technology : STRS Teaching"/>
        <s v="11-350-01-094800-53120 : Automotive Technology : STRS Nonteaching"/>
        <s v="11-350-01-094800-53310 : Automotive Technology : OASDHI (FICA) Teaching"/>
        <s v="11-350-01-094800-53330 : Automotive Technology : Medicare Teaching"/>
        <s v="11-350-01-094800-53340 : Automotive Technology : Medicare Nonteaching"/>
        <s v="11-350-01-094800-53510 : Automotive Technology : SUI Teaching"/>
        <s v="11-350-01-094800-53520 : Automotive Technology : SUI Nonteaching"/>
        <s v="11-350-01-094800-53610 : Automotive Technology : WC Teaching"/>
        <s v="11-350-01-094800-53620 : Automotive Technology : WC Nonteaching"/>
        <s v="11-350-01-094800-54300 : Automotive Technology : Supplies &amp; Materials"/>
        <s v="11-350-01-094800-55630 : Automotive Technology : Printing &amp; Duplicating - Inhouse"/>
        <s v="11-350-01-094800-55650 : Automotive Technology : Maintenance Agreement"/>
        <s v="11-350-01-094800-55651 : Automotive Technology : Equipment Repairs"/>
        <s v="11-350-01-094800-56341 : Automotive Technology : On-line Database Services"/>
        <s v="11-350-01-095200-51100 : Construction Technology : Academic Teaching Full-time"/>
        <s v="11-350-01-095200-51310 : Construction Technology : Academic Teaching NIC"/>
        <s v="11-350-01-095200-51311 : Construction Technology : Academic Teaching PT"/>
        <s v="11-350-01-095200-53110 : Construction Technology : STRS Teaching"/>
        <s v="11-350-01-095200-53330 : Construction Technology : Medicare Teaching"/>
        <s v="11-350-01-095200-53410 : Construction Technology : H &amp; W Teaching"/>
        <s v="11-350-01-095200-53510 : Construction Technology : SUI Teaching"/>
        <s v="11-350-01-095200-53610 : Construction Technology : WC Teaching"/>
        <s v="11-350-01-095200-53910 : Construction Technology : Other Benefit-Teaching"/>
        <s v="11-350-01-095200-54300 : Construction Technology : Supplies &amp; Materials"/>
        <s v="11-350-01-095200-55300 : Construction Technology : Memberships"/>
        <s v="11-350-01-095200-55309 : Construction Technology : Subscriptions"/>
        <s v="11-350-01-095200-55630 : Construction Technology : Printing &amp; Duplicating - Inhouse"/>
        <s v="11-350-01-095200-56400 : Construction Technology : Cap Equip - $200 to $4,999"/>
        <s v="11-350-01-095220-55105 : Electrical Apprentice : Contract Services"/>
        <s v="11-350-01-095300-51100 : Drafting Technology : Academic Teaching Full-time"/>
        <s v="11-350-01-095300-53110 : Drafting Technology : STRS Teaching"/>
        <s v="11-350-01-095300-53330 : Drafting Technology : Medicare Teaching"/>
        <s v="11-350-01-095300-53410 : Drafting Technology : H &amp; W Teaching"/>
        <s v="11-350-01-095300-53510 : Drafting Technology : SUI Teaching"/>
        <s v="11-350-01-095300-53610 : Drafting Technology : WC Teaching"/>
        <s v="11-350-01-095300-54300 : Drafting Technology : Supplies &amp; Materials"/>
        <s v="11-350-01-095300-55630 : Drafting Technology : Printing &amp; Duplicating - Inhouse"/>
        <s v="11-350-01-095300-55651 : Drafting Technology : Equipment Repairs"/>
        <s v="11-350-01-095300-56300 : Drafting Technology : Capital Books &amp; Software"/>
        <s v="11-350-01-095650-51100 : Welding Technology : Academic Teaching Full-time"/>
        <s v="11-350-01-095650-51310 : Welding Technology : Academic Teaching NIC"/>
        <s v="11-350-01-095650-51311 : Welding Technology : Academic Teaching PT"/>
        <s v="11-350-01-095650-52200 : Welding Technology : Classified Permanent Instructional Aides"/>
        <s v="11-350-01-095650-53110 : Welding Technology : STRS Teaching"/>
        <s v="11-350-01-095650-53210 : Welding Technology : PERS Teaching"/>
        <s v="11-350-01-095650-53310 : Welding Technology : OASDHI (FICA) Teaching"/>
        <s v="11-350-01-095650-53330 : Welding Technology : Medicare Teaching"/>
        <s v="11-350-01-095650-53410 : Welding Technology : H &amp; W Teaching"/>
        <s v="11-350-01-095650-53510 : Welding Technology : SUI Teaching"/>
        <s v="11-350-01-095650-53610 : Welding Technology : WC Teaching"/>
        <s v="11-350-01-095650-54300 : Welding Technology : Supplies &amp; Materials"/>
        <s v="11-350-01-095650-55630 : Welding Technology : Printing &amp; Duplicating - Inhouse"/>
        <s v="11-350-01-095650-55651 : Welding Technology : Equipment Repairs"/>
        <s v="11-350-01-095650-56400 : Welding Technology : Cap Equip - $200 to $4,999"/>
        <s v="11-350-01-601000-51210 : Academic Administration : Academic Nonteaching Management"/>
        <s v="11-350-01-601000-52105 : Academic Administration : Classified CSEA"/>
        <s v="11-350-01-601000-52300 : Academic Administration : Classified Overtime"/>
        <s v="11-350-01-601000-52350 : Academic Administration : Classified Student Dist Non-IA PT"/>
        <s v="11-350-01-601000-53120 : Academic Administration : STRS Nonteaching"/>
        <s v="11-350-01-601000-53220 : Academic Administration : PERS Nonteaching"/>
        <s v="11-350-01-601000-53320 : Academic Administration : OASDHI (FICA) Nonteaching"/>
        <s v="11-350-01-601000-53340 : Academic Administration : Medicare Nonteaching"/>
        <s v="11-350-01-601000-53420 : Academic Administration : H &amp; W Nonteaching"/>
        <s v="11-350-01-601000-53520 : Academic Administration : SUI Nonteaching"/>
        <s v="11-350-01-601000-53620 : Academic Administration : WC Nonteaching"/>
        <s v="11-350-01-601000-53920 : Academic Administration : Other Benefit-Non Teaching"/>
        <s v="11-350-01-601000-54300 : Academic Administration : Supplies &amp; Materials"/>
        <s v="11-350-01-601000-54349 : Academic Administration : M&amp;O Fuel and Oil Expense"/>
        <s v="11-350-01-601000-55125 : Academic Administration : Training &amp; Seminars"/>
        <s v="11-350-01-601000-55200 : Academic Administration : Travel &amp; Conference"/>
        <s v="11-350-01-601000-55300 : Academic Administration : Memberships"/>
        <s v="11-350-01-601000-55309 : Academic Administration : Subscriptions"/>
        <s v="11-350-01-601000-55600 : Academic Administration : Rents &amp; Leases"/>
        <s v="11-350-01-601000-55630 : Academic Administration : Printing &amp; Duplicating - Inhouse"/>
        <s v="11-350-01-601000-55635 : Academic Administration : Printing Services - Vendor"/>
        <s v="11-350-01-601000-55650 : Academic Administration : Maintenance Agreement"/>
        <s v="11-350-01-601000-55800 : Academic Administration : Other Costs"/>
        <s v="11-350-01-601000-55830 : Academic Administration : Advertising Expense"/>
        <s v="11-350-01-601000-56300 : Academic Administration : Capital Books &amp; Software"/>
        <s v="11-360-00-160100-51100 : Library Science : Academic Teaching Full-time"/>
        <s v="11-360-00-160100-51310 : Library Science : Academic Teaching NIC"/>
        <s v="11-360-00-160100-51311 : Library Science : Academic Teaching PT"/>
        <s v="11-360-00-160100-53110 : Library Science : STRS Teaching"/>
        <s v="11-360-00-160100-53210 : Library Science : PERS Teaching"/>
        <s v="11-360-00-160100-53310 : Library Science : OASDHI (FICA) Teaching"/>
        <s v="11-360-00-160100-53330 : Library Science : Medicare Teaching"/>
        <s v="11-360-00-160100-53410 : Library Science : H &amp; W Teaching"/>
        <s v="11-360-00-160100-53510 : Library Science : SUI Teaching"/>
        <s v="11-360-00-160100-53610 : Library Science : WC Teaching"/>
        <s v="11-360-00-160100-54300 : Library Science : Supplies &amp; Materials"/>
        <s v="11-360-00-160100-55200 : Library Science : Travel &amp; Conference"/>
        <s v="11-360-00-160100-55630 : Library Science : Printing &amp; Duplicating - Inhouse"/>
        <s v="11-360-00-490110-54300 : Interdisciplinary Studies : Supplies &amp; Materials"/>
        <s v="11-360-00-490110-55200 : Interdisciplinary Studies : Travel &amp; Conference"/>
        <s v="11-360-00-490110-56300 : Interdisciplinary Studies : Capital Books &amp; Software"/>
        <s v="11-360-00-601000-51210 : Academic Administration : Academic Nonteaching Management"/>
        <s v="11-360-00-601000-52105 : Academic Administration : Classified CSEA"/>
        <s v="11-360-00-601000-52300 : Academic Administration : Classified Overtime"/>
        <s v="11-360-00-601000-52360 : Academic Administration : Class Nonstu NonIA PT Prof Exp"/>
        <s v="11-360-00-601000-53120 : Academic Administration : STRS Nonteaching"/>
        <s v="11-360-00-601000-53220 : Academic Administration : PERS Nonteaching"/>
        <s v="11-360-00-601000-53320 : Academic Administration : OASDHI (FICA) Nonteaching"/>
        <s v="11-360-00-601000-53340 : Academic Administration : Medicare Nonteaching"/>
        <s v="11-360-00-601000-53420 : Academic Administration : H &amp; W Nonteaching"/>
        <s v="11-360-00-601000-53520 : Academic Administration : SUI Nonteaching"/>
        <s v="11-360-00-601000-53620 : Academic Administration : WC Nonteaching"/>
        <s v="11-360-00-601000-53920 : Academic Administration : Other Benefit-Non Teaching"/>
        <s v="11-360-00-601000-54300 : Academic Administration : Supplies &amp; Materials"/>
        <s v="11-360-00-601000-55630 : Academic Administration : Printing &amp; Duplicating - Inhouse"/>
        <s v="11-360-00-612000-51200 : Library Services : Academic Nonteaching Full-time"/>
        <s v="11-360-00-612000-51411 : Library Services : Academic Nonteaching PT"/>
        <s v="11-360-00-612000-51412 : Library Services : Acad Nonteach Special Projects"/>
        <s v="11-360-00-612000-52105 : Library Services : Classified CSEA"/>
        <s v="11-360-00-612000-52300 : Library Services : Classified Overtime"/>
        <s v="11-360-00-612000-52350 : Library Services : Classified Student Dist Non-IA PT"/>
        <s v="11-360-00-612000-53120 : Library Services : STRS Nonteaching"/>
        <s v="11-360-00-612000-53220 : Library Services : PERS Nonteaching"/>
        <s v="11-360-00-612000-53320 : Library Services : OASDHI (FICA) Nonteaching"/>
        <s v="11-360-00-612000-53340 : Library Services : Medicare Nonteaching"/>
        <s v="11-360-00-612000-53420 : Library Services : H &amp; W Nonteaching"/>
        <s v="11-360-00-612000-53520 : Library Services : SUI Nonteaching"/>
        <s v="11-360-00-612000-53620 : Library Services : WC Nonteaching"/>
        <s v="11-360-00-612000-54300 : Library Services : Supplies &amp; Materials"/>
        <s v="11-360-00-612000-55200 : Library Services : Travel &amp; Conference"/>
        <s v="11-360-00-612000-55300 : Library Services : Memberships"/>
        <s v="11-360-00-612000-55630 : Library Services : Printing &amp; Duplicating - Inhouse"/>
        <s v="11-360-00-612000-55650 : Library Services : Maintenance Agreement"/>
        <s v="11-360-00-612000-56300 : Library Services : Capital Books &amp; Software"/>
        <s v="11-360-00-612000-56310 : Library Services : Periodicals &amp; Newspapers"/>
        <s v="11-360-00-612000-56340 : Library Services : Bibliographic Utilities"/>
        <s v="11-360-00-612000-56341 : Library Services : On-line Database Services"/>
        <s v="11-360-00-613000-52105 : Instructional Media : Classified CSEA"/>
        <s v="11-360-00-613000-52300 : Instructional Media : Classified Overtime"/>
        <s v="11-360-00-613000-53220 : Instructional Media : PERS Nonteaching"/>
        <s v="11-360-00-613000-53320 : Instructional Media : OASDHI (FICA) Nonteaching"/>
        <s v="11-360-00-613000-53340 : Instructional Media : Medicare Nonteaching"/>
        <s v="11-360-00-613000-53420 : Instructional Media : H &amp; W Nonteaching"/>
        <s v="11-360-00-613000-53520 : Instructional Media : SUI Nonteaching"/>
        <s v="11-360-00-613000-53620 : Instructional Media : WC Nonteaching"/>
        <s v="11-360-00-613000-54300 : Instructional Media : Supplies &amp; Materials"/>
        <s v="11-360-00-613000-55630 : Instructional Media : Printing &amp; Duplicating - Inhouse"/>
        <s v="11-360-00-613000-56300 : Instructional Media : Capital Books &amp; Software"/>
        <s v="11-360-00-613000-56400 : Instructional Media : Cap Equip - $200 to $4,999"/>
        <s v="11-365-00-493034-51311 : Learning Skills Center : Academic Teaching PT"/>
        <s v="11-365-00-493034-52350 : Learning Skills Center : Classified Student Dist Non-IA PT"/>
        <s v="11-365-00-493034-52420 : Learning Skills Center : Classified Student Dist Instructional Aides PT"/>
        <s v="11-365-00-493034-53110 : Learning Skills Center : STRS Teaching"/>
        <s v="11-365-00-493034-53310 : Learning Skills Center : OASDHI (FICA) Teaching"/>
        <s v="11-365-00-493034-53330 : Learning Skills Center : Medicare Teaching"/>
        <s v="11-365-00-493034-53510 : Learning Skills Center : SUI Teaching"/>
        <s v="11-365-00-493034-53610 : Learning Skills Center : WC Teaching"/>
        <s v="11-365-00-493034-53620 : Learning Skills Center : WC Nonteaching"/>
        <s v="11-365-00-493034-55630 : Learning Skills Center : Printing &amp; Duplicating - Inhouse"/>
        <s v="11-365-00-493035-52105 : Tutorial Center : Classified CSEA"/>
        <s v="11-365-00-493035-52350 : Tutorial Center : Classified Student Dist Non-IA PT"/>
        <s v="11-365-00-493035-52360 : Tutorial Center : Class Nonstu NonIA PT Prof Exp"/>
        <s v="11-365-00-493035-53220 : Tutorial Center : PERS Nonteaching"/>
        <s v="11-365-00-493035-53320 : Tutorial Center : OASDHI (FICA) Nonteaching"/>
        <s v="11-365-00-493035-53340 : Tutorial Center : Medicare Nonteaching"/>
        <s v="11-365-00-493035-53420 : Tutorial Center : H &amp; W Nonteaching"/>
        <s v="11-365-00-493035-53520 : Tutorial Center : SUI Nonteaching"/>
        <s v="11-365-00-493035-53620 : Tutorial Center : WC Nonteaching"/>
        <s v="11-365-00-493035-54300 : Tutorial Center : Supplies &amp; Materials"/>
        <s v="11-365-00-493035-55300 : Tutorial Center : Memberships"/>
        <s v="11-370-00-708300-52105 : Dept of Social &amp; Employ Svs : Classified CSEA"/>
        <s v="11-370-00-708300-52130 : Dept of Social &amp; Employ Svs : Classified Management"/>
        <s v="11-370-00-708300-52300 : Dept of Social &amp; Employ Svs : Classified Overtime"/>
        <s v="11-370-00-708300-52360 : Dept of Social &amp; Employ Svs : Class Nonstu NonIA PT Prof Exp"/>
        <s v="11-370-00-708300-53220 : Dept of Social &amp; Employ Svs : PERS Nonteaching"/>
        <s v="11-370-00-708300-53320 : Dept of Social &amp; Employ Svs : OASDHI (FICA) Nonteaching"/>
        <s v="11-370-00-708300-53340 : Dept of Social &amp; Employ Svs : Medicare Nonteaching"/>
        <s v="11-370-00-708300-53420 : Dept of Social &amp; Employ Svs : H &amp; W Nonteaching"/>
        <s v="11-370-00-708300-53520 : Dept of Social &amp; Employ Svs : SUI Nonteaching"/>
        <s v="11-370-00-708300-53620 : Dept of Social &amp; Employ Svs : WC Nonteaching"/>
        <s v="11-370-00-708300-54210 : Dept of Social &amp; Employ Svs : Purchases - Food"/>
        <s v="11-370-00-708300-54300 : Dept of Social &amp; Employ Svs : Supplies &amp; Materials"/>
        <s v="11-370-00-708300-55100 : Dept of Social &amp; Employ Svs : Personal Service Contract - 1099"/>
        <s v="11-370-00-708300-55105 : Dept of Social &amp; Employ Svs : Contract Services"/>
        <s v="11-370-00-708300-55200 : Dept of Social &amp; Employ Svs : Travel &amp; Conference"/>
        <s v="11-370-00-708300-55600 : Dept of Social &amp; Employ Svs : Rents &amp; Leases"/>
        <s v="11-370-00-708300-55630 : Dept of Social &amp; Employ Svs : Printing &amp; Duplicating - Inhouse"/>
        <s v="11-370-00-708300-55635 : Dept of Social &amp; Employ Svs : Printing Services - Vendor"/>
        <s v="11-370-00-708300-55820 : Dept of Social &amp; Employ Svs : US Postage"/>
        <s v="11-370-00-708300-57350 : Dept of Social &amp; Employ Svs : Tsf Indirect Costs-Interfund"/>
        <s v="11-372-00-601000-51412 : Academic Administration : Acad Nonteach Special Projects"/>
        <s v="11-372-00-601000-53120 : Academic Administration : STRS Nonteaching"/>
        <s v="11-372-00-601000-53340 : Academic Administration : Medicare Nonteaching"/>
        <s v="11-372-00-601000-53520 : Academic Administration : SUI Nonteaching"/>
        <s v="11-372-00-601000-53620 : Academic Administration : WC Nonteaching"/>
        <s v="11-372-00-601000-54300 : Academic Administration : Supplies &amp; Materials"/>
        <s v="11-372-00-601000-55200 : Academic Administration : Travel &amp; Conference"/>
        <s v="11-372-00-601000-55821 : Academic Administration : Commercial Parcel Service"/>
        <s v="11-372-00-601000-56400 : Academic Administration : Cap Equip - $200 to $4,999"/>
        <s v="11-373-00-601000-51210 : Academic Administration : Academic Nonteaching Management"/>
        <s v="11-373-00-601000-52105 : Academic Administration : Classified CSEA"/>
        <s v="11-373-00-601000-53120 : Academic Administration : STRS Nonteaching"/>
        <s v="11-373-00-601000-53220 : Academic Administration : PERS Nonteaching"/>
        <s v="11-373-00-601000-53320 : Academic Administration : OASDHI (FICA) Nonteaching"/>
        <s v="11-373-00-601000-53340 : Academic Administration : Medicare Nonteaching"/>
        <s v="11-373-00-601000-53420 : Academic Administration : H &amp; W Nonteaching"/>
        <s v="11-373-00-601000-53520 : Academic Administration : SUI Nonteaching"/>
        <s v="11-373-00-601000-53620 : Academic Administration : WC Nonteaching"/>
        <s v="11-373-00-601000-53920 : Academic Administration : Other Benefit-Non Teaching"/>
        <s v="11-375-00-085000-51311 : American Sign Language : Academic Teaching PT"/>
        <s v="11-375-00-085000-51412 : American Sign Language : Acad Nonteach Special Projects"/>
        <s v="11-375-00-085000-53110 : American Sign Language : STRS Teaching"/>
        <s v="11-375-00-085000-53120 : American Sign Language : STRS Nonteaching"/>
        <s v="11-375-00-085000-53330 : American Sign Language : Medicare Teaching"/>
        <s v="11-375-00-085000-53340 : American Sign Language : Medicare Nonteaching"/>
        <s v="11-375-00-085000-53510 : American Sign Language : SUI Teaching"/>
        <s v="11-375-00-085000-53520 : American Sign Language : SUI Nonteaching"/>
        <s v="11-375-00-085000-53610 : American Sign Language : WC Teaching"/>
        <s v="11-375-00-085000-53620 : American Sign Language : WC Nonteaching"/>
        <s v="11-375-00-085000-55105 : American Sign Language : Contract Services"/>
        <s v="11-375-00-110500-51100 : Spanish : Academic Teaching Full-time"/>
        <s v="11-375-00-110500-51310 : Spanish : Academic Teaching NIC"/>
        <s v="11-375-00-110500-51311 : Spanish : Academic Teaching PT"/>
        <s v="11-375-00-110500-53110 : Spanish : STRS Teaching"/>
        <s v="11-375-00-110500-53310 : Spanish : OASDHI (FICA) Teaching"/>
        <s v="11-375-00-110500-53330 : Spanish : Medicare Teaching"/>
        <s v="11-375-00-110500-53410 : Spanish : H &amp; W Teaching"/>
        <s v="11-375-00-110500-53510 : Spanish : SUI Teaching"/>
        <s v="11-375-00-110500-53610 : Spanish : WC Teaching"/>
        <s v="11-375-00-110500-54300 : Spanish : Supplies &amp; Materials"/>
        <s v="11-375-00-110500-55630 : Spanish : Printing &amp; Duplicating - Inhouse"/>
        <s v="11-375-00-150100-51100 : English : Academic Teaching Full-time"/>
        <s v="11-375-00-150100-51310 : English : Academic Teaching NIC"/>
        <s v="11-375-00-150100-51311 : English : Academic Teaching PT"/>
        <s v="11-375-00-150100-53110 : English : STRS Teaching"/>
        <s v="11-375-00-150100-53310 : English : OASDHI (FICA) Teaching"/>
        <s v="11-375-00-150100-53330 : English : Medicare Teaching"/>
        <s v="11-375-00-150100-53410 : English : H &amp; W Teaching"/>
        <s v="11-375-00-150100-53510 : English : SUI Teaching"/>
        <s v="11-375-00-150100-53610 : English : WC Teaching"/>
        <s v="11-375-00-150100-53910 : English : Other Benefit-Teaching"/>
        <s v="11-375-00-150100-54300 : English : Supplies &amp; Materials"/>
        <s v="11-375-00-150100-55300 : English : Memberships"/>
        <s v="11-375-00-150100-55630 : English : Printing &amp; Duplicating - Inhouse"/>
        <s v="11-375-00-150600-51100 : Speech : Academic Teaching Full-time"/>
        <s v="11-375-00-150600-51310 : Speech : Academic Teaching NIC"/>
        <s v="11-375-00-150600-51311 : Speech : Academic Teaching PT"/>
        <s v="11-375-00-150600-53110 : Speech : STRS Teaching"/>
        <s v="11-375-00-150600-53310 : Speech : OASDHI (FICA) Teaching"/>
        <s v="11-375-00-150600-53330 : Speech : Medicare Teaching"/>
        <s v="11-375-00-150600-53410 : Speech : H &amp; W Teaching"/>
        <s v="11-375-00-150600-53510 : Speech : SUI Teaching"/>
        <s v="11-375-00-150600-53610 : Speech : WC Teaching"/>
        <s v="11-375-00-150600-54300 : Speech : Supplies &amp; Materials"/>
        <s v="11-375-00-150600-55200 : Speech : Travel &amp; Conference"/>
        <s v="11-375-00-150600-55630 : Speech : Printing &amp; Duplicating - Inhouse"/>
        <s v="11-375-00-493080-51100 : ESL : Academic Teaching Full-time"/>
        <s v="11-375-00-493080-51310 : ESL : Academic Teaching NIC"/>
        <s v="11-375-00-493080-51311 : ESL : Academic Teaching PT"/>
        <s v="11-375-00-493080-53110 : ESL : STRS Teaching"/>
        <s v="11-375-00-493080-53330 : ESL : Medicare Teaching"/>
        <s v="11-375-00-493080-53410 : ESL : H &amp; W Teaching"/>
        <s v="11-375-00-493080-53510 : ESL : SUI Teaching"/>
        <s v="11-375-00-493080-53610 : ESL : WC Teaching"/>
        <s v="11-375-00-493080-54300 : ESL : Supplies &amp; Materials"/>
        <s v="11-375-00-493080-55630 : ESL : Printing &amp; Duplicating - Inhouse"/>
        <s v="11-395-00-635050-51412 : ACE Program : Acad Nonteach Special Projects"/>
        <s v="11-395-00-635050-52105 : ACE Program : Classified CSEA"/>
        <s v="11-395-00-635050-52350 : ACE Program : Classified Student Dist Non-IA PT"/>
        <s v="11-395-00-635050-52360 : ACE Program : Class Nonstu NonIA PT Prof Exp"/>
        <s v="11-395-00-635050-53120 : ACE Program : STRS Nonteaching"/>
        <s v="11-395-00-635050-53220 : ACE Program : PERS Nonteaching"/>
        <s v="11-395-00-635050-53320 : ACE Program : OASDHI (FICA) Nonteaching"/>
        <s v="11-395-00-635050-53340 : ACE Program : Medicare Nonteaching"/>
        <s v="11-395-00-635050-53420 : ACE Program : H &amp; W Nonteaching"/>
        <s v="11-395-00-635050-53520 : ACE Program : SUI Nonteaching"/>
        <s v="11-395-00-635050-53620 : ACE Program : WC Nonteaching"/>
        <s v="11-395-00-635050-54210 : ACE Program : Purchases - Food"/>
        <s v="11-395-00-635050-54300 : ACE Program : Supplies &amp; Materials"/>
        <s v="11-395-00-635050-55105 : ACE Program : Contract Services"/>
        <s v="11-395-00-635050-55125 : ACE Program : Training &amp; Seminars"/>
        <s v="11-395-00-635050-55200 : ACE Program : Travel &amp; Conference"/>
        <s v="11-395-00-635050-55630 : ACE Program : Printing &amp; Duplicating - Inhouse"/>
        <s v="11-395-00-635050-55650 : ACE Program : Maintenance Agreement"/>
        <s v="11-395-00-635050-56400 : ACE Program : Cap Equip - $200 to $4,999"/>
        <s v="11-395-00-696000-52130 : Student Activities : Classified Management"/>
        <s v="11-395-00-696000-53220 : Student Activities : PERS Nonteaching"/>
        <s v="11-395-00-696000-53320 : Student Activities : OASDHI (FICA) Nonteaching"/>
        <s v="11-395-00-696000-53340 : Student Activities : Medicare Nonteaching"/>
        <s v="11-395-00-696000-53420 : Student Activities : H &amp; W Nonteaching"/>
        <s v="11-395-00-696000-53520 : Student Activities : SUI Nonteaching"/>
        <s v="11-395-00-696000-53620 : Student Activities : WC Nonteaching"/>
        <s v="11-395-00-696000-53920 : Student Activities : Other Benefit-Non Teaching"/>
        <s v="11-395-00-696000-55630 : Student Activities : Printing &amp; Duplicating - Inhouse"/>
        <s v="11-398-00-000000-48630 : General Use - Nonprogram : Prop 30-EPA Funds"/>
        <s v="11-399-00-000000-48680 : General Use - Nonprogram : State Lottery"/>
        <s v="11-400-00-493010-51310 : Counseling Instruction : Academic Teaching NIC"/>
        <s v="11-400-00-493010-53110 : Counseling Instruction : STRS Teaching"/>
        <s v="11-400-00-493010-53330 : Counseling Instruction : Medicare Teaching"/>
        <s v="11-400-00-493010-53510 : Counseling Instruction : SUI Teaching"/>
        <s v="11-400-00-493010-53610 : Counseling Instruction : WC Teaching"/>
        <s v="11-400-00-620020-52300 : Graduation Program : Classified Overtime"/>
        <s v="11-400-00-620020-53320 : Graduation Program : OASDHI (FICA) Nonteaching"/>
        <s v="11-400-00-620020-53340 : Graduation Program : Medicare Nonteaching"/>
        <s v="11-400-00-620020-53520 : Graduation Program : SUI Nonteaching"/>
        <s v="11-400-00-620020-53620 : Graduation Program : WC Nonteaching"/>
        <s v="11-400-00-620020-54300 : Graduation Program : Supplies &amp; Materials"/>
        <s v="11-400-00-620020-55100 : Graduation Program : Personal Service Contract - 1099"/>
        <s v="11-400-00-620020-55635 : Graduation Program : Printing Services - Vendor"/>
        <s v="11-400-00-631000-51200 : Counseling &amp; Guidance : Academic Nonteaching Full-time"/>
        <s v="11-400-00-631000-51210 : Counseling &amp; Guidance : Academic Nonteaching Management"/>
        <s v="11-400-00-631000-51310 : Counseling &amp; Guidance : Academic Teaching NIC"/>
        <s v="11-400-00-631000-51311 : Counseling &amp; Guidance : Academic Teaching PT"/>
        <s v="11-400-00-631000-51410 : Counseling &amp; Guidance : Academic Nonteaching NIC"/>
        <s v="11-400-00-631000-51411 : Counseling &amp; Guidance : Academic Nonteaching PT"/>
        <s v="11-400-00-631000-52105 : Counseling &amp; Guidance : Classified CSEA"/>
        <s v="11-400-00-631000-52300 : Counseling &amp; Guidance : Classified Overtime"/>
        <s v="11-400-00-631000-52360 : Counseling &amp; Guidance : Class Nonstu NonIA PT Prof Exp"/>
        <s v="11-400-00-631000-53110 : Counseling &amp; Guidance : STRS Teaching"/>
        <s v="11-400-00-631000-53120 : Counseling &amp; Guidance : STRS Nonteaching"/>
        <s v="11-400-00-631000-53220 : Counseling &amp; Guidance : PERS Nonteaching"/>
        <s v="11-400-00-631000-53310 : Counseling &amp; Guidance : OASDHI (FICA) Teaching"/>
        <s v="11-400-00-631000-53320 : Counseling &amp; Guidance : OASDHI (FICA) Nonteaching"/>
        <s v="11-400-00-631000-53330 : Counseling &amp; Guidance : Medicare Teaching"/>
        <s v="11-400-00-631000-53340 : Counseling &amp; Guidance : Medicare Nonteaching"/>
        <s v="11-400-00-631000-53410 : Counseling &amp; Guidance : H &amp; W Teaching"/>
        <s v="11-400-00-631000-53420 : Counseling &amp; Guidance : H &amp; W Nonteaching"/>
        <s v="11-400-00-631000-53510 : Counseling &amp; Guidance : SUI Teaching"/>
        <s v="11-400-00-631000-53520 : Counseling &amp; Guidance : SUI Nonteaching"/>
        <s v="11-400-00-631000-53610 : Counseling &amp; Guidance : WC Teaching"/>
        <s v="11-400-00-631000-53620 : Counseling &amp; Guidance : WC Nonteaching"/>
        <s v="11-400-00-631000-53920 : Counseling &amp; Guidance : Other Benefit-Non Teaching"/>
        <s v="11-400-00-631000-54300 : Counseling &amp; Guidance : Supplies &amp; Materials"/>
        <s v="11-400-00-631000-55630 : Counseling &amp; Guidance : Printing &amp; Duplicating - Inhouse"/>
        <s v="11-400-00-631020-52360 : Crisis Counseling : Class Nonstu NonIA PT Prof Exp"/>
        <s v="11-400-00-631020-53120 : Crisis Counseling : STRS Nonteaching"/>
        <s v="11-400-00-631020-53220 : Crisis Counseling : PERS Nonteaching"/>
        <s v="11-400-00-631020-53320 : Crisis Counseling : OASDHI (FICA) Nonteaching"/>
        <s v="11-400-00-631020-53340 : Crisis Counseling : Medicare Nonteaching"/>
        <s v="11-400-00-631020-53420 : Crisis Counseling : H &amp; W Nonteaching"/>
        <s v="11-400-00-631020-53520 : Crisis Counseling : SUI Nonteaching"/>
        <s v="11-400-00-631020-53620 : Crisis Counseling : WC Nonteaching"/>
        <s v="11-400-00-631020-55630 : Crisis Counseling : Printing &amp; Duplicating - Inhouse"/>
        <s v="11-400-00-633050-52310 : Transfer Center : Classified Student FWS Non-IA"/>
        <s v="11-400-00-633050-53620 : Transfer Center : WC Nonteaching"/>
        <s v="11-400-00-634000-51200 : Career Center : Academic Nonteaching Full-time"/>
        <s v="11-400-00-634000-52105 : Career Center : Classified CSEA"/>
        <s v="11-400-00-634000-52300 : Career Center : Classified Overtime"/>
        <s v="11-400-00-634000-53120 : Career Center : STRS Nonteaching"/>
        <s v="11-400-00-634000-53220 : Career Center : PERS Nonteaching"/>
        <s v="11-400-00-634000-53320 : Career Center : OASDHI (FICA) Nonteaching"/>
        <s v="11-400-00-634000-53340 : Career Center : Medicare Nonteaching"/>
        <s v="11-400-00-634000-53420 : Career Center : H &amp; W Nonteaching"/>
        <s v="11-400-00-634000-53520 : Career Center : SUI Nonteaching"/>
        <s v="11-400-00-634000-53620 : Career Center : WC Nonteaching"/>
        <s v="11-400-00-634000-53920 : Career Center : Other Benefit-Non Teaching"/>
        <s v="11-400-00-634000-54300 : Career Center : Supplies &amp; Materials"/>
        <s v="11-400-00-634000-55200 : Career Center : Travel &amp; Conference"/>
        <s v="11-400-00-634000-55630 : Career Center : Printing &amp; Duplicating - Inhouse"/>
        <s v="11-400-00-649000-55105 : Miscellaneous Student Services : Contract Services"/>
        <s v="11-400-00-649000-55200 : Miscellaneous Student Services : Travel &amp; Conference"/>
        <s v="11-400-00-665000-51210 : Student Services Administration : Academic Nonteaching Management"/>
        <s v="11-400-00-665000-52120 : Student Services Administration : Classified Confidential"/>
        <s v="11-400-00-665000-52300 : Student Services Administration : Classified Overtime"/>
        <s v="11-400-00-665000-52360 : Student Services Administration : Class Nonstu NonIA PT Prof Exp"/>
        <s v="11-400-00-665000-53120 : Student Services Administration : STRS Nonteaching"/>
        <s v="11-400-00-665000-53220 : Student Services Administration : PERS Nonteaching"/>
        <s v="11-400-00-665000-53320 : Student Services Administration : OASDHI (FICA) Nonteaching"/>
        <s v="11-400-00-665000-53340 : Student Services Administration : Medicare Nonteaching"/>
        <s v="11-400-00-665000-53420 : Student Services Administration : H &amp; W Nonteaching"/>
        <s v="11-400-00-665000-53520 : Student Services Administration : SUI Nonteaching"/>
        <s v="11-400-00-665000-53620 : Student Services Administration : WC Nonteaching"/>
        <s v="11-400-00-665000-53920 : Student Services Administration : Other Benefit-Non Teaching"/>
        <s v="11-400-00-665000-54300 : Student Services Administration : Supplies &amp; Materials"/>
        <s v="11-400-00-665000-55100 : Student Services Administration : Personal Service Contract - 1099"/>
        <s v="11-400-00-665000-55105 : Student Services Administration : Contract Services"/>
        <s v="11-400-00-665000-55200 : Student Services Administration : Travel &amp; Conference"/>
        <s v="11-400-00-665000-55300 : Student Services Administration : Memberships"/>
        <s v="11-400-00-665000-55400 : Student Services Administration : Insurance"/>
        <s v="11-400-00-665000-55630 : Student Services Administration : Printing &amp; Duplicating - Inhouse"/>
        <s v="11-400-00-696000-52105 : Student Activities : Classified CSEA"/>
        <s v="11-400-00-696000-52130 : Student Activities : Classified Management"/>
        <s v="11-400-00-696000-52300 : Student Activities : Classified Overtime"/>
        <s v="11-400-00-696000-53220 : Student Activities : PERS Nonteaching"/>
        <s v="11-400-00-696000-53320 : Student Activities : OASDHI (FICA) Nonteaching"/>
        <s v="11-400-00-696000-53340 : Student Activities : Medicare Nonteaching"/>
        <s v="11-400-00-696000-53420 : Student Activities : H &amp; W Nonteaching"/>
        <s v="11-400-00-696000-53520 : Student Activities : SUI Nonteaching"/>
        <s v="11-400-00-696000-53620 : Student Activities : WC Nonteaching"/>
        <s v="11-400-00-696000-53920 : Student Activities : Other Benefit-Non Teaching"/>
        <s v="11-400-00-696000-54300 : Student Activities : Supplies &amp; Materials"/>
        <s v="11-400-00-696000-55630 : Student Activities : Printing &amp; Duplicating - Inhouse"/>
        <s v="11-400-00-703602-51200 : First 5 ECE Counselors : Academic Nonteaching Full-time"/>
        <s v="11-400-00-703602-53120 : First 5 ECE Counselors : STRS Nonteaching"/>
        <s v="11-400-00-703602-53340 : First 5 ECE Counselors : Medicare Nonteaching"/>
        <s v="11-400-00-703602-53420 : First 5 ECE Counselors : H &amp; W Nonteaching"/>
        <s v="11-400-00-703602-53520 : First 5 ECE Counselors : SUI Nonteaching"/>
        <s v="11-400-00-703602-53620 : First 5 ECE Counselors : WC Nonteaching"/>
        <s v="11-400-01-130500-52105 : Early Childhood Education : Classified CSEA"/>
        <s v="11-400-01-130500-53220 : Early Childhood Education : PERS Nonteaching"/>
        <s v="11-400-01-130500-53320 : Early Childhood Education : OASDHI (FICA) Nonteaching"/>
        <s v="11-400-01-130500-53340 : Early Childhood Education : Medicare Nonteaching"/>
        <s v="11-400-01-130500-53420 : Early Childhood Education : H &amp; W Nonteaching"/>
        <s v="11-400-01-130500-53520 : Early Childhood Education : SUI Nonteaching"/>
        <s v="11-400-01-130500-53620 : Early Childhood Education : WC Nonteaching"/>
        <s v="11-410-00-620000-48885 : Admissions &amp; Records : Other Student Fees &amp; Charges"/>
        <s v="11-410-00-620000-52105 : Admissions &amp; Records : Classified CSEA"/>
        <s v="11-410-00-620000-52130 : Admissions &amp; Records : Classified Management"/>
        <s v="11-410-00-620000-52300 : Admissions &amp; Records : Classified Overtime"/>
        <s v="11-410-00-620000-52360 : Admissions &amp; Records : Class Nonstu NonIA PT Prof Exp"/>
        <s v="11-410-00-620000-53220 : Admissions &amp; Records : PERS Nonteaching"/>
        <s v="11-410-00-620000-53320 : Admissions &amp; Records : OASDHI (FICA) Nonteaching"/>
        <s v="11-410-00-620000-53340 : Admissions &amp; Records : Medicare Nonteaching"/>
        <s v="11-410-00-620000-53420 : Admissions &amp; Records : H &amp; W Nonteaching"/>
        <s v="11-410-00-620000-53520 : Admissions &amp; Records : SUI Nonteaching"/>
        <s v="11-410-00-620000-53620 : Admissions &amp; Records : WC Nonteaching"/>
        <s v="11-410-00-620000-53920 : Admissions &amp; Records : Other Benefit-Non Teaching"/>
        <s v="11-410-00-620000-54300 : Admissions &amp; Records : Supplies &amp; Materials"/>
        <s v="11-410-00-620000-55200 : Admissions &amp; Records : Travel &amp; Conference"/>
        <s v="11-410-00-620000-55300 : Admissions &amp; Records : Memberships"/>
        <s v="11-410-00-620000-55630 : Admissions &amp; Records : Printing &amp; Duplicating - Inhouse"/>
        <s v="11-410-00-620000-55635 : Admissions &amp; Records : Printing Services - Vendor"/>
        <s v="11-410-00-620000-55650 : Admissions &amp; Records : Maintenance Agreement"/>
        <s v="11-420-00-646000-52105 : Financial Aid : Classified CSEA"/>
        <s v="11-420-00-646000-52130 : Financial Aid : Classified Management"/>
        <s v="11-420-00-646000-52300 : Financial Aid : Classified Overtime"/>
        <s v="11-420-00-646000-52310 : Financial Aid : Classified Student FWS Non-IA"/>
        <s v="11-420-00-646000-52360 : Financial Aid : Class Nonstu NonIA PT Prof Exp"/>
        <s v="11-420-00-646000-53220 : Financial Aid : PERS Nonteaching"/>
        <s v="11-420-00-646000-53320 : Financial Aid : OASDHI (FICA) Nonteaching"/>
        <s v="11-420-00-646000-53340 : Financial Aid : Medicare Nonteaching"/>
        <s v="11-420-00-646000-53420 : Financial Aid : H &amp; W Nonteaching"/>
        <s v="11-420-00-646000-53520 : Financial Aid : SUI Nonteaching"/>
        <s v="11-420-00-646000-53620 : Financial Aid : WC Nonteaching"/>
        <s v="11-420-00-646000-53920 : Financial Aid : Other Benefit-Non Teaching"/>
        <s v="11-420-00-646000-54300 : Financial Aid : Supplies &amp; Materials"/>
        <s v="11-420-00-646000-55105 : Financial Aid : Contract Services"/>
        <s v="11-420-00-646000-55200 : Financial Aid : Travel &amp; Conference"/>
        <s v="11-420-00-646000-55300 : Financial Aid : Memberships"/>
        <s v="11-420-00-646000-55309 : Financial Aid : Subscriptions"/>
        <s v="11-420-00-646000-55630 : Financial Aid : Printing &amp; Duplicating - Inhouse"/>
        <s v="11-420-00-646021-52105 : Scholarship Operations : Classified CSEA"/>
        <s v="11-420-00-646021-52300 : Scholarship Operations : Classified Overtime"/>
        <s v="11-420-00-646021-53220 : Scholarship Operations : PERS Nonteaching"/>
        <s v="11-420-00-646021-53320 : Scholarship Operations : OASDHI (FICA) Nonteaching"/>
        <s v="11-420-00-646021-53340 : Scholarship Operations : Medicare Nonteaching"/>
        <s v="11-420-00-646021-53420 : Scholarship Operations : H &amp; W Nonteaching"/>
        <s v="11-420-00-646021-53520 : Scholarship Operations : SUI Nonteaching"/>
        <s v="11-420-00-646021-53620 : Scholarship Operations : WC Nonteaching"/>
        <s v="11-420-00-646021-55630 : Scholarship Operations : Printing &amp; Duplicating - Inhouse"/>
        <s v="11-420-00-648000-51200 : Veterans : Academic Nonteaching Full-time"/>
        <s v="11-420-00-648000-52105 : Veterans : Classified CSEA"/>
        <s v="11-420-00-648000-52300 : Veterans : Classified Overtime"/>
        <s v="11-420-00-648000-53120 : Veterans : STRS Nonteaching"/>
        <s v="11-420-00-648000-53220 : Veterans : PERS Nonteaching"/>
        <s v="11-420-00-648000-53320 : Veterans : OASDHI (FICA) Nonteaching"/>
        <s v="11-420-00-648000-53340 : Veterans : Medicare Nonteaching"/>
        <s v="11-420-00-648000-53420 : Veterans : H &amp; W Nonteaching"/>
        <s v="11-420-00-648000-53520 : Veterans : SUI Nonteaching"/>
        <s v="11-420-00-648000-53620 : Veterans : WC Nonteaching"/>
        <s v="11-420-00-648000-55200 : Veterans : Travel &amp; Conference"/>
        <s v="11-420-00-648000-55300 : Veterans : Memberships"/>
        <s v="11-420-00-648000-55630 : Veterans : Printing &amp; Duplicating - Inhouse"/>
        <s v="11-430-00-643000-51210 : EOPS : Academic Nonteaching Management"/>
        <s v="11-430-00-643000-53220 : EOPS : PERS Nonteaching"/>
        <s v="11-430-00-643000-53320 : EOPS : OASDHI (FICA) Nonteaching"/>
        <s v="11-430-00-643000-53340 : EOPS : Medicare Nonteaching"/>
        <s v="11-430-00-643000-53420 : EOPS : H &amp; W Nonteaching"/>
        <s v="11-430-00-643000-53520 : EOPS : SUI Nonteaching"/>
        <s v="11-430-00-643000-53620 : EOPS : WC Nonteaching"/>
        <s v="11-430-00-700500-51210 : EOPS - State : Academic Nonteaching Management"/>
        <s v="11-430-00-700500-53220 : EOPS - State : PERS Nonteaching"/>
        <s v="11-430-00-700500-53320 : EOPS - State : OASDHI (FICA) Nonteaching"/>
        <s v="11-430-00-700500-53340 : EOPS - State : Medicare Nonteaching"/>
        <s v="11-430-00-700500-53420 : EOPS - State : H &amp; W Nonteaching"/>
        <s v="11-430-00-700500-53520 : EOPS - State : SUI Nonteaching"/>
        <s v="11-430-00-700500-53620 : EOPS - State : WC Nonteaching"/>
        <s v="11-430-00-700500-55630 : EOPS - State : Printing &amp; Duplicating - Inhouse"/>
        <s v="11-430-00-704700-52315 : CalWORKs : Classified Student SWS Non-IA"/>
        <s v="11-430-00-704700-53620 : CalWORKs : WC Nonteaching"/>
        <s v="11-440-00-493032-51210 : DSP&amp;S Instruction : Academic Nonteaching Management"/>
        <s v="11-440-00-493032-51311 : DSP&amp;S Instruction : Academic Teaching PT"/>
        <s v="11-440-00-493032-51411 : DSP&amp;S Instruction : Academic Nonteaching PT"/>
        <s v="11-440-00-493032-52400 : DSP&amp;S Instruction : Classified Nonstudent Instructional Aides PT"/>
        <s v="11-440-00-493032-52420 : DSP&amp;S Instruction : Classified Student Dist Instructional Aides PT"/>
        <s v="11-440-00-493032-53110 : DSP&amp;S Instruction : STRS Teaching"/>
        <s v="11-440-00-493032-53120 : DSP&amp;S Instruction : STRS Nonteaching"/>
        <s v="11-440-00-493032-53310 : DSP&amp;S Instruction : OASDHI (FICA) Teaching"/>
        <s v="11-440-00-493032-53320 : DSP&amp;S Instruction : OASDHI (FICA) Nonteaching"/>
        <s v="11-440-00-493032-53330 : DSP&amp;S Instruction : Medicare Teaching"/>
        <s v="11-440-00-493032-53340 : DSP&amp;S Instruction : Medicare Nonteaching"/>
        <s v="11-440-00-493032-53420 : DSP&amp;S Instruction : H &amp; W Nonteaching"/>
        <s v="11-440-00-493032-53510 : DSP&amp;S Instruction : SUI Teaching"/>
        <s v="11-440-00-493032-53520 : DSP&amp;S Instruction : SUI Nonteaching"/>
        <s v="11-440-00-493032-53610 : DSP&amp;S Instruction : WC Teaching"/>
        <s v="11-440-00-493032-53620 : DSP&amp;S Instruction : WC Nonteaching"/>
        <s v="11-440-00-493032-54300 : DSP&amp;S Instruction : Supplies &amp; Materials"/>
        <s v="11-440-00-493032-55105 : DSP&amp;S Instruction : Contract Services"/>
        <s v="11-440-00-493032-55200 : DSP&amp;S Instruction : Travel &amp; Conference"/>
        <s v="11-440-00-493032-55309 : DSP&amp;S Instruction : Subscriptions"/>
        <s v="11-440-00-493032-55630 : DSP&amp;S Instruction : Printing &amp; Duplicating - Inhouse"/>
        <s v="11-440-00-701021-55105 : DHH - DSPS : Contract Services"/>
        <s v="11-500-00-673000-52120 : Human Resources : Classified Confidential"/>
        <s v="11-500-00-673000-52130 : Human Resources : Classified Management"/>
        <s v="11-500-00-673000-52300 : Human Resources : Classified Overtime"/>
        <s v="11-500-00-673000-52360 : Human Resources : Class Nonstu NonIA PT Prof Exp"/>
        <s v="11-500-00-673000-53220 : Human Resources : PERS Nonteaching"/>
        <s v="11-500-00-673000-53320 : Human Resources : OASDHI (FICA) Nonteaching"/>
        <s v="11-500-00-673000-53340 : Human Resources : Medicare Nonteaching"/>
        <s v="11-500-00-673000-53420 : Human Resources : H &amp; W Nonteaching"/>
        <s v="11-500-00-673000-53520 : Human Resources : SUI Nonteaching"/>
        <s v="11-500-00-673000-53620 : Human Resources : WC Nonteaching"/>
        <s v="11-500-00-673000-53920 : Human Resources : Other Benefit-Non Teaching"/>
        <s v="11-500-00-673000-54300 : Human Resources : Supplies &amp; Materials"/>
        <s v="11-500-00-673000-55105 : Human Resources : Contract Services"/>
        <s v="11-500-00-673000-55125 : Human Resources : Training &amp; Seminars"/>
        <s v="11-500-00-673000-55200 : Human Resources : Travel &amp; Conference"/>
        <s v="11-500-00-673000-55300 : Human Resources : Memberships"/>
        <s v="11-500-00-673000-55625 : Human Resources : Inprocessing Costs"/>
        <s v="11-500-00-673000-55630 : Human Resources : Printing &amp; Duplicating - Inhouse"/>
        <s v="11-500-00-673000-55635 : Human Resources : Printing Services - Vendor"/>
        <s v="11-500-00-673000-55700 : Human Resources : Legal &amp; Audit Expenses"/>
        <s v="11-500-00-673000-55825 : Human Resources : Relocation Expenses"/>
        <s v="11-500-00-673000-56400 : Human Resources : Cap Equip - $200 to $4,999"/>
        <s v="11-600-00-678000-52105 : Management Information Systems : Classified CSEA"/>
        <s v="11-600-00-678000-52130 : Management Information Systems : Classified Management"/>
        <s v="11-600-00-678000-52300 : Management Information Systems : Classified Overtime"/>
        <s v="11-600-00-678000-52350 : Management Information Systems : Classified Student Dist Non-IA PT"/>
        <s v="11-600-00-678000-53220 : Management Information Systems : PERS Nonteaching"/>
        <s v="11-600-00-678000-53320 : Management Information Systems : OASDHI (FICA) Nonteaching"/>
        <s v="11-600-00-678000-53340 : Management Information Systems : Medicare Nonteaching"/>
        <s v="11-600-00-678000-53420 : Management Information Systems : H &amp; W Nonteaching"/>
        <s v="11-600-00-678000-53520 : Management Information Systems : SUI Nonteaching"/>
        <s v="11-600-00-678000-53620 : Management Information Systems : WC Nonteaching"/>
        <s v="11-600-00-678000-53920 : Management Information Systems : Other Benefit-Non Teaching"/>
        <s v="11-600-00-678000-54300 : Management Information Systems : Supplies &amp; Materials"/>
        <s v="11-600-00-678000-55105 : Management Information Systems : Contract Services"/>
        <s v="11-600-00-678000-55125 : Management Information Systems : Training &amp; Seminars"/>
        <s v="11-600-00-678000-55200 : Management Information Systems : Travel &amp; Conference"/>
        <s v="11-600-00-678000-55300 : Management Information Systems : Memberships"/>
        <s v="11-600-00-678000-55550 : Management Information Systems : Telephone Service"/>
        <s v="11-600-00-678000-55610 : Management Information Systems : Software licensing"/>
        <s v="11-600-00-678000-55630 : Management Information Systems : Printing &amp; Duplicating - Inhouse"/>
        <s v="11-600-00-678000-55650 : Management Information Systems : Maintenance Agreement"/>
        <s v="11-600-00-678000-55653 : Management Information Systems : Instructional Computer Repair"/>
        <s v="11-600-00-678000-56400 : Management Information Systems : Cap Equip - $200 to $4,999"/>
        <s v="11-600-00-678001-55105 : Mngmnt Information Systems PPA : Contract Services"/>
        <s v="11-600-00-678001-56402 : Mngmnt Information Systems PPA : Capital software $200-$4,999"/>
        <s v="13-000-00-000000-48891 : General Use - Nonprogram : Parking Citations"/>
        <s v="13-000-00-695000-48881 : Parking Services : Parking Fees - Restricted"/>
        <s v="13-210-00-695000-48881 : Parking Services : Parking Fees - Restricted"/>
        <s v="13-210-00-695000-52350 : Parking Services : Classified Student Dist Non-IA PT"/>
        <s v="13-210-00-695000-53620 : Parking Services : WC Nonteaching"/>
        <s v="13-210-00-695000-55105 : Parking Services : Contract Services"/>
        <s v="13-210-00-695000-55650 : Parking Services : Maintenance Agreement"/>
        <s v="13-210-00-695000-55861 : Parking Services : Credit Card Fees "/>
        <s v="13-210-00-702810-48682 : Lottery - Prop 20 : Lottery - Prop 20"/>
        <s v="13-210-00-702810-54300 : Lottery - Prop 20 : Supplies &amp; Materials"/>
        <s v="13-210-00-702810-55105 : Lottery - Prop 20 : Contract Services"/>
        <s v="13-210-00-702810-56341 : Lottery - Prop 20 : On-line Database Services"/>
        <s v="13-210-00-702810-56400 : Lottery - Prop 20 : Cap Equip - $200 to $4,999"/>
        <s v="31-240-00-000000-48850 : General Use - Nonprogram : Rents &amp; Leases"/>
        <s v="31-240-00-000000-48860 : General Use - Nonprogram : Interest Income"/>
        <s v="31-240-00-000000-57300 : General Use - Nonprogram : Interfund Transfer"/>
        <s v="41-200-00-000000-48816 : General Use - Nonprogram : Property Tax-RDA/RPTTF"/>
        <s v="41-200-00-000000-48818 : General Use - Nonprogram : RDA/RPTTF Pass-Through"/>
        <s v="41-200-00-000000-48860 : General Use - Nonprogram : Interest Income"/>
        <s v="41-200-00-659010-55105 : Maintenance &amp; Operations : Contract Services"/>
        <s v="41-200-00-659010-56400 : Maintenance &amp; Operations : Cap Equip - $200 to $4,999"/>
        <s v="41-200-00-672020-55663 : Fiscal Operations : Bank Fees"/>
        <s v="41-200-00-672020-55800 : Fiscal Operations : Other Costs"/>
        <s v="41-200-00-672020-56400 : Fiscal Operations : Cap Equip - $200 to $4,999"/>
        <s v="41-210-00-672020-48890 : Fiscal Operations : Other Local Income "/>
        <s v="41-210-00-672020-55105 : Fiscal Operations : Contract Services"/>
        <s v="41-210-00-672020-55600 : Fiscal Operations : Rents &amp; Leases"/>
        <s v="41-220-00-651000-55105 : Building Maintenance &amp; Repairs : Contract Services"/>
        <s v="41-220-00-659010-48890 : Maintenance &amp; Operations : Other Local Income "/>
        <s v="41-220-00-659010-55105 : Maintenance &amp; Operations : Contract Services"/>
        <s v="41-220-00-659010-56100 : Maintenance &amp; Operations : Site Improvements"/>
        <s v="41-220-02-651000-55105 : Building Maintenance &amp; Repairs : Contract Services"/>
        <s v="41-304-00-190200-56400 : Physics : Cap Equip - $200 to $4,999"/>
        <s v="41-600-00-678000-55105 : Management Information Systems : Contract Services"/>
        <s v="41-600-00-678000-56400 : Management Information Systems : Cap Equip - $200 to $4,999"/>
        <s v="41-600-00-678000-56405 : Management Information Systems : Cap Equip - $5,000 and Over"/>
        <s v="44-000-00-000000-55105 : General Use - Nonprogram : Contract Services"/>
        <s v="44-200-00-000000-48850 : General Use - Nonprogram : Rents &amp; Leases"/>
        <s v="44-200-00-000000-48860 : General Use - Nonprogram : Interest Income"/>
        <s v="44-200-00-000000-55105 : General Use - Nonprogram : Contract Services"/>
        <s v="44-200-00-000000-55540 : General Use - Nonprogram : Gas Utility"/>
        <s v="44-200-00-000000-55560 : General Use - Nonprogram : Water Service"/>
        <s v="44-200-00-000000-55570 : General Use - Nonprogram : Sewer Service"/>
        <s v="44-200-00-000000-55580 : General Use - Nonprogram : Trash Collection Service"/>
        <s v="44-200-00-000000-55600 : General Use - Nonprogram : Rents &amp; Leases"/>
        <s v="44-200-00-000000-55642 : General Use - Nonprogram : Residential Repairs (Other)"/>
        <s v="44-200-00-000000-55650 : General Use - Nonprogram : Maintenance Agreement"/>
        <s v="44-200-00-000000-55651 : General Use - Nonprogram : Equipment Repairs"/>
        <s v="44-200-00-000000-55800 : General Use - Nonprogram : Other Costs"/>
        <s v="44-200-00-000000-56211 : General Use - Nonprogram : Arch+Engr Fees Working Drawing"/>
        <s v="44-200-00-000000-56400 : General Use - Nonprogram : Cap Equip - $200 to $4,999"/>
        <s v="44-200-01-000000-55800 : General Use - Nonprogram : Other Costs"/>
        <s v="44-200-05-000000-55800 : General Use - Nonprogram : Other Costs"/>
        <s v="44-220-00-000000-55105 : General Use - Nonprogram : Contract Services"/>
        <s v="44-220-00-000000-55800 : General Use - Nonprogram : Other Costs"/>
        <s v="44-220-00-000000-56203 : General Use - Nonprogram : Inspection"/>
        <s v="44-220-00-000000-56225 : General Use - Nonprogram : New Construction"/>
        <s v="44-220-00-000000-56400 : General Use - Nonprogram : Cap Equip - $200 to $4,999"/>
        <s v="44-220-00-000000-56405 : General Use - Nonprogram : Cap Equip - $5,000 and Over"/>
        <s v="44-340-00-000000-56224 : General Use - Nonprogram : Reconstruction"/>
        <s v="44-400-00-649000-56200 : Miscellaneous Student Services : Building Improvements"/>
        <s v="46-000-00-000000-48860 : General Use - Nonprogram : Interest Income"/>
        <s v="46-000-00-000000-56400 : General Use - Nonprogram : Cap Equip - $200 to $4,999"/>
        <s v="46-000-00-801000-52105 : Measure T Administration : Classified CSEA"/>
        <s v="46-000-00-801000-52130 : Measure T Administration : Classified Management"/>
        <s v="46-000-00-801000-53000 : Measure T Administration : Employee Benefits Control"/>
        <s v="46-000-00-801000-53220 : Measure T Administration : PERS Nonteaching"/>
        <s v="46-000-00-801000-53320 : Measure T Administration : OASDHI (FICA) Nonteaching"/>
        <s v="46-000-00-801000-53340 : Measure T Administration : Medicare Nonteaching"/>
        <s v="46-000-00-801000-53420 : Measure T Administration : H &amp; W Nonteaching"/>
        <s v="46-000-00-801000-53520 : Measure T Administration : SUI Nonteaching"/>
        <s v="46-000-00-801000-53620 : Measure T Administration : WC Nonteaching"/>
        <s v="46-000-00-801000-55630 : Measure T Administration : Printing &amp; Duplicating - Inhouse"/>
        <s v="46-000-00-801000-55700 : Measure T Administration : Legal &amp; Audit Expenses"/>
        <s v="46-000-00-801000-55710 : Measure T Administration : Elections"/>
        <s v="46-001-00-880000-54300 : Measure T-Proj Adm : Supplies &amp; Materials"/>
        <s v="46-001-00-880000-55200 : Measure T-Proj Adm : Travel &amp; Conference"/>
        <s v="46-001-00-880000-55635 : Measure T-Proj Adm : Printing Services - Vendor"/>
        <s v="46-001-00-880000-55700 : Measure T-Proj Adm : Legal &amp; Audit Expenses"/>
        <s v="46-001-00-880100-55200 : Soledad Education Center : Travel &amp; Conference"/>
        <s v="46-001-00-880200-56203 : HC Center for Nursing &amp; Health : Inspection"/>
        <s v="46-001-00-880200-56210 : HC Center for Nursing &amp; Health : Arch+Engr Fees Prelim Plans"/>
        <s v="46-001-00-880200-56220 : HC Center for Nursing &amp; Health : Utility Service"/>
        <s v="46-001-00-880200-56222 : HC Center for Nursing &amp; Health : Site Development General"/>
        <s v="46-001-00-880200-56223 : HC Center for Nursing &amp; Health : Other Site Development"/>
        <s v="46-001-00-880200-56225 : HC Center for Nursing &amp; Health : New Construction"/>
        <s v="46-001-00-880200-56250 : HC Center for Nursing &amp; Health : Tests and Inspections"/>
        <s v="46-001-00-880300-56215 : NM Cty Education Center : Preliminary Tests"/>
        <s v="46-001-00-880400-56203 : MC Hartnell Center-Bldg D &amp; E : Inspection"/>
        <s v="46-001-00-880400-56210 : MC Hartnell Center-Bldg D &amp; E : Arch+Engr Fees Prelim Plans"/>
        <s v="46-001-00-880400-56217 : MC Hartnell Center-Bldg D &amp; E : Permits and Fees"/>
        <s v="46-001-00-880400-56218 : MC Hartnell Center-Bldg D &amp; E : Fixtures, Furniture &amp; Equip."/>
        <s v="46-001-00-880400-56223 : MC Hartnell Center-Bldg D &amp; E : Other Site Development"/>
        <s v="46-001-00-880400-56224 : MC Hartnell Center-Bldg D &amp; E : Reconstruction"/>
        <s v="46-001-00-880400-56250 : MC Hartnell Center-Bldg D &amp; E : Tests and Inspections"/>
        <s v="46-001-00-881100-56226 : IT/Safety/Energy Efficiency Pr : Other Costs"/>
        <s v="46-001-02-880500-56202 : King City Education Center : Construction Costs"/>
        <s v="46-001-02-880500-56203 : King City Education Center : Inspection"/>
        <s v="46-001-02-880500-56210 : King City Education Center : Arch+Engr Fees Prelim Plans"/>
        <s v="46-001-02-880500-56218 : King City Education Center : Fixtures, Furniture &amp; Equip."/>
        <s v="46-001-02-880500-56225 : King City Education Center : New Construction"/>
        <s v="46-001-02-880500-56250 : King City Education Center : Tests and Inspections"/>
        <s v="46-001-04-880100-56203 : Soledad Education Center : Inspection"/>
        <s v="46-001-04-880100-56210 : Soledad Education Center : Arch+Engr Fees Prelim Plans"/>
        <s v="46-001-04-880100-56217 : Soledad Education Center : Permits and Fees"/>
        <s v="46-001-04-880100-56218 : Soledad Education Center : Fixtures, Furniture &amp; Equip."/>
        <s v="46-001-04-880100-56220 : Soledad Education Center : Utility Service"/>
        <s v="46-001-04-880100-56225 : Soledad Education Center : New Construction"/>
        <s v="46-001-04-880100-56250 : Soledad Education Center : Tests and Inspections"/>
        <s v="46-001-05-880300-56203 : NM Cty Education Center : Inspection"/>
        <s v="46-001-05-880300-56211 : NM Cty Education Center : Arch+Engr Fees Working Drawing"/>
        <s v="46-001-05-880300-56215 : NM Cty Education Center : Preliminary Tests"/>
        <s v="46-001-05-880300-56216 : NM Cty Education Center : Other Costs"/>
        <s v="46-001-05-880300-56217 : NM Cty Education Center : Permits and Fees"/>
        <s v="46-001-05-880300-56218 : NM Cty Education Center : Fixtures, Furniture &amp; Equip."/>
        <s v="46-001-05-880300-56220 : NM Cty Education Center : Utility Service"/>
        <s v="46-001-05-880300-56223 : NM Cty Education Center : Other Site Development"/>
        <s v="46-001-05-880300-56225 : NM Cty Education Center : New Construction"/>
        <s v="46-001-05-880300-56250 : NM Cty Education Center : Tests and Inspections"/>
        <s v="46-002-00-000000-48940 : General Use - Nonprogram : Sale of Bonds"/>
        <s v="46-002-00-880250-56203 : Bldg. B 2nd Floor Reno : Inspection"/>
        <s v="46-002-00-880250-56211 : Bldg. B 2nd Floor Reno : Arch+Engr Fees Working Drawing"/>
        <s v="46-002-00-880250-56224 : Bldg. B 2nd Floor Reno : Reconstruction"/>
        <s v="46-002-00-880350-56200 : Building C reroof : Building Improvements"/>
        <s v="46-002-00-880450-56216 : MC Disability Access Eval. : Other Costs"/>
        <s v="46-002-00-880450-56250 : MC Disability Access Eval. : Tests and Inspections"/>
        <s v="46-002-00-880700-56224 : Main Campus-Bldg F,G &amp; H : Reconstruction"/>
        <s v="46-002-00-880750-56224 : PE Fields Reno : Reconstruction"/>
        <s v="46-002-00-880800-56211 : Main Campus-Bldg K : Arch+Engr Fees Working Drawing"/>
        <s v="46-002-00-880800-56215 : Main Campus-Bldg K : Preliminary Tests"/>
        <s v="46-002-00-880800-56223 : Main Campus-Bldg K : Other Site Development"/>
        <s v="46-002-00-880800-56224 : Main Campus-Bldg K : Reconstruction"/>
        <s v="46-002-00-880800-56250 : Main Campus-Bldg K : Tests and Inspections"/>
        <s v="46-002-00-880900-56211 : Main Campus-Bldg J : Arch+Engr Fees Working Drawing"/>
        <s v="46-002-00-880900-56215 : Main Campus-Bldg J : Preliminary Tests"/>
        <s v="46-002-00-880900-56223 : Main Campus-Bldg J : Other Site Development"/>
        <s v="46-002-01-880600-56211 : Alisal Project : Arch+Engr Fees Working Drawing"/>
        <s v="46-002-02-880500-55575 : King City Education Center : Hazardous Waste Disposal"/>
        <s v="46-002-02-880500-56203 : King City Education Center : Inspection"/>
        <s v="46-002-02-880500-56211 : King City Education Center : Arch+Engr Fees Working Drawing"/>
        <s v="52-230-00-000000-48844 : General Use - Nonprogram : Food Service Sales"/>
        <s v="52-230-00-000000-48845 : General Use - Nonprogram : Vending Machine Sales"/>
        <s v="52-230-00-000000-48849 : General Use - Nonprogram : ATM Sales"/>
        <s v="52-230-00-000000-48860 : General Use - Nonprogram : Interest Income"/>
        <s v="52-230-00-000000-52105 : General Use - Nonprogram : Classified CSEA"/>
        <s v="52-230-00-000000-52115 : General Use - Nonprogram : Classified Supervisory"/>
        <s v="52-230-00-000000-52120 : General Use - Nonprogram : Classified Confidential"/>
        <s v="52-230-00-000000-52125 : General Use - Nonprogram : Classified L-39"/>
        <s v="52-230-00-000000-52130 : General Use - Nonprogram : Classified Management"/>
        <s v="52-230-00-000000-52300 : General Use - Nonprogram : Classified Overtime"/>
        <s v="52-230-00-000000-52310 : General Use - Nonprogram : Classified Student FWS Non-IA"/>
        <s v="52-230-00-000000-52350 : General Use - Nonprogram : Classified Student Dist Non-IA PT"/>
        <s v="52-230-00-000000-53220 : General Use - Nonprogram : PERS Nonteaching"/>
        <s v="52-230-00-000000-53320 : General Use - Nonprogram : OASDHI (FICA) Nonteaching"/>
        <s v="52-230-00-000000-53340 : General Use - Nonprogram : Medicare Nonteaching"/>
        <s v="52-230-00-000000-53420 : General Use - Nonprogram : H &amp; W Nonteaching"/>
        <s v="52-230-00-000000-53520 : General Use - Nonprogram : SUI Nonteaching"/>
        <s v="52-230-00-000000-53620 : General Use - Nonprogram : WC Nonteaching"/>
        <s v="52-230-00-000000-53920 : General Use - Nonprogram : Other Benefit-Non Teaching"/>
        <s v="52-230-00-000000-54210 : General Use - Nonprogram : Purchases - Food"/>
        <s v="52-230-00-000000-54300 : General Use - Nonprogram : Supplies &amp; Materials"/>
        <s v="52-230-00-000000-54320 : General Use - Nonprogram : Laundry"/>
        <s v="52-230-00-000000-55200 : General Use - Nonprogram : Travel &amp; Conference"/>
        <s v="52-230-00-000000-55600 : General Use - Nonprogram : Rents &amp; Leases"/>
        <s v="52-230-00-000000-55630 : General Use - Nonprogram : Printing &amp; Duplicating - Inhouse"/>
        <s v="52-230-00-000000-55651 : General Use - Nonprogram : Equipment Repairs"/>
        <s v="52-230-00-000000-55800 : General Use - Nonprogram : Other Costs"/>
        <s v="52-230-00-000000-55805 : General Use - Nonprogram : Cash, Over / Short"/>
        <s v="52-230-00-000000-55861 : General Use - Nonprogram : Credit Card Fees "/>
        <s v="52-230-00-000000-56217 : General Use - Nonprogram : Permits and Fees"/>
        <s v="52-230-00-000000-57300 : General Use - Nonprogram : Interfund Transfer"/>
        <s v="55-230-00-000000-48844 : General Use - Nonprogram : Food Service Sales"/>
        <s v="55-230-00-000000-48860 : General Use - Nonprogram : Interest Income"/>
        <s v="55-230-00-000000-48862 : General Use - Nonprogram : Credit Card Sales"/>
        <s v="55-230-00-000000-48863 : General Use - Nonprogram : Starbucks Pay Sales"/>
        <s v="55-230-00-000000-48864 : General Use - Nonprogram : Cat Card Sales"/>
        <s v="55-230-00-000000-48980 : General Use - Nonprogram : Interfund Transfer-In"/>
        <s v="55-230-00-000000-52105 : General Use - Nonprogram : Classified CSEA"/>
        <s v="55-230-00-000000-52115 : General Use - Nonprogram : Classified Supervisory"/>
        <s v="55-230-00-000000-52300 : General Use - Nonprogram : Classified Overtime"/>
        <s v="55-230-00-000000-53220 : General Use - Nonprogram : PERS Nonteaching"/>
        <s v="55-230-00-000000-53320 : General Use - Nonprogram : OASDHI (FICA) Nonteaching"/>
        <s v="55-230-00-000000-53340 : General Use - Nonprogram : Medicare Nonteaching"/>
        <s v="55-230-00-000000-53420 : General Use - Nonprogram : H &amp; W Nonteaching"/>
        <s v="55-230-00-000000-53520 : General Use - Nonprogram : SUI Nonteaching"/>
        <s v="55-230-00-000000-53620 : General Use - Nonprogram : WC Nonteaching"/>
        <s v="55-230-00-000000-53920 : General Use - Nonprogram : Other Benefit-Non Teaching"/>
        <s v="55-230-00-000000-54210 : General Use - Nonprogram : Purchases - Food"/>
        <s v="55-230-00-000000-54300 : General Use - Nonprogram : Supplies &amp; Materials"/>
        <s v="55-230-00-000000-54320 : General Use - Nonprogram : Laundry"/>
        <s v="55-230-00-000000-55105 : General Use - Nonprogram : Contract Services"/>
        <s v="55-230-00-000000-55200 : General Use - Nonprogram : Travel &amp; Conference"/>
        <s v="55-230-00-000000-55630 : General Use - Nonprogram : Printing &amp; Duplicating - Inhouse"/>
        <s v="55-230-00-000000-55640 : General Use - Nonprogram : Royalty Payments"/>
        <s v="55-230-00-000000-55650 : General Use - Nonprogram : Maintenance Agreement"/>
        <s v="55-230-00-000000-55651 : General Use - Nonprogram : Equipment Repairs"/>
        <s v="55-230-00-000000-55800 : General Use - Nonprogram : Other Costs"/>
        <s v="55-230-00-000000-55861 : General Use - Nonprogram : Credit Card Fees "/>
        <s v="55-230-00-000000-56217 : General Use - Nonprogram : Permits and Fees"/>
        <s v="55-230-00-000000-56400 : General Use - Nonprogram : Cap Equip - $200 to $4,999"/>
        <s v="61-000-00-000000-53600 : General Use - Nonprogram : Workers' Comp Budget"/>
        <s v="61-000-00-000000-55400 : General Use - Nonprogram : Insurance"/>
        <s v="61-000-00-000000-55800 : General Use - Nonprogram : Other Costs"/>
        <s v="61-200-00-000000-48860 : General Use - Nonprogram : Interest Income"/>
        <s v="62-000-00-000000-48860 : General Use - Nonprogram : Interest Income"/>
        <s v="62-000-00-000000-55709 : General Use - Nonprogram : Administrative Expense"/>
        <s v="62-000-00-000000-55800 : General Use - Nonprogram : Other Costs"/>
        <s v="63-000-00-000000-48860 : General Use - Nonprogram : Interest Income"/>
        <s v="63-000-00-000000-55709 : General Use - Nonprogram : Administrative Expense"/>
        <s v="63-000-00-000000-57300 : General Use - Nonprogram : Interfund Transfer"/>
        <s v="71-400-00-000000-48843 : General Use - Nonprogram : Student I D Card Sales"/>
        <s v="71-400-00-000000-48860 : General Use - Nonprogram : Interest Income"/>
        <s v="71-400-00-000000-48890 : General Use - Nonprogram : Other Local Income "/>
        <s v="71-400-00-000000-48980 : General Use - Nonprogram : Interfund Transfer-In"/>
        <s v="71-400-00-000000-52105 : General Use - Nonprogram : Classified CSEA"/>
        <s v="71-400-00-000000-52350 : General Use - Nonprogram : Classified Student Dist Non-IA PT"/>
        <s v="71-400-00-000000-52360 : General Use - Nonprogram : Class Nonstu NonIA PT Prof Exp"/>
        <s v="71-400-00-000000-53220 : General Use - Nonprogram : PERS Nonteaching"/>
        <s v="71-400-00-000000-53320 : General Use - Nonprogram : OASDHI (FICA) Nonteaching"/>
        <s v="71-400-00-000000-53340 : General Use - Nonprogram : Medicare Nonteaching"/>
        <s v="71-400-00-000000-53420 : General Use - Nonprogram : H &amp; W Nonteaching"/>
        <s v="71-400-00-000000-53520 : General Use - Nonprogram : SUI Nonteaching"/>
        <s v="71-400-00-000000-53620 : General Use - Nonprogram : WC Nonteaching"/>
        <s v="71-400-00-000000-54300 : General Use - Nonprogram : Supplies &amp; Materials"/>
        <s v="71-400-00-000000-55200 : General Use - Nonprogram : Travel &amp; Conference"/>
        <s v="71-400-00-000000-55240 : General Use - Nonprogram : Field Trips"/>
        <s v="71-400-00-000000-55243 : General Use - Nonprogram : Activities &amp; Films"/>
        <s v="71-400-00-000000-55244 : General Use - Nonprogram : Cultural Activities"/>
        <s v="71-400-00-000000-55247 : General Use - Nonprogram : Inter-Club Council"/>
        <s v="71-400-00-000000-55300 : General Use - Nonprogram : Memberships"/>
        <s v="71-400-00-000000-55600 : General Use - Nonprogram : Rents &amp; Leases"/>
        <s v="71-400-00-000000-55635 : General Use - Nonprogram : Printing Services - Vendor"/>
        <s v="71-400-00-000000-55650 : General Use - Nonprogram : Maintenance Agreement"/>
        <s v="71-400-00-000000-57510 : General Use - Nonprogram : Student Internship"/>
        <s v="72-400-00-000000-48844 : General Use - Nonprogram : Food Service Sales"/>
        <s v="72-400-00-000000-48860 : General Use - Nonprogram : Interest Income"/>
        <s v="72-400-00-000000-48884 : General Use - Nonprogram : Student Representation Fee"/>
        <s v="72-400-00-000000-55200 : General Use - Nonprogram : Travel &amp; Conference"/>
        <s v="72-400-00-000000-55800 : General Use - Nonprogram : Other Costs"/>
        <s v="72-400-00-000000-57351 : General Use - Nonprogram : Other Admin Costs"/>
        <s v="75-000-00-000000-48860 : General Use - Nonprogram : Interest Income"/>
        <s v="75-000-00-000000-55800 : General Use - Nonprogram : Other Costs"/>
        <s v="75-200-00-000000-55105 : General Use - Nonprogram : Contract Services"/>
        <s v="75-200-00-975109-48000 : Hartnell Cares : Cash Receipts"/>
        <s v="75-200-00-975109-55000 : Hartnell Cares : Other Operating Expenses &amp; Svc"/>
        <s v="75-400-00-000000-48885 : General Use - Nonprogram : Other Student Fees &amp; Charges"/>
        <s v="79-320-00-000000-48840 : General Use - Nonprogram : Basketball - Gate Receipts"/>
        <s v="79-320-00-000000-48841 : General Use - Nonprogram : Football - Gate Receipts"/>
        <s v="79-320-00-000000-48846 : General Use - Nonprogram : ASB Student Fees"/>
        <s v="79-320-00-000000-48847 : General Use - Nonprogram : Basketball - Concession Sales"/>
        <s v="79-320-00-000000-48848 : General Use - Nonprogram : Football - Concession Sales"/>
        <s v="79-320-00-000000-48860 : General Use - Nonprogram : Interest Income"/>
        <s v="79-320-00-000000-48890 : General Use - Nonprogram : Other Local Income "/>
        <s v="79-320-00-000000-52360 : General Use - Nonprogram : Class Nonstu NonIA PT Prof Exp"/>
        <s v="79-320-00-000000-53320 : General Use - Nonprogram : OASDHI (FICA) Nonteaching"/>
        <s v="79-320-00-000000-53340 : General Use - Nonprogram : Medicare Nonteaching"/>
        <s v="79-320-00-000000-53520 : General Use - Nonprogram : SUI Nonteaching"/>
        <s v="79-320-00-000000-53620 : General Use - Nonprogram : WC Nonteaching"/>
        <s v="79-320-00-000000-54210 : General Use - Nonprogram : Purchases - Food"/>
        <s v="79-320-00-000000-55140 : General Use - Nonprogram : Game Employees"/>
        <s v="79-320-00-000000-55250 : General Use - Nonprogram : Championship Meals"/>
        <s v="79-320-00-000000-55251 : General Use - Nonprogram : Baseball (M) Meals"/>
        <s v="79-320-00-000000-55252 : General Use - Nonprogram : Basketball (M) Meals"/>
        <s v="79-320-00-000000-55253 : General Use - Nonprogram : Basketball (W) Meals"/>
        <s v="79-320-00-000000-55254 : General Use - Nonprogram : Cross Country (M) Meals"/>
        <s v="79-320-00-000000-55255 : General Use - Nonprogram : Football Meals"/>
        <s v="79-320-00-000000-55256 : General Use - Nonprogram : Soccer (M) Meals"/>
        <s v="79-320-00-000000-55257 : General Use - Nonprogram : Soccer (W) Meals "/>
        <s v="79-320-00-000000-55258 : General Use - Nonprogram : Softball (W) Meals"/>
        <s v="79-320-00-000000-55261 : General Use - Nonprogram : Track (M)  Meals"/>
        <s v="79-320-00-000000-55262 : General Use - Nonprogram : Volleyball  (W) Meals"/>
        <s v="79-320-00-000000-55264 : General Use - Nonprogram : Entry Fees"/>
        <s v="79-320-00-000000-55800 : General Use - Nonprogram : Other Costs"/>
        <s v="79-320-00-000000-55861 : General Use - Nonprogram : Credit Card Fees "/>
        <s v="11-100-00-662000-57552 : Board of Trustees : Student Travel/Meals"/>
        <s v="11-220-00-657000-55530 : Utilities : Electric Utility"/>
        <s v="11-220-00-657000-55540 : Utilities : Gas Utility"/>
        <s v="11-220-00-657000-55560 : Utilities : Water Service"/>
        <s v="11-220-00-657000-55570 : Utilities : Sewer Service"/>
        <s v="11-220-00-657000-55575 : Utilities : Hazardous Waste Disposal"/>
        <s v="11-220-00-657000-55580 : Utilities : Trash Collection Service"/>
        <s v="11-310-00-100700-57552 : Theater Arts : Student Travel/Meals"/>
        <s v="11-320-00-696500-57552 : Athletic Activities : Student Travel/Meals"/>
        <s v="11-335-00-120300-55210 : Instructional Mileage"/>
      </sharedItems>
    </cacheField>
    <cacheField name=" Description" numFmtId="0">
      <sharedItems/>
    </cacheField>
    <cacheField name="Amount" numFmtId="43">
      <sharedItems containsString="0" containsBlank="1" containsNumber="1" minValue="-70000000" maxValue="43506679.67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Techaira" refreshedDate="44333.601249884261" createdVersion="6" refreshedVersion="6" minRefreshableVersion="3" recordCount="514">
  <cacheSource type="worksheet">
    <worksheetSource ref="A1:BA515" sheet="21-22 Position Control Data"/>
  </cacheSource>
  <cacheFields count="53">
    <cacheField name="Line No." numFmtId="0">
      <sharedItems containsBlank="1" containsMixedTypes="1" containsNumber="1" containsInteger="1" minValue="2" maxValue="490"/>
    </cacheField>
    <cacheField name="Group" numFmtId="0">
      <sharedItems/>
    </cacheField>
    <cacheField name="_x000a_Employee" numFmtId="0">
      <sharedItems count="406">
        <s v="Aguilar, Carlos"/>
        <s v="Anderson, Celia"/>
        <s v="Arreguin De Salinas, Rosa Isuara"/>
        <s v="To be hired - VACANT (Barron, Fatima)"/>
        <s v="Benavides-Bartholomew, Victoria"/>
        <s v="Barron Vargas, Fatima"/>
        <s v="Black, Joni J"/>
        <s v="Brandt, Bruce "/>
        <s v="Bridges, Michaela"/>
        <s v="Cabrera, Rosa "/>
        <s v="Canter, Sarah "/>
        <s v="Ramirez, Erika"/>
        <s v="Carranza, Xochtil"/>
        <s v="Carrasco, Monica"/>
        <s v="Carreon, Yvonne"/>
        <s v="Carrillo, Alejandra"/>
        <s v="Chavez, Lenni "/>
        <s v="Chen, Paul"/>
        <s v="Chhom, Tony"/>
        <s v="Clemente Ruiz, Jesus"/>
        <s v="Cortez, Herbert"/>
        <s v="De Leon, Maria"/>
        <s v="Deiss, Melanie"/>
        <s v="Del Rio, Lluvia"/>
        <s v="Diaz, Eva"/>
        <s v="Downie, Mariana"/>
        <s v="Edeza, Delia S"/>
        <s v="Fischler, Lisa"/>
        <s v="Fitch, James D"/>
        <s v="Flores, Elizabeth"/>
        <s v="Fortman, Nonita"/>
        <s v="Galvan, Olga L"/>
        <s v="Amezola Garcia, Blanca"/>
        <s v="Garcia, Claudia"/>
        <s v="Garcia, Ruby Y"/>
        <s v="Gentry, Heidi "/>
        <s v="Ghavamian, Babak"/>
        <s v="Gonzales, Belen"/>
        <s v="Gonzalez, Carla"/>
        <s v="Gonzalez, Maria"/>
        <s v="Gonzalez, Sandra"/>
        <s v="Gonzalez-C, Catalina"/>
        <s v="Gonzalez-Sebastian, Adriana"/>
        <s v="VACANT (Grant)"/>
        <s v="Gray, Kerry M"/>
        <s v="Green, Jessica"/>
        <s v="Guerrero Perez, Maria"/>
        <s v="Gutierrez, Frances"/>
        <s v="Haneta, Irene "/>
        <s v="Hanna, S. G"/>
        <s v="Henderson, Frank"/>
        <s v="Henry, Dawn D"/>
        <s v="Hernandez, Gabriel"/>
        <s v="VACANT (Programmer)"/>
        <s v="Hu, Min"/>
        <s v="Hutchins, Elizbeth"/>
        <s v="VACANT (Hutchins V)"/>
        <s v="Ichikawa, Rodney"/>
        <s v="Isaias, Jorge "/>
        <s v="Jaime, Antonia"/>
        <s v="Jerezano, Maria"/>
        <s v="Jimmeye, Daniel"/>
        <s v="Jones, Brenda "/>
        <s v="Jose Alonzo, Yerdaliney"/>
        <s v="Kimm, Maj-Brit"/>
        <s v="Kirkland, Samuel"/>
        <s v="Ledesma, Joanna"/>
        <s v="Ledesma-Calderon, Joel"/>
        <s v="VACANT (Lemus)"/>
        <s v="LEMUS, MARISELA"/>
        <s v="Lipowski, Marek"/>
        <s v="Lo, Aimee L"/>
        <s v="VACANT (Lo)"/>
        <s v="Lopez, Angelita"/>
        <s v="Lopez, Elizabeth"/>
        <s v="Luciano, Paul"/>
        <s v="Magdaleno, Crystal"/>
        <s v="Maldonado-Moreno, Clara"/>
        <s v="Marin, Maria Z"/>
        <s v="Martinez, Janice"/>
        <s v="Martinez, Jose"/>
        <s v="Martinez, Karen"/>
        <s v="Martinez-Aguilar, Ana"/>
        <s v="Martinez-Jimenez, Julio"/>
        <s v="McCall-Ortega, Adair"/>
        <s v="McGriff III, Nathaniel"/>
        <s v="Mejia Rosas Jasso, Angelica"/>
        <s v="Mena, Julia A"/>
        <s v="Mendoza, Rocio"/>
        <s v="Meneses, Anely"/>
        <s v="Molina, Annett"/>
        <s v="Montelongo, Juana"/>
        <s v="To be hired - VACANT (Montes)"/>
        <s v="Montes Mariz, Jocelyn"/>
        <s v="VACANT (Navarro, Monica)"/>
        <s v="Nguyen, Long D"/>
        <s v="Niduaza, Mezaiah"/>
        <s v="Nunez, Lorena "/>
        <s v="Obana, Chynna "/>
        <s v="Otero, Laura M"/>
        <s v="Otero, Stephen"/>
        <s v="Perez, Josephie"/>
        <s v="Pleak, Joanne "/>
        <s v="Polio, Leda"/>
        <s v="Polio, Ligia"/>
        <s v="Polo, Tito F"/>
        <s v="Provencio, Valeria"/>
        <s v="Pullum, Shawn "/>
        <s v="Ramirez, Alicia"/>
        <s v="Regalado, Christian"/>
        <s v="Reyes, Marina "/>
        <s v="Ritter, Joanne"/>
        <s v="Ritz, Alexandra"/>
        <s v="Rivera, Betty "/>
        <s v="Rodriguez, Ariana"/>
        <s v="Rodriguez, Ernesto"/>
        <s v="Romero, Melissa"/>
        <s v="To be hired - VACANT (Ruiz, Selso H)"/>
        <s v="Ruiz-Camacho, Roberta"/>
        <s v="Saechao-Jimmey, Belinda"/>
        <s v="Salgado, Fanny"/>
        <s v="Sanchez, Leticia"/>
        <s v="Sanchez, Lourdes"/>
        <s v="Sanchez, Robert"/>
        <s v="Sanchez-Ryan, Mindy"/>
        <s v="Santana, Jennifer"/>
        <s v="Serrano, Ramon"/>
        <s v="Silveira, Carolina"/>
        <s v="Silveira, Julia"/>
        <s v="Suarez, Imelda"/>
        <s v="Suarez, Martha"/>
        <s v="Summers, Kris Tina"/>
        <s v="Tapia, Marlene"/>
        <s v="Ting, Layheng"/>
        <s v="Trafton, Mary "/>
        <s v="Uribe, Dina N"/>
        <s v="Valles, Ana C"/>
        <s v="Vazquez, Cecila"/>
        <s v="Vazquez-Gonzalez, Miriam"/>
        <s v="VACANT (Velazquez, Wilson)"/>
        <s v="Venegas, Joanne"/>
        <s v="VACANT (Villalobos, Nicolasa)"/>
        <s v="West, Jutta L"/>
        <s v="Westfall, Marta Cristina"/>
        <s v="Wilson Jr., Tony"/>
        <s v="Xiong, Peter"/>
        <s v="Zepeda, Silvina"/>
        <s v="Aguilar, Jose "/>
        <s v="Alfaro, Josue "/>
        <s v="Arroyo, Margarita"/>
        <s v="Bailon, Rachel"/>
        <s v="Balcazar-Murillo, Edgar"/>
        <s v="Cabrera, Guadalupe"/>
        <s v="Cabrera, Jose "/>
        <s v="Capulong, Maria"/>
        <s v="Chavarin, Carlos"/>
        <s v="Cintron, Nancy"/>
        <s v="Diaz, Alberto "/>
        <s v="Enriquez, Lucia"/>
        <s v="Flores, Gloria"/>
        <s v="VACANT (Gallegos Jr, Frank)"/>
        <s v="Garcia, Veroninca"/>
        <s v="Garibay, Evaristo"/>
        <s v="Gonzales, Mary"/>
        <s v="Guzman, Jose R"/>
        <s v="Hernandez, Anselmo"/>
        <s v="Jones, David L"/>
        <s v="Magallon, Jose"/>
        <s v="Margarito, Carlos"/>
        <s v="Mosqueda, Hector"/>
        <s v="Murillo, Edwin"/>
        <s v="Nonella Jr., Raymond"/>
        <s v="Oviedo, Daniel"/>
        <s v="Ramirez, Ismael"/>
        <s v="Gallegos Jr, Frank"/>
        <s v="Rodriguez-Alfaro, Maria"/>
        <s v="Stuart, Keith"/>
        <s v="Stuart, Kenneth"/>
        <s v="VACANT (Tankesly)"/>
        <s v="Yanez, Jesse"/>
        <s v="Zuniga, Jose"/>
        <s v="Arriaga, Alma "/>
        <s v="Del Real, Abel"/>
        <s v="Flores, Jacque"/>
        <s v="Hayashi, Dina "/>
        <s v="VACANT (Lozada, Christabele)"/>
        <s v="Meldahl, Vanessa"/>
        <s v="Raras, Louann "/>
        <s v="Rowe, Erica C"/>
        <s v="Serrano, Lucille"/>
        <s v="Torres-Zuniga, Nora"/>
        <s v="Ugale, Teresa "/>
        <s v="Zavala, Cristina"/>
        <s v="Miller, Lea F"/>
        <s v="Munoz, George"/>
        <s v="Rinsamout, Sabrina"/>
        <s v="Sanchez, Dora "/>
        <s v="Adamson, Anne "/>
        <s v="Albert, Sharon"/>
        <s v="Almendariz, Moises"/>
        <s v="Armstrong, Rosie"/>
        <s v="Bersamin, Manuel"/>
        <s v="Casey, Paul"/>
        <s v="Casillas, Melissa"/>
        <s v="Ceja, Maria D"/>
        <s v="Cowden, Clint "/>
        <s v="Cowden, Joy F"/>
        <s v="Crow, Steven"/>
        <s v="Cruz, Jaqueline"/>
        <s v="Ejan, Jihan N"/>
        <s v="To be hired - VACANT (Engeldinger, Lyle)"/>
        <s v="VACANT (Faust, Scott C)"/>
        <s v="Ghous, Mostafa"/>
        <s v="Gonzalez, Ana "/>
        <s v="Jalomo, Romero"/>
        <s v="Johnson, Carla"/>
        <s v="Kaczmar, Debra"/>
        <s v="Kappagantula, Bala"/>
        <s v="Lofman, Brian "/>
        <s v="VACANT (London)"/>
        <s v="Gregory, Alicia"/>
        <s v="Matsunaga, Sachiko"/>
        <s v="Moreno, Bronwyn"/>
        <s v="Nevarez, Augustine"/>
        <s v="Pagan, Ivan"/>
        <s v="Parker, Melissa (return 1/1/22)"/>
        <s v="Peregrin, Michelle"/>
        <s v="Peters, Michelle"/>
        <s v="Phillips, David"/>
        <s v="Reyes, Joe L"/>
        <s v="Riggillo, Marc"/>
        <s v="Rodriguez, Raul (Russell)"/>
        <s v="Scott, Daniel "/>
        <s v="Sheppard, Sonja"/>
        <s v="VACANT (Selover)"/>
        <s v="Singh, Jainesh"/>
        <s v="Skinner, Kenneth"/>
        <s v="Stephens Carrillo, Julie"/>
        <s v="Techaira, David"/>
        <s v="Teresa, Dan"/>
        <s v="Thompson, Joel"/>
        <s v="Tovar, Jessica"/>
        <s v="Trengove, Matthew"/>
        <s v="Velasquez, Cesar"/>
        <s v="Walker, Laurencia"/>
        <s v="Wiebusch, Margaret"/>
        <s v="Wilkinson, Catherine"/>
        <s v="Yahdi, Mohammed"/>
        <s v="Zavala, Laura "/>
        <s v="Adams, Lawrence J"/>
        <s v="Ainsworth, Cynthia G"/>
        <s v="Alexander, Mitzi C"/>
        <s v="Almodovar, Mayra"/>
        <s v="Anderson, J. Tony"/>
        <s v="Arteaga, Sonia M"/>
        <s v="Barminski Jr, Robert F"/>
        <s v="Beck, James C"/>
        <s v="Bertomen, Lindsey J"/>
        <s v="Beymer, David S"/>
        <s v="Boates, Tammy L"/>
        <s v="VACANT (Bosler)"/>
        <s v="Brandt, Emily R"/>
        <s v="Bravo, Gabriel S"/>
        <s v="Brozada, Lisa"/>
        <s v="Butler Jr, James J"/>
        <s v="Calvert, Peter K"/>
        <s v="Chappman, Richard"/>
        <s v="Taylor, Jennifer Hilda"/>
        <s v="Clark, Angela"/>
        <s v="Collins, Matt P"/>
        <s v="Contreras, Leticia"/>
        <s v="Coria, Jose C"/>
        <s v="Davis, Lisa M"/>
        <s v="Davis, Michael L"/>
        <s v="DeHart, Mark A"/>
        <s v="Del Real, Mercedes"/>
        <s v="Diamond, Denise J"/>
        <s v="Diaz, Sergio S"/>
        <s v="Edelen, Alicia"/>
        <s v="Edens, Alexander S"/>
        <s v="Entekhabi, Parviz"/>
        <s v="Escoto, Pedro"/>
        <s v="Esparza, Christina M"/>
        <s v="Estrella, Elizabeth A"/>
        <s v="Ettinger, Steve J"/>
        <s v="Fatuzzo, Laura M"/>
        <s v="Fields, Rebecca D"/>
        <s v="Flores, Janet"/>
        <s v="Foley, Brooksley L"/>
        <s v="Gabriel, Ashley K"/>
        <s v="VACANT (Garcia)"/>
        <s v="To be hired - VACANT (Gifford, Toni M)"/>
        <s v="Glazier, Marnie J"/>
        <s v="Gray, Peter M"/>
        <s v="Guerrero, Albar I"/>
        <s v="Gutierrez, Emily"/>
        <s v="Harley, Diane J"/>
        <s v="Hernandez, Norma Isela C"/>
        <s v="Ho, Tanya"/>
        <s v="Hobson, Carol A"/>
        <s v="Hooper, Michael F"/>
        <s v="Hornstein, Melissa K"/>
        <s v="Hough, Jason"/>
        <s v="Hughey, Jeffery R"/>
        <s v="Hussain, Mohammad T"/>
        <s v="Jimenez, Hortencia"/>
        <s v="Jimenez, Melvin P"/>
        <s v="King, Carol"/>
        <s v="Lampart, Wendy"/>
        <s v="Lanka, Sunita V"/>
        <s v="Locke, Kelly M"/>
        <s v="Lopez, Daniel R"/>
        <s v="Lopez, Gabriela F"/>
        <s v="Madrigal, Millicent"/>
        <s v="Manrique, Miguel-Angel"/>
        <s v="Marciel, Jacob"/>
        <s v="Marquez, Maria C"/>
        <s v="Matsushita-Arao, Yoshiko J"/>
        <s v="Maturino, Valerie K"/>
        <s v="VACANT (Graham, Albert)"/>
        <s v="VACANT (Mayfield)"/>
        <s v="McCarthy, Michael R"/>
        <s v="McClary, Kelley A"/>
        <s v="McElhenie, Matthew M"/>
        <s v="McKown, Joel"/>
        <s v="Mendoza-Lewis, Rhea L"/>
        <s v="Moorhouse, Jennifer L"/>
        <s v="Moss, Christopher R"/>
        <s v="Moth, Pimol"/>
        <s v="O'Donnell, Cheryl E"/>
        <s v="Ortega, Daniel"/>
        <s v="Pacheco, Samuel J"/>
        <s v="Palmer, Brian R"/>
        <s v="Panggat, Rosser O"/>
        <s v="Pasquale, Nicholas D"/>
        <s v="Pedroza, Jamie L"/>
        <s v="Perez Jr., John R"/>
        <s v="Perez, Daniel"/>
        <s v="Perkins, Gregory S"/>
        <s v="Petersen, Daniel L"/>
        <s v="Plumb, Meagan B"/>
        <s v="Rayappan, Sagayamary V"/>
        <s v="Reyes, Nancy V"/>
        <s v="Riley, Ann"/>
        <s v="VACANT (Riley, James A)"/>
        <s v="Rocha, Hermelinda"/>
        <s v="Rodriguez, Heather T"/>
        <s v="Rodriguez, Lesha M"/>
        <s v="Rodriquez, Valentin Rico"/>
        <s v="Rustad, Emily K"/>
        <s v="Sanchez, Jorge"/>
        <s v="Schur Beymer, Nancy"/>
        <s v="Soto, Andrew C"/>
        <s v="Stephens, Deborah L"/>
        <s v="Storm, Lisa M"/>
        <s v="Sullinger, Seaneen S"/>
        <s v="Svendsen, Christine S"/>
        <s v="Szamos, Aron"/>
        <s v="Teutsch, Maria G"/>
        <s v="Thorpe, Deborah M"/>
        <s v="Torres, Joel"/>
        <s v="Triano, Steven R"/>
        <s v="Uribe-Cruz, Gemma"/>
        <s v="VACANT (Vacaflor)"/>
        <s v="Vasher, Andrew M"/>
        <s v="Vazquez, Senorina R"/>
        <s v="Waddy, Ron T"/>
        <s v="Ward, Robert B"/>
        <s v="VACANT (WATT)"/>
        <s v="Watson, Maya"/>
        <s v="Weber, Mark F"/>
        <s v="Wenger, Violeta M"/>
        <s v="Wheat, Nancy C"/>
        <s v="Whitmore, Janeen M"/>
        <s v="Williams, Travis J"/>
        <s v="Wilson, Molly R"/>
        <s v="Wright, Ann E"/>
        <s v="VACANT (Yahdi)"/>
        <s v="Yee, Lawrence J"/>
        <s v="Yelland, Hetty L"/>
        <s v="Zarate-McCoy, Andrea J"/>
        <s v="Zepeda, Christopher L"/>
        <s v="DePauw, Candice S"/>
        <s v="DiArrigo, Margaret"/>
        <s v="Lopez, Irma C"/>
        <s v="Montemayor, Raymond M"/>
        <s v="Padilla-Chavez, Erica"/>
        <s v="Salazar, Aurelio"/>
        <s v="Gonzalez, Alejandra"/>
        <s v="To be hired - VACANT (Director of Job and Internship Placement)"/>
        <s v="To be hired - VACANT (Director of Philanthropy)"/>
        <s v="Parker, Melissa (thru 12/31/21)"/>
        <s v="To be hired - VACANT (Morales)"/>
        <s v="VACANT (Navarro)"/>
        <s v="VACANT (Wayne Foster)"/>
        <s v="To be hired - VACANT (Gallegos Jr, Frank)" u="1"/>
        <s v="VACANT (Montes)" u="1"/>
        <s v="VACANT (Velazquez)" u="1"/>
        <s v="To be hired - VACANT (Riley, James A)" u="1"/>
        <s v="VACANT (Ruiz, Selso H)" u="1"/>
        <s v="VACANT (Barron, Fatima)" u="1"/>
        <s v="Engeldinger, Lyle" u="1"/>
        <s v="To be hired - VACANT (Graham, Albert)" u="1"/>
        <s v="To be hired - VACANT (Faust, Scott C)" u="1"/>
        <s v="To be hired - VACANT (Lozada, Christabele)" u="1"/>
        <s v="To be hired - VACANT (Wayne Foster)" u="1"/>
      </sharedItems>
    </cacheField>
    <cacheField name="Description" numFmtId="0">
      <sharedItems/>
    </cacheField>
    <cacheField name="FTE" numFmtId="0">
      <sharedItems containsSemiMixedTypes="0" containsString="0" containsNumber="1" minValue="0.4" maxValue="100"/>
    </cacheField>
    <cacheField name="Step Advancement" numFmtId="0">
      <sharedItems containsNonDate="0" containsDate="1" containsString="0" containsBlank="1" minDate="2021-05-01T00:00:00" maxDate="2022-07-16T00:00:00"/>
    </cacheField>
    <cacheField name="Range" numFmtId="0">
      <sharedItems containsBlank="1" containsMixedTypes="1" containsNumber="1" minValue="1.1000000000000001" maxValue="13"/>
    </cacheField>
    <cacheField name="Step" numFmtId="0">
      <sharedItems containsBlank="1" containsMixedTypes="1" containsNumber="1" containsInteger="1" minValue="4" maxValue="20"/>
    </cacheField>
    <cacheField name="Total" numFmtId="0">
      <sharedItems containsString="0" containsBlank="1" containsNumber="1" minValue="3419" maxValue="126143.25"/>
    </cacheField>
    <cacheField name="Step " numFmtId="0">
      <sharedItems containsBlank="1" containsMixedTypes="1" containsNumber="1" containsInteger="1" minValue="7" maxValue="7"/>
    </cacheField>
    <cacheField name="Total2" numFmtId="0">
      <sharedItems containsString="0" containsBlank="1" containsNumber="1" minValue="0" maxValue="316200"/>
    </cacheField>
    <cacheField name="Annual" numFmtId="43">
      <sharedItems containsSemiMixedTypes="0" containsString="0" containsNumber="1" minValue="2880" maxValue="316200"/>
    </cacheField>
    <cacheField name="1% increase" numFmtId="43">
      <sharedItems containsString="0" containsBlank="1" containsNumber="1" containsInteger="1" minValue="9908" maxValue="70903"/>
    </cacheField>
    <cacheField name="Merit" numFmtId="0">
      <sharedItems containsString="0" containsBlank="1" containsNumber="1" containsInteger="1" minValue="4641" maxValue="9640"/>
    </cacheField>
    <cacheField name="Diff" numFmtId="0">
      <sharedItems containsString="0" containsBlank="1" containsNumber="1" minValue="0.05" maxValue="0.05"/>
    </cacheField>
    <cacheField name="Total3" numFmtId="0">
      <sharedItems containsString="0" containsBlank="1" containsNumber="1" minValue="495.40000000000003" maxValue="3100.4"/>
    </cacheField>
    <cacheField name="Lng" numFmtId="0">
      <sharedItems containsString="0" containsBlank="1" containsNumber="1" minValue="0" maxValue="0.1"/>
    </cacheField>
    <cacheField name="Total4" numFmtId="0">
      <sharedItems containsString="0" containsBlank="1" containsNumber="1" minValue="0" maxValue="10942"/>
    </cacheField>
    <cacheField name="New Lng" numFmtId="0">
      <sharedItems containsNonDate="0" containsString="0" containsBlank="1"/>
    </cacheField>
    <cacheField name="Total5" numFmtId="0">
      <sharedItems containsString="0" containsBlank="1" containsNumber="1" containsInteger="1" minValue="0" maxValue="0"/>
    </cacheField>
    <cacheField name="PG/BIL/Phd" numFmtId="0">
      <sharedItems containsString="0" containsBlank="1" containsNumber="1" containsInteger="1" minValue="600" maxValue="2400"/>
    </cacheField>
    <cacheField name="Annual Total" numFmtId="43">
      <sharedItems containsSemiMixedTypes="0" containsString="0" containsNumber="1" minValue="2880" maxValue="316200"/>
    </cacheField>
    <cacheField name="Distribution" numFmtId="9">
      <sharedItems containsSemiMixedTypes="0" containsString="0" containsNumber="1" minValue="0" maxValue="1"/>
    </cacheField>
    <cacheField name="Dist Amount" numFmtId="43">
      <sharedItems containsSemiMixedTypes="0" containsString="0" containsNumber="1" minValue="0" maxValue="174011"/>
    </cacheField>
    <cacheField name="Assign_x000a_Type" numFmtId="0">
      <sharedItems/>
    </cacheField>
    <cacheField name="Fund" numFmtId="49">
      <sharedItems count="6">
        <s v="12"/>
        <s v="11"/>
        <s v="33"/>
        <s v="46"/>
        <s v="71"/>
        <s v="52"/>
      </sharedItems>
    </cacheField>
    <cacheField name="Area" numFmtId="49">
      <sharedItems containsMixedTypes="1" containsNumber="1" containsInteger="1" minValue="100" maxValue="100"/>
    </cacheField>
    <cacheField name="Loc" numFmtId="49">
      <sharedItems/>
    </cacheField>
    <cacheField name="Tops" numFmtId="49">
      <sharedItems containsMixedTypes="1" containsNumber="1" containsInteger="1" minValue="662000" maxValue="682100"/>
    </cacheField>
    <cacheField name="Object" numFmtId="49">
      <sharedItems containsMixedTypes="1" containsNumber="1" containsInteger="1" minValue="52105" maxValue="52105"/>
    </cacheField>
    <cacheField name="MO" numFmtId="43">
      <sharedItems count="2">
        <s v="52"/>
        <s v="51"/>
      </sharedItems>
    </cacheField>
    <cacheField name="16.92%" numFmtId="0">
      <sharedItems containsString="0" containsBlank="1" containsNumber="1" minValue="0" maxValue="29442.661199999999"/>
    </cacheField>
    <cacheField name="22.91%" numFmtId="0">
      <sharedItems containsString="0" containsBlank="1" containsNumber="1" minValue="0" maxValue="39522.270100000002"/>
    </cacheField>
    <cacheField name="6.20%" numFmtId="0">
      <sharedItems containsString="0" containsBlank="1" containsNumber="1" minValue="0" maxValue="10695.682000000001"/>
    </cacheField>
    <cacheField name="1.45%" numFmtId="43">
      <sharedItems containsSemiMixedTypes="0" containsString="0" containsNumber="1" minValue="0" maxValue="2523.1595000000002"/>
    </cacheField>
    <cacheField name="1.23%" numFmtId="43">
      <sharedItems containsSemiMixedTypes="0" containsString="0" containsNumber="1" minValue="0" maxValue="2140.3353000000002"/>
    </cacheField>
    <cacheField name="1.891%" numFmtId="43">
      <sharedItems containsSemiMixedTypes="0" containsString="0" containsNumber="1" minValue="0" maxValue="3290.1999880000003"/>
    </cacheField>
    <cacheField name="Disability" numFmtId="43">
      <sharedItems containsString="0" containsBlank="1" containsNumber="1" minValue="140.04" maxValue="140.04"/>
    </cacheField>
    <cacheField name="Dis Dist" numFmtId="43">
      <sharedItems containsSemiMixedTypes="0" containsString="0" containsNumber="1" minValue="0" maxValue="140.04"/>
    </cacheField>
    <cacheField name="AD&amp;D Life" numFmtId="2">
      <sharedItems containsString="0" containsBlank="1" containsNumber="1" minValue="79.2" maxValue="79.2"/>
    </cacheField>
    <cacheField name="Life Dist" numFmtId="2">
      <sharedItems containsSemiMixedTypes="0" containsString="0" containsNumber="1" minValue="0" maxValue="79.2"/>
    </cacheField>
    <cacheField name="H&amp;W" numFmtId="43">
      <sharedItems containsString="0" containsBlank="1" containsNumber="1" minValue="0" maxValue="36484.32"/>
    </cacheField>
    <cacheField name="8.03%" numFmtId="43">
      <sharedItems containsSemiMixedTypes="0" containsString="0" containsNumber="1" minValue="0" maxValue="37949.165448"/>
    </cacheField>
    <cacheField name="H&amp;W Dist" numFmtId="43">
      <sharedItems containsSemiMixedTypes="0" containsString="0" containsNumber="1" minValue="0" maxValue="37949.165448"/>
    </cacheField>
    <cacheField name="H&amp;W Dist + 8%" numFmtId="43">
      <sharedItems containsSemiMixedTypes="0" containsString="0" containsNumber="1" minValue="0" maxValue="38168.405447999998"/>
    </cacheField>
    <cacheField name="HRA" numFmtId="0">
      <sharedItems containsString="0" containsBlank="1" containsNumber="1" containsInteger="1" minValue="2040" maxValue="2400"/>
    </cacheField>
    <cacheField name="HRA Dist" numFmtId="0">
      <sharedItems containsSemiMixedTypes="0" containsString="0" containsNumber="1" containsInteger="1" minValue="0" maxValue="2400"/>
    </cacheField>
    <cacheField name="Ben. Dist. Amount" numFmtId="43">
      <sharedItems containsSemiMixedTypes="0" containsString="0" containsNumber="1" minValue="0" maxValue="93109.101488"/>
    </cacheField>
    <cacheField name="Total Sal &amp; Ben" numFmtId="43">
      <sharedItems containsSemiMixedTypes="0" containsString="0" containsNumber="1" minValue="0" maxValue="265620.10148800001"/>
    </cacheField>
    <cacheField name="Vice President" numFmtId="0">
      <sharedItems containsBlank="1"/>
    </cacheField>
    <cacheField name="Project Director" numFmtId="0">
      <sharedItems containsBlank="1"/>
    </cacheField>
    <cacheField name="Program" numFmtId="0">
      <sharedItems containsBlank="1"/>
    </cacheField>
    <cacheField name="Pos Desc + Dist %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65">
  <r>
    <x v="0"/>
    <s v="11-000-00-000000-48110"/>
    <x v="0"/>
    <n v="0"/>
    <n v="0"/>
    <x v="0"/>
    <n v="48110"/>
    <x v="0"/>
    <s v="48"/>
    <s v="481"/>
    <x v="0"/>
    <s v="General Use - Nonprogram : Forest Reserve"/>
    <n v="-3500"/>
  </r>
  <r>
    <x v="0"/>
    <s v="11-000-00-000000-48160"/>
    <x v="0"/>
    <n v="0"/>
    <n v="0"/>
    <x v="0"/>
    <n v="48160"/>
    <x v="0"/>
    <s v="48"/>
    <s v="481"/>
    <x v="1"/>
    <s v="General Use - Nonprogram : Veterans Education"/>
    <n v="-1500"/>
  </r>
  <r>
    <x v="0"/>
    <s v="11-000-00-000000-48180"/>
    <x v="0"/>
    <n v="0"/>
    <n v="0"/>
    <x v="0"/>
    <n v="48180"/>
    <x v="0"/>
    <s v="48"/>
    <s v="481"/>
    <x v="2"/>
    <s v="General Use - Nonprogram : Pell Administration Cost"/>
    <n v="-12000"/>
  </r>
  <r>
    <x v="0"/>
    <s v="11-000-00-000000-48611"/>
    <x v="0"/>
    <n v="0"/>
    <n v="0"/>
    <x v="0"/>
    <n v="48611"/>
    <x v="0"/>
    <s v="48"/>
    <s v="486"/>
    <x v="3"/>
    <s v="General Use - Nonprogram : Principal Apportionment"/>
    <n v="-13535611"/>
  </r>
  <r>
    <x v="0"/>
    <s v="11-000-00-000000-48613"/>
    <x v="0"/>
    <n v="0"/>
    <n v="0"/>
    <x v="0"/>
    <n v="48613"/>
    <x v="0"/>
    <s v="48"/>
    <s v="486"/>
    <x v="4"/>
    <s v="General Use - Nonprogram : BOG Fee Waivers Admin Fee"/>
    <n v="-118400"/>
  </r>
  <r>
    <x v="0"/>
    <s v="11-000-00-000000-48614"/>
    <x v="0"/>
    <n v="0"/>
    <n v="0"/>
    <x v="0"/>
    <n v="48614"/>
    <x v="0"/>
    <s v="48"/>
    <s v="486"/>
    <x v="5"/>
    <s v="General Use - Nonprogram : Apprenticeship"/>
    <n v="-75533"/>
  </r>
  <r>
    <x v="0"/>
    <s v="11-000-00-000000-48616"/>
    <x v="0"/>
    <n v="0"/>
    <n v="0"/>
    <x v="0"/>
    <n v="48616"/>
    <x v="0"/>
    <s v="48"/>
    <s v="486"/>
    <x v="6"/>
    <s v="General Use - Nonprogram : Part Time Faculty"/>
    <n v="-206857"/>
  </r>
  <r>
    <x v="0"/>
    <s v="11-000-00-000000-48617"/>
    <x v="0"/>
    <n v="0"/>
    <n v="0"/>
    <x v="0"/>
    <n v="48617"/>
    <x v="0"/>
    <s v="48"/>
    <s v="486"/>
    <x v="7"/>
    <s v="General Use - Nonprogram : Apportionment PY Adjustment"/>
    <n v="0"/>
  </r>
  <r>
    <x v="0"/>
    <s v="11-000-00-000000-48630"/>
    <x v="0"/>
    <n v="0"/>
    <n v="0"/>
    <x v="0"/>
    <n v="48630"/>
    <x v="0"/>
    <s v="48"/>
    <s v="486"/>
    <x v="8"/>
    <s v="General Use - Nonprogram : Prop 30-EPA Funds"/>
    <n v="0"/>
  </r>
  <r>
    <x v="0"/>
    <s v="11-000-00-000000-48668"/>
    <x v="0"/>
    <n v="0"/>
    <n v="0"/>
    <x v="0"/>
    <n v="48668"/>
    <x v="0"/>
    <s v="48"/>
    <s v="486"/>
    <x v="9"/>
    <s v="General Use - Nonprogram : Full Time Faculty Hiring"/>
    <n v="-326873"/>
  </r>
  <r>
    <x v="0"/>
    <s v="11-000-00-000000-48670"/>
    <x v="0"/>
    <n v="0"/>
    <n v="0"/>
    <x v="0"/>
    <n v="48670"/>
    <x v="0"/>
    <s v="48"/>
    <s v="486"/>
    <x v="10"/>
    <s v="General Use - Nonprogram : HOPTR"/>
    <n v="-105000"/>
  </r>
  <r>
    <x v="0"/>
    <s v="11-000-00-000000-48681"/>
    <x v="0"/>
    <n v="0"/>
    <n v="0"/>
    <x v="0"/>
    <n v="48681"/>
    <x v="0"/>
    <s v="48"/>
    <s v="486"/>
    <x v="11"/>
    <s v="General Use - Nonprogram : State Mandated Costs"/>
    <n v="-222046"/>
  </r>
  <r>
    <x v="0"/>
    <s v="11-000-00-000000-48811"/>
    <x v="0"/>
    <n v="0"/>
    <n v="0"/>
    <x v="0"/>
    <n v="48811"/>
    <x v="0"/>
    <s v="48"/>
    <s v="488"/>
    <x v="12"/>
    <s v="General Use - Nonprogram : Property Taxes - Secured"/>
    <n v="-26452404"/>
  </r>
  <r>
    <x v="0"/>
    <s v="11-000-00-000000-48812"/>
    <x v="0"/>
    <n v="0"/>
    <n v="0"/>
    <x v="0"/>
    <n v="48812"/>
    <x v="0"/>
    <s v="48"/>
    <s v="488"/>
    <x v="13"/>
    <s v="General Use - Nonprogram : Property Taxes - Unsecured"/>
    <n v="0"/>
  </r>
  <r>
    <x v="0"/>
    <s v="11-000-00-000000-48813"/>
    <x v="0"/>
    <n v="0"/>
    <n v="0"/>
    <x v="0"/>
    <n v="48813"/>
    <x v="0"/>
    <s v="48"/>
    <s v="488"/>
    <x v="14"/>
    <s v="General Use - Nonprogram : Property Taxes - Prior Year"/>
    <n v="0"/>
  </r>
  <r>
    <x v="0"/>
    <s v="11-000-00-000000-48814"/>
    <x v="0"/>
    <n v="0"/>
    <n v="0"/>
    <x v="0"/>
    <n v="48814"/>
    <x v="0"/>
    <s v="48"/>
    <s v="488"/>
    <x v="15"/>
    <s v="General Use - Nonprogram : Property Taxes - Supplemental"/>
    <n v="0"/>
  </r>
  <r>
    <x v="0"/>
    <s v="11-000-00-000000-48817"/>
    <x v="0"/>
    <n v="0"/>
    <n v="0"/>
    <x v="0"/>
    <n v="48817"/>
    <x v="0"/>
    <s v="48"/>
    <s v="488"/>
    <x v="16"/>
    <s v="General Use - Nonprogram : Education Revenue Augmentation Fund"/>
    <n v="0"/>
  </r>
  <r>
    <x v="0"/>
    <s v="11-000-00-000000-48818"/>
    <x v="0"/>
    <n v="0"/>
    <n v="0"/>
    <x v="0"/>
    <n v="48818"/>
    <x v="0"/>
    <s v="48"/>
    <s v="488"/>
    <x v="17"/>
    <s v="General Use - Nonprogram : RDA/RPTTF Pass-Through"/>
    <n v="0"/>
  </r>
  <r>
    <x v="0"/>
    <s v="11-000-00-000000-48819"/>
    <x v="0"/>
    <n v="0"/>
    <n v="0"/>
    <x v="0"/>
    <n v="48819"/>
    <x v="0"/>
    <s v="48"/>
    <s v="488"/>
    <x v="18"/>
    <s v="General Use - Nonprogram : RDA/RPTTF Residual PTAX"/>
    <n v="0"/>
  </r>
  <r>
    <x v="0"/>
    <s v="11-000-00-000000-48860"/>
    <x v="0"/>
    <n v="0"/>
    <n v="0"/>
    <x v="0"/>
    <n v="48860"/>
    <x v="0"/>
    <s v="48"/>
    <s v="488"/>
    <x v="19"/>
    <s v="General Use - Nonprogram : Interest Income"/>
    <n v="-243587.23"/>
  </r>
  <r>
    <x v="0"/>
    <s v="11-000-00-000000-48872"/>
    <x v="0"/>
    <n v="0"/>
    <n v="0"/>
    <x v="0"/>
    <n v="48872"/>
    <x v="0"/>
    <s v="48"/>
    <s v="488"/>
    <x v="20"/>
    <s v="General Use - Nonprogram : Planetarium"/>
    <n v="0"/>
  </r>
  <r>
    <x v="0"/>
    <s v="11-000-00-000000-48874"/>
    <x v="0"/>
    <n v="0"/>
    <n v="0"/>
    <x v="0"/>
    <n v="48874"/>
    <x v="0"/>
    <s v="48"/>
    <s v="488"/>
    <x v="21"/>
    <s v="General Use - Nonprogram : Enrollment Fees"/>
    <n v="-2150000"/>
  </r>
  <r>
    <x v="0"/>
    <s v="11-000-00-000000-48879"/>
    <x v="0"/>
    <n v="0"/>
    <n v="0"/>
    <x v="0"/>
    <n v="48879"/>
    <x v="0"/>
    <s v="48"/>
    <s v="488"/>
    <x v="22"/>
    <s v="General Use - Nonprogram : Transcript Fees"/>
    <n v="-54000"/>
  </r>
  <r>
    <x v="0"/>
    <s v="11-000-00-000000-48880"/>
    <x v="0"/>
    <n v="0"/>
    <n v="0"/>
    <x v="0"/>
    <n v="48880"/>
    <x v="0"/>
    <s v="48"/>
    <s v="488"/>
    <x v="23"/>
    <s v="General Use - Nonprogram : Non-resident Tuition"/>
    <n v="-116618"/>
  </r>
  <r>
    <x v="0"/>
    <s v="11-000-00-000000-48890"/>
    <x v="0"/>
    <n v="0"/>
    <n v="0"/>
    <x v="0"/>
    <n v="48890"/>
    <x v="0"/>
    <s v="48"/>
    <s v="488"/>
    <x v="24"/>
    <s v="General Use - Nonprogram : Other Local Income "/>
    <n v="-20000"/>
  </r>
  <r>
    <x v="0"/>
    <s v="11-000-00-000000-48892"/>
    <x v="0"/>
    <n v="0"/>
    <n v="0"/>
    <x v="0"/>
    <n v="48892"/>
    <x v="0"/>
    <s v="48"/>
    <s v="488"/>
    <x v="25"/>
    <s v="General Use - Nonprogram : Community Use of Facilities"/>
    <n v="0"/>
  </r>
  <r>
    <x v="0"/>
    <s v="11-000-00-000000-48980"/>
    <x v="0"/>
    <n v="0"/>
    <n v="0"/>
    <x v="0"/>
    <n v="48980"/>
    <x v="0"/>
    <s v="48"/>
    <s v="489"/>
    <x v="26"/>
    <s v="General Use - Nonprogram : Interfund Transfer-In"/>
    <n v="-100000"/>
  </r>
  <r>
    <x v="0"/>
    <s v="11-000-00-677010-48887"/>
    <x v="0"/>
    <n v="0"/>
    <n v="0"/>
    <x v="1"/>
    <n v="48887"/>
    <x v="0"/>
    <s v="48"/>
    <s v="488"/>
    <x v="27"/>
    <s v="COVID-19 : Enrollment Fees - Contra Acct."/>
    <n v="0"/>
  </r>
  <r>
    <x v="0"/>
    <s v="11-100-00-661000-51205"/>
    <x v="0"/>
    <n v="100"/>
    <n v="0"/>
    <x v="2"/>
    <n v="51205"/>
    <x v="1"/>
    <s v="51"/>
    <s v="512"/>
    <x v="28"/>
    <s v="Planning &amp; Policy Making : Academic Nonteaching President"/>
    <n v="191917.39"/>
  </r>
  <r>
    <x v="0"/>
    <s v="11-100-00-661000-52120"/>
    <x v="0"/>
    <n v="100"/>
    <n v="0"/>
    <x v="2"/>
    <n v="52120"/>
    <x v="1"/>
    <s v="52"/>
    <s v="521"/>
    <x v="29"/>
    <s v="Planning &amp; Policy Making : Classified Confidential"/>
    <n v="64103.14"/>
  </r>
  <r>
    <x v="0"/>
    <s v="11-100-00-661000-52300"/>
    <x v="0"/>
    <n v="100"/>
    <n v="0"/>
    <x v="2"/>
    <n v="52300"/>
    <x v="1"/>
    <s v="52"/>
    <s v="523"/>
    <x v="30"/>
    <s v="Planning &amp; Policy Making : Classified Overtime"/>
    <n v="3120"/>
  </r>
  <r>
    <x v="0"/>
    <s v="11-100-00-661000-53120"/>
    <x v="0"/>
    <n v="100"/>
    <n v="0"/>
    <x v="2"/>
    <n v="53120"/>
    <x v="1"/>
    <s v="53"/>
    <s v="531"/>
    <x v="31"/>
    <s v="Planning &amp; Policy Making : STRS Nonteaching"/>
    <n v="24736.5"/>
  </r>
  <r>
    <x v="0"/>
    <s v="11-100-00-661000-53220"/>
    <x v="0"/>
    <n v="100"/>
    <n v="0"/>
    <x v="2"/>
    <n v="53220"/>
    <x v="1"/>
    <s v="53"/>
    <s v="532"/>
    <x v="32"/>
    <s v="Planning &amp; Policy Making : PERS Nonteaching"/>
    <n v="13269.35"/>
  </r>
  <r>
    <x v="0"/>
    <s v="11-100-00-661000-53320"/>
    <x v="0"/>
    <n v="100"/>
    <n v="0"/>
    <x v="2"/>
    <n v="53320"/>
    <x v="1"/>
    <s v="53"/>
    <s v="533"/>
    <x v="33"/>
    <s v="Planning &amp; Policy Making : OASDHI (FICA) Nonteaching"/>
    <n v="11576.83"/>
  </r>
  <r>
    <x v="0"/>
    <s v="11-100-00-661000-53340"/>
    <x v="0"/>
    <n v="100"/>
    <n v="0"/>
    <x v="2"/>
    <n v="53340"/>
    <x v="1"/>
    <s v="53"/>
    <s v="533"/>
    <x v="34"/>
    <s v="Planning &amp; Policy Making : Medicare Nonteaching"/>
    <n v="3757.53"/>
  </r>
  <r>
    <x v="0"/>
    <s v="11-100-00-661000-53420"/>
    <x v="0"/>
    <n v="100"/>
    <n v="0"/>
    <x v="2"/>
    <n v="53420"/>
    <x v="1"/>
    <s v="53"/>
    <s v="534"/>
    <x v="35"/>
    <s v="Planning &amp; Policy Making : H &amp; W Nonteaching"/>
    <n v="41611.279999999999"/>
  </r>
  <r>
    <x v="0"/>
    <s v="11-100-00-661000-53520"/>
    <x v="0"/>
    <n v="100"/>
    <n v="0"/>
    <x v="2"/>
    <n v="53520"/>
    <x v="1"/>
    <s v="53"/>
    <s v="535"/>
    <x v="36"/>
    <s v="Planning &amp; Policy Making : SUI Nonteaching"/>
    <n v="129.57"/>
  </r>
  <r>
    <x v="0"/>
    <s v="11-100-00-661000-53620"/>
    <x v="0"/>
    <n v="100"/>
    <n v="0"/>
    <x v="2"/>
    <n v="53620"/>
    <x v="1"/>
    <s v="53"/>
    <s v="536"/>
    <x v="37"/>
    <s v="Planning &amp; Policy Making : WC Nonteaching"/>
    <n v="4899.84"/>
  </r>
  <r>
    <x v="0"/>
    <s v="11-100-00-661000-53902"/>
    <x v="0"/>
    <n v="100"/>
    <n v="0"/>
    <x v="2"/>
    <n v="53902"/>
    <x v="1"/>
    <s v="53"/>
    <s v="539"/>
    <x v="38"/>
    <s v="Planning &amp; Policy Making : Term Life Insurance - Crown"/>
    <n v="0"/>
  </r>
  <r>
    <x v="0"/>
    <s v="11-100-00-661000-53920"/>
    <x v="0"/>
    <n v="100"/>
    <n v="0"/>
    <x v="2"/>
    <n v="53920"/>
    <x v="1"/>
    <s v="53"/>
    <s v="539"/>
    <x v="39"/>
    <s v="Planning &amp; Policy Making : Other Benefit-Non Teaching"/>
    <n v="960"/>
  </r>
  <r>
    <x v="0"/>
    <s v="11-100-00-661000-54210"/>
    <x v="0"/>
    <n v="100"/>
    <n v="0"/>
    <x v="2"/>
    <n v="54210"/>
    <x v="1"/>
    <s v="54"/>
    <s v="542"/>
    <x v="40"/>
    <s v="Planning &amp; Policy Making : Purchases - Food"/>
    <n v="0"/>
  </r>
  <r>
    <x v="0"/>
    <s v="11-100-00-661000-54300"/>
    <x v="0"/>
    <n v="100"/>
    <n v="0"/>
    <x v="2"/>
    <n v="54300"/>
    <x v="1"/>
    <s v="54"/>
    <s v="543"/>
    <x v="41"/>
    <s v="Planning &amp; Policy Making : Supplies &amp; Materials"/>
    <n v="4000"/>
  </r>
  <r>
    <x v="0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0"/>
    <s v="11-100-00-661000-55105"/>
    <x v="0"/>
    <n v="100"/>
    <n v="0"/>
    <x v="2"/>
    <n v="55105"/>
    <x v="1"/>
    <s v="55"/>
    <s v="551"/>
    <x v="43"/>
    <s v="Planning &amp; Policy Making : Contract Services"/>
    <n v="48387"/>
  </r>
  <r>
    <x v="0"/>
    <s v="11-100-00-661000-55200"/>
    <x v="0"/>
    <n v="100"/>
    <n v="0"/>
    <x v="2"/>
    <n v="55200"/>
    <x v="1"/>
    <s v="55"/>
    <s v="552"/>
    <x v="44"/>
    <s v="Planning &amp; Policy Making : Travel &amp; Conference"/>
    <n v="441.6"/>
  </r>
  <r>
    <x v="0"/>
    <s v="11-100-00-661000-55300"/>
    <x v="0"/>
    <n v="100"/>
    <n v="0"/>
    <x v="2"/>
    <n v="55300"/>
    <x v="1"/>
    <s v="55"/>
    <s v="553"/>
    <x v="45"/>
    <s v="Planning &amp; Policy Making : Memberships"/>
    <n v="92000"/>
  </r>
  <r>
    <x v="0"/>
    <s v="11-100-00-661000-55550"/>
    <x v="0"/>
    <n v="100"/>
    <n v="0"/>
    <x v="2"/>
    <n v="55550"/>
    <x v="1"/>
    <s v="55"/>
    <s v="555"/>
    <x v="46"/>
    <s v="Planning &amp; Policy Making : Telephone Service"/>
    <n v="600"/>
  </r>
  <r>
    <x v="0"/>
    <s v="11-100-00-661000-55560"/>
    <x v="0"/>
    <n v="100"/>
    <n v="0"/>
    <x v="2"/>
    <n v="55560"/>
    <x v="1"/>
    <s v="55"/>
    <s v="555"/>
    <x v="47"/>
    <s v="Planning &amp; Policy Making : Water Service"/>
    <n v="450"/>
  </r>
  <r>
    <x v="0"/>
    <s v="11-100-00-661000-55630"/>
    <x v="0"/>
    <n v="100"/>
    <n v="0"/>
    <x v="2"/>
    <n v="55630"/>
    <x v="1"/>
    <s v="55"/>
    <s v="556"/>
    <x v="48"/>
    <s v="Planning &amp; Policy Making : Printing &amp; Duplicating - Inhouse"/>
    <n v="2200"/>
  </r>
  <r>
    <x v="0"/>
    <s v="11-100-00-661000-55635"/>
    <x v="0"/>
    <n v="100"/>
    <n v="0"/>
    <x v="2"/>
    <n v="55635"/>
    <x v="1"/>
    <s v="55"/>
    <s v="556"/>
    <x v="49"/>
    <s v="Planning &amp; Policy Making : Printing Services - Vendor"/>
    <n v="1500"/>
  </r>
  <r>
    <x v="0"/>
    <s v="11-100-00-661000-55800"/>
    <x v="0"/>
    <n v="100"/>
    <n v="0"/>
    <x v="2"/>
    <n v="55800"/>
    <x v="1"/>
    <s v="55"/>
    <s v="558"/>
    <x v="50"/>
    <s v="Planning &amp; Policy Making : Other Costs"/>
    <n v="10900"/>
  </r>
  <r>
    <x v="0"/>
    <s v="11-100-00-661100-55300"/>
    <x v="0"/>
    <n v="100"/>
    <n v="0"/>
    <x v="3"/>
    <n v="55300"/>
    <x v="1"/>
    <s v="55"/>
    <s v="553"/>
    <x v="51"/>
    <s v="Accreditation : Memberships"/>
    <n v="800"/>
  </r>
  <r>
    <x v="0"/>
    <s v="11-100-00-662000-52130"/>
    <x v="0"/>
    <n v="100"/>
    <n v="0"/>
    <x v="4"/>
    <n v="52130"/>
    <x v="1"/>
    <s v="52"/>
    <s v="521"/>
    <x v="52"/>
    <s v="Board of Trustees : Classified Management"/>
    <n v="20160"/>
  </r>
  <r>
    <x v="0"/>
    <s v="11-100-00-662000-53220"/>
    <x v="0"/>
    <n v="100"/>
    <n v="0"/>
    <x v="4"/>
    <n v="53220"/>
    <x v="1"/>
    <s v="53"/>
    <s v="532"/>
    <x v="53"/>
    <s v="Board of Trustees : PERS Nonteaching"/>
    <n v="0"/>
  </r>
  <r>
    <x v="0"/>
    <s v="11-100-00-662000-53320"/>
    <x v="0"/>
    <n v="100"/>
    <n v="0"/>
    <x v="4"/>
    <n v="53320"/>
    <x v="1"/>
    <s v="53"/>
    <s v="533"/>
    <x v="54"/>
    <s v="Board of Trustees : OASDHI (FICA) Nonteaching"/>
    <n v="1071.3599999999999"/>
  </r>
  <r>
    <x v="0"/>
    <s v="11-100-00-662000-53340"/>
    <x v="0"/>
    <n v="100"/>
    <n v="0"/>
    <x v="4"/>
    <n v="53340"/>
    <x v="1"/>
    <s v="53"/>
    <s v="533"/>
    <x v="55"/>
    <s v="Board of Trustees : Medicare Nonteaching"/>
    <n v="292.32"/>
  </r>
  <r>
    <x v="0"/>
    <s v="11-100-00-662000-53420"/>
    <x v="0"/>
    <n v="100"/>
    <n v="0"/>
    <x v="4"/>
    <n v="53420"/>
    <x v="1"/>
    <s v="53"/>
    <s v="534"/>
    <x v="56"/>
    <s v="Board of Trustees : H &amp; W Nonteaching"/>
    <n v="154698.5"/>
  </r>
  <r>
    <x v="0"/>
    <s v="11-100-00-662000-53430"/>
    <x v="0"/>
    <n v="100"/>
    <n v="0"/>
    <x v="4"/>
    <n v="53430"/>
    <x v="1"/>
    <s v="53"/>
    <s v="534"/>
    <x v="57"/>
    <s v="Board of Trustees : Trustee Benefits"/>
    <n v="0"/>
  </r>
  <r>
    <x v="0"/>
    <s v="11-100-00-662000-53520"/>
    <x v="0"/>
    <n v="100"/>
    <n v="0"/>
    <x v="4"/>
    <n v="53520"/>
    <x v="1"/>
    <s v="53"/>
    <s v="535"/>
    <x v="58"/>
    <s v="Board of Trustees : SUI Nonteaching"/>
    <n v="10.08"/>
  </r>
  <r>
    <x v="0"/>
    <s v="11-100-00-662000-53620"/>
    <x v="0"/>
    <n v="100"/>
    <n v="0"/>
    <x v="4"/>
    <n v="53620"/>
    <x v="1"/>
    <s v="53"/>
    <s v="536"/>
    <x v="59"/>
    <s v="Board of Trustees : WC Nonteaching"/>
    <n v="381.22"/>
  </r>
  <r>
    <x v="0"/>
    <s v="11-100-00-662000-54210"/>
    <x v="0"/>
    <n v="100"/>
    <n v="0"/>
    <x v="4"/>
    <n v="54210"/>
    <x v="1"/>
    <s v="54"/>
    <s v="542"/>
    <x v="60"/>
    <s v="Board of Trustees : Purchases - Food"/>
    <n v="4800"/>
  </r>
  <r>
    <x v="0"/>
    <s v="11-100-00-662000-54300"/>
    <x v="0"/>
    <n v="100"/>
    <n v="0"/>
    <x v="4"/>
    <n v="54300"/>
    <x v="1"/>
    <s v="54"/>
    <s v="543"/>
    <x v="61"/>
    <s v="Board of Trustees : Supplies &amp; Materials"/>
    <n v="610"/>
  </r>
  <r>
    <x v="0"/>
    <s v="11-100-00-662000-55200"/>
    <x v="0"/>
    <n v="100"/>
    <n v="0"/>
    <x v="4"/>
    <n v="55200"/>
    <x v="1"/>
    <s v="55"/>
    <s v="552"/>
    <x v="62"/>
    <s v="Board of Trustees : Travel &amp; Conference"/>
    <n v="17500"/>
  </r>
  <r>
    <x v="0"/>
    <s v="11-100-00-662000-55300"/>
    <x v="0"/>
    <n v="100"/>
    <n v="0"/>
    <x v="4"/>
    <n v="55300"/>
    <x v="1"/>
    <s v="55"/>
    <s v="553"/>
    <x v="63"/>
    <s v="Board of Trustees : Memberships"/>
    <n v="600"/>
  </r>
  <r>
    <x v="0"/>
    <s v="11-100-00-662000-55710"/>
    <x v="0"/>
    <n v="100"/>
    <n v="0"/>
    <x v="4"/>
    <n v="55710"/>
    <x v="1"/>
    <s v="55"/>
    <s v="557"/>
    <x v="64"/>
    <s v="Board of Trustees : Elections"/>
    <n v="320114.25"/>
  </r>
  <r>
    <x v="0"/>
    <s v="11-100-00-662000-55800"/>
    <x v="0"/>
    <n v="100"/>
    <n v="0"/>
    <x v="4"/>
    <n v="55800"/>
    <x v="1"/>
    <s v="55"/>
    <s v="558"/>
    <x v="65"/>
    <s v="Board of Trustees : Other Costs"/>
    <n v="1000"/>
  </r>
  <r>
    <x v="0"/>
    <s v="11-100-00-662000-57552"/>
    <x v="0"/>
    <n v="100"/>
    <n v="0"/>
    <x v="4"/>
    <n v="57552"/>
    <x v="1"/>
    <s v="57"/>
    <s v="575"/>
    <x v="66"/>
    <s v="Board of Trustees : Student Travel/Workshps/Meals"/>
    <n v="0"/>
  </r>
  <r>
    <x v="0"/>
    <s v="11-100-00-671020-55105"/>
    <x v="0"/>
    <n v="100"/>
    <n v="0"/>
    <x v="5"/>
    <n v="55105"/>
    <x v="1"/>
    <s v="55"/>
    <s v="551"/>
    <x v="67"/>
    <s v="Institutional Advancement : Contract Services"/>
    <n v="0"/>
  </r>
  <r>
    <x v="0"/>
    <s v="11-100-00-675020-55200"/>
    <x v="0"/>
    <n v="100"/>
    <n v="0"/>
    <x v="6"/>
    <n v="55200"/>
    <x v="1"/>
    <s v="55"/>
    <s v="552"/>
    <x v="68"/>
    <s v="Academic Senate : Travel &amp; Conference"/>
    <n v="10000"/>
  </r>
  <r>
    <x v="0"/>
    <s v="11-100-00-675020-55300"/>
    <x v="0"/>
    <n v="100"/>
    <n v="0"/>
    <x v="6"/>
    <n v="55300"/>
    <x v="1"/>
    <s v="55"/>
    <s v="553"/>
    <x v="69"/>
    <s v="Academic Senate : Memberships"/>
    <n v="3000"/>
  </r>
  <r>
    <x v="0"/>
    <s v="11-100-00-675020-55630"/>
    <x v="0"/>
    <n v="100"/>
    <n v="0"/>
    <x v="6"/>
    <n v="55630"/>
    <x v="1"/>
    <s v="55"/>
    <s v="556"/>
    <x v="70"/>
    <s v="Academic Senate : Printing &amp; Duplicating - Inhouse"/>
    <n v="35"/>
  </r>
  <r>
    <x v="0"/>
    <s v="11-100-00-680500-51205"/>
    <x v="0"/>
    <n v="100"/>
    <n v="0"/>
    <x v="7"/>
    <n v="51205"/>
    <x v="1"/>
    <s v="51"/>
    <s v="512"/>
    <x v="71"/>
    <s v="Community Information : Academic Nonteaching President"/>
    <n v="143938.04"/>
  </r>
  <r>
    <x v="0"/>
    <s v="11-100-00-680500-52120"/>
    <x v="0"/>
    <n v="100"/>
    <n v="0"/>
    <x v="7"/>
    <n v="52120"/>
    <x v="1"/>
    <s v="52"/>
    <s v="521"/>
    <x v="72"/>
    <s v="Community Information : Classified Confidential"/>
    <n v="48077.36"/>
  </r>
  <r>
    <x v="0"/>
    <s v="11-100-00-680500-52300"/>
    <x v="0"/>
    <n v="100"/>
    <n v="0"/>
    <x v="7"/>
    <n v="52300"/>
    <x v="1"/>
    <s v="52"/>
    <s v="523"/>
    <x v="73"/>
    <s v="Community Information : Classified Overtime"/>
    <n v="2340"/>
  </r>
  <r>
    <x v="0"/>
    <s v="11-100-00-680500-53120"/>
    <x v="0"/>
    <n v="100"/>
    <n v="0"/>
    <x v="7"/>
    <n v="53120"/>
    <x v="1"/>
    <s v="53"/>
    <s v="531"/>
    <x v="74"/>
    <s v="Community Information : STRS Nonteaching"/>
    <n v="18552.38"/>
  </r>
  <r>
    <x v="0"/>
    <s v="11-100-00-680500-53220"/>
    <x v="0"/>
    <n v="100"/>
    <n v="0"/>
    <x v="7"/>
    <n v="53220"/>
    <x v="1"/>
    <s v="53"/>
    <s v="532"/>
    <x v="75"/>
    <s v="Community Information : PERS Nonteaching"/>
    <n v="9952.01"/>
  </r>
  <r>
    <x v="0"/>
    <s v="11-100-00-680500-53320"/>
    <x v="0"/>
    <n v="100"/>
    <n v="0"/>
    <x v="7"/>
    <n v="53320"/>
    <x v="1"/>
    <s v="53"/>
    <s v="533"/>
    <x v="76"/>
    <s v="Community Information : OASDHI (FICA) Nonteaching"/>
    <n v="8682.6200000000008"/>
  </r>
  <r>
    <x v="0"/>
    <s v="11-100-00-680500-53340"/>
    <x v="0"/>
    <n v="100"/>
    <n v="0"/>
    <x v="7"/>
    <n v="53340"/>
    <x v="1"/>
    <s v="53"/>
    <s v="533"/>
    <x v="77"/>
    <s v="Community Information : Medicare Nonteaching"/>
    <n v="2818.16"/>
  </r>
  <r>
    <x v="0"/>
    <s v="11-100-00-680500-53420"/>
    <x v="0"/>
    <n v="100"/>
    <n v="0"/>
    <x v="7"/>
    <n v="53420"/>
    <x v="1"/>
    <s v="53"/>
    <s v="534"/>
    <x v="78"/>
    <s v="Community Information : H &amp; W Nonteaching"/>
    <n v="31208.45"/>
  </r>
  <r>
    <x v="0"/>
    <s v="11-100-00-680500-53520"/>
    <x v="0"/>
    <n v="100"/>
    <n v="0"/>
    <x v="7"/>
    <n v="53520"/>
    <x v="1"/>
    <s v="53"/>
    <s v="535"/>
    <x v="79"/>
    <s v="Community Information : SUI Nonteaching"/>
    <n v="97.18"/>
  </r>
  <r>
    <x v="0"/>
    <s v="11-100-00-680500-53620"/>
    <x v="0"/>
    <n v="100"/>
    <n v="0"/>
    <x v="7"/>
    <n v="53620"/>
    <x v="1"/>
    <s v="53"/>
    <s v="536"/>
    <x v="80"/>
    <s v="Community Information : WC Nonteaching"/>
    <n v="3674.87"/>
  </r>
  <r>
    <x v="0"/>
    <s v="11-100-00-680500-53902"/>
    <x v="0"/>
    <n v="100"/>
    <n v="0"/>
    <x v="7"/>
    <n v="53902"/>
    <x v="1"/>
    <s v="53"/>
    <s v="539"/>
    <x v="81"/>
    <s v="Community Information : Term Life Insurance - Crown"/>
    <n v="0"/>
  </r>
  <r>
    <x v="0"/>
    <s v="11-100-00-680500-53920"/>
    <x v="0"/>
    <n v="100"/>
    <n v="0"/>
    <x v="7"/>
    <n v="53920"/>
    <x v="1"/>
    <s v="53"/>
    <s v="539"/>
    <x v="82"/>
    <s v="Community Information : Other Benefit-Non Teaching"/>
    <n v="720"/>
  </r>
  <r>
    <x v="0"/>
    <s v="11-100-00-680500-55550"/>
    <x v="0"/>
    <n v="100"/>
    <n v="0"/>
    <x v="7"/>
    <n v="55550"/>
    <x v="1"/>
    <s v="55"/>
    <s v="555"/>
    <x v="83"/>
    <s v="Community Information : Telephone Service"/>
    <n v="307"/>
  </r>
  <r>
    <x v="0"/>
    <s v="11-100-00-680500-55630"/>
    <x v="0"/>
    <n v="100"/>
    <n v="0"/>
    <x v="7"/>
    <n v="55630"/>
    <x v="1"/>
    <s v="55"/>
    <s v="556"/>
    <x v="84"/>
    <s v="Community Information : Printing &amp; Duplicating - Inhouse"/>
    <n v="700"/>
  </r>
  <r>
    <x v="0"/>
    <s v="11-100-00-682000-52120"/>
    <x v="0"/>
    <n v="100"/>
    <n v="0"/>
    <x v="8"/>
    <n v="52120"/>
    <x v="1"/>
    <s v="52"/>
    <s v="521"/>
    <x v="85"/>
    <s v="Workforce &amp; Community Development : Classified Confidential"/>
    <n v="20037"/>
  </r>
  <r>
    <x v="0"/>
    <s v="11-100-00-682000-52300"/>
    <x v="0"/>
    <n v="100"/>
    <n v="0"/>
    <x v="8"/>
    <n v="52300"/>
    <x v="1"/>
    <s v="52"/>
    <s v="523"/>
    <x v="86"/>
    <s v="Workforce &amp; Community Development : Classified Overtime"/>
    <n v="0"/>
  </r>
  <r>
    <x v="0"/>
    <s v="11-100-00-682000-53220"/>
    <x v="0"/>
    <n v="100"/>
    <n v="0"/>
    <x v="8"/>
    <n v="53220"/>
    <x v="1"/>
    <s v="53"/>
    <s v="532"/>
    <x v="87"/>
    <s v="Workforce &amp; Community Development : PERS Nonteaching"/>
    <n v="4147.66"/>
  </r>
  <r>
    <x v="0"/>
    <s v="11-100-00-682000-53320"/>
    <x v="0"/>
    <n v="100"/>
    <n v="0"/>
    <x v="8"/>
    <n v="53320"/>
    <x v="1"/>
    <s v="53"/>
    <s v="533"/>
    <x v="88"/>
    <s v="Workforce &amp; Community Development : OASDHI (FICA) Nonteaching"/>
    <n v="1242.29"/>
  </r>
  <r>
    <x v="0"/>
    <s v="11-100-00-682000-53340"/>
    <x v="0"/>
    <n v="100"/>
    <n v="0"/>
    <x v="8"/>
    <n v="53340"/>
    <x v="1"/>
    <s v="53"/>
    <s v="533"/>
    <x v="89"/>
    <s v="Workforce &amp; Community Development : Medicare Nonteaching"/>
    <n v="290.54000000000002"/>
  </r>
  <r>
    <x v="0"/>
    <s v="11-100-00-682000-53420"/>
    <x v="0"/>
    <n v="100"/>
    <n v="0"/>
    <x v="8"/>
    <n v="53420"/>
    <x v="1"/>
    <s v="53"/>
    <s v="534"/>
    <x v="90"/>
    <s v="Workforce &amp; Community Development : H &amp; W Nonteaching"/>
    <n v="6931.98"/>
  </r>
  <r>
    <x v="0"/>
    <s v="11-100-00-682000-53520"/>
    <x v="0"/>
    <n v="100"/>
    <n v="0"/>
    <x v="8"/>
    <n v="53520"/>
    <x v="1"/>
    <s v="53"/>
    <s v="535"/>
    <x v="91"/>
    <s v="Workforce &amp; Community Development : SUI Nonteaching"/>
    <n v="10.02"/>
  </r>
  <r>
    <x v="0"/>
    <s v="11-100-00-682000-53620"/>
    <x v="0"/>
    <n v="100"/>
    <n v="0"/>
    <x v="8"/>
    <n v="53620"/>
    <x v="1"/>
    <s v="53"/>
    <s v="536"/>
    <x v="92"/>
    <s v="Workforce &amp; Community Development : WC Nonteaching"/>
    <n v="378.86"/>
  </r>
  <r>
    <x v="0"/>
    <s v="11-100-00-682000-53920"/>
    <x v="0"/>
    <n v="100"/>
    <n v="0"/>
    <x v="8"/>
    <n v="53920"/>
    <x v="1"/>
    <s v="53"/>
    <s v="539"/>
    <x v="93"/>
    <s v="Workforce &amp; Community Development : Other Benefit-Non Teaching"/>
    <n v="720"/>
  </r>
  <r>
    <x v="0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35.909999999999997"/>
  </r>
  <r>
    <x v="0"/>
    <s v="11-100-00-684000-51205"/>
    <x v="0"/>
    <n v="100"/>
    <n v="0"/>
    <x v="9"/>
    <n v="51205"/>
    <x v="1"/>
    <s v="51"/>
    <s v="512"/>
    <x v="95"/>
    <s v="Community Relations &amp; Develop. : Academic Nonteaching President"/>
    <n v="143938.04"/>
  </r>
  <r>
    <x v="0"/>
    <s v="11-100-00-684000-52300"/>
    <x v="0"/>
    <n v="100"/>
    <n v="0"/>
    <x v="9"/>
    <n v="52300"/>
    <x v="1"/>
    <s v="52"/>
    <s v="523"/>
    <x v="96"/>
    <s v="Community Relations &amp; Develop. : Classified Overtime"/>
    <n v="2340"/>
  </r>
  <r>
    <x v="0"/>
    <s v="11-100-00-684000-53120"/>
    <x v="0"/>
    <n v="100"/>
    <n v="0"/>
    <x v="9"/>
    <n v="53120"/>
    <x v="1"/>
    <s v="53"/>
    <s v="531"/>
    <x v="97"/>
    <s v="Community Relations &amp; Develop. : STRS Nonteaching"/>
    <n v="18552.38"/>
  </r>
  <r>
    <x v="0"/>
    <s v="11-100-00-684000-53220"/>
    <x v="0"/>
    <n v="100"/>
    <n v="0"/>
    <x v="9"/>
    <n v="53220"/>
    <x v="1"/>
    <s v="53"/>
    <s v="532"/>
    <x v="98"/>
    <s v="Community Relations &amp; Develop. : PERS Nonteaching"/>
    <n v="0"/>
  </r>
  <r>
    <x v="0"/>
    <s v="11-100-00-684000-53320"/>
    <x v="0"/>
    <n v="100"/>
    <n v="0"/>
    <x v="9"/>
    <n v="53320"/>
    <x v="1"/>
    <s v="53"/>
    <s v="533"/>
    <x v="99"/>
    <s v="Community Relations &amp; Develop. : OASDHI (FICA) Nonteaching"/>
    <n v="5701.83"/>
  </r>
  <r>
    <x v="0"/>
    <s v="11-100-00-684000-53340"/>
    <x v="0"/>
    <n v="100"/>
    <n v="0"/>
    <x v="9"/>
    <n v="53340"/>
    <x v="1"/>
    <s v="53"/>
    <s v="533"/>
    <x v="100"/>
    <s v="Community Relations &amp; Develop. : Medicare Nonteaching"/>
    <n v="2121.0300000000002"/>
  </r>
  <r>
    <x v="0"/>
    <s v="11-100-00-684000-53420"/>
    <x v="0"/>
    <n v="100"/>
    <n v="0"/>
    <x v="9"/>
    <n v="53420"/>
    <x v="1"/>
    <s v="53"/>
    <s v="534"/>
    <x v="101"/>
    <s v="Community Relations &amp; Develop. : H &amp; W Nonteaching"/>
    <n v="14340.04"/>
  </r>
  <r>
    <x v="0"/>
    <s v="11-100-00-684000-53520"/>
    <x v="0"/>
    <n v="100"/>
    <n v="0"/>
    <x v="9"/>
    <n v="53520"/>
    <x v="1"/>
    <s v="53"/>
    <s v="535"/>
    <x v="102"/>
    <s v="Community Relations &amp; Develop. : SUI Nonteaching"/>
    <n v="73.14"/>
  </r>
  <r>
    <x v="0"/>
    <s v="11-100-00-684000-53620"/>
    <x v="0"/>
    <n v="100"/>
    <n v="0"/>
    <x v="9"/>
    <n v="53620"/>
    <x v="1"/>
    <s v="53"/>
    <s v="536"/>
    <x v="103"/>
    <s v="Community Relations &amp; Develop. : WC Nonteaching"/>
    <n v="2765.82"/>
  </r>
  <r>
    <x v="0"/>
    <s v="11-100-00-684000-53902"/>
    <x v="0"/>
    <n v="100"/>
    <n v="0"/>
    <x v="9"/>
    <n v="53902"/>
    <x v="1"/>
    <s v="53"/>
    <s v="539"/>
    <x v="104"/>
    <s v="Community Relations &amp; Develop. : Term Life Insurance - Crown"/>
    <n v="0"/>
  </r>
  <r>
    <x v="0"/>
    <s v="11-100-00-684000-55550"/>
    <x v="0"/>
    <n v="100"/>
    <n v="0"/>
    <x v="9"/>
    <n v="55550"/>
    <x v="1"/>
    <s v="55"/>
    <s v="555"/>
    <x v="105"/>
    <s v="Community Relations &amp; Develop. : Telephone Service"/>
    <n v="306"/>
  </r>
  <r>
    <x v="0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0"/>
  </r>
  <r>
    <x v="0"/>
    <s v="11-120-02-010100-51311"/>
    <x v="0"/>
    <n v="120"/>
    <n v="2"/>
    <x v="10"/>
    <n v="51311"/>
    <x v="1"/>
    <s v="51"/>
    <s v="513"/>
    <x v="107"/>
    <s v="Agriculture Technology : Academic Teaching PT"/>
    <n v="0"/>
  </r>
  <r>
    <x v="0"/>
    <s v="11-120-02-010100-53310"/>
    <x v="0"/>
    <n v="120"/>
    <n v="2"/>
    <x v="10"/>
    <n v="53310"/>
    <x v="1"/>
    <s v="53"/>
    <s v="533"/>
    <x v="108"/>
    <s v="Agriculture Technology : OASDHI (FICA) Teaching"/>
    <n v="0"/>
  </r>
  <r>
    <x v="0"/>
    <s v="11-120-02-010100-53330"/>
    <x v="0"/>
    <n v="120"/>
    <n v="2"/>
    <x v="10"/>
    <n v="53330"/>
    <x v="1"/>
    <s v="53"/>
    <s v="533"/>
    <x v="109"/>
    <s v="Agriculture Technology : Medicare Teaching"/>
    <n v="0"/>
  </r>
  <r>
    <x v="0"/>
    <s v="11-120-02-010100-53510"/>
    <x v="0"/>
    <n v="120"/>
    <n v="2"/>
    <x v="10"/>
    <n v="53510"/>
    <x v="1"/>
    <s v="53"/>
    <s v="535"/>
    <x v="110"/>
    <s v="Agriculture Technology : SUI Teaching"/>
    <n v="0"/>
  </r>
  <r>
    <x v="0"/>
    <s v="11-120-02-010100-53610"/>
    <x v="0"/>
    <n v="120"/>
    <n v="2"/>
    <x v="10"/>
    <n v="53610"/>
    <x v="1"/>
    <s v="53"/>
    <s v="536"/>
    <x v="111"/>
    <s v="Agriculture Technology : WC Teaching"/>
    <n v="0"/>
  </r>
  <r>
    <x v="0"/>
    <s v="11-120-02-040110-51311"/>
    <x v="0"/>
    <n v="120"/>
    <n v="2"/>
    <x v="11"/>
    <n v="51311"/>
    <x v="1"/>
    <s v="51"/>
    <s v="513"/>
    <x v="112"/>
    <s v="Biology : Academic Teaching PT"/>
    <n v="32269"/>
  </r>
  <r>
    <x v="0"/>
    <s v="11-120-02-040110-53110"/>
    <x v="0"/>
    <n v="120"/>
    <n v="2"/>
    <x v="11"/>
    <n v="53110"/>
    <x v="1"/>
    <s v="53"/>
    <s v="531"/>
    <x v="113"/>
    <s v="Biology : STRS Teaching"/>
    <n v="5211.4399999999996"/>
  </r>
  <r>
    <x v="0"/>
    <s v="11-120-02-040110-53310"/>
    <x v="0"/>
    <n v="120"/>
    <n v="2"/>
    <x v="11"/>
    <n v="53310"/>
    <x v="1"/>
    <s v="53"/>
    <s v="533"/>
    <x v="114"/>
    <s v="Biology : OASDHI (FICA) Teaching"/>
    <n v="0"/>
  </r>
  <r>
    <x v="0"/>
    <s v="11-120-02-040110-53330"/>
    <x v="0"/>
    <n v="120"/>
    <n v="2"/>
    <x v="11"/>
    <n v="53330"/>
    <x v="1"/>
    <s v="53"/>
    <s v="533"/>
    <x v="115"/>
    <s v="Biology : Medicare Teaching"/>
    <n v="467.9"/>
  </r>
  <r>
    <x v="0"/>
    <s v="11-120-02-040110-53510"/>
    <x v="0"/>
    <n v="120"/>
    <n v="2"/>
    <x v="11"/>
    <n v="53510"/>
    <x v="1"/>
    <s v="53"/>
    <s v="535"/>
    <x v="116"/>
    <s v="Biology : SUI Teaching"/>
    <n v="16.13"/>
  </r>
  <r>
    <x v="0"/>
    <s v="11-120-02-040110-53610"/>
    <x v="0"/>
    <n v="120"/>
    <n v="2"/>
    <x v="11"/>
    <n v="53610"/>
    <x v="1"/>
    <s v="53"/>
    <s v="536"/>
    <x v="117"/>
    <s v="Biology : WC Teaching"/>
    <n v="610.14"/>
  </r>
  <r>
    <x v="0"/>
    <s v="11-120-02-050000-51310"/>
    <x v="0"/>
    <n v="120"/>
    <n v="2"/>
    <x v="12"/>
    <n v="51310"/>
    <x v="1"/>
    <s v="51"/>
    <s v="513"/>
    <x v="118"/>
    <s v="Business Education : Academic Teaching NIC"/>
    <n v="0"/>
  </r>
  <r>
    <x v="0"/>
    <s v="11-120-02-050000-51311"/>
    <x v="0"/>
    <n v="120"/>
    <n v="2"/>
    <x v="12"/>
    <n v="51311"/>
    <x v="1"/>
    <s v="51"/>
    <s v="513"/>
    <x v="119"/>
    <s v="Business Education : Academic Teaching PT"/>
    <n v="21502"/>
  </r>
  <r>
    <x v="0"/>
    <s v="11-120-02-050000-53110"/>
    <x v="0"/>
    <n v="120"/>
    <n v="2"/>
    <x v="12"/>
    <n v="53110"/>
    <x v="1"/>
    <s v="53"/>
    <s v="531"/>
    <x v="120"/>
    <s v="Business Education : STRS Teaching"/>
    <n v="3472.57"/>
  </r>
  <r>
    <x v="0"/>
    <s v="11-120-02-050000-53330"/>
    <x v="0"/>
    <n v="120"/>
    <n v="2"/>
    <x v="12"/>
    <n v="53330"/>
    <x v="1"/>
    <s v="53"/>
    <s v="533"/>
    <x v="121"/>
    <s v="Business Education : Medicare Teaching"/>
    <n v="311.77999999999997"/>
  </r>
  <r>
    <x v="0"/>
    <s v="11-120-02-050000-53510"/>
    <x v="0"/>
    <n v="120"/>
    <n v="2"/>
    <x v="12"/>
    <n v="53510"/>
    <x v="1"/>
    <s v="53"/>
    <s v="535"/>
    <x v="122"/>
    <s v="Business Education : SUI Teaching"/>
    <n v="10.75"/>
  </r>
  <r>
    <x v="0"/>
    <s v="11-120-02-050000-53610"/>
    <x v="0"/>
    <n v="120"/>
    <n v="2"/>
    <x v="12"/>
    <n v="53610"/>
    <x v="1"/>
    <s v="53"/>
    <s v="536"/>
    <x v="123"/>
    <s v="Business Education : WC Teaching"/>
    <n v="406.56"/>
  </r>
  <r>
    <x v="0"/>
    <s v="11-120-02-070100-51311"/>
    <x v="0"/>
    <n v="120"/>
    <n v="2"/>
    <x v="13"/>
    <n v="51311"/>
    <x v="1"/>
    <s v="51"/>
    <s v="513"/>
    <x v="124"/>
    <s v="Computer &amp; Information Science : Academic Teaching PT"/>
    <n v="24352"/>
  </r>
  <r>
    <x v="0"/>
    <s v="11-120-02-070100-53110"/>
    <x v="0"/>
    <n v="120"/>
    <n v="2"/>
    <x v="13"/>
    <n v="53110"/>
    <x v="1"/>
    <s v="53"/>
    <s v="531"/>
    <x v="125"/>
    <s v="Computer &amp; Information Science : STRS Teaching"/>
    <n v="3932.85"/>
  </r>
  <r>
    <x v="0"/>
    <s v="11-120-02-070100-53330"/>
    <x v="0"/>
    <n v="120"/>
    <n v="2"/>
    <x v="13"/>
    <n v="53330"/>
    <x v="1"/>
    <s v="53"/>
    <s v="533"/>
    <x v="126"/>
    <s v="Computer &amp; Information Science : Medicare Teaching"/>
    <n v="353.1"/>
  </r>
  <r>
    <x v="0"/>
    <s v="11-120-02-070100-53510"/>
    <x v="0"/>
    <n v="120"/>
    <n v="2"/>
    <x v="13"/>
    <n v="53510"/>
    <x v="1"/>
    <s v="53"/>
    <s v="535"/>
    <x v="127"/>
    <s v="Computer &amp; Information Science : SUI Teaching"/>
    <n v="12.18"/>
  </r>
  <r>
    <x v="0"/>
    <s v="11-120-02-070100-53610"/>
    <x v="0"/>
    <n v="120"/>
    <n v="2"/>
    <x v="13"/>
    <n v="53610"/>
    <x v="1"/>
    <s v="53"/>
    <s v="536"/>
    <x v="128"/>
    <s v="Computer &amp; Information Science : WC Teaching"/>
    <n v="460.45"/>
  </r>
  <r>
    <x v="0"/>
    <s v="11-120-02-100200-51311"/>
    <x v="0"/>
    <n v="120"/>
    <n v="2"/>
    <x v="14"/>
    <n v="51311"/>
    <x v="1"/>
    <s v="51"/>
    <s v="513"/>
    <x v="129"/>
    <s v="Art : Academic Teaching PT"/>
    <n v="6738"/>
  </r>
  <r>
    <x v="0"/>
    <s v="11-120-02-100200-53110"/>
    <x v="0"/>
    <n v="120"/>
    <n v="2"/>
    <x v="14"/>
    <n v="53110"/>
    <x v="1"/>
    <s v="53"/>
    <s v="531"/>
    <x v="130"/>
    <s v="Art : STRS Teaching"/>
    <n v="2218.69"/>
  </r>
  <r>
    <x v="0"/>
    <s v="11-120-02-100200-53330"/>
    <x v="0"/>
    <n v="120"/>
    <n v="2"/>
    <x v="14"/>
    <n v="53330"/>
    <x v="1"/>
    <s v="53"/>
    <s v="533"/>
    <x v="131"/>
    <s v="Art : Medicare Teaching"/>
    <n v="199.2"/>
  </r>
  <r>
    <x v="0"/>
    <s v="11-120-02-100200-53510"/>
    <x v="0"/>
    <n v="120"/>
    <n v="2"/>
    <x v="14"/>
    <n v="53510"/>
    <x v="1"/>
    <s v="53"/>
    <s v="535"/>
    <x v="132"/>
    <s v="Art : SUI Teaching"/>
    <n v="6.87"/>
  </r>
  <r>
    <x v="0"/>
    <s v="11-120-02-100200-53610"/>
    <x v="0"/>
    <n v="120"/>
    <n v="2"/>
    <x v="14"/>
    <n v="53610"/>
    <x v="1"/>
    <s v="53"/>
    <s v="536"/>
    <x v="133"/>
    <s v="Art : WC Teaching"/>
    <n v="259.76"/>
  </r>
  <r>
    <x v="0"/>
    <s v="11-120-02-100400-51311"/>
    <x v="0"/>
    <n v="120"/>
    <n v="2"/>
    <x v="15"/>
    <n v="51311"/>
    <x v="1"/>
    <s v="51"/>
    <s v="513"/>
    <x v="134"/>
    <s v="Music : Academic Teaching PT"/>
    <n v="21635"/>
  </r>
  <r>
    <x v="0"/>
    <s v="11-120-02-100400-53110"/>
    <x v="0"/>
    <n v="120"/>
    <n v="2"/>
    <x v="15"/>
    <n v="53110"/>
    <x v="1"/>
    <s v="53"/>
    <s v="531"/>
    <x v="135"/>
    <s v="Music : STRS Teaching"/>
    <n v="3494.05"/>
  </r>
  <r>
    <x v="0"/>
    <s v="11-120-02-100400-53330"/>
    <x v="0"/>
    <n v="120"/>
    <n v="2"/>
    <x v="15"/>
    <n v="53330"/>
    <x v="1"/>
    <s v="53"/>
    <s v="533"/>
    <x v="136"/>
    <s v="Music : Medicare Teaching"/>
    <n v="313.70999999999998"/>
  </r>
  <r>
    <x v="0"/>
    <s v="11-120-02-100400-53510"/>
    <x v="0"/>
    <n v="120"/>
    <n v="2"/>
    <x v="15"/>
    <n v="53510"/>
    <x v="1"/>
    <s v="53"/>
    <s v="535"/>
    <x v="137"/>
    <s v="Music : SUI Teaching"/>
    <n v="10.82"/>
  </r>
  <r>
    <x v="0"/>
    <s v="11-120-02-100400-53610"/>
    <x v="0"/>
    <n v="120"/>
    <n v="2"/>
    <x v="15"/>
    <n v="53610"/>
    <x v="1"/>
    <s v="53"/>
    <s v="536"/>
    <x v="138"/>
    <s v="Music : WC Teaching"/>
    <n v="409.07"/>
  </r>
  <r>
    <x v="0"/>
    <s v="11-120-02-101100-51311"/>
    <x v="0"/>
    <n v="120"/>
    <n v="2"/>
    <x v="16"/>
    <n v="51311"/>
    <x v="1"/>
    <s v="51"/>
    <s v="513"/>
    <x v="139"/>
    <s v="Photography : Academic Teaching PT"/>
    <n v="4024"/>
  </r>
  <r>
    <x v="0"/>
    <s v="11-120-02-101100-53110"/>
    <x v="0"/>
    <n v="120"/>
    <n v="2"/>
    <x v="16"/>
    <n v="53110"/>
    <x v="1"/>
    <s v="53"/>
    <s v="531"/>
    <x v="140"/>
    <s v="Photography : STRS Teaching"/>
    <n v="649.88"/>
  </r>
  <r>
    <x v="0"/>
    <s v="11-120-02-101100-53330"/>
    <x v="0"/>
    <n v="120"/>
    <n v="2"/>
    <x v="16"/>
    <n v="53330"/>
    <x v="1"/>
    <s v="53"/>
    <s v="533"/>
    <x v="141"/>
    <s v="Photography : Medicare Teaching"/>
    <n v="58.35"/>
  </r>
  <r>
    <x v="0"/>
    <s v="11-120-02-101100-53510"/>
    <x v="0"/>
    <n v="120"/>
    <n v="2"/>
    <x v="16"/>
    <n v="53510"/>
    <x v="1"/>
    <s v="53"/>
    <s v="535"/>
    <x v="142"/>
    <s v="Photography : SUI Teaching"/>
    <n v="2.0099999999999998"/>
  </r>
  <r>
    <x v="0"/>
    <s v="11-120-02-101100-53610"/>
    <x v="0"/>
    <n v="120"/>
    <n v="2"/>
    <x v="16"/>
    <n v="53610"/>
    <x v="1"/>
    <s v="53"/>
    <s v="536"/>
    <x v="143"/>
    <s v="Photography : WC Teaching"/>
    <n v="76.09"/>
  </r>
  <r>
    <x v="0"/>
    <s v="11-120-02-110500-51311"/>
    <x v="0"/>
    <n v="120"/>
    <n v="2"/>
    <x v="17"/>
    <n v="51311"/>
    <x v="1"/>
    <s v="51"/>
    <s v="513"/>
    <x v="144"/>
    <s v="Spanish : Academic Teaching PT"/>
    <n v="38563"/>
  </r>
  <r>
    <x v="0"/>
    <s v="11-120-02-110500-53110"/>
    <x v="0"/>
    <n v="120"/>
    <n v="2"/>
    <x v="17"/>
    <n v="53110"/>
    <x v="1"/>
    <s v="53"/>
    <s v="531"/>
    <x v="145"/>
    <s v="Spanish : STRS Teaching"/>
    <n v="6227.92"/>
  </r>
  <r>
    <x v="0"/>
    <s v="11-120-02-110500-53330"/>
    <x v="0"/>
    <n v="120"/>
    <n v="2"/>
    <x v="17"/>
    <n v="53330"/>
    <x v="1"/>
    <s v="53"/>
    <s v="533"/>
    <x v="146"/>
    <s v="Spanish : Medicare Teaching"/>
    <n v="559.16"/>
  </r>
  <r>
    <x v="0"/>
    <s v="11-120-02-110500-53510"/>
    <x v="0"/>
    <n v="120"/>
    <n v="2"/>
    <x v="17"/>
    <n v="53510"/>
    <x v="1"/>
    <s v="53"/>
    <s v="535"/>
    <x v="147"/>
    <s v="Spanish : SUI Teaching"/>
    <n v="19.28"/>
  </r>
  <r>
    <x v="0"/>
    <s v="11-120-02-110500-53610"/>
    <x v="0"/>
    <n v="120"/>
    <n v="2"/>
    <x v="17"/>
    <n v="53610"/>
    <x v="1"/>
    <s v="53"/>
    <s v="536"/>
    <x v="148"/>
    <s v="Spanish : WC Teaching"/>
    <n v="729.15"/>
  </r>
  <r>
    <x v="0"/>
    <s v="11-120-02-130500-51311"/>
    <x v="0"/>
    <n v="120"/>
    <n v="2"/>
    <x v="18"/>
    <n v="51311"/>
    <x v="1"/>
    <s v="51"/>
    <s v="513"/>
    <x v="149"/>
    <s v="Early Childhood Education : Academic Teaching PT"/>
    <n v="4258"/>
  </r>
  <r>
    <x v="0"/>
    <s v="11-120-02-130500-53110"/>
    <x v="0"/>
    <n v="120"/>
    <n v="2"/>
    <x v="18"/>
    <n v="53110"/>
    <x v="1"/>
    <s v="53"/>
    <s v="531"/>
    <x v="150"/>
    <s v="Early Childhood Education : STRS Teaching"/>
    <n v="687.67"/>
  </r>
  <r>
    <x v="0"/>
    <s v="11-120-02-130500-53310"/>
    <x v="0"/>
    <n v="120"/>
    <n v="2"/>
    <x v="18"/>
    <n v="53310"/>
    <x v="1"/>
    <s v="53"/>
    <s v="533"/>
    <x v="151"/>
    <s v="Early Childhood Education : OASDHI (FICA) Teaching"/>
    <n v="0"/>
  </r>
  <r>
    <x v="0"/>
    <s v="11-120-02-130500-53330"/>
    <x v="0"/>
    <n v="120"/>
    <n v="2"/>
    <x v="18"/>
    <n v="53330"/>
    <x v="1"/>
    <s v="53"/>
    <s v="533"/>
    <x v="152"/>
    <s v="Early Childhood Education : Medicare Teaching"/>
    <n v="61.74"/>
  </r>
  <r>
    <x v="0"/>
    <s v="11-120-02-130500-53510"/>
    <x v="0"/>
    <n v="120"/>
    <n v="2"/>
    <x v="18"/>
    <n v="53510"/>
    <x v="1"/>
    <s v="53"/>
    <s v="535"/>
    <x v="153"/>
    <s v="Early Childhood Education : SUI Teaching"/>
    <n v="2.13"/>
  </r>
  <r>
    <x v="0"/>
    <s v="11-120-02-130500-53610"/>
    <x v="0"/>
    <n v="120"/>
    <n v="2"/>
    <x v="18"/>
    <n v="53610"/>
    <x v="1"/>
    <s v="53"/>
    <s v="536"/>
    <x v="154"/>
    <s v="Early Childhood Education : WC Teaching"/>
    <n v="80.510000000000005"/>
  </r>
  <r>
    <x v="0"/>
    <s v="11-120-02-150100-51311"/>
    <x v="0"/>
    <n v="120"/>
    <n v="2"/>
    <x v="19"/>
    <n v="51311"/>
    <x v="1"/>
    <s v="51"/>
    <s v="513"/>
    <x v="155"/>
    <s v="English : Academic Teaching PT"/>
    <n v="132074"/>
  </r>
  <r>
    <x v="0"/>
    <s v="11-120-02-150100-53110"/>
    <x v="0"/>
    <n v="120"/>
    <n v="2"/>
    <x v="19"/>
    <n v="53110"/>
    <x v="1"/>
    <s v="53"/>
    <s v="531"/>
    <x v="156"/>
    <s v="English : STRS Teaching"/>
    <n v="21329.95"/>
  </r>
  <r>
    <x v="0"/>
    <s v="11-120-02-150100-53310"/>
    <x v="0"/>
    <n v="120"/>
    <n v="2"/>
    <x v="19"/>
    <n v="53310"/>
    <x v="1"/>
    <s v="53"/>
    <s v="533"/>
    <x v="157"/>
    <s v="English : OASDHI (FICA) Teaching"/>
    <n v="0"/>
  </r>
  <r>
    <x v="0"/>
    <s v="11-120-02-150100-53330"/>
    <x v="0"/>
    <n v="120"/>
    <n v="2"/>
    <x v="19"/>
    <n v="53330"/>
    <x v="1"/>
    <s v="53"/>
    <s v="533"/>
    <x v="158"/>
    <s v="English : Medicare Teaching"/>
    <n v="1915.07"/>
  </r>
  <r>
    <x v="0"/>
    <s v="11-120-02-150100-53510"/>
    <x v="0"/>
    <n v="120"/>
    <n v="2"/>
    <x v="19"/>
    <n v="53510"/>
    <x v="1"/>
    <s v="53"/>
    <s v="535"/>
    <x v="159"/>
    <s v="English : SUI Teaching"/>
    <n v="66.040000000000006"/>
  </r>
  <r>
    <x v="0"/>
    <s v="11-120-02-150100-53610"/>
    <x v="0"/>
    <n v="120"/>
    <n v="2"/>
    <x v="19"/>
    <n v="53610"/>
    <x v="1"/>
    <s v="53"/>
    <s v="536"/>
    <x v="160"/>
    <s v="English : WC Teaching"/>
    <n v="2497.2600000000002"/>
  </r>
  <r>
    <x v="0"/>
    <s v="11-120-02-150100-55630"/>
    <x v="0"/>
    <n v="120"/>
    <n v="2"/>
    <x v="19"/>
    <n v="55630"/>
    <x v="1"/>
    <s v="55"/>
    <s v="556"/>
    <x v="161"/>
    <s v="English : Printing &amp; Duplicating - Inhouse"/>
    <n v="12"/>
  </r>
  <r>
    <x v="0"/>
    <s v="11-120-02-150600-51311"/>
    <x v="0"/>
    <n v="120"/>
    <n v="2"/>
    <x v="20"/>
    <n v="51311"/>
    <x v="1"/>
    <s v="51"/>
    <s v="513"/>
    <x v="162"/>
    <s v="Speech : Academic Teaching PT"/>
    <n v="12958"/>
  </r>
  <r>
    <x v="0"/>
    <s v="11-120-02-150600-53110"/>
    <x v="0"/>
    <n v="120"/>
    <n v="2"/>
    <x v="20"/>
    <n v="53110"/>
    <x v="1"/>
    <s v="53"/>
    <s v="531"/>
    <x v="163"/>
    <s v="Speech : STRS Teaching"/>
    <n v="2092.7199999999998"/>
  </r>
  <r>
    <x v="0"/>
    <s v="11-120-02-150600-53330"/>
    <x v="0"/>
    <n v="120"/>
    <n v="2"/>
    <x v="20"/>
    <n v="53330"/>
    <x v="1"/>
    <s v="53"/>
    <s v="533"/>
    <x v="164"/>
    <s v="Speech : Medicare Teaching"/>
    <n v="187.89"/>
  </r>
  <r>
    <x v="0"/>
    <s v="11-120-02-150600-53510"/>
    <x v="0"/>
    <n v="120"/>
    <n v="2"/>
    <x v="20"/>
    <n v="53510"/>
    <x v="1"/>
    <s v="53"/>
    <s v="535"/>
    <x v="165"/>
    <s v="Speech : SUI Teaching"/>
    <n v="6.48"/>
  </r>
  <r>
    <x v="0"/>
    <s v="11-120-02-150600-53610"/>
    <x v="0"/>
    <n v="120"/>
    <n v="2"/>
    <x v="20"/>
    <n v="53610"/>
    <x v="1"/>
    <s v="53"/>
    <s v="536"/>
    <x v="166"/>
    <s v="Speech : WC Teaching"/>
    <n v="245.01"/>
  </r>
  <r>
    <x v="0"/>
    <s v="11-120-02-150600-55630"/>
    <x v="0"/>
    <n v="120"/>
    <n v="2"/>
    <x v="20"/>
    <n v="55630"/>
    <x v="1"/>
    <s v="55"/>
    <s v="556"/>
    <x v="167"/>
    <s v="Speech : Printing &amp; Duplicating - Inhouse"/>
    <n v="0.8"/>
  </r>
  <r>
    <x v="0"/>
    <s v="11-120-02-170100-51311"/>
    <x v="0"/>
    <n v="120"/>
    <n v="2"/>
    <x v="21"/>
    <n v="51311"/>
    <x v="1"/>
    <s v="51"/>
    <s v="513"/>
    <x v="168"/>
    <s v="Mathematics : Academic Teaching PT"/>
    <n v="34636"/>
  </r>
  <r>
    <x v="0"/>
    <s v="11-120-02-170100-53110"/>
    <x v="0"/>
    <n v="120"/>
    <n v="2"/>
    <x v="21"/>
    <n v="53110"/>
    <x v="1"/>
    <s v="53"/>
    <s v="531"/>
    <x v="169"/>
    <s v="Mathematics : STRS Teaching"/>
    <n v="5593.71"/>
  </r>
  <r>
    <x v="0"/>
    <s v="11-120-02-170100-53330"/>
    <x v="0"/>
    <n v="120"/>
    <n v="2"/>
    <x v="21"/>
    <n v="53330"/>
    <x v="1"/>
    <s v="53"/>
    <s v="533"/>
    <x v="170"/>
    <s v="Mathematics : Medicare Teaching"/>
    <n v="502.22"/>
  </r>
  <r>
    <x v="0"/>
    <s v="11-120-02-170100-53510"/>
    <x v="0"/>
    <n v="120"/>
    <n v="2"/>
    <x v="21"/>
    <n v="53510"/>
    <x v="1"/>
    <s v="53"/>
    <s v="535"/>
    <x v="171"/>
    <s v="Mathematics : SUI Teaching"/>
    <n v="17.32"/>
  </r>
  <r>
    <x v="0"/>
    <s v="11-120-02-170100-53610"/>
    <x v="0"/>
    <n v="120"/>
    <n v="2"/>
    <x v="21"/>
    <n v="53610"/>
    <x v="1"/>
    <s v="53"/>
    <s v="536"/>
    <x v="172"/>
    <s v="Mathematics : WC Teaching"/>
    <n v="654.9"/>
  </r>
  <r>
    <x v="0"/>
    <s v="11-120-02-170100-55630"/>
    <x v="0"/>
    <n v="120"/>
    <n v="2"/>
    <x v="21"/>
    <n v="55630"/>
    <x v="1"/>
    <s v="55"/>
    <s v="556"/>
    <x v="173"/>
    <s v="Mathematics : Printing &amp; Duplicating - Inhouse"/>
    <n v="8.8000000000000007"/>
  </r>
  <r>
    <x v="0"/>
    <s v="11-120-02-190200-51311"/>
    <x v="0"/>
    <n v="120"/>
    <n v="2"/>
    <x v="22"/>
    <n v="51311"/>
    <x v="1"/>
    <s v="51"/>
    <s v="513"/>
    <x v="174"/>
    <s v="Physics : Academic Teaching PT"/>
    <n v="10280"/>
  </r>
  <r>
    <x v="0"/>
    <s v="11-120-02-190200-53110"/>
    <x v="0"/>
    <n v="120"/>
    <n v="2"/>
    <x v="22"/>
    <n v="53110"/>
    <x v="1"/>
    <s v="53"/>
    <s v="531"/>
    <x v="175"/>
    <s v="Physics : STRS Teaching"/>
    <n v="1660.22"/>
  </r>
  <r>
    <x v="0"/>
    <s v="11-120-02-190200-53330"/>
    <x v="0"/>
    <n v="120"/>
    <n v="2"/>
    <x v="22"/>
    <n v="53330"/>
    <x v="1"/>
    <s v="53"/>
    <s v="533"/>
    <x v="176"/>
    <s v="Physics : Medicare Teaching"/>
    <n v="149.06"/>
  </r>
  <r>
    <x v="0"/>
    <s v="11-120-02-190200-53510"/>
    <x v="0"/>
    <n v="120"/>
    <n v="2"/>
    <x v="22"/>
    <n v="53510"/>
    <x v="1"/>
    <s v="53"/>
    <s v="535"/>
    <x v="177"/>
    <s v="Physics : SUI Teaching"/>
    <n v="5.14"/>
  </r>
  <r>
    <x v="0"/>
    <s v="11-120-02-190200-53610"/>
    <x v="0"/>
    <n v="120"/>
    <n v="2"/>
    <x v="22"/>
    <n v="53610"/>
    <x v="1"/>
    <s v="53"/>
    <s v="536"/>
    <x v="178"/>
    <s v="Physics : WC Teaching"/>
    <n v="194.37"/>
  </r>
  <r>
    <x v="0"/>
    <s v="11-120-02-190200-55630"/>
    <x v="0"/>
    <n v="120"/>
    <n v="2"/>
    <x v="22"/>
    <n v="55630"/>
    <x v="1"/>
    <s v="55"/>
    <s v="556"/>
    <x v="179"/>
    <s v="Physics : Printing &amp; Duplicating - Inhouse"/>
    <n v="2.8"/>
  </r>
  <r>
    <x v="0"/>
    <s v="11-120-02-191900-51311"/>
    <x v="0"/>
    <n v="120"/>
    <n v="2"/>
    <x v="23"/>
    <n v="51311"/>
    <x v="1"/>
    <s v="51"/>
    <s v="513"/>
    <x v="180"/>
    <s v="Oceanography : Academic Teaching PT"/>
    <n v="2668"/>
  </r>
  <r>
    <x v="0"/>
    <s v="11-120-02-191900-53110"/>
    <x v="0"/>
    <n v="120"/>
    <n v="2"/>
    <x v="23"/>
    <n v="53110"/>
    <x v="1"/>
    <s v="53"/>
    <s v="531"/>
    <x v="181"/>
    <s v="Oceanography : STRS Teaching"/>
    <n v="430.88"/>
  </r>
  <r>
    <x v="0"/>
    <s v="11-120-02-191900-53330"/>
    <x v="0"/>
    <n v="120"/>
    <n v="2"/>
    <x v="23"/>
    <n v="53330"/>
    <x v="1"/>
    <s v="53"/>
    <s v="533"/>
    <x v="182"/>
    <s v="Oceanography : Medicare Teaching"/>
    <n v="38.69"/>
  </r>
  <r>
    <x v="0"/>
    <s v="11-120-02-191900-53510"/>
    <x v="0"/>
    <n v="120"/>
    <n v="2"/>
    <x v="23"/>
    <n v="53510"/>
    <x v="1"/>
    <s v="53"/>
    <s v="535"/>
    <x v="183"/>
    <s v="Oceanography : SUI Teaching"/>
    <n v="1.33"/>
  </r>
  <r>
    <x v="0"/>
    <s v="11-120-02-191900-53610"/>
    <x v="0"/>
    <n v="120"/>
    <n v="2"/>
    <x v="23"/>
    <n v="53610"/>
    <x v="1"/>
    <s v="53"/>
    <s v="536"/>
    <x v="184"/>
    <s v="Oceanography : WC Teaching"/>
    <n v="50.45"/>
  </r>
  <r>
    <x v="0"/>
    <s v="11-120-02-200100-51311"/>
    <x v="0"/>
    <n v="120"/>
    <n v="2"/>
    <x v="24"/>
    <n v="51311"/>
    <x v="1"/>
    <s v="51"/>
    <s v="513"/>
    <x v="185"/>
    <s v="Psychology : Academic Teaching PT"/>
    <n v="31812"/>
  </r>
  <r>
    <x v="0"/>
    <s v="11-120-02-200100-53110"/>
    <x v="0"/>
    <n v="120"/>
    <n v="2"/>
    <x v="24"/>
    <n v="53110"/>
    <x v="1"/>
    <s v="53"/>
    <s v="531"/>
    <x v="186"/>
    <s v="Psychology : STRS Teaching"/>
    <n v="5137.6400000000003"/>
  </r>
  <r>
    <x v="0"/>
    <s v="11-120-02-200100-53310"/>
    <x v="0"/>
    <n v="120"/>
    <n v="2"/>
    <x v="24"/>
    <n v="53310"/>
    <x v="1"/>
    <s v="53"/>
    <s v="533"/>
    <x v="187"/>
    <s v="Psychology : OASDHI (FICA) Teaching"/>
    <n v="0"/>
  </r>
  <r>
    <x v="0"/>
    <s v="11-120-02-200100-53330"/>
    <x v="0"/>
    <n v="120"/>
    <n v="2"/>
    <x v="24"/>
    <n v="53330"/>
    <x v="1"/>
    <s v="53"/>
    <s v="533"/>
    <x v="188"/>
    <s v="Psychology : Medicare Teaching"/>
    <n v="461.27"/>
  </r>
  <r>
    <x v="0"/>
    <s v="11-120-02-200100-53510"/>
    <x v="0"/>
    <n v="120"/>
    <n v="2"/>
    <x v="24"/>
    <n v="53510"/>
    <x v="1"/>
    <s v="53"/>
    <s v="535"/>
    <x v="189"/>
    <s v="Psychology : SUI Teaching"/>
    <n v="15.91"/>
  </r>
  <r>
    <x v="0"/>
    <s v="11-120-02-200100-53610"/>
    <x v="0"/>
    <n v="120"/>
    <n v="2"/>
    <x v="24"/>
    <n v="53610"/>
    <x v="1"/>
    <s v="53"/>
    <s v="536"/>
    <x v="190"/>
    <s v="Psychology : WC Teaching"/>
    <n v="601.5"/>
  </r>
  <r>
    <x v="0"/>
    <s v="11-120-02-210500-51311"/>
    <x v="0"/>
    <n v="120"/>
    <n v="2"/>
    <x v="25"/>
    <n v="51311"/>
    <x v="1"/>
    <s v="51"/>
    <s v="513"/>
    <x v="191"/>
    <s v="Administration of Justice : Academic Teaching PT"/>
    <n v="27695"/>
  </r>
  <r>
    <x v="0"/>
    <s v="11-120-02-210500-53110"/>
    <x v="0"/>
    <n v="120"/>
    <n v="2"/>
    <x v="25"/>
    <n v="53110"/>
    <x v="1"/>
    <s v="53"/>
    <s v="531"/>
    <x v="192"/>
    <s v="Administration of Justice : STRS Teaching"/>
    <n v="4472.74"/>
  </r>
  <r>
    <x v="0"/>
    <s v="11-120-02-210500-53310"/>
    <x v="0"/>
    <n v="120"/>
    <n v="2"/>
    <x v="25"/>
    <n v="53310"/>
    <x v="1"/>
    <s v="53"/>
    <s v="533"/>
    <x v="193"/>
    <s v="Administration of Justice : OASDHI (FICA) Teaching"/>
    <n v="0"/>
  </r>
  <r>
    <x v="0"/>
    <s v="11-120-02-210500-53330"/>
    <x v="0"/>
    <n v="120"/>
    <n v="2"/>
    <x v="25"/>
    <n v="53330"/>
    <x v="1"/>
    <s v="53"/>
    <s v="533"/>
    <x v="194"/>
    <s v="Administration of Justice : Medicare Teaching"/>
    <n v="401.58"/>
  </r>
  <r>
    <x v="0"/>
    <s v="11-120-02-210500-53510"/>
    <x v="0"/>
    <n v="120"/>
    <n v="2"/>
    <x v="25"/>
    <n v="53510"/>
    <x v="1"/>
    <s v="53"/>
    <s v="535"/>
    <x v="195"/>
    <s v="Administration of Justice : SUI Teaching"/>
    <n v="13.85"/>
  </r>
  <r>
    <x v="0"/>
    <s v="11-120-02-210500-53610"/>
    <x v="0"/>
    <n v="120"/>
    <n v="2"/>
    <x v="25"/>
    <n v="53610"/>
    <x v="1"/>
    <s v="53"/>
    <s v="536"/>
    <x v="196"/>
    <s v="Administration of Justice : WC Teaching"/>
    <n v="523.66"/>
  </r>
  <r>
    <x v="0"/>
    <s v="11-120-02-210500-55630"/>
    <x v="0"/>
    <n v="120"/>
    <n v="2"/>
    <x v="25"/>
    <n v="55630"/>
    <x v="1"/>
    <s v="55"/>
    <s v="556"/>
    <x v="197"/>
    <s v="Administration of Justice : Printing &amp; Duplicating - Inhouse"/>
    <n v="1"/>
  </r>
  <r>
    <x v="0"/>
    <s v="11-120-02-220200-51311"/>
    <x v="0"/>
    <n v="120"/>
    <n v="2"/>
    <x v="26"/>
    <n v="51311"/>
    <x v="1"/>
    <s v="51"/>
    <s v="513"/>
    <x v="198"/>
    <s v="Anthropology : Academic Teaching PT"/>
    <n v="13612"/>
  </r>
  <r>
    <x v="0"/>
    <s v="11-120-02-220200-53110"/>
    <x v="0"/>
    <n v="120"/>
    <n v="2"/>
    <x v="26"/>
    <n v="53110"/>
    <x v="1"/>
    <s v="53"/>
    <s v="531"/>
    <x v="199"/>
    <s v="Anthropology : STRS Teaching"/>
    <n v="2198.34"/>
  </r>
  <r>
    <x v="0"/>
    <s v="11-120-02-220200-53330"/>
    <x v="0"/>
    <n v="120"/>
    <n v="2"/>
    <x v="26"/>
    <n v="53330"/>
    <x v="1"/>
    <s v="53"/>
    <s v="533"/>
    <x v="200"/>
    <s v="Anthropology : Medicare Teaching"/>
    <n v="197.37"/>
  </r>
  <r>
    <x v="0"/>
    <s v="11-120-02-220200-53510"/>
    <x v="0"/>
    <n v="120"/>
    <n v="2"/>
    <x v="26"/>
    <n v="53510"/>
    <x v="1"/>
    <s v="53"/>
    <s v="535"/>
    <x v="201"/>
    <s v="Anthropology : SUI Teaching"/>
    <n v="6.81"/>
  </r>
  <r>
    <x v="0"/>
    <s v="11-120-02-220200-53610"/>
    <x v="0"/>
    <n v="120"/>
    <n v="2"/>
    <x v="26"/>
    <n v="53610"/>
    <x v="1"/>
    <s v="53"/>
    <s v="536"/>
    <x v="202"/>
    <s v="Anthropology : WC Teaching"/>
    <n v="257.38"/>
  </r>
  <r>
    <x v="0"/>
    <s v="11-120-02-220200-55630"/>
    <x v="0"/>
    <n v="120"/>
    <n v="2"/>
    <x v="26"/>
    <n v="55630"/>
    <x v="1"/>
    <s v="55"/>
    <s v="556"/>
    <x v="203"/>
    <s v="Anthropology : Printing &amp; Duplicating - Inhouse"/>
    <n v="4.2"/>
  </r>
  <r>
    <x v="0"/>
    <s v="11-120-02-220210-51311"/>
    <x v="0"/>
    <n v="120"/>
    <n v="2"/>
    <x v="27"/>
    <n v="51311"/>
    <x v="1"/>
    <s v="51"/>
    <s v="513"/>
    <x v="204"/>
    <s v="Ethnic Studies : Academic Teaching PT"/>
    <n v="57590"/>
  </r>
  <r>
    <x v="0"/>
    <s v="11-120-02-220210-53110"/>
    <x v="0"/>
    <n v="120"/>
    <n v="2"/>
    <x v="27"/>
    <n v="53110"/>
    <x v="1"/>
    <s v="53"/>
    <s v="531"/>
    <x v="205"/>
    <s v="Ethnic Studies : STRS Teaching"/>
    <n v="9300.7900000000009"/>
  </r>
  <r>
    <x v="0"/>
    <s v="11-120-02-220210-53330"/>
    <x v="0"/>
    <n v="120"/>
    <n v="2"/>
    <x v="27"/>
    <n v="53330"/>
    <x v="1"/>
    <s v="53"/>
    <s v="533"/>
    <x v="206"/>
    <s v="Ethnic Studies : Medicare Teaching"/>
    <n v="835.06"/>
  </r>
  <r>
    <x v="0"/>
    <s v="11-120-02-220210-53510"/>
    <x v="0"/>
    <n v="120"/>
    <n v="2"/>
    <x v="27"/>
    <n v="53510"/>
    <x v="1"/>
    <s v="53"/>
    <s v="535"/>
    <x v="207"/>
    <s v="Ethnic Studies : SUI Teaching"/>
    <n v="28.8"/>
  </r>
  <r>
    <x v="0"/>
    <s v="11-120-02-220210-53610"/>
    <x v="0"/>
    <n v="120"/>
    <n v="2"/>
    <x v="27"/>
    <n v="53610"/>
    <x v="1"/>
    <s v="53"/>
    <s v="536"/>
    <x v="208"/>
    <s v="Ethnic Studies : WC Teaching"/>
    <n v="1088.9100000000001"/>
  </r>
  <r>
    <x v="0"/>
    <s v="11-120-02-220500-51311"/>
    <x v="0"/>
    <n v="120"/>
    <n v="2"/>
    <x v="28"/>
    <n v="51311"/>
    <x v="1"/>
    <s v="51"/>
    <s v="513"/>
    <x v="209"/>
    <s v="History : Academic Teaching PT"/>
    <n v="17512"/>
  </r>
  <r>
    <x v="0"/>
    <s v="11-120-02-220500-53110"/>
    <x v="0"/>
    <n v="120"/>
    <n v="2"/>
    <x v="28"/>
    <n v="53110"/>
    <x v="1"/>
    <s v="53"/>
    <s v="531"/>
    <x v="210"/>
    <s v="History : STRS Teaching"/>
    <n v="2828.19"/>
  </r>
  <r>
    <x v="0"/>
    <s v="11-120-02-220500-53330"/>
    <x v="0"/>
    <n v="120"/>
    <n v="2"/>
    <x v="28"/>
    <n v="53330"/>
    <x v="1"/>
    <s v="53"/>
    <s v="533"/>
    <x v="211"/>
    <s v="History : Medicare Teaching"/>
    <n v="253.92"/>
  </r>
  <r>
    <x v="0"/>
    <s v="11-120-02-220500-53510"/>
    <x v="0"/>
    <n v="120"/>
    <n v="2"/>
    <x v="28"/>
    <n v="53510"/>
    <x v="1"/>
    <s v="53"/>
    <s v="535"/>
    <x v="212"/>
    <s v="History : SUI Teaching"/>
    <n v="8.76"/>
  </r>
  <r>
    <x v="0"/>
    <s v="11-120-02-220500-53610"/>
    <x v="0"/>
    <n v="120"/>
    <n v="2"/>
    <x v="28"/>
    <n v="53610"/>
    <x v="1"/>
    <s v="53"/>
    <s v="536"/>
    <x v="213"/>
    <s v="History : WC Teaching"/>
    <n v="331.12"/>
  </r>
  <r>
    <x v="0"/>
    <s v="11-120-02-220500-55630"/>
    <x v="0"/>
    <n v="120"/>
    <n v="2"/>
    <x v="28"/>
    <n v="55630"/>
    <x v="1"/>
    <s v="55"/>
    <s v="556"/>
    <x v="214"/>
    <s v="History : Printing &amp; Duplicating - Inhouse"/>
    <n v="3.2"/>
  </r>
  <r>
    <x v="0"/>
    <s v="11-120-02-220600-51311"/>
    <x v="0"/>
    <n v="120"/>
    <n v="2"/>
    <x v="29"/>
    <n v="51311"/>
    <x v="1"/>
    <s v="51"/>
    <s v="513"/>
    <x v="215"/>
    <s v="Geography : Academic Teaching PT"/>
    <n v="3167"/>
  </r>
  <r>
    <x v="0"/>
    <s v="11-120-02-220600-53110"/>
    <x v="0"/>
    <n v="120"/>
    <n v="2"/>
    <x v="29"/>
    <n v="53110"/>
    <x v="1"/>
    <s v="53"/>
    <s v="531"/>
    <x v="216"/>
    <s v="Geography : STRS Teaching"/>
    <n v="511.47"/>
  </r>
  <r>
    <x v="0"/>
    <s v="11-120-02-220600-53330"/>
    <x v="0"/>
    <n v="120"/>
    <n v="2"/>
    <x v="29"/>
    <n v="53330"/>
    <x v="1"/>
    <s v="53"/>
    <s v="533"/>
    <x v="217"/>
    <s v="Geography : Medicare Teaching"/>
    <n v="45.92"/>
  </r>
  <r>
    <x v="0"/>
    <s v="11-120-02-220600-53510"/>
    <x v="0"/>
    <n v="120"/>
    <n v="2"/>
    <x v="29"/>
    <n v="53510"/>
    <x v="1"/>
    <s v="53"/>
    <s v="535"/>
    <x v="218"/>
    <s v="Geography : SUI Teaching"/>
    <n v="1.58"/>
  </r>
  <r>
    <x v="0"/>
    <s v="11-120-02-220600-53610"/>
    <x v="0"/>
    <n v="120"/>
    <n v="2"/>
    <x v="29"/>
    <n v="53610"/>
    <x v="1"/>
    <s v="53"/>
    <s v="536"/>
    <x v="219"/>
    <s v="Geography : WC Teaching"/>
    <n v="59.88"/>
  </r>
  <r>
    <x v="0"/>
    <s v="11-120-02-220700-51311"/>
    <x v="0"/>
    <n v="120"/>
    <n v="2"/>
    <x v="30"/>
    <n v="51311"/>
    <x v="1"/>
    <s v="51"/>
    <s v="513"/>
    <x v="220"/>
    <s v="Political Science : Academic Teaching PT"/>
    <n v="4262"/>
  </r>
  <r>
    <x v="0"/>
    <s v="11-120-02-220700-53110"/>
    <x v="0"/>
    <n v="120"/>
    <n v="2"/>
    <x v="30"/>
    <n v="53110"/>
    <x v="1"/>
    <s v="53"/>
    <s v="531"/>
    <x v="221"/>
    <s v="Political Science : STRS Teaching"/>
    <n v="688.31"/>
  </r>
  <r>
    <x v="0"/>
    <s v="11-120-02-220700-53330"/>
    <x v="0"/>
    <n v="120"/>
    <n v="2"/>
    <x v="30"/>
    <n v="53330"/>
    <x v="1"/>
    <s v="53"/>
    <s v="533"/>
    <x v="222"/>
    <s v="Political Science : Medicare Teaching"/>
    <n v="61.8"/>
  </r>
  <r>
    <x v="0"/>
    <s v="11-120-02-220700-53510"/>
    <x v="0"/>
    <n v="120"/>
    <n v="2"/>
    <x v="30"/>
    <n v="53510"/>
    <x v="1"/>
    <s v="53"/>
    <s v="535"/>
    <x v="223"/>
    <s v="Political Science : SUI Teaching"/>
    <n v="2.13"/>
  </r>
  <r>
    <x v="0"/>
    <s v="11-120-02-220700-53610"/>
    <x v="0"/>
    <n v="120"/>
    <n v="2"/>
    <x v="30"/>
    <n v="53610"/>
    <x v="1"/>
    <s v="53"/>
    <s v="536"/>
    <x v="224"/>
    <s v="Political Science : WC Teaching"/>
    <n v="80.59"/>
  </r>
  <r>
    <x v="0"/>
    <s v="11-120-02-220700-55630"/>
    <x v="0"/>
    <n v="120"/>
    <n v="2"/>
    <x v="30"/>
    <n v="55630"/>
    <x v="1"/>
    <s v="55"/>
    <s v="556"/>
    <x v="225"/>
    <s v="Political Science : Printing &amp; Duplicating - Inhouse"/>
    <n v="12.2"/>
  </r>
  <r>
    <x v="0"/>
    <s v="11-120-02-220800-51311"/>
    <x v="0"/>
    <n v="120"/>
    <n v="2"/>
    <x v="31"/>
    <n v="51311"/>
    <x v="1"/>
    <s v="51"/>
    <s v="513"/>
    <x v="226"/>
    <s v="Sociology : Academic Teaching PT"/>
    <n v="14066"/>
  </r>
  <r>
    <x v="0"/>
    <s v="11-120-02-220800-53110"/>
    <x v="0"/>
    <n v="120"/>
    <n v="2"/>
    <x v="31"/>
    <n v="53110"/>
    <x v="1"/>
    <s v="53"/>
    <s v="531"/>
    <x v="227"/>
    <s v="Sociology : STRS Teaching"/>
    <n v="2271.66"/>
  </r>
  <r>
    <x v="0"/>
    <s v="11-120-02-220800-53330"/>
    <x v="0"/>
    <n v="120"/>
    <n v="2"/>
    <x v="31"/>
    <n v="53330"/>
    <x v="1"/>
    <s v="53"/>
    <s v="533"/>
    <x v="228"/>
    <s v="Sociology : Medicare Teaching"/>
    <n v="203.96"/>
  </r>
  <r>
    <x v="0"/>
    <s v="11-120-02-220800-53510"/>
    <x v="0"/>
    <n v="120"/>
    <n v="2"/>
    <x v="31"/>
    <n v="53510"/>
    <x v="1"/>
    <s v="53"/>
    <s v="535"/>
    <x v="229"/>
    <s v="Sociology : SUI Teaching"/>
    <n v="7.03"/>
  </r>
  <r>
    <x v="0"/>
    <s v="11-120-02-220800-53610"/>
    <x v="0"/>
    <n v="120"/>
    <n v="2"/>
    <x v="31"/>
    <n v="53610"/>
    <x v="1"/>
    <s v="53"/>
    <s v="536"/>
    <x v="230"/>
    <s v="Sociology : WC Teaching"/>
    <n v="265.95999999999998"/>
  </r>
  <r>
    <x v="0"/>
    <s v="11-120-02-220800-55630"/>
    <x v="0"/>
    <n v="120"/>
    <n v="2"/>
    <x v="31"/>
    <n v="55630"/>
    <x v="1"/>
    <s v="55"/>
    <s v="556"/>
    <x v="231"/>
    <s v="Sociology : Printing &amp; Duplicating - Inhouse"/>
    <n v="22.89"/>
  </r>
  <r>
    <x v="0"/>
    <s v="11-120-02-493010-51311"/>
    <x v="0"/>
    <n v="120"/>
    <n v="2"/>
    <x v="32"/>
    <n v="51311"/>
    <x v="1"/>
    <s v="51"/>
    <s v="513"/>
    <x v="232"/>
    <s v="Counseling Instruction : Academic Teaching PT"/>
    <n v="10958"/>
  </r>
  <r>
    <x v="0"/>
    <s v="11-120-02-493010-53110"/>
    <x v="0"/>
    <n v="120"/>
    <n v="2"/>
    <x v="32"/>
    <n v="53110"/>
    <x v="1"/>
    <s v="53"/>
    <s v="531"/>
    <x v="233"/>
    <s v="Counseling Instruction : STRS Teaching"/>
    <n v="1769.72"/>
  </r>
  <r>
    <x v="0"/>
    <s v="11-120-02-493010-53330"/>
    <x v="0"/>
    <n v="120"/>
    <n v="2"/>
    <x v="32"/>
    <n v="53330"/>
    <x v="1"/>
    <s v="53"/>
    <s v="533"/>
    <x v="234"/>
    <s v="Counseling Instruction : Medicare Teaching"/>
    <n v="158.88999999999999"/>
  </r>
  <r>
    <x v="0"/>
    <s v="11-120-02-493010-53510"/>
    <x v="0"/>
    <n v="120"/>
    <n v="2"/>
    <x v="32"/>
    <n v="53510"/>
    <x v="1"/>
    <s v="53"/>
    <s v="535"/>
    <x v="235"/>
    <s v="Counseling Instruction : SUI Teaching"/>
    <n v="5.48"/>
  </r>
  <r>
    <x v="0"/>
    <s v="11-120-02-493010-53610"/>
    <x v="0"/>
    <n v="120"/>
    <n v="2"/>
    <x v="32"/>
    <n v="53610"/>
    <x v="1"/>
    <s v="53"/>
    <s v="536"/>
    <x v="236"/>
    <s v="Counseling Instruction : WC Teaching"/>
    <n v="207.19"/>
  </r>
  <r>
    <x v="0"/>
    <s v="11-120-02-493080-51311"/>
    <x v="0"/>
    <n v="120"/>
    <n v="2"/>
    <x v="33"/>
    <n v="51311"/>
    <x v="1"/>
    <s v="51"/>
    <s v="513"/>
    <x v="237"/>
    <s v="ESL : Academic Teaching PT"/>
    <n v="40554"/>
  </r>
  <r>
    <x v="0"/>
    <s v="11-120-02-493080-53110"/>
    <x v="0"/>
    <n v="120"/>
    <n v="2"/>
    <x v="33"/>
    <n v="53110"/>
    <x v="1"/>
    <s v="53"/>
    <s v="531"/>
    <x v="238"/>
    <s v="ESL : STRS Teaching"/>
    <n v="6549.47"/>
  </r>
  <r>
    <x v="0"/>
    <s v="11-120-02-493080-53330"/>
    <x v="0"/>
    <n v="120"/>
    <n v="2"/>
    <x v="33"/>
    <n v="53330"/>
    <x v="1"/>
    <s v="53"/>
    <s v="533"/>
    <x v="239"/>
    <s v="ESL : Medicare Teaching"/>
    <n v="588.03"/>
  </r>
  <r>
    <x v="0"/>
    <s v="11-120-02-493080-53510"/>
    <x v="0"/>
    <n v="120"/>
    <n v="2"/>
    <x v="33"/>
    <n v="53510"/>
    <x v="1"/>
    <s v="53"/>
    <s v="535"/>
    <x v="240"/>
    <s v="ESL : SUI Teaching"/>
    <n v="20.28"/>
  </r>
  <r>
    <x v="0"/>
    <s v="11-120-02-493080-53610"/>
    <x v="0"/>
    <n v="120"/>
    <n v="2"/>
    <x v="33"/>
    <n v="53610"/>
    <x v="1"/>
    <s v="53"/>
    <s v="536"/>
    <x v="241"/>
    <s v="ESL : WC Teaching"/>
    <n v="766.8"/>
  </r>
  <r>
    <x v="0"/>
    <s v="11-120-02-601000-51210"/>
    <x v="0"/>
    <n v="120"/>
    <n v="2"/>
    <x v="34"/>
    <n v="51210"/>
    <x v="1"/>
    <s v="51"/>
    <s v="512"/>
    <x v="242"/>
    <s v="Academic Administration : Academic Nonteaching Management"/>
    <n v="131204"/>
  </r>
  <r>
    <x v="0"/>
    <s v="11-120-02-601000-51412"/>
    <x v="0"/>
    <n v="120"/>
    <n v="2"/>
    <x v="34"/>
    <n v="51412"/>
    <x v="1"/>
    <s v="51"/>
    <s v="514"/>
    <x v="243"/>
    <s v="Academic Administration : Acad Nonteach Special Projects"/>
    <n v="7000"/>
  </r>
  <r>
    <x v="0"/>
    <s v="11-120-02-601000-52105"/>
    <x v="0"/>
    <n v="120"/>
    <n v="2"/>
    <x v="34"/>
    <n v="52105"/>
    <x v="1"/>
    <s v="52"/>
    <s v="521"/>
    <x v="244"/>
    <s v="Academic Administration : Classified CSEA"/>
    <n v="120358.6"/>
  </r>
  <r>
    <x v="0"/>
    <s v="11-120-02-601000-52300"/>
    <x v="0"/>
    <n v="120"/>
    <n v="2"/>
    <x v="34"/>
    <n v="52300"/>
    <x v="1"/>
    <s v="52"/>
    <s v="523"/>
    <x v="245"/>
    <s v="Academic Administration : Classified Overtime"/>
    <n v="0"/>
  </r>
  <r>
    <x v="0"/>
    <s v="11-120-02-601000-53120"/>
    <x v="0"/>
    <n v="120"/>
    <n v="2"/>
    <x v="34"/>
    <n v="53120"/>
    <x v="1"/>
    <s v="53"/>
    <s v="531"/>
    <x v="246"/>
    <s v="Academic Administration : STRS Nonteaching"/>
    <n v="21189.45"/>
  </r>
  <r>
    <x v="0"/>
    <s v="11-120-02-601000-53220"/>
    <x v="0"/>
    <n v="120"/>
    <n v="2"/>
    <x v="34"/>
    <n v="53220"/>
    <x v="1"/>
    <s v="53"/>
    <s v="532"/>
    <x v="247"/>
    <s v="Academic Administration : PERS Nonteaching"/>
    <n v="24914.23"/>
  </r>
  <r>
    <x v="0"/>
    <s v="11-120-02-601000-53320"/>
    <x v="0"/>
    <n v="120"/>
    <n v="2"/>
    <x v="34"/>
    <n v="53320"/>
    <x v="1"/>
    <s v="53"/>
    <s v="533"/>
    <x v="248"/>
    <s v="Academic Administration : OASDHI (FICA) Nonteaching"/>
    <n v="7462.23"/>
  </r>
  <r>
    <x v="0"/>
    <s v="11-120-02-601000-53340"/>
    <x v="0"/>
    <n v="120"/>
    <n v="2"/>
    <x v="34"/>
    <n v="53340"/>
    <x v="1"/>
    <s v="53"/>
    <s v="533"/>
    <x v="249"/>
    <s v="Academic Administration : Medicare Nonteaching"/>
    <n v="3647.66"/>
  </r>
  <r>
    <x v="0"/>
    <s v="11-120-02-601000-53420"/>
    <x v="0"/>
    <n v="120"/>
    <n v="2"/>
    <x v="34"/>
    <n v="53420"/>
    <x v="1"/>
    <s v="53"/>
    <s v="534"/>
    <x v="250"/>
    <s v="Academic Administration : H &amp; W Nonteaching"/>
    <n v="73502.58"/>
  </r>
  <r>
    <x v="0"/>
    <s v="11-120-02-601000-53520"/>
    <x v="0"/>
    <n v="120"/>
    <n v="2"/>
    <x v="34"/>
    <n v="53520"/>
    <x v="1"/>
    <s v="53"/>
    <s v="535"/>
    <x v="251"/>
    <s v="Academic Administration : SUI Nonteaching"/>
    <n v="125.78"/>
  </r>
  <r>
    <x v="0"/>
    <s v="11-120-02-601000-53620"/>
    <x v="0"/>
    <n v="120"/>
    <n v="2"/>
    <x v="34"/>
    <n v="53620"/>
    <x v="1"/>
    <s v="53"/>
    <s v="536"/>
    <x v="252"/>
    <s v="Academic Administration : WC Nonteaching"/>
    <n v="4756.55"/>
  </r>
  <r>
    <x v="0"/>
    <s v="11-120-02-601000-53920"/>
    <x v="0"/>
    <n v="120"/>
    <n v="2"/>
    <x v="34"/>
    <n v="53920"/>
    <x v="1"/>
    <s v="53"/>
    <s v="539"/>
    <x v="253"/>
    <s v="Academic Administration : Other Benefit-Non Teaching"/>
    <n v="0"/>
  </r>
  <r>
    <x v="0"/>
    <s v="11-120-02-601000-54300"/>
    <x v="0"/>
    <n v="120"/>
    <n v="2"/>
    <x v="34"/>
    <n v="54300"/>
    <x v="1"/>
    <s v="54"/>
    <s v="543"/>
    <x v="254"/>
    <s v="Academic Administration : Supplies &amp; Materials"/>
    <n v="10000"/>
  </r>
  <r>
    <x v="0"/>
    <s v="11-120-02-601000-55125"/>
    <x v="0"/>
    <n v="120"/>
    <n v="2"/>
    <x v="34"/>
    <n v="55125"/>
    <x v="1"/>
    <s v="55"/>
    <s v="551"/>
    <x v="255"/>
    <s v="Academic Administration : Training &amp; Seminars"/>
    <n v="500"/>
  </r>
  <r>
    <x v="0"/>
    <s v="11-120-02-601000-55200"/>
    <x v="0"/>
    <n v="120"/>
    <n v="2"/>
    <x v="34"/>
    <n v="55200"/>
    <x v="1"/>
    <s v="55"/>
    <s v="552"/>
    <x v="256"/>
    <s v="Academic Administration : Travel &amp; Conference"/>
    <n v="-3500"/>
  </r>
  <r>
    <x v="0"/>
    <s v="11-120-02-601000-55210"/>
    <x v="0"/>
    <n v="120"/>
    <n v="2"/>
    <x v="34"/>
    <n v="55210"/>
    <x v="1"/>
    <s v="55"/>
    <s v="552"/>
    <x v="257"/>
    <s v="Academic Administration : Instructional Mileage"/>
    <n v="0"/>
  </r>
  <r>
    <x v="0"/>
    <s v="11-120-02-601000-55630"/>
    <x v="0"/>
    <n v="120"/>
    <n v="2"/>
    <x v="34"/>
    <n v="55630"/>
    <x v="1"/>
    <s v="55"/>
    <s v="556"/>
    <x v="258"/>
    <s v="Academic Administration : Printing &amp; Duplicating - Inhouse"/>
    <n v="1500"/>
  </r>
  <r>
    <x v="0"/>
    <s v="11-120-02-601000-55650"/>
    <x v="0"/>
    <n v="120"/>
    <n v="2"/>
    <x v="34"/>
    <n v="55650"/>
    <x v="1"/>
    <s v="55"/>
    <s v="556"/>
    <x v="259"/>
    <s v="Academic Administration : Maintenance Agreement"/>
    <n v="2340"/>
  </r>
  <r>
    <x v="0"/>
    <s v="11-120-02-601000-55830"/>
    <x v="0"/>
    <n v="120"/>
    <n v="2"/>
    <x v="34"/>
    <n v="55830"/>
    <x v="1"/>
    <s v="55"/>
    <s v="558"/>
    <x v="260"/>
    <s v="Academic Administration : Advertising Expense"/>
    <n v="-6000"/>
  </r>
  <r>
    <x v="0"/>
    <s v="11-120-02-601000-56400"/>
    <x v="0"/>
    <n v="120"/>
    <n v="2"/>
    <x v="34"/>
    <n v="56400"/>
    <x v="1"/>
    <s v="56"/>
    <s v="564"/>
    <x v="261"/>
    <s v="Academic Administration : Cap Equip - $200 to $4,999"/>
    <n v="6000"/>
  </r>
  <r>
    <x v="0"/>
    <s v="11-120-02-612000-51411"/>
    <x v="0"/>
    <n v="120"/>
    <n v="2"/>
    <x v="35"/>
    <n v="51411"/>
    <x v="1"/>
    <s v="51"/>
    <s v="514"/>
    <x v="262"/>
    <s v="Library Services : Academic Nonteaching PT"/>
    <n v="15324"/>
  </r>
  <r>
    <x v="0"/>
    <s v="11-120-02-612000-53120"/>
    <x v="0"/>
    <n v="120"/>
    <n v="2"/>
    <x v="35"/>
    <n v="53120"/>
    <x v="1"/>
    <s v="53"/>
    <s v="531"/>
    <x v="263"/>
    <s v="Library Services : STRS Nonteaching"/>
    <n v="2474.83"/>
  </r>
  <r>
    <x v="0"/>
    <s v="11-120-02-612000-53340"/>
    <x v="0"/>
    <n v="120"/>
    <n v="2"/>
    <x v="35"/>
    <n v="53340"/>
    <x v="1"/>
    <s v="53"/>
    <s v="533"/>
    <x v="264"/>
    <s v="Library Services : Medicare Nonteaching"/>
    <n v="222.2"/>
  </r>
  <r>
    <x v="0"/>
    <s v="11-120-02-612000-53520"/>
    <x v="0"/>
    <n v="120"/>
    <n v="2"/>
    <x v="35"/>
    <n v="53520"/>
    <x v="1"/>
    <s v="53"/>
    <s v="535"/>
    <x v="265"/>
    <s v="Library Services : SUI Nonteaching"/>
    <n v="7.66"/>
  </r>
  <r>
    <x v="0"/>
    <s v="11-120-02-612000-53620"/>
    <x v="0"/>
    <n v="120"/>
    <n v="2"/>
    <x v="35"/>
    <n v="53620"/>
    <x v="1"/>
    <s v="53"/>
    <s v="536"/>
    <x v="266"/>
    <s v="Library Services : WC Nonteaching"/>
    <n v="289.75"/>
  </r>
  <r>
    <x v="0"/>
    <s v="11-120-02-612000-55630"/>
    <x v="0"/>
    <n v="120"/>
    <n v="2"/>
    <x v="35"/>
    <n v="55630"/>
    <x v="1"/>
    <s v="55"/>
    <s v="556"/>
    <x v="267"/>
    <s v="Library Services : Printing &amp; Duplicating - Inhouse"/>
    <n v="8.1999999999999993"/>
  </r>
  <r>
    <x v="0"/>
    <s v="11-120-02-631000-51311"/>
    <x v="0"/>
    <n v="120"/>
    <n v="2"/>
    <x v="36"/>
    <n v="51311"/>
    <x v="1"/>
    <s v="51"/>
    <s v="513"/>
    <x v="268"/>
    <s v="Counseling &amp; Guidance : Academic Teaching PT"/>
    <n v="6000"/>
  </r>
  <r>
    <x v="0"/>
    <s v="11-120-02-631000-51411"/>
    <x v="0"/>
    <n v="120"/>
    <n v="2"/>
    <x v="36"/>
    <n v="51411"/>
    <x v="1"/>
    <s v="51"/>
    <s v="514"/>
    <x v="269"/>
    <s v="Counseling &amp; Guidance : Academic Nonteaching PT"/>
    <n v="35769"/>
  </r>
  <r>
    <x v="0"/>
    <s v="11-120-02-631000-53110"/>
    <x v="0"/>
    <n v="120"/>
    <n v="2"/>
    <x v="36"/>
    <n v="53110"/>
    <x v="1"/>
    <s v="53"/>
    <s v="531"/>
    <x v="270"/>
    <s v="Counseling &amp; Guidance : STRS Teaching"/>
    <n v="969"/>
  </r>
  <r>
    <x v="0"/>
    <s v="11-120-02-631000-53120"/>
    <x v="0"/>
    <n v="120"/>
    <n v="2"/>
    <x v="36"/>
    <n v="53120"/>
    <x v="1"/>
    <s v="53"/>
    <s v="531"/>
    <x v="271"/>
    <s v="Counseling &amp; Guidance : STRS Nonteaching"/>
    <n v="5776.69"/>
  </r>
  <r>
    <x v="0"/>
    <s v="11-120-02-631000-53330"/>
    <x v="0"/>
    <n v="120"/>
    <n v="2"/>
    <x v="36"/>
    <n v="53330"/>
    <x v="1"/>
    <s v="53"/>
    <s v="533"/>
    <x v="272"/>
    <s v="Counseling &amp; Guidance : Medicare Teaching"/>
    <n v="87"/>
  </r>
  <r>
    <x v="0"/>
    <s v="11-120-02-631000-53340"/>
    <x v="0"/>
    <n v="120"/>
    <n v="2"/>
    <x v="36"/>
    <n v="53340"/>
    <x v="1"/>
    <s v="53"/>
    <s v="533"/>
    <x v="273"/>
    <s v="Counseling &amp; Guidance : Medicare Nonteaching"/>
    <n v="518.65"/>
  </r>
  <r>
    <x v="0"/>
    <s v="11-120-02-631000-53510"/>
    <x v="0"/>
    <n v="120"/>
    <n v="2"/>
    <x v="36"/>
    <n v="53510"/>
    <x v="1"/>
    <s v="53"/>
    <s v="535"/>
    <x v="274"/>
    <s v="Counseling &amp; Guidance : SUI Teaching"/>
    <n v="3"/>
  </r>
  <r>
    <x v="0"/>
    <s v="11-120-02-631000-53520"/>
    <x v="0"/>
    <n v="120"/>
    <n v="2"/>
    <x v="36"/>
    <n v="53520"/>
    <x v="1"/>
    <s v="53"/>
    <s v="535"/>
    <x v="275"/>
    <s v="Counseling &amp; Guidance : SUI Nonteaching"/>
    <n v="17.88"/>
  </r>
  <r>
    <x v="0"/>
    <s v="11-120-02-631000-53610"/>
    <x v="0"/>
    <n v="120"/>
    <n v="2"/>
    <x v="36"/>
    <n v="53610"/>
    <x v="1"/>
    <s v="53"/>
    <s v="536"/>
    <x v="276"/>
    <s v="Counseling &amp; Guidance : WC Teaching"/>
    <n v="113.45"/>
  </r>
  <r>
    <x v="0"/>
    <s v="11-120-02-631000-53620"/>
    <x v="0"/>
    <n v="120"/>
    <n v="2"/>
    <x v="36"/>
    <n v="53620"/>
    <x v="1"/>
    <s v="53"/>
    <s v="536"/>
    <x v="277"/>
    <s v="Counseling &amp; Guidance : WC Nonteaching"/>
    <n v="676.32"/>
  </r>
  <r>
    <x v="0"/>
    <s v="11-120-02-631000-55630"/>
    <x v="0"/>
    <n v="120"/>
    <n v="2"/>
    <x v="36"/>
    <n v="55630"/>
    <x v="1"/>
    <s v="55"/>
    <s v="556"/>
    <x v="278"/>
    <s v="Counseling &amp; Guidance : Printing &amp; Duplicating - Inhouse"/>
    <n v="182"/>
  </r>
  <r>
    <x v="0"/>
    <s v="11-120-02-657000-55530"/>
    <x v="0"/>
    <n v="120"/>
    <n v="2"/>
    <x v="37"/>
    <n v="55530"/>
    <x v="1"/>
    <s v="55"/>
    <s v="555"/>
    <x v="279"/>
    <s v="Utilities : Electric Utility"/>
    <n v="22290"/>
  </r>
  <r>
    <x v="0"/>
    <s v="11-120-02-657000-55540"/>
    <x v="0"/>
    <n v="120"/>
    <n v="2"/>
    <x v="37"/>
    <n v="55540"/>
    <x v="1"/>
    <s v="55"/>
    <s v="555"/>
    <x v="280"/>
    <s v="Utilities : Gas Utility"/>
    <n v="1161"/>
  </r>
  <r>
    <x v="0"/>
    <s v="11-120-02-657000-55560"/>
    <x v="0"/>
    <n v="120"/>
    <n v="2"/>
    <x v="37"/>
    <n v="55560"/>
    <x v="1"/>
    <s v="55"/>
    <s v="555"/>
    <x v="281"/>
    <s v="Utilities : Water Service"/>
    <n v="7769"/>
  </r>
  <r>
    <x v="0"/>
    <s v="11-120-02-657000-55580"/>
    <x v="0"/>
    <n v="120"/>
    <n v="2"/>
    <x v="37"/>
    <n v="55580"/>
    <x v="1"/>
    <s v="55"/>
    <s v="555"/>
    <x v="282"/>
    <s v="Utilities : Trash Collection Service"/>
    <n v="4597"/>
  </r>
  <r>
    <x v="0"/>
    <s v="11-120-02-700400-55630"/>
    <x v="0"/>
    <n v="120"/>
    <n v="2"/>
    <x v="38"/>
    <n v="55630"/>
    <x v="1"/>
    <s v="55"/>
    <s v="556"/>
    <x v="283"/>
    <s v="SSSP : Printing &amp; Duplicating - Inhouse"/>
    <n v="0"/>
  </r>
  <r>
    <x v="0"/>
    <s v="11-140-00-602003-51412"/>
    <x v="0"/>
    <n v="140"/>
    <n v="0"/>
    <x v="39"/>
    <n v="51412"/>
    <x v="1"/>
    <s v="51"/>
    <s v="514"/>
    <x v="284"/>
    <s v="Cultural Curriculum Audit : Acad Nonteach Special Projects"/>
    <n v="20000"/>
  </r>
  <r>
    <x v="0"/>
    <s v="11-140-00-602003-53120"/>
    <x v="0"/>
    <n v="140"/>
    <n v="0"/>
    <x v="39"/>
    <n v="53120"/>
    <x v="1"/>
    <s v="53"/>
    <s v="531"/>
    <x v="285"/>
    <s v="Cultural Curriculum Audit : STRS Nonteaching"/>
    <n v="3230"/>
  </r>
  <r>
    <x v="0"/>
    <s v="11-140-00-602003-53340"/>
    <x v="0"/>
    <n v="140"/>
    <n v="0"/>
    <x v="39"/>
    <n v="53340"/>
    <x v="1"/>
    <s v="53"/>
    <s v="533"/>
    <x v="286"/>
    <s v="Cultural Curriculum Audit : Medicare Nonteaching"/>
    <n v="290"/>
  </r>
  <r>
    <x v="0"/>
    <s v="11-140-00-602003-53520"/>
    <x v="0"/>
    <n v="140"/>
    <n v="0"/>
    <x v="39"/>
    <n v="53520"/>
    <x v="1"/>
    <s v="53"/>
    <s v="535"/>
    <x v="287"/>
    <s v="Cultural Curriculum Audit : SUI Nonteaching"/>
    <n v="10"/>
  </r>
  <r>
    <x v="0"/>
    <s v="11-140-00-602003-53620"/>
    <x v="0"/>
    <n v="140"/>
    <n v="0"/>
    <x v="39"/>
    <n v="53620"/>
    <x v="1"/>
    <s v="53"/>
    <s v="536"/>
    <x v="288"/>
    <s v="Cultural Curriculum Audit : WC Nonteaching"/>
    <n v="379"/>
  </r>
  <r>
    <x v="0"/>
    <s v="11-140-00-602003-55200"/>
    <x v="0"/>
    <n v="140"/>
    <n v="0"/>
    <x v="39"/>
    <n v="55200"/>
    <x v="1"/>
    <s v="55"/>
    <s v="552"/>
    <x v="289"/>
    <s v="Cultural Curriculum Audit : Travel &amp; Conference"/>
    <n v="15000"/>
  </r>
  <r>
    <x v="0"/>
    <s v="11-140-00-671020-55630"/>
    <x v="0"/>
    <n v="140"/>
    <n v="0"/>
    <x v="5"/>
    <n v="55630"/>
    <x v="1"/>
    <s v="55"/>
    <s v="556"/>
    <x v="290"/>
    <s v="Institutional Advancement : Printing &amp; Duplicating - Inhouse"/>
    <n v="0"/>
  </r>
  <r>
    <x v="0"/>
    <s v="11-140-00-684000-52120"/>
    <x v="0"/>
    <n v="140"/>
    <n v="0"/>
    <x v="9"/>
    <n v="52120"/>
    <x v="1"/>
    <s v="52"/>
    <s v="521"/>
    <x v="291"/>
    <s v="Community Relations &amp; Develop. : Classified Confidential"/>
    <n v="99920.36"/>
  </r>
  <r>
    <x v="0"/>
    <s v="11-140-00-684000-52130"/>
    <x v="0"/>
    <n v="140"/>
    <n v="0"/>
    <x v="9"/>
    <n v="52130"/>
    <x v="1"/>
    <s v="52"/>
    <s v="521"/>
    <x v="292"/>
    <s v="Community Relations &amp; Develop. : Classified Management"/>
    <n v="423117"/>
  </r>
  <r>
    <x v="0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7385"/>
  </r>
  <r>
    <x v="0"/>
    <s v="11-140-00-684000-53220"/>
    <x v="0"/>
    <n v="140"/>
    <n v="0"/>
    <x v="9"/>
    <n v="53220"/>
    <x v="1"/>
    <s v="53"/>
    <s v="532"/>
    <x v="294"/>
    <s v="Community Relations &amp; Develop. : PERS Nonteaching"/>
    <n v="108268.73"/>
  </r>
  <r>
    <x v="0"/>
    <s v="11-140-00-684000-53320"/>
    <x v="0"/>
    <n v="140"/>
    <n v="0"/>
    <x v="9"/>
    <n v="53320"/>
    <x v="1"/>
    <s v="53"/>
    <s v="533"/>
    <x v="295"/>
    <s v="Community Relations &amp; Develop. : OASDHI (FICA) Nonteaching"/>
    <n v="32428.32"/>
  </r>
  <r>
    <x v="0"/>
    <s v="11-140-00-684000-53340"/>
    <x v="0"/>
    <n v="140"/>
    <n v="0"/>
    <x v="9"/>
    <n v="53340"/>
    <x v="1"/>
    <s v="53"/>
    <s v="533"/>
    <x v="296"/>
    <s v="Community Relations &amp; Develop. : Medicare Nonteaching"/>
    <n v="7584.05"/>
  </r>
  <r>
    <x v="0"/>
    <s v="11-140-00-684000-53420"/>
    <x v="0"/>
    <n v="140"/>
    <n v="0"/>
    <x v="9"/>
    <n v="53420"/>
    <x v="1"/>
    <s v="53"/>
    <s v="534"/>
    <x v="297"/>
    <s v="Community Relations &amp; Develop. : H &amp; W Nonteaching"/>
    <n v="135546.35999999999"/>
  </r>
  <r>
    <x v="0"/>
    <s v="11-140-00-684000-53520"/>
    <x v="0"/>
    <n v="140"/>
    <n v="0"/>
    <x v="9"/>
    <n v="53520"/>
    <x v="1"/>
    <s v="53"/>
    <s v="535"/>
    <x v="298"/>
    <s v="Community Relations &amp; Develop. : SUI Nonteaching"/>
    <n v="261.52"/>
  </r>
  <r>
    <x v="0"/>
    <s v="11-140-00-684000-53620"/>
    <x v="0"/>
    <n v="140"/>
    <n v="0"/>
    <x v="9"/>
    <n v="53620"/>
    <x v="1"/>
    <s v="53"/>
    <s v="536"/>
    <x v="299"/>
    <s v="Community Relations &amp; Develop. : WC Nonteaching"/>
    <n v="10029.24"/>
  </r>
  <r>
    <x v="0"/>
    <s v="11-140-00-684000-54300"/>
    <x v="0"/>
    <n v="140"/>
    <n v="0"/>
    <x v="9"/>
    <n v="54300"/>
    <x v="1"/>
    <s v="54"/>
    <s v="543"/>
    <x v="300"/>
    <s v="Community Relations &amp; Develop. : Supplies &amp; Materials"/>
    <n v="3000"/>
  </r>
  <r>
    <x v="0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0"/>
    <s v="11-140-00-684000-55105"/>
    <x v="0"/>
    <n v="140"/>
    <n v="0"/>
    <x v="9"/>
    <n v="55105"/>
    <x v="1"/>
    <s v="55"/>
    <s v="551"/>
    <x v="302"/>
    <s v="Community Relations &amp; Develop. : Contract Services"/>
    <n v="71792"/>
  </r>
  <r>
    <x v="0"/>
    <s v="11-140-00-684000-55200"/>
    <x v="0"/>
    <n v="140"/>
    <n v="0"/>
    <x v="9"/>
    <n v="55200"/>
    <x v="1"/>
    <s v="55"/>
    <s v="552"/>
    <x v="303"/>
    <s v="Community Relations &amp; Develop. : Travel &amp; Conference"/>
    <n v="1300"/>
  </r>
  <r>
    <x v="0"/>
    <s v="11-140-00-684000-55300"/>
    <x v="0"/>
    <n v="140"/>
    <n v="0"/>
    <x v="9"/>
    <n v="55300"/>
    <x v="1"/>
    <s v="55"/>
    <s v="553"/>
    <x v="304"/>
    <s v="Community Relations &amp; Develop. : Memberships"/>
    <n v="500"/>
  </r>
  <r>
    <x v="0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00"/>
  </r>
  <r>
    <x v="0"/>
    <s v="11-140-00-684000-55635"/>
    <x v="0"/>
    <n v="140"/>
    <n v="0"/>
    <x v="9"/>
    <n v="55635"/>
    <x v="1"/>
    <s v="55"/>
    <s v="556"/>
    <x v="306"/>
    <s v="Community Relations &amp; Develop. : Printing Services - Vendor"/>
    <n v="800"/>
  </r>
  <r>
    <x v="0"/>
    <s v="11-140-00-684000-55810"/>
    <x v="0"/>
    <n v="140"/>
    <n v="0"/>
    <x v="9"/>
    <n v="55810"/>
    <x v="1"/>
    <s v="55"/>
    <s v="558"/>
    <x v="307"/>
    <s v="Community Relations &amp; Develop. : Bulk Mail"/>
    <n v="500"/>
  </r>
  <r>
    <x v="0"/>
    <s v="11-140-00-684000-55820"/>
    <x v="0"/>
    <n v="140"/>
    <n v="0"/>
    <x v="9"/>
    <n v="55820"/>
    <x v="1"/>
    <s v="55"/>
    <s v="558"/>
    <x v="308"/>
    <s v="Community Relations &amp; Develop. : US Postage"/>
    <n v="0"/>
  </r>
  <r>
    <x v="0"/>
    <s v="11-140-00-684000-55830"/>
    <x v="0"/>
    <n v="140"/>
    <n v="0"/>
    <x v="9"/>
    <n v="55830"/>
    <x v="1"/>
    <s v="55"/>
    <s v="558"/>
    <x v="309"/>
    <s v="Community Relations &amp; Develop. : Advertising Expense"/>
    <n v="282000"/>
  </r>
  <r>
    <x v="0"/>
    <s v="11-140-00-684000-56400"/>
    <x v="0"/>
    <n v="140"/>
    <n v="0"/>
    <x v="9"/>
    <n v="56400"/>
    <x v="1"/>
    <s v="56"/>
    <s v="564"/>
    <x v="310"/>
    <s v="Community Relations &amp; Develop. : Cap Equip - $200 to $4,999"/>
    <n v="2794"/>
  </r>
  <r>
    <x v="0"/>
    <s v="11-150-00-663000-51210"/>
    <x v="0"/>
    <n v="150"/>
    <n v="0"/>
    <x v="40"/>
    <n v="51210"/>
    <x v="1"/>
    <s v="51"/>
    <s v="512"/>
    <x v="311"/>
    <s v="Research Office : Academic Nonteaching Management"/>
    <n v="148907"/>
  </r>
  <r>
    <x v="0"/>
    <s v="11-150-00-663000-51412"/>
    <x v="0"/>
    <n v="150"/>
    <n v="0"/>
    <x v="40"/>
    <n v="51412"/>
    <x v="1"/>
    <s v="51"/>
    <s v="514"/>
    <x v="312"/>
    <s v="Research Office : Acad Nonteach Special Projects"/>
    <n v="14000"/>
  </r>
  <r>
    <x v="0"/>
    <s v="11-150-00-663000-52105"/>
    <x v="0"/>
    <n v="150"/>
    <n v="0"/>
    <x v="40"/>
    <n v="52105"/>
    <x v="1"/>
    <s v="52"/>
    <s v="521"/>
    <x v="313"/>
    <s v="Research Office : Classified CSEA"/>
    <n v="84633"/>
  </r>
  <r>
    <x v="0"/>
    <s v="11-150-00-663000-52130"/>
    <x v="0"/>
    <n v="150"/>
    <n v="0"/>
    <x v="40"/>
    <n v="52130"/>
    <x v="1"/>
    <s v="52"/>
    <s v="521"/>
    <x v="314"/>
    <s v="Research Office : Classified Management"/>
    <n v="80072.2"/>
  </r>
  <r>
    <x v="0"/>
    <s v="11-150-00-663000-53120"/>
    <x v="0"/>
    <n v="150"/>
    <n v="0"/>
    <x v="40"/>
    <n v="53120"/>
    <x v="1"/>
    <s v="53"/>
    <s v="531"/>
    <x v="315"/>
    <s v="Research Office : STRS Nonteaching"/>
    <n v="26309.48"/>
  </r>
  <r>
    <x v="0"/>
    <s v="11-150-00-663000-53220"/>
    <x v="0"/>
    <n v="150"/>
    <n v="0"/>
    <x v="40"/>
    <n v="53220"/>
    <x v="1"/>
    <s v="53"/>
    <s v="532"/>
    <x v="316"/>
    <s v="Research Office : PERS Nonteaching"/>
    <n v="34093.980000000003"/>
  </r>
  <r>
    <x v="0"/>
    <s v="11-150-00-663000-53320"/>
    <x v="0"/>
    <n v="150"/>
    <n v="0"/>
    <x v="40"/>
    <n v="53320"/>
    <x v="1"/>
    <s v="53"/>
    <s v="533"/>
    <x v="317"/>
    <s v="Research Office : OASDHI (FICA) Nonteaching"/>
    <n v="10211.73"/>
  </r>
  <r>
    <x v="0"/>
    <s v="11-150-00-663000-53340"/>
    <x v="0"/>
    <n v="150"/>
    <n v="0"/>
    <x v="40"/>
    <n v="53340"/>
    <x v="1"/>
    <s v="53"/>
    <s v="533"/>
    <x v="318"/>
    <s v="Research Office : Medicare Nonteaching"/>
    <n v="4750.38"/>
  </r>
  <r>
    <x v="0"/>
    <s v="11-150-00-663000-53420"/>
    <x v="0"/>
    <n v="150"/>
    <n v="0"/>
    <x v="40"/>
    <n v="53420"/>
    <x v="1"/>
    <s v="53"/>
    <s v="534"/>
    <x v="319"/>
    <s v="Research Office : H &amp; W Nonteaching"/>
    <n v="43367.83"/>
  </r>
  <r>
    <x v="0"/>
    <s v="11-150-00-663000-53520"/>
    <x v="0"/>
    <n v="150"/>
    <n v="0"/>
    <x v="40"/>
    <n v="53520"/>
    <x v="1"/>
    <s v="53"/>
    <s v="535"/>
    <x v="320"/>
    <s v="Research Office : SUI Nonteaching"/>
    <n v="163.81"/>
  </r>
  <r>
    <x v="0"/>
    <s v="11-150-00-663000-53620"/>
    <x v="0"/>
    <n v="150"/>
    <n v="0"/>
    <x v="40"/>
    <n v="53620"/>
    <x v="1"/>
    <s v="53"/>
    <s v="536"/>
    <x v="321"/>
    <s v="Research Office : WC Nonteaching"/>
    <n v="6194.78"/>
  </r>
  <r>
    <x v="0"/>
    <s v="11-150-00-663000-53920"/>
    <x v="0"/>
    <n v="150"/>
    <n v="0"/>
    <x v="40"/>
    <n v="53920"/>
    <x v="1"/>
    <s v="53"/>
    <s v="539"/>
    <x v="322"/>
    <s v="Research Office : Other Benefit-Non Teaching"/>
    <n v="2400"/>
  </r>
  <r>
    <x v="0"/>
    <s v="11-150-00-663000-54300"/>
    <x v="0"/>
    <n v="150"/>
    <n v="0"/>
    <x v="40"/>
    <n v="54300"/>
    <x v="1"/>
    <s v="54"/>
    <s v="543"/>
    <x v="323"/>
    <s v="Research Office : Supplies &amp; Materials"/>
    <n v="1000"/>
  </r>
  <r>
    <x v="0"/>
    <s v="11-150-00-663000-55200"/>
    <x v="0"/>
    <n v="150"/>
    <n v="0"/>
    <x v="40"/>
    <n v="55200"/>
    <x v="1"/>
    <s v="55"/>
    <s v="552"/>
    <x v="324"/>
    <s v="Research Office : Travel &amp; Conference"/>
    <n v="0"/>
  </r>
  <r>
    <x v="0"/>
    <s v="11-150-00-663000-55300"/>
    <x v="0"/>
    <n v="150"/>
    <n v="0"/>
    <x v="40"/>
    <n v="55300"/>
    <x v="1"/>
    <s v="55"/>
    <s v="553"/>
    <x v="325"/>
    <s v="Research Office : Memberships"/>
    <n v="700"/>
  </r>
  <r>
    <x v="0"/>
    <s v="11-150-00-663000-55309"/>
    <x v="0"/>
    <n v="150"/>
    <n v="0"/>
    <x v="40"/>
    <n v="55309"/>
    <x v="1"/>
    <s v="55"/>
    <s v="553"/>
    <x v="326"/>
    <s v="Research Office : Subscriptions"/>
    <n v="11000"/>
  </r>
  <r>
    <x v="0"/>
    <s v="11-150-00-663000-55610"/>
    <x v="0"/>
    <n v="150"/>
    <n v="0"/>
    <x v="40"/>
    <n v="55610"/>
    <x v="1"/>
    <s v="55"/>
    <s v="556"/>
    <x v="327"/>
    <s v="Research Office : Software licensing"/>
    <n v="0"/>
  </r>
  <r>
    <x v="0"/>
    <s v="11-150-00-663000-55630"/>
    <x v="0"/>
    <n v="150"/>
    <n v="0"/>
    <x v="40"/>
    <n v="55630"/>
    <x v="1"/>
    <s v="55"/>
    <s v="556"/>
    <x v="328"/>
    <s v="Research Office : Printing &amp; Duplicating - Inhouse"/>
    <n v="65.099999999999994"/>
  </r>
  <r>
    <x v="0"/>
    <s v="11-200-00-590000-53410"/>
    <x v="0"/>
    <n v="200"/>
    <n v="0"/>
    <x v="41"/>
    <n v="53410"/>
    <x v="1"/>
    <s v="53"/>
    <s v="534"/>
    <x v="329"/>
    <s v="Retired Staff - Instructional : H &amp; W Teaching"/>
    <n v="110000"/>
  </r>
  <r>
    <x v="0"/>
    <s v="11-200-00-590000-53411"/>
    <x v="0"/>
    <n v="200"/>
    <n v="0"/>
    <x v="41"/>
    <n v="53411"/>
    <x v="1"/>
    <s v="53"/>
    <s v="534"/>
    <x v="330"/>
    <s v="Retired Staff - Instructional : Medical Benefits Teaching Retirees"/>
    <n v="0"/>
  </r>
  <r>
    <x v="0"/>
    <s v="11-200-00-672020-53420"/>
    <x v="0"/>
    <n v="200"/>
    <n v="0"/>
    <x v="42"/>
    <n v="53420"/>
    <x v="1"/>
    <s v="53"/>
    <s v="534"/>
    <x v="331"/>
    <s v="Fiscal Operations : H &amp; W Nonteaching"/>
    <n v="0"/>
  </r>
  <r>
    <x v="0"/>
    <s v="11-200-00-674000-53420"/>
    <x v="0"/>
    <n v="200"/>
    <n v="0"/>
    <x v="43"/>
    <n v="53420"/>
    <x v="1"/>
    <s v="53"/>
    <s v="534"/>
    <x v="332"/>
    <s v="Retired Staff - Noninstructional : H &amp; W Nonteaching"/>
    <n v="125000"/>
  </r>
  <r>
    <x v="0"/>
    <s v="11-200-00-674000-53421"/>
    <x v="0"/>
    <n v="200"/>
    <n v="0"/>
    <x v="43"/>
    <n v="53421"/>
    <x v="1"/>
    <s v="53"/>
    <s v="534"/>
    <x v="333"/>
    <s v="Retired Staff - Noninstructional : Medical Benefits Nonteaching Retirees"/>
    <n v="0"/>
  </r>
  <r>
    <x v="0"/>
    <s v="11-200-00-675000-55125"/>
    <x v="0"/>
    <n v="200"/>
    <n v="0"/>
    <x v="44"/>
    <n v="55125"/>
    <x v="1"/>
    <s v="55"/>
    <s v="551"/>
    <x v="334"/>
    <s v="Staff Development : Training &amp; Seminars"/>
    <n v="50000"/>
  </r>
  <r>
    <x v="0"/>
    <s v="11-200-00-677000-55821"/>
    <x v="0"/>
    <n v="200"/>
    <n v="0"/>
    <x v="45"/>
    <n v="55821"/>
    <x v="1"/>
    <s v="55"/>
    <s v="558"/>
    <x v="335"/>
    <s v="Purchasing/Receiving : Commercial Parcel Service"/>
    <n v="3245"/>
  </r>
  <r>
    <x v="0"/>
    <s v="11-200-00-677010-55555"/>
    <x v="0"/>
    <n v="200"/>
    <n v="0"/>
    <x v="1"/>
    <n v="55555"/>
    <x v="1"/>
    <s v="55"/>
    <s v="555"/>
    <x v="336"/>
    <s v="COVID-19 : Hotspot Service"/>
    <n v="0"/>
  </r>
  <r>
    <x v="0"/>
    <s v="11-200-00-677100-54300"/>
    <x v="0"/>
    <n v="200"/>
    <n v="0"/>
    <x v="46"/>
    <n v="54300"/>
    <x v="1"/>
    <s v="54"/>
    <s v="543"/>
    <x v="337"/>
    <s v="Campus Security : Supplies &amp; Materials"/>
    <n v="956"/>
  </r>
  <r>
    <x v="0"/>
    <s v="11-200-00-677100-55105"/>
    <x v="0"/>
    <n v="200"/>
    <n v="0"/>
    <x v="46"/>
    <n v="55105"/>
    <x v="1"/>
    <s v="55"/>
    <s v="551"/>
    <x v="338"/>
    <s v="Campus Security : Contract Services"/>
    <n v="630185"/>
  </r>
  <r>
    <x v="0"/>
    <s v="11-200-00-677100-55630"/>
    <x v="0"/>
    <n v="200"/>
    <n v="0"/>
    <x v="46"/>
    <n v="55630"/>
    <x v="1"/>
    <s v="55"/>
    <s v="556"/>
    <x v="339"/>
    <s v="Campus Security : Printing &amp; Duplicating - Inhouse"/>
    <n v="0.6"/>
  </r>
  <r>
    <x v="0"/>
    <s v="11-200-00-695000-55800"/>
    <x v="0"/>
    <n v="200"/>
    <n v="0"/>
    <x v="47"/>
    <n v="55800"/>
    <x v="1"/>
    <s v="55"/>
    <s v="558"/>
    <x v="340"/>
    <s v="Parking Services : Other Costs"/>
    <n v="0"/>
  </r>
  <r>
    <x v="0"/>
    <s v="11-200-04-657000-55530"/>
    <x v="0"/>
    <n v="200"/>
    <n v="4"/>
    <x v="37"/>
    <n v="55530"/>
    <x v="1"/>
    <s v="55"/>
    <s v="555"/>
    <x v="341"/>
    <s v="Utilities : Electric Utility"/>
    <n v="29796.82"/>
  </r>
  <r>
    <x v="0"/>
    <s v="11-200-04-657000-55540"/>
    <x v="0"/>
    <n v="200"/>
    <n v="4"/>
    <x v="37"/>
    <n v="55540"/>
    <x v="1"/>
    <s v="55"/>
    <s v="555"/>
    <x v="342"/>
    <s v="Utilities : Gas Utility"/>
    <n v="1161"/>
  </r>
  <r>
    <x v="0"/>
    <s v="11-210-00-657000-55530"/>
    <x v="0"/>
    <n v="210"/>
    <n v="0"/>
    <x v="37"/>
    <n v="55530"/>
    <x v="1"/>
    <s v="55"/>
    <s v="555"/>
    <x v="343"/>
    <s v="Utilities : Electric Utility"/>
    <n v="845000"/>
  </r>
  <r>
    <x v="0"/>
    <s v="11-210-00-657000-55540"/>
    <x v="0"/>
    <n v="210"/>
    <n v="0"/>
    <x v="37"/>
    <n v="55540"/>
    <x v="1"/>
    <s v="55"/>
    <s v="555"/>
    <x v="344"/>
    <s v="Utilities : Gas Utility"/>
    <n v="155661"/>
  </r>
  <r>
    <x v="0"/>
    <s v="11-210-00-657000-55560"/>
    <x v="0"/>
    <n v="210"/>
    <n v="0"/>
    <x v="37"/>
    <n v="55560"/>
    <x v="1"/>
    <s v="55"/>
    <s v="555"/>
    <x v="345"/>
    <s v="Utilities : Water Service"/>
    <n v="59200"/>
  </r>
  <r>
    <x v="0"/>
    <s v="11-210-00-657000-55570"/>
    <x v="0"/>
    <n v="210"/>
    <n v="0"/>
    <x v="37"/>
    <n v="55570"/>
    <x v="1"/>
    <s v="55"/>
    <s v="555"/>
    <x v="346"/>
    <s v="Utilities : Sewer Service"/>
    <n v="31838"/>
  </r>
  <r>
    <x v="0"/>
    <s v="11-210-00-657000-55575"/>
    <x v="0"/>
    <n v="210"/>
    <n v="0"/>
    <x v="37"/>
    <n v="55575"/>
    <x v="1"/>
    <s v="55"/>
    <s v="555"/>
    <x v="347"/>
    <s v="Utilities : Hazardous Waste Disposal"/>
    <n v="2000"/>
  </r>
  <r>
    <x v="0"/>
    <s v="11-210-00-657000-55580"/>
    <x v="0"/>
    <n v="210"/>
    <n v="0"/>
    <x v="37"/>
    <n v="55580"/>
    <x v="1"/>
    <s v="55"/>
    <s v="555"/>
    <x v="348"/>
    <s v="Utilities : Trash Collection Service"/>
    <n v="50000"/>
  </r>
  <r>
    <x v="0"/>
    <s v="11-210-00-672010-52105"/>
    <x v="0"/>
    <n v="210"/>
    <n v="0"/>
    <x v="48"/>
    <n v="52105"/>
    <x v="1"/>
    <s v="52"/>
    <s v="521"/>
    <x v="349"/>
    <s v="Business Office : Classified CSEA"/>
    <n v="440950.1"/>
  </r>
  <r>
    <x v="0"/>
    <s v="11-210-00-672010-52115"/>
    <x v="0"/>
    <n v="210"/>
    <n v="0"/>
    <x v="48"/>
    <n v="52115"/>
    <x v="1"/>
    <s v="52"/>
    <s v="521"/>
    <x v="350"/>
    <s v="Business Office : Classified Supervisory"/>
    <n v="94895.1"/>
  </r>
  <r>
    <x v="0"/>
    <s v="11-210-00-672010-52120"/>
    <x v="0"/>
    <n v="210"/>
    <n v="0"/>
    <x v="48"/>
    <n v="52120"/>
    <x v="1"/>
    <s v="52"/>
    <s v="521"/>
    <x v="351"/>
    <s v="Business Office : Classified Confidential"/>
    <n v="136446.51999999999"/>
  </r>
  <r>
    <x v="0"/>
    <s v="11-210-00-672010-52130"/>
    <x v="0"/>
    <n v="210"/>
    <n v="0"/>
    <x v="48"/>
    <n v="52130"/>
    <x v="1"/>
    <s v="52"/>
    <s v="521"/>
    <x v="352"/>
    <s v="Business Office : Classified Management"/>
    <n v="295114.38"/>
  </r>
  <r>
    <x v="0"/>
    <s v="11-210-00-672010-52300"/>
    <x v="0"/>
    <n v="210"/>
    <n v="0"/>
    <x v="48"/>
    <n v="52300"/>
    <x v="1"/>
    <s v="52"/>
    <s v="523"/>
    <x v="353"/>
    <s v="Business Office : Classified Overtime"/>
    <n v="10000"/>
  </r>
  <r>
    <x v="0"/>
    <s v="11-210-00-672010-52350"/>
    <x v="0"/>
    <n v="210"/>
    <n v="0"/>
    <x v="48"/>
    <n v="52350"/>
    <x v="1"/>
    <s v="52"/>
    <s v="523"/>
    <x v="354"/>
    <s v="Business Office : Classified Student Dist Non-IA PT"/>
    <n v="2500"/>
  </r>
  <r>
    <x v="0"/>
    <s v="11-210-00-672010-52360"/>
    <x v="0"/>
    <n v="210"/>
    <n v="0"/>
    <x v="48"/>
    <n v="52360"/>
    <x v="1"/>
    <s v="52"/>
    <s v="523"/>
    <x v="355"/>
    <s v="Business Office : Class Nonstu NonIA PT Prof Exp"/>
    <n v="0"/>
  </r>
  <r>
    <x v="0"/>
    <s v="11-210-00-672010-53220"/>
    <x v="0"/>
    <n v="210"/>
    <n v="0"/>
    <x v="48"/>
    <n v="53220"/>
    <x v="1"/>
    <s v="53"/>
    <s v="532"/>
    <x v="356"/>
    <s v="Business Office : PERS Nonteaching"/>
    <n v="200253.07"/>
  </r>
  <r>
    <x v="0"/>
    <s v="11-210-00-672010-53320"/>
    <x v="0"/>
    <n v="210"/>
    <n v="0"/>
    <x v="48"/>
    <n v="53320"/>
    <x v="1"/>
    <s v="53"/>
    <s v="533"/>
    <x v="357"/>
    <s v="Business Office : OASDHI (FICA) Nonteaching"/>
    <n v="61219.19"/>
  </r>
  <r>
    <x v="0"/>
    <s v="11-210-00-672010-53340"/>
    <x v="0"/>
    <n v="210"/>
    <n v="0"/>
    <x v="48"/>
    <n v="53340"/>
    <x v="1"/>
    <s v="53"/>
    <s v="533"/>
    <x v="358"/>
    <s v="Business Office : Medicare Nonteaching"/>
    <n v="14317.39"/>
  </r>
  <r>
    <x v="0"/>
    <s v="11-210-00-672010-53420"/>
    <x v="0"/>
    <n v="210"/>
    <n v="0"/>
    <x v="48"/>
    <n v="53420"/>
    <x v="1"/>
    <s v="53"/>
    <s v="534"/>
    <x v="359"/>
    <s v="Business Office : H &amp; W Nonteaching"/>
    <n v="345875.63"/>
  </r>
  <r>
    <x v="0"/>
    <s v="11-210-00-672010-53520"/>
    <x v="0"/>
    <n v="210"/>
    <n v="0"/>
    <x v="48"/>
    <n v="53520"/>
    <x v="1"/>
    <s v="53"/>
    <s v="535"/>
    <x v="360"/>
    <s v="Business Office : SUI Nonteaching"/>
    <n v="493.7"/>
  </r>
  <r>
    <x v="0"/>
    <s v="11-210-00-672010-53620"/>
    <x v="0"/>
    <n v="210"/>
    <n v="0"/>
    <x v="48"/>
    <n v="53620"/>
    <x v="1"/>
    <s v="53"/>
    <s v="536"/>
    <x v="361"/>
    <s v="Business Office : WC Nonteaching"/>
    <n v="18717.14"/>
  </r>
  <r>
    <x v="0"/>
    <s v="11-210-00-672010-53904"/>
    <x v="0"/>
    <n v="210"/>
    <n v="0"/>
    <x v="48"/>
    <n v="53904"/>
    <x v="1"/>
    <s v="53"/>
    <s v="539"/>
    <x v="362"/>
    <s v="Business Office : Benefits Clearing Account"/>
    <n v="0"/>
  </r>
  <r>
    <x v="0"/>
    <s v="11-210-00-672010-53920"/>
    <x v="0"/>
    <n v="210"/>
    <n v="0"/>
    <x v="48"/>
    <n v="53920"/>
    <x v="1"/>
    <s v="53"/>
    <s v="539"/>
    <x v="363"/>
    <s v="Business Office : Other Benefit-Non Teaching"/>
    <n v="4728"/>
  </r>
  <r>
    <x v="0"/>
    <s v="11-210-00-672010-54300"/>
    <x v="0"/>
    <n v="210"/>
    <n v="0"/>
    <x v="48"/>
    <n v="54300"/>
    <x v="1"/>
    <s v="54"/>
    <s v="543"/>
    <x v="364"/>
    <s v="Business Office : Supplies &amp; Materials"/>
    <n v="8000"/>
  </r>
  <r>
    <x v="0"/>
    <s v="11-210-00-672010-55105"/>
    <x v="0"/>
    <n v="210"/>
    <n v="0"/>
    <x v="48"/>
    <n v="55105"/>
    <x v="1"/>
    <s v="55"/>
    <s v="551"/>
    <x v="365"/>
    <s v="Business Office : Contract Services"/>
    <n v="11000"/>
  </r>
  <r>
    <x v="0"/>
    <s v="11-210-00-672010-55200"/>
    <x v="0"/>
    <n v="210"/>
    <n v="0"/>
    <x v="48"/>
    <n v="55200"/>
    <x v="1"/>
    <s v="55"/>
    <s v="552"/>
    <x v="366"/>
    <s v="Business Office : Travel &amp; Conference"/>
    <n v="-93.67"/>
  </r>
  <r>
    <x v="0"/>
    <s v="11-210-00-672010-55309"/>
    <x v="0"/>
    <n v="210"/>
    <n v="0"/>
    <x v="48"/>
    <n v="55309"/>
    <x v="1"/>
    <s v="55"/>
    <s v="553"/>
    <x v="367"/>
    <s v="Business Office : Subscriptions"/>
    <n v="0"/>
  </r>
  <r>
    <x v="0"/>
    <s v="11-210-00-672010-55630"/>
    <x v="0"/>
    <n v="210"/>
    <n v="0"/>
    <x v="48"/>
    <n v="55630"/>
    <x v="1"/>
    <s v="55"/>
    <s v="556"/>
    <x v="368"/>
    <s v="Business Office : Printing &amp; Duplicating - Inhouse"/>
    <n v="8700"/>
  </r>
  <r>
    <x v="0"/>
    <s v="11-210-00-672010-55800"/>
    <x v="0"/>
    <n v="210"/>
    <n v="0"/>
    <x v="48"/>
    <n v="55800"/>
    <x v="1"/>
    <s v="55"/>
    <s v="558"/>
    <x v="369"/>
    <s v="Business Office : Other Costs"/>
    <n v="1500"/>
  </r>
  <r>
    <x v="0"/>
    <s v="11-210-00-672010-56400"/>
    <x v="0"/>
    <n v="210"/>
    <n v="0"/>
    <x v="48"/>
    <n v="56400"/>
    <x v="1"/>
    <s v="56"/>
    <s v="564"/>
    <x v="370"/>
    <s v="Business Office : Cap Equip - $200 to $4,999"/>
    <n v="2500"/>
  </r>
  <r>
    <x v="0"/>
    <s v="11-210-00-672020-52130"/>
    <x v="0"/>
    <n v="210"/>
    <n v="0"/>
    <x v="42"/>
    <n v="52130"/>
    <x v="1"/>
    <s v="52"/>
    <s v="521"/>
    <x v="371"/>
    <s v="Fiscal Operations : Classified Management"/>
    <n v="120688"/>
  </r>
  <r>
    <x v="0"/>
    <s v="11-210-00-672020-53220"/>
    <x v="0"/>
    <n v="210"/>
    <n v="0"/>
    <x v="42"/>
    <n v="53220"/>
    <x v="1"/>
    <s v="53"/>
    <s v="532"/>
    <x v="372"/>
    <s v="Fiscal Operations : PERS Nonteaching"/>
    <n v="24982.42"/>
  </r>
  <r>
    <x v="0"/>
    <s v="11-210-00-672020-53320"/>
    <x v="0"/>
    <n v="210"/>
    <n v="0"/>
    <x v="42"/>
    <n v="53320"/>
    <x v="1"/>
    <s v="53"/>
    <s v="533"/>
    <x v="373"/>
    <s v="Fiscal Operations : OASDHI (FICA) Nonteaching"/>
    <n v="7482.66"/>
  </r>
  <r>
    <x v="0"/>
    <s v="11-210-00-672020-53340"/>
    <x v="0"/>
    <n v="210"/>
    <n v="0"/>
    <x v="42"/>
    <n v="53340"/>
    <x v="1"/>
    <s v="53"/>
    <s v="533"/>
    <x v="374"/>
    <s v="Fiscal Operations : Medicare Nonteaching"/>
    <n v="1749.98"/>
  </r>
  <r>
    <x v="0"/>
    <s v="11-210-00-672020-53420"/>
    <x v="0"/>
    <n v="210"/>
    <n v="0"/>
    <x v="42"/>
    <n v="53420"/>
    <x v="1"/>
    <s v="53"/>
    <s v="534"/>
    <x v="375"/>
    <s v="Fiscal Operations : H &amp; W Nonteaching"/>
    <n v="33121.43"/>
  </r>
  <r>
    <x v="0"/>
    <s v="11-210-00-672020-53501"/>
    <x v="0"/>
    <n v="210"/>
    <n v="0"/>
    <x v="42"/>
    <n v="53501"/>
    <x v="1"/>
    <s v="53"/>
    <s v="535"/>
    <x v="376"/>
    <s v="Fiscal Operations : Unemployment Insurance Local Experience Charge"/>
    <n v="0"/>
  </r>
  <r>
    <x v="0"/>
    <s v="11-210-00-672020-53520"/>
    <x v="0"/>
    <n v="210"/>
    <n v="0"/>
    <x v="42"/>
    <n v="53520"/>
    <x v="1"/>
    <s v="53"/>
    <s v="535"/>
    <x v="377"/>
    <s v="Fiscal Operations : SUI Nonteaching"/>
    <n v="60.34"/>
  </r>
  <r>
    <x v="0"/>
    <s v="11-210-00-672020-53620"/>
    <x v="0"/>
    <n v="210"/>
    <n v="0"/>
    <x v="42"/>
    <n v="53620"/>
    <x v="1"/>
    <s v="53"/>
    <s v="536"/>
    <x v="378"/>
    <s v="Fiscal Operations : WC Nonteaching"/>
    <n v="2281.9699999999998"/>
  </r>
  <r>
    <x v="0"/>
    <s v="11-210-00-672020-53900"/>
    <x v="0"/>
    <n v="210"/>
    <n v="0"/>
    <x v="42"/>
    <n v="53900"/>
    <x v="1"/>
    <s v="53"/>
    <s v="539"/>
    <x v="379"/>
    <s v="Fiscal Operations : Retiree Benefits Other"/>
    <n v="0"/>
  </r>
  <r>
    <x v="0"/>
    <s v="11-210-00-672020-53904"/>
    <x v="0"/>
    <n v="210"/>
    <n v="0"/>
    <x v="42"/>
    <n v="53904"/>
    <x v="1"/>
    <s v="53"/>
    <s v="539"/>
    <x v="380"/>
    <s v="Fiscal Operations : Benefits Clearing Account"/>
    <n v="0"/>
  </r>
  <r>
    <x v="0"/>
    <s v="11-210-00-672020-54300"/>
    <x v="0"/>
    <n v="210"/>
    <n v="0"/>
    <x v="42"/>
    <n v="54300"/>
    <x v="1"/>
    <s v="54"/>
    <s v="543"/>
    <x v="381"/>
    <s v="Fiscal Operations : Supplies &amp; Materials"/>
    <n v="2000"/>
  </r>
  <r>
    <x v="0"/>
    <s v="11-210-00-672020-55105"/>
    <x v="0"/>
    <n v="210"/>
    <n v="0"/>
    <x v="42"/>
    <n v="55105"/>
    <x v="1"/>
    <s v="55"/>
    <s v="551"/>
    <x v="382"/>
    <s v="Fiscal Operations : Contract Services"/>
    <n v="45000"/>
  </r>
  <r>
    <x v="0"/>
    <s v="11-210-00-672020-55125"/>
    <x v="0"/>
    <n v="210"/>
    <n v="0"/>
    <x v="42"/>
    <n v="55125"/>
    <x v="1"/>
    <s v="55"/>
    <s v="551"/>
    <x v="383"/>
    <s v="Fiscal Operations : Training &amp; Seminars"/>
    <n v="0"/>
  </r>
  <r>
    <x v="0"/>
    <s v="11-210-00-672020-55300"/>
    <x v="0"/>
    <n v="210"/>
    <n v="0"/>
    <x v="42"/>
    <n v="55300"/>
    <x v="1"/>
    <s v="55"/>
    <s v="553"/>
    <x v="384"/>
    <s v="Fiscal Operations : Memberships"/>
    <n v="10500"/>
  </r>
  <r>
    <x v="0"/>
    <s v="11-210-00-672020-55400"/>
    <x v="0"/>
    <n v="210"/>
    <n v="0"/>
    <x v="42"/>
    <n v="55400"/>
    <x v="1"/>
    <s v="55"/>
    <s v="554"/>
    <x v="385"/>
    <s v="Fiscal Operations : Insurance"/>
    <n v="315430"/>
  </r>
  <r>
    <x v="0"/>
    <s v="11-210-00-672020-55550"/>
    <x v="0"/>
    <n v="210"/>
    <n v="0"/>
    <x v="42"/>
    <n v="55550"/>
    <x v="1"/>
    <s v="55"/>
    <s v="555"/>
    <x v="386"/>
    <s v="Fiscal Operations : Telephone Service"/>
    <n v="0"/>
  </r>
  <r>
    <x v="0"/>
    <s v="11-210-00-672020-55600"/>
    <x v="0"/>
    <n v="210"/>
    <n v="0"/>
    <x v="42"/>
    <n v="55600"/>
    <x v="1"/>
    <s v="55"/>
    <s v="556"/>
    <x v="387"/>
    <s v="Fiscal Operations : Rents &amp; Leases"/>
    <n v="6940"/>
  </r>
  <r>
    <x v="0"/>
    <s v="11-210-00-672020-55635"/>
    <x v="0"/>
    <n v="210"/>
    <n v="0"/>
    <x v="42"/>
    <n v="55635"/>
    <x v="1"/>
    <s v="55"/>
    <s v="556"/>
    <x v="388"/>
    <s v="Fiscal Operations : Printing Services - Vendor"/>
    <n v="20000"/>
  </r>
  <r>
    <x v="0"/>
    <s v="11-210-00-672020-55650"/>
    <x v="0"/>
    <n v="210"/>
    <n v="0"/>
    <x v="42"/>
    <n v="55650"/>
    <x v="1"/>
    <s v="55"/>
    <s v="556"/>
    <x v="389"/>
    <s v="Fiscal Operations : Maintenance Agreement"/>
    <n v="12000"/>
  </r>
  <r>
    <x v="0"/>
    <s v="11-210-00-672020-55663"/>
    <x v="0"/>
    <n v="210"/>
    <n v="0"/>
    <x v="42"/>
    <n v="55663"/>
    <x v="1"/>
    <s v="55"/>
    <s v="556"/>
    <x v="390"/>
    <s v="Fiscal Operations : Bank Fees"/>
    <n v="15000"/>
  </r>
  <r>
    <x v="0"/>
    <s v="11-210-00-672020-55700"/>
    <x v="0"/>
    <n v="210"/>
    <n v="0"/>
    <x v="42"/>
    <n v="55700"/>
    <x v="1"/>
    <s v="55"/>
    <s v="557"/>
    <x v="391"/>
    <s v="Fiscal Operations : Legal &amp; Audit Expenses"/>
    <n v="206665"/>
  </r>
  <r>
    <x v="0"/>
    <s v="11-210-00-672020-55800"/>
    <x v="0"/>
    <n v="210"/>
    <n v="0"/>
    <x v="42"/>
    <n v="55800"/>
    <x v="1"/>
    <s v="55"/>
    <s v="558"/>
    <x v="392"/>
    <s v="Fiscal Operations : Other Costs"/>
    <n v="359964.15"/>
  </r>
  <r>
    <x v="0"/>
    <s v="11-210-00-672020-55820"/>
    <x v="0"/>
    <n v="210"/>
    <n v="0"/>
    <x v="42"/>
    <n v="55820"/>
    <x v="1"/>
    <s v="55"/>
    <s v="558"/>
    <x v="393"/>
    <s v="Fiscal Operations : US Postage"/>
    <n v="50000"/>
  </r>
  <r>
    <x v="0"/>
    <s v="11-210-00-672020-55835"/>
    <x v="0"/>
    <n v="210"/>
    <n v="0"/>
    <x v="42"/>
    <n v="55835"/>
    <x v="1"/>
    <s v="55"/>
    <s v="558"/>
    <x v="394"/>
    <s v="Fiscal Operations : Classified Newspaper Ads"/>
    <n v="0"/>
  </r>
  <r>
    <x v="0"/>
    <s v="11-210-00-672020-55861"/>
    <x v="0"/>
    <n v="210"/>
    <n v="0"/>
    <x v="42"/>
    <n v="55861"/>
    <x v="1"/>
    <s v="55"/>
    <s v="558"/>
    <x v="395"/>
    <s v="Fiscal Operations : Credit Card Fees "/>
    <n v="50000"/>
  </r>
  <r>
    <x v="0"/>
    <s v="11-210-00-672020-55862"/>
    <x v="0"/>
    <n v="210"/>
    <n v="0"/>
    <x v="42"/>
    <n v="55862"/>
    <x v="1"/>
    <s v="55"/>
    <s v="558"/>
    <x v="396"/>
    <s v="Fiscal Operations : Credit Card Holding"/>
    <n v="0"/>
  </r>
  <r>
    <x v="0"/>
    <s v="11-210-00-672020-57300"/>
    <x v="0"/>
    <n v="210"/>
    <n v="0"/>
    <x v="42"/>
    <n v="57300"/>
    <x v="1"/>
    <s v="57"/>
    <s v="573"/>
    <x v="397"/>
    <s v="Fiscal Operations : Interfund Transfer"/>
    <n v="0"/>
  </r>
  <r>
    <x v="0"/>
    <s v="11-210-00-672020-57350"/>
    <x v="0"/>
    <n v="210"/>
    <n v="0"/>
    <x v="42"/>
    <n v="57350"/>
    <x v="1"/>
    <s v="57"/>
    <s v="573"/>
    <x v="398"/>
    <s v="Fiscal Operations : Tsf Indirect Costs-Interfund"/>
    <n v="-500000"/>
  </r>
  <r>
    <x v="0"/>
    <s v="11-210-00-672020-57351"/>
    <x v="0"/>
    <n v="210"/>
    <n v="0"/>
    <x v="42"/>
    <n v="57351"/>
    <x v="1"/>
    <s v="57"/>
    <s v="573"/>
    <x v="399"/>
    <s v="Fiscal Operations : Other Admin Costs"/>
    <n v="0"/>
  </r>
  <r>
    <x v="0"/>
    <s v="11-210-00-672040-52105"/>
    <x v="0"/>
    <n v="210"/>
    <n v="0"/>
    <x v="49"/>
    <n v="52105"/>
    <x v="1"/>
    <s v="52"/>
    <s v="521"/>
    <x v="400"/>
    <s v="Grants Administration : Classified CSEA"/>
    <n v="126438"/>
  </r>
  <r>
    <x v="0"/>
    <s v="11-210-00-672040-52130"/>
    <x v="0"/>
    <n v="210"/>
    <n v="0"/>
    <x v="49"/>
    <n v="52130"/>
    <x v="1"/>
    <s v="52"/>
    <s v="521"/>
    <x v="401"/>
    <s v="Grants Administration : Classified Management"/>
    <n v="10493.5"/>
  </r>
  <r>
    <x v="0"/>
    <s v="11-210-00-672040-52300"/>
    <x v="0"/>
    <n v="210"/>
    <n v="0"/>
    <x v="49"/>
    <n v="52300"/>
    <x v="1"/>
    <s v="52"/>
    <s v="523"/>
    <x v="402"/>
    <s v="Grants Administration : Classified Overtime"/>
    <n v="0"/>
  </r>
  <r>
    <x v="0"/>
    <s v="11-210-00-672040-53220"/>
    <x v="0"/>
    <n v="210"/>
    <n v="0"/>
    <x v="49"/>
    <n v="53220"/>
    <x v="1"/>
    <s v="53"/>
    <s v="532"/>
    <x v="403"/>
    <s v="Grants Administration : PERS Nonteaching"/>
    <n v="28344.82"/>
  </r>
  <r>
    <x v="0"/>
    <s v="11-210-00-672040-53320"/>
    <x v="0"/>
    <n v="210"/>
    <n v="0"/>
    <x v="49"/>
    <n v="53320"/>
    <x v="1"/>
    <s v="53"/>
    <s v="533"/>
    <x v="404"/>
    <s v="Grants Administration : OASDHI (FICA) Nonteaching"/>
    <n v="8489.76"/>
  </r>
  <r>
    <x v="0"/>
    <s v="11-210-00-672040-53340"/>
    <x v="0"/>
    <n v="210"/>
    <n v="0"/>
    <x v="49"/>
    <n v="53340"/>
    <x v="1"/>
    <s v="53"/>
    <s v="533"/>
    <x v="405"/>
    <s v="Grants Administration : Medicare Nonteaching"/>
    <n v="1985.51"/>
  </r>
  <r>
    <x v="0"/>
    <s v="11-210-00-672040-53420"/>
    <x v="0"/>
    <n v="210"/>
    <n v="0"/>
    <x v="49"/>
    <n v="53420"/>
    <x v="1"/>
    <s v="53"/>
    <s v="534"/>
    <x v="406"/>
    <s v="Grants Administration : H &amp; W Nonteaching"/>
    <n v="46611.32"/>
  </r>
  <r>
    <x v="0"/>
    <s v="11-210-00-672040-53520"/>
    <x v="0"/>
    <n v="210"/>
    <n v="0"/>
    <x v="49"/>
    <n v="53520"/>
    <x v="1"/>
    <s v="53"/>
    <s v="535"/>
    <x v="407"/>
    <s v="Grants Administration : SUI Nonteaching"/>
    <n v="68.47"/>
  </r>
  <r>
    <x v="0"/>
    <s v="11-210-00-672040-53620"/>
    <x v="0"/>
    <n v="210"/>
    <n v="0"/>
    <x v="49"/>
    <n v="53620"/>
    <x v="1"/>
    <s v="53"/>
    <s v="536"/>
    <x v="408"/>
    <s v="Grants Administration : WC Nonteaching"/>
    <n v="2589.1"/>
  </r>
  <r>
    <x v="0"/>
    <s v="11-210-00-672040-53920"/>
    <x v="0"/>
    <n v="210"/>
    <n v="0"/>
    <x v="49"/>
    <n v="53920"/>
    <x v="1"/>
    <s v="53"/>
    <s v="539"/>
    <x v="409"/>
    <s v="Grants Administration : Other Benefit-Non Teaching"/>
    <n v="0"/>
  </r>
  <r>
    <x v="0"/>
    <s v="11-210-00-672040-55630"/>
    <x v="0"/>
    <n v="210"/>
    <n v="0"/>
    <x v="49"/>
    <n v="55630"/>
    <x v="1"/>
    <s v="55"/>
    <s v="556"/>
    <x v="410"/>
    <s v="Grants Administration : Printing &amp; Duplicating - Inhouse"/>
    <n v="500"/>
  </r>
  <r>
    <x v="0"/>
    <s v="11-210-00-677000-52105"/>
    <x v="0"/>
    <n v="210"/>
    <n v="0"/>
    <x v="45"/>
    <n v="52105"/>
    <x v="1"/>
    <s v="52"/>
    <s v="521"/>
    <x v="411"/>
    <s v="Purchasing/Receiving : Classified CSEA"/>
    <n v="59443.88"/>
  </r>
  <r>
    <x v="0"/>
    <s v="11-210-00-677000-53220"/>
    <x v="0"/>
    <n v="210"/>
    <n v="0"/>
    <x v="45"/>
    <n v="53220"/>
    <x v="1"/>
    <s v="53"/>
    <s v="532"/>
    <x v="412"/>
    <s v="Purchasing/Receiving : PERS Nonteaching"/>
    <n v="12304.88"/>
  </r>
  <r>
    <x v="0"/>
    <s v="11-210-00-677000-53320"/>
    <x v="0"/>
    <n v="210"/>
    <n v="0"/>
    <x v="45"/>
    <n v="53320"/>
    <x v="1"/>
    <s v="53"/>
    <s v="533"/>
    <x v="413"/>
    <s v="Purchasing/Receiving : OASDHI (FICA) Nonteaching"/>
    <n v="3685.52"/>
  </r>
  <r>
    <x v="0"/>
    <s v="11-210-00-677000-53340"/>
    <x v="0"/>
    <n v="210"/>
    <n v="0"/>
    <x v="45"/>
    <n v="53340"/>
    <x v="1"/>
    <s v="53"/>
    <s v="533"/>
    <x v="414"/>
    <s v="Purchasing/Receiving : Medicare Nonteaching"/>
    <n v="861.94"/>
  </r>
  <r>
    <x v="0"/>
    <s v="11-210-00-677000-53420"/>
    <x v="0"/>
    <n v="210"/>
    <n v="0"/>
    <x v="45"/>
    <n v="53420"/>
    <x v="1"/>
    <s v="53"/>
    <s v="534"/>
    <x v="415"/>
    <s v="Purchasing/Receiving : H &amp; W Nonteaching"/>
    <n v="25240.73"/>
  </r>
  <r>
    <x v="0"/>
    <s v="11-210-00-677000-53520"/>
    <x v="0"/>
    <n v="210"/>
    <n v="0"/>
    <x v="45"/>
    <n v="53520"/>
    <x v="1"/>
    <s v="53"/>
    <s v="535"/>
    <x v="416"/>
    <s v="Purchasing/Receiving : SUI Nonteaching"/>
    <n v="29.72"/>
  </r>
  <r>
    <x v="0"/>
    <s v="11-210-00-677000-53620"/>
    <x v="0"/>
    <n v="210"/>
    <n v="0"/>
    <x v="45"/>
    <n v="53620"/>
    <x v="1"/>
    <s v="53"/>
    <s v="536"/>
    <x v="417"/>
    <s v="Purchasing/Receiving : WC Nonteaching"/>
    <n v="1123.96"/>
  </r>
  <r>
    <x v="0"/>
    <s v="11-210-00-677000-55650"/>
    <x v="0"/>
    <n v="210"/>
    <n v="0"/>
    <x v="45"/>
    <n v="55650"/>
    <x v="1"/>
    <s v="55"/>
    <s v="556"/>
    <x v="418"/>
    <s v="Purchasing/Receiving : Maintenance Agreement"/>
    <n v="35968"/>
  </r>
  <r>
    <x v="0"/>
    <s v="11-210-00-677020-54300"/>
    <x v="0"/>
    <n v="210"/>
    <n v="0"/>
    <x v="50"/>
    <n v="54300"/>
    <x v="1"/>
    <s v="54"/>
    <s v="543"/>
    <x v="419"/>
    <s v="Emergency Management : Supplies &amp; Materials"/>
    <n v="5000"/>
  </r>
  <r>
    <x v="0"/>
    <s v="11-210-00-677020-55200"/>
    <x v="0"/>
    <n v="210"/>
    <n v="0"/>
    <x v="50"/>
    <n v="55200"/>
    <x v="1"/>
    <s v="55"/>
    <s v="552"/>
    <x v="420"/>
    <s v="Emergency Management : Travel &amp; Conference"/>
    <n v="1000"/>
  </r>
  <r>
    <x v="0"/>
    <s v="11-210-00-677020-55300"/>
    <x v="0"/>
    <n v="210"/>
    <n v="0"/>
    <x v="50"/>
    <n v="55300"/>
    <x v="1"/>
    <s v="55"/>
    <s v="553"/>
    <x v="421"/>
    <s v="Emergency Management : Memberships"/>
    <n v="500"/>
  </r>
  <r>
    <x v="0"/>
    <s v="11-210-00-677020-55550"/>
    <x v="0"/>
    <n v="210"/>
    <n v="0"/>
    <x v="50"/>
    <n v="55550"/>
    <x v="1"/>
    <s v="55"/>
    <s v="555"/>
    <x v="422"/>
    <s v="Emergency Management : Telephone Service"/>
    <n v="500"/>
  </r>
  <r>
    <x v="0"/>
    <s v="11-210-00-677020-55650"/>
    <x v="0"/>
    <n v="210"/>
    <n v="0"/>
    <x v="50"/>
    <n v="55650"/>
    <x v="1"/>
    <s v="55"/>
    <s v="556"/>
    <x v="423"/>
    <s v="Emergency Management : Maintenance Agreement"/>
    <n v="1700"/>
  </r>
  <r>
    <x v="0"/>
    <s v="11-210-00-695000-55105"/>
    <x v="0"/>
    <n v="210"/>
    <n v="0"/>
    <x v="47"/>
    <n v="55105"/>
    <x v="1"/>
    <s v="55"/>
    <s v="551"/>
    <x v="424"/>
    <s v="Parking Services : Contract Services"/>
    <n v="0"/>
  </r>
  <r>
    <x v="0"/>
    <s v="11-210-00-732000-57510"/>
    <x v="0"/>
    <n v="210"/>
    <n v="0"/>
    <x v="51"/>
    <n v="57510"/>
    <x v="1"/>
    <s v="57"/>
    <s v="575"/>
    <x v="425"/>
    <s v="Student Aid : Student Internship"/>
    <n v="1000"/>
  </r>
  <r>
    <x v="0"/>
    <s v="11-210-05-657000-55530"/>
    <x v="0"/>
    <n v="210"/>
    <n v="5"/>
    <x v="37"/>
    <n v="55530"/>
    <x v="1"/>
    <s v="55"/>
    <s v="555"/>
    <x v="426"/>
    <s v="Utilities : Electric Utility"/>
    <n v="0"/>
  </r>
  <r>
    <x v="0"/>
    <s v="11-215-00-677000-55630"/>
    <x v="0"/>
    <n v="215"/>
    <n v="0"/>
    <x v="45"/>
    <n v="55630"/>
    <x v="1"/>
    <s v="55"/>
    <s v="556"/>
    <x v="427"/>
    <s v="Purchasing/Receiving : Printing &amp; Duplicating - Inhouse"/>
    <n v="0"/>
  </r>
  <r>
    <x v="0"/>
    <s v="11-220-00-651000-52125"/>
    <x v="0"/>
    <n v="220"/>
    <n v="0"/>
    <x v="52"/>
    <n v="52125"/>
    <x v="1"/>
    <s v="52"/>
    <s v="521"/>
    <x v="428"/>
    <s v="Building Maintenance &amp; Repairs : Classified L-39"/>
    <n v="462199.55"/>
  </r>
  <r>
    <x v="0"/>
    <s v="11-220-00-651000-52300"/>
    <x v="0"/>
    <n v="220"/>
    <n v="0"/>
    <x v="52"/>
    <n v="52300"/>
    <x v="1"/>
    <s v="52"/>
    <s v="523"/>
    <x v="429"/>
    <s v="Building Maintenance &amp; Repairs : Classified Overtime"/>
    <n v="11500"/>
  </r>
  <r>
    <x v="0"/>
    <s v="11-220-00-651000-53220"/>
    <x v="0"/>
    <n v="220"/>
    <n v="0"/>
    <x v="52"/>
    <n v="53220"/>
    <x v="1"/>
    <s v="53"/>
    <s v="532"/>
    <x v="430"/>
    <s v="Building Maintenance &amp; Repairs : PERS Nonteaching"/>
    <n v="95675.31"/>
  </r>
  <r>
    <x v="0"/>
    <s v="11-220-00-651000-53320"/>
    <x v="0"/>
    <n v="220"/>
    <n v="0"/>
    <x v="52"/>
    <n v="53320"/>
    <x v="1"/>
    <s v="53"/>
    <s v="533"/>
    <x v="431"/>
    <s v="Building Maintenance &amp; Repairs : OASDHI (FICA) Nonteaching"/>
    <n v="29369.37"/>
  </r>
  <r>
    <x v="0"/>
    <s v="11-220-00-651000-53340"/>
    <x v="0"/>
    <n v="220"/>
    <n v="0"/>
    <x v="52"/>
    <n v="53340"/>
    <x v="1"/>
    <s v="53"/>
    <s v="533"/>
    <x v="432"/>
    <s v="Building Maintenance &amp; Repairs : Medicare Nonteaching"/>
    <n v="6868.64"/>
  </r>
  <r>
    <x v="0"/>
    <s v="11-220-00-651000-53420"/>
    <x v="0"/>
    <n v="220"/>
    <n v="0"/>
    <x v="52"/>
    <n v="53420"/>
    <x v="1"/>
    <s v="53"/>
    <s v="534"/>
    <x v="433"/>
    <s v="Building Maintenance &amp; Repairs : H &amp; W Nonteaching"/>
    <n v="183438.59"/>
  </r>
  <r>
    <x v="0"/>
    <s v="11-220-00-651000-53520"/>
    <x v="0"/>
    <n v="220"/>
    <n v="0"/>
    <x v="52"/>
    <n v="53520"/>
    <x v="1"/>
    <s v="53"/>
    <s v="535"/>
    <x v="434"/>
    <s v="Building Maintenance &amp; Repairs : SUI Nonteaching"/>
    <n v="236.85"/>
  </r>
  <r>
    <x v="0"/>
    <s v="11-220-00-651000-53620"/>
    <x v="0"/>
    <n v="220"/>
    <n v="0"/>
    <x v="52"/>
    <n v="53620"/>
    <x v="1"/>
    <s v="53"/>
    <s v="536"/>
    <x v="435"/>
    <s v="Building Maintenance &amp; Repairs : WC Nonteaching"/>
    <n v="8956.7199999999993"/>
  </r>
  <r>
    <x v="0"/>
    <s v="11-220-00-651000-53920"/>
    <x v="0"/>
    <n v="220"/>
    <n v="0"/>
    <x v="52"/>
    <n v="53920"/>
    <x v="1"/>
    <s v="53"/>
    <s v="539"/>
    <x v="436"/>
    <s v="Building Maintenance &amp; Repairs : Other Benefit-Non Teaching"/>
    <n v="4800"/>
  </r>
  <r>
    <x v="0"/>
    <s v="11-220-00-651000-54330"/>
    <x v="0"/>
    <n v="220"/>
    <n v="0"/>
    <x v="52"/>
    <n v="54330"/>
    <x v="1"/>
    <s v="54"/>
    <s v="543"/>
    <x v="437"/>
    <s v="Building Maintenance &amp; Repairs : M &amp; O General Supplies"/>
    <n v="14000"/>
  </r>
  <r>
    <x v="0"/>
    <s v="11-220-00-651000-54335"/>
    <x v="0"/>
    <n v="220"/>
    <n v="0"/>
    <x v="52"/>
    <n v="54335"/>
    <x v="1"/>
    <s v="54"/>
    <s v="543"/>
    <x v="438"/>
    <s v="Building Maintenance &amp; Repairs : M &amp; O Stnry Equipment Parts"/>
    <n v="24800"/>
  </r>
  <r>
    <x v="0"/>
    <s v="11-220-00-651000-54337"/>
    <x v="0"/>
    <n v="220"/>
    <n v="0"/>
    <x v="52"/>
    <n v="54337"/>
    <x v="1"/>
    <s v="54"/>
    <s v="543"/>
    <x v="439"/>
    <s v="Building Maintenance &amp; Repairs : M &amp; O Electrical Supplies"/>
    <n v="14200"/>
  </r>
  <r>
    <x v="0"/>
    <s v="11-220-00-651000-54338"/>
    <x v="0"/>
    <n v="220"/>
    <n v="0"/>
    <x v="52"/>
    <n v="54338"/>
    <x v="1"/>
    <s v="54"/>
    <s v="543"/>
    <x v="440"/>
    <s v="Building Maintenance &amp; Repairs : M &amp; O Plumbing Supplies"/>
    <n v="4900"/>
  </r>
  <r>
    <x v="0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28"/>
  </r>
  <r>
    <x v="0"/>
    <s v="11-220-00-651000-55650"/>
    <x v="0"/>
    <n v="220"/>
    <n v="0"/>
    <x v="52"/>
    <n v="55650"/>
    <x v="1"/>
    <s v="55"/>
    <s v="556"/>
    <x v="442"/>
    <s v="Building Maintenance &amp; Repairs : Maintenance Agreement"/>
    <n v="91800"/>
  </r>
  <r>
    <x v="0"/>
    <s v="11-220-00-651000-55651"/>
    <x v="0"/>
    <n v="220"/>
    <n v="0"/>
    <x v="52"/>
    <n v="55651"/>
    <x v="1"/>
    <s v="55"/>
    <s v="556"/>
    <x v="443"/>
    <s v="Building Maintenance &amp; Repairs : Equipment Repairs"/>
    <n v="82653"/>
  </r>
  <r>
    <x v="0"/>
    <s v="11-220-00-651000-56400"/>
    <x v="0"/>
    <n v="220"/>
    <n v="0"/>
    <x v="52"/>
    <n v="56400"/>
    <x v="1"/>
    <s v="56"/>
    <s v="564"/>
    <x v="444"/>
    <s v="Building Maintenance &amp; Repairs : Cap Equip - $200 to $4,999"/>
    <n v="1367"/>
  </r>
  <r>
    <x v="0"/>
    <s v="11-220-00-651000-56405"/>
    <x v="0"/>
    <n v="220"/>
    <n v="0"/>
    <x v="52"/>
    <n v="56405"/>
    <x v="1"/>
    <s v="56"/>
    <s v="564"/>
    <x v="445"/>
    <s v="Building Maintenance &amp; Repairs : Cap Equip - $5,000 and Over"/>
    <n v="5810"/>
  </r>
  <r>
    <x v="0"/>
    <s v="11-220-00-653000-52115"/>
    <x v="0"/>
    <n v="220"/>
    <n v="0"/>
    <x v="53"/>
    <n v="52115"/>
    <x v="1"/>
    <s v="52"/>
    <s v="521"/>
    <x v="446"/>
    <s v="Custodial Services : Classified Supervisory"/>
    <n v="50244"/>
  </r>
  <r>
    <x v="0"/>
    <s v="11-220-00-653000-52125"/>
    <x v="0"/>
    <n v="220"/>
    <n v="0"/>
    <x v="53"/>
    <n v="52125"/>
    <x v="1"/>
    <s v="52"/>
    <s v="521"/>
    <x v="447"/>
    <s v="Custodial Services : Classified L-39"/>
    <n v="838844.6"/>
  </r>
  <r>
    <x v="0"/>
    <s v="11-220-00-653000-52300"/>
    <x v="0"/>
    <n v="220"/>
    <n v="0"/>
    <x v="53"/>
    <n v="52300"/>
    <x v="1"/>
    <s v="52"/>
    <s v="523"/>
    <x v="448"/>
    <s v="Custodial Services : Classified Overtime"/>
    <n v="0"/>
  </r>
  <r>
    <x v="0"/>
    <s v="11-220-00-653000-53220"/>
    <x v="0"/>
    <n v="220"/>
    <n v="0"/>
    <x v="53"/>
    <n v="53220"/>
    <x v="1"/>
    <s v="53"/>
    <s v="532"/>
    <x v="449"/>
    <s v="Custodial Services : PERS Nonteaching"/>
    <n v="184041.36"/>
  </r>
  <r>
    <x v="0"/>
    <s v="11-220-00-653000-53320"/>
    <x v="0"/>
    <n v="220"/>
    <n v="0"/>
    <x v="53"/>
    <n v="53320"/>
    <x v="1"/>
    <s v="53"/>
    <s v="533"/>
    <x v="450"/>
    <s v="Custodial Services : OASDHI (FICA) Nonteaching"/>
    <n v="55123.519999999997"/>
  </r>
  <r>
    <x v="0"/>
    <s v="11-220-00-653000-53340"/>
    <x v="0"/>
    <n v="220"/>
    <n v="0"/>
    <x v="53"/>
    <n v="53340"/>
    <x v="1"/>
    <s v="53"/>
    <s v="533"/>
    <x v="451"/>
    <s v="Custodial Services : Medicare Nonteaching"/>
    <n v="12891.8"/>
  </r>
  <r>
    <x v="0"/>
    <s v="11-220-00-653000-53420"/>
    <x v="0"/>
    <n v="220"/>
    <n v="0"/>
    <x v="53"/>
    <n v="53420"/>
    <x v="1"/>
    <s v="53"/>
    <s v="534"/>
    <x v="452"/>
    <s v="Custodial Services : H &amp; W Nonteaching"/>
    <n v="435156.19"/>
  </r>
  <r>
    <x v="0"/>
    <s v="11-220-00-653000-53520"/>
    <x v="0"/>
    <n v="220"/>
    <n v="0"/>
    <x v="53"/>
    <n v="53520"/>
    <x v="1"/>
    <s v="53"/>
    <s v="535"/>
    <x v="453"/>
    <s v="Custodial Services : SUI Nonteaching"/>
    <n v="444.54"/>
  </r>
  <r>
    <x v="0"/>
    <s v="11-220-00-653000-53620"/>
    <x v="0"/>
    <n v="220"/>
    <n v="0"/>
    <x v="53"/>
    <n v="53620"/>
    <x v="1"/>
    <s v="53"/>
    <s v="536"/>
    <x v="454"/>
    <s v="Custodial Services : WC Nonteaching"/>
    <n v="16810.88"/>
  </r>
  <r>
    <x v="0"/>
    <s v="11-220-00-653000-53920"/>
    <x v="0"/>
    <n v="220"/>
    <n v="0"/>
    <x v="53"/>
    <n v="53920"/>
    <x v="1"/>
    <s v="53"/>
    <s v="539"/>
    <x v="455"/>
    <s v="Custodial Services : Other Benefit-Non Teaching"/>
    <n v="4200"/>
  </r>
  <r>
    <x v="0"/>
    <s v="11-220-00-653000-54300"/>
    <x v="0"/>
    <n v="220"/>
    <n v="0"/>
    <x v="53"/>
    <n v="54300"/>
    <x v="1"/>
    <s v="54"/>
    <s v="543"/>
    <x v="456"/>
    <s v="Custodial Services : Supplies &amp; Materials"/>
    <n v="74190"/>
  </r>
  <r>
    <x v="0"/>
    <s v="11-220-00-653000-55630"/>
    <x v="0"/>
    <n v="220"/>
    <n v="0"/>
    <x v="53"/>
    <n v="55630"/>
    <x v="1"/>
    <s v="55"/>
    <s v="556"/>
    <x v="457"/>
    <s v="Custodial Services : Printing &amp; Duplicating - Inhouse"/>
    <n v="80"/>
  </r>
  <r>
    <x v="0"/>
    <s v="11-220-00-653000-55650"/>
    <x v="0"/>
    <n v="220"/>
    <n v="0"/>
    <x v="53"/>
    <n v="55650"/>
    <x v="1"/>
    <s v="55"/>
    <s v="556"/>
    <x v="458"/>
    <s v="Custodial Services : Maintenance Agreement"/>
    <n v="7500"/>
  </r>
  <r>
    <x v="0"/>
    <s v="11-220-00-655000-52125"/>
    <x v="0"/>
    <n v="220"/>
    <n v="0"/>
    <x v="54"/>
    <n v="52125"/>
    <x v="1"/>
    <s v="52"/>
    <s v="521"/>
    <x v="459"/>
    <s v="Grounds Maintenance &amp; Repairs : Classified L-39"/>
    <n v="175753.23"/>
  </r>
  <r>
    <x v="0"/>
    <s v="11-220-00-655000-52300"/>
    <x v="0"/>
    <n v="220"/>
    <n v="0"/>
    <x v="54"/>
    <n v="52300"/>
    <x v="1"/>
    <s v="52"/>
    <s v="523"/>
    <x v="460"/>
    <s v="Grounds Maintenance &amp; Repairs : Classified Overtime"/>
    <n v="1750"/>
  </r>
  <r>
    <x v="0"/>
    <s v="11-220-00-655000-53220"/>
    <x v="0"/>
    <n v="220"/>
    <n v="0"/>
    <x v="54"/>
    <n v="53220"/>
    <x v="1"/>
    <s v="53"/>
    <s v="532"/>
    <x v="461"/>
    <s v="Grounds Maintenance &amp; Repairs : PERS Nonteaching"/>
    <n v="36380.92"/>
  </r>
  <r>
    <x v="0"/>
    <s v="11-220-00-655000-53320"/>
    <x v="0"/>
    <n v="220"/>
    <n v="0"/>
    <x v="54"/>
    <n v="53320"/>
    <x v="1"/>
    <s v="53"/>
    <s v="533"/>
    <x v="462"/>
    <s v="Grounds Maintenance &amp; Repairs : OASDHI (FICA) Nonteaching"/>
    <n v="11005.21"/>
  </r>
  <r>
    <x v="0"/>
    <s v="11-220-00-655000-53340"/>
    <x v="0"/>
    <n v="220"/>
    <n v="0"/>
    <x v="54"/>
    <n v="53340"/>
    <x v="1"/>
    <s v="53"/>
    <s v="533"/>
    <x v="463"/>
    <s v="Grounds Maintenance &amp; Repairs : Medicare Nonteaching"/>
    <n v="2573.81"/>
  </r>
  <r>
    <x v="0"/>
    <s v="11-220-00-655000-53420"/>
    <x v="0"/>
    <n v="220"/>
    <n v="0"/>
    <x v="54"/>
    <n v="53420"/>
    <x v="1"/>
    <s v="53"/>
    <s v="534"/>
    <x v="464"/>
    <s v="Grounds Maintenance &amp; Repairs : H &amp; W Nonteaching"/>
    <n v="64144.34"/>
  </r>
  <r>
    <x v="0"/>
    <s v="11-220-00-655000-53520"/>
    <x v="0"/>
    <n v="220"/>
    <n v="0"/>
    <x v="54"/>
    <n v="53520"/>
    <x v="1"/>
    <s v="53"/>
    <s v="535"/>
    <x v="465"/>
    <s v="Grounds Maintenance &amp; Repairs : SUI Nonteaching"/>
    <n v="88.76"/>
  </r>
  <r>
    <x v="0"/>
    <s v="11-220-00-655000-53620"/>
    <x v="0"/>
    <n v="220"/>
    <n v="0"/>
    <x v="54"/>
    <n v="53620"/>
    <x v="1"/>
    <s v="53"/>
    <s v="536"/>
    <x v="466"/>
    <s v="Grounds Maintenance &amp; Repairs : WC Nonteaching"/>
    <n v="3356.23"/>
  </r>
  <r>
    <x v="0"/>
    <s v="11-220-00-655000-53920"/>
    <x v="0"/>
    <n v="220"/>
    <n v="0"/>
    <x v="54"/>
    <n v="53920"/>
    <x v="1"/>
    <s v="53"/>
    <s v="539"/>
    <x v="467"/>
    <s v="Grounds Maintenance &amp; Repairs : Other Benefit-Non Teaching"/>
    <n v="0"/>
  </r>
  <r>
    <x v="0"/>
    <s v="11-220-00-655000-54300"/>
    <x v="0"/>
    <n v="220"/>
    <n v="0"/>
    <x v="54"/>
    <n v="54300"/>
    <x v="1"/>
    <s v="54"/>
    <s v="543"/>
    <x v="468"/>
    <s v="Grounds Maintenance &amp; Repairs : Supplies &amp; Materials"/>
    <n v="2500"/>
  </r>
  <r>
    <x v="0"/>
    <s v="11-220-00-655000-54330"/>
    <x v="0"/>
    <n v="220"/>
    <n v="0"/>
    <x v="54"/>
    <n v="54330"/>
    <x v="1"/>
    <s v="54"/>
    <s v="543"/>
    <x v="469"/>
    <s v="Grounds Maintenance &amp; Repairs : M &amp; O General Supplies"/>
    <n v="10000"/>
  </r>
  <r>
    <x v="0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0.7"/>
  </r>
  <r>
    <x v="0"/>
    <s v="11-220-00-655000-55650"/>
    <x v="0"/>
    <n v="220"/>
    <n v="0"/>
    <x v="54"/>
    <n v="55650"/>
    <x v="1"/>
    <s v="55"/>
    <s v="556"/>
    <x v="471"/>
    <s v="Grounds Maintenance &amp; Repairs : Maintenance Agreement"/>
    <n v="7000"/>
  </r>
  <r>
    <x v="0"/>
    <s v="11-220-00-655000-55651"/>
    <x v="0"/>
    <n v="220"/>
    <n v="0"/>
    <x v="54"/>
    <n v="55651"/>
    <x v="1"/>
    <s v="55"/>
    <s v="556"/>
    <x v="472"/>
    <s v="Grounds Maintenance &amp; Repairs : Equipment Repairs"/>
    <n v="13000"/>
  </r>
  <r>
    <x v="0"/>
    <s v="11-220-00-659010-52105"/>
    <x v="0"/>
    <n v="220"/>
    <n v="0"/>
    <x v="55"/>
    <n v="52105"/>
    <x v="1"/>
    <s v="52"/>
    <s v="521"/>
    <x v="473"/>
    <s v="Maintenance &amp; Operations : Classified CSEA"/>
    <n v="40196.800000000003"/>
  </r>
  <r>
    <x v="0"/>
    <s v="11-220-00-659010-52125"/>
    <x v="0"/>
    <n v="220"/>
    <n v="0"/>
    <x v="55"/>
    <n v="52125"/>
    <x v="1"/>
    <s v="52"/>
    <s v="521"/>
    <x v="474"/>
    <s v="Maintenance &amp; Operations : Classified L-39"/>
    <n v="11278.75"/>
  </r>
  <r>
    <x v="0"/>
    <s v="11-220-00-659010-52130"/>
    <x v="0"/>
    <n v="220"/>
    <n v="0"/>
    <x v="55"/>
    <n v="52130"/>
    <x v="1"/>
    <s v="52"/>
    <s v="521"/>
    <x v="475"/>
    <s v="Maintenance &amp; Operations : Classified Management"/>
    <n v="138351.4"/>
  </r>
  <r>
    <x v="0"/>
    <s v="11-220-00-659010-52360"/>
    <x v="0"/>
    <n v="220"/>
    <n v="0"/>
    <x v="55"/>
    <n v="52360"/>
    <x v="1"/>
    <s v="52"/>
    <s v="523"/>
    <x v="476"/>
    <s v="Maintenance &amp; Operations : Class Nonstu NonIA PT Prof Exp"/>
    <n v="14000"/>
  </r>
  <r>
    <x v="0"/>
    <s v="11-220-00-659010-53220"/>
    <x v="0"/>
    <n v="220"/>
    <n v="0"/>
    <x v="55"/>
    <n v="53220"/>
    <x v="1"/>
    <s v="53"/>
    <s v="532"/>
    <x v="477"/>
    <s v="Maintenance &amp; Operations : PERS Nonteaching"/>
    <n v="39294.18"/>
  </r>
  <r>
    <x v="0"/>
    <s v="11-220-00-659010-53320"/>
    <x v="0"/>
    <n v="220"/>
    <n v="0"/>
    <x v="55"/>
    <n v="53320"/>
    <x v="1"/>
    <s v="53"/>
    <s v="533"/>
    <x v="478"/>
    <s v="Maintenance &amp; Operations : OASDHI (FICA) Nonteaching"/>
    <n v="12637.26"/>
  </r>
  <r>
    <x v="0"/>
    <s v="11-220-00-659010-53340"/>
    <x v="0"/>
    <n v="220"/>
    <n v="0"/>
    <x v="55"/>
    <n v="53340"/>
    <x v="1"/>
    <s v="53"/>
    <s v="533"/>
    <x v="479"/>
    <s v="Maintenance &amp; Operations : Medicare Nonteaching"/>
    <n v="2955.48"/>
  </r>
  <r>
    <x v="0"/>
    <s v="11-220-00-659010-53420"/>
    <x v="0"/>
    <n v="220"/>
    <n v="0"/>
    <x v="55"/>
    <n v="53420"/>
    <x v="1"/>
    <s v="53"/>
    <s v="534"/>
    <x v="480"/>
    <s v="Maintenance &amp; Operations : H &amp; W Nonteaching"/>
    <n v="40545.29"/>
  </r>
  <r>
    <x v="0"/>
    <s v="11-220-00-659010-53520"/>
    <x v="0"/>
    <n v="220"/>
    <n v="0"/>
    <x v="55"/>
    <n v="53520"/>
    <x v="1"/>
    <s v="53"/>
    <s v="535"/>
    <x v="481"/>
    <s v="Maintenance &amp; Operations : SUI Nonteaching"/>
    <n v="101.92"/>
  </r>
  <r>
    <x v="0"/>
    <s v="11-220-00-659010-53620"/>
    <x v="0"/>
    <n v="220"/>
    <n v="0"/>
    <x v="55"/>
    <n v="53620"/>
    <x v="1"/>
    <s v="53"/>
    <s v="536"/>
    <x v="482"/>
    <s v="Maintenance &amp; Operations : WC Nonteaching"/>
    <n v="3853.96"/>
  </r>
  <r>
    <x v="0"/>
    <s v="11-220-00-659010-53920"/>
    <x v="0"/>
    <n v="220"/>
    <n v="0"/>
    <x v="55"/>
    <n v="53920"/>
    <x v="1"/>
    <s v="53"/>
    <s v="539"/>
    <x v="483"/>
    <s v="Maintenance &amp; Operations : Other Benefit-Non Teaching"/>
    <n v="1920"/>
  </r>
  <r>
    <x v="0"/>
    <s v="11-220-00-659010-54300"/>
    <x v="0"/>
    <n v="220"/>
    <n v="0"/>
    <x v="55"/>
    <n v="54300"/>
    <x v="1"/>
    <s v="54"/>
    <s v="543"/>
    <x v="484"/>
    <s v="Maintenance &amp; Operations : Supplies &amp; Materials"/>
    <n v="28000"/>
  </r>
  <r>
    <x v="0"/>
    <s v="11-220-00-659010-55105"/>
    <x v="0"/>
    <n v="220"/>
    <n v="0"/>
    <x v="55"/>
    <n v="55105"/>
    <x v="1"/>
    <s v="55"/>
    <s v="551"/>
    <x v="485"/>
    <s v="Maintenance &amp; Operations : Contract Services"/>
    <n v="20700"/>
  </r>
  <r>
    <x v="0"/>
    <s v="11-220-00-659010-55550"/>
    <x v="0"/>
    <n v="220"/>
    <n v="0"/>
    <x v="55"/>
    <n v="55550"/>
    <x v="1"/>
    <s v="55"/>
    <s v="555"/>
    <x v="486"/>
    <s v="Maintenance &amp; Operations : Telephone Service"/>
    <n v="0"/>
  </r>
  <r>
    <x v="0"/>
    <s v="11-220-00-659010-55600"/>
    <x v="0"/>
    <n v="220"/>
    <n v="0"/>
    <x v="55"/>
    <n v="55600"/>
    <x v="1"/>
    <s v="55"/>
    <s v="556"/>
    <x v="487"/>
    <s v="Maintenance &amp; Operations : Rents &amp; Leases"/>
    <n v="800"/>
  </r>
  <r>
    <x v="0"/>
    <s v="11-220-00-659010-55630"/>
    <x v="0"/>
    <n v="220"/>
    <n v="0"/>
    <x v="55"/>
    <n v="55630"/>
    <x v="1"/>
    <s v="55"/>
    <s v="556"/>
    <x v="488"/>
    <s v="Maintenance &amp; Operations : Printing &amp; Duplicating - Inhouse"/>
    <n v="500"/>
  </r>
  <r>
    <x v="0"/>
    <s v="11-220-00-659010-55650"/>
    <x v="0"/>
    <n v="220"/>
    <n v="0"/>
    <x v="55"/>
    <n v="55650"/>
    <x v="1"/>
    <s v="55"/>
    <s v="556"/>
    <x v="489"/>
    <s v="Maintenance &amp; Operations : Maintenance Agreement"/>
    <n v="18500"/>
  </r>
  <r>
    <x v="0"/>
    <s v="11-220-00-659010-55651"/>
    <x v="0"/>
    <n v="220"/>
    <n v="0"/>
    <x v="55"/>
    <n v="55651"/>
    <x v="1"/>
    <s v="55"/>
    <s v="556"/>
    <x v="490"/>
    <s v="Maintenance &amp; Operations : Equipment Repairs"/>
    <n v="2500"/>
  </r>
  <r>
    <x v="0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0"/>
    <s v="11-220-00-659010-56216"/>
    <x v="0"/>
    <n v="220"/>
    <n v="0"/>
    <x v="55"/>
    <n v="56216"/>
    <x v="1"/>
    <s v="56"/>
    <s v="562"/>
    <x v="492"/>
    <s v="Maintenance &amp; Operations : Other Costs"/>
    <n v="425"/>
  </r>
  <r>
    <x v="0"/>
    <s v="11-220-00-659020-54300"/>
    <x v="0"/>
    <n v="220"/>
    <n v="0"/>
    <x v="56"/>
    <n v="54300"/>
    <x v="1"/>
    <s v="54"/>
    <s v="543"/>
    <x v="493"/>
    <s v="Safety &amp; Hazardous Materials : Supplies &amp; Materials"/>
    <n v="500"/>
  </r>
  <r>
    <x v="0"/>
    <s v="11-220-00-659020-55105"/>
    <x v="0"/>
    <n v="220"/>
    <n v="0"/>
    <x v="56"/>
    <n v="55105"/>
    <x v="1"/>
    <s v="55"/>
    <s v="551"/>
    <x v="494"/>
    <s v="Safety &amp; Hazardous Materials : Contract Services"/>
    <n v="500"/>
  </r>
  <r>
    <x v="0"/>
    <s v="11-220-00-659020-55575"/>
    <x v="0"/>
    <n v="220"/>
    <n v="0"/>
    <x v="56"/>
    <n v="55575"/>
    <x v="1"/>
    <s v="55"/>
    <s v="555"/>
    <x v="495"/>
    <s v="Safety &amp; Hazardous Materials : Hazardous Waste Disposal"/>
    <n v="14500"/>
  </r>
  <r>
    <x v="0"/>
    <s v="11-220-00-659020-56217"/>
    <x v="0"/>
    <n v="220"/>
    <n v="0"/>
    <x v="56"/>
    <n v="56217"/>
    <x v="1"/>
    <s v="56"/>
    <s v="562"/>
    <x v="496"/>
    <s v="Safety &amp; Hazardous Materials : Permits and Fees"/>
    <n v="5500"/>
  </r>
  <r>
    <x v="0"/>
    <s v="11-220-00-677000-52105"/>
    <x v="0"/>
    <n v="220"/>
    <n v="0"/>
    <x v="45"/>
    <n v="52105"/>
    <x v="1"/>
    <s v="52"/>
    <s v="521"/>
    <x v="497"/>
    <s v="Purchasing/Receiving : Classified CSEA"/>
    <n v="52280"/>
  </r>
  <r>
    <x v="0"/>
    <s v="11-220-00-677000-52300"/>
    <x v="0"/>
    <n v="220"/>
    <n v="0"/>
    <x v="45"/>
    <n v="52300"/>
    <x v="1"/>
    <s v="52"/>
    <s v="523"/>
    <x v="498"/>
    <s v="Purchasing/Receiving : Classified Overtime"/>
    <n v="0"/>
  </r>
  <r>
    <x v="0"/>
    <s v="11-220-00-677000-53220"/>
    <x v="0"/>
    <n v="220"/>
    <n v="0"/>
    <x v="45"/>
    <n v="53220"/>
    <x v="1"/>
    <s v="53"/>
    <s v="532"/>
    <x v="499"/>
    <s v="Purchasing/Receiving : PERS Nonteaching"/>
    <n v="10821.96"/>
  </r>
  <r>
    <x v="0"/>
    <s v="11-220-00-677000-53320"/>
    <x v="0"/>
    <n v="220"/>
    <n v="0"/>
    <x v="45"/>
    <n v="53320"/>
    <x v="1"/>
    <s v="53"/>
    <s v="533"/>
    <x v="500"/>
    <s v="Purchasing/Receiving : OASDHI (FICA) Nonteaching"/>
    <n v="3241.36"/>
  </r>
  <r>
    <x v="0"/>
    <s v="11-220-00-677000-53340"/>
    <x v="0"/>
    <n v="220"/>
    <n v="0"/>
    <x v="45"/>
    <n v="53340"/>
    <x v="1"/>
    <s v="53"/>
    <s v="533"/>
    <x v="501"/>
    <s v="Purchasing/Receiving : Medicare Nonteaching"/>
    <n v="758.06"/>
  </r>
  <r>
    <x v="0"/>
    <s v="11-220-00-677000-53420"/>
    <x v="0"/>
    <n v="220"/>
    <n v="0"/>
    <x v="45"/>
    <n v="53420"/>
    <x v="1"/>
    <s v="53"/>
    <s v="534"/>
    <x v="502"/>
    <s v="Purchasing/Receiving : H &amp; W Nonteaching"/>
    <n v="25240.73"/>
  </r>
  <r>
    <x v="0"/>
    <s v="11-220-00-677000-53520"/>
    <x v="0"/>
    <n v="220"/>
    <n v="0"/>
    <x v="45"/>
    <n v="53520"/>
    <x v="1"/>
    <s v="53"/>
    <s v="535"/>
    <x v="503"/>
    <s v="Purchasing/Receiving : SUI Nonteaching"/>
    <n v="26.14"/>
  </r>
  <r>
    <x v="0"/>
    <s v="11-220-00-677000-53620"/>
    <x v="0"/>
    <n v="220"/>
    <n v="0"/>
    <x v="45"/>
    <n v="53620"/>
    <x v="1"/>
    <s v="53"/>
    <s v="536"/>
    <x v="504"/>
    <s v="Purchasing/Receiving : WC Nonteaching"/>
    <n v="988.51"/>
  </r>
  <r>
    <x v="0"/>
    <s v="11-220-00-677000-55630"/>
    <x v="0"/>
    <n v="220"/>
    <n v="0"/>
    <x v="45"/>
    <n v="55630"/>
    <x v="1"/>
    <s v="55"/>
    <s v="556"/>
    <x v="505"/>
    <s v="Purchasing/Receiving : Printing &amp; Duplicating - Inhouse"/>
    <n v="115.27"/>
  </r>
  <r>
    <x v="0"/>
    <s v="11-220-00-677300-54349"/>
    <x v="0"/>
    <n v="220"/>
    <n v="0"/>
    <x v="57"/>
    <n v="54349"/>
    <x v="1"/>
    <s v="54"/>
    <s v="543"/>
    <x v="506"/>
    <s v="Vehicle Maintenance : M&amp;O Fuel and Oil Expense"/>
    <n v="12000"/>
  </r>
  <r>
    <x v="0"/>
    <s v="11-220-00-677300-55651"/>
    <x v="0"/>
    <n v="220"/>
    <n v="0"/>
    <x v="57"/>
    <n v="55651"/>
    <x v="1"/>
    <s v="55"/>
    <s v="556"/>
    <x v="507"/>
    <s v="Vehicle Maintenance : Equipment Repairs"/>
    <n v="3300"/>
  </r>
  <r>
    <x v="0"/>
    <s v="11-220-00-683000-52105"/>
    <x v="0"/>
    <n v="220"/>
    <n v="0"/>
    <x v="58"/>
    <n v="52105"/>
    <x v="1"/>
    <s v="52"/>
    <s v="521"/>
    <x v="508"/>
    <s v="Community Use of Facilities : Classified CSEA"/>
    <n v="73961.3"/>
  </r>
  <r>
    <x v="0"/>
    <s v="11-220-00-683000-52115"/>
    <x v="0"/>
    <n v="220"/>
    <n v="0"/>
    <x v="58"/>
    <n v="52115"/>
    <x v="1"/>
    <s v="52"/>
    <s v="521"/>
    <x v="509"/>
    <s v="Community Use of Facilities : Classified Supervisory"/>
    <n v="16748"/>
  </r>
  <r>
    <x v="0"/>
    <s v="11-220-00-683000-52125"/>
    <x v="0"/>
    <n v="220"/>
    <n v="0"/>
    <x v="58"/>
    <n v="52125"/>
    <x v="1"/>
    <s v="52"/>
    <s v="521"/>
    <x v="510"/>
    <s v="Community Use of Facilities : Classified L-39"/>
    <n v="41462"/>
  </r>
  <r>
    <x v="0"/>
    <s v="11-220-00-683000-52300"/>
    <x v="0"/>
    <n v="220"/>
    <n v="0"/>
    <x v="58"/>
    <n v="52300"/>
    <x v="1"/>
    <s v="52"/>
    <s v="523"/>
    <x v="511"/>
    <s v="Community Use of Facilities : Classified Overtime"/>
    <n v="1350"/>
  </r>
  <r>
    <x v="0"/>
    <s v="11-220-00-683000-53220"/>
    <x v="0"/>
    <n v="220"/>
    <n v="0"/>
    <x v="58"/>
    <n v="53220"/>
    <x v="1"/>
    <s v="53"/>
    <s v="532"/>
    <x v="512"/>
    <s v="Community Use of Facilities : PERS Nonteaching"/>
    <n v="27359.45"/>
  </r>
  <r>
    <x v="0"/>
    <s v="11-220-00-683000-53320"/>
    <x v="0"/>
    <n v="220"/>
    <n v="0"/>
    <x v="58"/>
    <n v="53320"/>
    <x v="1"/>
    <s v="53"/>
    <s v="533"/>
    <x v="513"/>
    <s v="Community Use of Facilities : OASDHI (FICA) Nonteaching"/>
    <n v="8278.32"/>
  </r>
  <r>
    <x v="0"/>
    <s v="11-220-00-683000-53340"/>
    <x v="0"/>
    <n v="220"/>
    <n v="0"/>
    <x v="58"/>
    <n v="53340"/>
    <x v="1"/>
    <s v="53"/>
    <s v="533"/>
    <x v="514"/>
    <s v="Community Use of Facilities : Medicare Nonteaching"/>
    <n v="1936.07"/>
  </r>
  <r>
    <x v="0"/>
    <s v="11-220-00-683000-53420"/>
    <x v="0"/>
    <n v="220"/>
    <n v="0"/>
    <x v="58"/>
    <n v="53420"/>
    <x v="1"/>
    <s v="53"/>
    <s v="534"/>
    <x v="515"/>
    <s v="Community Use of Facilities : H &amp; W Nonteaching"/>
    <n v="39896.39"/>
  </r>
  <r>
    <x v="0"/>
    <s v="11-220-00-683000-53520"/>
    <x v="0"/>
    <n v="220"/>
    <n v="0"/>
    <x v="58"/>
    <n v="53520"/>
    <x v="1"/>
    <s v="53"/>
    <s v="535"/>
    <x v="516"/>
    <s v="Community Use of Facilities : SUI Nonteaching"/>
    <n v="66.760000000000005"/>
  </r>
  <r>
    <x v="0"/>
    <s v="11-220-00-683000-53620"/>
    <x v="0"/>
    <n v="220"/>
    <n v="0"/>
    <x v="58"/>
    <n v="53620"/>
    <x v="1"/>
    <s v="53"/>
    <s v="536"/>
    <x v="517"/>
    <s v="Community Use of Facilities : WC Nonteaching"/>
    <n v="2524.62"/>
  </r>
  <r>
    <x v="0"/>
    <s v="11-220-00-683000-53920"/>
    <x v="0"/>
    <n v="220"/>
    <n v="0"/>
    <x v="58"/>
    <n v="53920"/>
    <x v="1"/>
    <s v="53"/>
    <s v="539"/>
    <x v="518"/>
    <s v="Community Use of Facilities : Other Benefit-Non Teaching"/>
    <n v="3480"/>
  </r>
  <r>
    <x v="0"/>
    <s v="11-220-00-683000-54340"/>
    <x v="0"/>
    <n v="220"/>
    <n v="0"/>
    <x v="58"/>
    <n v="54340"/>
    <x v="1"/>
    <s v="54"/>
    <s v="543"/>
    <x v="519"/>
    <s v="Community Use of Facilities : M &amp; O Pool Chemicals"/>
    <n v="18000"/>
  </r>
  <r>
    <x v="0"/>
    <s v="11-220-00-683000-55630"/>
    <x v="0"/>
    <n v="220"/>
    <n v="0"/>
    <x v="58"/>
    <n v="55630"/>
    <x v="1"/>
    <s v="55"/>
    <s v="556"/>
    <x v="520"/>
    <s v="Community Use of Facilities : Printing &amp; Duplicating - Inhouse"/>
    <n v="700"/>
  </r>
  <r>
    <x v="0"/>
    <s v="11-220-04-657000-55530"/>
    <x v="0"/>
    <n v="220"/>
    <n v="4"/>
    <x v="37"/>
    <n v="55530"/>
    <x v="1"/>
    <s v="55"/>
    <s v="555"/>
    <x v="521"/>
    <s v="Utilities : Electric Utility"/>
    <n v="0"/>
  </r>
  <r>
    <x v="0"/>
    <s v="11-300-00-490000-54300"/>
    <x v="0"/>
    <n v="300"/>
    <n v="0"/>
    <x v="59"/>
    <n v="54300"/>
    <x v="1"/>
    <s v="54"/>
    <s v="543"/>
    <x v="522"/>
    <s v="Interdisiplinary Studies : Supplies &amp; Materials"/>
    <n v="22000"/>
  </r>
  <r>
    <x v="0"/>
    <s v="11-300-00-490000-55610"/>
    <x v="0"/>
    <n v="300"/>
    <n v="0"/>
    <x v="59"/>
    <n v="55610"/>
    <x v="1"/>
    <s v="55"/>
    <s v="556"/>
    <x v="523"/>
    <s v="Interdisiplinary Studies : Software licensing"/>
    <n v="61300"/>
  </r>
  <r>
    <x v="0"/>
    <s v="11-300-00-490000-56400"/>
    <x v="0"/>
    <n v="300"/>
    <n v="0"/>
    <x v="59"/>
    <n v="56400"/>
    <x v="1"/>
    <s v="56"/>
    <s v="564"/>
    <x v="524"/>
    <s v="Interdisiplinary Studies : Cap Equip - $200 to $4,999"/>
    <n v="105650"/>
  </r>
  <r>
    <x v="0"/>
    <s v="11-300-00-490000-56405"/>
    <x v="0"/>
    <n v="300"/>
    <n v="0"/>
    <x v="59"/>
    <n v="56405"/>
    <x v="1"/>
    <s v="56"/>
    <s v="564"/>
    <x v="525"/>
    <s v="Interdisiplinary Studies : Cap Equip - $5,000 and Over"/>
    <n v="200000"/>
  </r>
  <r>
    <x v="0"/>
    <s v="11-300-00-601000-51200"/>
    <x v="0"/>
    <n v="300"/>
    <n v="0"/>
    <x v="34"/>
    <n v="51200"/>
    <x v="1"/>
    <s v="51"/>
    <s v="512"/>
    <x v="526"/>
    <s v="Academic Administration : Academic Nonteaching Full-time"/>
    <n v="33443.85"/>
  </r>
  <r>
    <x v="0"/>
    <s v="11-300-00-601000-51210"/>
    <x v="0"/>
    <n v="300"/>
    <n v="0"/>
    <x v="34"/>
    <n v="51210"/>
    <x v="1"/>
    <s v="51"/>
    <s v="512"/>
    <x v="527"/>
    <s v="Academic Administration : Academic Nonteaching Management"/>
    <n v="166232"/>
  </r>
  <r>
    <x v="0"/>
    <s v="11-300-00-601000-51412"/>
    <x v="0"/>
    <n v="300"/>
    <n v="0"/>
    <x v="34"/>
    <n v="51412"/>
    <x v="1"/>
    <s v="51"/>
    <s v="514"/>
    <x v="528"/>
    <s v="Academic Administration : Acad Nonteach Special Projects"/>
    <n v="221600"/>
  </r>
  <r>
    <x v="0"/>
    <s v="11-300-00-601000-52105"/>
    <x v="0"/>
    <n v="300"/>
    <n v="0"/>
    <x v="34"/>
    <n v="52105"/>
    <x v="1"/>
    <s v="52"/>
    <s v="521"/>
    <x v="529"/>
    <s v="Academic Administration : Classified CSEA"/>
    <n v="211892.09"/>
  </r>
  <r>
    <x v="0"/>
    <s v="11-300-00-601000-52120"/>
    <x v="0"/>
    <n v="300"/>
    <n v="0"/>
    <x v="34"/>
    <n v="52120"/>
    <x v="1"/>
    <s v="52"/>
    <s v="521"/>
    <x v="530"/>
    <s v="Academic Administration : Classified Confidential"/>
    <n v="71280"/>
  </r>
  <r>
    <x v="0"/>
    <s v="11-300-00-601000-52300"/>
    <x v="0"/>
    <n v="300"/>
    <n v="0"/>
    <x v="34"/>
    <n v="52300"/>
    <x v="1"/>
    <s v="52"/>
    <s v="523"/>
    <x v="531"/>
    <s v="Academic Administration : Classified Overtime"/>
    <n v="0"/>
  </r>
  <r>
    <x v="0"/>
    <s v="11-300-00-601000-52350"/>
    <x v="0"/>
    <n v="300"/>
    <n v="0"/>
    <x v="34"/>
    <n v="52350"/>
    <x v="1"/>
    <s v="52"/>
    <s v="523"/>
    <x v="532"/>
    <s v="Academic Administration : Classified Student Dist Non-IA PT"/>
    <n v="4000"/>
  </r>
  <r>
    <x v="0"/>
    <s v="11-300-00-601000-52360"/>
    <x v="0"/>
    <n v="300"/>
    <n v="0"/>
    <x v="34"/>
    <n v="52360"/>
    <x v="1"/>
    <s v="52"/>
    <s v="523"/>
    <x v="533"/>
    <s v="Academic Administration : Class Nonstu NonIA PT Prof Exp"/>
    <n v="0"/>
  </r>
  <r>
    <x v="0"/>
    <s v="11-300-00-601000-53120"/>
    <x v="0"/>
    <n v="300"/>
    <n v="0"/>
    <x v="34"/>
    <n v="53120"/>
    <x v="1"/>
    <s v="53"/>
    <s v="531"/>
    <x v="534"/>
    <s v="Academic Administration : STRS Nonteaching"/>
    <n v="67939.149999999994"/>
  </r>
  <r>
    <x v="0"/>
    <s v="11-300-00-601000-53220"/>
    <x v="0"/>
    <n v="300"/>
    <n v="0"/>
    <x v="34"/>
    <n v="53220"/>
    <x v="1"/>
    <s v="53"/>
    <s v="532"/>
    <x v="535"/>
    <s v="Academic Administration : PERS Nonteaching"/>
    <n v="58616.63"/>
  </r>
  <r>
    <x v="0"/>
    <s v="11-300-00-601000-53320"/>
    <x v="0"/>
    <n v="300"/>
    <n v="0"/>
    <x v="34"/>
    <n v="53320"/>
    <x v="1"/>
    <s v="53"/>
    <s v="533"/>
    <x v="536"/>
    <s v="Academic Administration : OASDHI (FICA) Nonteaching"/>
    <n v="18796.68"/>
  </r>
  <r>
    <x v="0"/>
    <s v="11-300-00-601000-53340"/>
    <x v="0"/>
    <n v="300"/>
    <n v="0"/>
    <x v="34"/>
    <n v="53340"/>
    <x v="1"/>
    <s v="53"/>
    <s v="533"/>
    <x v="537"/>
    <s v="Academic Administration : Medicare Nonteaching"/>
    <n v="10495.79"/>
  </r>
  <r>
    <x v="0"/>
    <s v="11-300-00-601000-53420"/>
    <x v="0"/>
    <n v="300"/>
    <n v="0"/>
    <x v="34"/>
    <n v="53420"/>
    <x v="1"/>
    <s v="53"/>
    <s v="534"/>
    <x v="538"/>
    <s v="Academic Administration : H &amp; W Nonteaching"/>
    <n v="123204.92"/>
  </r>
  <r>
    <x v="0"/>
    <s v="11-300-00-601000-53520"/>
    <x v="0"/>
    <n v="300"/>
    <n v="0"/>
    <x v="34"/>
    <n v="53520"/>
    <x v="1"/>
    <s v="53"/>
    <s v="535"/>
    <x v="539"/>
    <s v="Academic Administration : SUI Nonteaching"/>
    <n v="361.93"/>
  </r>
  <r>
    <x v="0"/>
    <s v="11-300-00-601000-53620"/>
    <x v="0"/>
    <n v="300"/>
    <n v="0"/>
    <x v="34"/>
    <n v="53620"/>
    <x v="1"/>
    <s v="53"/>
    <s v="536"/>
    <x v="540"/>
    <s v="Academic Administration : WC Nonteaching"/>
    <n v="13761.85"/>
  </r>
  <r>
    <x v="0"/>
    <s v="11-300-00-601000-53920"/>
    <x v="0"/>
    <n v="300"/>
    <n v="0"/>
    <x v="34"/>
    <n v="53920"/>
    <x v="1"/>
    <s v="53"/>
    <s v="539"/>
    <x v="541"/>
    <s v="Academic Administration : Other Benefit-Non Teaching"/>
    <n v="2400"/>
  </r>
  <r>
    <x v="0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0"/>
    <s v="11-300-00-601000-54300"/>
    <x v="0"/>
    <n v="300"/>
    <n v="0"/>
    <x v="34"/>
    <n v="54300"/>
    <x v="1"/>
    <s v="54"/>
    <s v="543"/>
    <x v="543"/>
    <s v="Academic Administration : Supplies &amp; Materials"/>
    <n v="39400"/>
  </r>
  <r>
    <x v="0"/>
    <s v="11-300-00-601000-55105"/>
    <x v="0"/>
    <n v="300"/>
    <n v="0"/>
    <x v="34"/>
    <n v="55105"/>
    <x v="1"/>
    <s v="55"/>
    <s v="551"/>
    <x v="544"/>
    <s v="Academic Administration : Contract Services"/>
    <n v="561260"/>
  </r>
  <r>
    <x v="0"/>
    <s v="11-300-00-601000-55200"/>
    <x v="0"/>
    <n v="300"/>
    <n v="0"/>
    <x v="34"/>
    <n v="55200"/>
    <x v="1"/>
    <s v="55"/>
    <s v="552"/>
    <x v="545"/>
    <s v="Academic Administration : Travel &amp; Conference"/>
    <n v="4000"/>
  </r>
  <r>
    <x v="0"/>
    <s v="11-300-00-601000-55300"/>
    <x v="0"/>
    <n v="300"/>
    <n v="0"/>
    <x v="34"/>
    <n v="55300"/>
    <x v="1"/>
    <s v="55"/>
    <s v="553"/>
    <x v="546"/>
    <s v="Academic Administration : Memberships"/>
    <n v="400"/>
  </r>
  <r>
    <x v="0"/>
    <s v="11-300-00-601000-55630"/>
    <x v="0"/>
    <n v="300"/>
    <n v="0"/>
    <x v="34"/>
    <n v="55630"/>
    <x v="1"/>
    <s v="55"/>
    <s v="556"/>
    <x v="547"/>
    <s v="Academic Administration : Printing &amp; Duplicating - Inhouse"/>
    <n v="112.46"/>
  </r>
  <r>
    <x v="0"/>
    <s v="11-300-00-601000-55635"/>
    <x v="0"/>
    <n v="300"/>
    <n v="0"/>
    <x v="34"/>
    <n v="55635"/>
    <x v="1"/>
    <s v="55"/>
    <s v="556"/>
    <x v="548"/>
    <s v="Academic Administration : Printing Services - Vendor"/>
    <n v="0"/>
  </r>
  <r>
    <x v="0"/>
    <s v="11-300-00-601000-55650"/>
    <x v="0"/>
    <n v="300"/>
    <n v="0"/>
    <x v="34"/>
    <n v="55650"/>
    <x v="1"/>
    <s v="55"/>
    <s v="556"/>
    <x v="549"/>
    <s v="Academic Administration : Maintenance Agreement"/>
    <n v="160"/>
  </r>
  <r>
    <x v="0"/>
    <s v="11-300-00-612000-56310"/>
    <x v="0"/>
    <n v="300"/>
    <n v="0"/>
    <x v="35"/>
    <n v="56310"/>
    <x v="1"/>
    <s v="56"/>
    <s v="563"/>
    <x v="550"/>
    <s v="Library Services : Periodicals &amp; Newspapers"/>
    <n v="129"/>
  </r>
  <r>
    <x v="0"/>
    <s v="11-300-00-675020-51200"/>
    <x v="0"/>
    <n v="300"/>
    <n v="0"/>
    <x v="6"/>
    <n v="51200"/>
    <x v="1"/>
    <s v="51"/>
    <s v="512"/>
    <x v="551"/>
    <s v="Academic Senate : Academic Nonteaching Full-time"/>
    <n v="192084.4"/>
  </r>
  <r>
    <x v="0"/>
    <s v="11-300-00-675020-53120"/>
    <x v="0"/>
    <n v="300"/>
    <n v="0"/>
    <x v="6"/>
    <n v="53120"/>
    <x v="1"/>
    <s v="53"/>
    <s v="531"/>
    <x v="552"/>
    <s v="Academic Senate : STRS Nonteaching"/>
    <n v="31021.64"/>
  </r>
  <r>
    <x v="0"/>
    <s v="11-300-00-675020-53340"/>
    <x v="0"/>
    <n v="300"/>
    <n v="0"/>
    <x v="6"/>
    <n v="53340"/>
    <x v="1"/>
    <s v="53"/>
    <s v="533"/>
    <x v="553"/>
    <s v="Academic Senate : Medicare Nonteaching"/>
    <n v="2785.22"/>
  </r>
  <r>
    <x v="0"/>
    <s v="11-300-00-675020-53420"/>
    <x v="0"/>
    <n v="300"/>
    <n v="0"/>
    <x v="6"/>
    <n v="53420"/>
    <x v="1"/>
    <s v="53"/>
    <s v="534"/>
    <x v="554"/>
    <s v="Academic Senate : H &amp; W Nonteaching"/>
    <n v="44485.38"/>
  </r>
  <r>
    <x v="0"/>
    <s v="11-300-00-675020-53520"/>
    <x v="0"/>
    <n v="300"/>
    <n v="0"/>
    <x v="6"/>
    <n v="53520"/>
    <x v="1"/>
    <s v="53"/>
    <s v="535"/>
    <x v="555"/>
    <s v="Academic Senate : SUI Nonteaching"/>
    <n v="96.04"/>
  </r>
  <r>
    <x v="0"/>
    <s v="11-300-00-675020-53620"/>
    <x v="0"/>
    <n v="300"/>
    <n v="0"/>
    <x v="6"/>
    <n v="53620"/>
    <x v="1"/>
    <s v="53"/>
    <s v="536"/>
    <x v="556"/>
    <s v="Academic Senate : WC Nonteaching"/>
    <n v="3631.93"/>
  </r>
  <r>
    <x v="0"/>
    <s v="11-300-00-675020-55630"/>
    <x v="0"/>
    <n v="300"/>
    <n v="0"/>
    <x v="6"/>
    <n v="55630"/>
    <x v="1"/>
    <s v="55"/>
    <s v="556"/>
    <x v="557"/>
    <s v="Academic Senate : Printing &amp; Duplicating - Inhouse"/>
    <n v="0"/>
  </r>
  <r>
    <x v="0"/>
    <s v="11-300-04-490000-51311"/>
    <x v="0"/>
    <n v="300"/>
    <n v="4"/>
    <x v="59"/>
    <n v="51311"/>
    <x v="1"/>
    <s v="51"/>
    <s v="513"/>
    <x v="558"/>
    <s v="Interdisiplinary Studies : Academic Teaching PT"/>
    <n v="0"/>
  </r>
  <r>
    <x v="0"/>
    <s v="11-300-04-490000-53110"/>
    <x v="0"/>
    <n v="300"/>
    <n v="4"/>
    <x v="59"/>
    <n v="53110"/>
    <x v="1"/>
    <s v="53"/>
    <s v="531"/>
    <x v="559"/>
    <s v="Interdisiplinary Studies : STRS Teaching"/>
    <n v="0"/>
  </r>
  <r>
    <x v="0"/>
    <s v="11-300-04-490000-53330"/>
    <x v="0"/>
    <n v="300"/>
    <n v="4"/>
    <x v="59"/>
    <n v="53330"/>
    <x v="1"/>
    <s v="53"/>
    <s v="533"/>
    <x v="560"/>
    <s v="Interdisiplinary Studies : Medicare Teaching"/>
    <n v="0"/>
  </r>
  <r>
    <x v="0"/>
    <s v="11-300-04-490000-53510"/>
    <x v="0"/>
    <n v="300"/>
    <n v="4"/>
    <x v="59"/>
    <n v="53510"/>
    <x v="1"/>
    <s v="53"/>
    <s v="535"/>
    <x v="561"/>
    <s v="Interdisiplinary Studies : SUI Teaching"/>
    <n v="0"/>
  </r>
  <r>
    <x v="0"/>
    <s v="11-300-04-490000-53610"/>
    <x v="0"/>
    <n v="300"/>
    <n v="4"/>
    <x v="59"/>
    <n v="53610"/>
    <x v="1"/>
    <s v="53"/>
    <s v="536"/>
    <x v="562"/>
    <s v="Interdisiplinary Studies : WC Teaching"/>
    <n v="0"/>
  </r>
  <r>
    <x v="0"/>
    <s v="11-300-04-601000-55650"/>
    <x v="0"/>
    <n v="300"/>
    <n v="4"/>
    <x v="34"/>
    <n v="55650"/>
    <x v="1"/>
    <s v="55"/>
    <s v="556"/>
    <x v="563"/>
    <s v="Academic Administration : Maintenance Agreement"/>
    <n v="-23000"/>
  </r>
  <r>
    <x v="0"/>
    <s v="11-301-00-601000-51210"/>
    <x v="0"/>
    <n v="301"/>
    <n v="0"/>
    <x v="34"/>
    <n v="51210"/>
    <x v="1"/>
    <s v="51"/>
    <s v="512"/>
    <x v="564"/>
    <s v="Academic Administration : Academic Nonteaching Management"/>
    <n v="131204"/>
  </r>
  <r>
    <x v="0"/>
    <s v="11-301-00-601000-51412"/>
    <x v="0"/>
    <n v="301"/>
    <n v="0"/>
    <x v="34"/>
    <n v="51412"/>
    <x v="1"/>
    <s v="51"/>
    <s v="514"/>
    <x v="565"/>
    <s v="Academic Administration : Acad Nonteach Special Projects"/>
    <n v="12000"/>
  </r>
  <r>
    <x v="0"/>
    <s v="11-301-00-601000-52105"/>
    <x v="0"/>
    <n v="301"/>
    <n v="0"/>
    <x v="34"/>
    <n v="52105"/>
    <x v="1"/>
    <s v="52"/>
    <s v="521"/>
    <x v="566"/>
    <s v="Academic Administration : Classified CSEA"/>
    <n v="61049.279999999999"/>
  </r>
  <r>
    <x v="0"/>
    <s v="11-301-00-601000-52300"/>
    <x v="0"/>
    <n v="301"/>
    <n v="0"/>
    <x v="34"/>
    <n v="52300"/>
    <x v="1"/>
    <s v="52"/>
    <s v="523"/>
    <x v="567"/>
    <s v="Academic Administration : Classified Overtime"/>
    <n v="395"/>
  </r>
  <r>
    <x v="0"/>
    <s v="11-301-00-601000-52360"/>
    <x v="0"/>
    <n v="301"/>
    <n v="0"/>
    <x v="34"/>
    <n v="52360"/>
    <x v="1"/>
    <s v="52"/>
    <s v="523"/>
    <x v="568"/>
    <s v="Academic Administration : Class Nonstu NonIA PT Prof Exp"/>
    <n v="0"/>
  </r>
  <r>
    <x v="0"/>
    <s v="11-301-00-601000-53120"/>
    <x v="0"/>
    <n v="301"/>
    <n v="0"/>
    <x v="34"/>
    <n v="53120"/>
    <x v="1"/>
    <s v="53"/>
    <s v="531"/>
    <x v="569"/>
    <s v="Academic Administration : STRS Nonteaching"/>
    <n v="23127.45"/>
  </r>
  <r>
    <x v="0"/>
    <s v="11-301-00-601000-53220"/>
    <x v="0"/>
    <n v="301"/>
    <n v="0"/>
    <x v="34"/>
    <n v="53220"/>
    <x v="1"/>
    <s v="53"/>
    <s v="532"/>
    <x v="570"/>
    <s v="Academic Administration : PERS Nonteaching"/>
    <n v="12637.2"/>
  </r>
  <r>
    <x v="0"/>
    <s v="11-301-00-601000-53320"/>
    <x v="0"/>
    <n v="301"/>
    <n v="0"/>
    <x v="34"/>
    <n v="53320"/>
    <x v="1"/>
    <s v="53"/>
    <s v="533"/>
    <x v="571"/>
    <s v="Academic Administration : OASDHI (FICA) Nonteaching"/>
    <n v="3809.55"/>
  </r>
  <r>
    <x v="0"/>
    <s v="11-301-00-601000-53340"/>
    <x v="0"/>
    <n v="301"/>
    <n v="0"/>
    <x v="34"/>
    <n v="53340"/>
    <x v="1"/>
    <s v="53"/>
    <s v="533"/>
    <x v="572"/>
    <s v="Academic Administration : Medicare Nonteaching"/>
    <n v="2967.4"/>
  </r>
  <r>
    <x v="0"/>
    <s v="11-301-00-601000-53420"/>
    <x v="0"/>
    <n v="301"/>
    <n v="0"/>
    <x v="34"/>
    <n v="53420"/>
    <x v="1"/>
    <s v="53"/>
    <s v="534"/>
    <x v="573"/>
    <s v="Academic Administration : H &amp; W Nonteaching"/>
    <n v="57176.67"/>
  </r>
  <r>
    <x v="0"/>
    <s v="11-301-00-601000-53520"/>
    <x v="0"/>
    <n v="301"/>
    <n v="0"/>
    <x v="34"/>
    <n v="53520"/>
    <x v="1"/>
    <s v="53"/>
    <s v="535"/>
    <x v="574"/>
    <s v="Academic Administration : SUI Nonteaching"/>
    <n v="102.32"/>
  </r>
  <r>
    <x v="0"/>
    <s v="11-301-00-601000-53620"/>
    <x v="0"/>
    <n v="301"/>
    <n v="0"/>
    <x v="34"/>
    <n v="53620"/>
    <x v="1"/>
    <s v="53"/>
    <s v="536"/>
    <x v="575"/>
    <s v="Academic Administration : WC Nonteaching"/>
    <n v="3869.5"/>
  </r>
  <r>
    <x v="0"/>
    <s v="11-301-00-601000-53920"/>
    <x v="0"/>
    <n v="301"/>
    <n v="0"/>
    <x v="34"/>
    <n v="53920"/>
    <x v="1"/>
    <s v="53"/>
    <s v="539"/>
    <x v="576"/>
    <s v="Academic Administration : Other Benefit-Non Teaching"/>
    <n v="0"/>
  </r>
  <r>
    <x v="0"/>
    <s v="11-301-00-601000-54300"/>
    <x v="0"/>
    <n v="301"/>
    <n v="0"/>
    <x v="34"/>
    <n v="54300"/>
    <x v="1"/>
    <s v="54"/>
    <s v="543"/>
    <x v="577"/>
    <s v="Academic Administration : Supplies &amp; Materials"/>
    <n v="403"/>
  </r>
  <r>
    <x v="0"/>
    <s v="11-301-00-601000-55200"/>
    <x v="0"/>
    <n v="301"/>
    <n v="0"/>
    <x v="34"/>
    <n v="55200"/>
    <x v="1"/>
    <s v="55"/>
    <s v="552"/>
    <x v="578"/>
    <s v="Academic Administration : Travel &amp; Conference"/>
    <n v="500"/>
  </r>
  <r>
    <x v="0"/>
    <s v="11-301-00-601000-55630"/>
    <x v="0"/>
    <n v="301"/>
    <n v="0"/>
    <x v="34"/>
    <n v="55630"/>
    <x v="1"/>
    <s v="55"/>
    <s v="556"/>
    <x v="579"/>
    <s v="Academic Administration : Printing &amp; Duplicating - Inhouse"/>
    <n v="167.76"/>
  </r>
  <r>
    <x v="0"/>
    <s v="11-304-00-601000-51210"/>
    <x v="0"/>
    <n v="304"/>
    <n v="0"/>
    <x v="34"/>
    <n v="51210"/>
    <x v="1"/>
    <s v="51"/>
    <s v="512"/>
    <x v="580"/>
    <s v="Academic Administration : Academic Nonteaching Management"/>
    <n v="147407"/>
  </r>
  <r>
    <x v="0"/>
    <s v="11-304-00-601000-52105"/>
    <x v="0"/>
    <n v="304"/>
    <n v="0"/>
    <x v="34"/>
    <n v="52105"/>
    <x v="1"/>
    <s v="52"/>
    <s v="521"/>
    <x v="581"/>
    <s v="Academic Administration : Classified CSEA"/>
    <n v="59036.28"/>
  </r>
  <r>
    <x v="0"/>
    <s v="11-304-00-601000-53120"/>
    <x v="0"/>
    <n v="304"/>
    <n v="0"/>
    <x v="34"/>
    <n v="53120"/>
    <x v="1"/>
    <s v="53"/>
    <s v="531"/>
    <x v="582"/>
    <s v="Academic Administration : STRS Nonteaching"/>
    <n v="23806.23"/>
  </r>
  <r>
    <x v="0"/>
    <s v="11-304-00-601000-53220"/>
    <x v="0"/>
    <n v="304"/>
    <n v="0"/>
    <x v="34"/>
    <n v="53220"/>
    <x v="1"/>
    <s v="53"/>
    <s v="532"/>
    <x v="583"/>
    <s v="Academic Administration : PERS Nonteaching"/>
    <n v="12220.51"/>
  </r>
  <r>
    <x v="0"/>
    <s v="11-304-00-601000-53320"/>
    <x v="0"/>
    <n v="304"/>
    <n v="0"/>
    <x v="34"/>
    <n v="53320"/>
    <x v="1"/>
    <s v="53"/>
    <s v="533"/>
    <x v="584"/>
    <s v="Academic Administration : OASDHI (FICA) Nonteaching"/>
    <n v="3660.25"/>
  </r>
  <r>
    <x v="0"/>
    <s v="11-304-00-601000-53340"/>
    <x v="0"/>
    <n v="304"/>
    <n v="0"/>
    <x v="34"/>
    <n v="53340"/>
    <x v="1"/>
    <s v="53"/>
    <s v="533"/>
    <x v="585"/>
    <s v="Academic Administration : Medicare Nonteaching"/>
    <n v="2993.43"/>
  </r>
  <r>
    <x v="0"/>
    <s v="11-304-00-601000-53420"/>
    <x v="0"/>
    <n v="304"/>
    <n v="0"/>
    <x v="34"/>
    <n v="53420"/>
    <x v="1"/>
    <s v="53"/>
    <s v="534"/>
    <x v="586"/>
    <s v="Academic Administration : H &amp; W Nonteaching"/>
    <n v="36248.22"/>
  </r>
  <r>
    <x v="0"/>
    <s v="11-304-00-601000-53520"/>
    <x v="0"/>
    <n v="304"/>
    <n v="0"/>
    <x v="34"/>
    <n v="53520"/>
    <x v="1"/>
    <s v="53"/>
    <s v="535"/>
    <x v="587"/>
    <s v="Academic Administration : SUI Nonteaching"/>
    <n v="103.22"/>
  </r>
  <r>
    <x v="0"/>
    <s v="11-304-00-601000-53620"/>
    <x v="0"/>
    <n v="304"/>
    <n v="0"/>
    <x v="34"/>
    <n v="53620"/>
    <x v="1"/>
    <s v="53"/>
    <s v="536"/>
    <x v="588"/>
    <s v="Academic Administration : WC Nonteaching"/>
    <n v="3903.43"/>
  </r>
  <r>
    <x v="0"/>
    <s v="11-304-00-601000-53920"/>
    <x v="0"/>
    <n v="304"/>
    <n v="0"/>
    <x v="34"/>
    <n v="53920"/>
    <x v="1"/>
    <s v="53"/>
    <s v="539"/>
    <x v="589"/>
    <s v="Academic Administration : Other Benefit-Non Teaching"/>
    <n v="2400"/>
  </r>
  <r>
    <x v="0"/>
    <s v="11-304-00-601000-54300"/>
    <x v="0"/>
    <n v="304"/>
    <n v="0"/>
    <x v="34"/>
    <n v="54300"/>
    <x v="1"/>
    <s v="54"/>
    <s v="543"/>
    <x v="590"/>
    <s v="Academic Administration : Supplies &amp; Materials"/>
    <n v="3204"/>
  </r>
  <r>
    <x v="0"/>
    <s v="11-304-00-601000-55200"/>
    <x v="0"/>
    <n v="304"/>
    <n v="0"/>
    <x v="34"/>
    <n v="55200"/>
    <x v="1"/>
    <s v="55"/>
    <s v="552"/>
    <x v="591"/>
    <s v="Academic Administration : Travel &amp; Conference"/>
    <n v="0"/>
  </r>
  <r>
    <x v="0"/>
    <s v="11-304-00-601000-55630"/>
    <x v="0"/>
    <n v="304"/>
    <n v="0"/>
    <x v="34"/>
    <n v="55630"/>
    <x v="1"/>
    <s v="55"/>
    <s v="556"/>
    <x v="592"/>
    <s v="Academic Administration : Printing &amp; Duplicating - Inhouse"/>
    <n v="27.9"/>
  </r>
  <r>
    <x v="0"/>
    <s v="11-304-00-601000-55650"/>
    <x v="0"/>
    <n v="304"/>
    <n v="0"/>
    <x v="34"/>
    <n v="55650"/>
    <x v="1"/>
    <s v="55"/>
    <s v="556"/>
    <x v="593"/>
    <s v="Academic Administration : Maintenance Agreement"/>
    <n v="3000"/>
  </r>
  <r>
    <x v="0"/>
    <s v="11-304-00-682100-53320"/>
    <x v="0"/>
    <n v="304"/>
    <n v="0"/>
    <x v="60"/>
    <n v="53320"/>
    <x v="1"/>
    <s v="53"/>
    <s v="533"/>
    <x v="594"/>
    <s v="Planetarium : OASDHI (FICA) Nonteaching"/>
    <n v="0"/>
  </r>
  <r>
    <x v="0"/>
    <s v="11-304-00-682100-53340"/>
    <x v="0"/>
    <n v="304"/>
    <n v="0"/>
    <x v="60"/>
    <n v="53340"/>
    <x v="1"/>
    <s v="53"/>
    <s v="533"/>
    <x v="595"/>
    <s v="Planetarium : Medicare Nonteaching"/>
    <n v="0"/>
  </r>
  <r>
    <x v="0"/>
    <s v="11-304-00-682100-53420"/>
    <x v="0"/>
    <n v="304"/>
    <n v="0"/>
    <x v="60"/>
    <n v="53420"/>
    <x v="1"/>
    <s v="53"/>
    <s v="534"/>
    <x v="596"/>
    <s v="Planetarium : H &amp; W Nonteaching"/>
    <n v="0"/>
  </r>
  <r>
    <x v="0"/>
    <s v="11-304-00-682100-54300"/>
    <x v="0"/>
    <n v="304"/>
    <n v="0"/>
    <x v="60"/>
    <n v="54300"/>
    <x v="1"/>
    <s v="54"/>
    <s v="543"/>
    <x v="597"/>
    <s v="Planetarium : Supplies &amp; Materials"/>
    <n v="282"/>
  </r>
  <r>
    <x v="0"/>
    <s v="11-304-00-682100-55630"/>
    <x v="0"/>
    <n v="304"/>
    <n v="0"/>
    <x v="60"/>
    <n v="55630"/>
    <x v="1"/>
    <s v="55"/>
    <s v="556"/>
    <x v="598"/>
    <s v="Planetarium : Printing &amp; Duplicating - Inhouse"/>
    <n v="9.3000000000000007"/>
  </r>
  <r>
    <x v="0"/>
    <s v="11-304-00-703800-52105"/>
    <x v="0"/>
    <n v="304"/>
    <n v="0"/>
    <x v="61"/>
    <n v="52105"/>
    <x v="1"/>
    <s v="52"/>
    <s v="521"/>
    <x v="599"/>
    <s v="MESA Grant : Classified CSEA"/>
    <n v="0"/>
  </r>
  <r>
    <x v="0"/>
    <s v="11-304-00-703800-52130"/>
    <x v="0"/>
    <n v="304"/>
    <n v="0"/>
    <x v="61"/>
    <n v="52130"/>
    <x v="1"/>
    <s v="52"/>
    <s v="521"/>
    <x v="600"/>
    <s v="MESA Grant : Classified Management"/>
    <n v="90385.600000000006"/>
  </r>
  <r>
    <x v="0"/>
    <s v="11-304-00-703800-52350"/>
    <x v="0"/>
    <n v="304"/>
    <n v="0"/>
    <x v="61"/>
    <n v="52350"/>
    <x v="1"/>
    <s v="52"/>
    <s v="523"/>
    <x v="601"/>
    <s v="MESA Grant : Classified Student Dist Non-IA PT"/>
    <n v="0"/>
  </r>
  <r>
    <x v="0"/>
    <s v="11-304-00-703800-52360"/>
    <x v="0"/>
    <n v="304"/>
    <n v="0"/>
    <x v="61"/>
    <n v="52360"/>
    <x v="1"/>
    <s v="52"/>
    <s v="523"/>
    <x v="602"/>
    <s v="MESA Grant : Class Nonstu NonIA PT Prof Exp"/>
    <n v="8500"/>
  </r>
  <r>
    <x v="0"/>
    <s v="11-304-00-703800-53120"/>
    <x v="0"/>
    <n v="304"/>
    <n v="0"/>
    <x v="61"/>
    <n v="53120"/>
    <x v="1"/>
    <s v="53"/>
    <s v="531"/>
    <x v="603"/>
    <s v="MESA Grant : STRS Nonteaching"/>
    <n v="0"/>
  </r>
  <r>
    <x v="0"/>
    <s v="11-304-00-703800-53220"/>
    <x v="0"/>
    <n v="304"/>
    <n v="0"/>
    <x v="61"/>
    <n v="53220"/>
    <x v="1"/>
    <s v="53"/>
    <s v="532"/>
    <x v="604"/>
    <s v="MESA Grant : PERS Nonteaching"/>
    <n v="18709.82"/>
  </r>
  <r>
    <x v="0"/>
    <s v="11-304-00-703800-53320"/>
    <x v="0"/>
    <n v="304"/>
    <n v="0"/>
    <x v="61"/>
    <n v="53320"/>
    <x v="1"/>
    <s v="53"/>
    <s v="533"/>
    <x v="605"/>
    <s v="MESA Grant : OASDHI (FICA) Nonteaching"/>
    <n v="6130.91"/>
  </r>
  <r>
    <x v="0"/>
    <s v="11-304-00-703800-53340"/>
    <x v="0"/>
    <n v="304"/>
    <n v="0"/>
    <x v="61"/>
    <n v="53340"/>
    <x v="1"/>
    <s v="53"/>
    <s v="533"/>
    <x v="606"/>
    <s v="MESA Grant : Medicare Nonteaching"/>
    <n v="1433.84"/>
  </r>
  <r>
    <x v="0"/>
    <s v="11-304-00-703800-53420"/>
    <x v="0"/>
    <n v="304"/>
    <n v="0"/>
    <x v="61"/>
    <n v="53420"/>
    <x v="1"/>
    <s v="53"/>
    <s v="534"/>
    <x v="607"/>
    <s v="MESA Grant : H &amp; W Nonteaching"/>
    <n v="19640.61"/>
  </r>
  <r>
    <x v="0"/>
    <s v="11-304-00-703800-53520"/>
    <x v="0"/>
    <n v="304"/>
    <n v="0"/>
    <x v="61"/>
    <n v="53520"/>
    <x v="1"/>
    <s v="53"/>
    <s v="535"/>
    <x v="608"/>
    <s v="MESA Grant : SUI Nonteaching"/>
    <n v="49.44"/>
  </r>
  <r>
    <x v="0"/>
    <s v="11-304-00-703800-53620"/>
    <x v="0"/>
    <n v="304"/>
    <n v="0"/>
    <x v="61"/>
    <n v="53620"/>
    <x v="1"/>
    <s v="53"/>
    <s v="536"/>
    <x v="609"/>
    <s v="MESA Grant : WC Nonteaching"/>
    <n v="1869.73"/>
  </r>
  <r>
    <x v="0"/>
    <s v="11-304-00-703800-53920"/>
    <x v="0"/>
    <n v="304"/>
    <n v="0"/>
    <x v="61"/>
    <n v="53920"/>
    <x v="1"/>
    <s v="53"/>
    <s v="539"/>
    <x v="610"/>
    <s v="MESA Grant : Other Benefit-Non Teaching"/>
    <n v="2040"/>
  </r>
  <r>
    <x v="0"/>
    <s v="11-304-00-703800-55630"/>
    <x v="0"/>
    <n v="304"/>
    <n v="0"/>
    <x v="61"/>
    <n v="55630"/>
    <x v="1"/>
    <s v="55"/>
    <s v="556"/>
    <x v="611"/>
    <s v="MESA Grant : Printing &amp; Duplicating - Inhouse"/>
    <n v="23.3"/>
  </r>
  <r>
    <x v="0"/>
    <s v="11-310-00-050000-51310"/>
    <x v="0"/>
    <n v="310"/>
    <n v="0"/>
    <x v="12"/>
    <n v="51310"/>
    <x v="1"/>
    <s v="51"/>
    <s v="513"/>
    <x v="612"/>
    <s v="Business Education : Academic Teaching NIC"/>
    <n v="0"/>
  </r>
  <r>
    <x v="0"/>
    <s v="11-310-00-050000-51311"/>
    <x v="0"/>
    <n v="310"/>
    <n v="0"/>
    <x v="12"/>
    <n v="51311"/>
    <x v="1"/>
    <s v="51"/>
    <s v="513"/>
    <x v="613"/>
    <s v="Business Education : Academic Teaching PT"/>
    <n v="0"/>
  </r>
  <r>
    <x v="0"/>
    <s v="11-310-00-050000-53110"/>
    <x v="0"/>
    <n v="310"/>
    <n v="0"/>
    <x v="12"/>
    <n v="53110"/>
    <x v="1"/>
    <s v="53"/>
    <s v="531"/>
    <x v="614"/>
    <s v="Business Education : STRS Teaching"/>
    <n v="0"/>
  </r>
  <r>
    <x v="0"/>
    <s v="11-310-00-050000-53310"/>
    <x v="0"/>
    <n v="310"/>
    <n v="0"/>
    <x v="12"/>
    <n v="53310"/>
    <x v="1"/>
    <s v="53"/>
    <s v="533"/>
    <x v="615"/>
    <s v="Business Education : OASDHI (FICA) Teaching"/>
    <n v="0"/>
  </r>
  <r>
    <x v="0"/>
    <s v="11-310-00-050000-53330"/>
    <x v="0"/>
    <n v="310"/>
    <n v="0"/>
    <x v="12"/>
    <n v="53330"/>
    <x v="1"/>
    <s v="53"/>
    <s v="533"/>
    <x v="616"/>
    <s v="Business Education : Medicare Teaching"/>
    <n v="0"/>
  </r>
  <r>
    <x v="0"/>
    <s v="11-310-00-050000-53510"/>
    <x v="0"/>
    <n v="310"/>
    <n v="0"/>
    <x v="12"/>
    <n v="53510"/>
    <x v="1"/>
    <s v="53"/>
    <s v="535"/>
    <x v="617"/>
    <s v="Business Education : SUI Teaching"/>
    <n v="0"/>
  </r>
  <r>
    <x v="0"/>
    <s v="11-310-00-050000-53610"/>
    <x v="0"/>
    <n v="310"/>
    <n v="0"/>
    <x v="12"/>
    <n v="53610"/>
    <x v="1"/>
    <s v="53"/>
    <s v="536"/>
    <x v="618"/>
    <s v="Business Education : WC Teaching"/>
    <n v="0"/>
  </r>
  <r>
    <x v="0"/>
    <s v="11-310-00-080100-51311"/>
    <x v="0"/>
    <n v="310"/>
    <n v="0"/>
    <x v="62"/>
    <n v="51311"/>
    <x v="1"/>
    <s v="51"/>
    <s v="513"/>
    <x v="619"/>
    <s v="EDU (Education) Adjunct Exps. : Academic Teaching PT"/>
    <n v="0"/>
  </r>
  <r>
    <x v="0"/>
    <s v="11-310-00-080100-53110"/>
    <x v="0"/>
    <n v="310"/>
    <n v="0"/>
    <x v="62"/>
    <n v="53110"/>
    <x v="1"/>
    <s v="53"/>
    <s v="531"/>
    <x v="620"/>
    <s v="EDU (Education) Adjunct Exps. : STRS Teaching"/>
    <n v="0"/>
  </r>
  <r>
    <x v="0"/>
    <s v="11-310-00-080100-53330"/>
    <x v="0"/>
    <n v="310"/>
    <n v="0"/>
    <x v="62"/>
    <n v="53330"/>
    <x v="1"/>
    <s v="53"/>
    <s v="533"/>
    <x v="621"/>
    <s v="EDU (Education) Adjunct Exps. : Medicare Teaching"/>
    <n v="0"/>
  </r>
  <r>
    <x v="0"/>
    <s v="11-310-00-080100-53510"/>
    <x v="0"/>
    <n v="310"/>
    <n v="0"/>
    <x v="62"/>
    <n v="53510"/>
    <x v="1"/>
    <s v="53"/>
    <s v="535"/>
    <x v="622"/>
    <s v="EDU (Education) Adjunct Exps. : SUI Teaching"/>
    <n v="0"/>
  </r>
  <r>
    <x v="0"/>
    <s v="11-310-00-080100-53610"/>
    <x v="0"/>
    <n v="310"/>
    <n v="0"/>
    <x v="62"/>
    <n v="53610"/>
    <x v="1"/>
    <s v="53"/>
    <s v="536"/>
    <x v="623"/>
    <s v="EDU (Education) Adjunct Exps. : WC Teaching"/>
    <n v="0"/>
  </r>
  <r>
    <x v="0"/>
    <s v="11-310-00-100200-51100"/>
    <x v="0"/>
    <n v="310"/>
    <n v="0"/>
    <x v="14"/>
    <n v="51100"/>
    <x v="1"/>
    <s v="51"/>
    <s v="511"/>
    <x v="624"/>
    <s v="Art : Academic Teaching Full-time"/>
    <n v="87576"/>
  </r>
  <r>
    <x v="0"/>
    <s v="11-310-00-100200-51310"/>
    <x v="0"/>
    <n v="310"/>
    <n v="0"/>
    <x v="14"/>
    <n v="51310"/>
    <x v="1"/>
    <s v="51"/>
    <s v="513"/>
    <x v="625"/>
    <s v="Art : Academic Teaching NIC"/>
    <n v="4293"/>
  </r>
  <r>
    <x v="0"/>
    <s v="11-310-00-100200-51311"/>
    <x v="0"/>
    <n v="310"/>
    <n v="0"/>
    <x v="14"/>
    <n v="51311"/>
    <x v="1"/>
    <s v="51"/>
    <s v="513"/>
    <x v="626"/>
    <s v="Art : Academic Teaching PT"/>
    <n v="176100"/>
  </r>
  <r>
    <x v="0"/>
    <s v="11-310-00-100200-52200"/>
    <x v="0"/>
    <n v="310"/>
    <n v="0"/>
    <x v="14"/>
    <n v="52200"/>
    <x v="1"/>
    <s v="52"/>
    <s v="522"/>
    <x v="627"/>
    <s v="Art : Classified Permanent Instructional Aides"/>
    <n v="28110"/>
  </r>
  <r>
    <x v="0"/>
    <s v="11-310-00-100200-52360"/>
    <x v="0"/>
    <n v="310"/>
    <n v="0"/>
    <x v="14"/>
    <n v="52360"/>
    <x v="1"/>
    <s v="52"/>
    <s v="523"/>
    <x v="628"/>
    <s v="Art : Class Nonstu NonIA PT Prof Exp"/>
    <n v="1394"/>
  </r>
  <r>
    <x v="0"/>
    <s v="11-310-00-100200-53110"/>
    <x v="0"/>
    <n v="310"/>
    <n v="0"/>
    <x v="14"/>
    <n v="53110"/>
    <x v="1"/>
    <s v="53"/>
    <s v="531"/>
    <x v="629"/>
    <s v="Art : STRS Teaching"/>
    <n v="43276.99"/>
  </r>
  <r>
    <x v="0"/>
    <s v="11-310-00-100200-53210"/>
    <x v="0"/>
    <n v="310"/>
    <n v="0"/>
    <x v="14"/>
    <n v="53210"/>
    <x v="1"/>
    <s v="53"/>
    <s v="532"/>
    <x v="630"/>
    <s v="Art : PERS Teaching"/>
    <n v="5818.77"/>
  </r>
  <r>
    <x v="0"/>
    <s v="11-310-00-100200-53310"/>
    <x v="0"/>
    <n v="310"/>
    <n v="0"/>
    <x v="14"/>
    <n v="53310"/>
    <x v="1"/>
    <s v="53"/>
    <s v="533"/>
    <x v="631"/>
    <s v="Art : OASDHI (FICA) Teaching"/>
    <n v="1742.82"/>
  </r>
  <r>
    <x v="0"/>
    <s v="11-310-00-100200-53320"/>
    <x v="0"/>
    <n v="310"/>
    <n v="0"/>
    <x v="14"/>
    <n v="53320"/>
    <x v="1"/>
    <s v="53"/>
    <s v="533"/>
    <x v="632"/>
    <s v="Art : OASDHI (FICA) Nonteaching"/>
    <n v="86.43"/>
  </r>
  <r>
    <x v="0"/>
    <s v="11-310-00-100200-53330"/>
    <x v="0"/>
    <n v="310"/>
    <n v="0"/>
    <x v="14"/>
    <n v="53330"/>
    <x v="1"/>
    <s v="53"/>
    <s v="533"/>
    <x v="633"/>
    <s v="Art : Medicare Teaching"/>
    <n v="4293.1499999999996"/>
  </r>
  <r>
    <x v="0"/>
    <s v="11-310-00-100200-53340"/>
    <x v="0"/>
    <n v="310"/>
    <n v="0"/>
    <x v="14"/>
    <n v="53340"/>
    <x v="1"/>
    <s v="53"/>
    <s v="533"/>
    <x v="634"/>
    <s v="Art : Medicare Nonteaching"/>
    <n v="20.21"/>
  </r>
  <r>
    <x v="0"/>
    <s v="11-310-00-100200-53410"/>
    <x v="0"/>
    <n v="310"/>
    <n v="0"/>
    <x v="14"/>
    <n v="53410"/>
    <x v="1"/>
    <s v="53"/>
    <s v="534"/>
    <x v="635"/>
    <s v="Art : H &amp; W Teaching"/>
    <n v="23938.65"/>
  </r>
  <r>
    <x v="0"/>
    <s v="11-310-00-100200-53510"/>
    <x v="0"/>
    <n v="310"/>
    <n v="0"/>
    <x v="14"/>
    <n v="53510"/>
    <x v="1"/>
    <s v="53"/>
    <s v="535"/>
    <x v="636"/>
    <s v="Art : SUI Teaching"/>
    <n v="148.05000000000001"/>
  </r>
  <r>
    <x v="0"/>
    <s v="11-310-00-100200-53520"/>
    <x v="0"/>
    <n v="310"/>
    <n v="0"/>
    <x v="14"/>
    <n v="53520"/>
    <x v="1"/>
    <s v="53"/>
    <s v="535"/>
    <x v="637"/>
    <s v="Art : SUI Nonteaching"/>
    <n v="0.7"/>
  </r>
  <r>
    <x v="0"/>
    <s v="11-310-00-100200-53610"/>
    <x v="0"/>
    <n v="310"/>
    <n v="0"/>
    <x v="14"/>
    <n v="53610"/>
    <x v="1"/>
    <s v="53"/>
    <s v="536"/>
    <x v="638"/>
    <s v="Art : WC Teaching"/>
    <n v="5598.26"/>
  </r>
  <r>
    <x v="0"/>
    <s v="11-310-00-100200-53620"/>
    <x v="0"/>
    <n v="310"/>
    <n v="0"/>
    <x v="14"/>
    <n v="53620"/>
    <x v="1"/>
    <s v="53"/>
    <s v="536"/>
    <x v="639"/>
    <s v="Art : WC Nonteaching"/>
    <n v="26.36"/>
  </r>
  <r>
    <x v="0"/>
    <s v="11-310-00-100200-53910"/>
    <x v="0"/>
    <n v="310"/>
    <n v="0"/>
    <x v="14"/>
    <n v="53910"/>
    <x v="1"/>
    <s v="53"/>
    <s v="539"/>
    <x v="640"/>
    <s v="Art : Other Benefit-Teaching"/>
    <n v="2400"/>
  </r>
  <r>
    <x v="0"/>
    <s v="11-310-00-100200-54300"/>
    <x v="0"/>
    <n v="310"/>
    <n v="0"/>
    <x v="14"/>
    <n v="54300"/>
    <x v="1"/>
    <s v="54"/>
    <s v="543"/>
    <x v="641"/>
    <s v="Art : Supplies &amp; Materials"/>
    <n v="1775"/>
  </r>
  <r>
    <x v="0"/>
    <s v="11-310-00-100200-55630"/>
    <x v="0"/>
    <n v="310"/>
    <n v="0"/>
    <x v="14"/>
    <n v="55630"/>
    <x v="1"/>
    <s v="55"/>
    <s v="556"/>
    <x v="642"/>
    <s v="Art : Printing &amp; Duplicating - Inhouse"/>
    <n v="25"/>
  </r>
  <r>
    <x v="0"/>
    <s v="11-310-00-100200-55651"/>
    <x v="0"/>
    <n v="310"/>
    <n v="0"/>
    <x v="14"/>
    <n v="55651"/>
    <x v="1"/>
    <s v="55"/>
    <s v="556"/>
    <x v="643"/>
    <s v="Art : Equipment Repairs"/>
    <n v="10"/>
  </r>
  <r>
    <x v="0"/>
    <s v="11-310-00-100200-56400"/>
    <x v="0"/>
    <n v="310"/>
    <n v="0"/>
    <x v="14"/>
    <n v="56400"/>
    <x v="1"/>
    <s v="56"/>
    <s v="564"/>
    <x v="644"/>
    <s v="Art : Cap Equip - $200 to $4,999"/>
    <n v="200"/>
  </r>
  <r>
    <x v="0"/>
    <s v="11-310-00-100400-51100"/>
    <x v="0"/>
    <n v="310"/>
    <n v="0"/>
    <x v="15"/>
    <n v="51100"/>
    <x v="1"/>
    <s v="51"/>
    <s v="511"/>
    <x v="645"/>
    <s v="Music : Academic Teaching Full-time"/>
    <n v="105451"/>
  </r>
  <r>
    <x v="0"/>
    <s v="11-310-00-100400-51310"/>
    <x v="0"/>
    <n v="310"/>
    <n v="0"/>
    <x v="15"/>
    <n v="51310"/>
    <x v="1"/>
    <s v="51"/>
    <s v="513"/>
    <x v="646"/>
    <s v="Music : Academic Teaching NIC"/>
    <n v="4293"/>
  </r>
  <r>
    <x v="0"/>
    <s v="11-310-00-100400-51311"/>
    <x v="0"/>
    <n v="310"/>
    <n v="0"/>
    <x v="15"/>
    <n v="51311"/>
    <x v="1"/>
    <s v="51"/>
    <s v="513"/>
    <x v="647"/>
    <s v="Music : Academic Teaching PT"/>
    <n v="123560"/>
  </r>
  <r>
    <x v="0"/>
    <s v="11-310-00-100400-52400"/>
    <x v="0"/>
    <n v="310"/>
    <n v="0"/>
    <x v="15"/>
    <n v="52400"/>
    <x v="1"/>
    <s v="52"/>
    <s v="524"/>
    <x v="648"/>
    <s v="Music : Classified Nonstudent Instructional Aides PT"/>
    <n v="5000"/>
  </r>
  <r>
    <x v="0"/>
    <s v="11-310-00-100400-53110"/>
    <x v="0"/>
    <n v="310"/>
    <n v="0"/>
    <x v="15"/>
    <n v="53110"/>
    <x v="1"/>
    <s v="53"/>
    <s v="531"/>
    <x v="649"/>
    <s v="Music : STRS Teaching"/>
    <n v="37678.6"/>
  </r>
  <r>
    <x v="0"/>
    <s v="11-310-00-100400-53310"/>
    <x v="0"/>
    <n v="310"/>
    <n v="0"/>
    <x v="15"/>
    <n v="53310"/>
    <x v="1"/>
    <s v="53"/>
    <s v="533"/>
    <x v="650"/>
    <s v="Music : OASDHI (FICA) Teaching"/>
    <n v="310"/>
  </r>
  <r>
    <x v="0"/>
    <s v="11-310-00-100400-53330"/>
    <x v="0"/>
    <n v="310"/>
    <n v="0"/>
    <x v="15"/>
    <n v="53330"/>
    <x v="1"/>
    <s v="53"/>
    <s v="533"/>
    <x v="651"/>
    <s v="Music : Medicare Teaching"/>
    <n v="3455.41"/>
  </r>
  <r>
    <x v="0"/>
    <s v="11-310-00-100400-53410"/>
    <x v="0"/>
    <n v="310"/>
    <n v="0"/>
    <x v="15"/>
    <n v="53410"/>
    <x v="1"/>
    <s v="53"/>
    <s v="534"/>
    <x v="652"/>
    <s v="Music : H &amp; W Teaching"/>
    <n v="33121.43"/>
  </r>
  <r>
    <x v="0"/>
    <s v="11-310-00-100400-53510"/>
    <x v="0"/>
    <n v="310"/>
    <n v="0"/>
    <x v="15"/>
    <n v="53510"/>
    <x v="1"/>
    <s v="53"/>
    <s v="535"/>
    <x v="653"/>
    <s v="Music : SUI Teaching"/>
    <n v="119.16"/>
  </r>
  <r>
    <x v="0"/>
    <s v="11-310-00-100400-53610"/>
    <x v="0"/>
    <n v="310"/>
    <n v="0"/>
    <x v="15"/>
    <n v="53610"/>
    <x v="1"/>
    <s v="53"/>
    <s v="536"/>
    <x v="654"/>
    <s v="Music : WC Teaching"/>
    <n v="4505.8500000000004"/>
  </r>
  <r>
    <x v="0"/>
    <s v="11-310-00-100400-54300"/>
    <x v="0"/>
    <n v="310"/>
    <n v="0"/>
    <x v="15"/>
    <n v="54300"/>
    <x v="1"/>
    <s v="54"/>
    <s v="543"/>
    <x v="655"/>
    <s v="Music : Supplies &amp; Materials"/>
    <n v="880"/>
  </r>
  <r>
    <x v="0"/>
    <s v="11-310-00-100400-55630"/>
    <x v="0"/>
    <n v="310"/>
    <n v="0"/>
    <x v="15"/>
    <n v="55630"/>
    <x v="1"/>
    <s v="55"/>
    <s v="556"/>
    <x v="656"/>
    <s v="Music : Printing &amp; Duplicating - Inhouse"/>
    <n v="26.05"/>
  </r>
  <r>
    <x v="0"/>
    <s v="11-310-00-100400-55651"/>
    <x v="0"/>
    <n v="310"/>
    <n v="0"/>
    <x v="15"/>
    <n v="55651"/>
    <x v="1"/>
    <s v="55"/>
    <s v="556"/>
    <x v="657"/>
    <s v="Music : Equipment Repairs"/>
    <n v="500"/>
  </r>
  <r>
    <x v="0"/>
    <s v="11-310-00-100700-51100"/>
    <x v="0"/>
    <n v="310"/>
    <n v="0"/>
    <x v="63"/>
    <n v="51100"/>
    <x v="1"/>
    <s v="51"/>
    <s v="511"/>
    <x v="658"/>
    <s v="Theater Arts : Academic Teaching Full-time"/>
    <n v="102880"/>
  </r>
  <r>
    <x v="0"/>
    <s v="11-310-00-100700-51310"/>
    <x v="0"/>
    <n v="310"/>
    <n v="0"/>
    <x v="63"/>
    <n v="51310"/>
    <x v="1"/>
    <s v="51"/>
    <s v="513"/>
    <x v="659"/>
    <s v="Theater Arts : Academic Teaching NIC"/>
    <n v="23246"/>
  </r>
  <r>
    <x v="0"/>
    <s v="11-310-00-100700-51311"/>
    <x v="0"/>
    <n v="310"/>
    <n v="0"/>
    <x v="63"/>
    <n v="51311"/>
    <x v="1"/>
    <s v="51"/>
    <s v="513"/>
    <x v="660"/>
    <s v="Theater Arts : Academic Teaching PT"/>
    <n v="120985"/>
  </r>
  <r>
    <x v="0"/>
    <s v="11-310-00-100700-52350"/>
    <x v="0"/>
    <n v="310"/>
    <n v="0"/>
    <x v="63"/>
    <n v="52350"/>
    <x v="1"/>
    <s v="52"/>
    <s v="523"/>
    <x v="661"/>
    <s v="Theater Arts : Classified Student Dist Non-IA PT"/>
    <n v="435"/>
  </r>
  <r>
    <x v="0"/>
    <s v="11-310-00-100700-52360"/>
    <x v="0"/>
    <n v="310"/>
    <n v="0"/>
    <x v="63"/>
    <n v="52360"/>
    <x v="1"/>
    <s v="52"/>
    <s v="523"/>
    <x v="662"/>
    <s v="Theater Arts : Class Nonstu NonIA PT Prof Exp"/>
    <n v="1500"/>
  </r>
  <r>
    <x v="0"/>
    <s v="11-310-00-100700-53110"/>
    <x v="0"/>
    <n v="310"/>
    <n v="0"/>
    <x v="63"/>
    <n v="53110"/>
    <x v="1"/>
    <s v="53"/>
    <s v="531"/>
    <x v="663"/>
    <s v="Theater Arts : STRS Teaching"/>
    <n v="39908.43"/>
  </r>
  <r>
    <x v="0"/>
    <s v="11-310-00-100700-53310"/>
    <x v="0"/>
    <n v="310"/>
    <n v="0"/>
    <x v="63"/>
    <n v="53310"/>
    <x v="1"/>
    <s v="53"/>
    <s v="533"/>
    <x v="664"/>
    <s v="Theater Arts : OASDHI (FICA) Teaching"/>
    <n v="0"/>
  </r>
  <r>
    <x v="0"/>
    <s v="11-310-00-100700-53320"/>
    <x v="0"/>
    <n v="310"/>
    <n v="0"/>
    <x v="63"/>
    <n v="53320"/>
    <x v="1"/>
    <s v="53"/>
    <s v="533"/>
    <x v="665"/>
    <s v="Theater Arts : OASDHI (FICA) Nonteaching"/>
    <n v="93"/>
  </r>
  <r>
    <x v="0"/>
    <s v="11-310-00-100700-53330"/>
    <x v="0"/>
    <n v="310"/>
    <n v="0"/>
    <x v="63"/>
    <n v="53330"/>
    <x v="1"/>
    <s v="53"/>
    <s v="533"/>
    <x v="666"/>
    <s v="Theater Arts : Medicare Teaching"/>
    <n v="3583.11"/>
  </r>
  <r>
    <x v="0"/>
    <s v="11-310-00-100700-53340"/>
    <x v="0"/>
    <n v="310"/>
    <n v="0"/>
    <x v="63"/>
    <n v="53340"/>
    <x v="1"/>
    <s v="53"/>
    <s v="533"/>
    <x v="667"/>
    <s v="Theater Arts : Medicare Nonteaching"/>
    <n v="21.75"/>
  </r>
  <r>
    <x v="0"/>
    <s v="11-310-00-100700-53410"/>
    <x v="0"/>
    <n v="310"/>
    <n v="0"/>
    <x v="63"/>
    <n v="53410"/>
    <x v="1"/>
    <s v="53"/>
    <s v="534"/>
    <x v="668"/>
    <s v="Theater Arts : H &amp; W Teaching"/>
    <n v="33121.43"/>
  </r>
  <r>
    <x v="0"/>
    <s v="11-310-00-100700-53510"/>
    <x v="0"/>
    <n v="310"/>
    <n v="0"/>
    <x v="63"/>
    <n v="53510"/>
    <x v="1"/>
    <s v="53"/>
    <s v="535"/>
    <x v="669"/>
    <s v="Theater Arts : SUI Teaching"/>
    <n v="123.55"/>
  </r>
  <r>
    <x v="0"/>
    <s v="11-310-00-100700-53520"/>
    <x v="0"/>
    <n v="310"/>
    <n v="0"/>
    <x v="63"/>
    <n v="53520"/>
    <x v="1"/>
    <s v="53"/>
    <s v="535"/>
    <x v="670"/>
    <s v="Theater Arts : SUI Nonteaching"/>
    <n v="0.75"/>
  </r>
  <r>
    <x v="0"/>
    <s v="11-310-00-100700-53610"/>
    <x v="0"/>
    <n v="310"/>
    <n v="0"/>
    <x v="63"/>
    <n v="53610"/>
    <x v="1"/>
    <s v="53"/>
    <s v="536"/>
    <x v="671"/>
    <s v="Theater Arts : WC Teaching"/>
    <n v="4672.38"/>
  </r>
  <r>
    <x v="0"/>
    <s v="11-310-00-100700-53620"/>
    <x v="0"/>
    <n v="310"/>
    <n v="0"/>
    <x v="63"/>
    <n v="53620"/>
    <x v="1"/>
    <s v="53"/>
    <s v="536"/>
    <x v="672"/>
    <s v="Theater Arts : WC Nonteaching"/>
    <n v="36.58"/>
  </r>
  <r>
    <x v="0"/>
    <s v="11-310-00-100700-55105"/>
    <x v="0"/>
    <n v="310"/>
    <n v="0"/>
    <x v="63"/>
    <n v="55105"/>
    <x v="1"/>
    <s v="55"/>
    <s v="551"/>
    <x v="673"/>
    <s v="Theater Arts : Contract Services"/>
    <n v="1420"/>
  </r>
  <r>
    <x v="0"/>
    <s v="11-310-00-100700-55200"/>
    <x v="0"/>
    <n v="310"/>
    <n v="0"/>
    <x v="63"/>
    <n v="55200"/>
    <x v="1"/>
    <s v="55"/>
    <s v="552"/>
    <x v="674"/>
    <s v="Theater Arts : Travel &amp; Conference"/>
    <n v="0"/>
  </r>
  <r>
    <x v="0"/>
    <s v="11-310-00-100700-55300"/>
    <x v="0"/>
    <n v="310"/>
    <n v="0"/>
    <x v="63"/>
    <n v="55300"/>
    <x v="1"/>
    <s v="55"/>
    <s v="553"/>
    <x v="675"/>
    <s v="Theater Arts : Memberships"/>
    <n v="0"/>
  </r>
  <r>
    <x v="0"/>
    <s v="11-310-00-100700-55630"/>
    <x v="0"/>
    <n v="310"/>
    <n v="0"/>
    <x v="63"/>
    <n v="55630"/>
    <x v="1"/>
    <s v="55"/>
    <s v="556"/>
    <x v="676"/>
    <s v="Theater Arts : Printing &amp; Duplicating - Inhouse"/>
    <n v="0"/>
  </r>
  <r>
    <x v="0"/>
    <s v="11-310-00-100700-57552"/>
    <x v="0"/>
    <n v="310"/>
    <n v="0"/>
    <x v="63"/>
    <n v="57552"/>
    <x v="1"/>
    <s v="57"/>
    <s v="575"/>
    <x v="677"/>
    <s v="Theater Arts : Student Travel/Workshps/Meals"/>
    <n v="0"/>
  </r>
  <r>
    <x v="0"/>
    <s v="11-310-00-101100-51310"/>
    <x v="0"/>
    <n v="310"/>
    <n v="0"/>
    <x v="16"/>
    <n v="51310"/>
    <x v="1"/>
    <s v="51"/>
    <s v="513"/>
    <x v="678"/>
    <s v="Photography : Academic Teaching NIC"/>
    <n v="4293"/>
  </r>
  <r>
    <x v="0"/>
    <s v="11-310-00-101100-51311"/>
    <x v="0"/>
    <n v="310"/>
    <n v="0"/>
    <x v="16"/>
    <n v="51311"/>
    <x v="1"/>
    <s v="51"/>
    <s v="513"/>
    <x v="679"/>
    <s v="Photography : Academic Teaching PT"/>
    <n v="55907"/>
  </r>
  <r>
    <x v="0"/>
    <s v="11-310-00-101100-52200"/>
    <x v="0"/>
    <n v="310"/>
    <n v="0"/>
    <x v="16"/>
    <n v="52200"/>
    <x v="1"/>
    <s v="52"/>
    <s v="522"/>
    <x v="680"/>
    <s v="Photography : Classified Permanent Instructional Aides"/>
    <n v="28110"/>
  </r>
  <r>
    <x v="0"/>
    <s v="11-310-00-101100-53110"/>
    <x v="0"/>
    <n v="310"/>
    <n v="0"/>
    <x v="16"/>
    <n v="53110"/>
    <x v="1"/>
    <s v="53"/>
    <s v="531"/>
    <x v="681"/>
    <s v="Photography : STRS Teaching"/>
    <n v="9722.2999999999993"/>
  </r>
  <r>
    <x v="0"/>
    <s v="11-310-00-101100-53210"/>
    <x v="0"/>
    <n v="310"/>
    <n v="0"/>
    <x v="16"/>
    <n v="53210"/>
    <x v="1"/>
    <s v="53"/>
    <s v="532"/>
    <x v="682"/>
    <s v="Photography : PERS Teaching"/>
    <n v="5818.77"/>
  </r>
  <r>
    <x v="0"/>
    <s v="11-310-00-101100-53310"/>
    <x v="0"/>
    <n v="310"/>
    <n v="0"/>
    <x v="16"/>
    <n v="53310"/>
    <x v="1"/>
    <s v="53"/>
    <s v="533"/>
    <x v="683"/>
    <s v="Photography : OASDHI (FICA) Teaching"/>
    <n v="1742.82"/>
  </r>
  <r>
    <x v="0"/>
    <s v="11-310-00-101100-53330"/>
    <x v="0"/>
    <n v="310"/>
    <n v="0"/>
    <x v="16"/>
    <n v="53330"/>
    <x v="1"/>
    <s v="53"/>
    <s v="533"/>
    <x v="684"/>
    <s v="Photography : Medicare Teaching"/>
    <n v="1280.5"/>
  </r>
  <r>
    <x v="0"/>
    <s v="11-310-00-101100-53410"/>
    <x v="0"/>
    <n v="310"/>
    <n v="0"/>
    <x v="16"/>
    <n v="53410"/>
    <x v="1"/>
    <s v="53"/>
    <s v="534"/>
    <x v="685"/>
    <s v="Photography : H &amp; W Teaching"/>
    <n v="6570.81"/>
  </r>
  <r>
    <x v="0"/>
    <s v="11-310-00-101100-53510"/>
    <x v="0"/>
    <n v="310"/>
    <n v="0"/>
    <x v="16"/>
    <n v="53510"/>
    <x v="1"/>
    <s v="53"/>
    <s v="535"/>
    <x v="686"/>
    <s v="Photography : SUI Teaching"/>
    <n v="44.16"/>
  </r>
  <r>
    <x v="0"/>
    <s v="11-310-00-101100-53610"/>
    <x v="0"/>
    <n v="310"/>
    <n v="0"/>
    <x v="16"/>
    <n v="53610"/>
    <x v="1"/>
    <s v="53"/>
    <s v="536"/>
    <x v="687"/>
    <s v="Photography : WC Teaching"/>
    <n v="1669.76"/>
  </r>
  <r>
    <x v="0"/>
    <s v="11-310-00-101100-54300"/>
    <x v="0"/>
    <n v="310"/>
    <n v="0"/>
    <x v="16"/>
    <n v="54300"/>
    <x v="1"/>
    <s v="54"/>
    <s v="543"/>
    <x v="688"/>
    <s v="Photography : Supplies &amp; Materials"/>
    <n v="684"/>
  </r>
  <r>
    <x v="0"/>
    <s v="11-310-00-101100-55630"/>
    <x v="0"/>
    <n v="310"/>
    <n v="0"/>
    <x v="16"/>
    <n v="55630"/>
    <x v="1"/>
    <s v="55"/>
    <s v="556"/>
    <x v="689"/>
    <s v="Photography : Printing &amp; Duplicating - Inhouse"/>
    <n v="25"/>
  </r>
  <r>
    <x v="0"/>
    <s v="11-310-00-130500-51310"/>
    <x v="0"/>
    <n v="310"/>
    <n v="0"/>
    <x v="18"/>
    <n v="51310"/>
    <x v="1"/>
    <s v="51"/>
    <s v="513"/>
    <x v="690"/>
    <s v="Early Childhood Education : Academic Teaching NIC"/>
    <n v="0"/>
  </r>
  <r>
    <x v="0"/>
    <s v="11-310-00-130500-52200"/>
    <x v="0"/>
    <n v="310"/>
    <n v="0"/>
    <x v="18"/>
    <n v="52200"/>
    <x v="1"/>
    <s v="52"/>
    <s v="522"/>
    <x v="691"/>
    <s v="Early Childhood Education : Classified Permanent Instructional Aides"/>
    <n v="0"/>
  </r>
  <r>
    <x v="0"/>
    <s v="11-310-00-130500-53110"/>
    <x v="0"/>
    <n v="310"/>
    <n v="0"/>
    <x v="18"/>
    <n v="53110"/>
    <x v="1"/>
    <s v="53"/>
    <s v="531"/>
    <x v="692"/>
    <s v="Early Childhood Education : STRS Teaching"/>
    <n v="0"/>
  </r>
  <r>
    <x v="0"/>
    <s v="11-310-00-130500-53210"/>
    <x v="0"/>
    <n v="310"/>
    <n v="0"/>
    <x v="18"/>
    <n v="53210"/>
    <x v="1"/>
    <s v="53"/>
    <s v="532"/>
    <x v="693"/>
    <s v="Early Childhood Education : PERS Teaching"/>
    <n v="0"/>
  </r>
  <r>
    <x v="0"/>
    <s v="11-310-00-130500-53310"/>
    <x v="0"/>
    <n v="310"/>
    <n v="0"/>
    <x v="18"/>
    <n v="53310"/>
    <x v="1"/>
    <s v="53"/>
    <s v="533"/>
    <x v="694"/>
    <s v="Early Childhood Education : OASDHI (FICA) Teaching"/>
    <n v="0"/>
  </r>
  <r>
    <x v="0"/>
    <s v="11-310-00-130500-53330"/>
    <x v="0"/>
    <n v="310"/>
    <n v="0"/>
    <x v="18"/>
    <n v="53330"/>
    <x v="1"/>
    <s v="53"/>
    <s v="533"/>
    <x v="695"/>
    <s v="Early Childhood Education : Medicare Teaching"/>
    <n v="0"/>
  </r>
  <r>
    <x v="0"/>
    <s v="11-310-00-130500-53510"/>
    <x v="0"/>
    <n v="310"/>
    <n v="0"/>
    <x v="18"/>
    <n v="53510"/>
    <x v="1"/>
    <s v="53"/>
    <s v="535"/>
    <x v="696"/>
    <s v="Early Childhood Education : SUI Teaching"/>
    <n v="0"/>
  </r>
  <r>
    <x v="0"/>
    <s v="11-310-00-130500-53610"/>
    <x v="0"/>
    <n v="310"/>
    <n v="0"/>
    <x v="18"/>
    <n v="53610"/>
    <x v="1"/>
    <s v="53"/>
    <s v="536"/>
    <x v="697"/>
    <s v="Early Childhood Education : WC Teaching"/>
    <n v="0"/>
  </r>
  <r>
    <x v="0"/>
    <s v="11-310-00-130500-55630"/>
    <x v="0"/>
    <n v="310"/>
    <n v="0"/>
    <x v="18"/>
    <n v="55630"/>
    <x v="1"/>
    <s v="55"/>
    <s v="556"/>
    <x v="698"/>
    <s v="Early Childhood Education : Printing &amp; Duplicating - Inhouse"/>
    <n v="0"/>
  </r>
  <r>
    <x v="0"/>
    <s v="11-310-00-140100-55300"/>
    <x v="0"/>
    <n v="310"/>
    <n v="0"/>
    <x v="64"/>
    <n v="55300"/>
    <x v="1"/>
    <s v="55"/>
    <s v="553"/>
    <x v="699"/>
    <s v="General Law : Memberships"/>
    <n v="5000"/>
  </r>
  <r>
    <x v="0"/>
    <s v="11-310-00-150900-51100"/>
    <x v="0"/>
    <n v="310"/>
    <n v="0"/>
    <x v="65"/>
    <n v="51100"/>
    <x v="1"/>
    <s v="51"/>
    <s v="511"/>
    <x v="700"/>
    <s v="Philosophy : Academic Teaching Full-time"/>
    <n v="85006"/>
  </r>
  <r>
    <x v="0"/>
    <s v="11-310-00-150900-51310"/>
    <x v="0"/>
    <n v="310"/>
    <n v="0"/>
    <x v="65"/>
    <n v="51310"/>
    <x v="1"/>
    <s v="51"/>
    <s v="513"/>
    <x v="701"/>
    <s v="Philosophy : Academic Teaching NIC"/>
    <n v="25758"/>
  </r>
  <r>
    <x v="0"/>
    <s v="11-310-00-150900-51311"/>
    <x v="0"/>
    <n v="310"/>
    <n v="0"/>
    <x v="65"/>
    <n v="51311"/>
    <x v="1"/>
    <s v="51"/>
    <s v="513"/>
    <x v="702"/>
    <s v="Philosophy : Academic Teaching PT"/>
    <n v="3000"/>
  </r>
  <r>
    <x v="0"/>
    <s v="11-310-00-150900-51412"/>
    <x v="0"/>
    <n v="310"/>
    <n v="0"/>
    <x v="65"/>
    <n v="51412"/>
    <x v="1"/>
    <s v="51"/>
    <s v="514"/>
    <x v="703"/>
    <s v="Philosophy : Acad Nonteach Special Projects"/>
    <n v="4000"/>
  </r>
  <r>
    <x v="0"/>
    <s v="11-310-00-150900-53110"/>
    <x v="0"/>
    <n v="310"/>
    <n v="0"/>
    <x v="65"/>
    <n v="53110"/>
    <x v="1"/>
    <s v="53"/>
    <s v="531"/>
    <x v="704"/>
    <s v="Philosophy : STRS Teaching"/>
    <n v="18372.89"/>
  </r>
  <r>
    <x v="0"/>
    <s v="11-310-00-150900-53120"/>
    <x v="0"/>
    <n v="310"/>
    <n v="0"/>
    <x v="65"/>
    <n v="53120"/>
    <x v="1"/>
    <s v="53"/>
    <s v="531"/>
    <x v="705"/>
    <s v="Philosophy : STRS Nonteaching"/>
    <n v="646"/>
  </r>
  <r>
    <x v="0"/>
    <s v="11-310-00-150900-53330"/>
    <x v="0"/>
    <n v="310"/>
    <n v="0"/>
    <x v="65"/>
    <n v="53330"/>
    <x v="1"/>
    <s v="53"/>
    <s v="533"/>
    <x v="706"/>
    <s v="Philosophy : Medicare Teaching"/>
    <n v="1649.58"/>
  </r>
  <r>
    <x v="0"/>
    <s v="11-310-00-150900-53340"/>
    <x v="0"/>
    <n v="310"/>
    <n v="0"/>
    <x v="65"/>
    <n v="53340"/>
    <x v="1"/>
    <s v="53"/>
    <s v="533"/>
    <x v="707"/>
    <s v="Philosophy : Medicare Nonteaching"/>
    <n v="58"/>
  </r>
  <r>
    <x v="0"/>
    <s v="11-310-00-150900-53410"/>
    <x v="0"/>
    <n v="310"/>
    <n v="0"/>
    <x v="65"/>
    <n v="53410"/>
    <x v="1"/>
    <s v="53"/>
    <s v="534"/>
    <x v="708"/>
    <s v="Philosophy : H &amp; W Teaching"/>
    <n v="25240.73"/>
  </r>
  <r>
    <x v="0"/>
    <s v="11-310-00-150900-53510"/>
    <x v="0"/>
    <n v="310"/>
    <n v="0"/>
    <x v="65"/>
    <n v="53510"/>
    <x v="1"/>
    <s v="53"/>
    <s v="535"/>
    <x v="709"/>
    <s v="Philosophy : SUI Teaching"/>
    <n v="56.88"/>
  </r>
  <r>
    <x v="0"/>
    <s v="11-310-00-150900-53520"/>
    <x v="0"/>
    <n v="310"/>
    <n v="0"/>
    <x v="65"/>
    <n v="53520"/>
    <x v="1"/>
    <s v="53"/>
    <s v="535"/>
    <x v="710"/>
    <s v="Philosophy : SUI Nonteaching"/>
    <n v="2"/>
  </r>
  <r>
    <x v="0"/>
    <s v="11-310-00-150900-53610"/>
    <x v="0"/>
    <n v="310"/>
    <n v="0"/>
    <x v="65"/>
    <n v="53610"/>
    <x v="1"/>
    <s v="53"/>
    <s v="536"/>
    <x v="711"/>
    <s v="Philosophy : WC Teaching"/>
    <n v="2151.04"/>
  </r>
  <r>
    <x v="0"/>
    <s v="11-310-00-150900-53620"/>
    <x v="0"/>
    <n v="310"/>
    <n v="0"/>
    <x v="65"/>
    <n v="53620"/>
    <x v="1"/>
    <s v="53"/>
    <s v="536"/>
    <x v="712"/>
    <s v="Philosophy : WC Nonteaching"/>
    <n v="75.63"/>
  </r>
  <r>
    <x v="0"/>
    <s v="11-310-00-150900-55630"/>
    <x v="0"/>
    <n v="310"/>
    <n v="0"/>
    <x v="65"/>
    <n v="55630"/>
    <x v="1"/>
    <s v="55"/>
    <s v="556"/>
    <x v="713"/>
    <s v="Philosophy : Printing &amp; Duplicating - Inhouse"/>
    <n v="25"/>
  </r>
  <r>
    <x v="0"/>
    <s v="11-310-00-200100-51100"/>
    <x v="0"/>
    <n v="310"/>
    <n v="0"/>
    <x v="24"/>
    <n v="51100"/>
    <x v="1"/>
    <s v="51"/>
    <s v="511"/>
    <x v="714"/>
    <s v="Psychology : Academic Teaching Full-time"/>
    <n v="195597"/>
  </r>
  <r>
    <x v="0"/>
    <s v="11-310-00-200100-51310"/>
    <x v="0"/>
    <n v="310"/>
    <n v="0"/>
    <x v="24"/>
    <n v="51310"/>
    <x v="1"/>
    <s v="51"/>
    <s v="513"/>
    <x v="715"/>
    <s v="Psychology : Academic Teaching NIC"/>
    <n v="4293"/>
  </r>
  <r>
    <x v="0"/>
    <s v="11-310-00-200100-51311"/>
    <x v="0"/>
    <n v="310"/>
    <n v="0"/>
    <x v="24"/>
    <n v="51311"/>
    <x v="1"/>
    <s v="51"/>
    <s v="513"/>
    <x v="716"/>
    <s v="Psychology : Academic Teaching PT"/>
    <n v="186940"/>
  </r>
  <r>
    <x v="0"/>
    <s v="11-310-00-200100-51412"/>
    <x v="0"/>
    <n v="310"/>
    <n v="0"/>
    <x v="24"/>
    <n v="51412"/>
    <x v="1"/>
    <s v="51"/>
    <s v="514"/>
    <x v="717"/>
    <s v="Psychology : Acad Nonteach Special Projects"/>
    <n v="300"/>
  </r>
  <r>
    <x v="0"/>
    <s v="11-310-00-200100-53110"/>
    <x v="0"/>
    <n v="310"/>
    <n v="0"/>
    <x v="24"/>
    <n v="53110"/>
    <x v="1"/>
    <s v="53"/>
    <s v="531"/>
    <x v="718"/>
    <s v="Psychology : STRS Teaching"/>
    <n v="62473.04"/>
  </r>
  <r>
    <x v="0"/>
    <s v="11-310-00-200100-53120"/>
    <x v="0"/>
    <n v="310"/>
    <n v="0"/>
    <x v="24"/>
    <n v="53120"/>
    <x v="1"/>
    <s v="53"/>
    <s v="531"/>
    <x v="719"/>
    <s v="Psychology : STRS Nonteaching"/>
    <n v="48.45"/>
  </r>
  <r>
    <x v="0"/>
    <s v="11-310-00-200100-53310"/>
    <x v="0"/>
    <n v="310"/>
    <n v="0"/>
    <x v="24"/>
    <n v="53310"/>
    <x v="1"/>
    <s v="53"/>
    <s v="533"/>
    <x v="720"/>
    <s v="Psychology : OASDHI (FICA) Teaching"/>
    <n v="0"/>
  </r>
  <r>
    <x v="0"/>
    <s v="11-310-00-200100-53330"/>
    <x v="0"/>
    <n v="310"/>
    <n v="0"/>
    <x v="24"/>
    <n v="53330"/>
    <x v="1"/>
    <s v="53"/>
    <s v="533"/>
    <x v="721"/>
    <s v="Psychology : Medicare Teaching"/>
    <n v="5609.03"/>
  </r>
  <r>
    <x v="0"/>
    <s v="11-310-00-200100-53340"/>
    <x v="0"/>
    <n v="310"/>
    <n v="0"/>
    <x v="24"/>
    <n v="53340"/>
    <x v="1"/>
    <s v="53"/>
    <s v="533"/>
    <x v="722"/>
    <s v="Psychology : Medicare Nonteaching"/>
    <n v="4.3499999999999996"/>
  </r>
  <r>
    <x v="0"/>
    <s v="11-310-00-200100-53410"/>
    <x v="0"/>
    <n v="310"/>
    <n v="0"/>
    <x v="24"/>
    <n v="53410"/>
    <x v="1"/>
    <s v="53"/>
    <s v="534"/>
    <x v="723"/>
    <s v="Psychology : H &amp; W Teaching"/>
    <n v="39645.019999999997"/>
  </r>
  <r>
    <x v="0"/>
    <s v="11-310-00-200100-53510"/>
    <x v="0"/>
    <n v="310"/>
    <n v="0"/>
    <x v="24"/>
    <n v="53510"/>
    <x v="1"/>
    <s v="53"/>
    <s v="535"/>
    <x v="724"/>
    <s v="Psychology : SUI Teaching"/>
    <n v="193.42"/>
  </r>
  <r>
    <x v="0"/>
    <s v="11-310-00-200100-53520"/>
    <x v="0"/>
    <n v="310"/>
    <n v="0"/>
    <x v="24"/>
    <n v="53520"/>
    <x v="1"/>
    <s v="53"/>
    <s v="535"/>
    <x v="725"/>
    <s v="Psychology : SUI Nonteaching"/>
    <n v="0.15"/>
  </r>
  <r>
    <x v="0"/>
    <s v="11-310-00-200100-53610"/>
    <x v="0"/>
    <n v="310"/>
    <n v="0"/>
    <x v="24"/>
    <n v="53610"/>
    <x v="1"/>
    <s v="53"/>
    <s v="536"/>
    <x v="726"/>
    <s v="Psychology : WC Teaching"/>
    <n v="7314.18"/>
  </r>
  <r>
    <x v="0"/>
    <s v="11-310-00-200100-53620"/>
    <x v="0"/>
    <n v="310"/>
    <n v="0"/>
    <x v="24"/>
    <n v="53620"/>
    <x v="1"/>
    <s v="53"/>
    <s v="536"/>
    <x v="727"/>
    <s v="Psychology : WC Nonteaching"/>
    <n v="5.67"/>
  </r>
  <r>
    <x v="0"/>
    <s v="11-310-00-200100-53910"/>
    <x v="0"/>
    <n v="310"/>
    <n v="0"/>
    <x v="24"/>
    <n v="53910"/>
    <x v="1"/>
    <s v="53"/>
    <s v="539"/>
    <x v="728"/>
    <s v="Psychology : Other Benefit-Teaching"/>
    <n v="2400"/>
  </r>
  <r>
    <x v="0"/>
    <s v="11-310-00-200100-55630"/>
    <x v="0"/>
    <n v="310"/>
    <n v="0"/>
    <x v="24"/>
    <n v="55630"/>
    <x v="1"/>
    <s v="55"/>
    <s v="556"/>
    <x v="729"/>
    <s v="Psychology : Printing &amp; Duplicating - Inhouse"/>
    <n v="250"/>
  </r>
  <r>
    <x v="0"/>
    <s v="11-310-00-210440-51100"/>
    <x v="0"/>
    <n v="310"/>
    <n v="0"/>
    <x v="66"/>
    <n v="51100"/>
    <x v="1"/>
    <s v="51"/>
    <s v="511"/>
    <x v="730"/>
    <s v="Alcohol &amp; Drug Counseling : Academic Teaching Full-time"/>
    <n v="0"/>
  </r>
  <r>
    <x v="0"/>
    <s v="11-310-00-210440-53110"/>
    <x v="0"/>
    <n v="310"/>
    <n v="0"/>
    <x v="66"/>
    <n v="53110"/>
    <x v="1"/>
    <s v="53"/>
    <s v="531"/>
    <x v="731"/>
    <s v="Alcohol &amp; Drug Counseling : STRS Teaching"/>
    <n v="0"/>
  </r>
  <r>
    <x v="0"/>
    <s v="11-310-00-210440-53330"/>
    <x v="0"/>
    <n v="310"/>
    <n v="0"/>
    <x v="66"/>
    <n v="53330"/>
    <x v="1"/>
    <s v="53"/>
    <s v="533"/>
    <x v="732"/>
    <s v="Alcohol &amp; Drug Counseling : Medicare Teaching"/>
    <n v="0"/>
  </r>
  <r>
    <x v="0"/>
    <s v="11-310-00-210440-53410"/>
    <x v="0"/>
    <n v="310"/>
    <n v="0"/>
    <x v="66"/>
    <n v="53410"/>
    <x v="1"/>
    <s v="53"/>
    <s v="534"/>
    <x v="733"/>
    <s v="Alcohol &amp; Drug Counseling : H &amp; W Teaching"/>
    <n v="0"/>
  </r>
  <r>
    <x v="0"/>
    <s v="11-310-00-210440-53510"/>
    <x v="0"/>
    <n v="310"/>
    <n v="0"/>
    <x v="66"/>
    <n v="53510"/>
    <x v="1"/>
    <s v="53"/>
    <s v="535"/>
    <x v="734"/>
    <s v="Alcohol &amp; Drug Counseling : SUI Teaching"/>
    <n v="0"/>
  </r>
  <r>
    <x v="0"/>
    <s v="11-310-00-210440-53610"/>
    <x v="0"/>
    <n v="310"/>
    <n v="0"/>
    <x v="66"/>
    <n v="53610"/>
    <x v="1"/>
    <s v="53"/>
    <s v="536"/>
    <x v="735"/>
    <s v="Alcohol &amp; Drug Counseling : WC Teaching"/>
    <n v="0"/>
  </r>
  <r>
    <x v="0"/>
    <s v="11-310-00-210440-55630"/>
    <x v="0"/>
    <n v="310"/>
    <n v="0"/>
    <x v="66"/>
    <n v="55630"/>
    <x v="1"/>
    <s v="55"/>
    <s v="556"/>
    <x v="736"/>
    <s v="Alcohol &amp; Drug Counseling : Printing &amp; Duplicating - Inhouse"/>
    <n v="0"/>
  </r>
  <r>
    <x v="0"/>
    <s v="11-310-00-210500-51310"/>
    <x v="0"/>
    <n v="310"/>
    <n v="0"/>
    <x v="25"/>
    <n v="51310"/>
    <x v="1"/>
    <s v="51"/>
    <s v="513"/>
    <x v="737"/>
    <s v="Administration of Justice : Academic Teaching NIC"/>
    <n v="0"/>
  </r>
  <r>
    <x v="0"/>
    <s v="11-310-00-210500-51311"/>
    <x v="0"/>
    <n v="310"/>
    <n v="0"/>
    <x v="25"/>
    <n v="51311"/>
    <x v="1"/>
    <s v="51"/>
    <s v="513"/>
    <x v="738"/>
    <s v="Administration of Justice : Academic Teaching PT"/>
    <n v="0"/>
  </r>
  <r>
    <x v="0"/>
    <s v="11-310-00-210500-53110"/>
    <x v="0"/>
    <n v="310"/>
    <n v="0"/>
    <x v="25"/>
    <n v="53110"/>
    <x v="1"/>
    <s v="53"/>
    <s v="531"/>
    <x v="739"/>
    <s v="Administration of Justice : STRS Teaching"/>
    <n v="0"/>
  </r>
  <r>
    <x v="0"/>
    <s v="11-310-00-210500-53330"/>
    <x v="0"/>
    <n v="310"/>
    <n v="0"/>
    <x v="25"/>
    <n v="53330"/>
    <x v="1"/>
    <s v="53"/>
    <s v="533"/>
    <x v="740"/>
    <s v="Administration of Justice : Medicare Teaching"/>
    <n v="0"/>
  </r>
  <r>
    <x v="0"/>
    <s v="11-310-00-210500-53510"/>
    <x v="0"/>
    <n v="310"/>
    <n v="0"/>
    <x v="25"/>
    <n v="53510"/>
    <x v="1"/>
    <s v="53"/>
    <s v="535"/>
    <x v="741"/>
    <s v="Administration of Justice : SUI Teaching"/>
    <n v="0"/>
  </r>
  <r>
    <x v="0"/>
    <s v="11-310-00-210500-53610"/>
    <x v="0"/>
    <n v="310"/>
    <n v="0"/>
    <x v="25"/>
    <n v="53610"/>
    <x v="1"/>
    <s v="53"/>
    <s v="536"/>
    <x v="742"/>
    <s v="Administration of Justice : WC Teaching"/>
    <n v="0"/>
  </r>
  <r>
    <x v="0"/>
    <s v="11-310-00-220200-51100"/>
    <x v="0"/>
    <n v="310"/>
    <n v="0"/>
    <x v="26"/>
    <n v="51100"/>
    <x v="1"/>
    <s v="51"/>
    <s v="511"/>
    <x v="743"/>
    <s v="Anthropology : Academic Teaching Full-time"/>
    <n v="120754"/>
  </r>
  <r>
    <x v="0"/>
    <s v="11-310-00-220200-51310"/>
    <x v="0"/>
    <n v="310"/>
    <n v="0"/>
    <x v="26"/>
    <n v="51310"/>
    <x v="1"/>
    <s v="51"/>
    <s v="513"/>
    <x v="744"/>
    <s v="Anthropology : Academic Teaching NIC"/>
    <n v="17172"/>
  </r>
  <r>
    <x v="0"/>
    <s v="11-310-00-220200-51311"/>
    <x v="0"/>
    <n v="310"/>
    <n v="0"/>
    <x v="26"/>
    <n v="51311"/>
    <x v="1"/>
    <s v="51"/>
    <s v="513"/>
    <x v="745"/>
    <s v="Anthropology : Academic Teaching PT"/>
    <n v="35828"/>
  </r>
  <r>
    <x v="0"/>
    <s v="11-310-00-220200-53110"/>
    <x v="0"/>
    <n v="310"/>
    <n v="0"/>
    <x v="26"/>
    <n v="53110"/>
    <x v="1"/>
    <s v="53"/>
    <s v="531"/>
    <x v="746"/>
    <s v="Anthropology : STRS Teaching"/>
    <n v="28061.27"/>
  </r>
  <r>
    <x v="0"/>
    <s v="11-310-00-220200-53310"/>
    <x v="0"/>
    <n v="310"/>
    <n v="0"/>
    <x v="26"/>
    <n v="53310"/>
    <x v="1"/>
    <s v="53"/>
    <s v="533"/>
    <x v="747"/>
    <s v="Anthropology : OASDHI (FICA) Teaching"/>
    <n v="0"/>
  </r>
  <r>
    <x v="0"/>
    <s v="11-310-00-220200-53330"/>
    <x v="0"/>
    <n v="310"/>
    <n v="0"/>
    <x v="26"/>
    <n v="53330"/>
    <x v="1"/>
    <s v="53"/>
    <s v="533"/>
    <x v="748"/>
    <s v="Anthropology : Medicare Teaching"/>
    <n v="2519.4299999999998"/>
  </r>
  <r>
    <x v="0"/>
    <s v="11-310-00-220200-53410"/>
    <x v="0"/>
    <n v="310"/>
    <n v="0"/>
    <x v="26"/>
    <n v="53410"/>
    <x v="1"/>
    <s v="53"/>
    <s v="534"/>
    <x v="749"/>
    <s v="Anthropology : H &amp; W Teaching"/>
    <n v="33121.43"/>
  </r>
  <r>
    <x v="0"/>
    <s v="11-310-00-220200-53510"/>
    <x v="0"/>
    <n v="310"/>
    <n v="0"/>
    <x v="26"/>
    <n v="53510"/>
    <x v="1"/>
    <s v="53"/>
    <s v="535"/>
    <x v="750"/>
    <s v="Anthropology : SUI Teaching"/>
    <n v="86.88"/>
  </r>
  <r>
    <x v="0"/>
    <s v="11-310-00-220200-53610"/>
    <x v="0"/>
    <n v="310"/>
    <n v="0"/>
    <x v="26"/>
    <n v="53610"/>
    <x v="1"/>
    <s v="53"/>
    <s v="536"/>
    <x v="751"/>
    <s v="Anthropology : WC Teaching"/>
    <n v="3285.35"/>
  </r>
  <r>
    <x v="0"/>
    <s v="11-310-00-220200-55630"/>
    <x v="0"/>
    <n v="310"/>
    <n v="0"/>
    <x v="26"/>
    <n v="55630"/>
    <x v="1"/>
    <s v="55"/>
    <s v="556"/>
    <x v="752"/>
    <s v="Anthropology : Printing &amp; Duplicating - Inhouse"/>
    <n v="25"/>
  </r>
  <r>
    <x v="0"/>
    <s v="11-310-00-220210-51100"/>
    <x v="0"/>
    <n v="310"/>
    <n v="0"/>
    <x v="27"/>
    <n v="51100"/>
    <x v="1"/>
    <s v="51"/>
    <s v="511"/>
    <x v="753"/>
    <s v="Ethnic Studies : Academic Teaching Full-time"/>
    <n v="117367"/>
  </r>
  <r>
    <x v="0"/>
    <s v="11-310-00-220210-51310"/>
    <x v="0"/>
    <n v="310"/>
    <n v="0"/>
    <x v="27"/>
    <n v="51310"/>
    <x v="1"/>
    <s v="51"/>
    <s v="513"/>
    <x v="754"/>
    <s v="Ethnic Studies : Academic Teaching NIC"/>
    <n v="2430"/>
  </r>
  <r>
    <x v="0"/>
    <s v="11-310-00-220210-51311"/>
    <x v="0"/>
    <n v="310"/>
    <n v="0"/>
    <x v="27"/>
    <n v="51311"/>
    <x v="1"/>
    <s v="51"/>
    <s v="513"/>
    <x v="755"/>
    <s v="Ethnic Studies : Academic Teaching PT"/>
    <n v="38721"/>
  </r>
  <r>
    <x v="0"/>
    <s v="11-310-00-220210-53110"/>
    <x v="0"/>
    <n v="310"/>
    <n v="0"/>
    <x v="27"/>
    <n v="53110"/>
    <x v="1"/>
    <s v="53"/>
    <s v="531"/>
    <x v="756"/>
    <s v="Ethnic Studies : STRS Teaching"/>
    <n v="25600.66"/>
  </r>
  <r>
    <x v="0"/>
    <s v="11-310-00-220210-53330"/>
    <x v="0"/>
    <n v="310"/>
    <n v="0"/>
    <x v="27"/>
    <n v="53330"/>
    <x v="1"/>
    <s v="53"/>
    <s v="533"/>
    <x v="757"/>
    <s v="Ethnic Studies : Medicare Teaching"/>
    <n v="2298.5100000000002"/>
  </r>
  <r>
    <x v="0"/>
    <s v="11-310-00-220210-53410"/>
    <x v="0"/>
    <n v="310"/>
    <n v="0"/>
    <x v="27"/>
    <n v="53410"/>
    <x v="1"/>
    <s v="53"/>
    <s v="534"/>
    <x v="758"/>
    <s v="Ethnic Studies : H &amp; W Teaching"/>
    <n v="33121.43"/>
  </r>
  <r>
    <x v="0"/>
    <s v="11-310-00-220210-53510"/>
    <x v="0"/>
    <n v="310"/>
    <n v="0"/>
    <x v="27"/>
    <n v="53510"/>
    <x v="1"/>
    <s v="53"/>
    <s v="535"/>
    <x v="759"/>
    <s v="Ethnic Studies : SUI Teaching"/>
    <n v="79.260000000000005"/>
  </r>
  <r>
    <x v="0"/>
    <s v="11-310-00-220210-53610"/>
    <x v="0"/>
    <n v="310"/>
    <n v="0"/>
    <x v="27"/>
    <n v="53610"/>
    <x v="1"/>
    <s v="53"/>
    <s v="536"/>
    <x v="760"/>
    <s v="Ethnic Studies : WC Teaching"/>
    <n v="2997.27"/>
  </r>
  <r>
    <x v="0"/>
    <s v="11-310-00-220210-55200"/>
    <x v="0"/>
    <n v="310"/>
    <n v="0"/>
    <x v="27"/>
    <n v="55200"/>
    <x v="1"/>
    <s v="55"/>
    <s v="552"/>
    <x v="761"/>
    <s v="Ethnic Studies : Travel &amp; Conference"/>
    <n v="0"/>
  </r>
  <r>
    <x v="0"/>
    <s v="11-310-00-220210-55630"/>
    <x v="0"/>
    <n v="310"/>
    <n v="0"/>
    <x v="27"/>
    <n v="55630"/>
    <x v="1"/>
    <s v="55"/>
    <s v="556"/>
    <x v="762"/>
    <s v="Ethnic Studies : Printing &amp; Duplicating - Inhouse"/>
    <n v="25"/>
  </r>
  <r>
    <x v="0"/>
    <s v="11-310-00-220400-51100"/>
    <x v="0"/>
    <n v="310"/>
    <n v="0"/>
    <x v="67"/>
    <n v="51100"/>
    <x v="1"/>
    <s v="51"/>
    <s v="511"/>
    <x v="763"/>
    <s v="Economics : Academic Teaching Full-time"/>
    <n v="105042"/>
  </r>
  <r>
    <x v="0"/>
    <s v="11-310-00-220400-51310"/>
    <x v="0"/>
    <n v="310"/>
    <n v="0"/>
    <x v="67"/>
    <n v="51310"/>
    <x v="1"/>
    <s v="51"/>
    <s v="513"/>
    <x v="764"/>
    <s v="Economics : Academic Teaching NIC"/>
    <n v="17172"/>
  </r>
  <r>
    <x v="0"/>
    <s v="11-310-00-220400-51311"/>
    <x v="0"/>
    <n v="310"/>
    <n v="0"/>
    <x v="67"/>
    <n v="51311"/>
    <x v="1"/>
    <s v="51"/>
    <s v="513"/>
    <x v="765"/>
    <s v="Economics : Academic Teaching PT"/>
    <n v="17500"/>
  </r>
  <r>
    <x v="0"/>
    <s v="11-310-00-220400-53110"/>
    <x v="0"/>
    <n v="310"/>
    <n v="0"/>
    <x v="67"/>
    <n v="53110"/>
    <x v="1"/>
    <s v="53"/>
    <s v="531"/>
    <x v="766"/>
    <s v="Economics : STRS Teaching"/>
    <n v="22563.81"/>
  </r>
  <r>
    <x v="0"/>
    <s v="11-310-00-220400-53330"/>
    <x v="0"/>
    <n v="310"/>
    <n v="0"/>
    <x v="67"/>
    <n v="53330"/>
    <x v="1"/>
    <s v="53"/>
    <s v="533"/>
    <x v="767"/>
    <s v="Economics : Medicare Teaching"/>
    <n v="2025.85"/>
  </r>
  <r>
    <x v="0"/>
    <s v="11-310-00-220400-53410"/>
    <x v="0"/>
    <n v="310"/>
    <n v="0"/>
    <x v="67"/>
    <n v="53410"/>
    <x v="1"/>
    <s v="53"/>
    <s v="534"/>
    <x v="768"/>
    <s v="Economics : H &amp; W Teaching"/>
    <n v="33121.43"/>
  </r>
  <r>
    <x v="0"/>
    <s v="11-310-00-220400-53510"/>
    <x v="0"/>
    <n v="310"/>
    <n v="0"/>
    <x v="67"/>
    <n v="53510"/>
    <x v="1"/>
    <s v="53"/>
    <s v="535"/>
    <x v="769"/>
    <s v="Economics : SUI Teaching"/>
    <n v="69.86"/>
  </r>
  <r>
    <x v="0"/>
    <s v="11-310-00-220400-53610"/>
    <x v="0"/>
    <n v="310"/>
    <n v="0"/>
    <x v="67"/>
    <n v="53610"/>
    <x v="1"/>
    <s v="53"/>
    <s v="536"/>
    <x v="770"/>
    <s v="Economics : WC Teaching"/>
    <n v="2641.71"/>
  </r>
  <r>
    <x v="0"/>
    <s v="11-310-00-220400-55630"/>
    <x v="0"/>
    <n v="310"/>
    <n v="0"/>
    <x v="67"/>
    <n v="55630"/>
    <x v="1"/>
    <s v="55"/>
    <s v="556"/>
    <x v="771"/>
    <s v="Economics : Printing &amp; Duplicating - Inhouse"/>
    <n v="25"/>
  </r>
  <r>
    <x v="0"/>
    <s v="11-310-00-220500-51100"/>
    <x v="0"/>
    <n v="310"/>
    <n v="0"/>
    <x v="28"/>
    <n v="51100"/>
    <x v="1"/>
    <s v="51"/>
    <s v="511"/>
    <x v="772"/>
    <s v="History : Academic Teaching Full-time"/>
    <n v="203717"/>
  </r>
  <r>
    <x v="0"/>
    <s v="11-310-00-220500-51310"/>
    <x v="0"/>
    <n v="310"/>
    <n v="0"/>
    <x v="28"/>
    <n v="51310"/>
    <x v="1"/>
    <s v="51"/>
    <s v="513"/>
    <x v="773"/>
    <s v="History : Academic Teaching NIC"/>
    <n v="51516"/>
  </r>
  <r>
    <x v="0"/>
    <s v="11-310-00-220500-51311"/>
    <x v="0"/>
    <n v="310"/>
    <n v="0"/>
    <x v="28"/>
    <n v="51311"/>
    <x v="1"/>
    <s v="51"/>
    <s v="513"/>
    <x v="774"/>
    <s v="History : Academic Teaching PT"/>
    <n v="139590"/>
  </r>
  <r>
    <x v="0"/>
    <s v="11-310-00-220500-53110"/>
    <x v="0"/>
    <n v="310"/>
    <n v="0"/>
    <x v="28"/>
    <n v="53110"/>
    <x v="1"/>
    <s v="53"/>
    <s v="531"/>
    <x v="775"/>
    <s v="History : STRS Teaching"/>
    <n v="63763.92"/>
  </r>
  <r>
    <x v="0"/>
    <s v="11-310-00-220500-53310"/>
    <x v="0"/>
    <n v="310"/>
    <n v="0"/>
    <x v="28"/>
    <n v="53310"/>
    <x v="1"/>
    <s v="53"/>
    <s v="533"/>
    <x v="776"/>
    <s v="History : OASDHI (FICA) Teaching"/>
    <n v="0"/>
  </r>
  <r>
    <x v="0"/>
    <s v="11-310-00-220500-53330"/>
    <x v="0"/>
    <n v="310"/>
    <n v="0"/>
    <x v="28"/>
    <n v="53330"/>
    <x v="1"/>
    <s v="53"/>
    <s v="533"/>
    <x v="777"/>
    <s v="History : Medicare Teaching"/>
    <n v="5724.94"/>
  </r>
  <r>
    <x v="0"/>
    <s v="11-310-00-220500-53410"/>
    <x v="0"/>
    <n v="310"/>
    <n v="0"/>
    <x v="28"/>
    <n v="53410"/>
    <x v="1"/>
    <s v="53"/>
    <s v="534"/>
    <x v="778"/>
    <s v="History : H &amp; W Teaching"/>
    <n v="46335.74"/>
  </r>
  <r>
    <x v="0"/>
    <s v="11-310-00-220500-53510"/>
    <x v="0"/>
    <n v="310"/>
    <n v="0"/>
    <x v="28"/>
    <n v="53510"/>
    <x v="1"/>
    <s v="53"/>
    <s v="535"/>
    <x v="779"/>
    <s v="History : SUI Teaching"/>
    <n v="197.42"/>
  </r>
  <r>
    <x v="0"/>
    <s v="11-310-00-220500-53610"/>
    <x v="0"/>
    <n v="310"/>
    <n v="0"/>
    <x v="28"/>
    <n v="53610"/>
    <x v="1"/>
    <s v="53"/>
    <s v="536"/>
    <x v="780"/>
    <s v="History : WC Teaching"/>
    <n v="7465.31"/>
  </r>
  <r>
    <x v="0"/>
    <s v="11-310-00-220500-55630"/>
    <x v="0"/>
    <n v="310"/>
    <n v="0"/>
    <x v="28"/>
    <n v="55630"/>
    <x v="1"/>
    <s v="55"/>
    <s v="556"/>
    <x v="781"/>
    <s v="History : Printing &amp; Duplicating - Inhouse"/>
    <n v="25"/>
  </r>
  <r>
    <x v="0"/>
    <s v="11-310-00-220700-51100"/>
    <x v="0"/>
    <n v="310"/>
    <n v="0"/>
    <x v="30"/>
    <n v="51100"/>
    <x v="1"/>
    <s v="51"/>
    <s v="511"/>
    <x v="782"/>
    <s v="Political Science : Academic Teaching Full-time"/>
    <n v="104196"/>
  </r>
  <r>
    <x v="0"/>
    <s v="11-310-00-220700-51310"/>
    <x v="0"/>
    <n v="310"/>
    <n v="0"/>
    <x v="30"/>
    <n v="51310"/>
    <x v="1"/>
    <s v="51"/>
    <s v="513"/>
    <x v="783"/>
    <s v="Political Science : Academic Teaching NIC"/>
    <n v="17172"/>
  </r>
  <r>
    <x v="0"/>
    <s v="11-310-00-220700-51311"/>
    <x v="0"/>
    <n v="310"/>
    <n v="0"/>
    <x v="30"/>
    <n v="51311"/>
    <x v="1"/>
    <s v="51"/>
    <s v="513"/>
    <x v="784"/>
    <s v="Political Science : Academic Teaching PT"/>
    <n v="101500"/>
  </r>
  <r>
    <x v="0"/>
    <s v="11-310-00-220700-53110"/>
    <x v="0"/>
    <n v="310"/>
    <n v="0"/>
    <x v="30"/>
    <n v="53110"/>
    <x v="1"/>
    <s v="53"/>
    <s v="531"/>
    <x v="785"/>
    <s v="Political Science : STRS Teaching"/>
    <n v="35993.18"/>
  </r>
  <r>
    <x v="0"/>
    <s v="11-310-00-220700-53330"/>
    <x v="0"/>
    <n v="310"/>
    <n v="0"/>
    <x v="30"/>
    <n v="53330"/>
    <x v="1"/>
    <s v="53"/>
    <s v="533"/>
    <x v="786"/>
    <s v="Political Science : Medicare Teaching"/>
    <n v="3231.58"/>
  </r>
  <r>
    <x v="0"/>
    <s v="11-310-00-220700-53410"/>
    <x v="0"/>
    <n v="310"/>
    <n v="0"/>
    <x v="30"/>
    <n v="53410"/>
    <x v="1"/>
    <s v="53"/>
    <s v="534"/>
    <x v="787"/>
    <s v="Political Science : H &amp; W Teaching"/>
    <n v="33121.43"/>
  </r>
  <r>
    <x v="0"/>
    <s v="11-310-00-220700-53510"/>
    <x v="0"/>
    <n v="310"/>
    <n v="0"/>
    <x v="30"/>
    <n v="53510"/>
    <x v="1"/>
    <s v="53"/>
    <s v="535"/>
    <x v="788"/>
    <s v="Political Science : SUI Teaching"/>
    <n v="111.44"/>
  </r>
  <r>
    <x v="0"/>
    <s v="11-310-00-220700-53610"/>
    <x v="0"/>
    <n v="310"/>
    <n v="0"/>
    <x v="30"/>
    <n v="53610"/>
    <x v="1"/>
    <s v="53"/>
    <s v="536"/>
    <x v="789"/>
    <s v="Political Science : WC Teaching"/>
    <n v="4213.99"/>
  </r>
  <r>
    <x v="0"/>
    <s v="11-310-00-220700-55630"/>
    <x v="0"/>
    <n v="310"/>
    <n v="0"/>
    <x v="30"/>
    <n v="55630"/>
    <x v="1"/>
    <s v="55"/>
    <s v="556"/>
    <x v="790"/>
    <s v="Political Science : Printing &amp; Duplicating - Inhouse"/>
    <n v="25"/>
  </r>
  <r>
    <x v="0"/>
    <s v="11-310-00-220800-51100"/>
    <x v="0"/>
    <n v="310"/>
    <n v="0"/>
    <x v="31"/>
    <n v="51100"/>
    <x v="1"/>
    <s v="51"/>
    <s v="511"/>
    <x v="791"/>
    <s v="Sociology : Academic Teaching Full-time"/>
    <n v="99900"/>
  </r>
  <r>
    <x v="0"/>
    <s v="11-310-00-220800-51310"/>
    <x v="0"/>
    <n v="310"/>
    <n v="0"/>
    <x v="31"/>
    <n v="51310"/>
    <x v="1"/>
    <s v="51"/>
    <s v="513"/>
    <x v="792"/>
    <s v="Sociology : Academic Teaching NIC"/>
    <n v="21465"/>
  </r>
  <r>
    <x v="0"/>
    <s v="11-310-00-220800-51311"/>
    <x v="0"/>
    <n v="310"/>
    <n v="0"/>
    <x v="31"/>
    <n v="51311"/>
    <x v="1"/>
    <s v="51"/>
    <s v="513"/>
    <x v="793"/>
    <s v="Sociology : Academic Teaching PT"/>
    <n v="49035"/>
  </r>
  <r>
    <x v="0"/>
    <s v="11-310-00-220800-53110"/>
    <x v="0"/>
    <n v="310"/>
    <n v="0"/>
    <x v="31"/>
    <n v="53110"/>
    <x v="1"/>
    <s v="53"/>
    <s v="531"/>
    <x v="794"/>
    <s v="Sociology : STRS Teaching"/>
    <n v="27519.599999999999"/>
  </r>
  <r>
    <x v="0"/>
    <s v="11-310-00-220800-53310"/>
    <x v="0"/>
    <n v="310"/>
    <n v="0"/>
    <x v="31"/>
    <n v="53310"/>
    <x v="1"/>
    <s v="53"/>
    <s v="533"/>
    <x v="795"/>
    <s v="Sociology : OASDHI (FICA) Teaching"/>
    <n v="0"/>
  </r>
  <r>
    <x v="0"/>
    <s v="11-310-00-220800-53330"/>
    <x v="0"/>
    <n v="310"/>
    <n v="0"/>
    <x v="31"/>
    <n v="53330"/>
    <x v="1"/>
    <s v="53"/>
    <s v="533"/>
    <x v="796"/>
    <s v="Sociology : Medicare Teaching"/>
    <n v="2470.8000000000002"/>
  </r>
  <r>
    <x v="0"/>
    <s v="11-310-00-220800-53410"/>
    <x v="0"/>
    <n v="310"/>
    <n v="0"/>
    <x v="31"/>
    <n v="53410"/>
    <x v="1"/>
    <s v="53"/>
    <s v="534"/>
    <x v="797"/>
    <s v="Sociology : H &amp; W Teaching"/>
    <n v="33121.43"/>
  </r>
  <r>
    <x v="0"/>
    <s v="11-310-00-220800-53510"/>
    <x v="0"/>
    <n v="310"/>
    <n v="0"/>
    <x v="31"/>
    <n v="53510"/>
    <x v="1"/>
    <s v="53"/>
    <s v="535"/>
    <x v="798"/>
    <s v="Sociology : SUI Teaching"/>
    <n v="85.2"/>
  </r>
  <r>
    <x v="0"/>
    <s v="11-310-00-220800-53610"/>
    <x v="0"/>
    <n v="310"/>
    <n v="0"/>
    <x v="31"/>
    <n v="53610"/>
    <x v="1"/>
    <s v="53"/>
    <s v="536"/>
    <x v="799"/>
    <s v="Sociology : WC Teaching"/>
    <n v="3221.92"/>
  </r>
  <r>
    <x v="0"/>
    <s v="11-310-00-220800-55630"/>
    <x v="0"/>
    <n v="310"/>
    <n v="0"/>
    <x v="31"/>
    <n v="55630"/>
    <x v="1"/>
    <s v="55"/>
    <s v="556"/>
    <x v="800"/>
    <s v="Sociology : Printing &amp; Duplicating - Inhouse"/>
    <n v="26.84"/>
  </r>
  <r>
    <x v="0"/>
    <s v="11-320-00-083500-51100"/>
    <x v="0"/>
    <n v="320"/>
    <n v="0"/>
    <x v="68"/>
    <n v="51100"/>
    <x v="1"/>
    <s v="51"/>
    <s v="511"/>
    <x v="801"/>
    <s v="Physical Education : Academic Teaching Full-time"/>
    <n v="268582.95"/>
  </r>
  <r>
    <x v="0"/>
    <s v="11-320-00-083500-51310"/>
    <x v="0"/>
    <n v="320"/>
    <n v="0"/>
    <x v="68"/>
    <n v="51310"/>
    <x v="1"/>
    <s v="51"/>
    <s v="513"/>
    <x v="802"/>
    <s v="Physical Education : Academic Teaching NIC"/>
    <n v="36000"/>
  </r>
  <r>
    <x v="0"/>
    <s v="11-320-00-083500-51311"/>
    <x v="0"/>
    <n v="320"/>
    <n v="0"/>
    <x v="68"/>
    <n v="51311"/>
    <x v="1"/>
    <s v="51"/>
    <s v="513"/>
    <x v="803"/>
    <s v="Physical Education : Academic Teaching PT"/>
    <n v="235000"/>
  </r>
  <r>
    <x v="0"/>
    <s v="11-320-00-083500-51412"/>
    <x v="0"/>
    <n v="320"/>
    <n v="0"/>
    <x v="68"/>
    <n v="51412"/>
    <x v="1"/>
    <s v="51"/>
    <s v="514"/>
    <x v="804"/>
    <s v="Physical Education : Acad Nonteach Special Projects"/>
    <n v="500"/>
  </r>
  <r>
    <x v="0"/>
    <s v="11-320-00-083500-52360"/>
    <x v="0"/>
    <n v="320"/>
    <n v="0"/>
    <x v="68"/>
    <n v="52360"/>
    <x v="1"/>
    <s v="52"/>
    <s v="523"/>
    <x v="805"/>
    <s v="Physical Education : Class Nonstu NonIA PT Prof Exp"/>
    <n v="13000"/>
  </r>
  <r>
    <x v="0"/>
    <s v="11-320-00-083500-52400"/>
    <x v="0"/>
    <n v="320"/>
    <n v="0"/>
    <x v="68"/>
    <n v="52400"/>
    <x v="1"/>
    <s v="52"/>
    <s v="524"/>
    <x v="806"/>
    <s v="Physical Education : Classified Nonstudent Instructional Aides PT"/>
    <n v="4000"/>
  </r>
  <r>
    <x v="0"/>
    <s v="11-320-00-083500-53110"/>
    <x v="0"/>
    <n v="320"/>
    <n v="0"/>
    <x v="68"/>
    <n v="53110"/>
    <x v="1"/>
    <s v="53"/>
    <s v="531"/>
    <x v="807"/>
    <s v="Physical Education : STRS Teaching"/>
    <n v="87142.65"/>
  </r>
  <r>
    <x v="0"/>
    <s v="11-320-00-083500-53120"/>
    <x v="0"/>
    <n v="320"/>
    <n v="0"/>
    <x v="68"/>
    <n v="53120"/>
    <x v="1"/>
    <s v="53"/>
    <s v="531"/>
    <x v="808"/>
    <s v="Physical Education : STRS Nonteaching"/>
    <n v="80.75"/>
  </r>
  <r>
    <x v="0"/>
    <s v="11-320-00-083500-53310"/>
    <x v="0"/>
    <n v="320"/>
    <n v="0"/>
    <x v="68"/>
    <n v="53310"/>
    <x v="1"/>
    <s v="53"/>
    <s v="533"/>
    <x v="809"/>
    <s v="Physical Education : OASDHI (FICA) Teaching"/>
    <n v="248"/>
  </r>
  <r>
    <x v="0"/>
    <s v="11-320-00-083500-53320"/>
    <x v="0"/>
    <n v="320"/>
    <n v="0"/>
    <x v="68"/>
    <n v="53320"/>
    <x v="1"/>
    <s v="53"/>
    <s v="533"/>
    <x v="810"/>
    <s v="Physical Education : OASDHI (FICA) Nonteaching"/>
    <n v="806"/>
  </r>
  <r>
    <x v="0"/>
    <s v="11-320-00-083500-53330"/>
    <x v="0"/>
    <n v="320"/>
    <n v="0"/>
    <x v="68"/>
    <n v="53330"/>
    <x v="1"/>
    <s v="53"/>
    <s v="533"/>
    <x v="811"/>
    <s v="Physical Education : Medicare Teaching"/>
    <n v="7881.96"/>
  </r>
  <r>
    <x v="0"/>
    <s v="11-320-00-083500-53340"/>
    <x v="0"/>
    <n v="320"/>
    <n v="0"/>
    <x v="68"/>
    <n v="53340"/>
    <x v="1"/>
    <s v="53"/>
    <s v="533"/>
    <x v="812"/>
    <s v="Physical Education : Medicare Nonteaching"/>
    <n v="195.75"/>
  </r>
  <r>
    <x v="0"/>
    <s v="11-320-00-083500-53410"/>
    <x v="0"/>
    <n v="320"/>
    <n v="0"/>
    <x v="68"/>
    <n v="53410"/>
    <x v="1"/>
    <s v="53"/>
    <s v="534"/>
    <x v="813"/>
    <s v="Physical Education : H &amp; W Teaching"/>
    <n v="64580.89"/>
  </r>
  <r>
    <x v="0"/>
    <s v="11-320-00-083500-53510"/>
    <x v="0"/>
    <n v="320"/>
    <n v="0"/>
    <x v="68"/>
    <n v="53510"/>
    <x v="1"/>
    <s v="53"/>
    <s v="535"/>
    <x v="814"/>
    <s v="Physical Education : SUI Teaching"/>
    <n v="271.8"/>
  </r>
  <r>
    <x v="0"/>
    <s v="11-320-00-083500-53520"/>
    <x v="0"/>
    <n v="320"/>
    <n v="0"/>
    <x v="68"/>
    <n v="53520"/>
    <x v="1"/>
    <s v="53"/>
    <s v="535"/>
    <x v="815"/>
    <s v="Physical Education : SUI Nonteaching"/>
    <n v="6.75"/>
  </r>
  <r>
    <x v="0"/>
    <s v="11-320-00-083500-53610"/>
    <x v="0"/>
    <n v="320"/>
    <n v="0"/>
    <x v="68"/>
    <n v="53610"/>
    <x v="1"/>
    <s v="53"/>
    <s v="536"/>
    <x v="816"/>
    <s v="Physical Education : WC Teaching"/>
    <n v="10278.07"/>
  </r>
  <r>
    <x v="0"/>
    <s v="11-320-00-083500-53620"/>
    <x v="0"/>
    <n v="320"/>
    <n v="0"/>
    <x v="68"/>
    <n v="53620"/>
    <x v="1"/>
    <s v="53"/>
    <s v="536"/>
    <x v="817"/>
    <s v="Physical Education : WC Nonteaching"/>
    <n v="255.25"/>
  </r>
  <r>
    <x v="0"/>
    <s v="11-320-00-083500-54300"/>
    <x v="0"/>
    <n v="320"/>
    <n v="0"/>
    <x v="68"/>
    <n v="54300"/>
    <x v="1"/>
    <s v="54"/>
    <s v="543"/>
    <x v="818"/>
    <s v="Physical Education : Supplies &amp; Materials"/>
    <n v="1300"/>
  </r>
  <r>
    <x v="0"/>
    <s v="11-320-00-083500-55309"/>
    <x v="0"/>
    <n v="320"/>
    <n v="0"/>
    <x v="68"/>
    <n v="55309"/>
    <x v="1"/>
    <s v="55"/>
    <s v="553"/>
    <x v="819"/>
    <s v="Physical Education : Subscriptions"/>
    <n v="700"/>
  </r>
  <r>
    <x v="0"/>
    <s v="11-320-00-083500-55630"/>
    <x v="0"/>
    <n v="320"/>
    <n v="0"/>
    <x v="68"/>
    <n v="55630"/>
    <x v="1"/>
    <s v="55"/>
    <s v="556"/>
    <x v="820"/>
    <s v="Physical Education : Printing &amp; Duplicating - Inhouse"/>
    <n v="483.23"/>
  </r>
  <r>
    <x v="0"/>
    <s v="11-320-00-083500-55651"/>
    <x v="0"/>
    <n v="320"/>
    <n v="0"/>
    <x v="68"/>
    <n v="55651"/>
    <x v="1"/>
    <s v="55"/>
    <s v="556"/>
    <x v="821"/>
    <s v="Physical Education : Equipment Repairs"/>
    <n v="3500"/>
  </r>
  <r>
    <x v="0"/>
    <s v="11-320-00-083510-51100"/>
    <x v="0"/>
    <n v="320"/>
    <n v="0"/>
    <x v="69"/>
    <n v="51100"/>
    <x v="1"/>
    <s v="51"/>
    <s v="511"/>
    <x v="822"/>
    <s v="Adaptive Physical Education : Academic Teaching Full-time"/>
    <n v="86758"/>
  </r>
  <r>
    <x v="0"/>
    <s v="11-320-00-083510-51310"/>
    <x v="0"/>
    <n v="320"/>
    <n v="0"/>
    <x v="69"/>
    <n v="51310"/>
    <x v="1"/>
    <s v="51"/>
    <s v="513"/>
    <x v="823"/>
    <s v="Adaptive Physical Education : Academic Teaching NIC"/>
    <n v="5000"/>
  </r>
  <r>
    <x v="0"/>
    <s v="11-320-00-083510-51311"/>
    <x v="0"/>
    <n v="320"/>
    <n v="0"/>
    <x v="69"/>
    <n v="51311"/>
    <x v="1"/>
    <s v="51"/>
    <s v="513"/>
    <x v="824"/>
    <s v="Adaptive Physical Education : Academic Teaching PT"/>
    <n v="500"/>
  </r>
  <r>
    <x v="0"/>
    <s v="11-320-00-083510-51412"/>
    <x v="0"/>
    <n v="320"/>
    <n v="0"/>
    <x v="69"/>
    <n v="51412"/>
    <x v="1"/>
    <s v="51"/>
    <s v="514"/>
    <x v="825"/>
    <s v="Adaptive Physical Education : Acad Nonteach Special Projects"/>
    <n v="500"/>
  </r>
  <r>
    <x v="0"/>
    <s v="11-320-00-083510-53110"/>
    <x v="0"/>
    <n v="320"/>
    <n v="0"/>
    <x v="69"/>
    <n v="53110"/>
    <x v="1"/>
    <s v="53"/>
    <s v="531"/>
    <x v="826"/>
    <s v="Adaptive Physical Education : STRS Teaching"/>
    <n v="14899.67"/>
  </r>
  <r>
    <x v="0"/>
    <s v="11-320-00-083510-53120"/>
    <x v="0"/>
    <n v="320"/>
    <n v="0"/>
    <x v="69"/>
    <n v="53120"/>
    <x v="1"/>
    <s v="53"/>
    <s v="531"/>
    <x v="827"/>
    <s v="Adaptive Physical Education : STRS Nonteaching"/>
    <n v="80.75"/>
  </r>
  <r>
    <x v="0"/>
    <s v="11-320-00-083510-53330"/>
    <x v="0"/>
    <n v="320"/>
    <n v="0"/>
    <x v="69"/>
    <n v="53330"/>
    <x v="1"/>
    <s v="53"/>
    <s v="533"/>
    <x v="828"/>
    <s v="Adaptive Physical Education : Medicare Teaching"/>
    <n v="1337.74"/>
  </r>
  <r>
    <x v="0"/>
    <s v="11-320-00-083510-53340"/>
    <x v="0"/>
    <n v="320"/>
    <n v="0"/>
    <x v="69"/>
    <n v="53340"/>
    <x v="1"/>
    <s v="53"/>
    <s v="533"/>
    <x v="829"/>
    <s v="Adaptive Physical Education : Medicare Nonteaching"/>
    <n v="7.25"/>
  </r>
  <r>
    <x v="0"/>
    <s v="11-320-00-083510-53410"/>
    <x v="0"/>
    <n v="320"/>
    <n v="0"/>
    <x v="69"/>
    <n v="53410"/>
    <x v="1"/>
    <s v="53"/>
    <s v="534"/>
    <x v="830"/>
    <s v="Adaptive Physical Education : H &amp; W Teaching"/>
    <n v="33121.43"/>
  </r>
  <r>
    <x v="0"/>
    <s v="11-320-00-083510-53510"/>
    <x v="0"/>
    <n v="320"/>
    <n v="0"/>
    <x v="69"/>
    <n v="53510"/>
    <x v="1"/>
    <s v="53"/>
    <s v="535"/>
    <x v="831"/>
    <s v="Adaptive Physical Education : SUI Teaching"/>
    <n v="46.13"/>
  </r>
  <r>
    <x v="0"/>
    <s v="11-320-00-083510-53520"/>
    <x v="0"/>
    <n v="320"/>
    <n v="0"/>
    <x v="69"/>
    <n v="53520"/>
    <x v="1"/>
    <s v="53"/>
    <s v="535"/>
    <x v="832"/>
    <s v="Adaptive Physical Education : SUI Nonteaching"/>
    <n v="0.25"/>
  </r>
  <r>
    <x v="0"/>
    <s v="11-320-00-083510-53610"/>
    <x v="0"/>
    <n v="320"/>
    <n v="0"/>
    <x v="69"/>
    <n v="53610"/>
    <x v="1"/>
    <s v="53"/>
    <s v="536"/>
    <x v="833"/>
    <s v="Adaptive Physical Education : WC Teaching"/>
    <n v="1744.41"/>
  </r>
  <r>
    <x v="0"/>
    <s v="11-320-00-083510-53620"/>
    <x v="0"/>
    <n v="320"/>
    <n v="0"/>
    <x v="69"/>
    <n v="53620"/>
    <x v="1"/>
    <s v="53"/>
    <s v="536"/>
    <x v="834"/>
    <s v="Adaptive Physical Education : WC Nonteaching"/>
    <n v="9.4499999999999993"/>
  </r>
  <r>
    <x v="0"/>
    <s v="11-320-00-083510-55630"/>
    <x v="0"/>
    <n v="320"/>
    <n v="0"/>
    <x v="69"/>
    <n v="55630"/>
    <x v="1"/>
    <s v="55"/>
    <s v="556"/>
    <x v="835"/>
    <s v="Adaptive Physical Education : Printing &amp; Duplicating - Inhouse"/>
    <n v="50"/>
  </r>
  <r>
    <x v="0"/>
    <s v="11-320-00-083550-51100"/>
    <x v="0"/>
    <n v="320"/>
    <n v="0"/>
    <x v="70"/>
    <n v="51100"/>
    <x v="1"/>
    <s v="51"/>
    <s v="511"/>
    <x v="836"/>
    <s v="Athletics - Instruction : Academic Teaching Full-time"/>
    <n v="533046.05000000005"/>
  </r>
  <r>
    <x v="0"/>
    <s v="11-320-00-083550-51310"/>
    <x v="0"/>
    <n v="320"/>
    <n v="0"/>
    <x v="70"/>
    <n v="51310"/>
    <x v="1"/>
    <s v="51"/>
    <s v="513"/>
    <x v="837"/>
    <s v="Athletics - Instruction : Academic Teaching NIC"/>
    <n v="8500"/>
  </r>
  <r>
    <x v="0"/>
    <s v="11-320-00-083550-51311"/>
    <x v="0"/>
    <n v="320"/>
    <n v="0"/>
    <x v="70"/>
    <n v="51311"/>
    <x v="1"/>
    <s v="51"/>
    <s v="513"/>
    <x v="838"/>
    <s v="Athletics - Instruction : Academic Teaching PT"/>
    <n v="64000"/>
  </r>
  <r>
    <x v="0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8000"/>
  </r>
  <r>
    <x v="0"/>
    <s v="11-320-00-083550-53110"/>
    <x v="0"/>
    <n v="320"/>
    <n v="0"/>
    <x v="70"/>
    <n v="53110"/>
    <x v="1"/>
    <s v="53"/>
    <s v="531"/>
    <x v="840"/>
    <s v="Athletics - Instruction : STRS Teaching"/>
    <n v="97795.69"/>
  </r>
  <r>
    <x v="0"/>
    <s v="11-320-00-083550-53310"/>
    <x v="0"/>
    <n v="320"/>
    <n v="0"/>
    <x v="70"/>
    <n v="53310"/>
    <x v="1"/>
    <s v="53"/>
    <s v="533"/>
    <x v="841"/>
    <s v="Athletics - Instruction : OASDHI (FICA) Teaching"/>
    <n v="496"/>
  </r>
  <r>
    <x v="0"/>
    <s v="11-320-00-083550-53330"/>
    <x v="0"/>
    <n v="320"/>
    <n v="0"/>
    <x v="70"/>
    <n v="53330"/>
    <x v="1"/>
    <s v="53"/>
    <s v="533"/>
    <x v="842"/>
    <s v="Athletics - Instruction : Medicare Teaching"/>
    <n v="8896.41"/>
  </r>
  <r>
    <x v="0"/>
    <s v="11-320-00-083550-53410"/>
    <x v="0"/>
    <n v="320"/>
    <n v="0"/>
    <x v="70"/>
    <n v="53410"/>
    <x v="1"/>
    <s v="53"/>
    <s v="534"/>
    <x v="843"/>
    <s v="Athletics - Instruction : H &amp; W Teaching"/>
    <n v="141344.72"/>
  </r>
  <r>
    <x v="0"/>
    <s v="11-320-00-083550-53510"/>
    <x v="0"/>
    <n v="320"/>
    <n v="0"/>
    <x v="70"/>
    <n v="53510"/>
    <x v="1"/>
    <s v="53"/>
    <s v="535"/>
    <x v="844"/>
    <s v="Athletics - Instruction : SUI Teaching"/>
    <n v="306.77999999999997"/>
  </r>
  <r>
    <x v="0"/>
    <s v="11-320-00-083550-53610"/>
    <x v="0"/>
    <n v="320"/>
    <n v="0"/>
    <x v="70"/>
    <n v="53610"/>
    <x v="1"/>
    <s v="53"/>
    <s v="536"/>
    <x v="845"/>
    <s v="Athletics - Instruction : WC Teaching"/>
    <n v="11600.94"/>
  </r>
  <r>
    <x v="0"/>
    <s v="11-320-00-083550-55630"/>
    <x v="0"/>
    <n v="320"/>
    <n v="0"/>
    <x v="70"/>
    <n v="55630"/>
    <x v="1"/>
    <s v="55"/>
    <s v="556"/>
    <x v="846"/>
    <s v="Athletics - Instruction : Printing &amp; Duplicating - Inhouse"/>
    <n v="168"/>
  </r>
  <r>
    <x v="0"/>
    <s v="11-320-00-083700-51310"/>
    <x v="0"/>
    <n v="320"/>
    <n v="0"/>
    <x v="71"/>
    <n v="51310"/>
    <x v="1"/>
    <s v="51"/>
    <s v="513"/>
    <x v="847"/>
    <s v="Health Education : Academic Teaching NIC"/>
    <n v="4800"/>
  </r>
  <r>
    <x v="0"/>
    <s v="11-320-00-083700-51311"/>
    <x v="0"/>
    <n v="320"/>
    <n v="0"/>
    <x v="71"/>
    <n v="51311"/>
    <x v="1"/>
    <s v="51"/>
    <s v="513"/>
    <x v="848"/>
    <s v="Health Education : Academic Teaching PT"/>
    <n v="32000"/>
  </r>
  <r>
    <x v="0"/>
    <s v="11-320-00-083700-53110"/>
    <x v="0"/>
    <n v="320"/>
    <n v="0"/>
    <x v="71"/>
    <n v="53110"/>
    <x v="1"/>
    <s v="53"/>
    <s v="531"/>
    <x v="849"/>
    <s v="Health Education : STRS Teaching"/>
    <n v="5943.2"/>
  </r>
  <r>
    <x v="0"/>
    <s v="11-320-00-083700-53330"/>
    <x v="0"/>
    <n v="320"/>
    <n v="0"/>
    <x v="71"/>
    <n v="53330"/>
    <x v="1"/>
    <s v="53"/>
    <s v="533"/>
    <x v="850"/>
    <s v="Health Education : Medicare Teaching"/>
    <n v="533.6"/>
  </r>
  <r>
    <x v="0"/>
    <s v="11-320-00-083700-53510"/>
    <x v="0"/>
    <n v="320"/>
    <n v="0"/>
    <x v="71"/>
    <n v="53510"/>
    <x v="1"/>
    <s v="53"/>
    <s v="535"/>
    <x v="851"/>
    <s v="Health Education : SUI Teaching"/>
    <n v="18.399999999999999"/>
  </r>
  <r>
    <x v="0"/>
    <s v="11-320-00-083700-53610"/>
    <x v="0"/>
    <n v="320"/>
    <n v="0"/>
    <x v="71"/>
    <n v="53610"/>
    <x v="1"/>
    <s v="53"/>
    <s v="536"/>
    <x v="852"/>
    <s v="Health Education : WC Teaching"/>
    <n v="695.82"/>
  </r>
  <r>
    <x v="0"/>
    <s v="11-320-00-083700-55630"/>
    <x v="0"/>
    <n v="320"/>
    <n v="0"/>
    <x v="71"/>
    <n v="55630"/>
    <x v="1"/>
    <s v="55"/>
    <s v="556"/>
    <x v="853"/>
    <s v="Health Education : Printing &amp; Duplicating - Inhouse"/>
    <n v="5.47"/>
  </r>
  <r>
    <x v="0"/>
    <s v="11-320-00-130600-51311"/>
    <x v="0"/>
    <n v="320"/>
    <n v="0"/>
    <x v="72"/>
    <n v="51311"/>
    <x v="1"/>
    <s v="51"/>
    <s v="513"/>
    <x v="854"/>
    <s v="Food Service Management : Academic Teaching PT"/>
    <n v="35000"/>
  </r>
  <r>
    <x v="0"/>
    <s v="11-320-00-130600-53110"/>
    <x v="0"/>
    <n v="320"/>
    <n v="0"/>
    <x v="72"/>
    <n v="53110"/>
    <x v="1"/>
    <s v="53"/>
    <s v="531"/>
    <x v="855"/>
    <s v="Food Service Management : STRS Teaching"/>
    <n v="5652.5"/>
  </r>
  <r>
    <x v="0"/>
    <s v="11-320-00-130600-53330"/>
    <x v="0"/>
    <n v="320"/>
    <n v="0"/>
    <x v="72"/>
    <n v="53330"/>
    <x v="1"/>
    <s v="53"/>
    <s v="533"/>
    <x v="856"/>
    <s v="Food Service Management : Medicare Teaching"/>
    <n v="507.5"/>
  </r>
  <r>
    <x v="0"/>
    <s v="11-320-00-130600-53510"/>
    <x v="0"/>
    <n v="320"/>
    <n v="0"/>
    <x v="72"/>
    <n v="53510"/>
    <x v="1"/>
    <s v="53"/>
    <s v="535"/>
    <x v="857"/>
    <s v="Food Service Management : SUI Teaching"/>
    <n v="17.5"/>
  </r>
  <r>
    <x v="0"/>
    <s v="11-320-00-130600-53610"/>
    <x v="0"/>
    <n v="320"/>
    <n v="0"/>
    <x v="72"/>
    <n v="53610"/>
    <x v="1"/>
    <s v="53"/>
    <s v="536"/>
    <x v="858"/>
    <s v="Food Service Management : WC Teaching"/>
    <n v="661.78"/>
  </r>
  <r>
    <x v="0"/>
    <s v="11-320-00-130600-55630"/>
    <x v="0"/>
    <n v="320"/>
    <n v="0"/>
    <x v="72"/>
    <n v="55630"/>
    <x v="1"/>
    <s v="55"/>
    <s v="556"/>
    <x v="859"/>
    <s v="Food Service Management : Printing &amp; Duplicating - Inhouse"/>
    <n v="4.5"/>
  </r>
  <r>
    <x v="0"/>
    <s v="11-320-00-601000-51210"/>
    <x v="0"/>
    <n v="320"/>
    <n v="0"/>
    <x v="34"/>
    <n v="51210"/>
    <x v="1"/>
    <s v="51"/>
    <s v="512"/>
    <x v="860"/>
    <s v="Academic Administration : Academic Nonteaching Management"/>
    <n v="36851.75"/>
  </r>
  <r>
    <x v="0"/>
    <s v="11-320-00-601000-52105"/>
    <x v="0"/>
    <n v="320"/>
    <n v="0"/>
    <x v="34"/>
    <n v="52105"/>
    <x v="1"/>
    <s v="52"/>
    <s v="521"/>
    <x v="861"/>
    <s v="Academic Administration : Classified CSEA"/>
    <n v="87994.05"/>
  </r>
  <r>
    <x v="0"/>
    <s v="11-320-00-601000-52300"/>
    <x v="0"/>
    <n v="320"/>
    <n v="0"/>
    <x v="34"/>
    <n v="52300"/>
    <x v="1"/>
    <s v="52"/>
    <s v="523"/>
    <x v="862"/>
    <s v="Academic Administration : Classified Overtime"/>
    <n v="0"/>
  </r>
  <r>
    <x v="0"/>
    <s v="11-320-00-601000-53120"/>
    <x v="0"/>
    <n v="320"/>
    <n v="0"/>
    <x v="34"/>
    <n v="53120"/>
    <x v="1"/>
    <s v="53"/>
    <s v="531"/>
    <x v="863"/>
    <s v="Academic Administration : STRS Nonteaching"/>
    <n v="5951.56"/>
  </r>
  <r>
    <x v="0"/>
    <s v="11-320-00-601000-53220"/>
    <x v="0"/>
    <n v="320"/>
    <n v="0"/>
    <x v="34"/>
    <n v="53220"/>
    <x v="1"/>
    <s v="53"/>
    <s v="532"/>
    <x v="864"/>
    <s v="Academic Administration : PERS Nonteaching"/>
    <n v="18214.77"/>
  </r>
  <r>
    <x v="0"/>
    <s v="11-320-00-601000-53320"/>
    <x v="0"/>
    <n v="320"/>
    <n v="0"/>
    <x v="34"/>
    <n v="53320"/>
    <x v="1"/>
    <s v="53"/>
    <s v="533"/>
    <x v="865"/>
    <s v="Academic Administration : OASDHI (FICA) Nonteaching"/>
    <n v="5455.63"/>
  </r>
  <r>
    <x v="0"/>
    <s v="11-320-00-601000-53340"/>
    <x v="0"/>
    <n v="320"/>
    <n v="0"/>
    <x v="34"/>
    <n v="53340"/>
    <x v="1"/>
    <s v="53"/>
    <s v="533"/>
    <x v="866"/>
    <s v="Academic Administration : Medicare Nonteaching"/>
    <n v="1810.27"/>
  </r>
  <r>
    <x v="0"/>
    <s v="11-320-00-601000-53420"/>
    <x v="0"/>
    <n v="320"/>
    <n v="0"/>
    <x v="34"/>
    <n v="53420"/>
    <x v="1"/>
    <s v="53"/>
    <s v="534"/>
    <x v="867"/>
    <s v="Academic Administration : H &amp; W Nonteaching"/>
    <n v="34019.370000000003"/>
  </r>
  <r>
    <x v="0"/>
    <s v="11-320-00-601000-53520"/>
    <x v="0"/>
    <n v="320"/>
    <n v="0"/>
    <x v="34"/>
    <n v="53520"/>
    <x v="1"/>
    <s v="53"/>
    <s v="535"/>
    <x v="868"/>
    <s v="Academic Administration : SUI Nonteaching"/>
    <n v="62.43"/>
  </r>
  <r>
    <x v="0"/>
    <s v="11-320-00-601000-53620"/>
    <x v="0"/>
    <n v="320"/>
    <n v="0"/>
    <x v="34"/>
    <n v="53620"/>
    <x v="1"/>
    <s v="53"/>
    <s v="536"/>
    <x v="869"/>
    <s v="Academic Administration : WC Nonteaching"/>
    <n v="2360.58"/>
  </r>
  <r>
    <x v="0"/>
    <s v="11-320-00-601000-53920"/>
    <x v="0"/>
    <n v="320"/>
    <n v="0"/>
    <x v="34"/>
    <n v="53920"/>
    <x v="1"/>
    <s v="53"/>
    <s v="539"/>
    <x v="870"/>
    <s v="Academic Administration : Other Benefit-Non Teaching"/>
    <n v="3000"/>
  </r>
  <r>
    <x v="0"/>
    <s v="11-320-00-601000-55630"/>
    <x v="0"/>
    <n v="320"/>
    <n v="0"/>
    <x v="34"/>
    <n v="55630"/>
    <x v="1"/>
    <s v="55"/>
    <s v="556"/>
    <x v="871"/>
    <s v="Academic Administration : Printing &amp; Duplicating - Inhouse"/>
    <n v="1000"/>
  </r>
  <r>
    <x v="0"/>
    <s v="11-320-00-696500-51210"/>
    <x v="0"/>
    <n v="320"/>
    <n v="0"/>
    <x v="73"/>
    <n v="51210"/>
    <x v="1"/>
    <s v="51"/>
    <s v="512"/>
    <x v="872"/>
    <s v="Athletic Activities : Academic Nonteaching Management"/>
    <n v="110555.25"/>
  </r>
  <r>
    <x v="0"/>
    <s v="11-320-00-696500-51412"/>
    <x v="0"/>
    <n v="320"/>
    <n v="0"/>
    <x v="73"/>
    <n v="51412"/>
    <x v="1"/>
    <s v="51"/>
    <s v="514"/>
    <x v="873"/>
    <s v="Athletic Activities : Acad Nonteach Special Projects"/>
    <n v="141000"/>
  </r>
  <r>
    <x v="0"/>
    <s v="11-320-00-696500-52105"/>
    <x v="0"/>
    <n v="320"/>
    <n v="0"/>
    <x v="73"/>
    <n v="52105"/>
    <x v="1"/>
    <s v="52"/>
    <s v="521"/>
    <x v="874"/>
    <s v="Athletic Activities : Classified CSEA"/>
    <n v="149210.70000000001"/>
  </r>
  <r>
    <x v="0"/>
    <s v="11-320-00-696500-52300"/>
    <x v="0"/>
    <n v="320"/>
    <n v="0"/>
    <x v="73"/>
    <n v="52300"/>
    <x v="1"/>
    <s v="52"/>
    <s v="523"/>
    <x v="875"/>
    <s v="Athletic Activities : Classified Overtime"/>
    <n v="0"/>
  </r>
  <r>
    <x v="0"/>
    <s v="11-320-00-696500-52360"/>
    <x v="0"/>
    <n v="320"/>
    <n v="0"/>
    <x v="73"/>
    <n v="52360"/>
    <x v="1"/>
    <s v="52"/>
    <s v="523"/>
    <x v="876"/>
    <s v="Athletic Activities : Class Nonstu NonIA PT Prof Exp"/>
    <n v="15000"/>
  </r>
  <r>
    <x v="0"/>
    <s v="11-320-00-696500-53120"/>
    <x v="0"/>
    <n v="320"/>
    <n v="0"/>
    <x v="73"/>
    <n v="53120"/>
    <x v="1"/>
    <s v="53"/>
    <s v="531"/>
    <x v="877"/>
    <s v="Athletic Activities : STRS Nonteaching"/>
    <n v="40626.17"/>
  </r>
  <r>
    <x v="0"/>
    <s v="11-320-00-696500-53220"/>
    <x v="0"/>
    <n v="320"/>
    <n v="0"/>
    <x v="73"/>
    <n v="53220"/>
    <x v="1"/>
    <s v="53"/>
    <s v="532"/>
    <x v="878"/>
    <s v="Athletic Activities : PERS Nonteaching"/>
    <n v="30886.62"/>
  </r>
  <r>
    <x v="0"/>
    <s v="11-320-00-696500-53320"/>
    <x v="0"/>
    <n v="320"/>
    <n v="0"/>
    <x v="73"/>
    <n v="53320"/>
    <x v="1"/>
    <s v="53"/>
    <s v="533"/>
    <x v="879"/>
    <s v="Athletic Activities : OASDHI (FICA) Nonteaching"/>
    <n v="10181.07"/>
  </r>
  <r>
    <x v="0"/>
    <s v="11-320-00-696500-53340"/>
    <x v="0"/>
    <n v="320"/>
    <n v="0"/>
    <x v="73"/>
    <n v="53340"/>
    <x v="1"/>
    <s v="53"/>
    <s v="533"/>
    <x v="880"/>
    <s v="Athletic Activities : Medicare Nonteaching"/>
    <n v="6028.61"/>
  </r>
  <r>
    <x v="0"/>
    <s v="11-320-00-696500-53420"/>
    <x v="0"/>
    <n v="320"/>
    <n v="0"/>
    <x v="73"/>
    <n v="53420"/>
    <x v="1"/>
    <s v="53"/>
    <s v="534"/>
    <x v="881"/>
    <s v="Athletic Activities : H &amp; W Nonteaching"/>
    <n v="57979.040000000001"/>
  </r>
  <r>
    <x v="0"/>
    <s v="11-320-00-696500-53520"/>
    <x v="0"/>
    <n v="320"/>
    <n v="0"/>
    <x v="73"/>
    <n v="53520"/>
    <x v="1"/>
    <s v="53"/>
    <s v="535"/>
    <x v="882"/>
    <s v="Athletic Activities : SUI Nonteaching"/>
    <n v="207.88"/>
  </r>
  <r>
    <x v="0"/>
    <s v="11-320-00-696500-53620"/>
    <x v="0"/>
    <n v="320"/>
    <n v="0"/>
    <x v="73"/>
    <n v="53620"/>
    <x v="1"/>
    <s v="53"/>
    <s v="536"/>
    <x v="883"/>
    <s v="Athletic Activities : WC Nonteaching"/>
    <n v="7861.31"/>
  </r>
  <r>
    <x v="0"/>
    <s v="11-320-00-696500-53920"/>
    <x v="0"/>
    <n v="320"/>
    <n v="0"/>
    <x v="73"/>
    <n v="53920"/>
    <x v="1"/>
    <s v="53"/>
    <s v="539"/>
    <x v="884"/>
    <s v="Athletic Activities : Other Benefit-Non Teaching"/>
    <n v="1800"/>
  </r>
  <r>
    <x v="0"/>
    <s v="11-320-00-696500-54300"/>
    <x v="0"/>
    <n v="320"/>
    <n v="0"/>
    <x v="73"/>
    <n v="54300"/>
    <x v="1"/>
    <s v="54"/>
    <s v="543"/>
    <x v="885"/>
    <s v="Athletic Activities : Supplies &amp; Materials"/>
    <n v="112967.77"/>
  </r>
  <r>
    <x v="0"/>
    <s v="11-320-00-696500-55100"/>
    <x v="0"/>
    <n v="320"/>
    <n v="0"/>
    <x v="73"/>
    <n v="55100"/>
    <x v="1"/>
    <s v="55"/>
    <s v="551"/>
    <x v="886"/>
    <s v="Athletic Activities : Personal Service Contract - 1099"/>
    <n v="0"/>
  </r>
  <r>
    <x v="0"/>
    <s v="11-320-00-696500-55105"/>
    <x v="0"/>
    <n v="320"/>
    <n v="0"/>
    <x v="73"/>
    <n v="55105"/>
    <x v="1"/>
    <s v="55"/>
    <s v="551"/>
    <x v="887"/>
    <s v="Athletic Activities : Contract Services"/>
    <n v="41447"/>
  </r>
  <r>
    <x v="0"/>
    <s v="11-320-00-696500-55110"/>
    <x v="0"/>
    <n v="320"/>
    <n v="0"/>
    <x v="73"/>
    <n v="55110"/>
    <x v="1"/>
    <s v="55"/>
    <s v="551"/>
    <x v="888"/>
    <s v="Athletic Activities : Athletic Officials"/>
    <n v="-20925.97"/>
  </r>
  <r>
    <x v="0"/>
    <s v="11-320-00-696500-55125"/>
    <x v="0"/>
    <n v="320"/>
    <n v="0"/>
    <x v="73"/>
    <n v="55125"/>
    <x v="1"/>
    <s v="55"/>
    <s v="551"/>
    <x v="889"/>
    <s v="Athletic Activities : Training &amp; Seminars"/>
    <n v="0"/>
  </r>
  <r>
    <x v="0"/>
    <s v="11-320-00-696500-55200"/>
    <x v="0"/>
    <n v="320"/>
    <n v="0"/>
    <x v="73"/>
    <n v="55200"/>
    <x v="1"/>
    <s v="55"/>
    <s v="552"/>
    <x v="890"/>
    <s v="Athletic Activities : Travel &amp; Conference"/>
    <n v="-10000"/>
  </r>
  <r>
    <x v="0"/>
    <s v="11-320-00-696500-55240"/>
    <x v="0"/>
    <n v="320"/>
    <n v="0"/>
    <x v="73"/>
    <n v="55240"/>
    <x v="1"/>
    <s v="55"/>
    <s v="552"/>
    <x v="891"/>
    <s v="Athletic Activities : Field Trips"/>
    <n v="125000"/>
  </r>
  <r>
    <x v="0"/>
    <s v="11-320-00-696500-55264"/>
    <x v="0"/>
    <n v="320"/>
    <n v="0"/>
    <x v="73"/>
    <n v="55264"/>
    <x v="1"/>
    <s v="55"/>
    <s v="552"/>
    <x v="892"/>
    <s v="Athletic Activities : Entry Fees"/>
    <n v="0"/>
  </r>
  <r>
    <x v="0"/>
    <s v="11-320-00-696500-55300"/>
    <x v="0"/>
    <n v="320"/>
    <n v="0"/>
    <x v="73"/>
    <n v="55300"/>
    <x v="1"/>
    <s v="55"/>
    <s v="553"/>
    <x v="893"/>
    <s v="Athletic Activities : Memberships"/>
    <n v="25000"/>
  </r>
  <r>
    <x v="0"/>
    <s v="11-320-00-696500-55309"/>
    <x v="0"/>
    <n v="320"/>
    <n v="0"/>
    <x v="73"/>
    <n v="55309"/>
    <x v="1"/>
    <s v="55"/>
    <s v="553"/>
    <x v="894"/>
    <s v="Athletic Activities : Subscriptions"/>
    <n v="800"/>
  </r>
  <r>
    <x v="0"/>
    <s v="11-320-00-696500-55400"/>
    <x v="0"/>
    <n v="320"/>
    <n v="0"/>
    <x v="73"/>
    <n v="55400"/>
    <x v="1"/>
    <s v="55"/>
    <s v="554"/>
    <x v="895"/>
    <s v="Athletic Activities : Insurance"/>
    <n v="69570"/>
  </r>
  <r>
    <x v="0"/>
    <s v="11-320-00-696500-55600"/>
    <x v="0"/>
    <n v="320"/>
    <n v="0"/>
    <x v="73"/>
    <n v="55600"/>
    <x v="1"/>
    <s v="55"/>
    <s v="556"/>
    <x v="896"/>
    <s v="Athletic Activities : Rents &amp; Leases"/>
    <n v="0"/>
  </r>
  <r>
    <x v="0"/>
    <s v="11-320-00-696500-55630"/>
    <x v="0"/>
    <n v="320"/>
    <n v="0"/>
    <x v="73"/>
    <n v="55630"/>
    <x v="1"/>
    <s v="55"/>
    <s v="556"/>
    <x v="897"/>
    <s v="Athletic Activities : Printing &amp; Duplicating - Inhouse"/>
    <n v="317.42"/>
  </r>
  <r>
    <x v="0"/>
    <s v="11-320-00-696500-55651"/>
    <x v="0"/>
    <n v="320"/>
    <n v="0"/>
    <x v="73"/>
    <n v="55651"/>
    <x v="1"/>
    <s v="55"/>
    <s v="556"/>
    <x v="898"/>
    <s v="Athletic Activities : Equipment Repairs"/>
    <n v="12000"/>
  </r>
  <r>
    <x v="0"/>
    <s v="11-320-00-696500-56400"/>
    <x v="0"/>
    <n v="320"/>
    <n v="0"/>
    <x v="73"/>
    <n v="56400"/>
    <x v="1"/>
    <s v="56"/>
    <s v="564"/>
    <x v="899"/>
    <s v="Athletic Activities : Cap Equip - $200 to $4,999"/>
    <n v="9158.2000000000007"/>
  </r>
  <r>
    <x v="0"/>
    <s v="11-320-00-696500-57552"/>
    <x v="0"/>
    <n v="320"/>
    <n v="0"/>
    <x v="73"/>
    <n v="57552"/>
    <x v="1"/>
    <s v="57"/>
    <s v="575"/>
    <x v="900"/>
    <s v="Athletic Activities : Student Travel/Workshps/Meals"/>
    <n v="19000"/>
  </r>
  <r>
    <x v="0"/>
    <s v="11-330-00-040110-51100"/>
    <x v="0"/>
    <n v="330"/>
    <n v="0"/>
    <x v="11"/>
    <n v="51100"/>
    <x v="1"/>
    <s v="51"/>
    <s v="511"/>
    <x v="901"/>
    <s v="Biology : Academic Teaching Full-time"/>
    <n v="600769"/>
  </r>
  <r>
    <x v="0"/>
    <s v="11-330-00-040110-51310"/>
    <x v="0"/>
    <n v="330"/>
    <n v="0"/>
    <x v="11"/>
    <n v="51310"/>
    <x v="1"/>
    <s v="51"/>
    <s v="513"/>
    <x v="902"/>
    <s v="Biology : Academic Teaching NIC"/>
    <n v="32000"/>
  </r>
  <r>
    <x v="0"/>
    <s v="11-330-00-040110-51311"/>
    <x v="0"/>
    <n v="330"/>
    <n v="0"/>
    <x v="11"/>
    <n v="51311"/>
    <x v="1"/>
    <s v="51"/>
    <s v="513"/>
    <x v="903"/>
    <s v="Biology : Academic Teaching PT"/>
    <n v="231000"/>
  </r>
  <r>
    <x v="0"/>
    <s v="11-330-00-040110-52200"/>
    <x v="0"/>
    <n v="330"/>
    <n v="0"/>
    <x v="11"/>
    <n v="52200"/>
    <x v="1"/>
    <s v="52"/>
    <s v="522"/>
    <x v="904"/>
    <s v="Biology : Classified Permanent Instructional Aides"/>
    <n v="134040.9"/>
  </r>
  <r>
    <x v="0"/>
    <s v="11-330-00-040110-52300"/>
    <x v="0"/>
    <n v="330"/>
    <n v="0"/>
    <x v="11"/>
    <n v="52300"/>
    <x v="1"/>
    <s v="52"/>
    <s v="523"/>
    <x v="905"/>
    <s v="Biology : Classified Overtime"/>
    <n v="0"/>
  </r>
  <r>
    <x v="0"/>
    <s v="11-330-00-040110-53110"/>
    <x v="0"/>
    <n v="330"/>
    <n v="0"/>
    <x v="11"/>
    <n v="53110"/>
    <x v="1"/>
    <s v="53"/>
    <s v="531"/>
    <x v="906"/>
    <s v="Biology : STRS Teaching"/>
    <n v="139498.70000000001"/>
  </r>
  <r>
    <x v="0"/>
    <s v="11-330-00-040110-53210"/>
    <x v="0"/>
    <n v="330"/>
    <n v="0"/>
    <x v="11"/>
    <n v="53210"/>
    <x v="1"/>
    <s v="53"/>
    <s v="532"/>
    <x v="907"/>
    <s v="Biology : PERS Teaching"/>
    <n v="27746.46"/>
  </r>
  <r>
    <x v="0"/>
    <s v="11-330-00-040110-53310"/>
    <x v="0"/>
    <n v="330"/>
    <n v="0"/>
    <x v="11"/>
    <n v="53310"/>
    <x v="1"/>
    <s v="53"/>
    <s v="533"/>
    <x v="908"/>
    <s v="Biology : OASDHI (FICA) Teaching"/>
    <n v="8310.5400000000009"/>
  </r>
  <r>
    <x v="0"/>
    <s v="11-330-00-040110-53320"/>
    <x v="0"/>
    <n v="330"/>
    <n v="0"/>
    <x v="11"/>
    <n v="53320"/>
    <x v="1"/>
    <s v="53"/>
    <s v="533"/>
    <x v="909"/>
    <s v="Biology : OASDHI (FICA) Nonteaching"/>
    <n v="0"/>
  </r>
  <r>
    <x v="0"/>
    <s v="11-330-00-040110-53330"/>
    <x v="0"/>
    <n v="330"/>
    <n v="0"/>
    <x v="11"/>
    <n v="53330"/>
    <x v="1"/>
    <s v="53"/>
    <s v="533"/>
    <x v="910"/>
    <s v="Biology : Medicare Teaching"/>
    <n v="14468.24"/>
  </r>
  <r>
    <x v="0"/>
    <s v="11-330-00-040110-53340"/>
    <x v="0"/>
    <n v="330"/>
    <n v="0"/>
    <x v="11"/>
    <n v="53340"/>
    <x v="1"/>
    <s v="53"/>
    <s v="533"/>
    <x v="911"/>
    <s v="Biology : Medicare Nonteaching"/>
    <n v="0"/>
  </r>
  <r>
    <x v="0"/>
    <s v="11-330-00-040110-53410"/>
    <x v="0"/>
    <n v="330"/>
    <n v="0"/>
    <x v="11"/>
    <n v="53410"/>
    <x v="1"/>
    <s v="53"/>
    <s v="534"/>
    <x v="912"/>
    <s v="Biology : H &amp; W Teaching"/>
    <n v="171023.48"/>
  </r>
  <r>
    <x v="0"/>
    <s v="11-330-00-040110-53510"/>
    <x v="0"/>
    <n v="330"/>
    <n v="0"/>
    <x v="11"/>
    <n v="53510"/>
    <x v="1"/>
    <s v="53"/>
    <s v="535"/>
    <x v="913"/>
    <s v="Biology : SUI Teaching"/>
    <n v="498.91"/>
  </r>
  <r>
    <x v="0"/>
    <s v="11-330-00-040110-53610"/>
    <x v="0"/>
    <n v="330"/>
    <n v="0"/>
    <x v="11"/>
    <n v="53610"/>
    <x v="1"/>
    <s v="53"/>
    <s v="536"/>
    <x v="914"/>
    <s v="Biology : WC Teaching"/>
    <n v="18866.599999999999"/>
  </r>
  <r>
    <x v="0"/>
    <s v="11-330-00-040110-53620"/>
    <x v="0"/>
    <n v="330"/>
    <n v="0"/>
    <x v="11"/>
    <n v="53620"/>
    <x v="1"/>
    <s v="53"/>
    <s v="536"/>
    <x v="915"/>
    <s v="Biology : WC Nonteaching"/>
    <n v="0"/>
  </r>
  <r>
    <x v="0"/>
    <s v="11-330-00-040110-53910"/>
    <x v="0"/>
    <n v="330"/>
    <n v="0"/>
    <x v="11"/>
    <n v="53910"/>
    <x v="1"/>
    <s v="53"/>
    <s v="539"/>
    <x v="916"/>
    <s v="Biology : Other Benefit-Teaching"/>
    <n v="7800"/>
  </r>
  <r>
    <x v="0"/>
    <s v="11-330-00-040110-54300"/>
    <x v="0"/>
    <n v="330"/>
    <n v="0"/>
    <x v="11"/>
    <n v="54300"/>
    <x v="1"/>
    <s v="54"/>
    <s v="543"/>
    <x v="917"/>
    <s v="Biology : Supplies &amp; Materials"/>
    <n v="34660"/>
  </r>
  <r>
    <x v="0"/>
    <s v="11-330-00-040110-55630"/>
    <x v="0"/>
    <n v="330"/>
    <n v="0"/>
    <x v="11"/>
    <n v="55630"/>
    <x v="1"/>
    <s v="55"/>
    <s v="556"/>
    <x v="918"/>
    <s v="Biology : Printing &amp; Duplicating - Inhouse"/>
    <n v="339.23"/>
  </r>
  <r>
    <x v="0"/>
    <s v="11-330-00-040110-55650"/>
    <x v="0"/>
    <n v="330"/>
    <n v="0"/>
    <x v="11"/>
    <n v="55650"/>
    <x v="1"/>
    <s v="55"/>
    <s v="556"/>
    <x v="919"/>
    <s v="Biology : Maintenance Agreement"/>
    <n v="-3965"/>
  </r>
  <r>
    <x v="0"/>
    <s v="11-330-00-070710-54300"/>
    <x v="0"/>
    <n v="330"/>
    <n v="0"/>
    <x v="74"/>
    <n v="54300"/>
    <x v="1"/>
    <s v="54"/>
    <s v="543"/>
    <x v="920"/>
    <s v="Computer Programming : Supplies &amp; Materials"/>
    <n v="470"/>
  </r>
  <r>
    <x v="0"/>
    <s v="11-330-00-070710-55630"/>
    <x v="0"/>
    <n v="330"/>
    <n v="0"/>
    <x v="74"/>
    <n v="55630"/>
    <x v="1"/>
    <s v="55"/>
    <s v="556"/>
    <x v="921"/>
    <s v="Computer Programming : Printing &amp; Duplicating - Inhouse"/>
    <n v="27.9"/>
  </r>
  <r>
    <x v="0"/>
    <s v="11-330-00-090100-51100"/>
    <x v="0"/>
    <n v="330"/>
    <n v="0"/>
    <x v="75"/>
    <n v="51100"/>
    <x v="1"/>
    <s v="51"/>
    <s v="511"/>
    <x v="922"/>
    <s v="Engineering : Academic Teaching Full-time"/>
    <n v="120754"/>
  </r>
  <r>
    <x v="0"/>
    <s v="11-330-00-090100-51310"/>
    <x v="0"/>
    <n v="330"/>
    <n v="0"/>
    <x v="75"/>
    <n v="51310"/>
    <x v="1"/>
    <s v="51"/>
    <s v="513"/>
    <x v="923"/>
    <s v="Engineering : Academic Teaching NIC"/>
    <n v="34000"/>
  </r>
  <r>
    <x v="0"/>
    <s v="11-330-00-090100-51311"/>
    <x v="0"/>
    <n v="330"/>
    <n v="0"/>
    <x v="75"/>
    <n v="51311"/>
    <x v="1"/>
    <s v="51"/>
    <s v="513"/>
    <x v="924"/>
    <s v="Engineering : Academic Teaching PT"/>
    <n v="620"/>
  </r>
  <r>
    <x v="0"/>
    <s v="11-330-00-090100-51412"/>
    <x v="0"/>
    <n v="330"/>
    <n v="0"/>
    <x v="75"/>
    <n v="51412"/>
    <x v="1"/>
    <s v="51"/>
    <s v="514"/>
    <x v="925"/>
    <s v="Engineering : Acad Nonteach Special Projects"/>
    <n v="0"/>
  </r>
  <r>
    <x v="0"/>
    <s v="11-330-00-090100-52200"/>
    <x v="0"/>
    <n v="330"/>
    <n v="0"/>
    <x v="75"/>
    <n v="52200"/>
    <x v="1"/>
    <s v="52"/>
    <s v="522"/>
    <x v="926"/>
    <s v="Engineering : Classified Permanent Instructional Aides"/>
    <n v="13012.74"/>
  </r>
  <r>
    <x v="0"/>
    <s v="11-330-00-090100-52300"/>
    <x v="0"/>
    <n v="330"/>
    <n v="0"/>
    <x v="75"/>
    <n v="52300"/>
    <x v="1"/>
    <s v="52"/>
    <s v="523"/>
    <x v="927"/>
    <s v="Engineering : Classified Overtime"/>
    <n v="0"/>
  </r>
  <r>
    <x v="0"/>
    <s v="11-330-00-090100-53110"/>
    <x v="0"/>
    <n v="330"/>
    <n v="0"/>
    <x v="75"/>
    <n v="53110"/>
    <x v="1"/>
    <s v="53"/>
    <s v="531"/>
    <x v="928"/>
    <s v="Engineering : STRS Teaching"/>
    <n v="25092.9"/>
  </r>
  <r>
    <x v="0"/>
    <s v="11-330-00-090100-53120"/>
    <x v="0"/>
    <n v="330"/>
    <n v="0"/>
    <x v="75"/>
    <n v="53120"/>
    <x v="1"/>
    <s v="53"/>
    <s v="531"/>
    <x v="929"/>
    <s v="Engineering : STRS Nonteaching"/>
    <n v="0"/>
  </r>
  <r>
    <x v="0"/>
    <s v="11-330-00-090100-53210"/>
    <x v="0"/>
    <n v="330"/>
    <n v="0"/>
    <x v="75"/>
    <n v="53210"/>
    <x v="1"/>
    <s v="53"/>
    <s v="532"/>
    <x v="930"/>
    <s v="Engineering : PERS Teaching"/>
    <n v="2693.64"/>
  </r>
  <r>
    <x v="0"/>
    <s v="11-330-00-090100-53310"/>
    <x v="0"/>
    <n v="330"/>
    <n v="0"/>
    <x v="75"/>
    <n v="53310"/>
    <x v="1"/>
    <s v="53"/>
    <s v="533"/>
    <x v="931"/>
    <s v="Engineering : OASDHI (FICA) Teaching"/>
    <n v="806.79"/>
  </r>
  <r>
    <x v="0"/>
    <s v="11-330-00-090100-53320"/>
    <x v="0"/>
    <n v="330"/>
    <n v="0"/>
    <x v="75"/>
    <n v="53320"/>
    <x v="1"/>
    <s v="53"/>
    <s v="533"/>
    <x v="932"/>
    <s v="Engineering : OASDHI (FICA) Nonteaching"/>
    <n v="0"/>
  </r>
  <r>
    <x v="0"/>
    <s v="11-330-00-090100-53330"/>
    <x v="0"/>
    <n v="330"/>
    <n v="0"/>
    <x v="75"/>
    <n v="53330"/>
    <x v="1"/>
    <s v="53"/>
    <s v="533"/>
    <x v="933"/>
    <s v="Engineering : Medicare Teaching"/>
    <n v="2441.6"/>
  </r>
  <r>
    <x v="0"/>
    <s v="11-330-00-090100-53340"/>
    <x v="0"/>
    <n v="330"/>
    <n v="0"/>
    <x v="75"/>
    <n v="53340"/>
    <x v="1"/>
    <s v="53"/>
    <s v="533"/>
    <x v="934"/>
    <s v="Engineering : Medicare Nonteaching"/>
    <n v="0"/>
  </r>
  <r>
    <x v="0"/>
    <s v="11-330-00-090100-53410"/>
    <x v="0"/>
    <n v="330"/>
    <n v="0"/>
    <x v="75"/>
    <n v="53410"/>
    <x v="1"/>
    <s v="53"/>
    <s v="534"/>
    <x v="935"/>
    <s v="Engineering : H &amp; W Teaching"/>
    <n v="37742.75"/>
  </r>
  <r>
    <x v="0"/>
    <s v="11-330-00-090100-53510"/>
    <x v="0"/>
    <n v="330"/>
    <n v="0"/>
    <x v="75"/>
    <n v="53510"/>
    <x v="1"/>
    <s v="53"/>
    <s v="535"/>
    <x v="936"/>
    <s v="Engineering : SUI Teaching"/>
    <n v="84.2"/>
  </r>
  <r>
    <x v="0"/>
    <s v="11-330-00-090100-53520"/>
    <x v="0"/>
    <n v="330"/>
    <n v="0"/>
    <x v="75"/>
    <n v="53520"/>
    <x v="1"/>
    <s v="53"/>
    <s v="535"/>
    <x v="937"/>
    <s v="Engineering : SUI Nonteaching"/>
    <n v="0"/>
  </r>
  <r>
    <x v="0"/>
    <s v="11-330-00-090100-53610"/>
    <x v="0"/>
    <n v="330"/>
    <n v="0"/>
    <x v="75"/>
    <n v="53610"/>
    <x v="1"/>
    <s v="53"/>
    <s v="536"/>
    <x v="938"/>
    <s v="Engineering : WC Teaching"/>
    <n v="3183.85"/>
  </r>
  <r>
    <x v="0"/>
    <s v="11-330-00-090100-53620"/>
    <x v="0"/>
    <n v="330"/>
    <n v="0"/>
    <x v="75"/>
    <n v="53620"/>
    <x v="1"/>
    <s v="53"/>
    <s v="536"/>
    <x v="939"/>
    <s v="Engineering : WC Nonteaching"/>
    <n v="0"/>
  </r>
  <r>
    <x v="0"/>
    <s v="11-330-00-090100-53910"/>
    <x v="0"/>
    <n v="330"/>
    <n v="0"/>
    <x v="75"/>
    <n v="53910"/>
    <x v="1"/>
    <s v="53"/>
    <s v="539"/>
    <x v="940"/>
    <s v="Engineering : Other Benefit-Teaching"/>
    <n v="480"/>
  </r>
  <r>
    <x v="0"/>
    <s v="11-330-00-090100-54300"/>
    <x v="0"/>
    <n v="330"/>
    <n v="0"/>
    <x v="75"/>
    <n v="54300"/>
    <x v="1"/>
    <s v="54"/>
    <s v="543"/>
    <x v="941"/>
    <s v="Engineering : Supplies &amp; Materials"/>
    <n v="1674"/>
  </r>
  <r>
    <x v="0"/>
    <s v="11-330-00-090100-55630"/>
    <x v="0"/>
    <n v="330"/>
    <n v="0"/>
    <x v="75"/>
    <n v="55630"/>
    <x v="1"/>
    <s v="55"/>
    <s v="556"/>
    <x v="942"/>
    <s v="Engineering : Printing &amp; Duplicating - Inhouse"/>
    <n v="27.9"/>
  </r>
  <r>
    <x v="0"/>
    <s v="11-330-00-170100-51100"/>
    <x v="0"/>
    <n v="330"/>
    <n v="0"/>
    <x v="21"/>
    <n v="51100"/>
    <x v="1"/>
    <s v="51"/>
    <s v="511"/>
    <x v="943"/>
    <s v="Mathematics : Academic Teaching Full-time"/>
    <n v="1601955.82"/>
  </r>
  <r>
    <x v="0"/>
    <s v="11-330-00-170100-51310"/>
    <x v="0"/>
    <n v="330"/>
    <n v="0"/>
    <x v="21"/>
    <n v="51310"/>
    <x v="1"/>
    <s v="51"/>
    <s v="513"/>
    <x v="944"/>
    <s v="Mathematics : Academic Teaching NIC"/>
    <n v="271000"/>
  </r>
  <r>
    <x v="0"/>
    <s v="11-330-00-170100-51311"/>
    <x v="0"/>
    <n v="330"/>
    <n v="0"/>
    <x v="21"/>
    <n v="51311"/>
    <x v="1"/>
    <s v="51"/>
    <s v="513"/>
    <x v="945"/>
    <s v="Mathematics : Academic Teaching PT"/>
    <n v="240000"/>
  </r>
  <r>
    <x v="0"/>
    <s v="11-330-00-170100-51412"/>
    <x v="0"/>
    <n v="330"/>
    <n v="0"/>
    <x v="21"/>
    <n v="51412"/>
    <x v="1"/>
    <s v="51"/>
    <s v="514"/>
    <x v="946"/>
    <s v="Mathematics : Acad Nonteach Special Projects"/>
    <n v="0"/>
  </r>
  <r>
    <x v="0"/>
    <s v="11-330-00-170100-53110"/>
    <x v="0"/>
    <n v="330"/>
    <n v="0"/>
    <x v="21"/>
    <n v="53110"/>
    <x v="1"/>
    <s v="53"/>
    <s v="531"/>
    <x v="947"/>
    <s v="Mathematics : STRS Teaching"/>
    <n v="341242.36"/>
  </r>
  <r>
    <x v="0"/>
    <s v="11-330-00-170100-53120"/>
    <x v="0"/>
    <n v="330"/>
    <n v="0"/>
    <x v="21"/>
    <n v="53120"/>
    <x v="1"/>
    <s v="53"/>
    <s v="531"/>
    <x v="948"/>
    <s v="Mathematics : STRS Nonteaching"/>
    <n v="0"/>
  </r>
  <r>
    <x v="0"/>
    <s v="11-330-00-170100-53310"/>
    <x v="0"/>
    <n v="330"/>
    <n v="0"/>
    <x v="21"/>
    <n v="53310"/>
    <x v="1"/>
    <s v="53"/>
    <s v="533"/>
    <x v="949"/>
    <s v="Mathematics : OASDHI (FICA) Teaching"/>
    <n v="0"/>
  </r>
  <r>
    <x v="0"/>
    <s v="11-330-00-170100-53330"/>
    <x v="0"/>
    <n v="330"/>
    <n v="0"/>
    <x v="21"/>
    <n v="53330"/>
    <x v="1"/>
    <s v="53"/>
    <s v="533"/>
    <x v="950"/>
    <s v="Mathematics : Medicare Teaching"/>
    <n v="30637.85"/>
  </r>
  <r>
    <x v="0"/>
    <s v="11-330-00-170100-53340"/>
    <x v="0"/>
    <n v="330"/>
    <n v="0"/>
    <x v="21"/>
    <n v="53340"/>
    <x v="1"/>
    <s v="53"/>
    <s v="533"/>
    <x v="951"/>
    <s v="Mathematics : Medicare Nonteaching"/>
    <n v="0"/>
  </r>
  <r>
    <x v="0"/>
    <s v="11-330-00-170100-53410"/>
    <x v="0"/>
    <n v="330"/>
    <n v="0"/>
    <x v="21"/>
    <n v="53410"/>
    <x v="1"/>
    <s v="53"/>
    <s v="534"/>
    <x v="952"/>
    <s v="Mathematics : H &amp; W Teaching"/>
    <n v="380293.15"/>
  </r>
  <r>
    <x v="0"/>
    <s v="11-330-00-170100-53510"/>
    <x v="0"/>
    <n v="330"/>
    <n v="0"/>
    <x v="21"/>
    <n v="53510"/>
    <x v="1"/>
    <s v="53"/>
    <s v="535"/>
    <x v="953"/>
    <s v="Mathematics : SUI Teaching"/>
    <n v="1056.48"/>
  </r>
  <r>
    <x v="0"/>
    <s v="11-330-00-170100-53520"/>
    <x v="0"/>
    <n v="330"/>
    <n v="0"/>
    <x v="21"/>
    <n v="53520"/>
    <x v="1"/>
    <s v="53"/>
    <s v="535"/>
    <x v="954"/>
    <s v="Mathematics : SUI Nonteaching"/>
    <n v="0"/>
  </r>
  <r>
    <x v="0"/>
    <s v="11-330-00-170100-53610"/>
    <x v="0"/>
    <n v="330"/>
    <n v="0"/>
    <x v="21"/>
    <n v="53610"/>
    <x v="1"/>
    <s v="53"/>
    <s v="536"/>
    <x v="955"/>
    <s v="Mathematics : WC Teaching"/>
    <n v="39951.78"/>
  </r>
  <r>
    <x v="0"/>
    <s v="11-330-00-170100-53620"/>
    <x v="0"/>
    <n v="330"/>
    <n v="0"/>
    <x v="21"/>
    <n v="53620"/>
    <x v="1"/>
    <s v="53"/>
    <s v="536"/>
    <x v="956"/>
    <s v="Mathematics : WC Nonteaching"/>
    <n v="0"/>
  </r>
  <r>
    <x v="0"/>
    <s v="11-330-00-170100-53910"/>
    <x v="0"/>
    <n v="330"/>
    <n v="0"/>
    <x v="21"/>
    <n v="53910"/>
    <x v="1"/>
    <s v="53"/>
    <s v="539"/>
    <x v="957"/>
    <s v="Mathematics : Other Benefit-Teaching"/>
    <n v="4800"/>
  </r>
  <r>
    <x v="0"/>
    <s v="11-330-00-170100-54300"/>
    <x v="0"/>
    <n v="330"/>
    <n v="0"/>
    <x v="21"/>
    <n v="54300"/>
    <x v="1"/>
    <s v="54"/>
    <s v="543"/>
    <x v="958"/>
    <s v="Mathematics : Supplies &amp; Materials"/>
    <n v="930"/>
  </r>
  <r>
    <x v="0"/>
    <s v="11-330-00-170100-55630"/>
    <x v="0"/>
    <n v="330"/>
    <n v="0"/>
    <x v="21"/>
    <n v="55630"/>
    <x v="1"/>
    <s v="55"/>
    <s v="556"/>
    <x v="959"/>
    <s v="Mathematics : Printing &amp; Duplicating - Inhouse"/>
    <n v="976.3"/>
  </r>
  <r>
    <x v="0"/>
    <s v="11-330-00-170100-55650"/>
    <x v="0"/>
    <n v="330"/>
    <n v="0"/>
    <x v="21"/>
    <n v="55650"/>
    <x v="1"/>
    <s v="55"/>
    <s v="556"/>
    <x v="960"/>
    <s v="Mathematics : Maintenance Agreement"/>
    <n v="470"/>
  </r>
  <r>
    <x v="0"/>
    <s v="11-330-00-190200-51100"/>
    <x v="0"/>
    <n v="330"/>
    <n v="0"/>
    <x v="22"/>
    <n v="51100"/>
    <x v="1"/>
    <s v="51"/>
    <s v="511"/>
    <x v="961"/>
    <s v="Physics : Academic Teaching Full-time"/>
    <n v="95696"/>
  </r>
  <r>
    <x v="0"/>
    <s v="11-330-00-190200-51310"/>
    <x v="0"/>
    <n v="330"/>
    <n v="0"/>
    <x v="22"/>
    <n v="51310"/>
    <x v="1"/>
    <s v="51"/>
    <s v="513"/>
    <x v="962"/>
    <s v="Physics : Academic Teaching NIC"/>
    <n v="7287"/>
  </r>
  <r>
    <x v="0"/>
    <s v="11-330-00-190200-51311"/>
    <x v="0"/>
    <n v="330"/>
    <n v="0"/>
    <x v="22"/>
    <n v="51311"/>
    <x v="1"/>
    <s v="51"/>
    <s v="513"/>
    <x v="963"/>
    <s v="Physics : Academic Teaching PT"/>
    <n v="39000"/>
  </r>
  <r>
    <x v="0"/>
    <s v="11-330-00-190200-52200"/>
    <x v="0"/>
    <n v="330"/>
    <n v="0"/>
    <x v="22"/>
    <n v="52200"/>
    <x v="1"/>
    <s v="52"/>
    <s v="522"/>
    <x v="964"/>
    <s v="Physics : Classified Permanent Instructional Aides"/>
    <n v="48797.78"/>
  </r>
  <r>
    <x v="0"/>
    <s v="11-330-00-190200-52300"/>
    <x v="0"/>
    <n v="330"/>
    <n v="0"/>
    <x v="22"/>
    <n v="52300"/>
    <x v="1"/>
    <s v="52"/>
    <s v="523"/>
    <x v="965"/>
    <s v="Physics : Classified Overtime"/>
    <n v="0"/>
  </r>
  <r>
    <x v="0"/>
    <s v="11-330-00-190200-53110"/>
    <x v="0"/>
    <n v="330"/>
    <n v="0"/>
    <x v="22"/>
    <n v="53110"/>
    <x v="1"/>
    <s v="53"/>
    <s v="531"/>
    <x v="966"/>
    <s v="Physics : STRS Teaching"/>
    <n v="22930.25"/>
  </r>
  <r>
    <x v="0"/>
    <s v="11-330-00-190200-53210"/>
    <x v="0"/>
    <n v="330"/>
    <n v="0"/>
    <x v="22"/>
    <n v="53210"/>
    <x v="1"/>
    <s v="53"/>
    <s v="532"/>
    <x v="967"/>
    <s v="Physics : PERS Teaching"/>
    <n v="10101.14"/>
  </r>
  <r>
    <x v="0"/>
    <s v="11-330-00-190200-53310"/>
    <x v="0"/>
    <n v="330"/>
    <n v="0"/>
    <x v="22"/>
    <n v="53310"/>
    <x v="1"/>
    <s v="53"/>
    <s v="533"/>
    <x v="968"/>
    <s v="Physics : OASDHI (FICA) Teaching"/>
    <n v="3025.46"/>
  </r>
  <r>
    <x v="0"/>
    <s v="11-330-00-190200-53320"/>
    <x v="0"/>
    <n v="330"/>
    <n v="0"/>
    <x v="22"/>
    <n v="53320"/>
    <x v="1"/>
    <s v="53"/>
    <s v="533"/>
    <x v="969"/>
    <s v="Physics : OASDHI (FICA) Nonteaching"/>
    <n v="0"/>
  </r>
  <r>
    <x v="0"/>
    <s v="11-330-00-190200-53330"/>
    <x v="0"/>
    <n v="330"/>
    <n v="0"/>
    <x v="22"/>
    <n v="53330"/>
    <x v="1"/>
    <s v="53"/>
    <s v="533"/>
    <x v="970"/>
    <s v="Physics : Medicare Teaching"/>
    <n v="2766.32"/>
  </r>
  <r>
    <x v="0"/>
    <s v="11-330-00-190200-53340"/>
    <x v="0"/>
    <n v="330"/>
    <n v="0"/>
    <x v="22"/>
    <n v="53340"/>
    <x v="1"/>
    <s v="53"/>
    <s v="533"/>
    <x v="971"/>
    <s v="Physics : Medicare Nonteaching"/>
    <n v="0"/>
  </r>
  <r>
    <x v="0"/>
    <s v="11-330-00-190200-53410"/>
    <x v="0"/>
    <n v="330"/>
    <n v="0"/>
    <x v="22"/>
    <n v="53410"/>
    <x v="1"/>
    <s v="53"/>
    <s v="534"/>
    <x v="972"/>
    <s v="Physics : H &amp; W Teaching"/>
    <n v="18988.59"/>
  </r>
  <r>
    <x v="0"/>
    <s v="11-330-00-190200-53510"/>
    <x v="0"/>
    <n v="330"/>
    <n v="0"/>
    <x v="22"/>
    <n v="53510"/>
    <x v="1"/>
    <s v="53"/>
    <s v="535"/>
    <x v="973"/>
    <s v="Physics : SUI Teaching"/>
    <n v="95.39"/>
  </r>
  <r>
    <x v="0"/>
    <s v="11-330-00-190200-53520"/>
    <x v="0"/>
    <n v="330"/>
    <n v="0"/>
    <x v="22"/>
    <n v="53520"/>
    <x v="1"/>
    <s v="53"/>
    <s v="535"/>
    <x v="974"/>
    <s v="Physics : SUI Nonteaching"/>
    <n v="0"/>
  </r>
  <r>
    <x v="0"/>
    <s v="11-330-00-190200-53610"/>
    <x v="0"/>
    <n v="330"/>
    <n v="0"/>
    <x v="22"/>
    <n v="53610"/>
    <x v="1"/>
    <s v="53"/>
    <s v="536"/>
    <x v="975"/>
    <s v="Physics : WC Teaching"/>
    <n v="3607.28"/>
  </r>
  <r>
    <x v="0"/>
    <s v="11-330-00-190200-53620"/>
    <x v="0"/>
    <n v="330"/>
    <n v="0"/>
    <x v="22"/>
    <n v="53620"/>
    <x v="1"/>
    <s v="53"/>
    <s v="536"/>
    <x v="976"/>
    <s v="Physics : WC Nonteaching"/>
    <n v="0"/>
  </r>
  <r>
    <x v="0"/>
    <s v="11-330-00-190200-53910"/>
    <x v="0"/>
    <n v="330"/>
    <n v="0"/>
    <x v="22"/>
    <n v="53910"/>
    <x v="1"/>
    <s v="53"/>
    <s v="539"/>
    <x v="977"/>
    <s v="Physics : Other Benefit-Teaching"/>
    <n v="4200"/>
  </r>
  <r>
    <x v="0"/>
    <s v="11-330-00-190200-54300"/>
    <x v="0"/>
    <n v="330"/>
    <n v="0"/>
    <x v="22"/>
    <n v="54300"/>
    <x v="1"/>
    <s v="54"/>
    <s v="543"/>
    <x v="978"/>
    <s v="Physics : Supplies &amp; Materials"/>
    <n v="1750"/>
  </r>
  <r>
    <x v="0"/>
    <s v="11-330-00-190200-55630"/>
    <x v="0"/>
    <n v="330"/>
    <n v="0"/>
    <x v="22"/>
    <n v="55630"/>
    <x v="1"/>
    <s v="55"/>
    <s v="556"/>
    <x v="979"/>
    <s v="Physics : Printing &amp; Duplicating - Inhouse"/>
    <n v="37.200000000000003"/>
  </r>
  <r>
    <x v="0"/>
    <s v="11-330-00-190500-51100"/>
    <x v="0"/>
    <n v="330"/>
    <n v="0"/>
    <x v="76"/>
    <n v="51100"/>
    <x v="1"/>
    <s v="51"/>
    <s v="511"/>
    <x v="980"/>
    <s v="Chemistry : Academic Teaching Full-time"/>
    <n v="286968"/>
  </r>
  <r>
    <x v="0"/>
    <s v="11-330-00-190500-51310"/>
    <x v="0"/>
    <n v="330"/>
    <n v="0"/>
    <x v="76"/>
    <n v="51310"/>
    <x v="1"/>
    <s v="51"/>
    <s v="513"/>
    <x v="981"/>
    <s v="Chemistry : Academic Teaching NIC"/>
    <n v="26000"/>
  </r>
  <r>
    <x v="0"/>
    <s v="11-330-00-190500-51311"/>
    <x v="0"/>
    <n v="330"/>
    <n v="0"/>
    <x v="76"/>
    <n v="51311"/>
    <x v="1"/>
    <s v="51"/>
    <s v="513"/>
    <x v="982"/>
    <s v="Chemistry : Academic Teaching PT"/>
    <n v="81500"/>
  </r>
  <r>
    <x v="0"/>
    <s v="11-330-00-190500-52200"/>
    <x v="0"/>
    <n v="330"/>
    <n v="0"/>
    <x v="76"/>
    <n v="52200"/>
    <x v="1"/>
    <s v="52"/>
    <s v="522"/>
    <x v="983"/>
    <s v="Chemistry : Classified Permanent Instructional Aides"/>
    <n v="114778.9"/>
  </r>
  <r>
    <x v="0"/>
    <s v="11-330-00-190500-52300"/>
    <x v="0"/>
    <n v="330"/>
    <n v="0"/>
    <x v="76"/>
    <n v="52300"/>
    <x v="1"/>
    <s v="52"/>
    <s v="523"/>
    <x v="984"/>
    <s v="Chemistry : Classified Overtime"/>
    <n v="0"/>
  </r>
  <r>
    <x v="0"/>
    <s v="11-330-00-190500-53110"/>
    <x v="0"/>
    <n v="330"/>
    <n v="0"/>
    <x v="76"/>
    <n v="53110"/>
    <x v="1"/>
    <s v="53"/>
    <s v="531"/>
    <x v="985"/>
    <s v="Chemistry : STRS Teaching"/>
    <n v="63706.58"/>
  </r>
  <r>
    <x v="0"/>
    <s v="11-330-00-190500-53210"/>
    <x v="0"/>
    <n v="330"/>
    <n v="0"/>
    <x v="76"/>
    <n v="53210"/>
    <x v="1"/>
    <s v="53"/>
    <s v="532"/>
    <x v="986"/>
    <s v="Chemistry : PERS Teaching"/>
    <n v="23759.23"/>
  </r>
  <r>
    <x v="0"/>
    <s v="11-330-00-190500-53310"/>
    <x v="0"/>
    <n v="330"/>
    <n v="0"/>
    <x v="76"/>
    <n v="53310"/>
    <x v="1"/>
    <s v="53"/>
    <s v="533"/>
    <x v="987"/>
    <s v="Chemistry : OASDHI (FICA) Teaching"/>
    <n v="7116.29"/>
  </r>
  <r>
    <x v="0"/>
    <s v="11-330-00-190500-53320"/>
    <x v="0"/>
    <n v="330"/>
    <n v="0"/>
    <x v="76"/>
    <n v="53320"/>
    <x v="1"/>
    <s v="53"/>
    <s v="533"/>
    <x v="988"/>
    <s v="Chemistry : OASDHI (FICA) Nonteaching"/>
    <n v="0"/>
  </r>
  <r>
    <x v="0"/>
    <s v="11-330-00-190500-53330"/>
    <x v="0"/>
    <n v="330"/>
    <n v="0"/>
    <x v="76"/>
    <n v="53330"/>
    <x v="1"/>
    <s v="53"/>
    <s v="533"/>
    <x v="989"/>
    <s v="Chemistry : Medicare Teaching"/>
    <n v="7384.07"/>
  </r>
  <r>
    <x v="0"/>
    <s v="11-330-00-190500-53340"/>
    <x v="0"/>
    <n v="330"/>
    <n v="0"/>
    <x v="76"/>
    <n v="53340"/>
    <x v="1"/>
    <s v="53"/>
    <s v="533"/>
    <x v="990"/>
    <s v="Chemistry : Medicare Nonteaching"/>
    <n v="0"/>
  </r>
  <r>
    <x v="0"/>
    <s v="11-330-00-190500-53410"/>
    <x v="0"/>
    <n v="330"/>
    <n v="0"/>
    <x v="76"/>
    <n v="53410"/>
    <x v="1"/>
    <s v="53"/>
    <s v="534"/>
    <x v="991"/>
    <s v="Chemistry : H &amp; W Teaching"/>
    <n v="73211.78"/>
  </r>
  <r>
    <x v="0"/>
    <s v="11-330-00-190500-53510"/>
    <x v="0"/>
    <n v="330"/>
    <n v="0"/>
    <x v="76"/>
    <n v="53510"/>
    <x v="1"/>
    <s v="53"/>
    <s v="535"/>
    <x v="992"/>
    <s v="Chemistry : SUI Teaching"/>
    <n v="254.62"/>
  </r>
  <r>
    <x v="0"/>
    <s v="11-330-00-190500-53520"/>
    <x v="0"/>
    <n v="330"/>
    <n v="0"/>
    <x v="76"/>
    <n v="53520"/>
    <x v="1"/>
    <s v="53"/>
    <s v="535"/>
    <x v="993"/>
    <s v="Chemistry : SUI Nonteaching"/>
    <n v="0"/>
  </r>
  <r>
    <x v="0"/>
    <s v="11-330-00-190500-53610"/>
    <x v="0"/>
    <n v="330"/>
    <n v="0"/>
    <x v="76"/>
    <n v="53610"/>
    <x v="1"/>
    <s v="53"/>
    <s v="536"/>
    <x v="994"/>
    <s v="Chemistry : WC Teaching"/>
    <n v="9628.85"/>
  </r>
  <r>
    <x v="0"/>
    <s v="11-330-00-190500-53620"/>
    <x v="0"/>
    <n v="330"/>
    <n v="0"/>
    <x v="76"/>
    <n v="53620"/>
    <x v="1"/>
    <s v="53"/>
    <s v="536"/>
    <x v="995"/>
    <s v="Chemistry : WC Nonteaching"/>
    <n v="0"/>
  </r>
  <r>
    <x v="0"/>
    <s v="11-330-00-190500-53910"/>
    <x v="0"/>
    <n v="330"/>
    <n v="0"/>
    <x v="76"/>
    <n v="53910"/>
    <x v="1"/>
    <s v="53"/>
    <s v="539"/>
    <x v="996"/>
    <s v="Chemistry : Other Benefit-Teaching"/>
    <n v="4200"/>
  </r>
  <r>
    <x v="0"/>
    <s v="11-330-00-190500-54300"/>
    <x v="0"/>
    <n v="330"/>
    <n v="0"/>
    <x v="76"/>
    <n v="54300"/>
    <x v="1"/>
    <s v="54"/>
    <s v="543"/>
    <x v="997"/>
    <s v="Chemistry : Supplies &amp; Materials"/>
    <n v="10500"/>
  </r>
  <r>
    <x v="0"/>
    <s v="11-330-00-190500-55630"/>
    <x v="0"/>
    <n v="330"/>
    <n v="0"/>
    <x v="76"/>
    <n v="55630"/>
    <x v="1"/>
    <s v="55"/>
    <s v="556"/>
    <x v="998"/>
    <s v="Chemistry : Printing &amp; Duplicating - Inhouse"/>
    <n v="193.73"/>
  </r>
  <r>
    <x v="0"/>
    <s v="11-330-00-190500-55650"/>
    <x v="0"/>
    <n v="330"/>
    <n v="0"/>
    <x v="76"/>
    <n v="55650"/>
    <x v="1"/>
    <s v="55"/>
    <s v="556"/>
    <x v="999"/>
    <s v="Chemistry : Maintenance Agreement"/>
    <n v="2400"/>
  </r>
  <r>
    <x v="0"/>
    <s v="11-330-00-191100-51100"/>
    <x v="0"/>
    <n v="330"/>
    <n v="0"/>
    <x v="77"/>
    <n v="51100"/>
    <x v="1"/>
    <s v="51"/>
    <s v="511"/>
    <x v="1000"/>
    <s v="Astronomy : Academic Teaching Full-time"/>
    <n v="117774"/>
  </r>
  <r>
    <x v="0"/>
    <s v="11-330-00-191100-51310"/>
    <x v="0"/>
    <n v="330"/>
    <n v="0"/>
    <x v="77"/>
    <n v="51310"/>
    <x v="1"/>
    <s v="51"/>
    <s v="513"/>
    <x v="1001"/>
    <s v="Astronomy : Academic Teaching NIC"/>
    <n v="1300"/>
  </r>
  <r>
    <x v="0"/>
    <s v="11-330-00-191100-51311"/>
    <x v="0"/>
    <n v="330"/>
    <n v="0"/>
    <x v="77"/>
    <n v="51311"/>
    <x v="1"/>
    <s v="51"/>
    <s v="513"/>
    <x v="1002"/>
    <s v="Astronomy : Academic Teaching PT"/>
    <n v="33400"/>
  </r>
  <r>
    <x v="0"/>
    <s v="11-330-00-191100-53110"/>
    <x v="0"/>
    <n v="330"/>
    <n v="0"/>
    <x v="77"/>
    <n v="53110"/>
    <x v="1"/>
    <s v="53"/>
    <s v="531"/>
    <x v="1003"/>
    <s v="Astronomy : STRS Teaching"/>
    <n v="24624.55"/>
  </r>
  <r>
    <x v="0"/>
    <s v="11-330-00-191100-53330"/>
    <x v="0"/>
    <n v="330"/>
    <n v="0"/>
    <x v="77"/>
    <n v="53330"/>
    <x v="1"/>
    <s v="53"/>
    <s v="533"/>
    <x v="1004"/>
    <s v="Astronomy : Medicare Teaching"/>
    <n v="2210.87"/>
  </r>
  <r>
    <x v="0"/>
    <s v="11-330-00-191100-53410"/>
    <x v="0"/>
    <n v="330"/>
    <n v="0"/>
    <x v="77"/>
    <n v="53410"/>
    <x v="1"/>
    <s v="53"/>
    <s v="534"/>
    <x v="1005"/>
    <s v="Astronomy : H &amp; W Teaching"/>
    <n v="33121.43"/>
  </r>
  <r>
    <x v="0"/>
    <s v="11-330-00-191100-53510"/>
    <x v="0"/>
    <n v="330"/>
    <n v="0"/>
    <x v="77"/>
    <n v="53510"/>
    <x v="1"/>
    <s v="53"/>
    <s v="535"/>
    <x v="1006"/>
    <s v="Astronomy : SUI Teaching"/>
    <n v="76.239999999999995"/>
  </r>
  <r>
    <x v="0"/>
    <s v="11-330-00-191100-53610"/>
    <x v="0"/>
    <n v="330"/>
    <n v="0"/>
    <x v="77"/>
    <n v="53610"/>
    <x v="1"/>
    <s v="53"/>
    <s v="536"/>
    <x v="1007"/>
    <s v="Astronomy : WC Teaching"/>
    <n v="2882.98"/>
  </r>
  <r>
    <x v="0"/>
    <s v="11-330-00-191100-54300"/>
    <x v="0"/>
    <n v="330"/>
    <n v="0"/>
    <x v="77"/>
    <n v="54300"/>
    <x v="1"/>
    <s v="54"/>
    <s v="543"/>
    <x v="1008"/>
    <s v="Astronomy : Supplies &amp; Materials"/>
    <n v="930"/>
  </r>
  <r>
    <x v="0"/>
    <s v="11-330-00-191100-55630"/>
    <x v="0"/>
    <n v="330"/>
    <n v="0"/>
    <x v="77"/>
    <n v="55630"/>
    <x v="1"/>
    <s v="55"/>
    <s v="556"/>
    <x v="1009"/>
    <s v="Astronomy : Printing &amp; Duplicating - Inhouse"/>
    <n v="51.75"/>
  </r>
  <r>
    <x v="0"/>
    <s v="11-330-00-191400-51100"/>
    <x v="0"/>
    <n v="330"/>
    <n v="0"/>
    <x v="78"/>
    <n v="51100"/>
    <x v="1"/>
    <s v="51"/>
    <s v="511"/>
    <x v="1010"/>
    <s v="Geology : Academic Teaching Full-time"/>
    <n v="83356.800000000003"/>
  </r>
  <r>
    <x v="0"/>
    <s v="11-330-00-191400-51311"/>
    <x v="0"/>
    <n v="330"/>
    <n v="0"/>
    <x v="78"/>
    <n v="51311"/>
    <x v="1"/>
    <s v="51"/>
    <s v="513"/>
    <x v="1011"/>
    <s v="Geology : Academic Teaching PT"/>
    <n v="2900"/>
  </r>
  <r>
    <x v="0"/>
    <s v="11-330-00-191400-52200"/>
    <x v="0"/>
    <n v="330"/>
    <n v="0"/>
    <x v="78"/>
    <n v="52200"/>
    <x v="1"/>
    <s v="52"/>
    <s v="522"/>
    <x v="1012"/>
    <s v="Geology : Classified Permanent Instructional Aides"/>
    <n v="3253.19"/>
  </r>
  <r>
    <x v="0"/>
    <s v="11-330-00-191400-52300"/>
    <x v="0"/>
    <n v="330"/>
    <n v="0"/>
    <x v="78"/>
    <n v="52300"/>
    <x v="1"/>
    <s v="52"/>
    <s v="523"/>
    <x v="1013"/>
    <s v="Geology : Classified Overtime"/>
    <n v="0"/>
  </r>
  <r>
    <x v="0"/>
    <s v="11-330-00-191400-53110"/>
    <x v="0"/>
    <n v="330"/>
    <n v="0"/>
    <x v="78"/>
    <n v="53110"/>
    <x v="1"/>
    <s v="53"/>
    <s v="531"/>
    <x v="1014"/>
    <s v="Geology : STRS Teaching"/>
    <n v="13930.47"/>
  </r>
  <r>
    <x v="0"/>
    <s v="11-330-00-191400-53210"/>
    <x v="0"/>
    <n v="330"/>
    <n v="0"/>
    <x v="78"/>
    <n v="53210"/>
    <x v="1"/>
    <s v="53"/>
    <s v="532"/>
    <x v="1015"/>
    <s v="Geology : PERS Teaching"/>
    <n v="673.41"/>
  </r>
  <r>
    <x v="0"/>
    <s v="11-330-00-191400-53310"/>
    <x v="0"/>
    <n v="330"/>
    <n v="0"/>
    <x v="78"/>
    <n v="53310"/>
    <x v="1"/>
    <s v="53"/>
    <s v="533"/>
    <x v="1016"/>
    <s v="Geology : OASDHI (FICA) Teaching"/>
    <n v="201.7"/>
  </r>
  <r>
    <x v="0"/>
    <s v="11-330-00-191400-53320"/>
    <x v="0"/>
    <n v="330"/>
    <n v="0"/>
    <x v="78"/>
    <n v="53320"/>
    <x v="1"/>
    <s v="53"/>
    <s v="533"/>
    <x v="1017"/>
    <s v="Geology : OASDHI (FICA) Nonteaching"/>
    <n v="0"/>
  </r>
  <r>
    <x v="0"/>
    <s v="11-330-00-191400-53330"/>
    <x v="0"/>
    <n v="330"/>
    <n v="0"/>
    <x v="78"/>
    <n v="53330"/>
    <x v="1"/>
    <s v="53"/>
    <s v="533"/>
    <x v="1018"/>
    <s v="Geology : Medicare Teaching"/>
    <n v="1297.8900000000001"/>
  </r>
  <r>
    <x v="0"/>
    <s v="11-330-00-191400-53340"/>
    <x v="0"/>
    <n v="330"/>
    <n v="0"/>
    <x v="78"/>
    <n v="53340"/>
    <x v="1"/>
    <s v="53"/>
    <s v="533"/>
    <x v="1019"/>
    <s v="Geology : Medicare Nonteaching"/>
    <n v="0"/>
  </r>
  <r>
    <x v="0"/>
    <s v="11-330-00-191400-53410"/>
    <x v="0"/>
    <n v="330"/>
    <n v="0"/>
    <x v="78"/>
    <n v="53410"/>
    <x v="1"/>
    <s v="53"/>
    <s v="534"/>
    <x v="1020"/>
    <s v="Geology : H &amp; W Teaching"/>
    <n v="21347.91"/>
  </r>
  <r>
    <x v="0"/>
    <s v="11-330-00-191400-53510"/>
    <x v="0"/>
    <n v="330"/>
    <n v="0"/>
    <x v="78"/>
    <n v="53510"/>
    <x v="1"/>
    <s v="53"/>
    <s v="535"/>
    <x v="1021"/>
    <s v="Geology : SUI Teaching"/>
    <n v="44.76"/>
  </r>
  <r>
    <x v="0"/>
    <s v="11-330-00-191400-53520"/>
    <x v="0"/>
    <n v="330"/>
    <n v="0"/>
    <x v="78"/>
    <n v="53520"/>
    <x v="1"/>
    <s v="53"/>
    <s v="535"/>
    <x v="1022"/>
    <s v="Geology : SUI Nonteaching"/>
    <n v="0"/>
  </r>
  <r>
    <x v="0"/>
    <s v="11-330-00-191400-53610"/>
    <x v="0"/>
    <n v="330"/>
    <n v="0"/>
    <x v="78"/>
    <n v="53610"/>
    <x v="1"/>
    <s v="53"/>
    <s v="536"/>
    <x v="1023"/>
    <s v="Geology : WC Teaching"/>
    <n v="1692.45"/>
  </r>
  <r>
    <x v="0"/>
    <s v="11-330-00-191400-53620"/>
    <x v="0"/>
    <n v="330"/>
    <n v="0"/>
    <x v="78"/>
    <n v="53620"/>
    <x v="1"/>
    <s v="53"/>
    <s v="536"/>
    <x v="1024"/>
    <s v="Geology : WC Nonteaching"/>
    <n v="0"/>
  </r>
  <r>
    <x v="0"/>
    <s v="11-330-00-191400-53910"/>
    <x v="0"/>
    <n v="330"/>
    <n v="0"/>
    <x v="78"/>
    <n v="53910"/>
    <x v="1"/>
    <s v="53"/>
    <s v="539"/>
    <x v="1025"/>
    <s v="Geology : Other Benefit-Teaching"/>
    <n v="120"/>
  </r>
  <r>
    <x v="0"/>
    <s v="11-330-00-191400-54300"/>
    <x v="0"/>
    <n v="330"/>
    <n v="0"/>
    <x v="78"/>
    <n v="54300"/>
    <x v="1"/>
    <s v="54"/>
    <s v="543"/>
    <x v="1026"/>
    <s v="Geology : Supplies &amp; Materials"/>
    <n v="1000"/>
  </r>
  <r>
    <x v="0"/>
    <s v="11-330-00-191400-55630"/>
    <x v="0"/>
    <n v="330"/>
    <n v="0"/>
    <x v="78"/>
    <n v="55630"/>
    <x v="1"/>
    <s v="55"/>
    <s v="556"/>
    <x v="1027"/>
    <s v="Geology : Printing &amp; Duplicating - Inhouse"/>
    <n v="55.8"/>
  </r>
  <r>
    <x v="0"/>
    <s v="11-330-00-191900-51100"/>
    <x v="0"/>
    <n v="330"/>
    <n v="0"/>
    <x v="23"/>
    <n v="51100"/>
    <x v="1"/>
    <s v="51"/>
    <s v="511"/>
    <x v="1028"/>
    <s v="Oceanography : Academic Teaching Full-time"/>
    <n v="20839.2"/>
  </r>
  <r>
    <x v="0"/>
    <s v="11-330-00-191900-51311"/>
    <x v="0"/>
    <n v="330"/>
    <n v="0"/>
    <x v="23"/>
    <n v="51311"/>
    <x v="1"/>
    <s v="51"/>
    <s v="513"/>
    <x v="1029"/>
    <s v="Oceanography : Academic Teaching PT"/>
    <n v="3400"/>
  </r>
  <r>
    <x v="0"/>
    <s v="11-330-00-191900-53110"/>
    <x v="0"/>
    <n v="330"/>
    <n v="0"/>
    <x v="23"/>
    <n v="53110"/>
    <x v="1"/>
    <s v="53"/>
    <s v="531"/>
    <x v="1030"/>
    <s v="Oceanography : STRS Teaching"/>
    <n v="3914.63"/>
  </r>
  <r>
    <x v="0"/>
    <s v="11-330-00-191900-53330"/>
    <x v="0"/>
    <n v="330"/>
    <n v="0"/>
    <x v="23"/>
    <n v="53330"/>
    <x v="1"/>
    <s v="53"/>
    <s v="533"/>
    <x v="1031"/>
    <s v="Oceanography : Medicare Teaching"/>
    <n v="351.47"/>
  </r>
  <r>
    <x v="0"/>
    <s v="11-330-00-191900-53410"/>
    <x v="0"/>
    <n v="330"/>
    <n v="0"/>
    <x v="23"/>
    <n v="53410"/>
    <x v="1"/>
    <s v="53"/>
    <s v="534"/>
    <x v="1032"/>
    <s v="Oceanography : H &amp; W Teaching"/>
    <n v="5048.1499999999996"/>
  </r>
  <r>
    <x v="0"/>
    <s v="11-330-00-191900-53510"/>
    <x v="0"/>
    <n v="330"/>
    <n v="0"/>
    <x v="23"/>
    <n v="53510"/>
    <x v="1"/>
    <s v="53"/>
    <s v="535"/>
    <x v="1033"/>
    <s v="Oceanography : SUI Teaching"/>
    <n v="12.12"/>
  </r>
  <r>
    <x v="0"/>
    <s v="11-330-00-191900-53610"/>
    <x v="0"/>
    <n v="330"/>
    <n v="0"/>
    <x v="23"/>
    <n v="53610"/>
    <x v="1"/>
    <s v="53"/>
    <s v="536"/>
    <x v="1034"/>
    <s v="Oceanography : WC Teaching"/>
    <n v="458.32"/>
  </r>
  <r>
    <x v="0"/>
    <s v="11-330-00-191900-55630"/>
    <x v="0"/>
    <n v="330"/>
    <n v="0"/>
    <x v="23"/>
    <n v="55630"/>
    <x v="1"/>
    <s v="55"/>
    <s v="556"/>
    <x v="1035"/>
    <s v="Oceanography : Printing &amp; Duplicating - Inhouse"/>
    <n v="18.600000000000001"/>
  </r>
  <r>
    <x v="0"/>
    <s v="11-330-00-220600-51311"/>
    <x v="0"/>
    <n v="330"/>
    <n v="0"/>
    <x v="29"/>
    <n v="51311"/>
    <x v="1"/>
    <s v="51"/>
    <s v="513"/>
    <x v="1036"/>
    <s v="Geography : Academic Teaching PT"/>
    <n v="3500"/>
  </r>
  <r>
    <x v="0"/>
    <s v="11-330-00-220600-53110"/>
    <x v="0"/>
    <n v="330"/>
    <n v="0"/>
    <x v="29"/>
    <n v="53110"/>
    <x v="1"/>
    <s v="53"/>
    <s v="531"/>
    <x v="1037"/>
    <s v="Geography : STRS Teaching"/>
    <n v="565.25"/>
  </r>
  <r>
    <x v="0"/>
    <s v="11-330-00-220600-53310"/>
    <x v="0"/>
    <n v="330"/>
    <n v="0"/>
    <x v="29"/>
    <n v="53310"/>
    <x v="1"/>
    <s v="53"/>
    <s v="533"/>
    <x v="1038"/>
    <s v="Geography : OASDHI (FICA) Teaching"/>
    <n v="0"/>
  </r>
  <r>
    <x v="0"/>
    <s v="11-330-00-220600-53330"/>
    <x v="0"/>
    <n v="330"/>
    <n v="0"/>
    <x v="29"/>
    <n v="53330"/>
    <x v="1"/>
    <s v="53"/>
    <s v="533"/>
    <x v="1039"/>
    <s v="Geography : Medicare Teaching"/>
    <n v="50.75"/>
  </r>
  <r>
    <x v="0"/>
    <s v="11-330-00-220600-53510"/>
    <x v="0"/>
    <n v="330"/>
    <n v="0"/>
    <x v="29"/>
    <n v="53510"/>
    <x v="1"/>
    <s v="53"/>
    <s v="535"/>
    <x v="1040"/>
    <s v="Geography : SUI Teaching"/>
    <n v="1.75"/>
  </r>
  <r>
    <x v="0"/>
    <s v="11-330-00-220600-53610"/>
    <x v="0"/>
    <n v="330"/>
    <n v="0"/>
    <x v="29"/>
    <n v="53610"/>
    <x v="1"/>
    <s v="53"/>
    <s v="536"/>
    <x v="1041"/>
    <s v="Geography : WC Teaching"/>
    <n v="66.180000000000007"/>
  </r>
  <r>
    <x v="0"/>
    <s v="11-330-00-220600-55630"/>
    <x v="0"/>
    <n v="330"/>
    <n v="0"/>
    <x v="29"/>
    <n v="55630"/>
    <x v="1"/>
    <s v="55"/>
    <s v="556"/>
    <x v="1042"/>
    <s v="Geography : Printing &amp; Duplicating - Inhouse"/>
    <n v="93"/>
  </r>
  <r>
    <x v="0"/>
    <s v="11-330-00-601000-52130"/>
    <x v="0"/>
    <n v="330"/>
    <n v="0"/>
    <x v="34"/>
    <n v="52130"/>
    <x v="1"/>
    <s v="52"/>
    <s v="521"/>
    <x v="1043"/>
    <s v="Academic Administration : Classified Management"/>
    <n v="12302.1"/>
  </r>
  <r>
    <x v="0"/>
    <s v="11-330-00-601000-53220"/>
    <x v="0"/>
    <n v="330"/>
    <n v="0"/>
    <x v="34"/>
    <n v="53220"/>
    <x v="1"/>
    <s v="53"/>
    <s v="532"/>
    <x v="1044"/>
    <s v="Academic Administration : PERS Nonteaching"/>
    <n v="2546.5300000000002"/>
  </r>
  <r>
    <x v="0"/>
    <s v="11-330-00-601000-53320"/>
    <x v="0"/>
    <n v="330"/>
    <n v="0"/>
    <x v="34"/>
    <n v="53320"/>
    <x v="1"/>
    <s v="53"/>
    <s v="533"/>
    <x v="1045"/>
    <s v="Academic Administration : OASDHI (FICA) Nonteaching"/>
    <n v="762.73"/>
  </r>
  <r>
    <x v="0"/>
    <s v="11-330-00-601000-53340"/>
    <x v="0"/>
    <n v="330"/>
    <n v="0"/>
    <x v="34"/>
    <n v="53340"/>
    <x v="1"/>
    <s v="53"/>
    <s v="533"/>
    <x v="1046"/>
    <s v="Academic Administration : Medicare Nonteaching"/>
    <n v="178.38"/>
  </r>
  <r>
    <x v="0"/>
    <s v="11-330-00-601000-53420"/>
    <x v="0"/>
    <n v="330"/>
    <n v="0"/>
    <x v="34"/>
    <n v="53420"/>
    <x v="1"/>
    <s v="53"/>
    <s v="534"/>
    <x v="1047"/>
    <s v="Academic Administration : H &amp; W Nonteaching"/>
    <n v="1314.16"/>
  </r>
  <r>
    <x v="0"/>
    <s v="11-330-00-601000-53520"/>
    <x v="0"/>
    <n v="330"/>
    <n v="0"/>
    <x v="34"/>
    <n v="53520"/>
    <x v="1"/>
    <s v="53"/>
    <s v="535"/>
    <x v="1048"/>
    <s v="Academic Administration : SUI Nonteaching"/>
    <n v="6.15"/>
  </r>
  <r>
    <x v="0"/>
    <s v="11-330-00-601000-53620"/>
    <x v="0"/>
    <n v="330"/>
    <n v="0"/>
    <x v="34"/>
    <n v="53620"/>
    <x v="1"/>
    <s v="53"/>
    <s v="536"/>
    <x v="1049"/>
    <s v="Academic Administration : WC Nonteaching"/>
    <n v="232.61"/>
  </r>
  <r>
    <x v="0"/>
    <s v="11-330-00-601000-55630"/>
    <x v="0"/>
    <n v="330"/>
    <n v="0"/>
    <x v="34"/>
    <n v="55630"/>
    <x v="1"/>
    <s v="55"/>
    <s v="556"/>
    <x v="1050"/>
    <s v="Academic Administration : Printing &amp; Duplicating - Inhouse"/>
    <n v="9.3000000000000007"/>
  </r>
  <r>
    <x v="0"/>
    <s v="11-330-00-703800-52105"/>
    <x v="0"/>
    <n v="330"/>
    <n v="0"/>
    <x v="61"/>
    <n v="52105"/>
    <x v="1"/>
    <s v="52"/>
    <s v="521"/>
    <x v="1051"/>
    <s v="MESA Grant : Classified CSEA"/>
    <n v="0"/>
  </r>
  <r>
    <x v="0"/>
    <s v="11-330-00-703800-53220"/>
    <x v="0"/>
    <n v="330"/>
    <n v="0"/>
    <x v="61"/>
    <n v="53220"/>
    <x v="1"/>
    <s v="53"/>
    <s v="532"/>
    <x v="1052"/>
    <s v="MESA Grant : PERS Nonteaching"/>
    <n v="0"/>
  </r>
  <r>
    <x v="0"/>
    <s v="11-330-00-703800-53320"/>
    <x v="0"/>
    <n v="330"/>
    <n v="0"/>
    <x v="61"/>
    <n v="53320"/>
    <x v="1"/>
    <s v="53"/>
    <s v="533"/>
    <x v="1053"/>
    <s v="MESA Grant : OASDHI (FICA) Nonteaching"/>
    <n v="0"/>
  </r>
  <r>
    <x v="0"/>
    <s v="11-330-00-703800-53340"/>
    <x v="0"/>
    <n v="330"/>
    <n v="0"/>
    <x v="61"/>
    <n v="53340"/>
    <x v="1"/>
    <s v="53"/>
    <s v="533"/>
    <x v="1054"/>
    <s v="MESA Grant : Medicare Nonteaching"/>
    <n v="0"/>
  </r>
  <r>
    <x v="0"/>
    <s v="11-330-00-703800-53420"/>
    <x v="0"/>
    <n v="330"/>
    <n v="0"/>
    <x v="61"/>
    <n v="53420"/>
    <x v="1"/>
    <s v="53"/>
    <s v="534"/>
    <x v="1055"/>
    <s v="MESA Grant : H &amp; W Nonteaching"/>
    <n v="0"/>
  </r>
  <r>
    <x v="0"/>
    <s v="11-330-00-703800-53520"/>
    <x v="0"/>
    <n v="330"/>
    <n v="0"/>
    <x v="61"/>
    <n v="53520"/>
    <x v="1"/>
    <s v="53"/>
    <s v="535"/>
    <x v="1056"/>
    <s v="MESA Grant : SUI Nonteaching"/>
    <n v="0"/>
  </r>
  <r>
    <x v="0"/>
    <s v="11-330-00-703800-53620"/>
    <x v="0"/>
    <n v="330"/>
    <n v="0"/>
    <x v="61"/>
    <n v="53620"/>
    <x v="1"/>
    <s v="53"/>
    <s v="536"/>
    <x v="1057"/>
    <s v="MESA Grant : WC Nonteaching"/>
    <n v="0"/>
  </r>
  <r>
    <x v="0"/>
    <s v="11-330-01-070100-51100"/>
    <x v="0"/>
    <n v="330"/>
    <n v="1"/>
    <x v="13"/>
    <n v="51100"/>
    <x v="1"/>
    <s v="51"/>
    <s v="511"/>
    <x v="1058"/>
    <s v="Computer &amp; Information Science : Academic Teaching Full-time"/>
    <n v="258523"/>
  </r>
  <r>
    <x v="0"/>
    <s v="11-330-01-070100-51310"/>
    <x v="0"/>
    <n v="330"/>
    <n v="1"/>
    <x v="13"/>
    <n v="51310"/>
    <x v="1"/>
    <s v="51"/>
    <s v="513"/>
    <x v="1059"/>
    <s v="Computer &amp; Information Science : Academic Teaching NIC"/>
    <n v="33000"/>
  </r>
  <r>
    <x v="0"/>
    <s v="11-330-01-070100-53110"/>
    <x v="0"/>
    <n v="330"/>
    <n v="1"/>
    <x v="13"/>
    <n v="53110"/>
    <x v="1"/>
    <s v="53"/>
    <s v="531"/>
    <x v="1060"/>
    <s v="Computer &amp; Information Science : STRS Teaching"/>
    <n v="47080.97"/>
  </r>
  <r>
    <x v="0"/>
    <s v="11-330-01-070100-53330"/>
    <x v="0"/>
    <n v="330"/>
    <n v="1"/>
    <x v="13"/>
    <n v="53330"/>
    <x v="1"/>
    <s v="53"/>
    <s v="533"/>
    <x v="1061"/>
    <s v="Computer &amp; Information Science : Medicare Teaching"/>
    <n v="4227.08"/>
  </r>
  <r>
    <x v="0"/>
    <s v="11-330-01-070100-53410"/>
    <x v="0"/>
    <n v="330"/>
    <n v="1"/>
    <x v="13"/>
    <n v="53410"/>
    <x v="1"/>
    <s v="53"/>
    <s v="534"/>
    <x v="1062"/>
    <s v="Computer &amp; Information Science : H &amp; W Teaching"/>
    <n v="61561.64"/>
  </r>
  <r>
    <x v="0"/>
    <s v="11-330-01-070100-53510"/>
    <x v="0"/>
    <n v="330"/>
    <n v="1"/>
    <x v="13"/>
    <n v="53510"/>
    <x v="1"/>
    <s v="53"/>
    <s v="535"/>
    <x v="1063"/>
    <s v="Computer &amp; Information Science : SUI Teaching"/>
    <n v="145.76"/>
  </r>
  <r>
    <x v="0"/>
    <s v="11-330-01-070100-53610"/>
    <x v="0"/>
    <n v="330"/>
    <n v="1"/>
    <x v="13"/>
    <n v="53610"/>
    <x v="1"/>
    <s v="53"/>
    <s v="536"/>
    <x v="1064"/>
    <s v="Computer &amp; Information Science : WC Teaching"/>
    <n v="5512.12"/>
  </r>
  <r>
    <x v="0"/>
    <s v="11-330-01-070100-53910"/>
    <x v="0"/>
    <n v="330"/>
    <n v="1"/>
    <x v="13"/>
    <n v="53910"/>
    <x v="1"/>
    <s v="53"/>
    <s v="539"/>
    <x v="1065"/>
    <s v="Computer &amp; Information Science : Other Benefit-Teaching"/>
    <n v="2400"/>
  </r>
  <r>
    <x v="0"/>
    <s v="11-330-01-070100-54300"/>
    <x v="0"/>
    <n v="330"/>
    <n v="1"/>
    <x v="13"/>
    <n v="54300"/>
    <x v="1"/>
    <s v="54"/>
    <s v="543"/>
    <x v="1066"/>
    <s v="Computer &amp; Information Science : Supplies &amp; Materials"/>
    <n v="744"/>
  </r>
  <r>
    <x v="0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32.5"/>
  </r>
  <r>
    <x v="0"/>
    <s v="11-330-01-070100-55650"/>
    <x v="0"/>
    <n v="330"/>
    <n v="1"/>
    <x v="13"/>
    <n v="55650"/>
    <x v="1"/>
    <s v="55"/>
    <s v="556"/>
    <x v="1068"/>
    <s v="Computer &amp; Information Science : Maintenance Agreement"/>
    <n v="300"/>
  </r>
  <r>
    <x v="0"/>
    <s v="11-330-01-090100-51100"/>
    <x v="0"/>
    <n v="330"/>
    <n v="1"/>
    <x v="75"/>
    <n v="51100"/>
    <x v="1"/>
    <s v="51"/>
    <s v="511"/>
    <x v="1069"/>
    <s v="Engineering : Academic Teaching Full-time"/>
    <n v="20839.2"/>
  </r>
  <r>
    <x v="0"/>
    <s v="11-330-01-090100-53110"/>
    <x v="0"/>
    <n v="330"/>
    <n v="1"/>
    <x v="75"/>
    <n v="53110"/>
    <x v="1"/>
    <s v="53"/>
    <s v="531"/>
    <x v="1070"/>
    <s v="Engineering : STRS Teaching"/>
    <n v="3365.53"/>
  </r>
  <r>
    <x v="0"/>
    <s v="11-330-01-090100-53330"/>
    <x v="0"/>
    <n v="330"/>
    <n v="1"/>
    <x v="75"/>
    <n v="53330"/>
    <x v="1"/>
    <s v="53"/>
    <s v="533"/>
    <x v="1071"/>
    <s v="Engineering : Medicare Teaching"/>
    <n v="302.17"/>
  </r>
  <r>
    <x v="0"/>
    <s v="11-330-01-090100-53410"/>
    <x v="0"/>
    <n v="330"/>
    <n v="1"/>
    <x v="75"/>
    <n v="53410"/>
    <x v="1"/>
    <s v="53"/>
    <s v="534"/>
    <x v="1072"/>
    <s v="Engineering : H &amp; W Teaching"/>
    <n v="6624.29"/>
  </r>
  <r>
    <x v="0"/>
    <s v="11-330-01-090100-53510"/>
    <x v="0"/>
    <n v="330"/>
    <n v="1"/>
    <x v="75"/>
    <n v="53510"/>
    <x v="1"/>
    <s v="53"/>
    <s v="535"/>
    <x v="1073"/>
    <s v="Engineering : SUI Teaching"/>
    <n v="10.42"/>
  </r>
  <r>
    <x v="0"/>
    <s v="11-330-01-090100-53610"/>
    <x v="0"/>
    <n v="330"/>
    <n v="1"/>
    <x v="75"/>
    <n v="53610"/>
    <x v="1"/>
    <s v="53"/>
    <s v="536"/>
    <x v="1074"/>
    <s v="Engineering : WC Teaching"/>
    <n v="394.03"/>
  </r>
  <r>
    <x v="0"/>
    <s v="11-330-01-090100-55630"/>
    <x v="0"/>
    <n v="330"/>
    <n v="1"/>
    <x v="75"/>
    <n v="55630"/>
    <x v="1"/>
    <s v="55"/>
    <s v="556"/>
    <x v="1075"/>
    <s v="Engineering : Printing &amp; Duplicating - Inhouse"/>
    <n v="9.3000000000000007"/>
  </r>
  <r>
    <x v="0"/>
    <s v="11-335-00-120300-51100"/>
    <x v="0"/>
    <n v="335"/>
    <n v="0"/>
    <x v="79"/>
    <n v="51100"/>
    <x v="1"/>
    <s v="51"/>
    <s v="511"/>
    <x v="1076"/>
    <s v="Nursing - RN : Academic Teaching Full-time"/>
    <n v="652791.5"/>
  </r>
  <r>
    <x v="0"/>
    <s v="11-335-00-120300-51310"/>
    <x v="0"/>
    <n v="335"/>
    <n v="0"/>
    <x v="79"/>
    <n v="51310"/>
    <x v="1"/>
    <s v="51"/>
    <s v="513"/>
    <x v="1077"/>
    <s v="Nursing - RN : Academic Teaching NIC"/>
    <n v="19123"/>
  </r>
  <r>
    <x v="0"/>
    <s v="11-335-00-120300-51311"/>
    <x v="0"/>
    <n v="335"/>
    <n v="0"/>
    <x v="79"/>
    <n v="51311"/>
    <x v="1"/>
    <s v="51"/>
    <s v="513"/>
    <x v="1078"/>
    <s v="Nursing - RN : Academic Teaching PT"/>
    <n v="142438"/>
  </r>
  <r>
    <x v="0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0"/>
    <s v="11-335-00-120300-52360"/>
    <x v="0"/>
    <n v="335"/>
    <n v="0"/>
    <x v="79"/>
    <n v="52360"/>
    <x v="1"/>
    <s v="52"/>
    <s v="523"/>
    <x v="1080"/>
    <s v="Nursing - RN : Class Nonstu NonIA PT Prof Exp"/>
    <n v="2687"/>
  </r>
  <r>
    <x v="0"/>
    <s v="11-335-00-120300-53110"/>
    <x v="0"/>
    <n v="335"/>
    <n v="0"/>
    <x v="79"/>
    <n v="53110"/>
    <x v="1"/>
    <s v="53"/>
    <s v="531"/>
    <x v="1081"/>
    <s v="Nursing - RN : STRS Teaching"/>
    <n v="131931.69"/>
  </r>
  <r>
    <x v="0"/>
    <s v="11-335-00-120300-53120"/>
    <x v="0"/>
    <n v="335"/>
    <n v="0"/>
    <x v="79"/>
    <n v="53120"/>
    <x v="1"/>
    <s v="53"/>
    <s v="531"/>
    <x v="1082"/>
    <s v="Nursing - RN : STRS Nonteaching"/>
    <n v="310.89"/>
  </r>
  <r>
    <x v="0"/>
    <s v="11-335-00-120300-53310"/>
    <x v="0"/>
    <n v="335"/>
    <n v="0"/>
    <x v="79"/>
    <n v="53310"/>
    <x v="1"/>
    <s v="53"/>
    <s v="533"/>
    <x v="1083"/>
    <s v="Nursing - RN : OASDHI (FICA) Teaching"/>
    <n v="0"/>
  </r>
  <r>
    <x v="0"/>
    <s v="11-335-00-120300-53320"/>
    <x v="0"/>
    <n v="335"/>
    <n v="0"/>
    <x v="79"/>
    <n v="53320"/>
    <x v="1"/>
    <s v="53"/>
    <s v="533"/>
    <x v="1084"/>
    <s v="Nursing - RN : OASDHI (FICA) Nonteaching"/>
    <n v="0"/>
  </r>
  <r>
    <x v="0"/>
    <s v="11-335-00-120300-53330"/>
    <x v="0"/>
    <n v="335"/>
    <n v="0"/>
    <x v="79"/>
    <n v="53330"/>
    <x v="1"/>
    <s v="53"/>
    <s v="533"/>
    <x v="1085"/>
    <s v="Nursing - RN : Medicare Teaching"/>
    <n v="11845.26"/>
  </r>
  <r>
    <x v="0"/>
    <s v="11-335-00-120300-53340"/>
    <x v="0"/>
    <n v="335"/>
    <n v="0"/>
    <x v="79"/>
    <n v="53340"/>
    <x v="1"/>
    <s v="53"/>
    <s v="533"/>
    <x v="1086"/>
    <s v="Nursing - RN : Medicare Nonteaching"/>
    <n v="27.91"/>
  </r>
  <r>
    <x v="0"/>
    <s v="11-335-00-120300-53410"/>
    <x v="0"/>
    <n v="335"/>
    <n v="0"/>
    <x v="79"/>
    <n v="53410"/>
    <x v="1"/>
    <s v="53"/>
    <s v="534"/>
    <x v="1087"/>
    <s v="Nursing - RN : H &amp; W Teaching"/>
    <n v="146499.35"/>
  </r>
  <r>
    <x v="0"/>
    <s v="11-335-00-120300-53420"/>
    <x v="0"/>
    <n v="335"/>
    <n v="0"/>
    <x v="79"/>
    <n v="53420"/>
    <x v="1"/>
    <s v="53"/>
    <s v="534"/>
    <x v="1088"/>
    <s v="Nursing - RN : H &amp; W Nonteaching"/>
    <n v="0"/>
  </r>
  <r>
    <x v="0"/>
    <s v="11-335-00-120300-53510"/>
    <x v="0"/>
    <n v="335"/>
    <n v="0"/>
    <x v="79"/>
    <n v="53510"/>
    <x v="1"/>
    <s v="53"/>
    <s v="535"/>
    <x v="1089"/>
    <s v="Nursing - RN : SUI Teaching"/>
    <n v="408.47"/>
  </r>
  <r>
    <x v="0"/>
    <s v="11-335-00-120300-53520"/>
    <x v="0"/>
    <n v="335"/>
    <n v="0"/>
    <x v="79"/>
    <n v="53520"/>
    <x v="1"/>
    <s v="53"/>
    <s v="535"/>
    <x v="1090"/>
    <s v="Nursing - RN : SUI Nonteaching"/>
    <n v="0.96"/>
  </r>
  <r>
    <x v="0"/>
    <s v="11-335-00-120300-53610"/>
    <x v="0"/>
    <n v="335"/>
    <n v="0"/>
    <x v="79"/>
    <n v="53610"/>
    <x v="1"/>
    <s v="53"/>
    <s v="536"/>
    <x v="1091"/>
    <s v="Nursing - RN : WC Teaching"/>
    <n v="15446.23"/>
  </r>
  <r>
    <x v="0"/>
    <s v="11-335-00-120300-53620"/>
    <x v="0"/>
    <n v="335"/>
    <n v="0"/>
    <x v="79"/>
    <n v="53620"/>
    <x v="1"/>
    <s v="53"/>
    <s v="536"/>
    <x v="1092"/>
    <s v="Nursing - RN : WC Nonteaching"/>
    <n v="36.4"/>
  </r>
  <r>
    <x v="0"/>
    <s v="11-335-00-120300-54300"/>
    <x v="0"/>
    <n v="335"/>
    <n v="0"/>
    <x v="79"/>
    <n v="54300"/>
    <x v="1"/>
    <s v="54"/>
    <s v="543"/>
    <x v="1093"/>
    <s v="Nursing - RN : Supplies &amp; Materials"/>
    <n v="2100"/>
  </r>
  <r>
    <x v="0"/>
    <s v="11-335-00-120300-55200"/>
    <x v="0"/>
    <n v="335"/>
    <n v="0"/>
    <x v="79"/>
    <n v="55200"/>
    <x v="1"/>
    <s v="55"/>
    <s v="552"/>
    <x v="1094"/>
    <s v="Nursing - RN : Travel &amp; Conference"/>
    <n v="0"/>
  </r>
  <r>
    <x v="0"/>
    <s v="11-335-00-120300-55300"/>
    <x v="0"/>
    <n v="335"/>
    <n v="0"/>
    <x v="79"/>
    <n v="55300"/>
    <x v="1"/>
    <s v="55"/>
    <s v="553"/>
    <x v="1095"/>
    <s v="Nursing - RN : Memberships"/>
    <n v="12143"/>
  </r>
  <r>
    <x v="0"/>
    <s v="11-335-00-120300-55625"/>
    <x v="0"/>
    <n v="335"/>
    <n v="0"/>
    <x v="79"/>
    <n v="55625"/>
    <x v="1"/>
    <s v="55"/>
    <s v="556"/>
    <x v="1096"/>
    <s v="Nursing - RN : Inprocessing Costs"/>
    <n v="250"/>
  </r>
  <r>
    <x v="0"/>
    <s v="11-335-00-120300-55630"/>
    <x v="0"/>
    <n v="335"/>
    <n v="0"/>
    <x v="79"/>
    <n v="55630"/>
    <x v="1"/>
    <s v="55"/>
    <s v="556"/>
    <x v="1097"/>
    <s v="Nursing - RN : Printing &amp; Duplicating - Inhouse"/>
    <n v="900"/>
  </r>
  <r>
    <x v="0"/>
    <s v="11-335-00-120300-55650"/>
    <x v="0"/>
    <n v="335"/>
    <n v="0"/>
    <x v="79"/>
    <n v="55650"/>
    <x v="1"/>
    <s v="55"/>
    <s v="556"/>
    <x v="1098"/>
    <s v="Nursing - RN : Maintenance Agreement"/>
    <n v="10635"/>
  </r>
  <r>
    <x v="0"/>
    <s v="11-335-00-120320-51100"/>
    <x v="0"/>
    <n v="335"/>
    <n v="0"/>
    <x v="80"/>
    <n v="51100"/>
    <x v="1"/>
    <s v="51"/>
    <s v="511"/>
    <x v="1099"/>
    <s v="Nursing - LVN : Academic Teaching Full-time"/>
    <n v="174157.5"/>
  </r>
  <r>
    <x v="0"/>
    <s v="11-335-00-120320-51310"/>
    <x v="0"/>
    <n v="335"/>
    <n v="0"/>
    <x v="80"/>
    <n v="51310"/>
    <x v="1"/>
    <s v="51"/>
    <s v="513"/>
    <x v="1100"/>
    <s v="Nursing - LVN : Academic Teaching NIC"/>
    <n v="12000"/>
  </r>
  <r>
    <x v="0"/>
    <s v="11-335-00-120320-51311"/>
    <x v="0"/>
    <n v="335"/>
    <n v="0"/>
    <x v="80"/>
    <n v="51311"/>
    <x v="1"/>
    <s v="51"/>
    <s v="513"/>
    <x v="1101"/>
    <s v="Nursing - LVN : Academic Teaching PT"/>
    <n v="95000"/>
  </r>
  <r>
    <x v="0"/>
    <s v="11-335-00-120320-53110"/>
    <x v="0"/>
    <n v="335"/>
    <n v="0"/>
    <x v="80"/>
    <n v="53110"/>
    <x v="1"/>
    <s v="53"/>
    <s v="531"/>
    <x v="1102"/>
    <s v="Nursing - LVN : STRS Teaching"/>
    <n v="45406.94"/>
  </r>
  <r>
    <x v="0"/>
    <s v="11-335-00-120320-53310"/>
    <x v="0"/>
    <n v="335"/>
    <n v="0"/>
    <x v="80"/>
    <n v="53310"/>
    <x v="1"/>
    <s v="53"/>
    <s v="533"/>
    <x v="1103"/>
    <s v="Nursing - LVN : OASDHI (FICA) Teaching"/>
    <n v="0"/>
  </r>
  <r>
    <x v="0"/>
    <s v="11-335-00-120320-53330"/>
    <x v="0"/>
    <n v="335"/>
    <n v="0"/>
    <x v="80"/>
    <n v="53330"/>
    <x v="1"/>
    <s v="53"/>
    <s v="533"/>
    <x v="1104"/>
    <s v="Nursing - LVN : Medicare Teaching"/>
    <n v="4076.78"/>
  </r>
  <r>
    <x v="0"/>
    <s v="11-335-00-120320-53410"/>
    <x v="0"/>
    <n v="335"/>
    <n v="0"/>
    <x v="80"/>
    <n v="53410"/>
    <x v="1"/>
    <s v="53"/>
    <s v="534"/>
    <x v="1105"/>
    <s v="Nursing - LVN : H &amp; W Teaching"/>
    <n v="49682.15"/>
  </r>
  <r>
    <x v="0"/>
    <s v="11-335-00-120320-53510"/>
    <x v="0"/>
    <n v="335"/>
    <n v="0"/>
    <x v="80"/>
    <n v="53510"/>
    <x v="1"/>
    <s v="53"/>
    <s v="535"/>
    <x v="1106"/>
    <s v="Nursing - LVN : SUI Teaching"/>
    <n v="140.58000000000001"/>
  </r>
  <r>
    <x v="0"/>
    <s v="11-335-00-120320-53610"/>
    <x v="0"/>
    <n v="335"/>
    <n v="0"/>
    <x v="80"/>
    <n v="53610"/>
    <x v="1"/>
    <s v="53"/>
    <s v="536"/>
    <x v="1107"/>
    <s v="Nursing - LVN : WC Teaching"/>
    <n v="5316.13"/>
  </r>
  <r>
    <x v="0"/>
    <s v="11-335-00-120320-55200"/>
    <x v="0"/>
    <n v="335"/>
    <n v="0"/>
    <x v="80"/>
    <n v="55200"/>
    <x v="1"/>
    <s v="55"/>
    <s v="552"/>
    <x v="1108"/>
    <s v="Nursing - LVN : Travel &amp; Conference"/>
    <n v="0"/>
  </r>
  <r>
    <x v="0"/>
    <s v="11-335-00-120320-55630"/>
    <x v="0"/>
    <n v="335"/>
    <n v="0"/>
    <x v="80"/>
    <n v="55630"/>
    <x v="1"/>
    <s v="55"/>
    <s v="556"/>
    <x v="1109"/>
    <s v="Nursing - LVN : Printing &amp; Duplicating - Inhouse"/>
    <n v="40.700000000000003"/>
  </r>
  <r>
    <x v="0"/>
    <s v="11-335-00-120400-51100"/>
    <x v="0"/>
    <n v="335"/>
    <n v="0"/>
    <x v="81"/>
    <n v="51100"/>
    <x v="1"/>
    <s v="51"/>
    <s v="511"/>
    <x v="1110"/>
    <s v="Respiratory Care Program : Academic Teaching Full-time"/>
    <n v="189515.15"/>
  </r>
  <r>
    <x v="0"/>
    <s v="11-335-00-120400-51310"/>
    <x v="0"/>
    <n v="335"/>
    <n v="0"/>
    <x v="81"/>
    <n v="51310"/>
    <x v="1"/>
    <s v="51"/>
    <s v="513"/>
    <x v="1111"/>
    <s v="Respiratory Care Program : Academic Teaching NIC"/>
    <n v="2520"/>
  </r>
  <r>
    <x v="0"/>
    <s v="11-335-00-120400-51311"/>
    <x v="0"/>
    <n v="335"/>
    <n v="0"/>
    <x v="81"/>
    <n v="51311"/>
    <x v="1"/>
    <s v="51"/>
    <s v="513"/>
    <x v="1112"/>
    <s v="Respiratory Care Program : Academic Teaching PT"/>
    <n v="64500"/>
  </r>
  <r>
    <x v="0"/>
    <s v="11-335-00-120400-53110"/>
    <x v="0"/>
    <n v="335"/>
    <n v="0"/>
    <x v="81"/>
    <n v="53110"/>
    <x v="1"/>
    <s v="53"/>
    <s v="531"/>
    <x v="1113"/>
    <s v="Respiratory Care Program : STRS Teaching"/>
    <n v="41430.43"/>
  </r>
  <r>
    <x v="0"/>
    <s v="11-335-00-120400-53310"/>
    <x v="0"/>
    <n v="335"/>
    <n v="0"/>
    <x v="81"/>
    <n v="53310"/>
    <x v="1"/>
    <s v="53"/>
    <s v="533"/>
    <x v="1114"/>
    <s v="Respiratory Care Program : OASDHI (FICA) Teaching"/>
    <n v="0"/>
  </r>
  <r>
    <x v="0"/>
    <s v="11-335-00-120400-53330"/>
    <x v="0"/>
    <n v="335"/>
    <n v="0"/>
    <x v="81"/>
    <n v="53330"/>
    <x v="1"/>
    <s v="53"/>
    <s v="533"/>
    <x v="1115"/>
    <s v="Respiratory Care Program : Medicare Teaching"/>
    <n v="3719.76"/>
  </r>
  <r>
    <x v="0"/>
    <s v="11-335-00-120400-53410"/>
    <x v="0"/>
    <n v="335"/>
    <n v="0"/>
    <x v="81"/>
    <n v="53410"/>
    <x v="1"/>
    <s v="53"/>
    <s v="534"/>
    <x v="1116"/>
    <s v="Respiratory Care Program : H &amp; W Teaching"/>
    <n v="42909.22"/>
  </r>
  <r>
    <x v="0"/>
    <s v="11-335-00-120400-53510"/>
    <x v="0"/>
    <n v="335"/>
    <n v="0"/>
    <x v="81"/>
    <n v="53510"/>
    <x v="1"/>
    <s v="53"/>
    <s v="535"/>
    <x v="1117"/>
    <s v="Respiratory Care Program : SUI Teaching"/>
    <n v="128.27000000000001"/>
  </r>
  <r>
    <x v="0"/>
    <s v="11-335-00-120400-53610"/>
    <x v="0"/>
    <n v="335"/>
    <n v="0"/>
    <x v="81"/>
    <n v="53610"/>
    <x v="1"/>
    <s v="53"/>
    <s v="536"/>
    <x v="1118"/>
    <s v="Respiratory Care Program : WC Teaching"/>
    <n v="4850.57"/>
  </r>
  <r>
    <x v="0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0"/>
    <s v="11-335-00-120400-54300"/>
    <x v="0"/>
    <n v="335"/>
    <n v="0"/>
    <x v="81"/>
    <n v="54300"/>
    <x v="1"/>
    <s v="54"/>
    <s v="543"/>
    <x v="1120"/>
    <s v="Respiratory Care Program : Supplies &amp; Materials"/>
    <n v="2600"/>
  </r>
  <r>
    <x v="0"/>
    <s v="11-335-00-120400-55309"/>
    <x v="0"/>
    <n v="335"/>
    <n v="0"/>
    <x v="81"/>
    <n v="55309"/>
    <x v="1"/>
    <s v="55"/>
    <s v="553"/>
    <x v="1121"/>
    <s v="Respiratory Care Program : Subscriptions"/>
    <n v="4952"/>
  </r>
  <r>
    <x v="0"/>
    <s v="11-335-00-120400-55630"/>
    <x v="0"/>
    <n v="335"/>
    <n v="0"/>
    <x v="81"/>
    <n v="55630"/>
    <x v="1"/>
    <s v="55"/>
    <s v="556"/>
    <x v="1122"/>
    <s v="Respiratory Care Program : Printing &amp; Duplicating - Inhouse"/>
    <n v="21.1"/>
  </r>
  <r>
    <x v="0"/>
    <s v="11-335-00-120400-55650"/>
    <x v="0"/>
    <n v="335"/>
    <n v="0"/>
    <x v="81"/>
    <n v="55650"/>
    <x v="1"/>
    <s v="55"/>
    <s v="556"/>
    <x v="1123"/>
    <s v="Respiratory Care Program : Maintenance Agreement"/>
    <n v="5000"/>
  </r>
  <r>
    <x v="0"/>
    <s v="11-335-00-125000-51310"/>
    <x v="0"/>
    <n v="335"/>
    <n v="0"/>
    <x v="82"/>
    <n v="51310"/>
    <x v="1"/>
    <s v="51"/>
    <s v="513"/>
    <x v="1124"/>
    <s v="Mobile Intensive Care Paramedic : Academic Teaching NIC"/>
    <n v="0"/>
  </r>
  <r>
    <x v="0"/>
    <s v="11-335-00-125000-51311"/>
    <x v="0"/>
    <n v="335"/>
    <n v="0"/>
    <x v="82"/>
    <n v="51311"/>
    <x v="1"/>
    <s v="51"/>
    <s v="513"/>
    <x v="1125"/>
    <s v="Mobile Intensive Care Paramedic : Academic Teaching PT"/>
    <n v="13000"/>
  </r>
  <r>
    <x v="0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34500"/>
  </r>
  <r>
    <x v="0"/>
    <s v="11-335-00-125000-53110"/>
    <x v="0"/>
    <n v="335"/>
    <n v="0"/>
    <x v="82"/>
    <n v="53110"/>
    <x v="1"/>
    <s v="53"/>
    <s v="531"/>
    <x v="1127"/>
    <s v="Mobile Intensive Care Paramedic : STRS Teaching"/>
    <n v="2099.5"/>
  </r>
  <r>
    <x v="0"/>
    <s v="11-335-00-125000-53310"/>
    <x v="0"/>
    <n v="335"/>
    <n v="0"/>
    <x v="82"/>
    <n v="53310"/>
    <x v="1"/>
    <s v="53"/>
    <s v="533"/>
    <x v="1128"/>
    <s v="Mobile Intensive Care Paramedic : OASDHI (FICA) Teaching"/>
    <n v="2139"/>
  </r>
  <r>
    <x v="0"/>
    <s v="11-335-00-125000-53330"/>
    <x v="0"/>
    <n v="335"/>
    <n v="0"/>
    <x v="82"/>
    <n v="53330"/>
    <x v="1"/>
    <s v="53"/>
    <s v="533"/>
    <x v="1129"/>
    <s v="Mobile Intensive Care Paramedic : Medicare Teaching"/>
    <n v="688.75"/>
  </r>
  <r>
    <x v="0"/>
    <s v="11-335-00-125000-53410"/>
    <x v="0"/>
    <n v="335"/>
    <n v="0"/>
    <x v="82"/>
    <n v="53410"/>
    <x v="1"/>
    <s v="53"/>
    <s v="534"/>
    <x v="1130"/>
    <s v="Mobile Intensive Care Paramedic : H &amp; W Teaching"/>
    <n v="0"/>
  </r>
  <r>
    <x v="0"/>
    <s v="11-335-00-125000-53510"/>
    <x v="0"/>
    <n v="335"/>
    <n v="0"/>
    <x v="82"/>
    <n v="53510"/>
    <x v="1"/>
    <s v="53"/>
    <s v="535"/>
    <x v="1131"/>
    <s v="Mobile Intensive Care Paramedic : SUI Teaching"/>
    <n v="23.75"/>
  </r>
  <r>
    <x v="0"/>
    <s v="11-335-00-125000-53610"/>
    <x v="0"/>
    <n v="335"/>
    <n v="0"/>
    <x v="82"/>
    <n v="53610"/>
    <x v="1"/>
    <s v="53"/>
    <s v="536"/>
    <x v="1132"/>
    <s v="Mobile Intensive Care Paramedic : WC Teaching"/>
    <n v="898.13"/>
  </r>
  <r>
    <x v="0"/>
    <s v="11-335-00-125000-53910"/>
    <x v="0"/>
    <n v="335"/>
    <n v="0"/>
    <x v="82"/>
    <n v="53910"/>
    <x v="1"/>
    <s v="53"/>
    <s v="539"/>
    <x v="1133"/>
    <s v="Mobile Intensive Care Paramedic : Other Benefit-Teaching"/>
    <n v="0"/>
  </r>
  <r>
    <x v="0"/>
    <s v="11-335-00-125000-54300"/>
    <x v="0"/>
    <n v="335"/>
    <n v="0"/>
    <x v="82"/>
    <n v="54300"/>
    <x v="1"/>
    <s v="54"/>
    <s v="543"/>
    <x v="1134"/>
    <s v="Mobile Intensive Care Paramedic : Supplies &amp; Materials"/>
    <n v="3000"/>
  </r>
  <r>
    <x v="0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84"/>
  </r>
  <r>
    <x v="0"/>
    <s v="11-335-00-126000-51310"/>
    <x v="0"/>
    <n v="335"/>
    <n v="0"/>
    <x v="83"/>
    <n v="51310"/>
    <x v="1"/>
    <s v="51"/>
    <s v="513"/>
    <x v="1136"/>
    <s v="Health Professions : Academic Teaching NIC"/>
    <n v="6000"/>
  </r>
  <r>
    <x v="0"/>
    <s v="11-335-00-126000-51311"/>
    <x v="0"/>
    <n v="335"/>
    <n v="0"/>
    <x v="83"/>
    <n v="51311"/>
    <x v="1"/>
    <s v="51"/>
    <s v="513"/>
    <x v="1137"/>
    <s v="Health Professions : Academic Teaching PT"/>
    <n v="30000"/>
  </r>
  <r>
    <x v="0"/>
    <s v="11-335-00-126000-52400"/>
    <x v="0"/>
    <n v="335"/>
    <n v="0"/>
    <x v="83"/>
    <n v="52400"/>
    <x v="1"/>
    <s v="52"/>
    <s v="524"/>
    <x v="1138"/>
    <s v="Health Professions : Classified Nonstudent Instructional Aides PT"/>
    <n v="1000"/>
  </r>
  <r>
    <x v="0"/>
    <s v="11-335-00-126000-53110"/>
    <x v="0"/>
    <n v="335"/>
    <n v="0"/>
    <x v="83"/>
    <n v="53110"/>
    <x v="1"/>
    <s v="53"/>
    <s v="531"/>
    <x v="1139"/>
    <s v="Health Professions : STRS Teaching"/>
    <n v="5814"/>
  </r>
  <r>
    <x v="0"/>
    <s v="11-335-00-126000-53310"/>
    <x v="0"/>
    <n v="335"/>
    <n v="0"/>
    <x v="83"/>
    <n v="53310"/>
    <x v="1"/>
    <s v="53"/>
    <s v="533"/>
    <x v="1140"/>
    <s v="Health Professions : OASDHI (FICA) Teaching"/>
    <n v="62"/>
  </r>
  <r>
    <x v="0"/>
    <s v="11-335-00-126000-53330"/>
    <x v="0"/>
    <n v="335"/>
    <n v="0"/>
    <x v="83"/>
    <n v="53330"/>
    <x v="1"/>
    <s v="53"/>
    <s v="533"/>
    <x v="1141"/>
    <s v="Health Professions : Medicare Teaching"/>
    <n v="536.5"/>
  </r>
  <r>
    <x v="0"/>
    <s v="11-335-00-126000-53410"/>
    <x v="0"/>
    <n v="335"/>
    <n v="0"/>
    <x v="83"/>
    <n v="53410"/>
    <x v="1"/>
    <s v="53"/>
    <s v="534"/>
    <x v="1142"/>
    <s v="Health Professions : H &amp; W Teaching"/>
    <n v="0"/>
  </r>
  <r>
    <x v="0"/>
    <s v="11-335-00-126000-53510"/>
    <x v="0"/>
    <n v="335"/>
    <n v="0"/>
    <x v="83"/>
    <n v="53510"/>
    <x v="1"/>
    <s v="53"/>
    <s v="535"/>
    <x v="1143"/>
    <s v="Health Professions : SUI Teaching"/>
    <n v="18.5"/>
  </r>
  <r>
    <x v="0"/>
    <s v="11-335-00-126000-53610"/>
    <x v="0"/>
    <n v="335"/>
    <n v="0"/>
    <x v="83"/>
    <n v="53610"/>
    <x v="1"/>
    <s v="53"/>
    <s v="536"/>
    <x v="1144"/>
    <s v="Health Professions : WC Teaching"/>
    <n v="699.6"/>
  </r>
  <r>
    <x v="0"/>
    <s v="11-335-00-126000-53910"/>
    <x v="0"/>
    <n v="335"/>
    <n v="0"/>
    <x v="83"/>
    <n v="53910"/>
    <x v="1"/>
    <s v="53"/>
    <s v="539"/>
    <x v="1145"/>
    <s v="Health Professions : Other Benefit-Teaching"/>
    <n v="0"/>
  </r>
  <r>
    <x v="0"/>
    <s v="11-335-00-126000-54300"/>
    <x v="0"/>
    <n v="335"/>
    <n v="0"/>
    <x v="83"/>
    <n v="54300"/>
    <x v="1"/>
    <s v="54"/>
    <s v="543"/>
    <x v="1146"/>
    <s v="Health Professions : Supplies &amp; Materials"/>
    <n v="2000"/>
  </r>
  <r>
    <x v="0"/>
    <s v="11-335-00-601000-51210"/>
    <x v="0"/>
    <n v="335"/>
    <n v="0"/>
    <x v="34"/>
    <n v="51210"/>
    <x v="1"/>
    <s v="51"/>
    <s v="512"/>
    <x v="1147"/>
    <s v="Academic Administration : Academic Nonteaching Management"/>
    <n v="148907"/>
  </r>
  <r>
    <x v="0"/>
    <s v="11-335-00-601000-52105"/>
    <x v="0"/>
    <n v="335"/>
    <n v="0"/>
    <x v="34"/>
    <n v="52105"/>
    <x v="1"/>
    <s v="52"/>
    <s v="521"/>
    <x v="1148"/>
    <s v="Academic Administration : Classified CSEA"/>
    <n v="107815.39"/>
  </r>
  <r>
    <x v="0"/>
    <s v="11-335-00-601000-53120"/>
    <x v="0"/>
    <n v="335"/>
    <n v="0"/>
    <x v="34"/>
    <n v="53120"/>
    <x v="1"/>
    <s v="53"/>
    <s v="531"/>
    <x v="1149"/>
    <s v="Academic Administration : STRS Nonteaching"/>
    <n v="24048.48"/>
  </r>
  <r>
    <x v="0"/>
    <s v="11-335-00-601000-53220"/>
    <x v="0"/>
    <n v="335"/>
    <n v="0"/>
    <x v="34"/>
    <n v="53220"/>
    <x v="1"/>
    <s v="53"/>
    <s v="532"/>
    <x v="1150"/>
    <s v="Academic Administration : PERS Nonteaching"/>
    <n v="22317.78"/>
  </r>
  <r>
    <x v="0"/>
    <s v="11-335-00-601000-53320"/>
    <x v="0"/>
    <n v="335"/>
    <n v="0"/>
    <x v="34"/>
    <n v="53320"/>
    <x v="1"/>
    <s v="53"/>
    <s v="533"/>
    <x v="1151"/>
    <s v="Academic Administration : OASDHI (FICA) Nonteaching"/>
    <n v="6684.55"/>
  </r>
  <r>
    <x v="0"/>
    <s v="11-335-00-601000-53340"/>
    <x v="0"/>
    <n v="335"/>
    <n v="0"/>
    <x v="34"/>
    <n v="53340"/>
    <x v="1"/>
    <s v="53"/>
    <s v="533"/>
    <x v="1152"/>
    <s v="Academic Administration : Medicare Nonteaching"/>
    <n v="3722.47"/>
  </r>
  <r>
    <x v="0"/>
    <s v="11-335-00-601000-53420"/>
    <x v="0"/>
    <n v="335"/>
    <n v="0"/>
    <x v="34"/>
    <n v="53420"/>
    <x v="1"/>
    <s v="53"/>
    <s v="534"/>
    <x v="1153"/>
    <s v="Academic Administration : H &amp; W Nonteaching"/>
    <n v="54876.63"/>
  </r>
  <r>
    <x v="0"/>
    <s v="11-335-00-601000-53520"/>
    <x v="0"/>
    <n v="335"/>
    <n v="0"/>
    <x v="34"/>
    <n v="53520"/>
    <x v="1"/>
    <s v="53"/>
    <s v="535"/>
    <x v="1154"/>
    <s v="Academic Administration : SUI Nonteaching"/>
    <n v="128.36000000000001"/>
  </r>
  <r>
    <x v="0"/>
    <s v="11-335-00-601000-53620"/>
    <x v="0"/>
    <n v="335"/>
    <n v="0"/>
    <x v="34"/>
    <n v="53620"/>
    <x v="1"/>
    <s v="53"/>
    <s v="536"/>
    <x v="1155"/>
    <s v="Academic Administration : WC Nonteaching"/>
    <n v="4854.1000000000004"/>
  </r>
  <r>
    <x v="0"/>
    <s v="11-335-00-601000-53920"/>
    <x v="0"/>
    <n v="335"/>
    <n v="0"/>
    <x v="34"/>
    <n v="53920"/>
    <x v="1"/>
    <s v="53"/>
    <s v="539"/>
    <x v="1156"/>
    <s v="Academic Administration : Other Benefit-Non Teaching"/>
    <n v="2400"/>
  </r>
  <r>
    <x v="0"/>
    <s v="11-335-00-601000-55630"/>
    <x v="0"/>
    <n v="335"/>
    <n v="0"/>
    <x v="34"/>
    <n v="55630"/>
    <x v="1"/>
    <s v="55"/>
    <s v="556"/>
    <x v="1157"/>
    <s v="Academic Administration : Printing &amp; Duplicating - Inhouse"/>
    <n v="457.32"/>
  </r>
  <r>
    <x v="0"/>
    <s v="11-340-00-682500-51210"/>
    <x v="0"/>
    <n v="340"/>
    <n v="0"/>
    <x v="84"/>
    <n v="51210"/>
    <x v="1"/>
    <s v="51"/>
    <s v="512"/>
    <x v="1158"/>
    <s v="Western Stage : Academic Nonteaching Management"/>
    <n v="197859"/>
  </r>
  <r>
    <x v="0"/>
    <s v="11-340-00-682500-52360"/>
    <x v="0"/>
    <n v="340"/>
    <n v="0"/>
    <x v="84"/>
    <n v="52360"/>
    <x v="1"/>
    <s v="52"/>
    <s v="523"/>
    <x v="1159"/>
    <s v="Western Stage : Class Nonstu NonIA PT Prof Exp"/>
    <n v="378500"/>
  </r>
  <r>
    <x v="0"/>
    <s v="11-340-00-682500-53120"/>
    <x v="0"/>
    <n v="340"/>
    <n v="0"/>
    <x v="84"/>
    <n v="53120"/>
    <x v="1"/>
    <s v="53"/>
    <s v="531"/>
    <x v="1160"/>
    <s v="Western Stage : STRS Nonteaching"/>
    <n v="31954.23"/>
  </r>
  <r>
    <x v="0"/>
    <s v="11-340-00-682500-53220"/>
    <x v="0"/>
    <n v="340"/>
    <n v="0"/>
    <x v="84"/>
    <n v="53220"/>
    <x v="1"/>
    <s v="53"/>
    <s v="532"/>
    <x v="1161"/>
    <s v="Western Stage : PERS Nonteaching"/>
    <n v="0"/>
  </r>
  <r>
    <x v="0"/>
    <s v="11-340-00-682500-53320"/>
    <x v="0"/>
    <n v="340"/>
    <n v="0"/>
    <x v="84"/>
    <n v="53320"/>
    <x v="1"/>
    <s v="53"/>
    <s v="533"/>
    <x v="1162"/>
    <s v="Western Stage : OASDHI (FICA) Nonteaching"/>
    <n v="23467"/>
  </r>
  <r>
    <x v="0"/>
    <s v="11-340-00-682500-53340"/>
    <x v="0"/>
    <n v="340"/>
    <n v="0"/>
    <x v="84"/>
    <n v="53340"/>
    <x v="1"/>
    <s v="53"/>
    <s v="533"/>
    <x v="1163"/>
    <s v="Western Stage : Medicare Nonteaching"/>
    <n v="8357.2099999999991"/>
  </r>
  <r>
    <x v="0"/>
    <s v="11-340-00-682500-53420"/>
    <x v="0"/>
    <n v="340"/>
    <n v="0"/>
    <x v="84"/>
    <n v="53420"/>
    <x v="1"/>
    <s v="53"/>
    <s v="534"/>
    <x v="1164"/>
    <s v="Western Stage : H &amp; W Nonteaching"/>
    <n v="42608.57"/>
  </r>
  <r>
    <x v="0"/>
    <s v="11-340-00-682500-53520"/>
    <x v="0"/>
    <n v="340"/>
    <n v="0"/>
    <x v="84"/>
    <n v="53520"/>
    <x v="1"/>
    <s v="53"/>
    <s v="535"/>
    <x v="1165"/>
    <s v="Western Stage : SUI Nonteaching"/>
    <n v="288.18"/>
  </r>
  <r>
    <x v="0"/>
    <s v="11-340-00-682500-53620"/>
    <x v="0"/>
    <n v="340"/>
    <n v="0"/>
    <x v="84"/>
    <n v="53620"/>
    <x v="1"/>
    <s v="53"/>
    <s v="536"/>
    <x v="1166"/>
    <s v="Western Stage : WC Nonteaching"/>
    <n v="10897.79"/>
  </r>
  <r>
    <x v="0"/>
    <s v="11-340-00-682500-53920"/>
    <x v="0"/>
    <n v="340"/>
    <n v="0"/>
    <x v="84"/>
    <n v="53920"/>
    <x v="1"/>
    <s v="53"/>
    <s v="539"/>
    <x v="1167"/>
    <s v="Western Stage : Other Benefit-Non Teaching"/>
    <n v="2400"/>
  </r>
  <r>
    <x v="0"/>
    <s v="11-340-00-682500-54300"/>
    <x v="0"/>
    <n v="340"/>
    <n v="0"/>
    <x v="84"/>
    <n v="54300"/>
    <x v="1"/>
    <s v="54"/>
    <s v="543"/>
    <x v="1168"/>
    <s v="Western Stage : Supplies &amp; Materials"/>
    <n v="0"/>
  </r>
  <r>
    <x v="0"/>
    <s v="11-340-00-682500-54320"/>
    <x v="0"/>
    <n v="340"/>
    <n v="0"/>
    <x v="84"/>
    <n v="54320"/>
    <x v="1"/>
    <s v="54"/>
    <s v="543"/>
    <x v="1169"/>
    <s v="Western Stage : Laundry"/>
    <n v="0"/>
  </r>
  <r>
    <x v="0"/>
    <s v="11-340-00-682500-55105"/>
    <x v="0"/>
    <n v="340"/>
    <n v="0"/>
    <x v="84"/>
    <n v="55105"/>
    <x v="1"/>
    <s v="55"/>
    <s v="551"/>
    <x v="1170"/>
    <s v="Western Stage : Contract Services"/>
    <n v="28085"/>
  </r>
  <r>
    <x v="0"/>
    <s v="11-340-00-682500-55200"/>
    <x v="0"/>
    <n v="340"/>
    <n v="0"/>
    <x v="84"/>
    <n v="55200"/>
    <x v="1"/>
    <s v="55"/>
    <s v="552"/>
    <x v="1171"/>
    <s v="Western Stage : Travel &amp; Conference"/>
    <n v="-1000"/>
  </r>
  <r>
    <x v="0"/>
    <s v="11-340-00-682500-55600"/>
    <x v="0"/>
    <n v="340"/>
    <n v="0"/>
    <x v="84"/>
    <n v="55600"/>
    <x v="1"/>
    <s v="55"/>
    <s v="556"/>
    <x v="1172"/>
    <s v="Western Stage : Rents &amp; Leases"/>
    <n v="-20600"/>
  </r>
  <r>
    <x v="0"/>
    <s v="11-340-00-682500-55630"/>
    <x v="0"/>
    <n v="340"/>
    <n v="0"/>
    <x v="84"/>
    <n v="55630"/>
    <x v="1"/>
    <s v="55"/>
    <s v="556"/>
    <x v="1173"/>
    <s v="Western Stage : Printing &amp; Duplicating - Inhouse"/>
    <n v="57.5"/>
  </r>
  <r>
    <x v="0"/>
    <s v="11-340-00-682500-55635"/>
    <x v="0"/>
    <n v="340"/>
    <n v="0"/>
    <x v="84"/>
    <n v="55635"/>
    <x v="1"/>
    <s v="55"/>
    <s v="556"/>
    <x v="1174"/>
    <s v="Western Stage : Printing Services - Vendor"/>
    <n v="0"/>
  </r>
  <r>
    <x v="0"/>
    <s v="11-340-00-682500-55650"/>
    <x v="0"/>
    <n v="340"/>
    <n v="0"/>
    <x v="84"/>
    <n v="55650"/>
    <x v="1"/>
    <s v="55"/>
    <s v="556"/>
    <x v="1175"/>
    <s v="Western Stage : Maintenance Agreement"/>
    <n v="0"/>
  </r>
  <r>
    <x v="0"/>
    <s v="11-340-00-682500-55651"/>
    <x v="0"/>
    <n v="340"/>
    <n v="0"/>
    <x v="84"/>
    <n v="55651"/>
    <x v="1"/>
    <s v="55"/>
    <s v="556"/>
    <x v="1176"/>
    <s v="Western Stage : Equipment Repairs"/>
    <n v="0"/>
  </r>
  <r>
    <x v="0"/>
    <s v="11-340-00-682500-55810"/>
    <x v="0"/>
    <n v="340"/>
    <n v="0"/>
    <x v="84"/>
    <n v="55810"/>
    <x v="1"/>
    <s v="55"/>
    <s v="558"/>
    <x v="1177"/>
    <s v="Western Stage : Bulk Mail"/>
    <n v="0"/>
  </r>
  <r>
    <x v="0"/>
    <s v="11-340-00-682500-55820"/>
    <x v="0"/>
    <n v="340"/>
    <n v="0"/>
    <x v="84"/>
    <n v="55820"/>
    <x v="1"/>
    <s v="55"/>
    <s v="558"/>
    <x v="1178"/>
    <s v="Western Stage : US Postage"/>
    <n v="0"/>
  </r>
  <r>
    <x v="0"/>
    <s v="11-340-00-682500-55830"/>
    <x v="0"/>
    <n v="340"/>
    <n v="0"/>
    <x v="84"/>
    <n v="55830"/>
    <x v="1"/>
    <s v="55"/>
    <s v="558"/>
    <x v="1179"/>
    <s v="Western Stage : Advertising Expense"/>
    <n v="-36500"/>
  </r>
  <r>
    <x v="0"/>
    <s v="11-350-00-050000-51100"/>
    <x v="0"/>
    <n v="350"/>
    <n v="0"/>
    <x v="12"/>
    <n v="51100"/>
    <x v="1"/>
    <s v="51"/>
    <s v="511"/>
    <x v="1180"/>
    <s v="Business Education : Academic Teaching Full-time"/>
    <n v="312963"/>
  </r>
  <r>
    <x v="0"/>
    <s v="11-350-00-050000-51310"/>
    <x v="0"/>
    <n v="350"/>
    <n v="0"/>
    <x v="12"/>
    <n v="51310"/>
    <x v="1"/>
    <s v="51"/>
    <s v="513"/>
    <x v="1181"/>
    <s v="Business Education : Academic Teaching NIC"/>
    <n v="111716"/>
  </r>
  <r>
    <x v="0"/>
    <s v="11-350-00-050000-51311"/>
    <x v="0"/>
    <n v="350"/>
    <n v="0"/>
    <x v="12"/>
    <n v="51311"/>
    <x v="1"/>
    <s v="51"/>
    <s v="513"/>
    <x v="1182"/>
    <s v="Business Education : Academic Teaching PT"/>
    <n v="101500"/>
  </r>
  <r>
    <x v="0"/>
    <s v="11-350-00-050000-53110"/>
    <x v="0"/>
    <n v="350"/>
    <n v="0"/>
    <x v="12"/>
    <n v="53110"/>
    <x v="1"/>
    <s v="53"/>
    <s v="531"/>
    <x v="1183"/>
    <s v="Business Education : STRS Teaching"/>
    <n v="84977.9"/>
  </r>
  <r>
    <x v="0"/>
    <s v="11-350-00-050000-53310"/>
    <x v="0"/>
    <n v="350"/>
    <n v="0"/>
    <x v="12"/>
    <n v="53310"/>
    <x v="1"/>
    <s v="53"/>
    <s v="533"/>
    <x v="1184"/>
    <s v="Business Education : OASDHI (FICA) Teaching"/>
    <n v="0"/>
  </r>
  <r>
    <x v="0"/>
    <s v="11-350-00-050000-53330"/>
    <x v="0"/>
    <n v="350"/>
    <n v="0"/>
    <x v="12"/>
    <n v="53330"/>
    <x v="1"/>
    <s v="53"/>
    <s v="533"/>
    <x v="1185"/>
    <s v="Business Education : Medicare Teaching"/>
    <n v="7629.59"/>
  </r>
  <r>
    <x v="0"/>
    <s v="11-350-00-050000-53410"/>
    <x v="0"/>
    <n v="350"/>
    <n v="0"/>
    <x v="12"/>
    <n v="53410"/>
    <x v="1"/>
    <s v="53"/>
    <s v="534"/>
    <x v="1186"/>
    <s v="Business Education : H &amp; W Teaching"/>
    <n v="49622.43"/>
  </r>
  <r>
    <x v="0"/>
    <s v="11-350-00-050000-53510"/>
    <x v="0"/>
    <n v="350"/>
    <n v="0"/>
    <x v="12"/>
    <n v="53510"/>
    <x v="1"/>
    <s v="53"/>
    <s v="535"/>
    <x v="1187"/>
    <s v="Business Education : SUI Teaching"/>
    <n v="263.08999999999997"/>
  </r>
  <r>
    <x v="0"/>
    <s v="11-350-00-050000-53610"/>
    <x v="0"/>
    <n v="350"/>
    <n v="0"/>
    <x v="12"/>
    <n v="53610"/>
    <x v="1"/>
    <s v="53"/>
    <s v="536"/>
    <x v="1188"/>
    <s v="Business Education : WC Teaching"/>
    <n v="9949"/>
  </r>
  <r>
    <x v="0"/>
    <s v="11-350-00-050000-53910"/>
    <x v="0"/>
    <n v="350"/>
    <n v="0"/>
    <x v="12"/>
    <n v="53910"/>
    <x v="1"/>
    <s v="53"/>
    <s v="539"/>
    <x v="1189"/>
    <s v="Business Education : Other Benefit-Teaching"/>
    <n v="2400"/>
  </r>
  <r>
    <x v="0"/>
    <s v="11-350-00-050000-54300"/>
    <x v="0"/>
    <n v="350"/>
    <n v="0"/>
    <x v="12"/>
    <n v="54300"/>
    <x v="1"/>
    <s v="54"/>
    <s v="543"/>
    <x v="1190"/>
    <s v="Business Education : Supplies &amp; Materials"/>
    <n v="250"/>
  </r>
  <r>
    <x v="0"/>
    <s v="11-350-00-050000-55630"/>
    <x v="0"/>
    <n v="350"/>
    <n v="0"/>
    <x v="12"/>
    <n v="55630"/>
    <x v="1"/>
    <s v="55"/>
    <s v="556"/>
    <x v="1191"/>
    <s v="Business Education : Printing &amp; Duplicating - Inhouse"/>
    <n v="25"/>
  </r>
  <r>
    <x v="0"/>
    <s v="11-350-00-050000-56400"/>
    <x v="0"/>
    <n v="350"/>
    <n v="0"/>
    <x v="12"/>
    <n v="56400"/>
    <x v="1"/>
    <s v="56"/>
    <s v="564"/>
    <x v="1192"/>
    <s v="Business Education : Cap Equip - $200 to $4,999"/>
    <n v="0"/>
  </r>
  <r>
    <x v="0"/>
    <s v="11-350-00-094800-55630"/>
    <x v="0"/>
    <n v="350"/>
    <n v="0"/>
    <x v="85"/>
    <n v="55630"/>
    <x v="1"/>
    <s v="55"/>
    <s v="556"/>
    <x v="1193"/>
    <s v="Automotive Technology : Printing &amp; Duplicating - Inhouse"/>
    <n v="2.7"/>
  </r>
  <r>
    <x v="0"/>
    <s v="11-350-00-130500-51100"/>
    <x v="0"/>
    <n v="350"/>
    <n v="0"/>
    <x v="18"/>
    <n v="51100"/>
    <x v="1"/>
    <s v="51"/>
    <s v="511"/>
    <x v="1194"/>
    <s v="Early Childhood Education : Academic Teaching Full-time"/>
    <n v="300610"/>
  </r>
  <r>
    <x v="0"/>
    <s v="11-350-00-130500-51310"/>
    <x v="0"/>
    <n v="350"/>
    <n v="0"/>
    <x v="18"/>
    <n v="51310"/>
    <x v="1"/>
    <s v="51"/>
    <s v="513"/>
    <x v="1195"/>
    <s v="Early Childhood Education : Academic Teaching NIC"/>
    <n v="17658"/>
  </r>
  <r>
    <x v="0"/>
    <s v="11-350-00-130500-51311"/>
    <x v="0"/>
    <n v="350"/>
    <n v="0"/>
    <x v="18"/>
    <n v="51311"/>
    <x v="1"/>
    <s v="51"/>
    <s v="513"/>
    <x v="1196"/>
    <s v="Early Childhood Education : Academic Teaching PT"/>
    <n v="8480"/>
  </r>
  <r>
    <x v="0"/>
    <s v="11-350-00-130500-52200"/>
    <x v="0"/>
    <n v="350"/>
    <n v="0"/>
    <x v="18"/>
    <n v="52200"/>
    <x v="1"/>
    <s v="52"/>
    <s v="522"/>
    <x v="1197"/>
    <s v="Early Childhood Education : Classified Permanent Instructional Aides"/>
    <n v="20098"/>
  </r>
  <r>
    <x v="0"/>
    <s v="11-350-00-130500-53110"/>
    <x v="0"/>
    <n v="350"/>
    <n v="0"/>
    <x v="18"/>
    <n v="53110"/>
    <x v="1"/>
    <s v="53"/>
    <s v="531"/>
    <x v="1198"/>
    <s v="Early Childhood Education : STRS Teaching"/>
    <n v="52769.8"/>
  </r>
  <r>
    <x v="0"/>
    <s v="11-350-00-130500-53210"/>
    <x v="0"/>
    <n v="350"/>
    <n v="0"/>
    <x v="18"/>
    <n v="53210"/>
    <x v="1"/>
    <s v="53"/>
    <s v="532"/>
    <x v="1199"/>
    <s v="Early Childhood Education : PERS Teaching"/>
    <n v="4160.29"/>
  </r>
  <r>
    <x v="0"/>
    <s v="11-350-00-130500-53310"/>
    <x v="0"/>
    <n v="350"/>
    <n v="0"/>
    <x v="18"/>
    <n v="53310"/>
    <x v="1"/>
    <s v="53"/>
    <s v="533"/>
    <x v="1200"/>
    <s v="Early Childhood Education : OASDHI (FICA) Teaching"/>
    <n v="1246.08"/>
  </r>
  <r>
    <x v="0"/>
    <s v="11-350-00-130500-53330"/>
    <x v="0"/>
    <n v="350"/>
    <n v="0"/>
    <x v="18"/>
    <n v="53330"/>
    <x v="1"/>
    <s v="53"/>
    <s v="533"/>
    <x v="1201"/>
    <s v="Early Childhood Education : Medicare Teaching"/>
    <n v="5029.26"/>
  </r>
  <r>
    <x v="0"/>
    <s v="11-350-00-130500-53410"/>
    <x v="0"/>
    <n v="350"/>
    <n v="0"/>
    <x v="18"/>
    <n v="53410"/>
    <x v="1"/>
    <s v="53"/>
    <s v="534"/>
    <x v="1202"/>
    <s v="Early Childhood Education : H &amp; W Teaching"/>
    <n v="66406.850000000006"/>
  </r>
  <r>
    <x v="0"/>
    <s v="11-350-00-130500-53510"/>
    <x v="0"/>
    <n v="350"/>
    <n v="0"/>
    <x v="18"/>
    <n v="53510"/>
    <x v="1"/>
    <s v="53"/>
    <s v="535"/>
    <x v="1203"/>
    <s v="Early Childhood Education : SUI Teaching"/>
    <n v="173.43"/>
  </r>
  <r>
    <x v="0"/>
    <s v="11-350-00-130500-53610"/>
    <x v="0"/>
    <n v="350"/>
    <n v="0"/>
    <x v="18"/>
    <n v="53610"/>
    <x v="1"/>
    <s v="53"/>
    <s v="536"/>
    <x v="1204"/>
    <s v="Early Childhood Education : WC Teaching"/>
    <n v="6558.17"/>
  </r>
  <r>
    <x v="0"/>
    <s v="11-350-00-130500-55630"/>
    <x v="0"/>
    <n v="350"/>
    <n v="0"/>
    <x v="18"/>
    <n v="55630"/>
    <x v="1"/>
    <s v="55"/>
    <s v="556"/>
    <x v="1205"/>
    <s v="Early Childhood Education : Printing &amp; Duplicating - Inhouse"/>
    <n v="25"/>
  </r>
  <r>
    <x v="0"/>
    <s v="11-350-00-210440-51100"/>
    <x v="0"/>
    <n v="350"/>
    <n v="0"/>
    <x v="66"/>
    <n v="51100"/>
    <x v="1"/>
    <s v="51"/>
    <s v="511"/>
    <x v="1206"/>
    <s v="Alcohol &amp; Drug Counseling : Academic Teaching Full-time"/>
    <n v="84189"/>
  </r>
  <r>
    <x v="0"/>
    <s v="11-350-00-210440-51310"/>
    <x v="0"/>
    <n v="350"/>
    <n v="0"/>
    <x v="66"/>
    <n v="51310"/>
    <x v="1"/>
    <s v="51"/>
    <s v="513"/>
    <x v="1207"/>
    <s v="Alcohol &amp; Drug Counseling : Academic Teaching NIC"/>
    <n v="0"/>
  </r>
  <r>
    <x v="0"/>
    <s v="11-350-00-210440-51311"/>
    <x v="0"/>
    <n v="350"/>
    <n v="0"/>
    <x v="66"/>
    <n v="51311"/>
    <x v="1"/>
    <s v="51"/>
    <s v="513"/>
    <x v="1208"/>
    <s v="Alcohol &amp; Drug Counseling : Academic Teaching PT"/>
    <n v="9572"/>
  </r>
  <r>
    <x v="0"/>
    <s v="11-350-00-210440-51412"/>
    <x v="0"/>
    <n v="350"/>
    <n v="0"/>
    <x v="66"/>
    <n v="51412"/>
    <x v="1"/>
    <s v="51"/>
    <s v="514"/>
    <x v="1209"/>
    <s v="Alcohol &amp; Drug Counseling : Acad Nonteach Special Projects"/>
    <n v="75"/>
  </r>
  <r>
    <x v="0"/>
    <s v="11-350-00-210440-53110"/>
    <x v="0"/>
    <n v="350"/>
    <n v="0"/>
    <x v="66"/>
    <n v="53110"/>
    <x v="1"/>
    <s v="53"/>
    <s v="531"/>
    <x v="1210"/>
    <s v="Alcohol &amp; Drug Counseling : STRS Teaching"/>
    <n v="15142.4"/>
  </r>
  <r>
    <x v="0"/>
    <s v="11-350-00-210440-53120"/>
    <x v="0"/>
    <n v="350"/>
    <n v="0"/>
    <x v="66"/>
    <n v="53120"/>
    <x v="1"/>
    <s v="53"/>
    <s v="531"/>
    <x v="1211"/>
    <s v="Alcohol &amp; Drug Counseling : STRS Nonteaching"/>
    <n v="12.11"/>
  </r>
  <r>
    <x v="0"/>
    <s v="11-350-00-210440-53330"/>
    <x v="0"/>
    <n v="350"/>
    <n v="0"/>
    <x v="66"/>
    <n v="53330"/>
    <x v="1"/>
    <s v="53"/>
    <s v="533"/>
    <x v="1212"/>
    <s v="Alcohol &amp; Drug Counseling : Medicare Teaching"/>
    <n v="1359.53"/>
  </r>
  <r>
    <x v="0"/>
    <s v="11-350-00-210440-53340"/>
    <x v="0"/>
    <n v="350"/>
    <n v="0"/>
    <x v="66"/>
    <n v="53340"/>
    <x v="1"/>
    <s v="53"/>
    <s v="533"/>
    <x v="1213"/>
    <s v="Alcohol &amp; Drug Counseling : Medicare Nonteaching"/>
    <n v="1.0900000000000001"/>
  </r>
  <r>
    <x v="0"/>
    <s v="11-350-00-210440-53410"/>
    <x v="0"/>
    <n v="350"/>
    <n v="0"/>
    <x v="66"/>
    <n v="53410"/>
    <x v="1"/>
    <s v="53"/>
    <s v="534"/>
    <x v="1214"/>
    <s v="Alcohol &amp; Drug Counseling : H &amp; W Teaching"/>
    <n v="13214.31"/>
  </r>
  <r>
    <x v="0"/>
    <s v="11-350-00-210440-53510"/>
    <x v="0"/>
    <n v="350"/>
    <n v="0"/>
    <x v="66"/>
    <n v="53510"/>
    <x v="1"/>
    <s v="53"/>
    <s v="535"/>
    <x v="1215"/>
    <s v="Alcohol &amp; Drug Counseling : SUI Teaching"/>
    <n v="46.88"/>
  </r>
  <r>
    <x v="0"/>
    <s v="11-350-00-210440-53520"/>
    <x v="0"/>
    <n v="350"/>
    <n v="0"/>
    <x v="66"/>
    <n v="53520"/>
    <x v="1"/>
    <s v="53"/>
    <s v="535"/>
    <x v="1216"/>
    <s v="Alcohol &amp; Drug Counseling : SUI Nonteaching"/>
    <n v="0.04"/>
  </r>
  <r>
    <x v="0"/>
    <s v="11-350-00-210440-53610"/>
    <x v="0"/>
    <n v="350"/>
    <n v="0"/>
    <x v="66"/>
    <n v="53610"/>
    <x v="1"/>
    <s v="53"/>
    <s v="536"/>
    <x v="1217"/>
    <s v="Alcohol &amp; Drug Counseling : WC Teaching"/>
    <n v="1772.84"/>
  </r>
  <r>
    <x v="0"/>
    <s v="11-350-00-210440-53620"/>
    <x v="0"/>
    <n v="350"/>
    <n v="0"/>
    <x v="66"/>
    <n v="53620"/>
    <x v="1"/>
    <s v="53"/>
    <s v="536"/>
    <x v="1218"/>
    <s v="Alcohol &amp; Drug Counseling : WC Nonteaching"/>
    <n v="1.42"/>
  </r>
  <r>
    <x v="0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15"/>
  </r>
  <r>
    <x v="0"/>
    <s v="11-350-00-210500-51100"/>
    <x v="0"/>
    <n v="350"/>
    <n v="0"/>
    <x v="25"/>
    <n v="51100"/>
    <x v="1"/>
    <s v="51"/>
    <s v="511"/>
    <x v="1220"/>
    <s v="Administration of Justice : Academic Teaching Full-time"/>
    <n v="224950"/>
  </r>
  <r>
    <x v="0"/>
    <s v="11-350-00-210500-51310"/>
    <x v="0"/>
    <n v="350"/>
    <n v="0"/>
    <x v="25"/>
    <n v="51310"/>
    <x v="1"/>
    <s v="51"/>
    <s v="513"/>
    <x v="1221"/>
    <s v="Administration of Justice : Academic Teaching NIC"/>
    <n v="32521"/>
  </r>
  <r>
    <x v="0"/>
    <s v="11-350-00-210500-51311"/>
    <x v="0"/>
    <n v="350"/>
    <n v="0"/>
    <x v="25"/>
    <n v="51311"/>
    <x v="1"/>
    <s v="51"/>
    <s v="513"/>
    <x v="1222"/>
    <s v="Administration of Justice : Academic Teaching PT"/>
    <n v="176227"/>
  </r>
  <r>
    <x v="0"/>
    <s v="11-350-00-210500-51412"/>
    <x v="0"/>
    <n v="350"/>
    <n v="0"/>
    <x v="25"/>
    <n v="51412"/>
    <x v="1"/>
    <s v="51"/>
    <s v="514"/>
    <x v="1223"/>
    <s v="Administration of Justice : Acad Nonteach Special Projects"/>
    <n v="5350"/>
  </r>
  <r>
    <x v="0"/>
    <s v="11-350-00-210500-52360"/>
    <x v="0"/>
    <n v="350"/>
    <n v="0"/>
    <x v="25"/>
    <n v="52360"/>
    <x v="1"/>
    <s v="52"/>
    <s v="523"/>
    <x v="1224"/>
    <s v="Administration of Justice : Class Nonstu NonIA PT Prof Exp"/>
    <n v="100"/>
  </r>
  <r>
    <x v="0"/>
    <s v="11-350-00-210500-53110"/>
    <x v="0"/>
    <n v="350"/>
    <n v="0"/>
    <x v="25"/>
    <n v="53110"/>
    <x v="1"/>
    <s v="53"/>
    <s v="531"/>
    <x v="1225"/>
    <s v="Administration of Justice : STRS Teaching"/>
    <n v="70141.539999999994"/>
  </r>
  <r>
    <x v="0"/>
    <s v="11-350-00-210500-53120"/>
    <x v="0"/>
    <n v="350"/>
    <n v="0"/>
    <x v="25"/>
    <n v="53120"/>
    <x v="1"/>
    <s v="53"/>
    <s v="531"/>
    <x v="1226"/>
    <s v="Administration of Justice : STRS Nonteaching"/>
    <n v="864.03"/>
  </r>
  <r>
    <x v="0"/>
    <s v="11-350-00-210500-53310"/>
    <x v="0"/>
    <n v="350"/>
    <n v="0"/>
    <x v="25"/>
    <n v="53310"/>
    <x v="1"/>
    <s v="53"/>
    <s v="533"/>
    <x v="1227"/>
    <s v="Administration of Justice : OASDHI (FICA) Teaching"/>
    <n v="0"/>
  </r>
  <r>
    <x v="0"/>
    <s v="11-350-00-210500-53320"/>
    <x v="0"/>
    <n v="350"/>
    <n v="0"/>
    <x v="25"/>
    <n v="53320"/>
    <x v="1"/>
    <s v="53"/>
    <s v="533"/>
    <x v="1228"/>
    <s v="Administration of Justice : OASDHI (FICA) Nonteaching"/>
    <n v="6.2"/>
  </r>
  <r>
    <x v="0"/>
    <s v="11-350-00-210500-53330"/>
    <x v="0"/>
    <n v="350"/>
    <n v="0"/>
    <x v="25"/>
    <n v="53330"/>
    <x v="1"/>
    <s v="53"/>
    <s v="533"/>
    <x v="1229"/>
    <s v="Administration of Justice : Medicare Teaching"/>
    <n v="6297.53"/>
  </r>
  <r>
    <x v="0"/>
    <s v="11-350-00-210500-53340"/>
    <x v="0"/>
    <n v="350"/>
    <n v="0"/>
    <x v="25"/>
    <n v="53340"/>
    <x v="1"/>
    <s v="53"/>
    <s v="533"/>
    <x v="1230"/>
    <s v="Administration of Justice : Medicare Nonteaching"/>
    <n v="79.03"/>
  </r>
  <r>
    <x v="0"/>
    <s v="11-350-00-210500-53410"/>
    <x v="0"/>
    <n v="350"/>
    <n v="0"/>
    <x v="25"/>
    <n v="53410"/>
    <x v="1"/>
    <s v="53"/>
    <s v="534"/>
    <x v="1231"/>
    <s v="Administration of Justice : H &amp; W Teaching"/>
    <n v="58362.16"/>
  </r>
  <r>
    <x v="0"/>
    <s v="11-350-00-210500-53510"/>
    <x v="0"/>
    <n v="350"/>
    <n v="0"/>
    <x v="25"/>
    <n v="53510"/>
    <x v="1"/>
    <s v="53"/>
    <s v="535"/>
    <x v="1232"/>
    <s v="Administration of Justice : SUI Teaching"/>
    <n v="217.16"/>
  </r>
  <r>
    <x v="0"/>
    <s v="11-350-00-210500-53520"/>
    <x v="0"/>
    <n v="350"/>
    <n v="0"/>
    <x v="25"/>
    <n v="53520"/>
    <x v="1"/>
    <s v="53"/>
    <s v="535"/>
    <x v="1233"/>
    <s v="Administration of Justice : SUI Nonteaching"/>
    <n v="2.73"/>
  </r>
  <r>
    <x v="0"/>
    <s v="11-350-00-210500-53610"/>
    <x v="0"/>
    <n v="350"/>
    <n v="0"/>
    <x v="25"/>
    <n v="53610"/>
    <x v="1"/>
    <s v="53"/>
    <s v="536"/>
    <x v="1234"/>
    <s v="Administration of Justice : WC Teaching"/>
    <n v="8212"/>
  </r>
  <r>
    <x v="0"/>
    <s v="11-350-00-210500-53620"/>
    <x v="0"/>
    <n v="350"/>
    <n v="0"/>
    <x v="25"/>
    <n v="53620"/>
    <x v="1"/>
    <s v="53"/>
    <s v="536"/>
    <x v="1235"/>
    <s v="Administration of Justice : WC Nonteaching"/>
    <n v="103.05"/>
  </r>
  <r>
    <x v="0"/>
    <s v="11-350-00-210500-55309"/>
    <x v="0"/>
    <n v="350"/>
    <n v="0"/>
    <x v="25"/>
    <n v="55309"/>
    <x v="1"/>
    <s v="55"/>
    <s v="553"/>
    <x v="1236"/>
    <s v="Administration of Justice : Subscriptions"/>
    <n v="5700"/>
  </r>
  <r>
    <x v="0"/>
    <s v="11-350-00-210500-55630"/>
    <x v="0"/>
    <n v="350"/>
    <n v="0"/>
    <x v="25"/>
    <n v="55630"/>
    <x v="1"/>
    <s v="55"/>
    <s v="556"/>
    <x v="1237"/>
    <s v="Administration of Justice : Printing &amp; Duplicating - Inhouse"/>
    <n v="25"/>
  </r>
  <r>
    <x v="0"/>
    <s v="11-350-00-601000-51210"/>
    <x v="0"/>
    <n v="350"/>
    <n v="0"/>
    <x v="34"/>
    <n v="51210"/>
    <x v="1"/>
    <s v="51"/>
    <s v="512"/>
    <x v="1238"/>
    <s v="Academic Administration : Academic Nonteaching Management"/>
    <n v="21806"/>
  </r>
  <r>
    <x v="0"/>
    <s v="11-350-00-601000-52105"/>
    <x v="0"/>
    <n v="350"/>
    <n v="0"/>
    <x v="34"/>
    <n v="52105"/>
    <x v="1"/>
    <s v="52"/>
    <s v="521"/>
    <x v="1239"/>
    <s v="Academic Administration : Classified CSEA"/>
    <n v="5283.12"/>
  </r>
  <r>
    <x v="0"/>
    <s v="11-350-00-601000-52360"/>
    <x v="0"/>
    <n v="350"/>
    <n v="0"/>
    <x v="34"/>
    <n v="52360"/>
    <x v="1"/>
    <s v="52"/>
    <s v="523"/>
    <x v="1240"/>
    <s v="Academic Administration : Class Nonstu NonIA PT Prof Exp"/>
    <n v="250"/>
  </r>
  <r>
    <x v="0"/>
    <s v="11-350-00-601000-53120"/>
    <x v="0"/>
    <n v="350"/>
    <n v="0"/>
    <x v="34"/>
    <n v="53120"/>
    <x v="1"/>
    <s v="53"/>
    <s v="531"/>
    <x v="1241"/>
    <s v="Academic Administration : STRS Nonteaching"/>
    <n v="3521.67"/>
  </r>
  <r>
    <x v="0"/>
    <s v="11-350-00-601000-53220"/>
    <x v="0"/>
    <n v="350"/>
    <n v="0"/>
    <x v="34"/>
    <n v="53220"/>
    <x v="1"/>
    <s v="53"/>
    <s v="532"/>
    <x v="1242"/>
    <s v="Academic Administration : PERS Nonteaching"/>
    <n v="1093.6099999999999"/>
  </r>
  <r>
    <x v="0"/>
    <s v="11-350-00-601000-53320"/>
    <x v="0"/>
    <n v="350"/>
    <n v="0"/>
    <x v="34"/>
    <n v="53320"/>
    <x v="1"/>
    <s v="53"/>
    <s v="533"/>
    <x v="1243"/>
    <s v="Academic Administration : OASDHI (FICA) Nonteaching"/>
    <n v="343.05"/>
  </r>
  <r>
    <x v="0"/>
    <s v="11-350-00-601000-53340"/>
    <x v="0"/>
    <n v="350"/>
    <n v="0"/>
    <x v="34"/>
    <n v="53340"/>
    <x v="1"/>
    <s v="53"/>
    <s v="533"/>
    <x v="1244"/>
    <s v="Academic Administration : Medicare Nonteaching"/>
    <n v="396.43"/>
  </r>
  <r>
    <x v="0"/>
    <s v="11-350-00-601000-53420"/>
    <x v="0"/>
    <n v="350"/>
    <n v="0"/>
    <x v="34"/>
    <n v="53420"/>
    <x v="1"/>
    <s v="53"/>
    <s v="534"/>
    <x v="1245"/>
    <s v="Academic Administration : H &amp; W Nonteaching"/>
    <n v="5940.47"/>
  </r>
  <r>
    <x v="0"/>
    <s v="11-350-00-601000-53520"/>
    <x v="0"/>
    <n v="350"/>
    <n v="0"/>
    <x v="34"/>
    <n v="53520"/>
    <x v="1"/>
    <s v="53"/>
    <s v="535"/>
    <x v="1246"/>
    <s v="Academic Administration : SUI Nonteaching"/>
    <n v="13.67"/>
  </r>
  <r>
    <x v="0"/>
    <s v="11-350-00-601000-53620"/>
    <x v="0"/>
    <n v="350"/>
    <n v="0"/>
    <x v="34"/>
    <n v="53620"/>
    <x v="1"/>
    <s v="53"/>
    <s v="536"/>
    <x v="1247"/>
    <s v="Academic Administration : WC Nonteaching"/>
    <n v="516.92999999999995"/>
  </r>
  <r>
    <x v="0"/>
    <s v="11-350-00-601000-54349"/>
    <x v="0"/>
    <n v="350"/>
    <n v="0"/>
    <x v="34"/>
    <n v="54349"/>
    <x v="1"/>
    <s v="54"/>
    <s v="543"/>
    <x v="1248"/>
    <s v="Academic Administration : M&amp;O Fuel and Oil Expense"/>
    <n v="200"/>
  </r>
  <r>
    <x v="0"/>
    <s v="11-350-00-601000-55630"/>
    <x v="0"/>
    <n v="350"/>
    <n v="0"/>
    <x v="34"/>
    <n v="55630"/>
    <x v="1"/>
    <s v="55"/>
    <s v="556"/>
    <x v="1249"/>
    <s v="Academic Administration : Printing &amp; Duplicating - Inhouse"/>
    <n v="10"/>
  </r>
  <r>
    <x v="0"/>
    <s v="11-350-00-703800-51412"/>
    <x v="0"/>
    <n v="350"/>
    <n v="0"/>
    <x v="61"/>
    <n v="51412"/>
    <x v="1"/>
    <s v="51"/>
    <s v="514"/>
    <x v="1250"/>
    <s v="MESA Grant : Acad Nonteach Special Projects"/>
    <n v="0"/>
  </r>
  <r>
    <x v="0"/>
    <s v="11-350-00-703800-52105"/>
    <x v="0"/>
    <n v="350"/>
    <n v="0"/>
    <x v="61"/>
    <n v="52105"/>
    <x v="1"/>
    <s v="52"/>
    <s v="521"/>
    <x v="1251"/>
    <s v="MESA Grant : Classified CSEA"/>
    <n v="0"/>
  </r>
  <r>
    <x v="0"/>
    <s v="11-350-00-703800-53120"/>
    <x v="0"/>
    <n v="350"/>
    <n v="0"/>
    <x v="61"/>
    <n v="53120"/>
    <x v="1"/>
    <s v="53"/>
    <s v="531"/>
    <x v="1252"/>
    <s v="MESA Grant : STRS Nonteaching"/>
    <n v="0"/>
  </r>
  <r>
    <x v="0"/>
    <s v="11-350-00-703800-53220"/>
    <x v="0"/>
    <n v="350"/>
    <n v="0"/>
    <x v="61"/>
    <n v="53220"/>
    <x v="1"/>
    <s v="53"/>
    <s v="532"/>
    <x v="1253"/>
    <s v="MESA Grant : PERS Nonteaching"/>
    <n v="0"/>
  </r>
  <r>
    <x v="0"/>
    <s v="11-350-00-703800-53320"/>
    <x v="0"/>
    <n v="350"/>
    <n v="0"/>
    <x v="61"/>
    <n v="53320"/>
    <x v="1"/>
    <s v="53"/>
    <s v="533"/>
    <x v="1254"/>
    <s v="MESA Grant : OASDHI (FICA) Nonteaching"/>
    <n v="0"/>
  </r>
  <r>
    <x v="0"/>
    <s v="11-350-00-703800-53340"/>
    <x v="0"/>
    <n v="350"/>
    <n v="0"/>
    <x v="61"/>
    <n v="53340"/>
    <x v="1"/>
    <s v="53"/>
    <s v="533"/>
    <x v="1255"/>
    <s v="MESA Grant : Medicare Nonteaching"/>
    <n v="0"/>
  </r>
  <r>
    <x v="0"/>
    <s v="11-350-00-703800-53420"/>
    <x v="0"/>
    <n v="350"/>
    <n v="0"/>
    <x v="61"/>
    <n v="53420"/>
    <x v="1"/>
    <s v="53"/>
    <s v="534"/>
    <x v="1256"/>
    <s v="MESA Grant : H &amp; W Nonteaching"/>
    <n v="0"/>
  </r>
  <r>
    <x v="0"/>
    <s v="11-350-00-703800-53520"/>
    <x v="0"/>
    <n v="350"/>
    <n v="0"/>
    <x v="61"/>
    <n v="53520"/>
    <x v="1"/>
    <s v="53"/>
    <s v="535"/>
    <x v="1257"/>
    <s v="MESA Grant : SUI Nonteaching"/>
    <n v="0"/>
  </r>
  <r>
    <x v="0"/>
    <s v="11-350-00-703800-53620"/>
    <x v="0"/>
    <n v="350"/>
    <n v="0"/>
    <x v="61"/>
    <n v="53620"/>
    <x v="1"/>
    <s v="53"/>
    <s v="536"/>
    <x v="1258"/>
    <s v="MESA Grant : WC Nonteaching"/>
    <n v="0"/>
  </r>
  <r>
    <x v="0"/>
    <s v="11-350-01-010100-51100"/>
    <x v="0"/>
    <n v="350"/>
    <n v="1"/>
    <x v="10"/>
    <n v="51100"/>
    <x v="1"/>
    <s v="51"/>
    <s v="511"/>
    <x v="1259"/>
    <s v="Agriculture Technology : Academic Teaching Full-time"/>
    <n v="187884"/>
  </r>
  <r>
    <x v="0"/>
    <s v="11-350-01-010100-51310"/>
    <x v="0"/>
    <n v="350"/>
    <n v="1"/>
    <x v="10"/>
    <n v="51310"/>
    <x v="1"/>
    <s v="51"/>
    <s v="513"/>
    <x v="1260"/>
    <s v="Agriculture Technology : Academic Teaching NIC"/>
    <n v="25000"/>
  </r>
  <r>
    <x v="0"/>
    <s v="11-350-01-010100-51311"/>
    <x v="0"/>
    <n v="350"/>
    <n v="1"/>
    <x v="10"/>
    <n v="51311"/>
    <x v="1"/>
    <s v="51"/>
    <s v="513"/>
    <x v="1261"/>
    <s v="Agriculture Technology : Academic Teaching PT"/>
    <n v="100266"/>
  </r>
  <r>
    <x v="0"/>
    <s v="11-350-01-010100-51412"/>
    <x v="0"/>
    <n v="350"/>
    <n v="1"/>
    <x v="10"/>
    <n v="51412"/>
    <x v="1"/>
    <s v="51"/>
    <s v="514"/>
    <x v="1262"/>
    <s v="Agriculture Technology : Acad Nonteach Special Projects"/>
    <n v="100"/>
  </r>
  <r>
    <x v="0"/>
    <s v="11-350-01-010100-52200"/>
    <x v="0"/>
    <n v="350"/>
    <n v="1"/>
    <x v="10"/>
    <n v="52200"/>
    <x v="1"/>
    <s v="52"/>
    <s v="522"/>
    <x v="1263"/>
    <s v="Agriculture Technology : Classified Permanent Instructional Aides"/>
    <n v="67893"/>
  </r>
  <r>
    <x v="0"/>
    <s v="11-350-01-010100-52300"/>
    <x v="0"/>
    <n v="350"/>
    <n v="1"/>
    <x v="10"/>
    <n v="52300"/>
    <x v="1"/>
    <s v="52"/>
    <s v="523"/>
    <x v="1264"/>
    <s v="Agriculture Technology : Classified Overtime"/>
    <n v="0"/>
  </r>
  <r>
    <x v="0"/>
    <s v="11-350-01-010100-53110"/>
    <x v="0"/>
    <n v="350"/>
    <n v="1"/>
    <x v="10"/>
    <n v="53110"/>
    <x v="1"/>
    <s v="53"/>
    <s v="531"/>
    <x v="1265"/>
    <s v="Agriculture Technology : STRS Teaching"/>
    <n v="50573.72"/>
  </r>
  <r>
    <x v="0"/>
    <s v="11-350-01-010100-53120"/>
    <x v="0"/>
    <n v="350"/>
    <n v="1"/>
    <x v="10"/>
    <n v="53120"/>
    <x v="1"/>
    <s v="53"/>
    <s v="531"/>
    <x v="1266"/>
    <s v="Agriculture Technology : STRS Nonteaching"/>
    <n v="16.149999999999999"/>
  </r>
  <r>
    <x v="0"/>
    <s v="11-350-01-010100-53210"/>
    <x v="0"/>
    <n v="350"/>
    <n v="1"/>
    <x v="10"/>
    <n v="53210"/>
    <x v="1"/>
    <s v="53"/>
    <s v="532"/>
    <x v="1267"/>
    <s v="Agriculture Technology : PERS Teaching"/>
    <n v="14053.85"/>
  </r>
  <r>
    <x v="0"/>
    <s v="11-350-01-010100-53310"/>
    <x v="0"/>
    <n v="350"/>
    <n v="1"/>
    <x v="10"/>
    <n v="53310"/>
    <x v="1"/>
    <s v="53"/>
    <s v="533"/>
    <x v="1268"/>
    <s v="Agriculture Technology : OASDHI (FICA) Teaching"/>
    <n v="4209.37"/>
  </r>
  <r>
    <x v="0"/>
    <s v="11-350-01-010100-53320"/>
    <x v="0"/>
    <n v="350"/>
    <n v="1"/>
    <x v="10"/>
    <n v="53320"/>
    <x v="1"/>
    <s v="53"/>
    <s v="533"/>
    <x v="1269"/>
    <s v="Agriculture Technology : OASDHI (FICA) Nonteaching"/>
    <n v="0"/>
  </r>
  <r>
    <x v="0"/>
    <s v="11-350-01-010100-53330"/>
    <x v="0"/>
    <n v="350"/>
    <n v="1"/>
    <x v="10"/>
    <n v="53330"/>
    <x v="1"/>
    <s v="53"/>
    <s v="533"/>
    <x v="1270"/>
    <s v="Agriculture Technology : Medicare Teaching"/>
    <n v="5525.13"/>
  </r>
  <r>
    <x v="0"/>
    <s v="11-350-01-010100-53340"/>
    <x v="0"/>
    <n v="350"/>
    <n v="1"/>
    <x v="10"/>
    <n v="53340"/>
    <x v="1"/>
    <s v="53"/>
    <s v="533"/>
    <x v="1271"/>
    <s v="Agriculture Technology : Medicare Nonteaching"/>
    <n v="1.45"/>
  </r>
  <r>
    <x v="0"/>
    <s v="11-350-01-010100-53410"/>
    <x v="0"/>
    <n v="350"/>
    <n v="1"/>
    <x v="10"/>
    <n v="53410"/>
    <x v="1"/>
    <s v="53"/>
    <s v="534"/>
    <x v="1272"/>
    <s v="Agriculture Technology : H &amp; W Teaching"/>
    <n v="63703.58"/>
  </r>
  <r>
    <x v="0"/>
    <s v="11-350-01-010100-53510"/>
    <x v="0"/>
    <n v="350"/>
    <n v="1"/>
    <x v="10"/>
    <n v="53510"/>
    <x v="1"/>
    <s v="53"/>
    <s v="535"/>
    <x v="1273"/>
    <s v="Agriculture Technology : SUI Teaching"/>
    <n v="190.52"/>
  </r>
  <r>
    <x v="0"/>
    <s v="11-350-01-010100-53520"/>
    <x v="0"/>
    <n v="350"/>
    <n v="1"/>
    <x v="10"/>
    <n v="53520"/>
    <x v="1"/>
    <s v="53"/>
    <s v="535"/>
    <x v="1274"/>
    <s v="Agriculture Technology : SUI Nonteaching"/>
    <n v="0.05"/>
  </r>
  <r>
    <x v="0"/>
    <s v="11-350-01-010100-53610"/>
    <x v="0"/>
    <n v="350"/>
    <n v="1"/>
    <x v="10"/>
    <n v="53610"/>
    <x v="1"/>
    <s v="53"/>
    <s v="536"/>
    <x v="1275"/>
    <s v="Agriculture Technology : WC Teaching"/>
    <n v="9604.76"/>
  </r>
  <r>
    <x v="0"/>
    <s v="11-350-01-010100-53620"/>
    <x v="0"/>
    <n v="350"/>
    <n v="1"/>
    <x v="10"/>
    <n v="53620"/>
    <x v="1"/>
    <s v="53"/>
    <s v="536"/>
    <x v="1276"/>
    <s v="Agriculture Technology : WC Nonteaching"/>
    <n v="1.89"/>
  </r>
  <r>
    <x v="0"/>
    <s v="11-350-01-010100-53910"/>
    <x v="0"/>
    <n v="350"/>
    <n v="1"/>
    <x v="10"/>
    <n v="53910"/>
    <x v="1"/>
    <s v="53"/>
    <s v="539"/>
    <x v="1277"/>
    <s v="Agriculture Technology : Other Benefit-Teaching"/>
    <n v="0"/>
  </r>
  <r>
    <x v="0"/>
    <s v="11-350-01-010100-54300"/>
    <x v="0"/>
    <n v="350"/>
    <n v="1"/>
    <x v="10"/>
    <n v="54300"/>
    <x v="1"/>
    <s v="54"/>
    <s v="543"/>
    <x v="1278"/>
    <s v="Agriculture Technology : Supplies &amp; Materials"/>
    <n v="1000"/>
  </r>
  <r>
    <x v="0"/>
    <s v="11-350-01-010100-55200"/>
    <x v="0"/>
    <n v="350"/>
    <n v="1"/>
    <x v="10"/>
    <n v="55200"/>
    <x v="1"/>
    <s v="55"/>
    <s v="552"/>
    <x v="1279"/>
    <s v="Agriculture Technology : Travel &amp; Conference"/>
    <n v="0"/>
  </r>
  <r>
    <x v="0"/>
    <s v="11-350-01-010100-55300"/>
    <x v="0"/>
    <n v="350"/>
    <n v="1"/>
    <x v="10"/>
    <n v="55300"/>
    <x v="1"/>
    <s v="55"/>
    <s v="553"/>
    <x v="1280"/>
    <s v="Agriculture Technology : Memberships"/>
    <n v="250"/>
  </r>
  <r>
    <x v="0"/>
    <s v="11-350-01-010100-55560"/>
    <x v="0"/>
    <n v="350"/>
    <n v="1"/>
    <x v="10"/>
    <n v="55560"/>
    <x v="1"/>
    <s v="55"/>
    <s v="555"/>
    <x v="1281"/>
    <s v="Agriculture Technology : Water Service"/>
    <n v="1000"/>
  </r>
  <r>
    <x v="0"/>
    <s v="11-350-01-010100-55630"/>
    <x v="0"/>
    <n v="350"/>
    <n v="1"/>
    <x v="10"/>
    <n v="55630"/>
    <x v="1"/>
    <s v="55"/>
    <s v="556"/>
    <x v="1282"/>
    <s v="Agriculture Technology : Printing &amp; Duplicating - Inhouse"/>
    <n v="35"/>
  </r>
  <r>
    <x v="0"/>
    <s v="11-350-01-010100-55635"/>
    <x v="0"/>
    <n v="350"/>
    <n v="1"/>
    <x v="10"/>
    <n v="55635"/>
    <x v="1"/>
    <s v="55"/>
    <s v="556"/>
    <x v="1283"/>
    <s v="Agriculture Technology : Printing Services - Vendor"/>
    <n v="107"/>
  </r>
  <r>
    <x v="0"/>
    <s v="11-350-01-010100-55650"/>
    <x v="0"/>
    <n v="350"/>
    <n v="1"/>
    <x v="10"/>
    <n v="55650"/>
    <x v="1"/>
    <s v="55"/>
    <s v="556"/>
    <x v="1284"/>
    <s v="Agriculture Technology : Maintenance Agreement"/>
    <n v="1150"/>
  </r>
  <r>
    <x v="0"/>
    <s v="11-350-01-070100-51100"/>
    <x v="0"/>
    <n v="350"/>
    <n v="1"/>
    <x v="13"/>
    <n v="51100"/>
    <x v="1"/>
    <s v="51"/>
    <s v="511"/>
    <x v="1285"/>
    <s v="Computer &amp; Information Science : Academic Teaching Full-time"/>
    <n v="72937.2"/>
  </r>
  <r>
    <x v="0"/>
    <s v="11-350-01-070100-51200"/>
    <x v="0"/>
    <n v="350"/>
    <n v="1"/>
    <x v="13"/>
    <n v="51200"/>
    <x v="1"/>
    <s v="51"/>
    <s v="512"/>
    <x v="1286"/>
    <s v="Computer &amp; Information Science : Academic Nonteaching Full-time"/>
    <n v="20839.2"/>
  </r>
  <r>
    <x v="0"/>
    <s v="11-350-01-070100-51311"/>
    <x v="0"/>
    <n v="350"/>
    <n v="1"/>
    <x v="13"/>
    <n v="51311"/>
    <x v="1"/>
    <s v="51"/>
    <s v="513"/>
    <x v="1287"/>
    <s v="Computer &amp; Information Science : Academic Teaching PT"/>
    <n v="0"/>
  </r>
  <r>
    <x v="0"/>
    <s v="11-350-01-070100-53110"/>
    <x v="0"/>
    <n v="350"/>
    <n v="1"/>
    <x v="13"/>
    <n v="53110"/>
    <x v="1"/>
    <s v="53"/>
    <s v="531"/>
    <x v="1288"/>
    <s v="Computer &amp; Information Science : STRS Teaching"/>
    <n v="11779.36"/>
  </r>
  <r>
    <x v="0"/>
    <s v="11-350-01-070100-53120"/>
    <x v="0"/>
    <n v="350"/>
    <n v="1"/>
    <x v="13"/>
    <n v="53120"/>
    <x v="1"/>
    <s v="53"/>
    <s v="531"/>
    <x v="1289"/>
    <s v="Computer &amp; Information Science : STRS Nonteaching"/>
    <n v="3365.53"/>
  </r>
  <r>
    <x v="0"/>
    <s v="11-350-01-070100-53330"/>
    <x v="0"/>
    <n v="350"/>
    <n v="1"/>
    <x v="13"/>
    <n v="53330"/>
    <x v="1"/>
    <s v="53"/>
    <s v="533"/>
    <x v="1290"/>
    <s v="Computer &amp; Information Science : Medicare Teaching"/>
    <n v="1057.5899999999999"/>
  </r>
  <r>
    <x v="0"/>
    <s v="11-350-01-070100-53340"/>
    <x v="0"/>
    <n v="350"/>
    <n v="1"/>
    <x v="13"/>
    <n v="53340"/>
    <x v="1"/>
    <s v="53"/>
    <s v="533"/>
    <x v="1291"/>
    <s v="Computer &amp; Information Science : Medicare Nonteaching"/>
    <n v="302.17"/>
  </r>
  <r>
    <x v="0"/>
    <s v="11-350-01-070100-53410"/>
    <x v="0"/>
    <n v="350"/>
    <n v="1"/>
    <x v="13"/>
    <n v="53410"/>
    <x v="1"/>
    <s v="53"/>
    <s v="534"/>
    <x v="1292"/>
    <s v="Computer &amp; Information Science : H &amp; W Teaching"/>
    <n v="17668.509999999998"/>
  </r>
  <r>
    <x v="0"/>
    <s v="11-350-01-070100-53420"/>
    <x v="0"/>
    <n v="350"/>
    <n v="1"/>
    <x v="13"/>
    <n v="53420"/>
    <x v="1"/>
    <s v="53"/>
    <s v="534"/>
    <x v="1293"/>
    <s v="Computer &amp; Information Science : H &amp; W Nonteaching"/>
    <n v="5048.1499999999996"/>
  </r>
  <r>
    <x v="0"/>
    <s v="11-350-01-070100-53510"/>
    <x v="0"/>
    <n v="350"/>
    <n v="1"/>
    <x v="13"/>
    <n v="53510"/>
    <x v="1"/>
    <s v="53"/>
    <s v="535"/>
    <x v="1294"/>
    <s v="Computer &amp; Information Science : SUI Teaching"/>
    <n v="36.47"/>
  </r>
  <r>
    <x v="0"/>
    <s v="11-350-01-070100-53520"/>
    <x v="0"/>
    <n v="350"/>
    <n v="1"/>
    <x v="13"/>
    <n v="53520"/>
    <x v="1"/>
    <s v="53"/>
    <s v="535"/>
    <x v="1295"/>
    <s v="Computer &amp; Information Science : SUI Nonteaching"/>
    <n v="10.42"/>
  </r>
  <r>
    <x v="0"/>
    <s v="11-350-01-070100-53610"/>
    <x v="0"/>
    <n v="350"/>
    <n v="1"/>
    <x v="13"/>
    <n v="53610"/>
    <x v="1"/>
    <s v="53"/>
    <s v="536"/>
    <x v="1296"/>
    <s v="Computer &amp; Information Science : WC Teaching"/>
    <n v="1379.1"/>
  </r>
  <r>
    <x v="0"/>
    <s v="11-350-01-070100-53620"/>
    <x v="0"/>
    <n v="350"/>
    <n v="1"/>
    <x v="13"/>
    <n v="53620"/>
    <x v="1"/>
    <s v="53"/>
    <s v="536"/>
    <x v="1297"/>
    <s v="Computer &amp; Information Science : WC Nonteaching"/>
    <n v="394.03"/>
  </r>
  <r>
    <x v="0"/>
    <s v="11-350-01-094500-52200"/>
    <x v="0"/>
    <n v="350"/>
    <n v="1"/>
    <x v="86"/>
    <n v="52200"/>
    <x v="1"/>
    <s v="52"/>
    <s v="522"/>
    <x v="1298"/>
    <s v="Agriculture &amp; Industrial Tech. : Classified Permanent Instructional Aides"/>
    <n v="29895.75"/>
  </r>
  <r>
    <x v="0"/>
    <s v="11-350-01-094500-53210"/>
    <x v="0"/>
    <n v="350"/>
    <n v="1"/>
    <x v="86"/>
    <n v="53210"/>
    <x v="1"/>
    <s v="53"/>
    <s v="532"/>
    <x v="1299"/>
    <s v="Agriculture &amp; Industrial Tech. : PERS Teaching"/>
    <n v="6188.42"/>
  </r>
  <r>
    <x v="0"/>
    <s v="11-350-01-094500-53310"/>
    <x v="0"/>
    <n v="350"/>
    <n v="1"/>
    <x v="86"/>
    <n v="53310"/>
    <x v="1"/>
    <s v="53"/>
    <s v="533"/>
    <x v="1300"/>
    <s v="Agriculture &amp; Industrial Tech. : OASDHI (FICA) Teaching"/>
    <n v="1853.54"/>
  </r>
  <r>
    <x v="0"/>
    <s v="11-350-01-094500-53330"/>
    <x v="0"/>
    <n v="350"/>
    <n v="1"/>
    <x v="86"/>
    <n v="53330"/>
    <x v="1"/>
    <s v="53"/>
    <s v="533"/>
    <x v="1301"/>
    <s v="Agriculture &amp; Industrial Tech. : Medicare Teaching"/>
    <n v="433.49"/>
  </r>
  <r>
    <x v="0"/>
    <s v="11-350-01-094500-53410"/>
    <x v="0"/>
    <n v="350"/>
    <n v="1"/>
    <x v="86"/>
    <n v="53410"/>
    <x v="1"/>
    <s v="53"/>
    <s v="534"/>
    <x v="1302"/>
    <s v="Agriculture &amp; Industrial Tech. : H &amp; W Teaching"/>
    <n v="6570.81"/>
  </r>
  <r>
    <x v="0"/>
    <s v="11-350-01-094500-53510"/>
    <x v="0"/>
    <n v="350"/>
    <n v="1"/>
    <x v="86"/>
    <n v="53510"/>
    <x v="1"/>
    <s v="53"/>
    <s v="535"/>
    <x v="1303"/>
    <s v="Agriculture &amp; Industrial Tech. : SUI Teaching"/>
    <n v="14.95"/>
  </r>
  <r>
    <x v="0"/>
    <s v="11-350-01-094500-53610"/>
    <x v="0"/>
    <n v="350"/>
    <n v="1"/>
    <x v="86"/>
    <n v="53610"/>
    <x v="1"/>
    <s v="53"/>
    <s v="536"/>
    <x v="1304"/>
    <s v="Agriculture &amp; Industrial Tech. : WC Teaching"/>
    <n v="565.27"/>
  </r>
  <r>
    <x v="0"/>
    <s v="11-350-01-094500-54300"/>
    <x v="0"/>
    <n v="350"/>
    <n v="1"/>
    <x v="86"/>
    <n v="54300"/>
    <x v="1"/>
    <s v="54"/>
    <s v="543"/>
    <x v="1305"/>
    <s v="Agriculture &amp; Industrial Tech. : Supplies &amp; Materials"/>
    <n v="1660"/>
  </r>
  <r>
    <x v="0"/>
    <s v="11-350-01-094500-55200"/>
    <x v="0"/>
    <n v="350"/>
    <n v="1"/>
    <x v="86"/>
    <n v="55200"/>
    <x v="1"/>
    <s v="55"/>
    <s v="552"/>
    <x v="1306"/>
    <s v="Agriculture &amp; Industrial Tech. : Travel &amp; Conference"/>
    <n v="390"/>
  </r>
  <r>
    <x v="0"/>
    <s v="11-350-01-094500-55300"/>
    <x v="0"/>
    <n v="350"/>
    <n v="1"/>
    <x v="86"/>
    <n v="55300"/>
    <x v="1"/>
    <s v="55"/>
    <s v="553"/>
    <x v="1307"/>
    <s v="Agriculture &amp; Industrial Tech. : Memberships"/>
    <n v="0"/>
  </r>
  <r>
    <x v="0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10"/>
  </r>
  <r>
    <x v="0"/>
    <s v="11-350-01-094500-55651"/>
    <x v="0"/>
    <n v="350"/>
    <n v="1"/>
    <x v="86"/>
    <n v="55651"/>
    <x v="1"/>
    <s v="55"/>
    <s v="556"/>
    <x v="1309"/>
    <s v="Agriculture &amp; Industrial Tech. : Equipment Repairs"/>
    <n v="0"/>
  </r>
  <r>
    <x v="0"/>
    <s v="11-350-01-094700-51100"/>
    <x v="0"/>
    <n v="350"/>
    <n v="1"/>
    <x v="87"/>
    <n v="51100"/>
    <x v="1"/>
    <s v="51"/>
    <s v="511"/>
    <x v="1310"/>
    <s v="Diesel Mechanics : Academic Teaching Full-time"/>
    <n v="185435"/>
  </r>
  <r>
    <x v="0"/>
    <s v="11-350-01-094700-51310"/>
    <x v="0"/>
    <n v="350"/>
    <n v="1"/>
    <x v="87"/>
    <n v="51310"/>
    <x v="1"/>
    <s v="51"/>
    <s v="513"/>
    <x v="1311"/>
    <s v="Diesel Mechanics : Academic Teaching NIC"/>
    <n v="34380"/>
  </r>
  <r>
    <x v="0"/>
    <s v="11-350-01-094700-51311"/>
    <x v="0"/>
    <n v="350"/>
    <n v="1"/>
    <x v="87"/>
    <n v="51311"/>
    <x v="1"/>
    <s v="51"/>
    <s v="513"/>
    <x v="1312"/>
    <s v="Diesel Mechanics : Academic Teaching PT"/>
    <n v="46109"/>
  </r>
  <r>
    <x v="0"/>
    <s v="11-350-01-094700-51412"/>
    <x v="0"/>
    <n v="350"/>
    <n v="1"/>
    <x v="87"/>
    <n v="51412"/>
    <x v="1"/>
    <s v="51"/>
    <s v="514"/>
    <x v="1313"/>
    <s v="Diesel Mechanics : Acad Nonteach Special Projects"/>
    <n v="1350"/>
  </r>
  <r>
    <x v="0"/>
    <s v="11-350-01-094700-52200"/>
    <x v="0"/>
    <n v="350"/>
    <n v="1"/>
    <x v="87"/>
    <n v="52200"/>
    <x v="1"/>
    <s v="52"/>
    <s v="522"/>
    <x v="1314"/>
    <s v="Diesel Mechanics : Classified Permanent Instructional Aides"/>
    <n v="0"/>
  </r>
  <r>
    <x v="0"/>
    <s v="11-350-01-094700-52360"/>
    <x v="0"/>
    <n v="350"/>
    <n v="1"/>
    <x v="87"/>
    <n v="52360"/>
    <x v="1"/>
    <s v="52"/>
    <s v="523"/>
    <x v="1315"/>
    <s v="Diesel Mechanics : Class Nonstu NonIA PT Prof Exp"/>
    <n v="50"/>
  </r>
  <r>
    <x v="0"/>
    <s v="11-350-01-094700-53110"/>
    <x v="0"/>
    <n v="350"/>
    <n v="1"/>
    <x v="87"/>
    <n v="53110"/>
    <x v="1"/>
    <s v="53"/>
    <s v="531"/>
    <x v="1316"/>
    <s v="Diesel Mechanics : STRS Teaching"/>
    <n v="43156.67"/>
  </r>
  <r>
    <x v="0"/>
    <s v="11-350-01-094700-53120"/>
    <x v="0"/>
    <n v="350"/>
    <n v="1"/>
    <x v="87"/>
    <n v="53120"/>
    <x v="1"/>
    <s v="53"/>
    <s v="531"/>
    <x v="1317"/>
    <s v="Diesel Mechanics : STRS Nonteaching"/>
    <n v="8.08"/>
  </r>
  <r>
    <x v="0"/>
    <s v="11-350-01-094700-53210"/>
    <x v="0"/>
    <n v="350"/>
    <n v="1"/>
    <x v="87"/>
    <n v="53210"/>
    <x v="1"/>
    <s v="53"/>
    <s v="532"/>
    <x v="1318"/>
    <s v="Diesel Mechanics : PERS Teaching"/>
    <n v="0"/>
  </r>
  <r>
    <x v="0"/>
    <s v="11-350-01-094700-53310"/>
    <x v="0"/>
    <n v="350"/>
    <n v="1"/>
    <x v="87"/>
    <n v="53310"/>
    <x v="1"/>
    <s v="53"/>
    <s v="533"/>
    <x v="1319"/>
    <s v="Diesel Mechanics : OASDHI (FICA) Teaching"/>
    <n v="0"/>
  </r>
  <r>
    <x v="0"/>
    <s v="11-350-01-094700-53320"/>
    <x v="0"/>
    <n v="350"/>
    <n v="1"/>
    <x v="87"/>
    <n v="53320"/>
    <x v="1"/>
    <s v="53"/>
    <s v="533"/>
    <x v="1320"/>
    <s v="Diesel Mechanics : OASDHI (FICA) Nonteaching"/>
    <n v="3.1"/>
  </r>
  <r>
    <x v="0"/>
    <s v="11-350-01-094700-53330"/>
    <x v="0"/>
    <n v="350"/>
    <n v="1"/>
    <x v="87"/>
    <n v="53330"/>
    <x v="1"/>
    <s v="53"/>
    <s v="533"/>
    <x v="1321"/>
    <s v="Diesel Mechanics : Medicare Teaching"/>
    <n v="3874.75"/>
  </r>
  <r>
    <x v="0"/>
    <s v="11-350-01-094700-53340"/>
    <x v="0"/>
    <n v="350"/>
    <n v="1"/>
    <x v="87"/>
    <n v="53340"/>
    <x v="1"/>
    <s v="53"/>
    <s v="533"/>
    <x v="1322"/>
    <s v="Diesel Mechanics : Medicare Nonteaching"/>
    <n v="1.46"/>
  </r>
  <r>
    <x v="0"/>
    <s v="11-350-01-094700-53410"/>
    <x v="0"/>
    <n v="350"/>
    <n v="1"/>
    <x v="87"/>
    <n v="53410"/>
    <x v="1"/>
    <s v="53"/>
    <s v="534"/>
    <x v="1323"/>
    <s v="Diesel Mechanics : H &amp; W Teaching"/>
    <n v="34128.17"/>
  </r>
  <r>
    <x v="0"/>
    <s v="11-350-01-094700-53510"/>
    <x v="0"/>
    <n v="350"/>
    <n v="1"/>
    <x v="87"/>
    <n v="53510"/>
    <x v="1"/>
    <s v="53"/>
    <s v="535"/>
    <x v="1324"/>
    <s v="Diesel Mechanics : SUI Teaching"/>
    <n v="133.6"/>
  </r>
  <r>
    <x v="0"/>
    <s v="11-350-01-094700-53520"/>
    <x v="0"/>
    <n v="350"/>
    <n v="1"/>
    <x v="87"/>
    <n v="53520"/>
    <x v="1"/>
    <s v="53"/>
    <s v="535"/>
    <x v="1325"/>
    <s v="Diesel Mechanics : SUI Nonteaching"/>
    <n v="0.06"/>
  </r>
  <r>
    <x v="0"/>
    <s v="11-350-01-094700-53610"/>
    <x v="0"/>
    <n v="350"/>
    <n v="1"/>
    <x v="87"/>
    <n v="53610"/>
    <x v="1"/>
    <s v="53"/>
    <s v="536"/>
    <x v="1326"/>
    <s v="Diesel Mechanics : WC Teaching"/>
    <n v="5052.67"/>
  </r>
  <r>
    <x v="0"/>
    <s v="11-350-01-094700-53620"/>
    <x v="0"/>
    <n v="350"/>
    <n v="1"/>
    <x v="87"/>
    <n v="53620"/>
    <x v="1"/>
    <s v="53"/>
    <s v="536"/>
    <x v="1327"/>
    <s v="Diesel Mechanics : WC Nonteaching"/>
    <n v="1.9"/>
  </r>
  <r>
    <x v="0"/>
    <s v="11-350-01-094700-53910"/>
    <x v="0"/>
    <n v="350"/>
    <n v="1"/>
    <x v="87"/>
    <n v="53910"/>
    <x v="1"/>
    <s v="53"/>
    <s v="539"/>
    <x v="1328"/>
    <s v="Diesel Mechanics : Other Benefit-Teaching"/>
    <n v="2400"/>
  </r>
  <r>
    <x v="0"/>
    <s v="11-350-01-094700-54300"/>
    <x v="0"/>
    <n v="350"/>
    <n v="1"/>
    <x v="87"/>
    <n v="54300"/>
    <x v="1"/>
    <s v="54"/>
    <s v="543"/>
    <x v="1329"/>
    <s v="Diesel Mechanics : Supplies &amp; Materials"/>
    <n v="1500"/>
  </r>
  <r>
    <x v="0"/>
    <s v="11-350-01-094700-55125"/>
    <x v="0"/>
    <n v="350"/>
    <n v="1"/>
    <x v="87"/>
    <n v="55125"/>
    <x v="1"/>
    <s v="55"/>
    <s v="551"/>
    <x v="1330"/>
    <s v="Diesel Mechanics : Training &amp; Seminars"/>
    <n v="656"/>
  </r>
  <r>
    <x v="0"/>
    <s v="11-350-01-094700-55575"/>
    <x v="0"/>
    <n v="350"/>
    <n v="1"/>
    <x v="87"/>
    <n v="55575"/>
    <x v="1"/>
    <s v="55"/>
    <s v="555"/>
    <x v="1331"/>
    <s v="Diesel Mechanics : Hazardous Waste Disposal"/>
    <n v="139"/>
  </r>
  <r>
    <x v="0"/>
    <s v="11-350-01-094700-55630"/>
    <x v="0"/>
    <n v="350"/>
    <n v="1"/>
    <x v="87"/>
    <n v="55630"/>
    <x v="1"/>
    <s v="55"/>
    <s v="556"/>
    <x v="1332"/>
    <s v="Diesel Mechanics : Printing &amp; Duplicating - Inhouse"/>
    <n v="20"/>
  </r>
  <r>
    <x v="0"/>
    <s v="11-350-01-094700-55650"/>
    <x v="0"/>
    <n v="350"/>
    <n v="1"/>
    <x v="87"/>
    <n v="55650"/>
    <x v="1"/>
    <s v="55"/>
    <s v="556"/>
    <x v="1333"/>
    <s v="Diesel Mechanics : Maintenance Agreement"/>
    <n v="4100"/>
  </r>
  <r>
    <x v="0"/>
    <s v="11-350-01-094700-55651"/>
    <x v="0"/>
    <n v="350"/>
    <n v="1"/>
    <x v="87"/>
    <n v="55651"/>
    <x v="1"/>
    <s v="55"/>
    <s v="556"/>
    <x v="1334"/>
    <s v="Diesel Mechanics : Equipment Repairs"/>
    <n v="642"/>
  </r>
  <r>
    <x v="0"/>
    <s v="11-350-01-094700-55800"/>
    <x v="0"/>
    <n v="350"/>
    <n v="1"/>
    <x v="87"/>
    <n v="55800"/>
    <x v="1"/>
    <s v="55"/>
    <s v="558"/>
    <x v="1335"/>
    <s v="Diesel Mechanics : Other Costs"/>
    <n v="27"/>
  </r>
  <r>
    <x v="0"/>
    <s v="11-350-01-094700-56400"/>
    <x v="0"/>
    <n v="350"/>
    <n v="1"/>
    <x v="87"/>
    <n v="56400"/>
    <x v="1"/>
    <s v="56"/>
    <s v="564"/>
    <x v="1336"/>
    <s v="Diesel Mechanics : Cap Equip - $200 to $4,999"/>
    <n v="300"/>
  </r>
  <r>
    <x v="0"/>
    <s v="11-350-01-094800-51310"/>
    <x v="0"/>
    <n v="350"/>
    <n v="1"/>
    <x v="85"/>
    <n v="51310"/>
    <x v="1"/>
    <s v="51"/>
    <s v="513"/>
    <x v="1337"/>
    <s v="Automotive Technology : Academic Teaching NIC"/>
    <n v="36528"/>
  </r>
  <r>
    <x v="0"/>
    <s v="11-350-01-094800-51311"/>
    <x v="0"/>
    <n v="350"/>
    <n v="1"/>
    <x v="85"/>
    <n v="51311"/>
    <x v="1"/>
    <s v="51"/>
    <s v="513"/>
    <x v="1338"/>
    <s v="Automotive Technology : Academic Teaching PT"/>
    <n v="75234"/>
  </r>
  <r>
    <x v="0"/>
    <s v="11-350-01-094800-51412"/>
    <x v="0"/>
    <n v="350"/>
    <n v="1"/>
    <x v="85"/>
    <n v="51412"/>
    <x v="1"/>
    <s v="51"/>
    <s v="514"/>
    <x v="1339"/>
    <s v="Automotive Technology : Acad Nonteach Special Projects"/>
    <n v="0"/>
  </r>
  <r>
    <x v="0"/>
    <s v="11-350-01-094800-53110"/>
    <x v="0"/>
    <n v="350"/>
    <n v="1"/>
    <x v="85"/>
    <n v="53110"/>
    <x v="1"/>
    <s v="53"/>
    <s v="531"/>
    <x v="1340"/>
    <s v="Automotive Technology : STRS Teaching"/>
    <n v="18049.560000000001"/>
  </r>
  <r>
    <x v="0"/>
    <s v="11-350-01-094800-53120"/>
    <x v="0"/>
    <n v="350"/>
    <n v="1"/>
    <x v="85"/>
    <n v="53120"/>
    <x v="1"/>
    <s v="53"/>
    <s v="531"/>
    <x v="1341"/>
    <s v="Automotive Technology : STRS Nonteaching"/>
    <n v="0"/>
  </r>
  <r>
    <x v="0"/>
    <s v="11-350-01-094800-53310"/>
    <x v="0"/>
    <n v="350"/>
    <n v="1"/>
    <x v="85"/>
    <n v="53310"/>
    <x v="1"/>
    <s v="53"/>
    <s v="533"/>
    <x v="1342"/>
    <s v="Automotive Technology : OASDHI (FICA) Teaching"/>
    <n v="0"/>
  </r>
  <r>
    <x v="0"/>
    <s v="11-350-01-094800-53330"/>
    <x v="0"/>
    <n v="350"/>
    <n v="1"/>
    <x v="85"/>
    <n v="53330"/>
    <x v="1"/>
    <s v="53"/>
    <s v="533"/>
    <x v="1343"/>
    <s v="Automotive Technology : Medicare Teaching"/>
    <n v="1620.55"/>
  </r>
  <r>
    <x v="0"/>
    <s v="11-350-01-094800-53340"/>
    <x v="0"/>
    <n v="350"/>
    <n v="1"/>
    <x v="85"/>
    <n v="53340"/>
    <x v="1"/>
    <s v="53"/>
    <s v="533"/>
    <x v="1344"/>
    <s v="Automotive Technology : Medicare Nonteaching"/>
    <n v="0"/>
  </r>
  <r>
    <x v="0"/>
    <s v="11-350-01-094800-53510"/>
    <x v="0"/>
    <n v="350"/>
    <n v="1"/>
    <x v="85"/>
    <n v="53510"/>
    <x v="1"/>
    <s v="53"/>
    <s v="535"/>
    <x v="1345"/>
    <s v="Automotive Technology : SUI Teaching"/>
    <n v="55.88"/>
  </r>
  <r>
    <x v="0"/>
    <s v="11-350-01-094800-53520"/>
    <x v="0"/>
    <n v="350"/>
    <n v="1"/>
    <x v="85"/>
    <n v="53520"/>
    <x v="1"/>
    <s v="53"/>
    <s v="535"/>
    <x v="1346"/>
    <s v="Automotive Technology : SUI Nonteaching"/>
    <n v="0"/>
  </r>
  <r>
    <x v="0"/>
    <s v="11-350-01-094800-53610"/>
    <x v="0"/>
    <n v="350"/>
    <n v="1"/>
    <x v="85"/>
    <n v="53610"/>
    <x v="1"/>
    <s v="53"/>
    <s v="536"/>
    <x v="1347"/>
    <s v="Automotive Technology : WC Teaching"/>
    <n v="2113.19"/>
  </r>
  <r>
    <x v="0"/>
    <s v="11-350-01-094800-53620"/>
    <x v="0"/>
    <n v="350"/>
    <n v="1"/>
    <x v="85"/>
    <n v="53620"/>
    <x v="1"/>
    <s v="53"/>
    <s v="536"/>
    <x v="1348"/>
    <s v="Automotive Technology : WC Nonteaching"/>
    <n v="0"/>
  </r>
  <r>
    <x v="0"/>
    <s v="11-350-01-094800-54300"/>
    <x v="0"/>
    <n v="350"/>
    <n v="1"/>
    <x v="85"/>
    <n v="54300"/>
    <x v="1"/>
    <s v="54"/>
    <s v="543"/>
    <x v="1349"/>
    <s v="Automotive Technology : Supplies &amp; Materials"/>
    <n v="4500"/>
  </r>
  <r>
    <x v="0"/>
    <s v="11-350-01-094800-55630"/>
    <x v="0"/>
    <n v="350"/>
    <n v="1"/>
    <x v="85"/>
    <n v="55630"/>
    <x v="1"/>
    <s v="55"/>
    <s v="556"/>
    <x v="1350"/>
    <s v="Automotive Technology : Printing &amp; Duplicating - Inhouse"/>
    <n v="4.5"/>
  </r>
  <r>
    <x v="0"/>
    <s v="11-350-01-094800-55650"/>
    <x v="0"/>
    <n v="350"/>
    <n v="1"/>
    <x v="85"/>
    <n v="55650"/>
    <x v="1"/>
    <s v="55"/>
    <s v="556"/>
    <x v="1351"/>
    <s v="Automotive Technology : Maintenance Agreement"/>
    <n v="1800"/>
  </r>
  <r>
    <x v="0"/>
    <s v="11-350-01-094800-55651"/>
    <x v="0"/>
    <n v="350"/>
    <n v="1"/>
    <x v="85"/>
    <n v="55651"/>
    <x v="1"/>
    <s v="55"/>
    <s v="556"/>
    <x v="1352"/>
    <s v="Automotive Technology : Equipment Repairs"/>
    <n v="2000"/>
  </r>
  <r>
    <x v="0"/>
    <s v="11-350-01-094800-56341"/>
    <x v="0"/>
    <n v="350"/>
    <n v="1"/>
    <x v="85"/>
    <n v="56341"/>
    <x v="1"/>
    <s v="56"/>
    <s v="563"/>
    <x v="1353"/>
    <s v="Automotive Technology : On-line Database Services"/>
    <n v="6720"/>
  </r>
  <r>
    <x v="0"/>
    <s v="11-350-01-095200-51100"/>
    <x v="0"/>
    <n v="350"/>
    <n v="1"/>
    <x v="88"/>
    <n v="51100"/>
    <x v="1"/>
    <s v="51"/>
    <s v="511"/>
    <x v="1354"/>
    <s v="Construction Technology : Academic Teaching Full-time"/>
    <n v="102880"/>
  </r>
  <r>
    <x v="0"/>
    <s v="11-350-01-095200-51310"/>
    <x v="0"/>
    <n v="350"/>
    <n v="1"/>
    <x v="88"/>
    <n v="51310"/>
    <x v="1"/>
    <s v="51"/>
    <s v="513"/>
    <x v="1355"/>
    <s v="Construction Technology : Academic Teaching NIC"/>
    <n v="13381"/>
  </r>
  <r>
    <x v="0"/>
    <s v="11-350-01-095200-51311"/>
    <x v="0"/>
    <n v="350"/>
    <n v="1"/>
    <x v="88"/>
    <n v="51311"/>
    <x v="1"/>
    <s v="51"/>
    <s v="513"/>
    <x v="1356"/>
    <s v="Construction Technology : Academic Teaching PT"/>
    <n v="13944"/>
  </r>
  <r>
    <x v="0"/>
    <s v="11-350-01-095200-53110"/>
    <x v="0"/>
    <n v="350"/>
    <n v="1"/>
    <x v="88"/>
    <n v="53110"/>
    <x v="1"/>
    <s v="53"/>
    <s v="531"/>
    <x v="1357"/>
    <s v="Construction Technology : STRS Teaching"/>
    <n v="21028.11"/>
  </r>
  <r>
    <x v="0"/>
    <s v="11-350-01-095200-53330"/>
    <x v="0"/>
    <n v="350"/>
    <n v="1"/>
    <x v="88"/>
    <n v="53330"/>
    <x v="1"/>
    <s v="53"/>
    <s v="533"/>
    <x v="1358"/>
    <s v="Construction Technology : Medicare Teaching"/>
    <n v="1887.97"/>
  </r>
  <r>
    <x v="0"/>
    <s v="11-350-01-095200-53410"/>
    <x v="0"/>
    <n v="350"/>
    <n v="1"/>
    <x v="88"/>
    <n v="53410"/>
    <x v="1"/>
    <s v="53"/>
    <s v="534"/>
    <x v="1359"/>
    <s v="Construction Technology : H &amp; W Teaching"/>
    <n v="207.24"/>
  </r>
  <r>
    <x v="0"/>
    <s v="11-350-01-095200-53510"/>
    <x v="0"/>
    <n v="350"/>
    <n v="1"/>
    <x v="88"/>
    <n v="53510"/>
    <x v="1"/>
    <s v="53"/>
    <s v="535"/>
    <x v="1360"/>
    <s v="Construction Technology : SUI Teaching"/>
    <n v="65.099999999999994"/>
  </r>
  <r>
    <x v="0"/>
    <s v="11-350-01-095200-53610"/>
    <x v="0"/>
    <n v="350"/>
    <n v="1"/>
    <x v="88"/>
    <n v="53610"/>
    <x v="1"/>
    <s v="53"/>
    <s v="536"/>
    <x v="1361"/>
    <s v="Construction Technology : WC Teaching"/>
    <n v="2461.92"/>
  </r>
  <r>
    <x v="0"/>
    <s v="11-350-01-095200-53910"/>
    <x v="0"/>
    <n v="350"/>
    <n v="1"/>
    <x v="88"/>
    <n v="53910"/>
    <x v="1"/>
    <s v="53"/>
    <s v="539"/>
    <x v="1362"/>
    <s v="Construction Technology : Other Benefit-Teaching"/>
    <n v="2400"/>
  </r>
  <r>
    <x v="0"/>
    <s v="11-350-01-095200-54300"/>
    <x v="0"/>
    <n v="350"/>
    <n v="1"/>
    <x v="88"/>
    <n v="54300"/>
    <x v="1"/>
    <s v="54"/>
    <s v="543"/>
    <x v="1363"/>
    <s v="Construction Technology : Supplies &amp; Materials"/>
    <n v="3000"/>
  </r>
  <r>
    <x v="0"/>
    <s v="11-350-01-095200-55300"/>
    <x v="0"/>
    <n v="350"/>
    <n v="1"/>
    <x v="88"/>
    <n v="55300"/>
    <x v="1"/>
    <s v="55"/>
    <s v="553"/>
    <x v="1364"/>
    <s v="Construction Technology : Memberships"/>
    <n v="150"/>
  </r>
  <r>
    <x v="0"/>
    <s v="11-350-01-095200-55309"/>
    <x v="0"/>
    <n v="350"/>
    <n v="1"/>
    <x v="88"/>
    <n v="55309"/>
    <x v="1"/>
    <s v="55"/>
    <s v="553"/>
    <x v="1365"/>
    <s v="Construction Technology : Subscriptions"/>
    <n v="150"/>
  </r>
  <r>
    <x v="0"/>
    <s v="11-350-01-095200-55630"/>
    <x v="0"/>
    <n v="350"/>
    <n v="1"/>
    <x v="88"/>
    <n v="55630"/>
    <x v="1"/>
    <s v="55"/>
    <s v="556"/>
    <x v="1366"/>
    <s v="Construction Technology : Printing &amp; Duplicating - Inhouse"/>
    <n v="15"/>
  </r>
  <r>
    <x v="0"/>
    <s v="11-350-01-095200-56400"/>
    <x v="0"/>
    <n v="350"/>
    <n v="1"/>
    <x v="88"/>
    <n v="56400"/>
    <x v="1"/>
    <s v="56"/>
    <s v="564"/>
    <x v="1367"/>
    <s v="Construction Technology : Cap Equip - $200 to $4,999"/>
    <n v="200"/>
  </r>
  <r>
    <x v="0"/>
    <s v="11-350-01-095220-55105"/>
    <x v="0"/>
    <n v="350"/>
    <n v="1"/>
    <x v="89"/>
    <n v="55105"/>
    <x v="1"/>
    <s v="55"/>
    <s v="551"/>
    <x v="1368"/>
    <s v="Electrical Apprentice : Contract Services"/>
    <n v="67000"/>
  </r>
  <r>
    <x v="0"/>
    <s v="11-350-01-095300-51100"/>
    <x v="0"/>
    <n v="350"/>
    <n v="1"/>
    <x v="90"/>
    <n v="51100"/>
    <x v="1"/>
    <s v="51"/>
    <s v="511"/>
    <x v="1369"/>
    <s v="Drafting Technology : Academic Teaching Full-time"/>
    <n v="83356.800000000003"/>
  </r>
  <r>
    <x v="0"/>
    <s v="11-350-01-095300-53110"/>
    <x v="0"/>
    <n v="350"/>
    <n v="1"/>
    <x v="90"/>
    <n v="53110"/>
    <x v="1"/>
    <s v="53"/>
    <s v="531"/>
    <x v="1370"/>
    <s v="Drafting Technology : STRS Teaching"/>
    <n v="13462.12"/>
  </r>
  <r>
    <x v="0"/>
    <s v="11-350-01-095300-53330"/>
    <x v="0"/>
    <n v="350"/>
    <n v="1"/>
    <x v="90"/>
    <n v="53330"/>
    <x v="1"/>
    <s v="53"/>
    <s v="533"/>
    <x v="1371"/>
    <s v="Drafting Technology : Medicare Teaching"/>
    <n v="1208.67"/>
  </r>
  <r>
    <x v="0"/>
    <s v="11-350-01-095300-53410"/>
    <x v="0"/>
    <n v="350"/>
    <n v="1"/>
    <x v="90"/>
    <n v="53410"/>
    <x v="1"/>
    <s v="53"/>
    <s v="534"/>
    <x v="1372"/>
    <s v="Drafting Technology : H &amp; W Teaching"/>
    <n v="26497.14"/>
  </r>
  <r>
    <x v="0"/>
    <s v="11-350-01-095300-53510"/>
    <x v="0"/>
    <n v="350"/>
    <n v="1"/>
    <x v="90"/>
    <n v="53510"/>
    <x v="1"/>
    <s v="53"/>
    <s v="535"/>
    <x v="1373"/>
    <s v="Drafting Technology : SUI Teaching"/>
    <n v="41.68"/>
  </r>
  <r>
    <x v="0"/>
    <s v="11-350-01-095300-53610"/>
    <x v="0"/>
    <n v="350"/>
    <n v="1"/>
    <x v="90"/>
    <n v="53610"/>
    <x v="1"/>
    <s v="53"/>
    <s v="536"/>
    <x v="1374"/>
    <s v="Drafting Technology : WC Teaching"/>
    <n v="1576.11"/>
  </r>
  <r>
    <x v="0"/>
    <s v="11-350-01-095300-54300"/>
    <x v="0"/>
    <n v="350"/>
    <n v="1"/>
    <x v="90"/>
    <n v="54300"/>
    <x v="1"/>
    <s v="54"/>
    <s v="543"/>
    <x v="1375"/>
    <s v="Drafting Technology : Supplies &amp; Materials"/>
    <n v="107"/>
  </r>
  <r>
    <x v="0"/>
    <s v="11-350-01-095300-55630"/>
    <x v="0"/>
    <n v="350"/>
    <n v="1"/>
    <x v="90"/>
    <n v="55630"/>
    <x v="1"/>
    <s v="55"/>
    <s v="556"/>
    <x v="1376"/>
    <s v="Drafting Technology : Printing &amp; Duplicating - Inhouse"/>
    <n v="15"/>
  </r>
  <r>
    <x v="0"/>
    <s v="11-350-01-095300-55651"/>
    <x v="0"/>
    <n v="350"/>
    <n v="1"/>
    <x v="90"/>
    <n v="55651"/>
    <x v="1"/>
    <s v="55"/>
    <s v="556"/>
    <x v="1377"/>
    <s v="Drafting Technology : Equipment Repairs"/>
    <n v="54"/>
  </r>
  <r>
    <x v="0"/>
    <s v="11-350-01-095300-56300"/>
    <x v="0"/>
    <n v="350"/>
    <n v="1"/>
    <x v="90"/>
    <n v="56300"/>
    <x v="1"/>
    <s v="56"/>
    <s v="563"/>
    <x v="1378"/>
    <s v="Drafting Technology : Capital Books &amp; Software"/>
    <n v="3000"/>
  </r>
  <r>
    <x v="0"/>
    <s v="11-350-01-095650-51100"/>
    <x v="0"/>
    <n v="350"/>
    <n v="1"/>
    <x v="91"/>
    <n v="51100"/>
    <x v="1"/>
    <s v="51"/>
    <s v="511"/>
    <x v="1379"/>
    <s v="Welding Technology : Academic Teaching Full-time"/>
    <n v="92310"/>
  </r>
  <r>
    <x v="0"/>
    <s v="11-350-01-095650-51310"/>
    <x v="0"/>
    <n v="350"/>
    <n v="1"/>
    <x v="91"/>
    <n v="51310"/>
    <x v="1"/>
    <s v="51"/>
    <s v="513"/>
    <x v="1380"/>
    <s v="Welding Technology : Academic Teaching NIC"/>
    <n v="10000"/>
  </r>
  <r>
    <x v="0"/>
    <s v="11-350-01-095650-51311"/>
    <x v="0"/>
    <n v="350"/>
    <n v="1"/>
    <x v="91"/>
    <n v="51311"/>
    <x v="1"/>
    <s v="51"/>
    <s v="513"/>
    <x v="1381"/>
    <s v="Welding Technology : Academic Teaching PT"/>
    <n v="23000"/>
  </r>
  <r>
    <x v="0"/>
    <s v="11-350-01-095650-52200"/>
    <x v="0"/>
    <n v="350"/>
    <n v="1"/>
    <x v="91"/>
    <n v="52200"/>
    <x v="1"/>
    <s v="52"/>
    <s v="522"/>
    <x v="1382"/>
    <s v="Welding Technology : Classified Permanent Instructional Aides"/>
    <n v="27810"/>
  </r>
  <r>
    <x v="0"/>
    <s v="11-350-01-095650-53110"/>
    <x v="0"/>
    <n v="350"/>
    <n v="1"/>
    <x v="91"/>
    <n v="53110"/>
    <x v="1"/>
    <s v="53"/>
    <s v="531"/>
    <x v="1383"/>
    <s v="Welding Technology : STRS Teaching"/>
    <n v="20237.57"/>
  </r>
  <r>
    <x v="0"/>
    <s v="11-350-01-095650-53210"/>
    <x v="0"/>
    <n v="350"/>
    <n v="1"/>
    <x v="91"/>
    <n v="53210"/>
    <x v="1"/>
    <s v="53"/>
    <s v="532"/>
    <x v="1384"/>
    <s v="Welding Technology : PERS Teaching"/>
    <n v="5756.67"/>
  </r>
  <r>
    <x v="0"/>
    <s v="11-350-01-095650-53310"/>
    <x v="0"/>
    <n v="350"/>
    <n v="1"/>
    <x v="91"/>
    <n v="53310"/>
    <x v="1"/>
    <s v="53"/>
    <s v="533"/>
    <x v="1385"/>
    <s v="Welding Technology : OASDHI (FICA) Teaching"/>
    <n v="1724.22"/>
  </r>
  <r>
    <x v="0"/>
    <s v="11-350-01-095650-53330"/>
    <x v="0"/>
    <n v="350"/>
    <n v="1"/>
    <x v="91"/>
    <n v="53330"/>
    <x v="1"/>
    <s v="53"/>
    <s v="533"/>
    <x v="1386"/>
    <s v="Welding Technology : Medicare Teaching"/>
    <n v="2220.25"/>
  </r>
  <r>
    <x v="0"/>
    <s v="11-350-01-095650-53410"/>
    <x v="0"/>
    <n v="350"/>
    <n v="1"/>
    <x v="91"/>
    <n v="53410"/>
    <x v="1"/>
    <s v="53"/>
    <s v="534"/>
    <x v="1387"/>
    <s v="Welding Technology : H &amp; W Teaching"/>
    <n v="31811.54"/>
  </r>
  <r>
    <x v="0"/>
    <s v="11-350-01-095650-53510"/>
    <x v="0"/>
    <n v="350"/>
    <n v="1"/>
    <x v="91"/>
    <n v="53510"/>
    <x v="1"/>
    <s v="53"/>
    <s v="535"/>
    <x v="1388"/>
    <s v="Welding Technology : SUI Teaching"/>
    <n v="76.569999999999993"/>
  </r>
  <r>
    <x v="0"/>
    <s v="11-350-01-095650-53610"/>
    <x v="0"/>
    <n v="350"/>
    <n v="1"/>
    <x v="91"/>
    <n v="53610"/>
    <x v="1"/>
    <s v="53"/>
    <s v="536"/>
    <x v="1389"/>
    <s v="Welding Technology : WC Teaching"/>
    <n v="2895.19"/>
  </r>
  <r>
    <x v="0"/>
    <s v="11-350-01-095650-54300"/>
    <x v="0"/>
    <n v="350"/>
    <n v="1"/>
    <x v="91"/>
    <n v="54300"/>
    <x v="1"/>
    <s v="54"/>
    <s v="543"/>
    <x v="1390"/>
    <s v="Welding Technology : Supplies &amp; Materials"/>
    <n v="13735"/>
  </r>
  <r>
    <x v="0"/>
    <s v="11-350-01-095650-55630"/>
    <x v="0"/>
    <n v="350"/>
    <n v="1"/>
    <x v="91"/>
    <n v="55630"/>
    <x v="1"/>
    <s v="55"/>
    <s v="556"/>
    <x v="1391"/>
    <s v="Welding Technology : Printing &amp; Duplicating - Inhouse"/>
    <n v="60"/>
  </r>
  <r>
    <x v="0"/>
    <s v="11-350-01-095650-55651"/>
    <x v="0"/>
    <n v="350"/>
    <n v="1"/>
    <x v="91"/>
    <n v="55651"/>
    <x v="1"/>
    <s v="55"/>
    <s v="556"/>
    <x v="1392"/>
    <s v="Welding Technology : Equipment Repairs"/>
    <n v="2800"/>
  </r>
  <r>
    <x v="0"/>
    <s v="11-350-01-095650-56400"/>
    <x v="0"/>
    <n v="350"/>
    <n v="1"/>
    <x v="91"/>
    <n v="56400"/>
    <x v="1"/>
    <s v="56"/>
    <s v="564"/>
    <x v="1393"/>
    <s v="Welding Technology : Cap Equip - $200 to $4,999"/>
    <n v="600"/>
  </r>
  <r>
    <x v="0"/>
    <s v="11-350-01-601000-51210"/>
    <x v="0"/>
    <n v="350"/>
    <n v="1"/>
    <x v="34"/>
    <n v="51210"/>
    <x v="1"/>
    <s v="51"/>
    <s v="512"/>
    <x v="1394"/>
    <s v="Academic Administration : Academic Nonteaching Management"/>
    <n v="0"/>
  </r>
  <r>
    <x v="0"/>
    <s v="11-350-01-601000-52105"/>
    <x v="0"/>
    <n v="350"/>
    <n v="1"/>
    <x v="34"/>
    <n v="52105"/>
    <x v="1"/>
    <s v="52"/>
    <s v="521"/>
    <x v="1395"/>
    <s v="Academic Administration : Classified CSEA"/>
    <n v="61886.83"/>
  </r>
  <r>
    <x v="0"/>
    <s v="11-350-01-601000-52300"/>
    <x v="0"/>
    <n v="350"/>
    <n v="1"/>
    <x v="34"/>
    <n v="52300"/>
    <x v="1"/>
    <s v="52"/>
    <s v="523"/>
    <x v="1396"/>
    <s v="Academic Administration : Classified Overtime"/>
    <n v="0"/>
  </r>
  <r>
    <x v="0"/>
    <s v="11-350-01-601000-52350"/>
    <x v="0"/>
    <n v="350"/>
    <n v="1"/>
    <x v="34"/>
    <n v="52350"/>
    <x v="1"/>
    <s v="52"/>
    <s v="523"/>
    <x v="1397"/>
    <s v="Academic Administration : Classified Student Dist Non-IA PT"/>
    <n v="3500"/>
  </r>
  <r>
    <x v="0"/>
    <s v="11-350-01-601000-53120"/>
    <x v="0"/>
    <n v="350"/>
    <n v="1"/>
    <x v="34"/>
    <n v="53120"/>
    <x v="1"/>
    <s v="53"/>
    <s v="531"/>
    <x v="1398"/>
    <s v="Academic Administration : STRS Nonteaching"/>
    <n v="0"/>
  </r>
  <r>
    <x v="0"/>
    <s v="11-350-01-601000-53220"/>
    <x v="0"/>
    <n v="350"/>
    <n v="1"/>
    <x v="34"/>
    <n v="53220"/>
    <x v="1"/>
    <s v="53"/>
    <s v="532"/>
    <x v="1399"/>
    <s v="Academic Administration : PERS Nonteaching"/>
    <n v="12810.57"/>
  </r>
  <r>
    <x v="0"/>
    <s v="11-350-01-601000-53320"/>
    <x v="0"/>
    <n v="350"/>
    <n v="1"/>
    <x v="34"/>
    <n v="53320"/>
    <x v="1"/>
    <s v="53"/>
    <s v="533"/>
    <x v="1400"/>
    <s v="Academic Administration : OASDHI (FICA) Nonteaching"/>
    <n v="3836.98"/>
  </r>
  <r>
    <x v="0"/>
    <s v="11-350-01-601000-53340"/>
    <x v="0"/>
    <n v="350"/>
    <n v="1"/>
    <x v="34"/>
    <n v="53340"/>
    <x v="1"/>
    <s v="53"/>
    <s v="533"/>
    <x v="1401"/>
    <s v="Academic Administration : Medicare Nonteaching"/>
    <n v="897.36"/>
  </r>
  <r>
    <x v="0"/>
    <s v="11-350-01-601000-53420"/>
    <x v="0"/>
    <n v="350"/>
    <n v="1"/>
    <x v="34"/>
    <n v="53420"/>
    <x v="1"/>
    <s v="53"/>
    <s v="534"/>
    <x v="1402"/>
    <s v="Academic Administration : H &amp; W Nonteaching"/>
    <n v="13141.62"/>
  </r>
  <r>
    <x v="0"/>
    <s v="11-350-01-601000-53520"/>
    <x v="0"/>
    <n v="350"/>
    <n v="1"/>
    <x v="34"/>
    <n v="53520"/>
    <x v="1"/>
    <s v="53"/>
    <s v="535"/>
    <x v="1403"/>
    <s v="Academic Administration : SUI Nonteaching"/>
    <n v="30.94"/>
  </r>
  <r>
    <x v="0"/>
    <s v="11-350-01-601000-53620"/>
    <x v="0"/>
    <n v="350"/>
    <n v="1"/>
    <x v="34"/>
    <n v="53620"/>
    <x v="1"/>
    <s v="53"/>
    <s v="536"/>
    <x v="1404"/>
    <s v="Academic Administration : WC Nonteaching"/>
    <n v="1236.3399999999999"/>
  </r>
  <r>
    <x v="0"/>
    <s v="11-350-01-601000-53920"/>
    <x v="0"/>
    <n v="350"/>
    <n v="1"/>
    <x v="34"/>
    <n v="53920"/>
    <x v="1"/>
    <s v="53"/>
    <s v="539"/>
    <x v="1405"/>
    <s v="Academic Administration : Other Benefit-Non Teaching"/>
    <n v="0"/>
  </r>
  <r>
    <x v="0"/>
    <s v="11-350-01-601000-54300"/>
    <x v="0"/>
    <n v="350"/>
    <n v="1"/>
    <x v="34"/>
    <n v="54300"/>
    <x v="1"/>
    <s v="54"/>
    <s v="543"/>
    <x v="1406"/>
    <s v="Academic Administration : Supplies &amp; Materials"/>
    <n v="3300"/>
  </r>
  <r>
    <x v="0"/>
    <s v="11-350-01-601000-54349"/>
    <x v="0"/>
    <n v="350"/>
    <n v="1"/>
    <x v="34"/>
    <n v="54349"/>
    <x v="1"/>
    <s v="54"/>
    <s v="543"/>
    <x v="1407"/>
    <s v="Academic Administration : M&amp;O Fuel and Oil Expense"/>
    <n v="1000"/>
  </r>
  <r>
    <x v="0"/>
    <s v="11-350-01-601000-55125"/>
    <x v="0"/>
    <n v="350"/>
    <n v="1"/>
    <x v="34"/>
    <n v="55125"/>
    <x v="1"/>
    <s v="55"/>
    <s v="551"/>
    <x v="1408"/>
    <s v="Academic Administration : Training &amp; Seminars"/>
    <n v="0"/>
  </r>
  <r>
    <x v="0"/>
    <s v="11-350-01-601000-55200"/>
    <x v="0"/>
    <n v="350"/>
    <n v="1"/>
    <x v="34"/>
    <n v="55200"/>
    <x v="1"/>
    <s v="55"/>
    <s v="552"/>
    <x v="1409"/>
    <s v="Academic Administration : Travel &amp; Conference"/>
    <n v="0"/>
  </r>
  <r>
    <x v="0"/>
    <s v="11-350-01-601000-55300"/>
    <x v="0"/>
    <n v="350"/>
    <n v="1"/>
    <x v="34"/>
    <n v="55300"/>
    <x v="1"/>
    <s v="55"/>
    <s v="553"/>
    <x v="1410"/>
    <s v="Academic Administration : Memberships"/>
    <n v="1500"/>
  </r>
  <r>
    <x v="0"/>
    <s v="11-350-01-601000-55309"/>
    <x v="0"/>
    <n v="350"/>
    <n v="1"/>
    <x v="34"/>
    <n v="55309"/>
    <x v="1"/>
    <s v="55"/>
    <s v="553"/>
    <x v="1411"/>
    <s v="Academic Administration : Subscriptions"/>
    <n v="107"/>
  </r>
  <r>
    <x v="0"/>
    <s v="11-350-01-601000-55600"/>
    <x v="0"/>
    <n v="350"/>
    <n v="1"/>
    <x v="34"/>
    <n v="55600"/>
    <x v="1"/>
    <s v="55"/>
    <s v="556"/>
    <x v="1412"/>
    <s v="Academic Administration : Rents &amp; Leases"/>
    <n v="0"/>
  </r>
  <r>
    <x v="0"/>
    <s v="11-350-01-601000-55630"/>
    <x v="0"/>
    <n v="350"/>
    <n v="1"/>
    <x v="34"/>
    <n v="55630"/>
    <x v="1"/>
    <s v="55"/>
    <s v="556"/>
    <x v="1413"/>
    <s v="Academic Administration : Printing &amp; Duplicating - Inhouse"/>
    <n v="32.1"/>
  </r>
  <r>
    <x v="0"/>
    <s v="11-350-01-601000-55635"/>
    <x v="0"/>
    <n v="350"/>
    <n v="1"/>
    <x v="34"/>
    <n v="55635"/>
    <x v="1"/>
    <s v="55"/>
    <s v="556"/>
    <x v="1414"/>
    <s v="Academic Administration : Printing Services - Vendor"/>
    <n v="214"/>
  </r>
  <r>
    <x v="0"/>
    <s v="11-350-01-601000-55650"/>
    <x v="0"/>
    <n v="350"/>
    <n v="1"/>
    <x v="34"/>
    <n v="55650"/>
    <x v="1"/>
    <s v="55"/>
    <s v="556"/>
    <x v="1415"/>
    <s v="Academic Administration : Maintenance Agreement"/>
    <n v="9800"/>
  </r>
  <r>
    <x v="0"/>
    <s v="11-350-01-601000-55800"/>
    <x v="0"/>
    <n v="350"/>
    <n v="1"/>
    <x v="34"/>
    <n v="55800"/>
    <x v="1"/>
    <s v="55"/>
    <s v="558"/>
    <x v="1416"/>
    <s v="Academic Administration : Other Costs"/>
    <n v="500"/>
  </r>
  <r>
    <x v="0"/>
    <s v="11-350-01-601000-55830"/>
    <x v="0"/>
    <n v="350"/>
    <n v="1"/>
    <x v="34"/>
    <n v="55830"/>
    <x v="1"/>
    <s v="55"/>
    <s v="558"/>
    <x v="1417"/>
    <s v="Academic Administration : Advertising Expense"/>
    <n v="0"/>
  </r>
  <r>
    <x v="0"/>
    <s v="11-350-01-601000-56300"/>
    <x v="0"/>
    <n v="350"/>
    <n v="1"/>
    <x v="34"/>
    <n v="56300"/>
    <x v="1"/>
    <s v="56"/>
    <s v="563"/>
    <x v="1418"/>
    <s v="Academic Administration : Capital Books &amp; Software"/>
    <n v="2660"/>
  </r>
  <r>
    <x v="0"/>
    <s v="11-360-00-160100-51100"/>
    <x v="0"/>
    <n v="360"/>
    <n v="0"/>
    <x v="92"/>
    <n v="51100"/>
    <x v="1"/>
    <s v="51"/>
    <s v="511"/>
    <x v="1419"/>
    <s v="Library Science : Academic Teaching Full-time"/>
    <n v="117785.9"/>
  </r>
  <r>
    <x v="0"/>
    <s v="11-360-00-160100-51310"/>
    <x v="0"/>
    <n v="360"/>
    <n v="0"/>
    <x v="92"/>
    <n v="51310"/>
    <x v="1"/>
    <s v="51"/>
    <s v="513"/>
    <x v="1420"/>
    <s v="Library Science : Academic Teaching NIC"/>
    <n v="7000"/>
  </r>
  <r>
    <x v="0"/>
    <s v="11-360-00-160100-51311"/>
    <x v="0"/>
    <n v="360"/>
    <n v="0"/>
    <x v="92"/>
    <n v="51311"/>
    <x v="1"/>
    <s v="51"/>
    <s v="513"/>
    <x v="1421"/>
    <s v="Library Science : Academic Teaching PT"/>
    <n v="3000"/>
  </r>
  <r>
    <x v="0"/>
    <s v="11-360-00-160100-53110"/>
    <x v="0"/>
    <n v="360"/>
    <n v="0"/>
    <x v="92"/>
    <n v="53110"/>
    <x v="1"/>
    <s v="53"/>
    <s v="531"/>
    <x v="1422"/>
    <s v="Library Science : STRS Teaching"/>
    <n v="15692.47"/>
  </r>
  <r>
    <x v="0"/>
    <s v="11-360-00-160100-53210"/>
    <x v="0"/>
    <n v="360"/>
    <n v="0"/>
    <x v="92"/>
    <n v="53210"/>
    <x v="1"/>
    <s v="53"/>
    <s v="532"/>
    <x v="1423"/>
    <s v="Library Science : PERS Teaching"/>
    <n v="6338.11"/>
  </r>
  <r>
    <x v="0"/>
    <s v="11-360-00-160100-53310"/>
    <x v="0"/>
    <n v="360"/>
    <n v="0"/>
    <x v="92"/>
    <n v="53310"/>
    <x v="1"/>
    <s v="53"/>
    <s v="533"/>
    <x v="1424"/>
    <s v="Library Science : OASDHI (FICA) Teaching"/>
    <n v="1898.37"/>
  </r>
  <r>
    <x v="0"/>
    <s v="11-360-00-160100-53330"/>
    <x v="0"/>
    <n v="360"/>
    <n v="0"/>
    <x v="92"/>
    <n v="53330"/>
    <x v="1"/>
    <s v="53"/>
    <s v="533"/>
    <x v="1425"/>
    <s v="Library Science : Medicare Teaching"/>
    <n v="1852.89"/>
  </r>
  <r>
    <x v="0"/>
    <s v="11-360-00-160100-53410"/>
    <x v="0"/>
    <n v="360"/>
    <n v="0"/>
    <x v="92"/>
    <n v="53410"/>
    <x v="1"/>
    <s v="53"/>
    <s v="534"/>
    <x v="1426"/>
    <s v="Library Science : H &amp; W Teaching"/>
    <n v="32812.949999999997"/>
  </r>
  <r>
    <x v="0"/>
    <s v="11-360-00-160100-53510"/>
    <x v="0"/>
    <n v="360"/>
    <n v="0"/>
    <x v="92"/>
    <n v="53510"/>
    <x v="1"/>
    <s v="53"/>
    <s v="535"/>
    <x v="1427"/>
    <s v="Library Science : SUI Teaching"/>
    <n v="63.89"/>
  </r>
  <r>
    <x v="0"/>
    <s v="11-360-00-160100-53610"/>
    <x v="0"/>
    <n v="360"/>
    <n v="0"/>
    <x v="92"/>
    <n v="53610"/>
    <x v="1"/>
    <s v="53"/>
    <s v="536"/>
    <x v="1428"/>
    <s v="Library Science : WC Teaching"/>
    <n v="2416.17"/>
  </r>
  <r>
    <x v="0"/>
    <s v="11-360-00-160100-54300"/>
    <x v="0"/>
    <n v="360"/>
    <n v="0"/>
    <x v="92"/>
    <n v="54300"/>
    <x v="1"/>
    <s v="54"/>
    <s v="543"/>
    <x v="1429"/>
    <s v="Library Science : Supplies &amp; Materials"/>
    <n v="505"/>
  </r>
  <r>
    <x v="0"/>
    <s v="11-360-00-160100-55200"/>
    <x v="0"/>
    <n v="360"/>
    <n v="0"/>
    <x v="92"/>
    <n v="55200"/>
    <x v="1"/>
    <s v="55"/>
    <s v="552"/>
    <x v="1430"/>
    <s v="Library Science : Travel &amp; Conference"/>
    <n v="0"/>
  </r>
  <r>
    <x v="0"/>
    <s v="11-360-00-160100-55630"/>
    <x v="0"/>
    <n v="360"/>
    <n v="0"/>
    <x v="92"/>
    <n v="55630"/>
    <x v="1"/>
    <s v="55"/>
    <s v="556"/>
    <x v="1431"/>
    <s v="Library Science : Printing &amp; Duplicating - Inhouse"/>
    <n v="51"/>
  </r>
  <r>
    <x v="0"/>
    <s v="11-360-00-490110-54300"/>
    <x v="0"/>
    <n v="360"/>
    <n v="0"/>
    <x v="93"/>
    <n v="54300"/>
    <x v="1"/>
    <s v="54"/>
    <s v="543"/>
    <x v="1432"/>
    <s v="Interdisciplinary Studies : Supplies &amp; Materials"/>
    <n v="705"/>
  </r>
  <r>
    <x v="0"/>
    <s v="11-360-00-490110-55200"/>
    <x v="0"/>
    <n v="360"/>
    <n v="0"/>
    <x v="93"/>
    <n v="55200"/>
    <x v="1"/>
    <s v="55"/>
    <s v="552"/>
    <x v="1433"/>
    <s v="Interdisciplinary Studies : Travel &amp; Conference"/>
    <n v="0"/>
  </r>
  <r>
    <x v="0"/>
    <s v="11-360-00-490110-56300"/>
    <x v="0"/>
    <n v="360"/>
    <n v="0"/>
    <x v="93"/>
    <n v="56300"/>
    <x v="1"/>
    <s v="56"/>
    <s v="563"/>
    <x v="1434"/>
    <s v="Interdisciplinary Studies : Capital Books &amp; Software"/>
    <n v="500"/>
  </r>
  <r>
    <x v="0"/>
    <s v="11-360-00-601000-51210"/>
    <x v="0"/>
    <n v="360"/>
    <n v="0"/>
    <x v="34"/>
    <n v="51210"/>
    <x v="1"/>
    <s v="51"/>
    <s v="512"/>
    <x v="1435"/>
    <s v="Academic Administration : Academic Nonteaching Management"/>
    <n v="142041"/>
  </r>
  <r>
    <x v="0"/>
    <s v="11-360-00-601000-52105"/>
    <x v="0"/>
    <n v="360"/>
    <n v="0"/>
    <x v="34"/>
    <n v="52105"/>
    <x v="1"/>
    <s v="52"/>
    <s v="521"/>
    <x v="1436"/>
    <s v="Academic Administration : Classified CSEA"/>
    <n v="127776.55"/>
  </r>
  <r>
    <x v="0"/>
    <s v="11-360-00-601000-52300"/>
    <x v="0"/>
    <n v="360"/>
    <n v="0"/>
    <x v="34"/>
    <n v="52300"/>
    <x v="1"/>
    <s v="52"/>
    <s v="523"/>
    <x v="1437"/>
    <s v="Academic Administration : Classified Overtime"/>
    <n v="0"/>
  </r>
  <r>
    <x v="0"/>
    <s v="11-360-00-601000-52360"/>
    <x v="0"/>
    <n v="360"/>
    <n v="0"/>
    <x v="34"/>
    <n v="52360"/>
    <x v="1"/>
    <s v="52"/>
    <s v="523"/>
    <x v="1438"/>
    <s v="Academic Administration : Class Nonstu NonIA PT Prof Exp"/>
    <n v="0"/>
  </r>
  <r>
    <x v="0"/>
    <s v="11-360-00-601000-53120"/>
    <x v="0"/>
    <n v="360"/>
    <n v="0"/>
    <x v="34"/>
    <n v="53120"/>
    <x v="1"/>
    <s v="53"/>
    <s v="531"/>
    <x v="1439"/>
    <s v="Academic Administration : STRS Nonteaching"/>
    <n v="22939.62"/>
  </r>
  <r>
    <x v="0"/>
    <s v="11-360-00-601000-53220"/>
    <x v="0"/>
    <n v="360"/>
    <n v="0"/>
    <x v="34"/>
    <n v="53220"/>
    <x v="1"/>
    <s v="53"/>
    <s v="532"/>
    <x v="1440"/>
    <s v="Academic Administration : PERS Nonteaching"/>
    <n v="26449.75"/>
  </r>
  <r>
    <x v="0"/>
    <s v="11-360-00-601000-53320"/>
    <x v="0"/>
    <n v="360"/>
    <n v="0"/>
    <x v="34"/>
    <n v="53320"/>
    <x v="1"/>
    <s v="53"/>
    <s v="533"/>
    <x v="1441"/>
    <s v="Academic Administration : OASDHI (FICA) Nonteaching"/>
    <n v="7922.15"/>
  </r>
  <r>
    <x v="0"/>
    <s v="11-360-00-601000-53340"/>
    <x v="0"/>
    <n v="360"/>
    <n v="0"/>
    <x v="34"/>
    <n v="53340"/>
    <x v="1"/>
    <s v="53"/>
    <s v="533"/>
    <x v="1442"/>
    <s v="Academic Administration : Medicare Nonteaching"/>
    <n v="3912.35"/>
  </r>
  <r>
    <x v="0"/>
    <s v="11-360-00-601000-53420"/>
    <x v="0"/>
    <n v="360"/>
    <n v="0"/>
    <x v="34"/>
    <n v="53420"/>
    <x v="1"/>
    <s v="53"/>
    <s v="534"/>
    <x v="1443"/>
    <s v="Academic Administration : H &amp; W Nonteaching"/>
    <n v="58569.4"/>
  </r>
  <r>
    <x v="0"/>
    <s v="11-360-00-601000-53520"/>
    <x v="0"/>
    <n v="360"/>
    <n v="0"/>
    <x v="34"/>
    <n v="53520"/>
    <x v="1"/>
    <s v="53"/>
    <s v="535"/>
    <x v="1444"/>
    <s v="Academic Administration : SUI Nonteaching"/>
    <n v="134.91"/>
  </r>
  <r>
    <x v="0"/>
    <s v="11-360-00-601000-53620"/>
    <x v="0"/>
    <n v="360"/>
    <n v="0"/>
    <x v="34"/>
    <n v="53620"/>
    <x v="1"/>
    <s v="53"/>
    <s v="536"/>
    <x v="1445"/>
    <s v="Academic Administration : WC Nonteaching"/>
    <n v="5101.71"/>
  </r>
  <r>
    <x v="0"/>
    <s v="11-360-00-601000-53920"/>
    <x v="0"/>
    <n v="360"/>
    <n v="0"/>
    <x v="34"/>
    <n v="53920"/>
    <x v="1"/>
    <s v="53"/>
    <s v="539"/>
    <x v="1446"/>
    <s v="Academic Administration : Other Benefit-Non Teaching"/>
    <n v="2400"/>
  </r>
  <r>
    <x v="0"/>
    <s v="11-360-00-601000-54300"/>
    <x v="0"/>
    <n v="360"/>
    <n v="0"/>
    <x v="34"/>
    <n v="54300"/>
    <x v="1"/>
    <s v="54"/>
    <s v="543"/>
    <x v="1447"/>
    <s v="Academic Administration : Supplies &amp; Materials"/>
    <n v="500"/>
  </r>
  <r>
    <x v="0"/>
    <s v="11-360-00-601000-55630"/>
    <x v="0"/>
    <n v="360"/>
    <n v="0"/>
    <x v="34"/>
    <n v="55630"/>
    <x v="1"/>
    <s v="55"/>
    <s v="556"/>
    <x v="1448"/>
    <s v="Academic Administration : Printing &amp; Duplicating - Inhouse"/>
    <n v="0"/>
  </r>
  <r>
    <x v="0"/>
    <s v="11-360-00-612000-51200"/>
    <x v="0"/>
    <n v="360"/>
    <n v="0"/>
    <x v="35"/>
    <n v="51200"/>
    <x v="1"/>
    <s v="51"/>
    <s v="512"/>
    <x v="1449"/>
    <s v="Library Services : Academic Nonteaching Full-time"/>
    <n v="71444.100000000006"/>
  </r>
  <r>
    <x v="0"/>
    <s v="11-360-00-612000-51411"/>
    <x v="0"/>
    <n v="360"/>
    <n v="0"/>
    <x v="35"/>
    <n v="51411"/>
    <x v="1"/>
    <s v="51"/>
    <s v="514"/>
    <x v="1450"/>
    <s v="Library Services : Academic Nonteaching PT"/>
    <n v="164000"/>
  </r>
  <r>
    <x v="0"/>
    <s v="11-360-00-612000-51412"/>
    <x v="0"/>
    <n v="360"/>
    <n v="0"/>
    <x v="35"/>
    <n v="51412"/>
    <x v="1"/>
    <s v="51"/>
    <s v="514"/>
    <x v="1451"/>
    <s v="Library Services : Acad Nonteach Special Projects"/>
    <n v="3001"/>
  </r>
  <r>
    <x v="0"/>
    <s v="11-360-00-612000-52105"/>
    <x v="0"/>
    <n v="360"/>
    <n v="0"/>
    <x v="35"/>
    <n v="52105"/>
    <x v="1"/>
    <s v="52"/>
    <s v="521"/>
    <x v="1452"/>
    <s v="Library Services : Classified CSEA"/>
    <n v="183164.66"/>
  </r>
  <r>
    <x v="0"/>
    <s v="11-360-00-612000-52300"/>
    <x v="0"/>
    <n v="360"/>
    <n v="0"/>
    <x v="35"/>
    <n v="52300"/>
    <x v="1"/>
    <s v="52"/>
    <s v="523"/>
    <x v="1453"/>
    <s v="Library Services : Classified Overtime"/>
    <n v="1800"/>
  </r>
  <r>
    <x v="0"/>
    <s v="11-360-00-612000-52350"/>
    <x v="0"/>
    <n v="360"/>
    <n v="0"/>
    <x v="35"/>
    <n v="52350"/>
    <x v="1"/>
    <s v="52"/>
    <s v="523"/>
    <x v="1454"/>
    <s v="Library Services : Classified Student Dist Non-IA PT"/>
    <n v="9000"/>
  </r>
  <r>
    <x v="0"/>
    <s v="11-360-00-612000-53120"/>
    <x v="0"/>
    <n v="360"/>
    <n v="0"/>
    <x v="35"/>
    <n v="53120"/>
    <x v="1"/>
    <s v="53"/>
    <s v="531"/>
    <x v="1455"/>
    <s v="Library Services : STRS Nonteaching"/>
    <n v="26970.66"/>
  </r>
  <r>
    <x v="0"/>
    <s v="11-360-00-612000-53220"/>
    <x v="0"/>
    <n v="360"/>
    <n v="0"/>
    <x v="35"/>
    <n v="53220"/>
    <x v="1"/>
    <s v="53"/>
    <s v="532"/>
    <x v="1456"/>
    <s v="Library Services : PERS Nonteaching"/>
    <n v="52704.01"/>
  </r>
  <r>
    <x v="0"/>
    <s v="11-360-00-612000-53320"/>
    <x v="0"/>
    <n v="360"/>
    <n v="0"/>
    <x v="35"/>
    <n v="53320"/>
    <x v="1"/>
    <s v="53"/>
    <s v="533"/>
    <x v="1457"/>
    <s v="Library Services : OASDHI (FICA) Nonteaching"/>
    <n v="15897.34"/>
  </r>
  <r>
    <x v="0"/>
    <s v="11-360-00-612000-53340"/>
    <x v="0"/>
    <n v="360"/>
    <n v="0"/>
    <x v="35"/>
    <n v="53340"/>
    <x v="1"/>
    <s v="53"/>
    <s v="533"/>
    <x v="1458"/>
    <s v="Library Services : Medicare Nonteaching"/>
    <n v="6139.44"/>
  </r>
  <r>
    <x v="0"/>
    <s v="11-360-00-612000-53420"/>
    <x v="0"/>
    <n v="360"/>
    <n v="0"/>
    <x v="35"/>
    <n v="53420"/>
    <x v="1"/>
    <s v="53"/>
    <s v="534"/>
    <x v="1459"/>
    <s v="Library Services : H &amp; W Nonteaching"/>
    <n v="67226.38"/>
  </r>
  <r>
    <x v="0"/>
    <s v="11-360-00-612000-53520"/>
    <x v="0"/>
    <n v="360"/>
    <n v="0"/>
    <x v="35"/>
    <n v="53520"/>
    <x v="1"/>
    <s v="53"/>
    <s v="535"/>
    <x v="1460"/>
    <s v="Library Services : SUI Nonteaching"/>
    <n v="211.7"/>
  </r>
  <r>
    <x v="0"/>
    <s v="11-360-00-612000-53620"/>
    <x v="0"/>
    <n v="360"/>
    <n v="0"/>
    <x v="35"/>
    <n v="53620"/>
    <x v="1"/>
    <s v="53"/>
    <s v="536"/>
    <x v="1461"/>
    <s v="Library Services : WC Nonteaching"/>
    <n v="8175.99"/>
  </r>
  <r>
    <x v="0"/>
    <s v="11-360-00-612000-54300"/>
    <x v="0"/>
    <n v="360"/>
    <n v="0"/>
    <x v="35"/>
    <n v="54300"/>
    <x v="1"/>
    <s v="54"/>
    <s v="543"/>
    <x v="1462"/>
    <s v="Library Services : Supplies &amp; Materials"/>
    <n v="4551"/>
  </r>
  <r>
    <x v="0"/>
    <s v="11-360-00-612000-55200"/>
    <x v="0"/>
    <n v="360"/>
    <n v="0"/>
    <x v="35"/>
    <n v="55200"/>
    <x v="1"/>
    <s v="55"/>
    <s v="552"/>
    <x v="1463"/>
    <s v="Library Services : Travel &amp; Conference"/>
    <n v="-3100"/>
  </r>
  <r>
    <x v="0"/>
    <s v="11-360-00-612000-55300"/>
    <x v="0"/>
    <n v="360"/>
    <n v="0"/>
    <x v="35"/>
    <n v="55300"/>
    <x v="1"/>
    <s v="55"/>
    <s v="553"/>
    <x v="1464"/>
    <s v="Library Services : Memberships"/>
    <n v="3000"/>
  </r>
  <r>
    <x v="0"/>
    <s v="11-360-00-612000-55630"/>
    <x v="0"/>
    <n v="360"/>
    <n v="0"/>
    <x v="35"/>
    <n v="55630"/>
    <x v="1"/>
    <s v="55"/>
    <s v="556"/>
    <x v="1465"/>
    <s v="Library Services : Printing &amp; Duplicating - Inhouse"/>
    <n v="184.43"/>
  </r>
  <r>
    <x v="0"/>
    <s v="11-360-00-612000-55650"/>
    <x v="0"/>
    <n v="360"/>
    <n v="0"/>
    <x v="35"/>
    <n v="55650"/>
    <x v="1"/>
    <s v="55"/>
    <s v="556"/>
    <x v="1466"/>
    <s v="Library Services : Maintenance Agreement"/>
    <n v="5000"/>
  </r>
  <r>
    <x v="0"/>
    <s v="11-360-00-612000-56300"/>
    <x v="0"/>
    <n v="360"/>
    <n v="0"/>
    <x v="35"/>
    <n v="56300"/>
    <x v="1"/>
    <s v="56"/>
    <s v="563"/>
    <x v="1467"/>
    <s v="Library Services : Capital Books &amp; Software"/>
    <n v="24000"/>
  </r>
  <r>
    <x v="0"/>
    <s v="11-360-00-612000-56310"/>
    <x v="0"/>
    <n v="360"/>
    <n v="0"/>
    <x v="35"/>
    <n v="56310"/>
    <x v="1"/>
    <s v="56"/>
    <s v="563"/>
    <x v="1468"/>
    <s v="Library Services : Periodicals &amp; Newspapers"/>
    <n v="20871"/>
  </r>
  <r>
    <x v="0"/>
    <s v="11-360-00-612000-56340"/>
    <x v="0"/>
    <n v="360"/>
    <n v="0"/>
    <x v="35"/>
    <n v="56340"/>
    <x v="1"/>
    <s v="56"/>
    <s v="563"/>
    <x v="1469"/>
    <s v="Library Services : Bibliographic Utilities"/>
    <n v="7350"/>
  </r>
  <r>
    <x v="0"/>
    <s v="11-360-00-612000-56341"/>
    <x v="0"/>
    <n v="360"/>
    <n v="0"/>
    <x v="35"/>
    <n v="56341"/>
    <x v="1"/>
    <s v="56"/>
    <s v="563"/>
    <x v="1470"/>
    <s v="Library Services : On-line Database Services"/>
    <n v="1150"/>
  </r>
  <r>
    <x v="0"/>
    <s v="11-360-00-613000-52105"/>
    <x v="0"/>
    <n v="360"/>
    <n v="0"/>
    <x v="94"/>
    <n v="52105"/>
    <x v="1"/>
    <s v="52"/>
    <s v="521"/>
    <x v="1471"/>
    <s v="Instructional Media : Classified CSEA"/>
    <n v="117591.54"/>
  </r>
  <r>
    <x v="0"/>
    <s v="11-360-00-613000-52300"/>
    <x v="0"/>
    <n v="360"/>
    <n v="0"/>
    <x v="94"/>
    <n v="52300"/>
    <x v="1"/>
    <s v="52"/>
    <s v="523"/>
    <x v="1472"/>
    <s v="Instructional Media : Classified Overtime"/>
    <n v="700"/>
  </r>
  <r>
    <x v="0"/>
    <s v="11-360-00-613000-53220"/>
    <x v="0"/>
    <n v="360"/>
    <n v="0"/>
    <x v="94"/>
    <n v="53220"/>
    <x v="1"/>
    <s v="53"/>
    <s v="532"/>
    <x v="1473"/>
    <s v="Instructional Media : PERS Nonteaching"/>
    <n v="24341.46"/>
  </r>
  <r>
    <x v="0"/>
    <s v="11-360-00-613000-53320"/>
    <x v="0"/>
    <n v="360"/>
    <n v="0"/>
    <x v="94"/>
    <n v="53320"/>
    <x v="1"/>
    <s v="53"/>
    <s v="533"/>
    <x v="1474"/>
    <s v="Instructional Media : OASDHI (FICA) Nonteaching"/>
    <n v="7334.07"/>
  </r>
  <r>
    <x v="0"/>
    <s v="11-360-00-613000-53340"/>
    <x v="0"/>
    <n v="360"/>
    <n v="0"/>
    <x v="94"/>
    <n v="53340"/>
    <x v="1"/>
    <s v="53"/>
    <s v="533"/>
    <x v="1475"/>
    <s v="Instructional Media : Medicare Nonteaching"/>
    <n v="1715.23"/>
  </r>
  <r>
    <x v="0"/>
    <s v="11-360-00-613000-53420"/>
    <x v="0"/>
    <n v="360"/>
    <n v="0"/>
    <x v="94"/>
    <n v="53420"/>
    <x v="1"/>
    <s v="53"/>
    <s v="534"/>
    <x v="1476"/>
    <s v="Instructional Media : H &amp; W Nonteaching"/>
    <n v="23244.5"/>
  </r>
  <r>
    <x v="0"/>
    <s v="11-360-00-613000-53520"/>
    <x v="0"/>
    <n v="360"/>
    <n v="0"/>
    <x v="94"/>
    <n v="53520"/>
    <x v="1"/>
    <s v="53"/>
    <s v="535"/>
    <x v="1477"/>
    <s v="Instructional Media : SUI Nonteaching"/>
    <n v="59.15"/>
  </r>
  <r>
    <x v="0"/>
    <s v="11-360-00-613000-53620"/>
    <x v="0"/>
    <n v="360"/>
    <n v="0"/>
    <x v="94"/>
    <n v="53620"/>
    <x v="1"/>
    <s v="53"/>
    <s v="536"/>
    <x v="1478"/>
    <s v="Instructional Media : WC Nonteaching"/>
    <n v="2236.66"/>
  </r>
  <r>
    <x v="0"/>
    <s v="11-360-00-613000-54300"/>
    <x v="0"/>
    <n v="360"/>
    <n v="0"/>
    <x v="94"/>
    <n v="54300"/>
    <x v="1"/>
    <s v="54"/>
    <s v="543"/>
    <x v="1479"/>
    <s v="Instructional Media : Supplies &amp; Materials"/>
    <n v="4615"/>
  </r>
  <r>
    <x v="0"/>
    <s v="11-360-00-613000-55630"/>
    <x v="0"/>
    <n v="360"/>
    <n v="0"/>
    <x v="94"/>
    <n v="55630"/>
    <x v="1"/>
    <s v="55"/>
    <s v="556"/>
    <x v="1480"/>
    <s v="Instructional Media : Printing &amp; Duplicating - Inhouse"/>
    <n v="60.75"/>
  </r>
  <r>
    <x v="0"/>
    <s v="11-360-00-613000-56300"/>
    <x v="0"/>
    <n v="360"/>
    <n v="0"/>
    <x v="94"/>
    <n v="56300"/>
    <x v="1"/>
    <s v="56"/>
    <s v="563"/>
    <x v="1481"/>
    <s v="Instructional Media : Capital Books &amp; Software"/>
    <n v="600"/>
  </r>
  <r>
    <x v="0"/>
    <s v="11-360-00-613000-56400"/>
    <x v="0"/>
    <n v="360"/>
    <n v="0"/>
    <x v="94"/>
    <n v="56400"/>
    <x v="1"/>
    <s v="56"/>
    <s v="564"/>
    <x v="1482"/>
    <s v="Instructional Media : Cap Equip - $200 to $4,999"/>
    <n v="500"/>
  </r>
  <r>
    <x v="0"/>
    <s v="11-365-00-493034-51311"/>
    <x v="0"/>
    <n v="365"/>
    <n v="0"/>
    <x v="95"/>
    <n v="51311"/>
    <x v="1"/>
    <s v="51"/>
    <s v="513"/>
    <x v="1483"/>
    <s v="Learning Skills Center : Academic Teaching PT"/>
    <n v="3000"/>
  </r>
  <r>
    <x v="0"/>
    <s v="11-365-00-493034-52350"/>
    <x v="0"/>
    <n v="365"/>
    <n v="0"/>
    <x v="95"/>
    <n v="52350"/>
    <x v="1"/>
    <s v="52"/>
    <s v="523"/>
    <x v="1484"/>
    <s v="Learning Skills Center : Classified Student Dist Non-IA PT"/>
    <n v="23000"/>
  </r>
  <r>
    <x v="0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0"/>
    <s v="11-365-00-493034-53110"/>
    <x v="0"/>
    <n v="365"/>
    <n v="0"/>
    <x v="95"/>
    <n v="53110"/>
    <x v="1"/>
    <s v="53"/>
    <s v="531"/>
    <x v="1486"/>
    <s v="Learning Skills Center : STRS Teaching"/>
    <n v="484.5"/>
  </r>
  <r>
    <x v="0"/>
    <s v="11-365-00-493034-53310"/>
    <x v="0"/>
    <n v="365"/>
    <n v="0"/>
    <x v="95"/>
    <n v="53310"/>
    <x v="1"/>
    <s v="53"/>
    <s v="533"/>
    <x v="1487"/>
    <s v="Learning Skills Center : OASDHI (FICA) Teaching"/>
    <n v="0"/>
  </r>
  <r>
    <x v="0"/>
    <s v="11-365-00-493034-53330"/>
    <x v="0"/>
    <n v="365"/>
    <n v="0"/>
    <x v="95"/>
    <n v="53330"/>
    <x v="1"/>
    <s v="53"/>
    <s v="533"/>
    <x v="1488"/>
    <s v="Learning Skills Center : Medicare Teaching"/>
    <n v="43.5"/>
  </r>
  <r>
    <x v="0"/>
    <s v="11-365-00-493034-53510"/>
    <x v="0"/>
    <n v="365"/>
    <n v="0"/>
    <x v="95"/>
    <n v="53510"/>
    <x v="1"/>
    <s v="53"/>
    <s v="535"/>
    <x v="1489"/>
    <s v="Learning Skills Center : SUI Teaching"/>
    <n v="1.5"/>
  </r>
  <r>
    <x v="0"/>
    <s v="11-365-00-493034-53610"/>
    <x v="0"/>
    <n v="365"/>
    <n v="0"/>
    <x v="95"/>
    <n v="53610"/>
    <x v="1"/>
    <s v="53"/>
    <s v="536"/>
    <x v="1490"/>
    <s v="Learning Skills Center : WC Teaching"/>
    <n v="56.72"/>
  </r>
  <r>
    <x v="0"/>
    <s v="11-365-00-493034-53620"/>
    <x v="0"/>
    <n v="365"/>
    <n v="0"/>
    <x v="95"/>
    <n v="53620"/>
    <x v="1"/>
    <s v="53"/>
    <s v="536"/>
    <x v="1491"/>
    <s v="Learning Skills Center : WC Nonteaching"/>
    <n v="434.88"/>
  </r>
  <r>
    <x v="0"/>
    <s v="11-365-00-493034-55630"/>
    <x v="0"/>
    <n v="365"/>
    <n v="0"/>
    <x v="95"/>
    <n v="55630"/>
    <x v="1"/>
    <s v="55"/>
    <s v="556"/>
    <x v="1492"/>
    <s v="Learning Skills Center : Printing &amp; Duplicating - Inhouse"/>
    <n v="10"/>
  </r>
  <r>
    <x v="0"/>
    <s v="11-365-00-493035-52105"/>
    <x v="0"/>
    <n v="365"/>
    <n v="0"/>
    <x v="96"/>
    <n v="52105"/>
    <x v="1"/>
    <s v="52"/>
    <s v="521"/>
    <x v="1493"/>
    <s v="Tutorial Center : Classified CSEA"/>
    <n v="67315"/>
  </r>
  <r>
    <x v="0"/>
    <s v="11-365-00-493035-52350"/>
    <x v="0"/>
    <n v="365"/>
    <n v="0"/>
    <x v="96"/>
    <n v="52350"/>
    <x v="1"/>
    <s v="52"/>
    <s v="523"/>
    <x v="1494"/>
    <s v="Tutorial Center : Classified Student Dist Non-IA PT"/>
    <n v="3800"/>
  </r>
  <r>
    <x v="0"/>
    <s v="11-365-00-493035-52360"/>
    <x v="0"/>
    <n v="365"/>
    <n v="0"/>
    <x v="96"/>
    <n v="52360"/>
    <x v="1"/>
    <s v="52"/>
    <s v="523"/>
    <x v="1495"/>
    <s v="Tutorial Center : Class Nonstu NonIA PT Prof Exp"/>
    <n v="1000"/>
  </r>
  <r>
    <x v="0"/>
    <s v="11-365-00-493035-53220"/>
    <x v="0"/>
    <n v="365"/>
    <n v="0"/>
    <x v="96"/>
    <n v="53220"/>
    <x v="1"/>
    <s v="53"/>
    <s v="532"/>
    <x v="1496"/>
    <s v="Tutorial Center : PERS Nonteaching"/>
    <n v="13934.21"/>
  </r>
  <r>
    <x v="0"/>
    <s v="11-365-00-493035-53320"/>
    <x v="0"/>
    <n v="365"/>
    <n v="0"/>
    <x v="96"/>
    <n v="53320"/>
    <x v="1"/>
    <s v="53"/>
    <s v="533"/>
    <x v="1497"/>
    <s v="Tutorial Center : OASDHI (FICA) Nonteaching"/>
    <n v="4235.53"/>
  </r>
  <r>
    <x v="0"/>
    <s v="11-365-00-493035-53340"/>
    <x v="0"/>
    <n v="365"/>
    <n v="0"/>
    <x v="96"/>
    <n v="53340"/>
    <x v="1"/>
    <s v="53"/>
    <s v="533"/>
    <x v="1498"/>
    <s v="Tutorial Center : Medicare Nonteaching"/>
    <n v="990.57"/>
  </r>
  <r>
    <x v="0"/>
    <s v="11-365-00-493035-53420"/>
    <x v="0"/>
    <n v="365"/>
    <n v="0"/>
    <x v="96"/>
    <n v="53420"/>
    <x v="1"/>
    <s v="53"/>
    <s v="534"/>
    <x v="1499"/>
    <s v="Tutorial Center : H &amp; W Nonteaching"/>
    <n v="25240.73"/>
  </r>
  <r>
    <x v="0"/>
    <s v="11-365-00-493035-53520"/>
    <x v="0"/>
    <n v="365"/>
    <n v="0"/>
    <x v="96"/>
    <n v="53520"/>
    <x v="1"/>
    <s v="53"/>
    <s v="535"/>
    <x v="1500"/>
    <s v="Tutorial Center : SUI Nonteaching"/>
    <n v="34.159999999999997"/>
  </r>
  <r>
    <x v="0"/>
    <s v="11-365-00-493035-53620"/>
    <x v="0"/>
    <n v="365"/>
    <n v="0"/>
    <x v="96"/>
    <n v="53620"/>
    <x v="1"/>
    <s v="53"/>
    <s v="536"/>
    <x v="1501"/>
    <s v="Tutorial Center : WC Nonteaching"/>
    <n v="1363.55"/>
  </r>
  <r>
    <x v="0"/>
    <s v="11-365-00-493035-54300"/>
    <x v="0"/>
    <n v="365"/>
    <n v="0"/>
    <x v="96"/>
    <n v="54300"/>
    <x v="1"/>
    <s v="54"/>
    <s v="543"/>
    <x v="1502"/>
    <s v="Tutorial Center : Supplies &amp; Materials"/>
    <n v="2500"/>
  </r>
  <r>
    <x v="0"/>
    <s v="11-365-00-493035-55300"/>
    <x v="0"/>
    <n v="365"/>
    <n v="0"/>
    <x v="96"/>
    <n v="55300"/>
    <x v="1"/>
    <s v="55"/>
    <s v="553"/>
    <x v="1503"/>
    <s v="Tutorial Center : Memberships"/>
    <n v="55"/>
  </r>
  <r>
    <x v="0"/>
    <s v="11-370-00-708300-52105"/>
    <x v="0"/>
    <n v="370"/>
    <n v="0"/>
    <x v="97"/>
    <n v="52105"/>
    <x v="1"/>
    <s v="52"/>
    <s v="521"/>
    <x v="1504"/>
    <s v="Dept of Social &amp; Employ Svs : Classified CSEA"/>
    <n v="9529.2000000000007"/>
  </r>
  <r>
    <x v="0"/>
    <s v="11-370-00-708300-52130"/>
    <x v="0"/>
    <n v="370"/>
    <n v="0"/>
    <x v="97"/>
    <n v="52130"/>
    <x v="1"/>
    <s v="52"/>
    <s v="521"/>
    <x v="1505"/>
    <s v="Dept of Social &amp; Employ Svs : Classified Management"/>
    <n v="18532.310000000001"/>
  </r>
  <r>
    <x v="0"/>
    <s v="11-370-00-708300-52300"/>
    <x v="0"/>
    <n v="370"/>
    <n v="0"/>
    <x v="97"/>
    <n v="52300"/>
    <x v="1"/>
    <s v="52"/>
    <s v="523"/>
    <x v="1506"/>
    <s v="Dept of Social &amp; Employ Svs : Classified Overtime"/>
    <n v="0"/>
  </r>
  <r>
    <x v="0"/>
    <s v="11-370-00-708300-52360"/>
    <x v="0"/>
    <n v="370"/>
    <n v="0"/>
    <x v="97"/>
    <n v="52360"/>
    <x v="1"/>
    <s v="52"/>
    <s v="523"/>
    <x v="1507"/>
    <s v="Dept of Social &amp; Employ Svs : Class Nonstu NonIA PT Prof Exp"/>
    <n v="24000"/>
  </r>
  <r>
    <x v="0"/>
    <s v="11-370-00-708300-53220"/>
    <x v="0"/>
    <n v="370"/>
    <n v="0"/>
    <x v="97"/>
    <n v="53220"/>
    <x v="1"/>
    <s v="53"/>
    <s v="532"/>
    <x v="1508"/>
    <s v="Dept of Social &amp; Employ Svs : PERS Nonteaching"/>
    <n v="5808.73"/>
  </r>
  <r>
    <x v="0"/>
    <s v="11-370-00-708300-53320"/>
    <x v="0"/>
    <n v="370"/>
    <n v="0"/>
    <x v="97"/>
    <n v="53320"/>
    <x v="1"/>
    <s v="53"/>
    <s v="533"/>
    <x v="1509"/>
    <s v="Dept of Social &amp; Employ Svs : OASDHI (FICA) Nonteaching"/>
    <n v="3227.81"/>
  </r>
  <r>
    <x v="0"/>
    <s v="11-370-00-708300-53340"/>
    <x v="0"/>
    <n v="370"/>
    <n v="0"/>
    <x v="97"/>
    <n v="53340"/>
    <x v="1"/>
    <s v="53"/>
    <s v="533"/>
    <x v="1510"/>
    <s v="Dept of Social &amp; Employ Svs : Medicare Nonteaching"/>
    <n v="754.89"/>
  </r>
  <r>
    <x v="0"/>
    <s v="11-370-00-708300-53420"/>
    <x v="0"/>
    <n v="370"/>
    <n v="0"/>
    <x v="97"/>
    <n v="53420"/>
    <x v="1"/>
    <s v="53"/>
    <s v="534"/>
    <x v="1511"/>
    <s v="Dept of Social &amp; Employ Svs : H &amp; W Nonteaching"/>
    <n v="6250.17"/>
  </r>
  <r>
    <x v="0"/>
    <s v="11-370-00-708300-53520"/>
    <x v="0"/>
    <n v="370"/>
    <n v="0"/>
    <x v="97"/>
    <n v="53520"/>
    <x v="1"/>
    <s v="53"/>
    <s v="535"/>
    <x v="1512"/>
    <s v="Dept of Social &amp; Employ Svs : SUI Nonteaching"/>
    <n v="26.03"/>
  </r>
  <r>
    <x v="0"/>
    <s v="11-370-00-708300-53620"/>
    <x v="0"/>
    <n v="370"/>
    <n v="0"/>
    <x v="97"/>
    <n v="53620"/>
    <x v="1"/>
    <s v="53"/>
    <s v="536"/>
    <x v="1513"/>
    <s v="Dept of Social &amp; Employ Svs : WC Nonteaching"/>
    <n v="984.38"/>
  </r>
  <r>
    <x v="0"/>
    <s v="11-370-00-708300-54210"/>
    <x v="0"/>
    <n v="370"/>
    <n v="0"/>
    <x v="97"/>
    <n v="54210"/>
    <x v="1"/>
    <s v="54"/>
    <s v="542"/>
    <x v="1514"/>
    <s v="Dept of Social &amp; Employ Svs : Purchases - Food"/>
    <n v="0"/>
  </r>
  <r>
    <x v="0"/>
    <s v="11-370-00-708300-54300"/>
    <x v="0"/>
    <n v="370"/>
    <n v="0"/>
    <x v="97"/>
    <n v="54300"/>
    <x v="1"/>
    <s v="54"/>
    <s v="543"/>
    <x v="1515"/>
    <s v="Dept of Social &amp; Employ Svs : Supplies &amp; Materials"/>
    <n v="3000"/>
  </r>
  <r>
    <x v="0"/>
    <s v="11-370-00-708300-55100"/>
    <x v="0"/>
    <n v="370"/>
    <n v="0"/>
    <x v="97"/>
    <n v="55100"/>
    <x v="1"/>
    <s v="55"/>
    <s v="551"/>
    <x v="1516"/>
    <s v="Dept of Social &amp; Employ Svs : Personal Service Contract - 1099"/>
    <n v="2500"/>
  </r>
  <r>
    <x v="0"/>
    <s v="11-370-00-708300-55105"/>
    <x v="0"/>
    <n v="370"/>
    <n v="0"/>
    <x v="97"/>
    <n v="55105"/>
    <x v="1"/>
    <s v="55"/>
    <s v="551"/>
    <x v="1517"/>
    <s v="Dept of Social &amp; Employ Svs : Contract Services"/>
    <n v="58658"/>
  </r>
  <r>
    <x v="0"/>
    <s v="11-370-00-708300-55200"/>
    <x v="0"/>
    <n v="370"/>
    <n v="0"/>
    <x v="97"/>
    <n v="55200"/>
    <x v="1"/>
    <s v="55"/>
    <s v="552"/>
    <x v="1518"/>
    <s v="Dept of Social &amp; Employ Svs : Travel &amp; Conference"/>
    <n v="91.52"/>
  </r>
  <r>
    <x v="0"/>
    <s v="11-370-00-708300-55600"/>
    <x v="0"/>
    <n v="370"/>
    <n v="0"/>
    <x v="97"/>
    <n v="55600"/>
    <x v="1"/>
    <s v="55"/>
    <s v="556"/>
    <x v="1519"/>
    <s v="Dept of Social &amp; Employ Svs : Rents &amp; Leases"/>
    <n v="3000"/>
  </r>
  <r>
    <x v="0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00.3"/>
  </r>
  <r>
    <x v="0"/>
    <s v="11-370-00-708300-55635"/>
    <x v="0"/>
    <n v="370"/>
    <n v="0"/>
    <x v="97"/>
    <n v="55635"/>
    <x v="1"/>
    <s v="55"/>
    <s v="556"/>
    <x v="1521"/>
    <s v="Dept of Social &amp; Employ Svs : Printing Services - Vendor"/>
    <n v="3000"/>
  </r>
  <r>
    <x v="0"/>
    <s v="11-370-00-708300-55820"/>
    <x v="0"/>
    <n v="370"/>
    <n v="0"/>
    <x v="97"/>
    <n v="55820"/>
    <x v="1"/>
    <s v="55"/>
    <s v="558"/>
    <x v="1522"/>
    <s v="Dept of Social &amp; Employ Svs : US Postage"/>
    <n v="0"/>
  </r>
  <r>
    <x v="0"/>
    <s v="11-370-00-708300-57350"/>
    <x v="0"/>
    <n v="370"/>
    <n v="0"/>
    <x v="97"/>
    <n v="57350"/>
    <x v="1"/>
    <s v="57"/>
    <s v="573"/>
    <x v="1523"/>
    <s v="Dept of Social &amp; Employ Svs : Tsf Indirect Costs-Interfund"/>
    <n v="41448"/>
  </r>
  <r>
    <x v="0"/>
    <s v="11-372-00-601000-51412"/>
    <x v="0"/>
    <n v="372"/>
    <n v="0"/>
    <x v="34"/>
    <n v="51412"/>
    <x v="1"/>
    <s v="51"/>
    <s v="514"/>
    <x v="1524"/>
    <s v="Academic Administration : Acad Nonteach Special Projects"/>
    <n v="1663"/>
  </r>
  <r>
    <x v="0"/>
    <s v="11-372-00-601000-53120"/>
    <x v="0"/>
    <n v="372"/>
    <n v="0"/>
    <x v="34"/>
    <n v="53120"/>
    <x v="1"/>
    <s v="53"/>
    <s v="531"/>
    <x v="1525"/>
    <s v="Academic Administration : STRS Nonteaching"/>
    <n v="591.57000000000005"/>
  </r>
  <r>
    <x v="0"/>
    <s v="11-372-00-601000-53340"/>
    <x v="0"/>
    <n v="372"/>
    <n v="0"/>
    <x v="34"/>
    <n v="53340"/>
    <x v="1"/>
    <s v="53"/>
    <s v="533"/>
    <x v="1526"/>
    <s v="Academic Administration : Medicare Nonteaching"/>
    <n v="53.11"/>
  </r>
  <r>
    <x v="0"/>
    <s v="11-372-00-601000-53520"/>
    <x v="0"/>
    <n v="372"/>
    <n v="0"/>
    <x v="34"/>
    <n v="53520"/>
    <x v="1"/>
    <s v="53"/>
    <s v="535"/>
    <x v="1527"/>
    <s v="Academic Administration : SUI Nonteaching"/>
    <n v="1.83"/>
  </r>
  <r>
    <x v="0"/>
    <s v="11-372-00-601000-53620"/>
    <x v="0"/>
    <n v="372"/>
    <n v="0"/>
    <x v="34"/>
    <n v="53620"/>
    <x v="1"/>
    <s v="53"/>
    <s v="536"/>
    <x v="1528"/>
    <s v="Academic Administration : WC Nonteaching"/>
    <n v="69.260000000000005"/>
  </r>
  <r>
    <x v="0"/>
    <s v="11-372-00-601000-54300"/>
    <x v="0"/>
    <n v="372"/>
    <n v="0"/>
    <x v="34"/>
    <n v="54300"/>
    <x v="1"/>
    <s v="54"/>
    <s v="543"/>
    <x v="1529"/>
    <s v="Academic Administration : Supplies &amp; Materials"/>
    <n v="3150"/>
  </r>
  <r>
    <x v="0"/>
    <s v="11-372-00-601000-55200"/>
    <x v="0"/>
    <n v="372"/>
    <n v="0"/>
    <x v="34"/>
    <n v="55200"/>
    <x v="1"/>
    <s v="55"/>
    <s v="552"/>
    <x v="1530"/>
    <s v="Academic Administration : Travel &amp; Conference"/>
    <n v="2000"/>
  </r>
  <r>
    <x v="0"/>
    <s v="11-372-00-601000-55821"/>
    <x v="0"/>
    <n v="372"/>
    <n v="0"/>
    <x v="34"/>
    <n v="55821"/>
    <x v="1"/>
    <s v="55"/>
    <s v="558"/>
    <x v="1531"/>
    <s v="Academic Administration : Commercial Parcel Service"/>
    <n v="1000"/>
  </r>
  <r>
    <x v="0"/>
    <s v="11-372-00-601000-56400"/>
    <x v="0"/>
    <n v="372"/>
    <n v="0"/>
    <x v="34"/>
    <n v="56400"/>
    <x v="1"/>
    <s v="56"/>
    <s v="564"/>
    <x v="1532"/>
    <s v="Academic Administration : Cap Equip - $200 to $4,999"/>
    <n v="350"/>
  </r>
  <r>
    <x v="0"/>
    <s v="11-373-00-601000-51210"/>
    <x v="0"/>
    <n v="373"/>
    <n v="0"/>
    <x v="34"/>
    <n v="51210"/>
    <x v="1"/>
    <s v="51"/>
    <s v="512"/>
    <x v="1533"/>
    <s v="Academic Administration : Academic Nonteaching Management"/>
    <n v="19300.400000000001"/>
  </r>
  <r>
    <x v="0"/>
    <s v="11-373-00-601000-52105"/>
    <x v="0"/>
    <n v="373"/>
    <n v="0"/>
    <x v="34"/>
    <n v="52105"/>
    <x v="1"/>
    <s v="52"/>
    <s v="521"/>
    <x v="1534"/>
    <s v="Academic Administration : Classified CSEA"/>
    <n v="57311.25"/>
  </r>
  <r>
    <x v="0"/>
    <s v="11-373-00-601000-53120"/>
    <x v="0"/>
    <n v="373"/>
    <n v="0"/>
    <x v="34"/>
    <n v="53120"/>
    <x v="1"/>
    <s v="53"/>
    <s v="531"/>
    <x v="1535"/>
    <s v="Academic Administration : STRS Nonteaching"/>
    <n v="3117.01"/>
  </r>
  <r>
    <x v="0"/>
    <s v="11-373-00-601000-53220"/>
    <x v="0"/>
    <n v="373"/>
    <n v="0"/>
    <x v="34"/>
    <n v="53220"/>
    <x v="1"/>
    <s v="53"/>
    <s v="532"/>
    <x v="1536"/>
    <s v="Academic Administration : PERS Nonteaching"/>
    <n v="11863.43"/>
  </r>
  <r>
    <x v="0"/>
    <s v="11-373-00-601000-53320"/>
    <x v="0"/>
    <n v="373"/>
    <n v="0"/>
    <x v="34"/>
    <n v="53320"/>
    <x v="1"/>
    <s v="53"/>
    <s v="533"/>
    <x v="1537"/>
    <s v="Academic Administration : OASDHI (FICA) Nonteaching"/>
    <n v="3553.3"/>
  </r>
  <r>
    <x v="0"/>
    <s v="11-373-00-601000-53340"/>
    <x v="0"/>
    <n v="373"/>
    <n v="0"/>
    <x v="34"/>
    <n v="53340"/>
    <x v="1"/>
    <s v="53"/>
    <s v="533"/>
    <x v="1538"/>
    <s v="Academic Administration : Medicare Nonteaching"/>
    <n v="1110.8800000000001"/>
  </r>
  <r>
    <x v="0"/>
    <s v="11-373-00-601000-53420"/>
    <x v="0"/>
    <n v="373"/>
    <n v="0"/>
    <x v="34"/>
    <n v="53420"/>
    <x v="1"/>
    <s v="53"/>
    <s v="534"/>
    <x v="1539"/>
    <s v="Academic Administration : H &amp; W Nonteaching"/>
    <n v="12175.19"/>
  </r>
  <r>
    <x v="0"/>
    <s v="11-373-00-601000-53520"/>
    <x v="0"/>
    <n v="373"/>
    <n v="0"/>
    <x v="34"/>
    <n v="53520"/>
    <x v="1"/>
    <s v="53"/>
    <s v="535"/>
    <x v="1540"/>
    <s v="Academic Administration : SUI Nonteaching"/>
    <n v="38.299999999999997"/>
  </r>
  <r>
    <x v="0"/>
    <s v="11-373-00-601000-53620"/>
    <x v="0"/>
    <n v="373"/>
    <n v="0"/>
    <x v="34"/>
    <n v="53620"/>
    <x v="1"/>
    <s v="53"/>
    <s v="536"/>
    <x v="1541"/>
    <s v="Academic Administration : WC Nonteaching"/>
    <n v="1448.57"/>
  </r>
  <r>
    <x v="0"/>
    <s v="11-373-00-601000-53920"/>
    <x v="0"/>
    <n v="373"/>
    <n v="0"/>
    <x v="34"/>
    <n v="53920"/>
    <x v="1"/>
    <s v="53"/>
    <s v="539"/>
    <x v="1542"/>
    <s v="Academic Administration : Other Benefit-Non Teaching"/>
    <n v="2160"/>
  </r>
  <r>
    <x v="0"/>
    <s v="11-375-00-085000-51311"/>
    <x v="0"/>
    <n v="375"/>
    <n v="0"/>
    <x v="98"/>
    <n v="51311"/>
    <x v="1"/>
    <s v="51"/>
    <s v="513"/>
    <x v="1543"/>
    <s v="American Sign Language : Academic Teaching PT"/>
    <n v="33050"/>
  </r>
  <r>
    <x v="0"/>
    <s v="11-375-00-085000-51412"/>
    <x v="0"/>
    <n v="375"/>
    <n v="0"/>
    <x v="98"/>
    <n v="51412"/>
    <x v="1"/>
    <s v="51"/>
    <s v="514"/>
    <x v="1544"/>
    <s v="American Sign Language : Acad Nonteach Special Projects"/>
    <n v="0"/>
  </r>
  <r>
    <x v="0"/>
    <s v="11-375-00-085000-53110"/>
    <x v="0"/>
    <n v="375"/>
    <n v="0"/>
    <x v="98"/>
    <n v="53110"/>
    <x v="1"/>
    <s v="53"/>
    <s v="531"/>
    <x v="1545"/>
    <s v="American Sign Language : STRS Teaching"/>
    <n v="5337.58"/>
  </r>
  <r>
    <x v="0"/>
    <s v="11-375-00-085000-53120"/>
    <x v="0"/>
    <n v="375"/>
    <n v="0"/>
    <x v="98"/>
    <n v="53120"/>
    <x v="1"/>
    <s v="53"/>
    <s v="531"/>
    <x v="1546"/>
    <s v="American Sign Language : STRS Nonteaching"/>
    <n v="0"/>
  </r>
  <r>
    <x v="0"/>
    <s v="11-375-00-085000-53330"/>
    <x v="0"/>
    <n v="375"/>
    <n v="0"/>
    <x v="98"/>
    <n v="53330"/>
    <x v="1"/>
    <s v="53"/>
    <s v="533"/>
    <x v="1547"/>
    <s v="American Sign Language : Medicare Teaching"/>
    <n v="479.23"/>
  </r>
  <r>
    <x v="0"/>
    <s v="11-375-00-085000-53340"/>
    <x v="0"/>
    <n v="375"/>
    <n v="0"/>
    <x v="98"/>
    <n v="53340"/>
    <x v="1"/>
    <s v="53"/>
    <s v="533"/>
    <x v="1548"/>
    <s v="American Sign Language : Medicare Nonteaching"/>
    <n v="0"/>
  </r>
  <r>
    <x v="0"/>
    <s v="11-375-00-085000-53510"/>
    <x v="0"/>
    <n v="375"/>
    <n v="0"/>
    <x v="98"/>
    <n v="53510"/>
    <x v="1"/>
    <s v="53"/>
    <s v="535"/>
    <x v="1549"/>
    <s v="American Sign Language : SUI Teaching"/>
    <n v="16.53"/>
  </r>
  <r>
    <x v="0"/>
    <s v="11-375-00-085000-53520"/>
    <x v="0"/>
    <n v="375"/>
    <n v="0"/>
    <x v="98"/>
    <n v="53520"/>
    <x v="1"/>
    <s v="53"/>
    <s v="535"/>
    <x v="1550"/>
    <s v="American Sign Language : SUI Nonteaching"/>
    <n v="0"/>
  </r>
  <r>
    <x v="0"/>
    <s v="11-375-00-085000-53610"/>
    <x v="0"/>
    <n v="375"/>
    <n v="0"/>
    <x v="98"/>
    <n v="53610"/>
    <x v="1"/>
    <s v="53"/>
    <s v="536"/>
    <x v="1551"/>
    <s v="American Sign Language : WC Teaching"/>
    <n v="624.91"/>
  </r>
  <r>
    <x v="0"/>
    <s v="11-375-00-085000-53620"/>
    <x v="0"/>
    <n v="375"/>
    <n v="0"/>
    <x v="98"/>
    <n v="53620"/>
    <x v="1"/>
    <s v="53"/>
    <s v="536"/>
    <x v="1552"/>
    <s v="American Sign Language : WC Nonteaching"/>
    <n v="0"/>
  </r>
  <r>
    <x v="0"/>
    <s v="11-375-00-085000-55105"/>
    <x v="0"/>
    <n v="375"/>
    <n v="0"/>
    <x v="98"/>
    <n v="55105"/>
    <x v="1"/>
    <s v="55"/>
    <s v="551"/>
    <x v="1553"/>
    <s v="American Sign Language : Contract Services"/>
    <n v="1800"/>
  </r>
  <r>
    <x v="0"/>
    <s v="11-375-00-110500-51100"/>
    <x v="0"/>
    <n v="375"/>
    <n v="0"/>
    <x v="17"/>
    <n v="51100"/>
    <x v="1"/>
    <s v="51"/>
    <s v="511"/>
    <x v="1554"/>
    <s v="Spanish : Academic Teaching Full-time"/>
    <n v="173927"/>
  </r>
  <r>
    <x v="0"/>
    <s v="11-375-00-110500-51310"/>
    <x v="0"/>
    <n v="375"/>
    <n v="0"/>
    <x v="17"/>
    <n v="51310"/>
    <x v="1"/>
    <s v="51"/>
    <s v="513"/>
    <x v="1555"/>
    <s v="Spanish : Academic Teaching NIC"/>
    <n v="6000"/>
  </r>
  <r>
    <x v="0"/>
    <s v="11-375-00-110500-51311"/>
    <x v="0"/>
    <n v="375"/>
    <n v="0"/>
    <x v="17"/>
    <n v="51311"/>
    <x v="1"/>
    <s v="51"/>
    <s v="513"/>
    <x v="1556"/>
    <s v="Spanish : Academic Teaching PT"/>
    <n v="142912"/>
  </r>
  <r>
    <x v="0"/>
    <s v="11-375-00-110500-53110"/>
    <x v="0"/>
    <n v="375"/>
    <n v="0"/>
    <x v="17"/>
    <n v="53110"/>
    <x v="1"/>
    <s v="53"/>
    <s v="531"/>
    <x v="1557"/>
    <s v="Spanish : STRS Teaching"/>
    <n v="52138.5"/>
  </r>
  <r>
    <x v="0"/>
    <s v="11-375-00-110500-53310"/>
    <x v="0"/>
    <n v="375"/>
    <n v="0"/>
    <x v="17"/>
    <n v="53310"/>
    <x v="1"/>
    <s v="53"/>
    <s v="533"/>
    <x v="1558"/>
    <s v="Spanish : OASDHI (FICA) Teaching"/>
    <n v="0"/>
  </r>
  <r>
    <x v="0"/>
    <s v="11-375-00-110500-53330"/>
    <x v="0"/>
    <n v="375"/>
    <n v="0"/>
    <x v="17"/>
    <n v="53330"/>
    <x v="1"/>
    <s v="53"/>
    <s v="533"/>
    <x v="1559"/>
    <s v="Spanish : Medicare Teaching"/>
    <n v="4681.16"/>
  </r>
  <r>
    <x v="0"/>
    <s v="11-375-00-110500-53410"/>
    <x v="0"/>
    <n v="375"/>
    <n v="0"/>
    <x v="17"/>
    <n v="53410"/>
    <x v="1"/>
    <s v="53"/>
    <s v="534"/>
    <x v="1560"/>
    <s v="Spanish : H &amp; W Teaching"/>
    <n v="46335.74"/>
  </r>
  <r>
    <x v="0"/>
    <s v="11-375-00-110500-53510"/>
    <x v="0"/>
    <n v="375"/>
    <n v="0"/>
    <x v="17"/>
    <n v="53510"/>
    <x v="1"/>
    <s v="53"/>
    <s v="535"/>
    <x v="1561"/>
    <s v="Spanish : SUI Teaching"/>
    <n v="161.41999999999999"/>
  </r>
  <r>
    <x v="0"/>
    <s v="11-375-00-110500-53610"/>
    <x v="0"/>
    <n v="375"/>
    <n v="0"/>
    <x v="17"/>
    <n v="53610"/>
    <x v="1"/>
    <s v="53"/>
    <s v="536"/>
    <x v="1562"/>
    <s v="Spanish : WC Teaching"/>
    <n v="6104.25"/>
  </r>
  <r>
    <x v="0"/>
    <s v="11-375-00-110500-54300"/>
    <x v="0"/>
    <n v="375"/>
    <n v="0"/>
    <x v="17"/>
    <n v="54300"/>
    <x v="1"/>
    <s v="54"/>
    <s v="543"/>
    <x v="1563"/>
    <s v="Spanish : Supplies &amp; Materials"/>
    <n v="303"/>
  </r>
  <r>
    <x v="0"/>
    <s v="11-375-00-110500-55630"/>
    <x v="0"/>
    <n v="375"/>
    <n v="0"/>
    <x v="17"/>
    <n v="55630"/>
    <x v="1"/>
    <s v="55"/>
    <s v="556"/>
    <x v="1564"/>
    <s v="Spanish : Printing &amp; Duplicating - Inhouse"/>
    <n v="300"/>
  </r>
  <r>
    <x v="0"/>
    <s v="11-375-00-150100-51100"/>
    <x v="0"/>
    <n v="375"/>
    <n v="0"/>
    <x v="19"/>
    <n v="51100"/>
    <x v="1"/>
    <s v="51"/>
    <s v="511"/>
    <x v="1565"/>
    <s v="English : Academic Teaching Full-time"/>
    <n v="1293861.2"/>
  </r>
  <r>
    <x v="0"/>
    <s v="11-375-00-150100-51310"/>
    <x v="0"/>
    <n v="375"/>
    <n v="0"/>
    <x v="19"/>
    <n v="51310"/>
    <x v="1"/>
    <s v="51"/>
    <s v="513"/>
    <x v="1566"/>
    <s v="English : Academic Teaching NIC"/>
    <n v="71000"/>
  </r>
  <r>
    <x v="0"/>
    <s v="11-375-00-150100-51311"/>
    <x v="0"/>
    <n v="375"/>
    <n v="0"/>
    <x v="19"/>
    <n v="51311"/>
    <x v="1"/>
    <s v="51"/>
    <s v="513"/>
    <x v="1567"/>
    <s v="English : Academic Teaching PT"/>
    <n v="300000"/>
  </r>
  <r>
    <x v="0"/>
    <s v="11-375-00-150100-53110"/>
    <x v="0"/>
    <n v="375"/>
    <n v="0"/>
    <x v="19"/>
    <n v="53110"/>
    <x v="1"/>
    <s v="53"/>
    <s v="531"/>
    <x v="1568"/>
    <s v="English : STRS Teaching"/>
    <n v="268875.06"/>
  </r>
  <r>
    <x v="0"/>
    <s v="11-375-00-150100-53310"/>
    <x v="0"/>
    <n v="375"/>
    <n v="0"/>
    <x v="19"/>
    <n v="53310"/>
    <x v="1"/>
    <s v="53"/>
    <s v="533"/>
    <x v="1569"/>
    <s v="English : OASDHI (FICA) Teaching"/>
    <n v="0"/>
  </r>
  <r>
    <x v="0"/>
    <s v="11-375-00-150100-53330"/>
    <x v="0"/>
    <n v="375"/>
    <n v="0"/>
    <x v="19"/>
    <n v="53330"/>
    <x v="1"/>
    <s v="53"/>
    <s v="533"/>
    <x v="1570"/>
    <s v="English : Medicare Teaching"/>
    <n v="24140.47"/>
  </r>
  <r>
    <x v="0"/>
    <s v="11-375-00-150100-53410"/>
    <x v="0"/>
    <n v="375"/>
    <n v="0"/>
    <x v="19"/>
    <n v="53410"/>
    <x v="1"/>
    <s v="53"/>
    <s v="534"/>
    <x v="1571"/>
    <s v="English : H &amp; W Teaching"/>
    <n v="325963.31"/>
  </r>
  <r>
    <x v="0"/>
    <s v="11-375-00-150100-53510"/>
    <x v="0"/>
    <n v="375"/>
    <n v="0"/>
    <x v="19"/>
    <n v="53510"/>
    <x v="1"/>
    <s v="53"/>
    <s v="535"/>
    <x v="1572"/>
    <s v="English : SUI Teaching"/>
    <n v="832.45"/>
  </r>
  <r>
    <x v="0"/>
    <s v="11-375-00-150100-53610"/>
    <x v="0"/>
    <n v="375"/>
    <n v="0"/>
    <x v="19"/>
    <n v="53610"/>
    <x v="1"/>
    <s v="53"/>
    <s v="536"/>
    <x v="1573"/>
    <s v="English : WC Teaching"/>
    <n v="31479.22"/>
  </r>
  <r>
    <x v="0"/>
    <s v="11-375-00-150100-53910"/>
    <x v="0"/>
    <n v="375"/>
    <n v="0"/>
    <x v="19"/>
    <n v="53910"/>
    <x v="1"/>
    <s v="53"/>
    <s v="539"/>
    <x v="1574"/>
    <s v="English : Other Benefit-Teaching"/>
    <n v="4800"/>
  </r>
  <r>
    <x v="0"/>
    <s v="11-375-00-150100-54300"/>
    <x v="0"/>
    <n v="375"/>
    <n v="0"/>
    <x v="19"/>
    <n v="54300"/>
    <x v="1"/>
    <s v="54"/>
    <s v="543"/>
    <x v="1575"/>
    <s v="English : Supplies &amp; Materials"/>
    <n v="910"/>
  </r>
  <r>
    <x v="0"/>
    <s v="11-375-00-150100-55300"/>
    <x v="0"/>
    <n v="375"/>
    <n v="0"/>
    <x v="19"/>
    <n v="55300"/>
    <x v="1"/>
    <s v="55"/>
    <s v="553"/>
    <x v="1576"/>
    <s v="English : Memberships"/>
    <n v="100"/>
  </r>
  <r>
    <x v="0"/>
    <s v="11-375-00-150100-55630"/>
    <x v="0"/>
    <n v="375"/>
    <n v="0"/>
    <x v="19"/>
    <n v="55630"/>
    <x v="1"/>
    <s v="55"/>
    <s v="556"/>
    <x v="1577"/>
    <s v="English : Printing &amp; Duplicating - Inhouse"/>
    <n v="1100"/>
  </r>
  <r>
    <x v="0"/>
    <s v="11-375-00-150600-51100"/>
    <x v="0"/>
    <n v="375"/>
    <n v="0"/>
    <x v="20"/>
    <n v="51100"/>
    <x v="1"/>
    <s v="51"/>
    <s v="511"/>
    <x v="1578"/>
    <s v="Speech : Academic Teaching Full-time"/>
    <n v="173232.8"/>
  </r>
  <r>
    <x v="0"/>
    <s v="11-375-00-150600-51310"/>
    <x v="0"/>
    <n v="375"/>
    <n v="0"/>
    <x v="20"/>
    <n v="51310"/>
    <x v="1"/>
    <s v="51"/>
    <s v="513"/>
    <x v="1579"/>
    <s v="Speech : Academic Teaching NIC"/>
    <n v="35000"/>
  </r>
  <r>
    <x v="0"/>
    <s v="11-375-00-150600-51311"/>
    <x v="0"/>
    <n v="375"/>
    <n v="0"/>
    <x v="20"/>
    <n v="51311"/>
    <x v="1"/>
    <s v="51"/>
    <s v="513"/>
    <x v="1580"/>
    <s v="Speech : Academic Teaching PT"/>
    <n v="127000"/>
  </r>
  <r>
    <x v="0"/>
    <s v="11-375-00-150600-53110"/>
    <x v="0"/>
    <n v="375"/>
    <n v="0"/>
    <x v="20"/>
    <n v="53110"/>
    <x v="1"/>
    <s v="53"/>
    <s v="531"/>
    <x v="1581"/>
    <s v="Speech : STRS Teaching"/>
    <n v="54140.1"/>
  </r>
  <r>
    <x v="0"/>
    <s v="11-375-00-150600-53310"/>
    <x v="0"/>
    <n v="375"/>
    <n v="0"/>
    <x v="20"/>
    <n v="53310"/>
    <x v="1"/>
    <s v="53"/>
    <s v="533"/>
    <x v="1582"/>
    <s v="Speech : OASDHI (FICA) Teaching"/>
    <n v="0"/>
  </r>
  <r>
    <x v="0"/>
    <s v="11-375-00-150600-53330"/>
    <x v="0"/>
    <n v="375"/>
    <n v="0"/>
    <x v="20"/>
    <n v="53330"/>
    <x v="1"/>
    <s v="53"/>
    <s v="533"/>
    <x v="1583"/>
    <s v="Speech : Medicare Teaching"/>
    <n v="4860.88"/>
  </r>
  <r>
    <x v="0"/>
    <s v="11-375-00-150600-53410"/>
    <x v="0"/>
    <n v="375"/>
    <n v="0"/>
    <x v="20"/>
    <n v="53410"/>
    <x v="1"/>
    <s v="53"/>
    <s v="534"/>
    <x v="1584"/>
    <s v="Speech : H &amp; W Teaching"/>
    <n v="51737.87"/>
  </r>
  <r>
    <x v="0"/>
    <s v="11-375-00-150600-53510"/>
    <x v="0"/>
    <n v="375"/>
    <n v="0"/>
    <x v="20"/>
    <n v="53510"/>
    <x v="1"/>
    <s v="53"/>
    <s v="535"/>
    <x v="1585"/>
    <s v="Speech : SUI Teaching"/>
    <n v="167.62"/>
  </r>
  <r>
    <x v="0"/>
    <s v="11-375-00-150600-53610"/>
    <x v="0"/>
    <n v="375"/>
    <n v="0"/>
    <x v="20"/>
    <n v="53610"/>
    <x v="1"/>
    <s v="53"/>
    <s v="536"/>
    <x v="1586"/>
    <s v="Speech : WC Teaching"/>
    <n v="6338.58"/>
  </r>
  <r>
    <x v="0"/>
    <s v="11-375-00-150600-54300"/>
    <x v="0"/>
    <n v="375"/>
    <n v="0"/>
    <x v="20"/>
    <n v="54300"/>
    <x v="1"/>
    <s v="54"/>
    <s v="543"/>
    <x v="1587"/>
    <s v="Speech : Supplies &amp; Materials"/>
    <n v="303"/>
  </r>
  <r>
    <x v="0"/>
    <s v="11-375-00-150600-55200"/>
    <x v="0"/>
    <n v="375"/>
    <n v="0"/>
    <x v="20"/>
    <n v="55200"/>
    <x v="1"/>
    <s v="55"/>
    <s v="552"/>
    <x v="1588"/>
    <s v="Speech : Travel &amp; Conference"/>
    <n v="-3000"/>
  </r>
  <r>
    <x v="0"/>
    <s v="11-375-00-150600-55630"/>
    <x v="0"/>
    <n v="375"/>
    <n v="0"/>
    <x v="20"/>
    <n v="55630"/>
    <x v="1"/>
    <s v="55"/>
    <s v="556"/>
    <x v="1589"/>
    <s v="Speech : Printing &amp; Duplicating - Inhouse"/>
    <n v="162.19999999999999"/>
  </r>
  <r>
    <x v="0"/>
    <s v="11-375-00-493080-51100"/>
    <x v="0"/>
    <n v="375"/>
    <n v="0"/>
    <x v="33"/>
    <n v="51100"/>
    <x v="1"/>
    <s v="51"/>
    <s v="511"/>
    <x v="1590"/>
    <s v="ESL : Academic Teaching Full-time"/>
    <n v="321463"/>
  </r>
  <r>
    <x v="0"/>
    <s v="11-375-00-493080-51310"/>
    <x v="0"/>
    <n v="375"/>
    <n v="0"/>
    <x v="33"/>
    <n v="51310"/>
    <x v="1"/>
    <s v="51"/>
    <s v="513"/>
    <x v="1591"/>
    <s v="ESL : Academic Teaching NIC"/>
    <n v="7600"/>
  </r>
  <r>
    <x v="0"/>
    <s v="11-375-00-493080-51311"/>
    <x v="0"/>
    <n v="375"/>
    <n v="0"/>
    <x v="33"/>
    <n v="51311"/>
    <x v="1"/>
    <s v="51"/>
    <s v="513"/>
    <x v="1592"/>
    <s v="ESL : Academic Teaching PT"/>
    <n v="175000"/>
  </r>
  <r>
    <x v="0"/>
    <s v="11-375-00-493080-53110"/>
    <x v="0"/>
    <n v="375"/>
    <n v="0"/>
    <x v="33"/>
    <n v="53110"/>
    <x v="1"/>
    <s v="53"/>
    <s v="531"/>
    <x v="1593"/>
    <s v="ESL : STRS Teaching"/>
    <n v="81406.17"/>
  </r>
  <r>
    <x v="0"/>
    <s v="11-375-00-493080-53330"/>
    <x v="0"/>
    <n v="375"/>
    <n v="0"/>
    <x v="33"/>
    <n v="53330"/>
    <x v="1"/>
    <s v="53"/>
    <s v="533"/>
    <x v="1594"/>
    <s v="ESL : Medicare Teaching"/>
    <n v="7308.91"/>
  </r>
  <r>
    <x v="0"/>
    <s v="11-375-00-493080-53410"/>
    <x v="0"/>
    <n v="375"/>
    <n v="0"/>
    <x v="33"/>
    <n v="53410"/>
    <x v="1"/>
    <s v="53"/>
    <s v="534"/>
    <x v="1595"/>
    <s v="ESL : H &amp; W Teaching"/>
    <n v="39642.93"/>
  </r>
  <r>
    <x v="0"/>
    <s v="11-375-00-493080-53510"/>
    <x v="0"/>
    <n v="375"/>
    <n v="0"/>
    <x v="33"/>
    <n v="53510"/>
    <x v="1"/>
    <s v="53"/>
    <s v="535"/>
    <x v="1596"/>
    <s v="ESL : SUI Teaching"/>
    <n v="252.03"/>
  </r>
  <r>
    <x v="0"/>
    <s v="11-375-00-493080-53610"/>
    <x v="0"/>
    <n v="375"/>
    <n v="0"/>
    <x v="33"/>
    <n v="53610"/>
    <x v="1"/>
    <s v="53"/>
    <s v="536"/>
    <x v="1597"/>
    <s v="ESL : WC Teaching"/>
    <n v="9530.83"/>
  </r>
  <r>
    <x v="0"/>
    <s v="11-375-00-493080-54300"/>
    <x v="0"/>
    <n v="375"/>
    <n v="0"/>
    <x v="33"/>
    <n v="54300"/>
    <x v="1"/>
    <s v="54"/>
    <s v="543"/>
    <x v="1598"/>
    <s v="ESL : Supplies &amp; Materials"/>
    <n v="600"/>
  </r>
  <r>
    <x v="0"/>
    <s v="11-375-00-493080-55630"/>
    <x v="0"/>
    <n v="375"/>
    <n v="0"/>
    <x v="33"/>
    <n v="55630"/>
    <x v="1"/>
    <s v="55"/>
    <s v="556"/>
    <x v="1599"/>
    <s v="ESL : Printing &amp; Duplicating - Inhouse"/>
    <n v="220"/>
  </r>
  <r>
    <x v="0"/>
    <s v="11-395-00-635050-51412"/>
    <x v="0"/>
    <n v="395"/>
    <n v="0"/>
    <x v="99"/>
    <n v="51412"/>
    <x v="1"/>
    <s v="51"/>
    <s v="514"/>
    <x v="1600"/>
    <s v="ACE Program : Acad Nonteach Special Projects"/>
    <n v="2000"/>
  </r>
  <r>
    <x v="0"/>
    <s v="11-395-00-635050-52105"/>
    <x v="0"/>
    <n v="395"/>
    <n v="0"/>
    <x v="99"/>
    <n v="52105"/>
    <x v="1"/>
    <s v="52"/>
    <s v="521"/>
    <x v="1601"/>
    <s v="ACE Program : Classified CSEA"/>
    <n v="35210.5"/>
  </r>
  <r>
    <x v="0"/>
    <s v="11-395-00-635050-52350"/>
    <x v="0"/>
    <n v="395"/>
    <n v="0"/>
    <x v="99"/>
    <n v="52350"/>
    <x v="1"/>
    <s v="52"/>
    <s v="523"/>
    <x v="1602"/>
    <s v="ACE Program : Classified Student Dist Non-IA PT"/>
    <n v="14000"/>
  </r>
  <r>
    <x v="0"/>
    <s v="11-395-00-635050-52360"/>
    <x v="0"/>
    <n v="395"/>
    <n v="0"/>
    <x v="99"/>
    <n v="52360"/>
    <x v="1"/>
    <s v="52"/>
    <s v="523"/>
    <x v="1603"/>
    <s v="ACE Program : Class Nonstu NonIA PT Prof Exp"/>
    <n v="0"/>
  </r>
  <r>
    <x v="0"/>
    <s v="11-395-00-635050-53120"/>
    <x v="0"/>
    <n v="395"/>
    <n v="0"/>
    <x v="99"/>
    <n v="53120"/>
    <x v="1"/>
    <s v="53"/>
    <s v="531"/>
    <x v="1604"/>
    <s v="ACE Program : STRS Nonteaching"/>
    <n v="323"/>
  </r>
  <r>
    <x v="0"/>
    <s v="11-395-00-635050-53220"/>
    <x v="0"/>
    <n v="395"/>
    <n v="0"/>
    <x v="99"/>
    <n v="53220"/>
    <x v="1"/>
    <s v="53"/>
    <s v="532"/>
    <x v="1605"/>
    <s v="ACE Program : PERS Nonteaching"/>
    <n v="7288.57"/>
  </r>
  <r>
    <x v="0"/>
    <s v="11-395-00-635050-53320"/>
    <x v="0"/>
    <n v="395"/>
    <n v="0"/>
    <x v="99"/>
    <n v="53320"/>
    <x v="1"/>
    <s v="53"/>
    <s v="533"/>
    <x v="1606"/>
    <s v="ACE Program : OASDHI (FICA) Nonteaching"/>
    <n v="2183.0500000000002"/>
  </r>
  <r>
    <x v="0"/>
    <s v="11-395-00-635050-53340"/>
    <x v="0"/>
    <n v="395"/>
    <n v="0"/>
    <x v="99"/>
    <n v="53340"/>
    <x v="1"/>
    <s v="53"/>
    <s v="533"/>
    <x v="1607"/>
    <s v="ACE Program : Medicare Nonteaching"/>
    <n v="539.54999999999995"/>
  </r>
  <r>
    <x v="0"/>
    <s v="11-395-00-635050-53420"/>
    <x v="0"/>
    <n v="395"/>
    <n v="0"/>
    <x v="99"/>
    <n v="53420"/>
    <x v="1"/>
    <s v="53"/>
    <s v="534"/>
    <x v="1608"/>
    <s v="ACE Program : H &amp; W Nonteaching"/>
    <n v="16560.72"/>
  </r>
  <r>
    <x v="0"/>
    <s v="11-395-00-635050-53520"/>
    <x v="0"/>
    <n v="395"/>
    <n v="0"/>
    <x v="99"/>
    <n v="53520"/>
    <x v="1"/>
    <s v="53"/>
    <s v="535"/>
    <x v="1609"/>
    <s v="ACE Program : SUI Nonteaching"/>
    <n v="18.61"/>
  </r>
  <r>
    <x v="0"/>
    <s v="11-395-00-635050-53620"/>
    <x v="0"/>
    <n v="395"/>
    <n v="0"/>
    <x v="99"/>
    <n v="53620"/>
    <x v="1"/>
    <s v="53"/>
    <s v="536"/>
    <x v="1610"/>
    <s v="ACE Program : WC Nonteaching"/>
    <n v="968.29"/>
  </r>
  <r>
    <x v="0"/>
    <s v="11-395-00-635050-54210"/>
    <x v="0"/>
    <n v="395"/>
    <n v="0"/>
    <x v="99"/>
    <n v="54210"/>
    <x v="1"/>
    <s v="54"/>
    <s v="542"/>
    <x v="1611"/>
    <s v="ACE Program : Purchases - Food"/>
    <n v="0"/>
  </r>
  <r>
    <x v="0"/>
    <s v="11-395-00-635050-54300"/>
    <x v="0"/>
    <n v="395"/>
    <n v="0"/>
    <x v="99"/>
    <n v="54300"/>
    <x v="1"/>
    <s v="54"/>
    <s v="543"/>
    <x v="1612"/>
    <s v="ACE Program : Supplies &amp; Materials"/>
    <n v="3000"/>
  </r>
  <r>
    <x v="0"/>
    <s v="11-395-00-635050-55105"/>
    <x v="0"/>
    <n v="395"/>
    <n v="0"/>
    <x v="99"/>
    <n v="55105"/>
    <x v="1"/>
    <s v="55"/>
    <s v="551"/>
    <x v="1613"/>
    <s v="ACE Program : Contract Services"/>
    <n v="450"/>
  </r>
  <r>
    <x v="0"/>
    <s v="11-395-00-635050-55125"/>
    <x v="0"/>
    <n v="395"/>
    <n v="0"/>
    <x v="99"/>
    <n v="55125"/>
    <x v="1"/>
    <s v="55"/>
    <s v="551"/>
    <x v="1614"/>
    <s v="ACE Program : Training &amp; Seminars"/>
    <n v="350"/>
  </r>
  <r>
    <x v="0"/>
    <s v="11-395-00-635050-55200"/>
    <x v="0"/>
    <n v="395"/>
    <n v="0"/>
    <x v="99"/>
    <n v="55200"/>
    <x v="1"/>
    <s v="55"/>
    <s v="552"/>
    <x v="1615"/>
    <s v="ACE Program : Travel &amp; Conference"/>
    <n v="100"/>
  </r>
  <r>
    <x v="0"/>
    <s v="11-395-00-635050-55630"/>
    <x v="0"/>
    <n v="395"/>
    <n v="0"/>
    <x v="99"/>
    <n v="55630"/>
    <x v="1"/>
    <s v="55"/>
    <s v="556"/>
    <x v="1616"/>
    <s v="ACE Program : Printing &amp; Duplicating - Inhouse"/>
    <n v="62.7"/>
  </r>
  <r>
    <x v="0"/>
    <s v="11-395-00-635050-55650"/>
    <x v="0"/>
    <n v="395"/>
    <n v="0"/>
    <x v="99"/>
    <n v="55650"/>
    <x v="1"/>
    <s v="55"/>
    <s v="556"/>
    <x v="1617"/>
    <s v="ACE Program : Maintenance Agreement"/>
    <n v="160"/>
  </r>
  <r>
    <x v="0"/>
    <s v="11-395-00-635050-56400"/>
    <x v="0"/>
    <n v="395"/>
    <n v="0"/>
    <x v="99"/>
    <n v="56400"/>
    <x v="1"/>
    <s v="56"/>
    <s v="564"/>
    <x v="1618"/>
    <s v="ACE Program : Cap Equip - $200 to $4,999"/>
    <n v="2224"/>
  </r>
  <r>
    <x v="0"/>
    <s v="11-395-00-696000-52130"/>
    <x v="0"/>
    <n v="395"/>
    <n v="0"/>
    <x v="100"/>
    <n v="52130"/>
    <x v="1"/>
    <s v="52"/>
    <s v="521"/>
    <x v="1619"/>
    <s v="Student Activities : Classified Management"/>
    <n v="111022"/>
  </r>
  <r>
    <x v="0"/>
    <s v="11-395-00-696000-53220"/>
    <x v="0"/>
    <n v="395"/>
    <n v="0"/>
    <x v="100"/>
    <n v="53220"/>
    <x v="1"/>
    <s v="53"/>
    <s v="532"/>
    <x v="1620"/>
    <s v="Student Activities : PERS Nonteaching"/>
    <n v="22981.55"/>
  </r>
  <r>
    <x v="0"/>
    <s v="11-395-00-696000-53320"/>
    <x v="0"/>
    <n v="395"/>
    <n v="0"/>
    <x v="100"/>
    <n v="53320"/>
    <x v="1"/>
    <s v="53"/>
    <s v="533"/>
    <x v="1621"/>
    <s v="Student Activities : OASDHI (FICA) Nonteaching"/>
    <n v="6883.36"/>
  </r>
  <r>
    <x v="0"/>
    <s v="11-395-00-696000-53340"/>
    <x v="0"/>
    <n v="395"/>
    <n v="0"/>
    <x v="100"/>
    <n v="53340"/>
    <x v="1"/>
    <s v="53"/>
    <s v="533"/>
    <x v="1622"/>
    <s v="Student Activities : Medicare Nonteaching"/>
    <n v="1609.82"/>
  </r>
  <r>
    <x v="0"/>
    <s v="11-395-00-696000-53420"/>
    <x v="0"/>
    <n v="395"/>
    <n v="0"/>
    <x v="100"/>
    <n v="53420"/>
    <x v="1"/>
    <s v="53"/>
    <s v="534"/>
    <x v="1623"/>
    <s v="Student Activities : H &amp; W Nonteaching"/>
    <n v="23106.6"/>
  </r>
  <r>
    <x v="0"/>
    <s v="11-395-00-696000-53520"/>
    <x v="0"/>
    <n v="395"/>
    <n v="0"/>
    <x v="100"/>
    <n v="53520"/>
    <x v="1"/>
    <s v="53"/>
    <s v="535"/>
    <x v="1624"/>
    <s v="Student Activities : SUI Nonteaching"/>
    <n v="55.51"/>
  </r>
  <r>
    <x v="0"/>
    <s v="11-395-00-696000-53620"/>
    <x v="0"/>
    <n v="395"/>
    <n v="0"/>
    <x v="100"/>
    <n v="53620"/>
    <x v="1"/>
    <s v="53"/>
    <s v="536"/>
    <x v="1625"/>
    <s v="Student Activities : WC Nonteaching"/>
    <n v="2099.1999999999998"/>
  </r>
  <r>
    <x v="0"/>
    <s v="11-395-00-696000-53920"/>
    <x v="0"/>
    <n v="395"/>
    <n v="0"/>
    <x v="100"/>
    <n v="53920"/>
    <x v="1"/>
    <s v="53"/>
    <s v="539"/>
    <x v="1626"/>
    <s v="Student Activities : Other Benefit-Non Teaching"/>
    <n v="2400"/>
  </r>
  <r>
    <x v="0"/>
    <s v="11-395-00-696000-55630"/>
    <x v="0"/>
    <n v="395"/>
    <n v="0"/>
    <x v="100"/>
    <n v="55630"/>
    <x v="1"/>
    <s v="55"/>
    <s v="556"/>
    <x v="1627"/>
    <s v="Student Activities : Printing &amp; Duplicating - Inhouse"/>
    <n v="60"/>
  </r>
  <r>
    <x v="0"/>
    <s v="11-398-00-000000-48630"/>
    <x v="0"/>
    <n v="398"/>
    <n v="0"/>
    <x v="0"/>
    <n v="48630"/>
    <x v="0"/>
    <s v="48"/>
    <s v="486"/>
    <x v="1628"/>
    <s v="General Use - Nonprogram : Prop 30-EPA Funds"/>
    <n v="-8139807"/>
  </r>
  <r>
    <x v="0"/>
    <s v="11-399-00-000000-48680"/>
    <x v="0"/>
    <n v="399"/>
    <n v="0"/>
    <x v="0"/>
    <n v="48680"/>
    <x v="0"/>
    <s v="48"/>
    <s v="486"/>
    <x v="1629"/>
    <s v="General Use - Nonprogram : State Lottery"/>
    <n v="-1190593.1200000001"/>
  </r>
  <r>
    <x v="0"/>
    <s v="11-400-00-493010-51310"/>
    <x v="0"/>
    <n v="400"/>
    <n v="0"/>
    <x v="32"/>
    <n v="51310"/>
    <x v="1"/>
    <s v="51"/>
    <s v="513"/>
    <x v="1630"/>
    <s v="Counseling Instruction : Academic Teaching NIC"/>
    <n v="0"/>
  </r>
  <r>
    <x v="0"/>
    <s v="11-400-00-493010-53110"/>
    <x v="0"/>
    <n v="400"/>
    <n v="0"/>
    <x v="32"/>
    <n v="53110"/>
    <x v="1"/>
    <s v="53"/>
    <s v="531"/>
    <x v="1631"/>
    <s v="Counseling Instruction : STRS Teaching"/>
    <n v="0"/>
  </r>
  <r>
    <x v="0"/>
    <s v="11-400-00-493010-53330"/>
    <x v="0"/>
    <n v="400"/>
    <n v="0"/>
    <x v="32"/>
    <n v="53330"/>
    <x v="1"/>
    <s v="53"/>
    <s v="533"/>
    <x v="1632"/>
    <s v="Counseling Instruction : Medicare Teaching"/>
    <n v="0"/>
  </r>
  <r>
    <x v="0"/>
    <s v="11-400-00-493010-53510"/>
    <x v="0"/>
    <n v="400"/>
    <n v="0"/>
    <x v="32"/>
    <n v="53510"/>
    <x v="1"/>
    <s v="53"/>
    <s v="535"/>
    <x v="1633"/>
    <s v="Counseling Instruction : SUI Teaching"/>
    <n v="0"/>
  </r>
  <r>
    <x v="0"/>
    <s v="11-400-00-493010-53610"/>
    <x v="0"/>
    <n v="400"/>
    <n v="0"/>
    <x v="32"/>
    <n v="53610"/>
    <x v="1"/>
    <s v="53"/>
    <s v="536"/>
    <x v="1634"/>
    <s v="Counseling Instruction : WC Teaching"/>
    <n v="0"/>
  </r>
  <r>
    <x v="0"/>
    <s v="11-400-00-620020-52300"/>
    <x v="0"/>
    <n v="400"/>
    <n v="0"/>
    <x v="101"/>
    <n v="52300"/>
    <x v="1"/>
    <s v="52"/>
    <s v="523"/>
    <x v="1635"/>
    <s v="Graduation Program : Classified Overtime"/>
    <n v="3000"/>
  </r>
  <r>
    <x v="0"/>
    <s v="11-400-00-620020-53320"/>
    <x v="0"/>
    <n v="400"/>
    <n v="0"/>
    <x v="101"/>
    <n v="53320"/>
    <x v="1"/>
    <s v="53"/>
    <s v="533"/>
    <x v="1636"/>
    <s v="Graduation Program : OASDHI (FICA) Nonteaching"/>
    <n v="186"/>
  </r>
  <r>
    <x v="0"/>
    <s v="11-400-00-620020-53340"/>
    <x v="0"/>
    <n v="400"/>
    <n v="0"/>
    <x v="101"/>
    <n v="53340"/>
    <x v="1"/>
    <s v="53"/>
    <s v="533"/>
    <x v="1637"/>
    <s v="Graduation Program : Medicare Nonteaching"/>
    <n v="43.5"/>
  </r>
  <r>
    <x v="0"/>
    <s v="11-400-00-620020-53520"/>
    <x v="0"/>
    <n v="400"/>
    <n v="0"/>
    <x v="101"/>
    <n v="53520"/>
    <x v="1"/>
    <s v="53"/>
    <s v="535"/>
    <x v="1638"/>
    <s v="Graduation Program : SUI Nonteaching"/>
    <n v="1.5"/>
  </r>
  <r>
    <x v="0"/>
    <s v="11-400-00-620020-53620"/>
    <x v="0"/>
    <n v="400"/>
    <n v="0"/>
    <x v="101"/>
    <n v="53620"/>
    <x v="1"/>
    <s v="53"/>
    <s v="536"/>
    <x v="1639"/>
    <s v="Graduation Program : WC Nonteaching"/>
    <n v="56.72"/>
  </r>
  <r>
    <x v="0"/>
    <s v="11-400-00-620020-54300"/>
    <x v="0"/>
    <n v="400"/>
    <n v="0"/>
    <x v="101"/>
    <n v="54300"/>
    <x v="1"/>
    <s v="54"/>
    <s v="543"/>
    <x v="1640"/>
    <s v="Graduation Program : Supplies &amp; Materials"/>
    <n v="3000"/>
  </r>
  <r>
    <x v="0"/>
    <s v="11-400-00-620020-55100"/>
    <x v="0"/>
    <n v="400"/>
    <n v="0"/>
    <x v="101"/>
    <n v="55100"/>
    <x v="1"/>
    <s v="55"/>
    <s v="551"/>
    <x v="1641"/>
    <s v="Graduation Program : Personal Service Contract - 1099"/>
    <n v="5000"/>
  </r>
  <r>
    <x v="0"/>
    <s v="11-400-00-620020-55635"/>
    <x v="0"/>
    <n v="400"/>
    <n v="0"/>
    <x v="101"/>
    <n v="55635"/>
    <x v="1"/>
    <s v="55"/>
    <s v="556"/>
    <x v="1642"/>
    <s v="Graduation Program : Printing Services - Vendor"/>
    <n v="12000"/>
  </r>
  <r>
    <x v="0"/>
    <s v="11-400-00-631000-51200"/>
    <x v="0"/>
    <n v="400"/>
    <n v="0"/>
    <x v="36"/>
    <n v="51200"/>
    <x v="1"/>
    <s v="51"/>
    <s v="512"/>
    <x v="1643"/>
    <s v="Counseling &amp; Guidance : Academic Nonteaching Full-time"/>
    <n v="615758.4"/>
  </r>
  <r>
    <x v="0"/>
    <s v="11-400-00-631000-51210"/>
    <x v="0"/>
    <n v="400"/>
    <n v="0"/>
    <x v="36"/>
    <n v="51210"/>
    <x v="1"/>
    <s v="51"/>
    <s v="512"/>
    <x v="1644"/>
    <s v="Counseling &amp; Guidance : Academic Nonteaching Management"/>
    <n v="137207"/>
  </r>
  <r>
    <x v="0"/>
    <s v="11-400-00-631000-51310"/>
    <x v="0"/>
    <n v="400"/>
    <n v="0"/>
    <x v="36"/>
    <n v="51310"/>
    <x v="1"/>
    <s v="51"/>
    <s v="513"/>
    <x v="1645"/>
    <s v="Counseling &amp; Guidance : Academic Teaching NIC"/>
    <n v="148000"/>
  </r>
  <r>
    <x v="0"/>
    <s v="11-400-00-631000-51311"/>
    <x v="0"/>
    <n v="400"/>
    <n v="0"/>
    <x v="36"/>
    <n v="51311"/>
    <x v="1"/>
    <s v="51"/>
    <s v="513"/>
    <x v="1646"/>
    <s v="Counseling &amp; Guidance : Academic Teaching PT"/>
    <n v="58317"/>
  </r>
  <r>
    <x v="0"/>
    <s v="11-400-00-631000-51410"/>
    <x v="0"/>
    <n v="400"/>
    <n v="0"/>
    <x v="36"/>
    <n v="51410"/>
    <x v="1"/>
    <s v="51"/>
    <s v="514"/>
    <x v="1647"/>
    <s v="Counseling &amp; Guidance : Academic Nonteaching NIC"/>
    <n v="140000"/>
  </r>
  <r>
    <x v="0"/>
    <s v="11-400-00-631000-51411"/>
    <x v="0"/>
    <n v="400"/>
    <n v="0"/>
    <x v="36"/>
    <n v="51411"/>
    <x v="1"/>
    <s v="51"/>
    <s v="514"/>
    <x v="1648"/>
    <s v="Counseling &amp; Guidance : Academic Nonteaching PT"/>
    <n v="110000"/>
  </r>
  <r>
    <x v="0"/>
    <s v="11-400-00-631000-52105"/>
    <x v="0"/>
    <n v="400"/>
    <n v="0"/>
    <x v="36"/>
    <n v="52105"/>
    <x v="1"/>
    <s v="52"/>
    <s v="521"/>
    <x v="1649"/>
    <s v="Counseling &amp; Guidance : Classified CSEA"/>
    <n v="54767.1"/>
  </r>
  <r>
    <x v="0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0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0"/>
    <s v="11-400-00-631000-53110"/>
    <x v="0"/>
    <n v="400"/>
    <n v="0"/>
    <x v="36"/>
    <n v="53110"/>
    <x v="1"/>
    <s v="53"/>
    <s v="531"/>
    <x v="1652"/>
    <s v="Counseling &amp; Guidance : STRS Teaching"/>
    <n v="33320.199999999997"/>
  </r>
  <r>
    <x v="0"/>
    <s v="11-400-00-631000-53120"/>
    <x v="0"/>
    <n v="400"/>
    <n v="0"/>
    <x v="36"/>
    <n v="53120"/>
    <x v="1"/>
    <s v="53"/>
    <s v="531"/>
    <x v="1653"/>
    <s v="Counseling &amp; Guidance : STRS Nonteaching"/>
    <n v="145570.99"/>
  </r>
  <r>
    <x v="0"/>
    <s v="11-400-00-631000-53220"/>
    <x v="0"/>
    <n v="400"/>
    <n v="0"/>
    <x v="36"/>
    <n v="53220"/>
    <x v="1"/>
    <s v="53"/>
    <s v="532"/>
    <x v="1654"/>
    <s v="Counseling &amp; Guidance : PERS Nonteaching"/>
    <n v="32367.37"/>
  </r>
  <r>
    <x v="0"/>
    <s v="11-400-00-631000-53310"/>
    <x v="0"/>
    <n v="400"/>
    <n v="0"/>
    <x v="36"/>
    <n v="53310"/>
    <x v="1"/>
    <s v="53"/>
    <s v="533"/>
    <x v="1655"/>
    <s v="Counseling &amp; Guidance : OASDHI (FICA) Teaching"/>
    <n v="0"/>
  </r>
  <r>
    <x v="0"/>
    <s v="11-400-00-631000-53320"/>
    <x v="0"/>
    <n v="400"/>
    <n v="0"/>
    <x v="36"/>
    <n v="53320"/>
    <x v="1"/>
    <s v="53"/>
    <s v="533"/>
    <x v="1656"/>
    <s v="Counseling &amp; Guidance : OASDHI (FICA) Nonteaching"/>
    <n v="9694.57"/>
  </r>
  <r>
    <x v="0"/>
    <s v="11-400-00-631000-53330"/>
    <x v="0"/>
    <n v="400"/>
    <n v="0"/>
    <x v="36"/>
    <n v="53330"/>
    <x v="1"/>
    <s v="53"/>
    <s v="533"/>
    <x v="1657"/>
    <s v="Counseling &amp; Guidance : Medicare Teaching"/>
    <n v="2991.6"/>
  </r>
  <r>
    <x v="0"/>
    <s v="11-400-00-631000-53340"/>
    <x v="0"/>
    <n v="400"/>
    <n v="0"/>
    <x v="36"/>
    <n v="53340"/>
    <x v="1"/>
    <s v="53"/>
    <s v="533"/>
    <x v="1658"/>
    <s v="Counseling &amp; Guidance : Medicare Nonteaching"/>
    <n v="15337.11"/>
  </r>
  <r>
    <x v="0"/>
    <s v="11-400-00-631000-53410"/>
    <x v="0"/>
    <n v="400"/>
    <n v="0"/>
    <x v="36"/>
    <n v="53410"/>
    <x v="1"/>
    <s v="53"/>
    <s v="534"/>
    <x v="1659"/>
    <s v="Counseling &amp; Guidance : H &amp; W Teaching"/>
    <n v="0"/>
  </r>
  <r>
    <x v="0"/>
    <s v="11-400-00-631000-53420"/>
    <x v="0"/>
    <n v="400"/>
    <n v="0"/>
    <x v="36"/>
    <n v="53420"/>
    <x v="1"/>
    <s v="53"/>
    <s v="534"/>
    <x v="1660"/>
    <s v="Counseling &amp; Guidance : H &amp; W Nonteaching"/>
    <n v="149763.62"/>
  </r>
  <r>
    <x v="0"/>
    <s v="11-400-00-631000-53510"/>
    <x v="0"/>
    <n v="400"/>
    <n v="0"/>
    <x v="36"/>
    <n v="53510"/>
    <x v="1"/>
    <s v="53"/>
    <s v="535"/>
    <x v="1661"/>
    <s v="Counseling &amp; Guidance : SUI Teaching"/>
    <n v="103.16"/>
  </r>
  <r>
    <x v="0"/>
    <s v="11-400-00-631000-53520"/>
    <x v="0"/>
    <n v="400"/>
    <n v="0"/>
    <x v="36"/>
    <n v="53520"/>
    <x v="1"/>
    <s v="53"/>
    <s v="535"/>
    <x v="1662"/>
    <s v="Counseling &amp; Guidance : SUI Nonteaching"/>
    <n v="528.86"/>
  </r>
  <r>
    <x v="0"/>
    <s v="11-400-00-631000-53610"/>
    <x v="0"/>
    <n v="400"/>
    <n v="0"/>
    <x v="36"/>
    <n v="53610"/>
    <x v="1"/>
    <s v="53"/>
    <s v="536"/>
    <x v="1663"/>
    <s v="Counseling &amp; Guidance : WC Teaching"/>
    <n v="3901.04"/>
  </r>
  <r>
    <x v="0"/>
    <s v="11-400-00-631000-53620"/>
    <x v="0"/>
    <n v="400"/>
    <n v="0"/>
    <x v="36"/>
    <n v="53620"/>
    <x v="1"/>
    <s v="53"/>
    <s v="536"/>
    <x v="1664"/>
    <s v="Counseling &amp; Guidance : WC Nonteaching"/>
    <n v="19999.61"/>
  </r>
  <r>
    <x v="0"/>
    <s v="11-400-00-631000-53920"/>
    <x v="0"/>
    <n v="400"/>
    <n v="0"/>
    <x v="36"/>
    <n v="53920"/>
    <x v="1"/>
    <s v="53"/>
    <s v="539"/>
    <x v="1665"/>
    <s v="Counseling &amp; Guidance : Other Benefit-Non Teaching"/>
    <n v="7200"/>
  </r>
  <r>
    <x v="0"/>
    <s v="11-400-00-631000-54300"/>
    <x v="0"/>
    <n v="400"/>
    <n v="0"/>
    <x v="36"/>
    <n v="54300"/>
    <x v="1"/>
    <s v="54"/>
    <s v="543"/>
    <x v="1666"/>
    <s v="Counseling &amp; Guidance : Supplies &amp; Materials"/>
    <n v="40"/>
  </r>
  <r>
    <x v="0"/>
    <s v="11-400-00-631000-55630"/>
    <x v="0"/>
    <n v="400"/>
    <n v="0"/>
    <x v="36"/>
    <n v="55630"/>
    <x v="1"/>
    <s v="55"/>
    <s v="556"/>
    <x v="1667"/>
    <s v="Counseling &amp; Guidance : Printing &amp; Duplicating - Inhouse"/>
    <n v="20.65"/>
  </r>
  <r>
    <x v="0"/>
    <s v="11-400-00-631020-52360"/>
    <x v="0"/>
    <n v="400"/>
    <n v="0"/>
    <x v="102"/>
    <n v="52360"/>
    <x v="1"/>
    <s v="52"/>
    <s v="523"/>
    <x v="1668"/>
    <s v="Crisis Counseling : Class Nonstu NonIA PT Prof Exp"/>
    <n v="71000"/>
  </r>
  <r>
    <x v="0"/>
    <s v="11-400-00-631020-53120"/>
    <x v="0"/>
    <n v="400"/>
    <n v="0"/>
    <x v="102"/>
    <n v="53120"/>
    <x v="1"/>
    <s v="53"/>
    <s v="531"/>
    <x v="1669"/>
    <s v="Crisis Counseling : STRS Nonteaching"/>
    <n v="0"/>
  </r>
  <r>
    <x v="0"/>
    <s v="11-400-00-631020-53220"/>
    <x v="0"/>
    <n v="400"/>
    <n v="0"/>
    <x v="102"/>
    <n v="53220"/>
    <x v="1"/>
    <s v="53"/>
    <s v="532"/>
    <x v="1670"/>
    <s v="Crisis Counseling : PERS Nonteaching"/>
    <n v="0"/>
  </r>
  <r>
    <x v="0"/>
    <s v="11-400-00-631020-53320"/>
    <x v="0"/>
    <n v="400"/>
    <n v="0"/>
    <x v="102"/>
    <n v="53320"/>
    <x v="1"/>
    <s v="53"/>
    <s v="533"/>
    <x v="1671"/>
    <s v="Crisis Counseling : OASDHI (FICA) Nonteaching"/>
    <n v="4402"/>
  </r>
  <r>
    <x v="0"/>
    <s v="11-400-00-631020-53340"/>
    <x v="0"/>
    <n v="400"/>
    <n v="0"/>
    <x v="102"/>
    <n v="53340"/>
    <x v="1"/>
    <s v="53"/>
    <s v="533"/>
    <x v="1672"/>
    <s v="Crisis Counseling : Medicare Nonteaching"/>
    <n v="1029.5"/>
  </r>
  <r>
    <x v="0"/>
    <s v="11-400-00-631020-53420"/>
    <x v="0"/>
    <n v="400"/>
    <n v="0"/>
    <x v="102"/>
    <n v="53420"/>
    <x v="1"/>
    <s v="53"/>
    <s v="534"/>
    <x v="1673"/>
    <s v="Crisis Counseling : H &amp; W Nonteaching"/>
    <n v="0"/>
  </r>
  <r>
    <x v="0"/>
    <s v="11-400-00-631020-53520"/>
    <x v="0"/>
    <n v="400"/>
    <n v="0"/>
    <x v="102"/>
    <n v="53520"/>
    <x v="1"/>
    <s v="53"/>
    <s v="535"/>
    <x v="1674"/>
    <s v="Crisis Counseling : SUI Nonteaching"/>
    <n v="35.5"/>
  </r>
  <r>
    <x v="0"/>
    <s v="11-400-00-631020-53620"/>
    <x v="0"/>
    <n v="400"/>
    <n v="0"/>
    <x v="102"/>
    <n v="53620"/>
    <x v="1"/>
    <s v="53"/>
    <s v="536"/>
    <x v="1675"/>
    <s v="Crisis Counseling : WC Nonteaching"/>
    <n v="1342.47"/>
  </r>
  <r>
    <x v="0"/>
    <s v="11-400-00-631020-55630"/>
    <x v="0"/>
    <n v="400"/>
    <n v="0"/>
    <x v="102"/>
    <n v="55630"/>
    <x v="1"/>
    <s v="55"/>
    <s v="556"/>
    <x v="1676"/>
    <s v="Crisis Counseling : Printing &amp; Duplicating - Inhouse"/>
    <n v="200"/>
  </r>
  <r>
    <x v="0"/>
    <s v="11-400-00-633050-52310"/>
    <x v="0"/>
    <n v="400"/>
    <n v="0"/>
    <x v="103"/>
    <n v="52310"/>
    <x v="1"/>
    <s v="52"/>
    <s v="523"/>
    <x v="1677"/>
    <s v="Transfer Center : Classified Student FWS Non-IA"/>
    <n v="1000"/>
  </r>
  <r>
    <x v="0"/>
    <s v="11-400-00-633050-53620"/>
    <x v="0"/>
    <n v="400"/>
    <n v="0"/>
    <x v="103"/>
    <n v="53620"/>
    <x v="1"/>
    <s v="53"/>
    <s v="536"/>
    <x v="1678"/>
    <s v="Transfer Center : WC Nonteaching"/>
    <n v="18.91"/>
  </r>
  <r>
    <x v="0"/>
    <s v="11-400-00-634000-51200"/>
    <x v="0"/>
    <n v="400"/>
    <n v="0"/>
    <x v="104"/>
    <n v="51200"/>
    <x v="1"/>
    <s v="51"/>
    <s v="512"/>
    <x v="1679"/>
    <s v="Career Center : Academic Nonteaching Full-time"/>
    <n v="92149"/>
  </r>
  <r>
    <x v="0"/>
    <s v="11-400-00-634000-52105"/>
    <x v="0"/>
    <n v="400"/>
    <n v="0"/>
    <x v="104"/>
    <n v="52105"/>
    <x v="1"/>
    <s v="52"/>
    <s v="521"/>
    <x v="1680"/>
    <s v="Career Center : Classified CSEA"/>
    <n v="52849"/>
  </r>
  <r>
    <x v="0"/>
    <s v="11-400-00-634000-52300"/>
    <x v="0"/>
    <n v="400"/>
    <n v="0"/>
    <x v="104"/>
    <n v="52300"/>
    <x v="1"/>
    <s v="52"/>
    <s v="523"/>
    <x v="1681"/>
    <s v="Career Center : Classified Overtime"/>
    <n v="0"/>
  </r>
  <r>
    <x v="0"/>
    <s v="11-400-00-634000-53120"/>
    <x v="0"/>
    <n v="400"/>
    <n v="0"/>
    <x v="104"/>
    <n v="53120"/>
    <x v="1"/>
    <s v="53"/>
    <s v="531"/>
    <x v="1682"/>
    <s v="Career Center : STRS Nonteaching"/>
    <n v="14882.06"/>
  </r>
  <r>
    <x v="0"/>
    <s v="11-400-00-634000-53220"/>
    <x v="0"/>
    <n v="400"/>
    <n v="0"/>
    <x v="104"/>
    <n v="53220"/>
    <x v="1"/>
    <s v="53"/>
    <s v="532"/>
    <x v="1683"/>
    <s v="Career Center : PERS Nonteaching"/>
    <n v="10939.74"/>
  </r>
  <r>
    <x v="0"/>
    <s v="11-400-00-634000-53320"/>
    <x v="0"/>
    <n v="400"/>
    <n v="0"/>
    <x v="104"/>
    <n v="53320"/>
    <x v="1"/>
    <s v="53"/>
    <s v="533"/>
    <x v="1684"/>
    <s v="Career Center : OASDHI (FICA) Nonteaching"/>
    <n v="3276.64"/>
  </r>
  <r>
    <x v="0"/>
    <s v="11-400-00-634000-53340"/>
    <x v="0"/>
    <n v="400"/>
    <n v="0"/>
    <x v="104"/>
    <n v="53340"/>
    <x v="1"/>
    <s v="53"/>
    <s v="533"/>
    <x v="1685"/>
    <s v="Career Center : Medicare Nonteaching"/>
    <n v="2102.4699999999998"/>
  </r>
  <r>
    <x v="0"/>
    <s v="11-400-00-634000-53420"/>
    <x v="0"/>
    <n v="400"/>
    <n v="0"/>
    <x v="104"/>
    <n v="53420"/>
    <x v="1"/>
    <s v="53"/>
    <s v="534"/>
    <x v="1686"/>
    <s v="Career Center : H &amp; W Nonteaching"/>
    <n v="31999.74"/>
  </r>
  <r>
    <x v="0"/>
    <s v="11-400-00-634000-53520"/>
    <x v="0"/>
    <n v="400"/>
    <n v="0"/>
    <x v="104"/>
    <n v="53520"/>
    <x v="1"/>
    <s v="53"/>
    <s v="535"/>
    <x v="1687"/>
    <s v="Career Center : SUI Nonteaching"/>
    <n v="72.489999999999995"/>
  </r>
  <r>
    <x v="0"/>
    <s v="11-400-00-634000-53620"/>
    <x v="0"/>
    <n v="400"/>
    <n v="0"/>
    <x v="104"/>
    <n v="53620"/>
    <x v="1"/>
    <s v="53"/>
    <s v="536"/>
    <x v="1688"/>
    <s v="Career Center : WC Nonteaching"/>
    <n v="2741.62"/>
  </r>
  <r>
    <x v="0"/>
    <s v="11-400-00-634000-53920"/>
    <x v="0"/>
    <n v="400"/>
    <n v="0"/>
    <x v="104"/>
    <n v="53920"/>
    <x v="1"/>
    <s v="53"/>
    <s v="539"/>
    <x v="1689"/>
    <s v="Career Center : Other Benefit-Non Teaching"/>
    <n v="4800"/>
  </r>
  <r>
    <x v="0"/>
    <s v="11-400-00-634000-54300"/>
    <x v="0"/>
    <n v="400"/>
    <n v="0"/>
    <x v="104"/>
    <n v="54300"/>
    <x v="1"/>
    <s v="54"/>
    <s v="543"/>
    <x v="1690"/>
    <s v="Career Center : Supplies &amp; Materials"/>
    <n v="600"/>
  </r>
  <r>
    <x v="0"/>
    <s v="11-400-00-634000-55200"/>
    <x v="0"/>
    <n v="400"/>
    <n v="0"/>
    <x v="104"/>
    <n v="55200"/>
    <x v="1"/>
    <s v="55"/>
    <s v="552"/>
    <x v="1691"/>
    <s v="Career Center : Travel &amp; Conference"/>
    <n v="0"/>
  </r>
  <r>
    <x v="0"/>
    <s v="11-400-00-634000-55630"/>
    <x v="0"/>
    <n v="400"/>
    <n v="0"/>
    <x v="104"/>
    <n v="55630"/>
    <x v="1"/>
    <s v="55"/>
    <s v="556"/>
    <x v="1692"/>
    <s v="Career Center : Printing &amp; Duplicating - Inhouse"/>
    <n v="387.69"/>
  </r>
  <r>
    <x v="0"/>
    <s v="11-400-00-649000-55105"/>
    <x v="0"/>
    <n v="400"/>
    <n v="0"/>
    <x v="105"/>
    <n v="55105"/>
    <x v="1"/>
    <s v="55"/>
    <s v="551"/>
    <x v="1693"/>
    <s v="Miscellaneous Student Services : Contract Services"/>
    <n v="90000"/>
  </r>
  <r>
    <x v="0"/>
    <s v="11-400-00-649000-55200"/>
    <x v="0"/>
    <n v="400"/>
    <n v="0"/>
    <x v="105"/>
    <n v="55200"/>
    <x v="1"/>
    <s v="55"/>
    <s v="552"/>
    <x v="1694"/>
    <s v="Miscellaneous Student Services : Travel &amp; Conference"/>
    <n v="5000"/>
  </r>
  <r>
    <x v="0"/>
    <s v="11-400-00-665000-51210"/>
    <x v="0"/>
    <n v="400"/>
    <n v="0"/>
    <x v="106"/>
    <n v="51210"/>
    <x v="1"/>
    <s v="51"/>
    <s v="512"/>
    <x v="1695"/>
    <s v="Student Services Administration : Academic Nonteaching Management"/>
    <n v="172303"/>
  </r>
  <r>
    <x v="0"/>
    <s v="11-400-00-665000-52120"/>
    <x v="0"/>
    <n v="400"/>
    <n v="0"/>
    <x v="106"/>
    <n v="52120"/>
    <x v="1"/>
    <s v="52"/>
    <s v="521"/>
    <x v="1696"/>
    <s v="Student Services Administration : Classified Confidential"/>
    <n v="71880"/>
  </r>
  <r>
    <x v="0"/>
    <s v="11-400-00-665000-52300"/>
    <x v="0"/>
    <n v="400"/>
    <n v="0"/>
    <x v="106"/>
    <n v="52300"/>
    <x v="1"/>
    <s v="52"/>
    <s v="523"/>
    <x v="1697"/>
    <s v="Student Services Administration : Classified Overtime"/>
    <n v="0"/>
  </r>
  <r>
    <x v="0"/>
    <s v="11-400-00-665000-52360"/>
    <x v="0"/>
    <n v="400"/>
    <n v="0"/>
    <x v="106"/>
    <n v="52360"/>
    <x v="1"/>
    <s v="52"/>
    <s v="523"/>
    <x v="1698"/>
    <s v="Student Services Administration : Class Nonstu NonIA PT Prof Exp"/>
    <n v="49000"/>
  </r>
  <r>
    <x v="0"/>
    <s v="11-400-00-665000-53120"/>
    <x v="0"/>
    <n v="400"/>
    <n v="0"/>
    <x v="106"/>
    <n v="53120"/>
    <x v="1"/>
    <s v="53"/>
    <s v="531"/>
    <x v="1699"/>
    <s v="Student Services Administration : STRS Nonteaching"/>
    <n v="27826.93"/>
  </r>
  <r>
    <x v="0"/>
    <s v="11-400-00-665000-53220"/>
    <x v="0"/>
    <n v="400"/>
    <n v="0"/>
    <x v="106"/>
    <n v="53220"/>
    <x v="1"/>
    <s v="53"/>
    <s v="532"/>
    <x v="1700"/>
    <s v="Student Services Administration : PERS Nonteaching"/>
    <n v="14879.16"/>
  </r>
  <r>
    <x v="0"/>
    <s v="11-400-00-665000-53320"/>
    <x v="0"/>
    <n v="400"/>
    <n v="0"/>
    <x v="106"/>
    <n v="53320"/>
    <x v="1"/>
    <s v="53"/>
    <s v="533"/>
    <x v="1701"/>
    <s v="Student Services Administration : OASDHI (FICA) Nonteaching"/>
    <n v="7494.56"/>
  </r>
  <r>
    <x v="0"/>
    <s v="11-400-00-665000-53340"/>
    <x v="0"/>
    <n v="400"/>
    <n v="0"/>
    <x v="106"/>
    <n v="53340"/>
    <x v="1"/>
    <s v="53"/>
    <s v="533"/>
    <x v="1702"/>
    <s v="Student Services Administration : Medicare Nonteaching"/>
    <n v="4251.1499999999996"/>
  </r>
  <r>
    <x v="0"/>
    <s v="11-400-00-665000-53420"/>
    <x v="0"/>
    <n v="400"/>
    <n v="0"/>
    <x v="106"/>
    <n v="53420"/>
    <x v="1"/>
    <s v="53"/>
    <s v="534"/>
    <x v="1703"/>
    <s v="Student Services Administration : H &amp; W Nonteaching"/>
    <n v="46213.2"/>
  </r>
  <r>
    <x v="0"/>
    <s v="11-400-00-665000-53520"/>
    <x v="0"/>
    <n v="400"/>
    <n v="0"/>
    <x v="106"/>
    <n v="53520"/>
    <x v="1"/>
    <s v="53"/>
    <s v="535"/>
    <x v="1704"/>
    <s v="Student Services Administration : SUI Nonteaching"/>
    <n v="146.59"/>
  </r>
  <r>
    <x v="0"/>
    <s v="11-400-00-665000-53620"/>
    <x v="0"/>
    <n v="400"/>
    <n v="0"/>
    <x v="106"/>
    <n v="53620"/>
    <x v="1"/>
    <s v="53"/>
    <s v="536"/>
    <x v="1705"/>
    <s v="Student Services Administration : WC Nonteaching"/>
    <n v="5543.51"/>
  </r>
  <r>
    <x v="0"/>
    <s v="11-400-00-665000-53920"/>
    <x v="0"/>
    <n v="400"/>
    <n v="0"/>
    <x v="106"/>
    <n v="53920"/>
    <x v="1"/>
    <s v="53"/>
    <s v="539"/>
    <x v="1706"/>
    <s v="Student Services Administration : Other Benefit-Non Teaching"/>
    <n v="2400"/>
  </r>
  <r>
    <x v="0"/>
    <s v="11-400-00-665000-54300"/>
    <x v="0"/>
    <n v="400"/>
    <n v="0"/>
    <x v="106"/>
    <n v="54300"/>
    <x v="1"/>
    <s v="54"/>
    <s v="543"/>
    <x v="1707"/>
    <s v="Student Services Administration : Supplies &amp; Materials"/>
    <n v="1800"/>
  </r>
  <r>
    <x v="0"/>
    <s v="11-400-00-665000-55100"/>
    <x v="0"/>
    <n v="400"/>
    <n v="0"/>
    <x v="106"/>
    <n v="55100"/>
    <x v="1"/>
    <s v="55"/>
    <s v="551"/>
    <x v="1708"/>
    <s v="Student Services Administration : Personal Service Contract - 1099"/>
    <n v="0"/>
  </r>
  <r>
    <x v="0"/>
    <s v="11-400-00-665000-55105"/>
    <x v="0"/>
    <n v="400"/>
    <n v="0"/>
    <x v="106"/>
    <n v="55105"/>
    <x v="1"/>
    <s v="55"/>
    <s v="551"/>
    <x v="1709"/>
    <s v="Student Services Administration : Contract Services"/>
    <n v="200"/>
  </r>
  <r>
    <x v="0"/>
    <s v="11-400-00-665000-55200"/>
    <x v="0"/>
    <n v="400"/>
    <n v="0"/>
    <x v="106"/>
    <n v="55200"/>
    <x v="1"/>
    <s v="55"/>
    <s v="552"/>
    <x v="1710"/>
    <s v="Student Services Administration : Travel &amp; Conference"/>
    <n v="565"/>
  </r>
  <r>
    <x v="0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0"/>
    <s v="11-400-00-665000-55400"/>
    <x v="0"/>
    <n v="400"/>
    <n v="0"/>
    <x v="106"/>
    <n v="55400"/>
    <x v="1"/>
    <s v="55"/>
    <s v="554"/>
    <x v="1712"/>
    <s v="Student Services Administration : Insurance"/>
    <n v="119651"/>
  </r>
  <r>
    <x v="0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500"/>
  </r>
  <r>
    <x v="0"/>
    <s v="11-400-00-696000-52105"/>
    <x v="0"/>
    <n v="400"/>
    <n v="0"/>
    <x v="100"/>
    <n v="52105"/>
    <x v="1"/>
    <s v="52"/>
    <s v="521"/>
    <x v="1714"/>
    <s v="Student Activities : Classified CSEA"/>
    <n v="31764"/>
  </r>
  <r>
    <x v="0"/>
    <s v="11-400-00-696000-52130"/>
    <x v="0"/>
    <n v="400"/>
    <n v="0"/>
    <x v="100"/>
    <n v="52130"/>
    <x v="1"/>
    <s v="52"/>
    <s v="521"/>
    <x v="1715"/>
    <s v="Student Activities : Classified Management"/>
    <n v="111022"/>
  </r>
  <r>
    <x v="0"/>
    <s v="11-400-00-696000-52300"/>
    <x v="0"/>
    <n v="400"/>
    <n v="0"/>
    <x v="100"/>
    <n v="52300"/>
    <x v="1"/>
    <s v="52"/>
    <s v="523"/>
    <x v="1716"/>
    <s v="Student Activities : Classified Overtime"/>
    <n v="0"/>
  </r>
  <r>
    <x v="0"/>
    <s v="11-400-00-696000-53220"/>
    <x v="0"/>
    <n v="400"/>
    <n v="0"/>
    <x v="100"/>
    <n v="53220"/>
    <x v="1"/>
    <s v="53"/>
    <s v="532"/>
    <x v="1717"/>
    <s v="Student Activities : PERS Nonteaching"/>
    <n v="29556.7"/>
  </r>
  <r>
    <x v="0"/>
    <s v="11-400-00-696000-53320"/>
    <x v="0"/>
    <n v="400"/>
    <n v="0"/>
    <x v="100"/>
    <n v="53320"/>
    <x v="1"/>
    <s v="53"/>
    <s v="533"/>
    <x v="1718"/>
    <s v="Student Activities : OASDHI (FICA) Nonteaching"/>
    <n v="8852.73"/>
  </r>
  <r>
    <x v="0"/>
    <s v="11-400-00-696000-53340"/>
    <x v="0"/>
    <n v="400"/>
    <n v="0"/>
    <x v="100"/>
    <n v="53340"/>
    <x v="1"/>
    <s v="53"/>
    <s v="533"/>
    <x v="1719"/>
    <s v="Student Activities : Medicare Nonteaching"/>
    <n v="2070.4"/>
  </r>
  <r>
    <x v="0"/>
    <s v="11-400-00-696000-53420"/>
    <x v="0"/>
    <n v="400"/>
    <n v="0"/>
    <x v="100"/>
    <n v="53420"/>
    <x v="1"/>
    <s v="53"/>
    <s v="534"/>
    <x v="1720"/>
    <s v="Student Activities : H &amp; W Nonteaching"/>
    <n v="39667.32"/>
  </r>
  <r>
    <x v="0"/>
    <s v="11-400-00-696000-53520"/>
    <x v="0"/>
    <n v="400"/>
    <n v="0"/>
    <x v="100"/>
    <n v="53520"/>
    <x v="1"/>
    <s v="53"/>
    <s v="535"/>
    <x v="1721"/>
    <s v="Student Activities : SUI Nonteaching"/>
    <n v="71.39"/>
  </r>
  <r>
    <x v="0"/>
    <s v="11-400-00-696000-53620"/>
    <x v="0"/>
    <n v="400"/>
    <n v="0"/>
    <x v="100"/>
    <n v="53620"/>
    <x v="1"/>
    <s v="53"/>
    <s v="536"/>
    <x v="1722"/>
    <s v="Student Activities : WC Nonteaching"/>
    <n v="2699.79"/>
  </r>
  <r>
    <x v="0"/>
    <s v="11-400-00-696000-53920"/>
    <x v="0"/>
    <n v="400"/>
    <n v="0"/>
    <x v="100"/>
    <n v="53920"/>
    <x v="1"/>
    <s v="53"/>
    <s v="539"/>
    <x v="1723"/>
    <s v="Student Activities : Other Benefit-Non Teaching"/>
    <n v="2400"/>
  </r>
  <r>
    <x v="0"/>
    <s v="11-400-00-696000-54300"/>
    <x v="0"/>
    <n v="400"/>
    <n v="0"/>
    <x v="100"/>
    <n v="54300"/>
    <x v="1"/>
    <s v="54"/>
    <s v="543"/>
    <x v="1724"/>
    <s v="Student Activities : Supplies &amp; Materials"/>
    <n v="100"/>
  </r>
  <r>
    <x v="0"/>
    <s v="11-400-00-696000-55630"/>
    <x v="0"/>
    <n v="400"/>
    <n v="0"/>
    <x v="100"/>
    <n v="55630"/>
    <x v="1"/>
    <s v="55"/>
    <s v="556"/>
    <x v="1725"/>
    <s v="Student Activities : Printing &amp; Duplicating - Inhouse"/>
    <n v="150.72999999999999"/>
  </r>
  <r>
    <x v="0"/>
    <s v="11-400-00-703602-51200"/>
    <x v="0"/>
    <n v="400"/>
    <n v="0"/>
    <x v="107"/>
    <n v="51200"/>
    <x v="1"/>
    <s v="51"/>
    <s v="512"/>
    <x v="1726"/>
    <s v="First 5 ECE Counselors : Academic Nonteaching Full-time"/>
    <n v="44149.14"/>
  </r>
  <r>
    <x v="0"/>
    <s v="11-400-00-703602-53120"/>
    <x v="0"/>
    <n v="400"/>
    <n v="0"/>
    <x v="107"/>
    <n v="53120"/>
    <x v="1"/>
    <s v="53"/>
    <s v="531"/>
    <x v="1727"/>
    <s v="First 5 ECE Counselors : STRS Nonteaching"/>
    <n v="7130.09"/>
  </r>
  <r>
    <x v="0"/>
    <s v="11-400-00-703602-53340"/>
    <x v="0"/>
    <n v="400"/>
    <n v="0"/>
    <x v="107"/>
    <n v="53340"/>
    <x v="1"/>
    <s v="53"/>
    <s v="533"/>
    <x v="1728"/>
    <s v="First 5 ECE Counselors : Medicare Nonteaching"/>
    <n v="640.16"/>
  </r>
  <r>
    <x v="0"/>
    <s v="11-400-00-703602-53420"/>
    <x v="0"/>
    <n v="400"/>
    <n v="0"/>
    <x v="107"/>
    <n v="53420"/>
    <x v="1"/>
    <s v="53"/>
    <s v="534"/>
    <x v="1729"/>
    <s v="First 5 ECE Counselors : H &amp; W Nonteaching"/>
    <n v="13911"/>
  </r>
  <r>
    <x v="0"/>
    <s v="11-400-00-703602-53520"/>
    <x v="0"/>
    <n v="400"/>
    <n v="0"/>
    <x v="107"/>
    <n v="53520"/>
    <x v="1"/>
    <s v="53"/>
    <s v="535"/>
    <x v="1730"/>
    <s v="First 5 ECE Counselors : SUI Nonteaching"/>
    <n v="22.07"/>
  </r>
  <r>
    <x v="0"/>
    <s v="11-400-00-703602-53620"/>
    <x v="0"/>
    <n v="400"/>
    <n v="0"/>
    <x v="107"/>
    <n v="53620"/>
    <x v="1"/>
    <s v="53"/>
    <s v="536"/>
    <x v="1731"/>
    <s v="First 5 ECE Counselors : WC Nonteaching"/>
    <n v="834.77"/>
  </r>
  <r>
    <x v="0"/>
    <s v="11-400-01-130500-52105"/>
    <x v="0"/>
    <n v="400"/>
    <n v="1"/>
    <x v="18"/>
    <n v="52105"/>
    <x v="1"/>
    <s v="52"/>
    <s v="521"/>
    <x v="1732"/>
    <s v="Early Childhood Education : Classified CSEA"/>
    <n v="0"/>
  </r>
  <r>
    <x v="0"/>
    <s v="11-400-01-130500-53220"/>
    <x v="0"/>
    <n v="400"/>
    <n v="1"/>
    <x v="18"/>
    <n v="53220"/>
    <x v="1"/>
    <s v="53"/>
    <s v="532"/>
    <x v="1733"/>
    <s v="Early Childhood Education : PERS Nonteaching"/>
    <n v="0"/>
  </r>
  <r>
    <x v="0"/>
    <s v="11-400-01-130500-53320"/>
    <x v="0"/>
    <n v="400"/>
    <n v="1"/>
    <x v="18"/>
    <n v="53320"/>
    <x v="1"/>
    <s v="53"/>
    <s v="533"/>
    <x v="1734"/>
    <s v="Early Childhood Education : OASDHI (FICA) Nonteaching"/>
    <n v="0"/>
  </r>
  <r>
    <x v="0"/>
    <s v="11-400-01-130500-53340"/>
    <x v="0"/>
    <n v="400"/>
    <n v="1"/>
    <x v="18"/>
    <n v="53340"/>
    <x v="1"/>
    <s v="53"/>
    <s v="533"/>
    <x v="1735"/>
    <s v="Early Childhood Education : Medicare Nonteaching"/>
    <n v="0"/>
  </r>
  <r>
    <x v="0"/>
    <s v="11-400-01-130500-53420"/>
    <x v="0"/>
    <n v="400"/>
    <n v="1"/>
    <x v="18"/>
    <n v="53420"/>
    <x v="1"/>
    <s v="53"/>
    <s v="534"/>
    <x v="1736"/>
    <s v="Early Childhood Education : H &amp; W Nonteaching"/>
    <n v="0"/>
  </r>
  <r>
    <x v="0"/>
    <s v="11-400-01-130500-53520"/>
    <x v="0"/>
    <n v="400"/>
    <n v="1"/>
    <x v="18"/>
    <n v="53520"/>
    <x v="1"/>
    <s v="53"/>
    <s v="535"/>
    <x v="1737"/>
    <s v="Early Childhood Education : SUI Nonteaching"/>
    <n v="0"/>
  </r>
  <r>
    <x v="0"/>
    <s v="11-400-01-130500-53620"/>
    <x v="0"/>
    <n v="400"/>
    <n v="1"/>
    <x v="18"/>
    <n v="53620"/>
    <x v="1"/>
    <s v="53"/>
    <s v="536"/>
    <x v="1738"/>
    <s v="Early Childhood Education : WC Nonteaching"/>
    <n v="0"/>
  </r>
  <r>
    <x v="0"/>
    <s v="11-410-00-620000-48885"/>
    <x v="0"/>
    <n v="410"/>
    <n v="0"/>
    <x v="108"/>
    <n v="48885"/>
    <x v="0"/>
    <s v="48"/>
    <s v="488"/>
    <x v="1739"/>
    <s v="Admissions &amp; Records : Other Student Fees &amp; Charges"/>
    <n v="0"/>
  </r>
  <r>
    <x v="0"/>
    <s v="11-410-00-620000-52105"/>
    <x v="0"/>
    <n v="410"/>
    <n v="0"/>
    <x v="108"/>
    <n v="52105"/>
    <x v="1"/>
    <s v="52"/>
    <s v="521"/>
    <x v="1740"/>
    <s v="Admissions &amp; Records : Classified CSEA"/>
    <n v="421395.7"/>
  </r>
  <r>
    <x v="0"/>
    <s v="11-410-00-620000-52130"/>
    <x v="0"/>
    <n v="410"/>
    <n v="0"/>
    <x v="108"/>
    <n v="52130"/>
    <x v="1"/>
    <s v="52"/>
    <s v="521"/>
    <x v="1741"/>
    <s v="Admissions &amp; Records : Classified Management"/>
    <n v="69104.5"/>
  </r>
  <r>
    <x v="0"/>
    <s v="11-410-00-620000-52300"/>
    <x v="0"/>
    <n v="410"/>
    <n v="0"/>
    <x v="108"/>
    <n v="52300"/>
    <x v="1"/>
    <s v="52"/>
    <s v="523"/>
    <x v="1742"/>
    <s v="Admissions &amp; Records : Classified Overtime"/>
    <n v="500"/>
  </r>
  <r>
    <x v="0"/>
    <s v="11-410-00-620000-52360"/>
    <x v="0"/>
    <n v="410"/>
    <n v="0"/>
    <x v="108"/>
    <n v="52360"/>
    <x v="1"/>
    <s v="52"/>
    <s v="523"/>
    <x v="1743"/>
    <s v="Admissions &amp; Records : Class Nonstu NonIA PT Prof Exp"/>
    <n v="18000"/>
  </r>
  <r>
    <x v="0"/>
    <s v="11-410-00-620000-53220"/>
    <x v="0"/>
    <n v="410"/>
    <n v="0"/>
    <x v="108"/>
    <n v="53220"/>
    <x v="1"/>
    <s v="53"/>
    <s v="532"/>
    <x v="1744"/>
    <s v="Admissions &amp; Records : PERS Nonteaching"/>
    <n v="101533.54"/>
  </r>
  <r>
    <x v="0"/>
    <s v="11-410-00-620000-53320"/>
    <x v="0"/>
    <n v="410"/>
    <n v="0"/>
    <x v="108"/>
    <n v="53320"/>
    <x v="1"/>
    <s v="53"/>
    <s v="533"/>
    <x v="1745"/>
    <s v="Admissions &amp; Records : OASDHI (FICA) Nonteaching"/>
    <n v="31558.02"/>
  </r>
  <r>
    <x v="0"/>
    <s v="11-410-00-620000-53340"/>
    <x v="0"/>
    <n v="410"/>
    <n v="0"/>
    <x v="108"/>
    <n v="53340"/>
    <x v="1"/>
    <s v="53"/>
    <s v="533"/>
    <x v="1746"/>
    <s v="Admissions &amp; Records : Medicare Nonteaching"/>
    <n v="7380.52"/>
  </r>
  <r>
    <x v="0"/>
    <s v="11-410-00-620000-53420"/>
    <x v="0"/>
    <n v="410"/>
    <n v="0"/>
    <x v="108"/>
    <n v="53420"/>
    <x v="1"/>
    <s v="53"/>
    <s v="534"/>
    <x v="1747"/>
    <s v="Admissions &amp; Records : H &amp; W Nonteaching"/>
    <n v="170628.12"/>
  </r>
  <r>
    <x v="0"/>
    <s v="11-410-00-620000-53520"/>
    <x v="0"/>
    <n v="410"/>
    <n v="0"/>
    <x v="108"/>
    <n v="53520"/>
    <x v="1"/>
    <s v="53"/>
    <s v="535"/>
    <x v="1748"/>
    <s v="Admissions &amp; Records : SUI Nonteaching"/>
    <n v="254.51"/>
  </r>
  <r>
    <x v="0"/>
    <s v="11-410-00-620000-53620"/>
    <x v="0"/>
    <n v="410"/>
    <n v="0"/>
    <x v="108"/>
    <n v="53620"/>
    <x v="1"/>
    <s v="53"/>
    <s v="536"/>
    <x v="1749"/>
    <s v="Admissions &amp; Records : WC Nonteaching"/>
    <n v="9624.17"/>
  </r>
  <r>
    <x v="0"/>
    <s v="11-410-00-620000-53920"/>
    <x v="0"/>
    <n v="410"/>
    <n v="0"/>
    <x v="108"/>
    <n v="53920"/>
    <x v="1"/>
    <s v="53"/>
    <s v="539"/>
    <x v="1750"/>
    <s v="Admissions &amp; Records : Other Benefit-Non Teaching"/>
    <n v="2400"/>
  </r>
  <r>
    <x v="0"/>
    <s v="11-410-00-620000-54300"/>
    <x v="0"/>
    <n v="410"/>
    <n v="0"/>
    <x v="108"/>
    <n v="54300"/>
    <x v="1"/>
    <s v="54"/>
    <s v="543"/>
    <x v="1751"/>
    <s v="Admissions &amp; Records : Supplies &amp; Materials"/>
    <n v="1649"/>
  </r>
  <r>
    <x v="0"/>
    <s v="11-410-00-620000-55200"/>
    <x v="0"/>
    <n v="410"/>
    <n v="0"/>
    <x v="108"/>
    <n v="55200"/>
    <x v="1"/>
    <s v="55"/>
    <s v="552"/>
    <x v="1752"/>
    <s v="Admissions &amp; Records : Travel &amp; Conference"/>
    <n v="50"/>
  </r>
  <r>
    <x v="0"/>
    <s v="11-410-00-620000-55300"/>
    <x v="0"/>
    <n v="410"/>
    <n v="0"/>
    <x v="108"/>
    <n v="55300"/>
    <x v="1"/>
    <s v="55"/>
    <s v="553"/>
    <x v="1753"/>
    <s v="Admissions &amp; Records : Memberships"/>
    <n v="0"/>
  </r>
  <r>
    <x v="0"/>
    <s v="11-410-00-620000-55630"/>
    <x v="0"/>
    <n v="410"/>
    <n v="0"/>
    <x v="108"/>
    <n v="55630"/>
    <x v="1"/>
    <s v="55"/>
    <s v="556"/>
    <x v="1754"/>
    <s v="Admissions &amp; Records : Printing &amp; Duplicating - Inhouse"/>
    <n v="3820"/>
  </r>
  <r>
    <x v="0"/>
    <s v="11-410-00-620000-55635"/>
    <x v="0"/>
    <n v="410"/>
    <n v="0"/>
    <x v="108"/>
    <n v="55635"/>
    <x v="1"/>
    <s v="55"/>
    <s v="556"/>
    <x v="1755"/>
    <s v="Admissions &amp; Records : Printing Services - Vendor"/>
    <n v="4074"/>
  </r>
  <r>
    <x v="0"/>
    <s v="11-410-00-620000-55650"/>
    <x v="0"/>
    <n v="410"/>
    <n v="0"/>
    <x v="108"/>
    <n v="55650"/>
    <x v="1"/>
    <s v="55"/>
    <s v="556"/>
    <x v="1756"/>
    <s v="Admissions &amp; Records : Maintenance Agreement"/>
    <n v="3820"/>
  </r>
  <r>
    <x v="0"/>
    <s v="11-420-00-646000-52105"/>
    <x v="0"/>
    <n v="420"/>
    <n v="0"/>
    <x v="109"/>
    <n v="52105"/>
    <x v="1"/>
    <s v="52"/>
    <s v="521"/>
    <x v="1757"/>
    <s v="Financial Aid : Classified CSEA"/>
    <n v="570948.55000000005"/>
  </r>
  <r>
    <x v="0"/>
    <s v="11-420-00-646000-52130"/>
    <x v="0"/>
    <n v="420"/>
    <n v="0"/>
    <x v="109"/>
    <n v="52130"/>
    <x v="1"/>
    <s v="52"/>
    <s v="521"/>
    <x v="1758"/>
    <s v="Financial Aid : Classified Management"/>
    <n v="182797.5"/>
  </r>
  <r>
    <x v="0"/>
    <s v="11-420-00-646000-52300"/>
    <x v="0"/>
    <n v="420"/>
    <n v="0"/>
    <x v="109"/>
    <n v="52300"/>
    <x v="1"/>
    <s v="52"/>
    <s v="523"/>
    <x v="1759"/>
    <s v="Financial Aid : Classified Overtime"/>
    <n v="6000"/>
  </r>
  <r>
    <x v="0"/>
    <s v="11-420-00-646000-52310"/>
    <x v="0"/>
    <n v="420"/>
    <n v="0"/>
    <x v="109"/>
    <n v="52310"/>
    <x v="1"/>
    <s v="52"/>
    <s v="523"/>
    <x v="1760"/>
    <s v="Financial Aid : Classified Student FWS Non-IA"/>
    <n v="45000"/>
  </r>
  <r>
    <x v="0"/>
    <s v="11-420-00-646000-52360"/>
    <x v="0"/>
    <n v="420"/>
    <n v="0"/>
    <x v="109"/>
    <n v="52360"/>
    <x v="1"/>
    <s v="52"/>
    <s v="523"/>
    <x v="1761"/>
    <s v="Financial Aid : Class Nonstu NonIA PT Prof Exp"/>
    <n v="200"/>
  </r>
  <r>
    <x v="0"/>
    <s v="11-420-00-646000-53220"/>
    <x v="0"/>
    <n v="420"/>
    <n v="0"/>
    <x v="109"/>
    <n v="53220"/>
    <x v="1"/>
    <s v="53"/>
    <s v="532"/>
    <x v="1762"/>
    <s v="Financial Aid : PERS Nonteaching"/>
    <n v="156025.44"/>
  </r>
  <r>
    <x v="0"/>
    <s v="11-420-00-646000-53320"/>
    <x v="0"/>
    <n v="420"/>
    <n v="0"/>
    <x v="109"/>
    <n v="53320"/>
    <x v="1"/>
    <s v="53"/>
    <s v="533"/>
    <x v="1763"/>
    <s v="Financial Aid : OASDHI (FICA) Nonteaching"/>
    <n v="47116.67"/>
  </r>
  <r>
    <x v="0"/>
    <s v="11-420-00-646000-53340"/>
    <x v="0"/>
    <n v="420"/>
    <n v="0"/>
    <x v="109"/>
    <n v="53340"/>
    <x v="1"/>
    <s v="53"/>
    <s v="533"/>
    <x v="1764"/>
    <s v="Financial Aid : Medicare Nonteaching"/>
    <n v="11019.23"/>
  </r>
  <r>
    <x v="0"/>
    <s v="11-420-00-646000-53420"/>
    <x v="0"/>
    <n v="420"/>
    <n v="0"/>
    <x v="109"/>
    <n v="53420"/>
    <x v="1"/>
    <s v="53"/>
    <s v="534"/>
    <x v="1765"/>
    <s v="Financial Aid : H &amp; W Nonteaching"/>
    <n v="257368.26"/>
  </r>
  <r>
    <x v="0"/>
    <s v="11-420-00-646000-53520"/>
    <x v="0"/>
    <n v="420"/>
    <n v="0"/>
    <x v="109"/>
    <n v="53520"/>
    <x v="1"/>
    <s v="53"/>
    <s v="535"/>
    <x v="1766"/>
    <s v="Financial Aid : SUI Nonteaching"/>
    <n v="379.98"/>
  </r>
  <r>
    <x v="0"/>
    <s v="11-420-00-646000-53620"/>
    <x v="0"/>
    <n v="420"/>
    <n v="0"/>
    <x v="109"/>
    <n v="53620"/>
    <x v="1"/>
    <s v="53"/>
    <s v="536"/>
    <x v="1767"/>
    <s v="Financial Aid : WC Nonteaching"/>
    <n v="15219.93"/>
  </r>
  <r>
    <x v="0"/>
    <s v="11-420-00-646000-53920"/>
    <x v="0"/>
    <n v="420"/>
    <n v="0"/>
    <x v="109"/>
    <n v="53920"/>
    <x v="1"/>
    <s v="53"/>
    <s v="539"/>
    <x v="1768"/>
    <s v="Financial Aid : Other Benefit-Non Teaching"/>
    <n v="2400"/>
  </r>
  <r>
    <x v="0"/>
    <s v="11-420-00-646000-54300"/>
    <x v="0"/>
    <n v="420"/>
    <n v="0"/>
    <x v="109"/>
    <n v="54300"/>
    <x v="1"/>
    <s v="54"/>
    <s v="543"/>
    <x v="1769"/>
    <s v="Financial Aid : Supplies &amp; Materials"/>
    <n v="2820"/>
  </r>
  <r>
    <x v="0"/>
    <s v="11-420-00-646000-55105"/>
    <x v="0"/>
    <n v="420"/>
    <n v="0"/>
    <x v="109"/>
    <n v="55105"/>
    <x v="1"/>
    <s v="55"/>
    <s v="551"/>
    <x v="1770"/>
    <s v="Financial Aid : Contract Services"/>
    <n v="10000"/>
  </r>
  <r>
    <x v="0"/>
    <s v="11-420-00-646000-55200"/>
    <x v="0"/>
    <n v="420"/>
    <n v="0"/>
    <x v="109"/>
    <n v="55200"/>
    <x v="1"/>
    <s v="55"/>
    <s v="552"/>
    <x v="1771"/>
    <s v="Financial Aid : Travel &amp; Conference"/>
    <n v="0"/>
  </r>
  <r>
    <x v="0"/>
    <s v="11-420-00-646000-55300"/>
    <x v="0"/>
    <n v="420"/>
    <n v="0"/>
    <x v="109"/>
    <n v="55300"/>
    <x v="1"/>
    <s v="55"/>
    <s v="553"/>
    <x v="1772"/>
    <s v="Financial Aid : Memberships"/>
    <n v="1509"/>
  </r>
  <r>
    <x v="0"/>
    <s v="11-420-00-646000-55309"/>
    <x v="0"/>
    <n v="420"/>
    <n v="0"/>
    <x v="109"/>
    <n v="55309"/>
    <x v="1"/>
    <s v="55"/>
    <s v="553"/>
    <x v="1773"/>
    <s v="Financial Aid : Subscriptions"/>
    <n v="12100"/>
  </r>
  <r>
    <x v="0"/>
    <s v="11-420-00-646000-55630"/>
    <x v="0"/>
    <n v="420"/>
    <n v="0"/>
    <x v="109"/>
    <n v="55630"/>
    <x v="1"/>
    <s v="55"/>
    <s v="556"/>
    <x v="1774"/>
    <s v="Financial Aid : Printing &amp; Duplicating - Inhouse"/>
    <n v="5828"/>
  </r>
  <r>
    <x v="0"/>
    <s v="11-420-00-646021-52105"/>
    <x v="0"/>
    <n v="420"/>
    <n v="0"/>
    <x v="110"/>
    <n v="52105"/>
    <x v="1"/>
    <s v="52"/>
    <s v="521"/>
    <x v="1775"/>
    <s v="Scholarship Operations : Classified CSEA"/>
    <n v="40235.870000000003"/>
  </r>
  <r>
    <x v="0"/>
    <s v="11-420-00-646021-52300"/>
    <x v="0"/>
    <n v="420"/>
    <n v="0"/>
    <x v="110"/>
    <n v="52300"/>
    <x v="1"/>
    <s v="52"/>
    <s v="523"/>
    <x v="1776"/>
    <s v="Scholarship Operations : Classified Overtime"/>
    <n v="200"/>
  </r>
  <r>
    <x v="0"/>
    <s v="11-420-00-646021-53220"/>
    <x v="0"/>
    <n v="420"/>
    <n v="0"/>
    <x v="110"/>
    <n v="53220"/>
    <x v="1"/>
    <s v="53"/>
    <s v="532"/>
    <x v="1777"/>
    <s v="Scholarship Operations : PERS Nonteaching"/>
    <n v="8328.83"/>
  </r>
  <r>
    <x v="0"/>
    <s v="11-420-00-646021-53320"/>
    <x v="0"/>
    <n v="420"/>
    <n v="0"/>
    <x v="110"/>
    <n v="53320"/>
    <x v="1"/>
    <s v="53"/>
    <s v="533"/>
    <x v="1778"/>
    <s v="Scholarship Operations : OASDHI (FICA) Nonteaching"/>
    <n v="2507.02"/>
  </r>
  <r>
    <x v="0"/>
    <s v="11-420-00-646021-53340"/>
    <x v="0"/>
    <n v="420"/>
    <n v="0"/>
    <x v="110"/>
    <n v="53340"/>
    <x v="1"/>
    <s v="53"/>
    <s v="533"/>
    <x v="1779"/>
    <s v="Scholarship Operations : Medicare Nonteaching"/>
    <n v="586.32000000000005"/>
  </r>
  <r>
    <x v="0"/>
    <s v="11-420-00-646021-53420"/>
    <x v="0"/>
    <n v="420"/>
    <n v="0"/>
    <x v="110"/>
    <n v="53420"/>
    <x v="1"/>
    <s v="53"/>
    <s v="534"/>
    <x v="1780"/>
    <s v="Scholarship Operations : H &amp; W Nonteaching"/>
    <n v="9856.2199999999993"/>
  </r>
  <r>
    <x v="0"/>
    <s v="11-420-00-646021-53520"/>
    <x v="0"/>
    <n v="420"/>
    <n v="0"/>
    <x v="110"/>
    <n v="53520"/>
    <x v="1"/>
    <s v="53"/>
    <s v="535"/>
    <x v="1781"/>
    <s v="Scholarship Operations : SUI Nonteaching"/>
    <n v="20.22"/>
  </r>
  <r>
    <x v="0"/>
    <s v="11-420-00-646021-53620"/>
    <x v="0"/>
    <n v="420"/>
    <n v="0"/>
    <x v="110"/>
    <n v="53620"/>
    <x v="1"/>
    <s v="53"/>
    <s v="536"/>
    <x v="1782"/>
    <s v="Scholarship Operations : WC Nonteaching"/>
    <n v="764.56"/>
  </r>
  <r>
    <x v="0"/>
    <s v="11-420-00-646021-55630"/>
    <x v="0"/>
    <n v="420"/>
    <n v="0"/>
    <x v="110"/>
    <n v="55630"/>
    <x v="1"/>
    <s v="55"/>
    <s v="556"/>
    <x v="1783"/>
    <s v="Scholarship Operations : Printing &amp; Duplicating - Inhouse"/>
    <n v="58.21"/>
  </r>
  <r>
    <x v="0"/>
    <s v="11-420-00-648000-51200"/>
    <x v="0"/>
    <n v="420"/>
    <n v="0"/>
    <x v="111"/>
    <n v="51200"/>
    <x v="1"/>
    <s v="51"/>
    <s v="512"/>
    <x v="1784"/>
    <s v="Veterans : Academic Nonteaching Full-time"/>
    <n v="29542.69"/>
  </r>
  <r>
    <x v="0"/>
    <s v="11-420-00-648000-52105"/>
    <x v="0"/>
    <n v="420"/>
    <n v="0"/>
    <x v="111"/>
    <n v="52105"/>
    <x v="1"/>
    <s v="52"/>
    <s v="521"/>
    <x v="1785"/>
    <s v="Veterans : Classified CSEA"/>
    <n v="26375.27"/>
  </r>
  <r>
    <x v="0"/>
    <s v="11-420-00-648000-52300"/>
    <x v="0"/>
    <n v="420"/>
    <n v="0"/>
    <x v="111"/>
    <n v="52300"/>
    <x v="1"/>
    <s v="52"/>
    <s v="523"/>
    <x v="1786"/>
    <s v="Veterans : Classified Overtime"/>
    <n v="0"/>
  </r>
  <r>
    <x v="0"/>
    <s v="11-420-00-648000-53120"/>
    <x v="0"/>
    <n v="420"/>
    <n v="0"/>
    <x v="111"/>
    <n v="53120"/>
    <x v="1"/>
    <s v="53"/>
    <s v="531"/>
    <x v="1787"/>
    <s v="Veterans : STRS Nonteaching"/>
    <n v="4771.1400000000003"/>
  </r>
  <r>
    <x v="0"/>
    <s v="11-420-00-648000-53220"/>
    <x v="0"/>
    <n v="420"/>
    <n v="0"/>
    <x v="111"/>
    <n v="53220"/>
    <x v="1"/>
    <s v="53"/>
    <s v="532"/>
    <x v="1788"/>
    <s v="Veterans : PERS Nonteaching"/>
    <n v="5459.68"/>
  </r>
  <r>
    <x v="0"/>
    <s v="11-420-00-648000-53320"/>
    <x v="0"/>
    <n v="420"/>
    <n v="0"/>
    <x v="111"/>
    <n v="53320"/>
    <x v="1"/>
    <s v="53"/>
    <s v="533"/>
    <x v="1789"/>
    <s v="Veterans : OASDHI (FICA) Nonteaching"/>
    <n v="1635.27"/>
  </r>
  <r>
    <x v="0"/>
    <s v="11-420-00-648000-53340"/>
    <x v="0"/>
    <n v="420"/>
    <n v="0"/>
    <x v="111"/>
    <n v="53340"/>
    <x v="1"/>
    <s v="53"/>
    <s v="533"/>
    <x v="1790"/>
    <s v="Veterans : Medicare Nonteaching"/>
    <n v="810.81"/>
  </r>
  <r>
    <x v="0"/>
    <s v="11-420-00-648000-53420"/>
    <x v="0"/>
    <n v="420"/>
    <n v="0"/>
    <x v="111"/>
    <n v="53420"/>
    <x v="1"/>
    <s v="53"/>
    <s v="534"/>
    <x v="1791"/>
    <s v="Veterans : H &amp; W Nonteaching"/>
    <n v="14867.2"/>
  </r>
  <r>
    <x v="0"/>
    <s v="11-420-00-648000-53520"/>
    <x v="0"/>
    <n v="420"/>
    <n v="0"/>
    <x v="111"/>
    <n v="53520"/>
    <x v="1"/>
    <s v="53"/>
    <s v="535"/>
    <x v="1792"/>
    <s v="Veterans : SUI Nonteaching"/>
    <n v="27.96"/>
  </r>
  <r>
    <x v="0"/>
    <s v="11-420-00-648000-53620"/>
    <x v="0"/>
    <n v="420"/>
    <n v="0"/>
    <x v="111"/>
    <n v="53620"/>
    <x v="1"/>
    <s v="53"/>
    <s v="536"/>
    <x v="1793"/>
    <s v="Veterans : WC Nonteaching"/>
    <n v="1057.29"/>
  </r>
  <r>
    <x v="0"/>
    <s v="11-420-00-648000-55200"/>
    <x v="0"/>
    <n v="420"/>
    <n v="0"/>
    <x v="111"/>
    <n v="55200"/>
    <x v="1"/>
    <s v="55"/>
    <s v="552"/>
    <x v="1794"/>
    <s v="Veterans : Travel &amp; Conference"/>
    <n v="0"/>
  </r>
  <r>
    <x v="0"/>
    <s v="11-420-00-648000-55300"/>
    <x v="0"/>
    <n v="420"/>
    <n v="0"/>
    <x v="111"/>
    <n v="55300"/>
    <x v="1"/>
    <s v="55"/>
    <s v="553"/>
    <x v="1795"/>
    <s v="Veterans : Memberships"/>
    <n v="100"/>
  </r>
  <r>
    <x v="0"/>
    <s v="11-420-00-648000-55630"/>
    <x v="0"/>
    <n v="420"/>
    <n v="0"/>
    <x v="111"/>
    <n v="55630"/>
    <x v="1"/>
    <s v="55"/>
    <s v="556"/>
    <x v="1796"/>
    <s v="Veterans : Printing &amp; Duplicating - Inhouse"/>
    <n v="8"/>
  </r>
  <r>
    <x v="0"/>
    <s v="11-430-00-643000-51210"/>
    <x v="0"/>
    <n v="430"/>
    <n v="0"/>
    <x v="112"/>
    <n v="51210"/>
    <x v="1"/>
    <s v="51"/>
    <s v="512"/>
    <x v="1797"/>
    <s v="EOPS : Academic Nonteaching Management"/>
    <n v="123021"/>
  </r>
  <r>
    <x v="0"/>
    <s v="11-430-00-643000-53220"/>
    <x v="0"/>
    <n v="430"/>
    <n v="0"/>
    <x v="112"/>
    <n v="53220"/>
    <x v="1"/>
    <s v="53"/>
    <s v="532"/>
    <x v="1798"/>
    <s v="EOPS : PERS Nonteaching"/>
    <n v="25465.35"/>
  </r>
  <r>
    <x v="0"/>
    <s v="11-430-00-643000-53320"/>
    <x v="0"/>
    <n v="430"/>
    <n v="0"/>
    <x v="112"/>
    <n v="53320"/>
    <x v="1"/>
    <s v="53"/>
    <s v="533"/>
    <x v="1799"/>
    <s v="EOPS : OASDHI (FICA) Nonteaching"/>
    <n v="7627.3"/>
  </r>
  <r>
    <x v="0"/>
    <s v="11-430-00-643000-53340"/>
    <x v="0"/>
    <n v="430"/>
    <n v="0"/>
    <x v="112"/>
    <n v="53340"/>
    <x v="1"/>
    <s v="53"/>
    <s v="533"/>
    <x v="1800"/>
    <s v="EOPS : Medicare Nonteaching"/>
    <n v="1783.8"/>
  </r>
  <r>
    <x v="0"/>
    <s v="11-430-00-643000-53420"/>
    <x v="0"/>
    <n v="430"/>
    <n v="0"/>
    <x v="112"/>
    <n v="53420"/>
    <x v="1"/>
    <s v="53"/>
    <s v="534"/>
    <x v="1801"/>
    <s v="EOPS : H &amp; W Nonteaching"/>
    <n v="13141.62"/>
  </r>
  <r>
    <x v="0"/>
    <s v="11-430-00-643000-53520"/>
    <x v="0"/>
    <n v="430"/>
    <n v="0"/>
    <x v="112"/>
    <n v="53520"/>
    <x v="1"/>
    <s v="53"/>
    <s v="535"/>
    <x v="1802"/>
    <s v="EOPS : SUI Nonteaching"/>
    <n v="61.51"/>
  </r>
  <r>
    <x v="0"/>
    <s v="11-430-00-643000-53620"/>
    <x v="0"/>
    <n v="430"/>
    <n v="0"/>
    <x v="112"/>
    <n v="53620"/>
    <x v="1"/>
    <s v="53"/>
    <s v="536"/>
    <x v="1803"/>
    <s v="EOPS : WC Nonteaching"/>
    <n v="2326.08"/>
  </r>
  <r>
    <x v="0"/>
    <s v="11-430-00-700500-51210"/>
    <x v="0"/>
    <n v="430"/>
    <n v="0"/>
    <x v="113"/>
    <n v="51210"/>
    <x v="1"/>
    <s v="51"/>
    <s v="512"/>
    <x v="1804"/>
    <s v="EOPS - State : Academic Nonteaching Management"/>
    <n v="0"/>
  </r>
  <r>
    <x v="0"/>
    <s v="11-430-00-700500-53220"/>
    <x v="0"/>
    <n v="430"/>
    <n v="0"/>
    <x v="113"/>
    <n v="53220"/>
    <x v="1"/>
    <s v="53"/>
    <s v="532"/>
    <x v="1805"/>
    <s v="EOPS - State : PERS Nonteaching"/>
    <n v="0"/>
  </r>
  <r>
    <x v="0"/>
    <s v="11-430-00-700500-53320"/>
    <x v="0"/>
    <n v="430"/>
    <n v="0"/>
    <x v="113"/>
    <n v="53320"/>
    <x v="1"/>
    <s v="53"/>
    <s v="533"/>
    <x v="1806"/>
    <s v="EOPS - State : OASDHI (FICA) Nonteaching"/>
    <n v="0"/>
  </r>
  <r>
    <x v="0"/>
    <s v="11-430-00-700500-53340"/>
    <x v="0"/>
    <n v="430"/>
    <n v="0"/>
    <x v="113"/>
    <n v="53340"/>
    <x v="1"/>
    <s v="53"/>
    <s v="533"/>
    <x v="1807"/>
    <s v="EOPS - State : Medicare Nonteaching"/>
    <n v="0"/>
  </r>
  <r>
    <x v="0"/>
    <s v="11-430-00-700500-53420"/>
    <x v="0"/>
    <n v="430"/>
    <n v="0"/>
    <x v="113"/>
    <n v="53420"/>
    <x v="1"/>
    <s v="53"/>
    <s v="534"/>
    <x v="1808"/>
    <s v="EOPS - State : H &amp; W Nonteaching"/>
    <n v="0"/>
  </r>
  <r>
    <x v="0"/>
    <s v="11-430-00-700500-53520"/>
    <x v="0"/>
    <n v="430"/>
    <n v="0"/>
    <x v="113"/>
    <n v="53520"/>
    <x v="1"/>
    <s v="53"/>
    <s v="535"/>
    <x v="1809"/>
    <s v="EOPS - State : SUI Nonteaching"/>
    <n v="0"/>
  </r>
  <r>
    <x v="0"/>
    <s v="11-430-00-700500-53620"/>
    <x v="0"/>
    <n v="430"/>
    <n v="0"/>
    <x v="113"/>
    <n v="53620"/>
    <x v="1"/>
    <s v="53"/>
    <s v="536"/>
    <x v="1810"/>
    <s v="EOPS - State : WC Nonteaching"/>
    <n v="0"/>
  </r>
  <r>
    <x v="0"/>
    <s v="11-430-00-700500-55630"/>
    <x v="0"/>
    <n v="430"/>
    <n v="0"/>
    <x v="113"/>
    <n v="55630"/>
    <x v="1"/>
    <s v="55"/>
    <s v="556"/>
    <x v="1811"/>
    <s v="EOPS - State : Printing &amp; Duplicating - Inhouse"/>
    <n v="0"/>
  </r>
  <r>
    <x v="0"/>
    <s v="11-430-00-704700-52315"/>
    <x v="0"/>
    <n v="430"/>
    <n v="0"/>
    <x v="114"/>
    <n v="52315"/>
    <x v="1"/>
    <s v="52"/>
    <s v="523"/>
    <x v="1812"/>
    <s v="CalWORKs : Classified Student SWS Non-IA"/>
    <n v="15000"/>
  </r>
  <r>
    <x v="0"/>
    <s v="11-430-00-704700-53620"/>
    <x v="0"/>
    <n v="430"/>
    <n v="0"/>
    <x v="114"/>
    <n v="53620"/>
    <x v="1"/>
    <s v="53"/>
    <s v="536"/>
    <x v="1813"/>
    <s v="CalWORKs : WC Nonteaching"/>
    <n v="283.62"/>
  </r>
  <r>
    <x v="0"/>
    <s v="11-440-00-493032-51210"/>
    <x v="0"/>
    <n v="440"/>
    <n v="0"/>
    <x v="115"/>
    <n v="51210"/>
    <x v="1"/>
    <s v="51"/>
    <s v="512"/>
    <x v="1814"/>
    <s v="DSP&amp;S Instruction : Academic Nonteaching Management"/>
    <n v="70015.8"/>
  </r>
  <r>
    <x v="0"/>
    <s v="11-440-00-493032-51311"/>
    <x v="0"/>
    <n v="440"/>
    <n v="0"/>
    <x v="115"/>
    <n v="51311"/>
    <x v="1"/>
    <s v="51"/>
    <s v="513"/>
    <x v="1815"/>
    <s v="DSP&amp;S Instruction : Academic Teaching PT"/>
    <n v="5000"/>
  </r>
  <r>
    <x v="0"/>
    <s v="11-440-00-493032-51411"/>
    <x v="0"/>
    <n v="440"/>
    <n v="0"/>
    <x v="115"/>
    <n v="51411"/>
    <x v="1"/>
    <s v="51"/>
    <s v="514"/>
    <x v="1816"/>
    <s v="DSP&amp;S Instruction : Academic Nonteaching PT"/>
    <n v="3850"/>
  </r>
  <r>
    <x v="0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0"/>
  </r>
  <r>
    <x v="0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1500"/>
  </r>
  <r>
    <x v="0"/>
    <s v="11-440-00-493032-53110"/>
    <x v="0"/>
    <n v="440"/>
    <n v="0"/>
    <x v="115"/>
    <n v="53110"/>
    <x v="1"/>
    <s v="53"/>
    <s v="531"/>
    <x v="1819"/>
    <s v="DSP&amp;S Instruction : STRS Teaching"/>
    <n v="807.5"/>
  </r>
  <r>
    <x v="0"/>
    <s v="11-440-00-493032-53120"/>
    <x v="0"/>
    <n v="440"/>
    <n v="0"/>
    <x v="115"/>
    <n v="53120"/>
    <x v="1"/>
    <s v="53"/>
    <s v="531"/>
    <x v="1820"/>
    <s v="DSP&amp;S Instruction : STRS Nonteaching"/>
    <n v="11929.33"/>
  </r>
  <r>
    <x v="0"/>
    <s v="11-440-00-493032-53310"/>
    <x v="0"/>
    <n v="440"/>
    <n v="0"/>
    <x v="115"/>
    <n v="53310"/>
    <x v="1"/>
    <s v="53"/>
    <s v="533"/>
    <x v="1821"/>
    <s v="DSP&amp;S Instruction : OASDHI (FICA) Teaching"/>
    <n v="0"/>
  </r>
  <r>
    <x v="0"/>
    <s v="11-440-00-493032-53320"/>
    <x v="0"/>
    <n v="440"/>
    <n v="0"/>
    <x v="115"/>
    <n v="53320"/>
    <x v="1"/>
    <s v="53"/>
    <s v="533"/>
    <x v="1822"/>
    <s v="DSP&amp;S Instruction : OASDHI (FICA) Nonteaching"/>
    <n v="0"/>
  </r>
  <r>
    <x v="0"/>
    <s v="11-440-00-493032-53330"/>
    <x v="0"/>
    <n v="440"/>
    <n v="0"/>
    <x v="115"/>
    <n v="53330"/>
    <x v="1"/>
    <s v="53"/>
    <s v="533"/>
    <x v="1823"/>
    <s v="DSP&amp;S Instruction : Medicare Teaching"/>
    <n v="72.5"/>
  </r>
  <r>
    <x v="0"/>
    <s v="11-440-00-493032-53340"/>
    <x v="0"/>
    <n v="440"/>
    <n v="0"/>
    <x v="115"/>
    <n v="53340"/>
    <x v="1"/>
    <s v="53"/>
    <s v="533"/>
    <x v="1824"/>
    <s v="DSP&amp;S Instruction : Medicare Nonteaching"/>
    <n v="1071.06"/>
  </r>
  <r>
    <x v="0"/>
    <s v="11-440-00-493032-53420"/>
    <x v="0"/>
    <n v="440"/>
    <n v="0"/>
    <x v="115"/>
    <n v="53420"/>
    <x v="1"/>
    <s v="53"/>
    <s v="534"/>
    <x v="1825"/>
    <s v="DSP&amp;S Instruction : H &amp; W Nonteaching"/>
    <n v="7884.97"/>
  </r>
  <r>
    <x v="0"/>
    <s v="11-440-00-493032-53510"/>
    <x v="0"/>
    <n v="440"/>
    <n v="0"/>
    <x v="115"/>
    <n v="53510"/>
    <x v="1"/>
    <s v="53"/>
    <s v="535"/>
    <x v="1826"/>
    <s v="DSP&amp;S Instruction : SUI Teaching"/>
    <n v="2.5"/>
  </r>
  <r>
    <x v="0"/>
    <s v="11-440-00-493032-53520"/>
    <x v="0"/>
    <n v="440"/>
    <n v="0"/>
    <x v="115"/>
    <n v="53520"/>
    <x v="1"/>
    <s v="53"/>
    <s v="535"/>
    <x v="1827"/>
    <s v="DSP&amp;S Instruction : SUI Nonteaching"/>
    <n v="36.94"/>
  </r>
  <r>
    <x v="0"/>
    <s v="11-440-00-493032-53610"/>
    <x v="0"/>
    <n v="440"/>
    <n v="0"/>
    <x v="115"/>
    <n v="53610"/>
    <x v="1"/>
    <s v="53"/>
    <s v="536"/>
    <x v="1828"/>
    <s v="DSP&amp;S Instruction : WC Teaching"/>
    <n v="122.9"/>
  </r>
  <r>
    <x v="0"/>
    <s v="11-440-00-493032-53620"/>
    <x v="0"/>
    <n v="440"/>
    <n v="0"/>
    <x v="115"/>
    <n v="53620"/>
    <x v="1"/>
    <s v="53"/>
    <s v="536"/>
    <x v="1829"/>
    <s v="DSP&amp;S Instruction : WC Nonteaching"/>
    <n v="1396.66"/>
  </r>
  <r>
    <x v="0"/>
    <s v="11-440-00-493032-54300"/>
    <x v="0"/>
    <n v="440"/>
    <n v="0"/>
    <x v="115"/>
    <n v="54300"/>
    <x v="1"/>
    <s v="54"/>
    <s v="543"/>
    <x v="1830"/>
    <s v="DSP&amp;S Instruction : Supplies &amp; Materials"/>
    <n v="1500"/>
  </r>
  <r>
    <x v="0"/>
    <s v="11-440-00-493032-55105"/>
    <x v="0"/>
    <n v="440"/>
    <n v="0"/>
    <x v="115"/>
    <n v="55105"/>
    <x v="1"/>
    <s v="55"/>
    <s v="551"/>
    <x v="1831"/>
    <s v="DSP&amp;S Instruction : Contract Services"/>
    <n v="12000"/>
  </r>
  <r>
    <x v="0"/>
    <s v="11-440-00-493032-55200"/>
    <x v="0"/>
    <n v="440"/>
    <n v="0"/>
    <x v="115"/>
    <n v="55200"/>
    <x v="1"/>
    <s v="55"/>
    <s v="552"/>
    <x v="1832"/>
    <s v="DSP&amp;S Instruction : Travel &amp; Conference"/>
    <n v="0"/>
  </r>
  <r>
    <x v="0"/>
    <s v="11-440-00-493032-55309"/>
    <x v="0"/>
    <n v="440"/>
    <n v="0"/>
    <x v="115"/>
    <n v="55309"/>
    <x v="1"/>
    <s v="55"/>
    <s v="553"/>
    <x v="1833"/>
    <s v="DSP&amp;S Instruction : Subscriptions"/>
    <n v="500"/>
  </r>
  <r>
    <x v="0"/>
    <s v="11-440-00-493032-55630"/>
    <x v="0"/>
    <n v="440"/>
    <n v="0"/>
    <x v="115"/>
    <n v="55630"/>
    <x v="1"/>
    <s v="55"/>
    <s v="556"/>
    <x v="1834"/>
    <s v="DSP&amp;S Instruction : Printing &amp; Duplicating - Inhouse"/>
    <n v="250"/>
  </r>
  <r>
    <x v="0"/>
    <s v="11-440-00-701021-55105"/>
    <x v="0"/>
    <n v="440"/>
    <n v="0"/>
    <x v="116"/>
    <n v="55105"/>
    <x v="1"/>
    <s v="55"/>
    <s v="551"/>
    <x v="1835"/>
    <s v="DHH - DSPS : Contract Services"/>
    <n v="47500"/>
  </r>
  <r>
    <x v="0"/>
    <s v="11-500-00-673000-52120"/>
    <x v="0"/>
    <n v="500"/>
    <n v="0"/>
    <x v="117"/>
    <n v="52120"/>
    <x v="1"/>
    <s v="52"/>
    <s v="521"/>
    <x v="1836"/>
    <s v="Human Resources : Classified Confidential"/>
    <n v="384174.5"/>
  </r>
  <r>
    <x v="0"/>
    <s v="11-500-00-673000-52130"/>
    <x v="0"/>
    <n v="500"/>
    <n v="0"/>
    <x v="117"/>
    <n v="52130"/>
    <x v="1"/>
    <s v="52"/>
    <s v="521"/>
    <x v="1837"/>
    <s v="Human Resources : Classified Management"/>
    <n v="163297"/>
  </r>
  <r>
    <x v="0"/>
    <s v="11-500-00-673000-52300"/>
    <x v="0"/>
    <n v="500"/>
    <n v="0"/>
    <x v="117"/>
    <n v="52300"/>
    <x v="1"/>
    <s v="52"/>
    <s v="523"/>
    <x v="1838"/>
    <s v="Human Resources : Classified Overtime"/>
    <n v="3300"/>
  </r>
  <r>
    <x v="0"/>
    <s v="11-500-00-673000-52360"/>
    <x v="0"/>
    <n v="500"/>
    <n v="0"/>
    <x v="117"/>
    <n v="52360"/>
    <x v="1"/>
    <s v="52"/>
    <s v="523"/>
    <x v="1839"/>
    <s v="Human Resources : Class Nonstu NonIA PT Prof Exp"/>
    <n v="6500"/>
  </r>
  <r>
    <x v="0"/>
    <s v="11-500-00-673000-53220"/>
    <x v="0"/>
    <n v="500"/>
    <n v="0"/>
    <x v="117"/>
    <n v="53220"/>
    <x v="1"/>
    <s v="53"/>
    <s v="532"/>
    <x v="1840"/>
    <s v="Human Resources : PERS Nonteaching"/>
    <n v="113326.6"/>
  </r>
  <r>
    <x v="0"/>
    <s v="11-500-00-673000-53320"/>
    <x v="0"/>
    <n v="500"/>
    <n v="0"/>
    <x v="117"/>
    <n v="53320"/>
    <x v="1"/>
    <s v="53"/>
    <s v="533"/>
    <x v="1841"/>
    <s v="Human Resources : OASDHI (FICA) Nonteaching"/>
    <n v="34550.83"/>
  </r>
  <r>
    <x v="0"/>
    <s v="11-500-00-673000-53340"/>
    <x v="0"/>
    <n v="500"/>
    <n v="0"/>
    <x v="117"/>
    <n v="53340"/>
    <x v="1"/>
    <s v="53"/>
    <s v="533"/>
    <x v="1842"/>
    <s v="Human Resources : Medicare Nonteaching"/>
    <n v="8080.44"/>
  </r>
  <r>
    <x v="0"/>
    <s v="11-500-00-673000-53420"/>
    <x v="0"/>
    <n v="500"/>
    <n v="0"/>
    <x v="117"/>
    <n v="53420"/>
    <x v="1"/>
    <s v="53"/>
    <s v="534"/>
    <x v="1843"/>
    <s v="Human Resources : H &amp; W Nonteaching"/>
    <n v="130836.34"/>
  </r>
  <r>
    <x v="0"/>
    <s v="11-500-00-673000-53520"/>
    <x v="0"/>
    <n v="500"/>
    <n v="0"/>
    <x v="117"/>
    <n v="53520"/>
    <x v="1"/>
    <s v="53"/>
    <s v="535"/>
    <x v="1844"/>
    <s v="Human Resources : SUI Nonteaching"/>
    <n v="278.63"/>
  </r>
  <r>
    <x v="0"/>
    <s v="11-500-00-673000-53620"/>
    <x v="0"/>
    <n v="500"/>
    <n v="0"/>
    <x v="117"/>
    <n v="53620"/>
    <x v="1"/>
    <s v="53"/>
    <s v="536"/>
    <x v="1845"/>
    <s v="Human Resources : WC Nonteaching"/>
    <n v="10536.9"/>
  </r>
  <r>
    <x v="0"/>
    <s v="11-500-00-673000-53920"/>
    <x v="0"/>
    <n v="500"/>
    <n v="0"/>
    <x v="117"/>
    <n v="53920"/>
    <x v="1"/>
    <s v="53"/>
    <s v="539"/>
    <x v="1846"/>
    <s v="Human Resources : Other Benefit-Non Teaching"/>
    <n v="9600"/>
  </r>
  <r>
    <x v="0"/>
    <s v="11-500-00-673000-54300"/>
    <x v="0"/>
    <n v="500"/>
    <n v="0"/>
    <x v="117"/>
    <n v="54300"/>
    <x v="1"/>
    <s v="54"/>
    <s v="543"/>
    <x v="1847"/>
    <s v="Human Resources : Supplies &amp; Materials"/>
    <n v="3500"/>
  </r>
  <r>
    <x v="0"/>
    <s v="11-500-00-673000-55105"/>
    <x v="0"/>
    <n v="500"/>
    <n v="0"/>
    <x v="117"/>
    <n v="55105"/>
    <x v="1"/>
    <s v="55"/>
    <s v="551"/>
    <x v="1848"/>
    <s v="Human Resources : Contract Services"/>
    <n v="2000"/>
  </r>
  <r>
    <x v="0"/>
    <s v="11-500-00-673000-55125"/>
    <x v="0"/>
    <n v="500"/>
    <n v="0"/>
    <x v="117"/>
    <n v="55125"/>
    <x v="1"/>
    <s v="55"/>
    <s v="551"/>
    <x v="1849"/>
    <s v="Human Resources : Training &amp; Seminars"/>
    <n v="35000"/>
  </r>
  <r>
    <x v="0"/>
    <s v="11-500-00-673000-55200"/>
    <x v="0"/>
    <n v="500"/>
    <n v="0"/>
    <x v="117"/>
    <n v="55200"/>
    <x v="1"/>
    <s v="55"/>
    <s v="552"/>
    <x v="1850"/>
    <s v="Human Resources : Travel &amp; Conference"/>
    <n v="0"/>
  </r>
  <r>
    <x v="0"/>
    <s v="11-500-00-673000-55300"/>
    <x v="0"/>
    <n v="500"/>
    <n v="0"/>
    <x v="117"/>
    <n v="55300"/>
    <x v="1"/>
    <s v="55"/>
    <s v="553"/>
    <x v="1851"/>
    <s v="Human Resources : Memberships"/>
    <n v="2695"/>
  </r>
  <r>
    <x v="0"/>
    <s v="11-500-00-673000-55625"/>
    <x v="0"/>
    <n v="500"/>
    <n v="0"/>
    <x v="117"/>
    <n v="55625"/>
    <x v="1"/>
    <s v="55"/>
    <s v="556"/>
    <x v="1852"/>
    <s v="Human Resources : Inprocessing Costs"/>
    <n v="15000"/>
  </r>
  <r>
    <x v="0"/>
    <s v="11-500-00-673000-55630"/>
    <x v="0"/>
    <n v="500"/>
    <n v="0"/>
    <x v="117"/>
    <n v="55630"/>
    <x v="1"/>
    <s v="55"/>
    <s v="556"/>
    <x v="1853"/>
    <s v="Human Resources : Printing &amp; Duplicating - Inhouse"/>
    <n v="3000"/>
  </r>
  <r>
    <x v="0"/>
    <s v="11-500-00-673000-55635"/>
    <x v="0"/>
    <n v="500"/>
    <n v="0"/>
    <x v="117"/>
    <n v="55635"/>
    <x v="1"/>
    <s v="55"/>
    <s v="556"/>
    <x v="1854"/>
    <s v="Human Resources : Printing Services - Vendor"/>
    <n v="200"/>
  </r>
  <r>
    <x v="0"/>
    <s v="11-500-00-673000-55700"/>
    <x v="0"/>
    <n v="500"/>
    <n v="0"/>
    <x v="117"/>
    <n v="55700"/>
    <x v="1"/>
    <s v="55"/>
    <s v="557"/>
    <x v="1855"/>
    <s v="Human Resources : Legal &amp; Audit Expenses"/>
    <n v="75000"/>
  </r>
  <r>
    <x v="0"/>
    <s v="11-500-00-673000-55825"/>
    <x v="0"/>
    <n v="500"/>
    <n v="0"/>
    <x v="117"/>
    <n v="55825"/>
    <x v="1"/>
    <s v="55"/>
    <s v="558"/>
    <x v="1856"/>
    <s v="Human Resources : Relocation Expenses"/>
    <n v="0"/>
  </r>
  <r>
    <x v="0"/>
    <s v="11-500-00-673000-56400"/>
    <x v="0"/>
    <n v="500"/>
    <n v="0"/>
    <x v="117"/>
    <n v="56400"/>
    <x v="1"/>
    <s v="56"/>
    <s v="564"/>
    <x v="1857"/>
    <s v="Human Resources : Cap Equip - $200 to $4,999"/>
    <n v="6000"/>
  </r>
  <r>
    <x v="0"/>
    <s v="11-600-00-678000-52105"/>
    <x v="0"/>
    <n v="600"/>
    <n v="0"/>
    <x v="118"/>
    <n v="52105"/>
    <x v="1"/>
    <s v="52"/>
    <s v="521"/>
    <x v="1858"/>
    <s v="Management Information Systems : Classified CSEA"/>
    <n v="1213225.72"/>
  </r>
  <r>
    <x v="0"/>
    <s v="11-600-00-678000-52130"/>
    <x v="0"/>
    <n v="600"/>
    <n v="0"/>
    <x v="118"/>
    <n v="52130"/>
    <x v="1"/>
    <s v="52"/>
    <s v="521"/>
    <x v="1859"/>
    <s v="Management Information Systems : Classified Management"/>
    <n v="312113"/>
  </r>
  <r>
    <x v="0"/>
    <s v="11-600-00-678000-52300"/>
    <x v="0"/>
    <n v="600"/>
    <n v="0"/>
    <x v="118"/>
    <n v="52300"/>
    <x v="1"/>
    <s v="52"/>
    <s v="523"/>
    <x v="1860"/>
    <s v="Management Information Systems : Classified Overtime"/>
    <n v="20000"/>
  </r>
  <r>
    <x v="0"/>
    <s v="11-600-00-678000-52350"/>
    <x v="0"/>
    <n v="600"/>
    <n v="0"/>
    <x v="118"/>
    <n v="52350"/>
    <x v="1"/>
    <s v="52"/>
    <s v="523"/>
    <x v="1861"/>
    <s v="Management Information Systems : Classified Student Dist Non-IA PT"/>
    <n v="30000"/>
  </r>
  <r>
    <x v="0"/>
    <s v="11-600-00-678000-53220"/>
    <x v="0"/>
    <n v="600"/>
    <n v="0"/>
    <x v="118"/>
    <n v="53220"/>
    <x v="1"/>
    <s v="53"/>
    <s v="532"/>
    <x v="1862"/>
    <s v="Management Information Systems : PERS Nonteaching"/>
    <n v="315745.13"/>
  </r>
  <r>
    <x v="0"/>
    <s v="11-600-00-678000-53320"/>
    <x v="0"/>
    <n v="600"/>
    <n v="0"/>
    <x v="118"/>
    <n v="53320"/>
    <x v="1"/>
    <s v="53"/>
    <s v="533"/>
    <x v="1863"/>
    <s v="Management Information Systems : OASDHI (FICA) Nonteaching"/>
    <n v="95811"/>
  </r>
  <r>
    <x v="0"/>
    <s v="11-600-00-678000-53340"/>
    <x v="0"/>
    <n v="600"/>
    <n v="0"/>
    <x v="118"/>
    <n v="53340"/>
    <x v="1"/>
    <s v="53"/>
    <s v="533"/>
    <x v="1864"/>
    <s v="Management Information Systems : Medicare Nonteaching"/>
    <n v="22407.41"/>
  </r>
  <r>
    <x v="0"/>
    <s v="11-600-00-678000-53420"/>
    <x v="0"/>
    <n v="600"/>
    <n v="0"/>
    <x v="118"/>
    <n v="53420"/>
    <x v="1"/>
    <s v="53"/>
    <s v="534"/>
    <x v="1865"/>
    <s v="Management Information Systems : H &amp; W Nonteaching"/>
    <n v="372703.85"/>
  </r>
  <r>
    <x v="0"/>
    <s v="11-600-00-678000-53520"/>
    <x v="0"/>
    <n v="600"/>
    <n v="0"/>
    <x v="118"/>
    <n v="53520"/>
    <x v="1"/>
    <s v="53"/>
    <s v="535"/>
    <x v="1866"/>
    <s v="Management Information Systems : SUI Nonteaching"/>
    <n v="772.67"/>
  </r>
  <r>
    <x v="0"/>
    <s v="11-600-00-678000-53620"/>
    <x v="0"/>
    <n v="600"/>
    <n v="0"/>
    <x v="118"/>
    <n v="53620"/>
    <x v="1"/>
    <s v="53"/>
    <s v="536"/>
    <x v="1867"/>
    <s v="Management Information Systems : WC Nonteaching"/>
    <n v="29786.5"/>
  </r>
  <r>
    <x v="0"/>
    <s v="11-600-00-678000-53920"/>
    <x v="0"/>
    <n v="600"/>
    <n v="0"/>
    <x v="118"/>
    <n v="53920"/>
    <x v="1"/>
    <s v="53"/>
    <s v="539"/>
    <x v="1868"/>
    <s v="Management Information Systems : Other Benefit-Non Teaching"/>
    <n v="14400"/>
  </r>
  <r>
    <x v="0"/>
    <s v="11-600-00-678000-54300"/>
    <x v="0"/>
    <n v="600"/>
    <n v="0"/>
    <x v="118"/>
    <n v="54300"/>
    <x v="1"/>
    <s v="54"/>
    <s v="543"/>
    <x v="1869"/>
    <s v="Management Information Systems : Supplies &amp; Materials"/>
    <n v="8500"/>
  </r>
  <r>
    <x v="0"/>
    <s v="11-600-00-678000-55105"/>
    <x v="0"/>
    <n v="600"/>
    <n v="0"/>
    <x v="118"/>
    <n v="55105"/>
    <x v="1"/>
    <s v="55"/>
    <s v="551"/>
    <x v="1870"/>
    <s v="Management Information Systems : Contract Services"/>
    <n v="80170"/>
  </r>
  <r>
    <x v="0"/>
    <s v="11-600-00-678000-55125"/>
    <x v="0"/>
    <n v="600"/>
    <n v="0"/>
    <x v="118"/>
    <n v="55125"/>
    <x v="1"/>
    <s v="55"/>
    <s v="551"/>
    <x v="1871"/>
    <s v="Management Information Systems : Training &amp; Seminars"/>
    <n v="6000"/>
  </r>
  <r>
    <x v="0"/>
    <s v="11-600-00-678000-55200"/>
    <x v="0"/>
    <n v="600"/>
    <n v="0"/>
    <x v="118"/>
    <n v="55200"/>
    <x v="1"/>
    <s v="55"/>
    <s v="552"/>
    <x v="1872"/>
    <s v="Management Information Systems : Travel &amp; Conference"/>
    <n v="617.94000000000005"/>
  </r>
  <r>
    <x v="0"/>
    <s v="11-600-00-678000-55300"/>
    <x v="0"/>
    <n v="600"/>
    <n v="0"/>
    <x v="118"/>
    <n v="55300"/>
    <x v="1"/>
    <s v="55"/>
    <s v="553"/>
    <x v="1873"/>
    <s v="Management Information Systems : Memberships"/>
    <n v="1500"/>
  </r>
  <r>
    <x v="0"/>
    <s v="11-600-00-678000-55550"/>
    <x v="0"/>
    <n v="600"/>
    <n v="0"/>
    <x v="118"/>
    <n v="55550"/>
    <x v="1"/>
    <s v="55"/>
    <s v="555"/>
    <x v="1874"/>
    <s v="Management Information Systems : Telephone Service"/>
    <n v="139000"/>
  </r>
  <r>
    <x v="0"/>
    <s v="11-600-00-678000-55610"/>
    <x v="0"/>
    <n v="600"/>
    <n v="0"/>
    <x v="118"/>
    <n v="55610"/>
    <x v="1"/>
    <s v="55"/>
    <s v="556"/>
    <x v="1875"/>
    <s v="Management Information Systems : Software licensing"/>
    <n v="50000"/>
  </r>
  <r>
    <x v="0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108.17"/>
  </r>
  <r>
    <x v="0"/>
    <s v="11-600-00-678000-55650"/>
    <x v="0"/>
    <n v="600"/>
    <n v="0"/>
    <x v="118"/>
    <n v="55650"/>
    <x v="1"/>
    <s v="55"/>
    <s v="556"/>
    <x v="1877"/>
    <s v="Management Information Systems : Maintenance Agreement"/>
    <n v="1190285"/>
  </r>
  <r>
    <x v="0"/>
    <s v="11-600-00-678000-55653"/>
    <x v="0"/>
    <n v="600"/>
    <n v="0"/>
    <x v="118"/>
    <n v="55653"/>
    <x v="1"/>
    <s v="55"/>
    <s v="556"/>
    <x v="1878"/>
    <s v="Management Information Systems : Instructional Computer Repair"/>
    <n v="1500"/>
  </r>
  <r>
    <x v="0"/>
    <s v="11-600-00-678000-56400"/>
    <x v="0"/>
    <n v="600"/>
    <n v="0"/>
    <x v="118"/>
    <n v="56400"/>
    <x v="1"/>
    <s v="56"/>
    <s v="564"/>
    <x v="1879"/>
    <s v="Management Information Systems : Cap Equip - $200 to $4,999"/>
    <n v="3300"/>
  </r>
  <r>
    <x v="0"/>
    <s v="11-600-00-678001-55105"/>
    <x v="0"/>
    <n v="600"/>
    <n v="0"/>
    <x v="119"/>
    <n v="55105"/>
    <x v="1"/>
    <s v="55"/>
    <s v="551"/>
    <x v="1880"/>
    <s v="Mngmnt Information Systems PPA : Contract Services"/>
    <n v="375000"/>
  </r>
  <r>
    <x v="0"/>
    <s v="11-600-00-678001-56402"/>
    <x v="0"/>
    <n v="600"/>
    <n v="0"/>
    <x v="119"/>
    <n v="56402"/>
    <x v="1"/>
    <s v="56"/>
    <s v="564"/>
    <x v="1881"/>
    <s v="Mngmnt Information Systems PPA : Capital software $200-$4,999"/>
    <n v="90000"/>
  </r>
  <r>
    <x v="0"/>
    <s v="13-000-00-000000-48891"/>
    <x v="1"/>
    <n v="0"/>
    <n v="0"/>
    <x v="0"/>
    <n v="48891"/>
    <x v="0"/>
    <s v="48"/>
    <s v="488"/>
    <x v="1882"/>
    <s v="General Use - Nonprogram : Parking Citations"/>
    <n v="-19350"/>
  </r>
  <r>
    <x v="0"/>
    <s v="13-000-00-695000-48881"/>
    <x v="1"/>
    <n v="0"/>
    <n v="0"/>
    <x v="47"/>
    <n v="48881"/>
    <x v="0"/>
    <s v="48"/>
    <s v="488"/>
    <x v="1883"/>
    <s v="Parking Services : Parking Fees - Restricted"/>
    <n v="-486"/>
  </r>
  <r>
    <x v="0"/>
    <s v="13-210-00-695000-48881"/>
    <x v="1"/>
    <n v="210"/>
    <n v="0"/>
    <x v="47"/>
    <n v="48881"/>
    <x v="0"/>
    <s v="48"/>
    <s v="488"/>
    <x v="1884"/>
    <s v="Parking Services : Parking Fees - Restricted"/>
    <n v="0"/>
  </r>
  <r>
    <x v="0"/>
    <s v="13-210-00-695000-52350"/>
    <x v="1"/>
    <n v="210"/>
    <n v="0"/>
    <x v="47"/>
    <n v="52350"/>
    <x v="1"/>
    <s v="52"/>
    <s v="523"/>
    <x v="1885"/>
    <s v="Parking Services : Classified Student Dist Non-IA PT"/>
    <n v="0"/>
  </r>
  <r>
    <x v="0"/>
    <s v="13-210-00-695000-53620"/>
    <x v="1"/>
    <n v="210"/>
    <n v="0"/>
    <x v="47"/>
    <n v="53620"/>
    <x v="1"/>
    <s v="53"/>
    <s v="536"/>
    <x v="1886"/>
    <s v="Parking Services : WC Nonteaching"/>
    <n v="0"/>
  </r>
  <r>
    <x v="0"/>
    <s v="13-210-00-695000-55105"/>
    <x v="1"/>
    <n v="210"/>
    <n v="0"/>
    <x v="47"/>
    <n v="55105"/>
    <x v="1"/>
    <s v="55"/>
    <s v="551"/>
    <x v="1887"/>
    <s v="Parking Services : Contract Services"/>
    <n v="15336"/>
  </r>
  <r>
    <x v="0"/>
    <s v="13-210-00-695000-55650"/>
    <x v="1"/>
    <n v="210"/>
    <n v="0"/>
    <x v="47"/>
    <n v="55650"/>
    <x v="1"/>
    <s v="55"/>
    <s v="556"/>
    <x v="1888"/>
    <s v="Parking Services : Maintenance Agreement"/>
    <n v="4500"/>
  </r>
  <r>
    <x v="0"/>
    <s v="13-210-00-695000-55861"/>
    <x v="1"/>
    <n v="210"/>
    <n v="0"/>
    <x v="47"/>
    <n v="55861"/>
    <x v="1"/>
    <s v="55"/>
    <s v="558"/>
    <x v="1889"/>
    <s v="Parking Services : Credit Card Fees "/>
    <n v="0"/>
  </r>
  <r>
    <x v="0"/>
    <s v="13-210-00-702810-48682"/>
    <x v="1"/>
    <n v="210"/>
    <n v="0"/>
    <x v="120"/>
    <n v="48682"/>
    <x v="0"/>
    <s v="48"/>
    <s v="486"/>
    <x v="1890"/>
    <s v="Lottery - Prop 20 : Lottery - Prop 20"/>
    <n v="-382915"/>
  </r>
  <r>
    <x v="0"/>
    <s v="13-210-00-702810-54300"/>
    <x v="1"/>
    <n v="210"/>
    <n v="0"/>
    <x v="120"/>
    <n v="54300"/>
    <x v="1"/>
    <s v="54"/>
    <s v="543"/>
    <x v="1891"/>
    <s v="Lottery - Prop 20 : Supplies &amp; Materials"/>
    <n v="240109.76"/>
  </r>
  <r>
    <x v="0"/>
    <s v="13-210-00-702810-55105"/>
    <x v="1"/>
    <n v="210"/>
    <n v="0"/>
    <x v="120"/>
    <n v="55105"/>
    <x v="1"/>
    <s v="55"/>
    <s v="551"/>
    <x v="1892"/>
    <s v="Lottery - Prop 20 : Contract Services"/>
    <n v="60805.24"/>
  </r>
  <r>
    <x v="0"/>
    <s v="13-210-00-702810-56341"/>
    <x v="1"/>
    <n v="210"/>
    <n v="0"/>
    <x v="120"/>
    <n v="56341"/>
    <x v="1"/>
    <s v="56"/>
    <s v="563"/>
    <x v="1893"/>
    <s v="Lottery - Prop 20 : On-line Database Services"/>
    <n v="77000"/>
  </r>
  <r>
    <x v="0"/>
    <s v="13-210-00-702810-56400"/>
    <x v="1"/>
    <n v="210"/>
    <n v="0"/>
    <x v="120"/>
    <n v="56400"/>
    <x v="1"/>
    <s v="56"/>
    <s v="564"/>
    <x v="1894"/>
    <s v="Lottery - Prop 20 : Cap Equip - $200 to $4,999"/>
    <n v="5000"/>
  </r>
  <r>
    <x v="0"/>
    <s v="31-240-00-000000-48850"/>
    <x v="2"/>
    <n v="240"/>
    <n v="0"/>
    <x v="0"/>
    <n v="48850"/>
    <x v="0"/>
    <s v="48"/>
    <s v="488"/>
    <x v="1895"/>
    <s v="General Use - Nonprogram : Rents &amp; Leases"/>
    <n v="-100000"/>
  </r>
  <r>
    <x v="0"/>
    <s v="31-240-00-000000-48860"/>
    <x v="2"/>
    <n v="240"/>
    <n v="0"/>
    <x v="0"/>
    <n v="48860"/>
    <x v="0"/>
    <s v="48"/>
    <s v="488"/>
    <x v="1896"/>
    <s v="General Use - Nonprogram : Interest Income"/>
    <n v="-10000"/>
  </r>
  <r>
    <x v="0"/>
    <s v="31-240-00-000000-57300"/>
    <x v="2"/>
    <n v="240"/>
    <n v="0"/>
    <x v="0"/>
    <n v="57300"/>
    <x v="1"/>
    <s v="57"/>
    <s v="573"/>
    <x v="1897"/>
    <s v="General Use - Nonprogram : Interfund Transfer"/>
    <n v="110000"/>
  </r>
  <r>
    <x v="0"/>
    <s v="41-200-00-000000-48816"/>
    <x v="3"/>
    <n v="200"/>
    <n v="0"/>
    <x v="0"/>
    <n v="48816"/>
    <x v="0"/>
    <s v="48"/>
    <s v="488"/>
    <x v="1898"/>
    <s v="General Use - Nonprogram : Property Tax-RDA/RPTTF"/>
    <n v="-80000"/>
  </r>
  <r>
    <x v="0"/>
    <s v="41-200-00-000000-48818"/>
    <x v="3"/>
    <n v="200"/>
    <n v="0"/>
    <x v="0"/>
    <n v="48818"/>
    <x v="0"/>
    <s v="48"/>
    <s v="488"/>
    <x v="1899"/>
    <s v="General Use - Nonprogram : RDA/RPTTF Pass-Through"/>
    <n v="-120000"/>
  </r>
  <r>
    <x v="0"/>
    <s v="41-200-00-000000-48860"/>
    <x v="3"/>
    <n v="200"/>
    <n v="0"/>
    <x v="0"/>
    <n v="48860"/>
    <x v="0"/>
    <s v="48"/>
    <s v="488"/>
    <x v="1900"/>
    <s v="General Use - Nonprogram : Interest Income"/>
    <n v="-20881"/>
  </r>
  <r>
    <x v="0"/>
    <s v="41-200-00-659010-55105"/>
    <x v="3"/>
    <n v="200"/>
    <n v="0"/>
    <x v="55"/>
    <n v="55105"/>
    <x v="1"/>
    <s v="55"/>
    <s v="551"/>
    <x v="1901"/>
    <s v="Maintenance &amp; Operations : Contract Services"/>
    <n v="30000"/>
  </r>
  <r>
    <x v="0"/>
    <s v="41-200-00-659010-56400"/>
    <x v="3"/>
    <n v="200"/>
    <n v="0"/>
    <x v="55"/>
    <n v="56400"/>
    <x v="1"/>
    <s v="56"/>
    <s v="564"/>
    <x v="1902"/>
    <s v="Maintenance &amp; Operations : Cap Equip - $200 to $4,999"/>
    <n v="50000"/>
  </r>
  <r>
    <x v="0"/>
    <s v="41-200-00-672020-55663"/>
    <x v="3"/>
    <n v="200"/>
    <n v="0"/>
    <x v="42"/>
    <n v="55663"/>
    <x v="1"/>
    <s v="55"/>
    <s v="556"/>
    <x v="1903"/>
    <s v="Fiscal Operations : Bank Fees"/>
    <n v="0"/>
  </r>
  <r>
    <x v="0"/>
    <s v="41-200-00-672020-55800"/>
    <x v="3"/>
    <n v="200"/>
    <n v="0"/>
    <x v="42"/>
    <n v="55800"/>
    <x v="1"/>
    <s v="55"/>
    <s v="558"/>
    <x v="1904"/>
    <s v="Fiscal Operations : Other Costs"/>
    <n v="0"/>
  </r>
  <r>
    <x v="0"/>
    <s v="41-200-00-672020-56400"/>
    <x v="3"/>
    <n v="200"/>
    <n v="0"/>
    <x v="42"/>
    <n v="56400"/>
    <x v="1"/>
    <s v="56"/>
    <s v="564"/>
    <x v="1905"/>
    <s v="Fiscal Operations : Cap Equip - $200 to $4,999"/>
    <n v="0"/>
  </r>
  <r>
    <x v="0"/>
    <s v="41-210-00-672020-48890"/>
    <x v="3"/>
    <n v="210"/>
    <n v="0"/>
    <x v="42"/>
    <n v="48890"/>
    <x v="0"/>
    <s v="48"/>
    <s v="488"/>
    <x v="1906"/>
    <s v="Fiscal Operations : Other Local Income "/>
    <n v="0"/>
  </r>
  <r>
    <x v="0"/>
    <s v="41-210-00-672020-55105"/>
    <x v="3"/>
    <n v="210"/>
    <n v="0"/>
    <x v="42"/>
    <n v="55105"/>
    <x v="1"/>
    <s v="55"/>
    <s v="551"/>
    <x v="1907"/>
    <s v="Fiscal Operations : Contract Services"/>
    <n v="0"/>
  </r>
  <r>
    <x v="0"/>
    <s v="41-210-00-672020-55600"/>
    <x v="3"/>
    <n v="210"/>
    <n v="0"/>
    <x v="42"/>
    <n v="55600"/>
    <x v="1"/>
    <s v="55"/>
    <s v="556"/>
    <x v="1908"/>
    <s v="Fiscal Operations : Rents &amp; Leases"/>
    <n v="90101"/>
  </r>
  <r>
    <x v="0"/>
    <s v="41-220-00-651000-55105"/>
    <x v="3"/>
    <n v="220"/>
    <n v="0"/>
    <x v="52"/>
    <n v="55105"/>
    <x v="1"/>
    <s v="55"/>
    <s v="551"/>
    <x v="1909"/>
    <s v="Building Maintenance &amp; Repairs : Contract Services"/>
    <n v="34600"/>
  </r>
  <r>
    <x v="0"/>
    <s v="41-220-00-659010-48890"/>
    <x v="3"/>
    <n v="220"/>
    <n v="0"/>
    <x v="55"/>
    <n v="48890"/>
    <x v="0"/>
    <s v="48"/>
    <s v="488"/>
    <x v="1910"/>
    <s v="Maintenance &amp; Operations : Other Local Income "/>
    <n v="0"/>
  </r>
  <r>
    <x v="0"/>
    <s v="41-220-00-659010-55105"/>
    <x v="3"/>
    <n v="220"/>
    <n v="0"/>
    <x v="55"/>
    <n v="55105"/>
    <x v="1"/>
    <s v="55"/>
    <s v="551"/>
    <x v="1911"/>
    <s v="Maintenance &amp; Operations : Contract Services"/>
    <n v="93400"/>
  </r>
  <r>
    <x v="0"/>
    <s v="41-220-00-659010-56100"/>
    <x v="3"/>
    <n v="220"/>
    <n v="0"/>
    <x v="55"/>
    <n v="56100"/>
    <x v="1"/>
    <s v="56"/>
    <s v="561"/>
    <x v="1912"/>
    <s v="Maintenance &amp; Operations : Site Improvements"/>
    <n v="30000"/>
  </r>
  <r>
    <x v="0"/>
    <s v="41-220-02-651000-55105"/>
    <x v="3"/>
    <n v="220"/>
    <n v="2"/>
    <x v="52"/>
    <n v="55105"/>
    <x v="1"/>
    <s v="55"/>
    <s v="551"/>
    <x v="1913"/>
    <s v="Building Maintenance &amp; Repairs : Contract Services"/>
    <n v="0"/>
  </r>
  <r>
    <x v="0"/>
    <s v="41-304-00-190200-56400"/>
    <x v="3"/>
    <n v="304"/>
    <n v="0"/>
    <x v="22"/>
    <n v="56400"/>
    <x v="1"/>
    <s v="56"/>
    <s v="564"/>
    <x v="1914"/>
    <s v="Physics : Cap Equip - $200 to $4,999"/>
    <n v="0"/>
  </r>
  <r>
    <x v="0"/>
    <s v="41-600-00-678000-55105"/>
    <x v="3"/>
    <n v="600"/>
    <n v="0"/>
    <x v="118"/>
    <n v="55105"/>
    <x v="1"/>
    <s v="55"/>
    <s v="551"/>
    <x v="1915"/>
    <s v="Management Information Systems : Contract Services"/>
    <n v="0"/>
  </r>
  <r>
    <x v="0"/>
    <s v="41-600-00-678000-56400"/>
    <x v="3"/>
    <n v="600"/>
    <n v="0"/>
    <x v="118"/>
    <n v="56400"/>
    <x v="1"/>
    <s v="56"/>
    <s v="564"/>
    <x v="1916"/>
    <s v="Management Information Systems : Cap Equip - $200 to $4,999"/>
    <n v="170000"/>
  </r>
  <r>
    <x v="0"/>
    <s v="41-600-00-678000-56405"/>
    <x v="3"/>
    <n v="600"/>
    <n v="0"/>
    <x v="118"/>
    <n v="56405"/>
    <x v="1"/>
    <s v="56"/>
    <s v="564"/>
    <x v="1917"/>
    <s v="Management Information Systems : Cap Equip - $5,000 and Over"/>
    <n v="0"/>
  </r>
  <r>
    <x v="0"/>
    <s v="44-000-00-000000-55105"/>
    <x v="4"/>
    <n v="0"/>
    <n v="0"/>
    <x v="0"/>
    <n v="55105"/>
    <x v="1"/>
    <s v="55"/>
    <s v="551"/>
    <x v="1918"/>
    <s v="General Use - Nonprogram : Contract Services"/>
    <n v="0"/>
  </r>
  <r>
    <x v="0"/>
    <s v="44-200-00-000000-48850"/>
    <x v="4"/>
    <n v="200"/>
    <n v="0"/>
    <x v="0"/>
    <n v="48850"/>
    <x v="0"/>
    <s v="48"/>
    <s v="488"/>
    <x v="1919"/>
    <s v="General Use - Nonprogram : Rents &amp; Leases"/>
    <n v="-422358"/>
  </r>
  <r>
    <x v="0"/>
    <s v="44-200-00-000000-48860"/>
    <x v="4"/>
    <n v="200"/>
    <n v="0"/>
    <x v="0"/>
    <n v="48860"/>
    <x v="0"/>
    <s v="48"/>
    <s v="488"/>
    <x v="1920"/>
    <s v="General Use - Nonprogram : Interest Income"/>
    <n v="-28104"/>
  </r>
  <r>
    <x v="0"/>
    <s v="44-200-00-000000-55105"/>
    <x v="4"/>
    <n v="200"/>
    <n v="0"/>
    <x v="0"/>
    <n v="55105"/>
    <x v="1"/>
    <s v="55"/>
    <s v="551"/>
    <x v="1921"/>
    <s v="General Use - Nonprogram : Contract Services"/>
    <n v="0"/>
  </r>
  <r>
    <x v="0"/>
    <s v="44-200-00-000000-55540"/>
    <x v="4"/>
    <n v="200"/>
    <n v="0"/>
    <x v="0"/>
    <n v="55540"/>
    <x v="1"/>
    <s v="55"/>
    <s v="555"/>
    <x v="1922"/>
    <s v="General Use - Nonprogram : Gas Utility"/>
    <n v="2300"/>
  </r>
  <r>
    <x v="0"/>
    <s v="44-200-00-000000-55560"/>
    <x v="4"/>
    <n v="200"/>
    <n v="0"/>
    <x v="0"/>
    <n v="55560"/>
    <x v="1"/>
    <s v="55"/>
    <s v="555"/>
    <x v="1923"/>
    <s v="General Use - Nonprogram : Water Service"/>
    <n v="797"/>
  </r>
  <r>
    <x v="0"/>
    <s v="44-200-00-000000-55570"/>
    <x v="4"/>
    <n v="200"/>
    <n v="0"/>
    <x v="0"/>
    <n v="55570"/>
    <x v="1"/>
    <s v="55"/>
    <s v="555"/>
    <x v="1924"/>
    <s v="General Use - Nonprogram : Sewer Service"/>
    <n v="2910"/>
  </r>
  <r>
    <x v="0"/>
    <s v="44-200-00-000000-55580"/>
    <x v="4"/>
    <n v="200"/>
    <n v="0"/>
    <x v="0"/>
    <n v="55580"/>
    <x v="1"/>
    <s v="55"/>
    <s v="555"/>
    <x v="1925"/>
    <s v="General Use - Nonprogram : Trash Collection Service"/>
    <n v="691"/>
  </r>
  <r>
    <x v="0"/>
    <s v="44-200-00-000000-55600"/>
    <x v="4"/>
    <n v="200"/>
    <n v="0"/>
    <x v="0"/>
    <n v="55600"/>
    <x v="1"/>
    <s v="55"/>
    <s v="556"/>
    <x v="1926"/>
    <s v="General Use - Nonprogram : Rents &amp; Leases"/>
    <n v="0"/>
  </r>
  <r>
    <x v="0"/>
    <s v="44-200-00-000000-55642"/>
    <x v="4"/>
    <n v="200"/>
    <n v="0"/>
    <x v="0"/>
    <n v="55642"/>
    <x v="1"/>
    <s v="55"/>
    <s v="556"/>
    <x v="1927"/>
    <s v="General Use - Nonprogram : Residential Repairs (Other)"/>
    <n v="3000"/>
  </r>
  <r>
    <x v="0"/>
    <s v="44-200-00-000000-55650"/>
    <x v="4"/>
    <n v="200"/>
    <n v="0"/>
    <x v="0"/>
    <n v="55650"/>
    <x v="1"/>
    <s v="55"/>
    <s v="556"/>
    <x v="1928"/>
    <s v="General Use - Nonprogram : Maintenance Agreement"/>
    <n v="2340"/>
  </r>
  <r>
    <x v="0"/>
    <s v="44-200-00-000000-55651"/>
    <x v="4"/>
    <n v="200"/>
    <n v="0"/>
    <x v="0"/>
    <n v="55651"/>
    <x v="1"/>
    <s v="55"/>
    <s v="556"/>
    <x v="1929"/>
    <s v="General Use - Nonprogram : Equipment Repairs"/>
    <n v="298"/>
  </r>
  <r>
    <x v="0"/>
    <s v="44-200-00-000000-55800"/>
    <x v="4"/>
    <n v="200"/>
    <n v="0"/>
    <x v="0"/>
    <n v="55800"/>
    <x v="1"/>
    <s v="55"/>
    <s v="558"/>
    <x v="1930"/>
    <s v="General Use - Nonprogram : Other Costs"/>
    <n v="12000"/>
  </r>
  <r>
    <x v="0"/>
    <s v="44-200-00-000000-56211"/>
    <x v="4"/>
    <n v="200"/>
    <n v="0"/>
    <x v="0"/>
    <n v="56211"/>
    <x v="1"/>
    <s v="56"/>
    <s v="562"/>
    <x v="1931"/>
    <s v="General Use - Nonprogram : Arch+Engr Fees Working Drawing"/>
    <n v="0"/>
  </r>
  <r>
    <x v="0"/>
    <s v="44-200-00-000000-56400"/>
    <x v="4"/>
    <n v="200"/>
    <n v="0"/>
    <x v="0"/>
    <n v="56400"/>
    <x v="1"/>
    <s v="56"/>
    <s v="564"/>
    <x v="1932"/>
    <s v="General Use - Nonprogram : Cap Equip - $200 to $4,999"/>
    <n v="0"/>
  </r>
  <r>
    <x v="0"/>
    <s v="44-200-01-000000-55800"/>
    <x v="4"/>
    <n v="200"/>
    <n v="1"/>
    <x v="0"/>
    <n v="55800"/>
    <x v="1"/>
    <s v="55"/>
    <s v="558"/>
    <x v="1933"/>
    <s v="General Use - Nonprogram : Other Costs"/>
    <n v="0"/>
  </r>
  <r>
    <x v="0"/>
    <s v="44-200-05-000000-55800"/>
    <x v="4"/>
    <n v="200"/>
    <n v="5"/>
    <x v="0"/>
    <n v="55800"/>
    <x v="1"/>
    <s v="55"/>
    <s v="558"/>
    <x v="1934"/>
    <s v="General Use - Nonprogram : Other Costs"/>
    <n v="0"/>
  </r>
  <r>
    <x v="0"/>
    <s v="44-220-00-000000-55105"/>
    <x v="4"/>
    <n v="220"/>
    <n v="0"/>
    <x v="0"/>
    <n v="55105"/>
    <x v="1"/>
    <s v="55"/>
    <s v="551"/>
    <x v="1935"/>
    <s v="General Use - Nonprogram : Contract Services"/>
    <n v="70402"/>
  </r>
  <r>
    <x v="0"/>
    <s v="44-220-00-000000-55800"/>
    <x v="4"/>
    <n v="220"/>
    <n v="0"/>
    <x v="0"/>
    <n v="55800"/>
    <x v="1"/>
    <s v="55"/>
    <s v="558"/>
    <x v="1936"/>
    <s v="General Use - Nonprogram : Other Costs"/>
    <n v="0"/>
  </r>
  <r>
    <x v="0"/>
    <s v="44-220-00-000000-56203"/>
    <x v="4"/>
    <n v="220"/>
    <n v="0"/>
    <x v="0"/>
    <n v="56203"/>
    <x v="1"/>
    <s v="56"/>
    <s v="562"/>
    <x v="1937"/>
    <s v="General Use - Nonprogram : Inspection"/>
    <n v="0"/>
  </r>
  <r>
    <x v="0"/>
    <s v="44-220-00-000000-56225"/>
    <x v="4"/>
    <n v="220"/>
    <n v="0"/>
    <x v="0"/>
    <n v="56225"/>
    <x v="1"/>
    <s v="56"/>
    <s v="562"/>
    <x v="1938"/>
    <s v="General Use - Nonprogram : New Construction"/>
    <n v="0"/>
  </r>
  <r>
    <x v="0"/>
    <s v="44-220-00-000000-56400"/>
    <x v="4"/>
    <n v="220"/>
    <n v="0"/>
    <x v="0"/>
    <n v="56400"/>
    <x v="1"/>
    <s v="56"/>
    <s v="564"/>
    <x v="1939"/>
    <s v="General Use - Nonprogram : Cap Equip - $200 to $4,999"/>
    <n v="0"/>
  </r>
  <r>
    <x v="0"/>
    <s v="44-220-00-000000-56405"/>
    <x v="4"/>
    <n v="220"/>
    <n v="0"/>
    <x v="0"/>
    <n v="56405"/>
    <x v="1"/>
    <s v="56"/>
    <s v="564"/>
    <x v="1940"/>
    <s v="General Use - Nonprogram : Cap Equip - $5,000 and Over"/>
    <n v="37760"/>
  </r>
  <r>
    <x v="0"/>
    <s v="44-340-00-000000-56224"/>
    <x v="4"/>
    <n v="340"/>
    <n v="0"/>
    <x v="0"/>
    <n v="56224"/>
    <x v="1"/>
    <s v="56"/>
    <s v="562"/>
    <x v="1941"/>
    <s v="General Use - Nonprogram : Reconstruction"/>
    <n v="0"/>
  </r>
  <r>
    <x v="0"/>
    <s v="44-400-00-649000-56200"/>
    <x v="4"/>
    <n v="400"/>
    <n v="0"/>
    <x v="105"/>
    <n v="56200"/>
    <x v="1"/>
    <s v="56"/>
    <s v="562"/>
    <x v="1942"/>
    <s v="Miscellaneous Student Services : Building Improvements"/>
    <n v="125000"/>
  </r>
  <r>
    <x v="0"/>
    <s v="46-000-00-000000-48860"/>
    <x v="5"/>
    <n v="0"/>
    <n v="0"/>
    <x v="0"/>
    <n v="48860"/>
    <x v="0"/>
    <s v="48"/>
    <s v="488"/>
    <x v="1943"/>
    <s v="General Use - Nonprogram : Interest Income"/>
    <n v="-1500000"/>
  </r>
  <r>
    <x v="0"/>
    <s v="46-000-00-000000-56400"/>
    <x v="5"/>
    <n v="0"/>
    <n v="0"/>
    <x v="0"/>
    <n v="56400"/>
    <x v="1"/>
    <s v="56"/>
    <s v="564"/>
    <x v="1944"/>
    <s v="General Use - Nonprogram : Cap Equip - $200 to $4,999"/>
    <n v="43506679.670000002"/>
  </r>
  <r>
    <x v="0"/>
    <s v="46-000-00-801000-52105"/>
    <x v="5"/>
    <n v="0"/>
    <n v="0"/>
    <x v="121"/>
    <n v="52105"/>
    <x v="1"/>
    <s v="52"/>
    <s v="521"/>
    <x v="1945"/>
    <s v="Measure T Administration : Classified CSEA"/>
    <n v="133622.04"/>
  </r>
  <r>
    <x v="0"/>
    <s v="46-000-00-801000-52130"/>
    <x v="5"/>
    <n v="0"/>
    <n v="0"/>
    <x v="121"/>
    <n v="52130"/>
    <x v="1"/>
    <s v="52"/>
    <s v="521"/>
    <x v="1946"/>
    <s v="Measure T Administration : Classified Management"/>
    <n v="137973.6"/>
  </r>
  <r>
    <x v="0"/>
    <s v="46-000-00-801000-53000"/>
    <x v="5"/>
    <n v="0"/>
    <n v="0"/>
    <x v="121"/>
    <n v="53000"/>
    <x v="1"/>
    <s v="53"/>
    <s v="530"/>
    <x v="1947"/>
    <s v="Measure T Administration : Employee Benefits Control"/>
    <n v="0"/>
  </r>
  <r>
    <x v="0"/>
    <s v="46-000-00-801000-53220"/>
    <x v="5"/>
    <n v="0"/>
    <n v="0"/>
    <x v="121"/>
    <n v="53220"/>
    <x v="1"/>
    <s v="53"/>
    <s v="532"/>
    <x v="1948"/>
    <s v="Measure T Administration : PERS Nonteaching"/>
    <n v="56220.3"/>
  </r>
  <r>
    <x v="0"/>
    <s v="46-000-00-801000-53320"/>
    <x v="5"/>
    <n v="0"/>
    <n v="0"/>
    <x v="121"/>
    <n v="53320"/>
    <x v="1"/>
    <s v="53"/>
    <s v="533"/>
    <x v="1949"/>
    <s v="Measure T Administration : OASDHI (FICA) Nonteaching"/>
    <n v="16838.919999999998"/>
  </r>
  <r>
    <x v="0"/>
    <s v="46-000-00-801000-53340"/>
    <x v="5"/>
    <n v="0"/>
    <n v="0"/>
    <x v="121"/>
    <n v="53340"/>
    <x v="1"/>
    <s v="53"/>
    <s v="533"/>
    <x v="1950"/>
    <s v="Measure T Administration : Medicare Nonteaching"/>
    <n v="3938.14"/>
  </r>
  <r>
    <x v="0"/>
    <s v="46-000-00-801000-53420"/>
    <x v="5"/>
    <n v="0"/>
    <n v="0"/>
    <x v="121"/>
    <n v="53420"/>
    <x v="1"/>
    <s v="53"/>
    <s v="534"/>
    <x v="1951"/>
    <s v="Measure T Administration : H &amp; W Nonteaching"/>
    <n v="88171.45"/>
  </r>
  <r>
    <x v="0"/>
    <s v="46-000-00-801000-53520"/>
    <x v="5"/>
    <n v="0"/>
    <n v="0"/>
    <x v="121"/>
    <n v="53520"/>
    <x v="1"/>
    <s v="53"/>
    <s v="535"/>
    <x v="1952"/>
    <s v="Measure T Administration : SUI Nonteaching"/>
    <n v="135.80000000000001"/>
  </r>
  <r>
    <x v="0"/>
    <s v="46-000-00-801000-53620"/>
    <x v="5"/>
    <n v="0"/>
    <n v="0"/>
    <x v="121"/>
    <n v="53620"/>
    <x v="1"/>
    <s v="53"/>
    <s v="536"/>
    <x v="1953"/>
    <s v="Measure T Administration : WC Nonteaching"/>
    <n v="5135.32"/>
  </r>
  <r>
    <x v="0"/>
    <s v="46-000-00-801000-55630"/>
    <x v="5"/>
    <n v="0"/>
    <n v="0"/>
    <x v="121"/>
    <n v="55630"/>
    <x v="1"/>
    <s v="55"/>
    <s v="556"/>
    <x v="1954"/>
    <s v="Measure T Administration : Printing &amp; Duplicating - Inhouse"/>
    <n v="2500"/>
  </r>
  <r>
    <x v="0"/>
    <s v="46-000-00-801000-55700"/>
    <x v="5"/>
    <n v="0"/>
    <n v="0"/>
    <x v="121"/>
    <n v="55700"/>
    <x v="1"/>
    <s v="55"/>
    <s v="557"/>
    <x v="1955"/>
    <s v="Measure T Administration : Legal &amp; Audit Expenses"/>
    <n v="12000"/>
  </r>
  <r>
    <x v="0"/>
    <s v="46-000-00-801000-55710"/>
    <x v="5"/>
    <n v="0"/>
    <n v="0"/>
    <x v="121"/>
    <n v="55710"/>
    <x v="1"/>
    <s v="55"/>
    <s v="557"/>
    <x v="1956"/>
    <s v="Measure T Administration : Elections"/>
    <n v="0"/>
  </r>
  <r>
    <x v="0"/>
    <s v="46-001-00-880000-54300"/>
    <x v="5"/>
    <n v="1"/>
    <n v="0"/>
    <x v="122"/>
    <n v="54300"/>
    <x v="1"/>
    <s v="54"/>
    <s v="543"/>
    <x v="1957"/>
    <s v="Measure T-Proj Adm : Supplies &amp; Materials"/>
    <n v="1000"/>
  </r>
  <r>
    <x v="0"/>
    <s v="46-001-00-880000-55200"/>
    <x v="5"/>
    <n v="1"/>
    <n v="0"/>
    <x v="122"/>
    <n v="55200"/>
    <x v="1"/>
    <s v="55"/>
    <s v="552"/>
    <x v="1958"/>
    <s v="Measure T-Proj Adm : Travel &amp; Conference"/>
    <n v="1305"/>
  </r>
  <r>
    <x v="0"/>
    <s v="46-001-00-880000-55635"/>
    <x v="5"/>
    <n v="1"/>
    <n v="0"/>
    <x v="122"/>
    <n v="55635"/>
    <x v="1"/>
    <s v="55"/>
    <s v="556"/>
    <x v="1959"/>
    <s v="Measure T-Proj Adm : Printing Services - Vendor"/>
    <n v="0"/>
  </r>
  <r>
    <x v="0"/>
    <s v="46-001-00-880000-55700"/>
    <x v="5"/>
    <n v="1"/>
    <n v="0"/>
    <x v="122"/>
    <n v="55700"/>
    <x v="1"/>
    <s v="55"/>
    <s v="557"/>
    <x v="1960"/>
    <s v="Measure T-Proj Adm : Legal &amp; Audit Expenses"/>
    <n v="10000"/>
  </r>
  <r>
    <x v="0"/>
    <s v="46-001-00-880100-55200"/>
    <x v="5"/>
    <n v="1"/>
    <n v="0"/>
    <x v="123"/>
    <n v="55200"/>
    <x v="1"/>
    <s v="55"/>
    <s v="552"/>
    <x v="1961"/>
    <s v="Soledad Education Center : Travel &amp; Conference"/>
    <n v="0"/>
  </r>
  <r>
    <x v="0"/>
    <s v="46-001-00-880200-56203"/>
    <x v="5"/>
    <n v="1"/>
    <n v="0"/>
    <x v="124"/>
    <n v="56203"/>
    <x v="1"/>
    <s v="56"/>
    <s v="562"/>
    <x v="1962"/>
    <s v="HC Center for Nursing &amp; Health : Inspection"/>
    <n v="338200"/>
  </r>
  <r>
    <x v="0"/>
    <s v="46-001-00-880200-56210"/>
    <x v="5"/>
    <n v="1"/>
    <n v="0"/>
    <x v="124"/>
    <n v="56210"/>
    <x v="1"/>
    <s v="56"/>
    <s v="562"/>
    <x v="1963"/>
    <s v="HC Center for Nursing &amp; Health : Arch+Engr Fees Prelim Plans"/>
    <n v="273165"/>
  </r>
  <r>
    <x v="0"/>
    <s v="46-001-00-880200-56220"/>
    <x v="5"/>
    <n v="1"/>
    <n v="0"/>
    <x v="124"/>
    <n v="56220"/>
    <x v="1"/>
    <s v="56"/>
    <s v="562"/>
    <x v="1964"/>
    <s v="HC Center for Nursing &amp; Health : Utility Service"/>
    <n v="0"/>
  </r>
  <r>
    <x v="0"/>
    <s v="46-001-00-880200-56222"/>
    <x v="5"/>
    <n v="1"/>
    <n v="0"/>
    <x v="124"/>
    <n v="56222"/>
    <x v="1"/>
    <s v="56"/>
    <s v="562"/>
    <x v="1965"/>
    <s v="HC Center for Nursing &amp; Health : Site Development General"/>
    <n v="22000"/>
  </r>
  <r>
    <x v="0"/>
    <s v="46-001-00-880200-56223"/>
    <x v="5"/>
    <n v="1"/>
    <n v="0"/>
    <x v="124"/>
    <n v="56223"/>
    <x v="1"/>
    <s v="56"/>
    <s v="562"/>
    <x v="1966"/>
    <s v="HC Center for Nursing &amp; Health : Other Site Development"/>
    <n v="25620"/>
  </r>
  <r>
    <x v="0"/>
    <s v="46-001-00-880200-56225"/>
    <x v="5"/>
    <n v="1"/>
    <n v="0"/>
    <x v="124"/>
    <n v="56225"/>
    <x v="1"/>
    <s v="56"/>
    <s v="562"/>
    <x v="1967"/>
    <s v="HC Center for Nursing &amp; Health : New Construction"/>
    <n v="17000000"/>
  </r>
  <r>
    <x v="0"/>
    <s v="46-001-00-880200-56250"/>
    <x v="5"/>
    <n v="1"/>
    <n v="0"/>
    <x v="124"/>
    <n v="56250"/>
    <x v="1"/>
    <s v="56"/>
    <s v="562"/>
    <x v="1968"/>
    <s v="HC Center for Nursing &amp; Health : Tests and Inspections"/>
    <n v="205819"/>
  </r>
  <r>
    <x v="0"/>
    <s v="46-001-00-880300-56215"/>
    <x v="5"/>
    <n v="1"/>
    <n v="0"/>
    <x v="125"/>
    <n v="56215"/>
    <x v="1"/>
    <s v="56"/>
    <s v="562"/>
    <x v="1969"/>
    <s v="NM Cty Education Center : Preliminary Tests"/>
    <n v="24400"/>
  </r>
  <r>
    <x v="0"/>
    <s v="46-001-00-880400-56203"/>
    <x v="5"/>
    <n v="1"/>
    <n v="0"/>
    <x v="126"/>
    <n v="56203"/>
    <x v="1"/>
    <s v="56"/>
    <s v="562"/>
    <x v="1970"/>
    <s v="MC Hartnell Center-Bldg D &amp; E : Inspection"/>
    <n v="166840"/>
  </r>
  <r>
    <x v="0"/>
    <s v="46-001-00-880400-56210"/>
    <x v="5"/>
    <n v="1"/>
    <n v="0"/>
    <x v="126"/>
    <n v="56210"/>
    <x v="1"/>
    <s v="56"/>
    <s v="562"/>
    <x v="1971"/>
    <s v="MC Hartnell Center-Bldg D &amp; E : Arch+Engr Fees Prelim Plans"/>
    <n v="270000"/>
  </r>
  <r>
    <x v="0"/>
    <s v="46-001-00-880400-56217"/>
    <x v="5"/>
    <n v="1"/>
    <n v="0"/>
    <x v="126"/>
    <n v="56217"/>
    <x v="1"/>
    <s v="56"/>
    <s v="562"/>
    <x v="1972"/>
    <s v="MC Hartnell Center-Bldg D &amp; E : Permits and Fees"/>
    <n v="1200"/>
  </r>
  <r>
    <x v="0"/>
    <s v="46-001-00-880400-56218"/>
    <x v="5"/>
    <n v="1"/>
    <n v="0"/>
    <x v="126"/>
    <n v="56218"/>
    <x v="1"/>
    <s v="56"/>
    <s v="562"/>
    <x v="1973"/>
    <s v="MC Hartnell Center-Bldg D &amp; E : Fixtures, Furniture &amp; Equip."/>
    <n v="350000"/>
  </r>
  <r>
    <x v="0"/>
    <s v="46-001-00-880400-56223"/>
    <x v="5"/>
    <n v="1"/>
    <n v="0"/>
    <x v="126"/>
    <n v="56223"/>
    <x v="1"/>
    <s v="56"/>
    <s v="562"/>
    <x v="1974"/>
    <s v="MC Hartnell Center-Bldg D &amp; E : Other Site Development"/>
    <n v="16880"/>
  </r>
  <r>
    <x v="0"/>
    <s v="46-001-00-880400-56224"/>
    <x v="5"/>
    <n v="1"/>
    <n v="0"/>
    <x v="126"/>
    <n v="56224"/>
    <x v="1"/>
    <s v="56"/>
    <s v="562"/>
    <x v="1975"/>
    <s v="MC Hartnell Center-Bldg D &amp; E : Reconstruction"/>
    <n v="10196677"/>
  </r>
  <r>
    <x v="0"/>
    <s v="46-001-00-880400-56250"/>
    <x v="5"/>
    <n v="1"/>
    <n v="0"/>
    <x v="126"/>
    <n v="56250"/>
    <x v="1"/>
    <s v="56"/>
    <s v="562"/>
    <x v="1976"/>
    <s v="MC Hartnell Center-Bldg D &amp; E : Tests and Inspections"/>
    <n v="69900"/>
  </r>
  <r>
    <x v="0"/>
    <s v="46-001-00-881100-56226"/>
    <x v="5"/>
    <n v="1"/>
    <n v="0"/>
    <x v="127"/>
    <n v="56226"/>
    <x v="1"/>
    <s v="56"/>
    <s v="562"/>
    <x v="1977"/>
    <s v="IT/Safety/Energy Efficiency Pr : Other Costs"/>
    <n v="275237"/>
  </r>
  <r>
    <x v="0"/>
    <s v="46-001-02-880500-56202"/>
    <x v="5"/>
    <n v="1"/>
    <n v="2"/>
    <x v="128"/>
    <n v="56202"/>
    <x v="1"/>
    <s v="56"/>
    <s v="562"/>
    <x v="1978"/>
    <s v="King City Education Center : Construction Costs"/>
    <n v="1850"/>
  </r>
  <r>
    <x v="0"/>
    <s v="46-001-02-880500-56203"/>
    <x v="5"/>
    <n v="1"/>
    <n v="2"/>
    <x v="128"/>
    <n v="56203"/>
    <x v="1"/>
    <s v="56"/>
    <s v="562"/>
    <x v="1979"/>
    <s v="King City Education Center : Inspection"/>
    <n v="128200"/>
  </r>
  <r>
    <x v="0"/>
    <s v="46-001-02-880500-56210"/>
    <x v="5"/>
    <n v="1"/>
    <n v="2"/>
    <x v="128"/>
    <n v="56210"/>
    <x v="1"/>
    <s v="56"/>
    <s v="562"/>
    <x v="1980"/>
    <s v="King City Education Center : Arch+Engr Fees Prelim Plans"/>
    <n v="711520"/>
  </r>
  <r>
    <x v="0"/>
    <s v="46-001-02-880500-56218"/>
    <x v="5"/>
    <n v="1"/>
    <n v="2"/>
    <x v="128"/>
    <n v="56218"/>
    <x v="1"/>
    <s v="56"/>
    <s v="562"/>
    <x v="1981"/>
    <s v="King City Education Center : Fixtures, Furniture &amp; Equip."/>
    <n v="432000"/>
  </r>
  <r>
    <x v="0"/>
    <s v="46-001-02-880500-56225"/>
    <x v="5"/>
    <n v="1"/>
    <n v="2"/>
    <x v="128"/>
    <n v="56225"/>
    <x v="1"/>
    <s v="56"/>
    <s v="562"/>
    <x v="1982"/>
    <s v="King City Education Center : New Construction"/>
    <n v="8169764"/>
  </r>
  <r>
    <x v="0"/>
    <s v="46-001-02-880500-56250"/>
    <x v="5"/>
    <n v="1"/>
    <n v="2"/>
    <x v="128"/>
    <n v="56250"/>
    <x v="1"/>
    <s v="56"/>
    <s v="562"/>
    <x v="1983"/>
    <s v="King City Education Center : Tests and Inspections"/>
    <n v="86906"/>
  </r>
  <r>
    <x v="0"/>
    <s v="46-001-04-880100-56203"/>
    <x v="5"/>
    <n v="1"/>
    <n v="4"/>
    <x v="123"/>
    <n v="56203"/>
    <x v="1"/>
    <s v="56"/>
    <s v="562"/>
    <x v="1984"/>
    <s v="Soledad Education Center : Inspection"/>
    <n v="115400"/>
  </r>
  <r>
    <x v="0"/>
    <s v="46-001-04-880100-56210"/>
    <x v="5"/>
    <n v="1"/>
    <n v="4"/>
    <x v="123"/>
    <n v="56210"/>
    <x v="1"/>
    <s v="56"/>
    <s v="562"/>
    <x v="1985"/>
    <s v="Soledad Education Center : Arch+Engr Fees Prelim Plans"/>
    <n v="782000"/>
  </r>
  <r>
    <x v="0"/>
    <s v="46-001-04-880100-56217"/>
    <x v="5"/>
    <n v="1"/>
    <n v="4"/>
    <x v="123"/>
    <n v="56217"/>
    <x v="1"/>
    <s v="56"/>
    <s v="562"/>
    <x v="1986"/>
    <s v="Soledad Education Center : Permits and Fees"/>
    <n v="600"/>
  </r>
  <r>
    <x v="0"/>
    <s v="46-001-04-880100-56218"/>
    <x v="5"/>
    <n v="1"/>
    <n v="4"/>
    <x v="123"/>
    <n v="56218"/>
    <x v="1"/>
    <s v="56"/>
    <s v="562"/>
    <x v="1987"/>
    <s v="Soledad Education Center : Fixtures, Furniture &amp; Equip."/>
    <n v="575000"/>
  </r>
  <r>
    <x v="0"/>
    <s v="46-001-04-880100-56220"/>
    <x v="5"/>
    <n v="1"/>
    <n v="4"/>
    <x v="123"/>
    <n v="56220"/>
    <x v="1"/>
    <s v="56"/>
    <s v="562"/>
    <x v="1988"/>
    <s v="Soledad Education Center : Utility Service"/>
    <n v="2600"/>
  </r>
  <r>
    <x v="0"/>
    <s v="46-001-04-880100-56225"/>
    <x v="5"/>
    <n v="1"/>
    <n v="4"/>
    <x v="123"/>
    <n v="56225"/>
    <x v="1"/>
    <s v="56"/>
    <s v="562"/>
    <x v="1989"/>
    <s v="Soledad Education Center : New Construction"/>
    <n v="6926403"/>
  </r>
  <r>
    <x v="0"/>
    <s v="46-001-04-880100-56250"/>
    <x v="5"/>
    <n v="1"/>
    <n v="4"/>
    <x v="123"/>
    <n v="56250"/>
    <x v="1"/>
    <s v="56"/>
    <s v="562"/>
    <x v="1990"/>
    <s v="Soledad Education Center : Tests and Inspections"/>
    <n v="92915"/>
  </r>
  <r>
    <x v="0"/>
    <s v="46-001-05-880300-56203"/>
    <x v="5"/>
    <n v="1"/>
    <n v="5"/>
    <x v="125"/>
    <n v="56203"/>
    <x v="1"/>
    <s v="56"/>
    <s v="562"/>
    <x v="1991"/>
    <s v="NM Cty Education Center : Inspection"/>
    <n v="192000"/>
  </r>
  <r>
    <x v="0"/>
    <s v="46-001-05-880300-56211"/>
    <x v="5"/>
    <n v="1"/>
    <n v="5"/>
    <x v="125"/>
    <n v="56211"/>
    <x v="1"/>
    <s v="56"/>
    <s v="562"/>
    <x v="1992"/>
    <s v="NM Cty Education Center : Arch+Engr Fees Working Drawing"/>
    <n v="59200"/>
  </r>
  <r>
    <x v="0"/>
    <s v="46-001-05-880300-56215"/>
    <x v="5"/>
    <n v="1"/>
    <n v="5"/>
    <x v="125"/>
    <n v="56215"/>
    <x v="1"/>
    <s v="56"/>
    <s v="562"/>
    <x v="1993"/>
    <s v="NM Cty Education Center : Preliminary Tests"/>
    <n v="6200"/>
  </r>
  <r>
    <x v="0"/>
    <s v="46-001-05-880300-56216"/>
    <x v="5"/>
    <n v="1"/>
    <n v="5"/>
    <x v="125"/>
    <n v="56216"/>
    <x v="1"/>
    <s v="56"/>
    <s v="562"/>
    <x v="1994"/>
    <s v="NM Cty Education Center : Other Costs"/>
    <n v="11100"/>
  </r>
  <r>
    <x v="0"/>
    <s v="46-001-05-880300-56217"/>
    <x v="5"/>
    <n v="1"/>
    <n v="5"/>
    <x v="125"/>
    <n v="56217"/>
    <x v="1"/>
    <s v="56"/>
    <s v="562"/>
    <x v="1995"/>
    <s v="NM Cty Education Center : Permits and Fees"/>
    <n v="13800"/>
  </r>
  <r>
    <x v="0"/>
    <s v="46-001-05-880300-56218"/>
    <x v="5"/>
    <n v="1"/>
    <n v="5"/>
    <x v="125"/>
    <n v="56218"/>
    <x v="1"/>
    <s v="56"/>
    <s v="562"/>
    <x v="1996"/>
    <s v="NM Cty Education Center : Fixtures, Furniture &amp; Equip."/>
    <n v="566075"/>
  </r>
  <r>
    <x v="0"/>
    <s v="46-001-05-880300-56220"/>
    <x v="5"/>
    <n v="1"/>
    <n v="5"/>
    <x v="125"/>
    <n v="56220"/>
    <x v="1"/>
    <s v="56"/>
    <s v="562"/>
    <x v="1997"/>
    <s v="NM Cty Education Center : Utility Service"/>
    <n v="41000"/>
  </r>
  <r>
    <x v="0"/>
    <s v="46-001-05-880300-56223"/>
    <x v="5"/>
    <n v="1"/>
    <n v="5"/>
    <x v="125"/>
    <n v="56223"/>
    <x v="1"/>
    <s v="56"/>
    <s v="562"/>
    <x v="1998"/>
    <s v="NM Cty Education Center : Other Site Development"/>
    <n v="7500"/>
  </r>
  <r>
    <x v="0"/>
    <s v="46-001-05-880300-56225"/>
    <x v="5"/>
    <n v="1"/>
    <n v="5"/>
    <x v="125"/>
    <n v="56225"/>
    <x v="1"/>
    <s v="56"/>
    <s v="562"/>
    <x v="1999"/>
    <s v="NM Cty Education Center : New Construction"/>
    <n v="11120066"/>
  </r>
  <r>
    <x v="0"/>
    <s v="46-001-05-880300-56250"/>
    <x v="5"/>
    <n v="1"/>
    <n v="5"/>
    <x v="125"/>
    <n v="56250"/>
    <x v="1"/>
    <s v="56"/>
    <s v="562"/>
    <x v="2000"/>
    <s v="NM Cty Education Center : Tests and Inspections"/>
    <n v="160000"/>
  </r>
  <r>
    <x v="0"/>
    <s v="46-002-00-000000-48940"/>
    <x v="5"/>
    <n v="2"/>
    <n v="0"/>
    <x v="0"/>
    <n v="48940"/>
    <x v="0"/>
    <s v="48"/>
    <s v="489"/>
    <x v="2001"/>
    <s v="General Use - Nonprogram : Sale of Bonds"/>
    <n v="-70000000"/>
  </r>
  <r>
    <x v="0"/>
    <s v="46-002-00-880250-56203"/>
    <x v="5"/>
    <n v="2"/>
    <n v="0"/>
    <x v="129"/>
    <n v="56203"/>
    <x v="1"/>
    <s v="56"/>
    <s v="562"/>
    <x v="2002"/>
    <s v="Bldg. B 2nd Floor Reno : Inspection"/>
    <n v="60000"/>
  </r>
  <r>
    <x v="0"/>
    <s v="46-002-00-880250-56211"/>
    <x v="5"/>
    <n v="2"/>
    <n v="0"/>
    <x v="129"/>
    <n v="56211"/>
    <x v="1"/>
    <s v="56"/>
    <s v="562"/>
    <x v="2003"/>
    <s v="Bldg. B 2nd Floor Reno : Arch+Engr Fees Working Drawing"/>
    <n v="66740"/>
  </r>
  <r>
    <x v="0"/>
    <s v="46-002-00-880250-56224"/>
    <x v="5"/>
    <n v="2"/>
    <n v="0"/>
    <x v="129"/>
    <n v="56224"/>
    <x v="1"/>
    <s v="56"/>
    <s v="562"/>
    <x v="2004"/>
    <s v="Bldg. B 2nd Floor Reno : Reconstruction"/>
    <n v="1615759.76"/>
  </r>
  <r>
    <x v="0"/>
    <s v="46-002-00-880350-56200"/>
    <x v="5"/>
    <n v="2"/>
    <n v="0"/>
    <x v="130"/>
    <n v="56200"/>
    <x v="1"/>
    <s v="56"/>
    <s v="562"/>
    <x v="2005"/>
    <s v="Building C reroof : Building Improvements"/>
    <n v="1507426"/>
  </r>
  <r>
    <x v="0"/>
    <s v="46-002-00-880450-56216"/>
    <x v="5"/>
    <n v="2"/>
    <n v="0"/>
    <x v="131"/>
    <n v="56216"/>
    <x v="1"/>
    <s v="56"/>
    <s v="562"/>
    <x v="2006"/>
    <s v="MC Disability Access Eval. : Other Costs"/>
    <n v="150"/>
  </r>
  <r>
    <x v="0"/>
    <s v="46-002-00-880450-56250"/>
    <x v="5"/>
    <n v="2"/>
    <n v="0"/>
    <x v="131"/>
    <n v="56250"/>
    <x v="1"/>
    <s v="56"/>
    <s v="562"/>
    <x v="2007"/>
    <s v="MC Disability Access Eval. : Tests and Inspections"/>
    <n v="81000"/>
  </r>
  <r>
    <x v="0"/>
    <s v="46-002-00-880700-56224"/>
    <x v="5"/>
    <n v="2"/>
    <n v="0"/>
    <x v="132"/>
    <n v="56224"/>
    <x v="1"/>
    <s v="56"/>
    <s v="562"/>
    <x v="2008"/>
    <s v="Main Campus-Bldg F,G &amp; H : Reconstruction"/>
    <n v="904873"/>
  </r>
  <r>
    <x v="0"/>
    <s v="46-002-00-880750-56224"/>
    <x v="5"/>
    <n v="2"/>
    <n v="0"/>
    <x v="133"/>
    <n v="56224"/>
    <x v="1"/>
    <s v="56"/>
    <s v="562"/>
    <x v="2009"/>
    <s v="PE Fields Reno : Reconstruction"/>
    <n v="3000000"/>
  </r>
  <r>
    <x v="0"/>
    <s v="46-002-00-880800-56211"/>
    <x v="5"/>
    <n v="2"/>
    <n v="0"/>
    <x v="134"/>
    <n v="56211"/>
    <x v="1"/>
    <s v="56"/>
    <s v="562"/>
    <x v="2010"/>
    <s v="Main Campus-Bldg K : Arch+Engr Fees Working Drawing"/>
    <n v="856500"/>
  </r>
  <r>
    <x v="0"/>
    <s v="46-002-00-880800-56215"/>
    <x v="5"/>
    <n v="2"/>
    <n v="0"/>
    <x v="134"/>
    <n v="56215"/>
    <x v="1"/>
    <s v="56"/>
    <s v="562"/>
    <x v="2011"/>
    <s v="Main Campus-Bldg K : Preliminary Tests"/>
    <n v="6600"/>
  </r>
  <r>
    <x v="0"/>
    <s v="46-002-00-880800-56223"/>
    <x v="5"/>
    <n v="2"/>
    <n v="0"/>
    <x v="134"/>
    <n v="56223"/>
    <x v="1"/>
    <s v="56"/>
    <s v="562"/>
    <x v="2012"/>
    <s v="Main Campus-Bldg K : Other Site Development"/>
    <n v="2500"/>
  </r>
  <r>
    <x v="0"/>
    <s v="46-002-00-880800-56224"/>
    <x v="5"/>
    <n v="2"/>
    <n v="0"/>
    <x v="134"/>
    <n v="56224"/>
    <x v="1"/>
    <s v="56"/>
    <s v="562"/>
    <x v="2013"/>
    <s v="Main Campus-Bldg K : Reconstruction"/>
    <n v="465480"/>
  </r>
  <r>
    <x v="0"/>
    <s v="46-002-00-880800-56250"/>
    <x v="5"/>
    <n v="2"/>
    <n v="0"/>
    <x v="134"/>
    <n v="56250"/>
    <x v="1"/>
    <s v="56"/>
    <s v="562"/>
    <x v="2014"/>
    <s v="Main Campus-Bldg K : Tests and Inspections"/>
    <n v="38000"/>
  </r>
  <r>
    <x v="0"/>
    <s v="46-002-00-880900-56211"/>
    <x v="5"/>
    <n v="2"/>
    <n v="0"/>
    <x v="135"/>
    <n v="56211"/>
    <x v="1"/>
    <s v="56"/>
    <s v="562"/>
    <x v="2015"/>
    <s v="Main Campus-Bldg J : Arch+Engr Fees Working Drawing"/>
    <n v="611000"/>
  </r>
  <r>
    <x v="0"/>
    <s v="46-002-00-880900-56215"/>
    <x v="5"/>
    <n v="2"/>
    <n v="0"/>
    <x v="135"/>
    <n v="56215"/>
    <x v="1"/>
    <s v="56"/>
    <s v="562"/>
    <x v="2016"/>
    <s v="Main Campus-Bldg J : Preliminary Tests"/>
    <n v="7100"/>
  </r>
  <r>
    <x v="0"/>
    <s v="46-002-00-880900-56223"/>
    <x v="5"/>
    <n v="2"/>
    <n v="0"/>
    <x v="135"/>
    <n v="56223"/>
    <x v="1"/>
    <s v="56"/>
    <s v="562"/>
    <x v="2017"/>
    <s v="Main Campus-Bldg J : Other Site Development"/>
    <n v="3300"/>
  </r>
  <r>
    <x v="0"/>
    <s v="46-002-01-880600-56211"/>
    <x v="5"/>
    <n v="2"/>
    <n v="1"/>
    <x v="136"/>
    <n v="56211"/>
    <x v="1"/>
    <s v="56"/>
    <s v="562"/>
    <x v="2018"/>
    <s v="Alisal Project : Arch+Engr Fees Working Drawing"/>
    <n v="500000"/>
  </r>
  <r>
    <x v="0"/>
    <s v="46-002-02-880500-55575"/>
    <x v="5"/>
    <n v="2"/>
    <n v="2"/>
    <x v="128"/>
    <n v="55575"/>
    <x v="1"/>
    <s v="55"/>
    <s v="555"/>
    <x v="2019"/>
    <s v="King City Education Center : Hazardous Waste Disposal"/>
    <n v="0"/>
  </r>
  <r>
    <x v="0"/>
    <s v="46-002-02-880500-56203"/>
    <x v="5"/>
    <n v="2"/>
    <n v="2"/>
    <x v="128"/>
    <n v="56203"/>
    <x v="1"/>
    <s v="56"/>
    <s v="562"/>
    <x v="2020"/>
    <s v="King City Education Center : Inspection"/>
    <n v="0"/>
  </r>
  <r>
    <x v="0"/>
    <s v="46-002-02-880500-56211"/>
    <x v="5"/>
    <n v="2"/>
    <n v="2"/>
    <x v="128"/>
    <n v="56211"/>
    <x v="1"/>
    <s v="56"/>
    <s v="562"/>
    <x v="2021"/>
    <s v="King City Education Center : Arch+Engr Fees Working Drawing"/>
    <n v="0"/>
  </r>
  <r>
    <x v="0"/>
    <s v="52-230-00-000000-48844"/>
    <x v="6"/>
    <n v="230"/>
    <n v="0"/>
    <x v="0"/>
    <n v="48844"/>
    <x v="0"/>
    <s v="48"/>
    <s v="488"/>
    <x v="2022"/>
    <s v="General Use - Nonprogram : Food Service Sales"/>
    <n v="-8869"/>
  </r>
  <r>
    <x v="0"/>
    <s v="52-230-00-000000-48845"/>
    <x v="6"/>
    <n v="230"/>
    <n v="0"/>
    <x v="0"/>
    <n v="48845"/>
    <x v="0"/>
    <s v="48"/>
    <s v="488"/>
    <x v="2023"/>
    <s v="General Use - Nonprogram : Vending Machine Sales"/>
    <n v="-11113"/>
  </r>
  <r>
    <x v="0"/>
    <s v="52-230-00-000000-48849"/>
    <x v="6"/>
    <n v="230"/>
    <n v="0"/>
    <x v="0"/>
    <n v="48849"/>
    <x v="0"/>
    <s v="48"/>
    <s v="488"/>
    <x v="2024"/>
    <s v="General Use - Nonprogram : ATM Sales"/>
    <n v="0"/>
  </r>
  <r>
    <x v="0"/>
    <s v="52-230-00-000000-48860"/>
    <x v="6"/>
    <n v="230"/>
    <n v="0"/>
    <x v="0"/>
    <n v="48860"/>
    <x v="0"/>
    <s v="48"/>
    <s v="488"/>
    <x v="2025"/>
    <s v="General Use - Nonprogram : Interest Income"/>
    <n v="-2525"/>
  </r>
  <r>
    <x v="0"/>
    <s v="52-230-00-000000-52105"/>
    <x v="6"/>
    <n v="230"/>
    <n v="0"/>
    <x v="0"/>
    <n v="52105"/>
    <x v="1"/>
    <s v="52"/>
    <s v="521"/>
    <x v="2026"/>
    <s v="General Use - Nonprogram : Classified CSEA"/>
    <n v="0"/>
  </r>
  <r>
    <x v="0"/>
    <s v="52-230-00-000000-52115"/>
    <x v="6"/>
    <n v="230"/>
    <n v="0"/>
    <x v="0"/>
    <n v="52115"/>
    <x v="1"/>
    <s v="52"/>
    <s v="521"/>
    <x v="2027"/>
    <s v="General Use - Nonprogram : Classified Supervisory"/>
    <n v="0"/>
  </r>
  <r>
    <x v="0"/>
    <s v="52-230-00-000000-52120"/>
    <x v="6"/>
    <n v="230"/>
    <n v="0"/>
    <x v="0"/>
    <n v="52120"/>
    <x v="1"/>
    <s v="52"/>
    <s v="521"/>
    <x v="2028"/>
    <s v="General Use - Nonprogram : Classified Confidential"/>
    <n v="0"/>
  </r>
  <r>
    <x v="0"/>
    <s v="52-230-00-000000-52125"/>
    <x v="6"/>
    <n v="230"/>
    <n v="0"/>
    <x v="0"/>
    <n v="52125"/>
    <x v="1"/>
    <s v="52"/>
    <s v="521"/>
    <x v="2029"/>
    <s v="General Use - Nonprogram : Classified L-39"/>
    <n v="0"/>
  </r>
  <r>
    <x v="0"/>
    <s v="52-230-00-000000-52130"/>
    <x v="6"/>
    <n v="230"/>
    <n v="0"/>
    <x v="0"/>
    <n v="52130"/>
    <x v="1"/>
    <s v="52"/>
    <s v="521"/>
    <x v="2030"/>
    <s v="General Use - Nonprogram : Classified Management"/>
    <n v="0"/>
  </r>
  <r>
    <x v="0"/>
    <s v="52-230-00-000000-52300"/>
    <x v="6"/>
    <n v="230"/>
    <n v="0"/>
    <x v="0"/>
    <n v="52300"/>
    <x v="1"/>
    <s v="52"/>
    <s v="523"/>
    <x v="2031"/>
    <s v="General Use - Nonprogram : Classified Overtime"/>
    <n v="0"/>
  </r>
  <r>
    <x v="0"/>
    <s v="52-230-00-000000-52310"/>
    <x v="6"/>
    <n v="230"/>
    <n v="0"/>
    <x v="0"/>
    <n v="52310"/>
    <x v="1"/>
    <s v="52"/>
    <s v="523"/>
    <x v="2032"/>
    <s v="General Use - Nonprogram : Classified Student FWS Non-IA"/>
    <n v="0"/>
  </r>
  <r>
    <x v="0"/>
    <s v="52-230-00-000000-52350"/>
    <x v="6"/>
    <n v="230"/>
    <n v="0"/>
    <x v="0"/>
    <n v="52350"/>
    <x v="1"/>
    <s v="52"/>
    <s v="523"/>
    <x v="2033"/>
    <s v="General Use - Nonprogram : Classified Student Dist Non-IA PT"/>
    <n v="0"/>
  </r>
  <r>
    <x v="0"/>
    <s v="52-230-00-000000-53220"/>
    <x v="6"/>
    <n v="230"/>
    <n v="0"/>
    <x v="0"/>
    <n v="53220"/>
    <x v="1"/>
    <s v="53"/>
    <s v="532"/>
    <x v="2034"/>
    <s v="General Use - Nonprogram : PERS Nonteaching"/>
    <n v="0"/>
  </r>
  <r>
    <x v="0"/>
    <s v="52-230-00-000000-53320"/>
    <x v="6"/>
    <n v="230"/>
    <n v="0"/>
    <x v="0"/>
    <n v="53320"/>
    <x v="1"/>
    <s v="53"/>
    <s v="533"/>
    <x v="2035"/>
    <s v="General Use - Nonprogram : OASDHI (FICA) Nonteaching"/>
    <n v="0"/>
  </r>
  <r>
    <x v="0"/>
    <s v="52-230-00-000000-53340"/>
    <x v="6"/>
    <n v="230"/>
    <n v="0"/>
    <x v="0"/>
    <n v="53340"/>
    <x v="1"/>
    <s v="53"/>
    <s v="533"/>
    <x v="2036"/>
    <s v="General Use - Nonprogram : Medicare Nonteaching"/>
    <n v="0"/>
  </r>
  <r>
    <x v="0"/>
    <s v="52-230-00-000000-53420"/>
    <x v="6"/>
    <n v="230"/>
    <n v="0"/>
    <x v="0"/>
    <n v="53420"/>
    <x v="1"/>
    <s v="53"/>
    <s v="534"/>
    <x v="2037"/>
    <s v="General Use - Nonprogram : H &amp; W Nonteaching"/>
    <n v="0"/>
  </r>
  <r>
    <x v="0"/>
    <s v="52-230-00-000000-53520"/>
    <x v="6"/>
    <n v="230"/>
    <n v="0"/>
    <x v="0"/>
    <n v="53520"/>
    <x v="1"/>
    <s v="53"/>
    <s v="535"/>
    <x v="2038"/>
    <s v="General Use - Nonprogram : SUI Nonteaching"/>
    <n v="0"/>
  </r>
  <r>
    <x v="0"/>
    <s v="52-230-00-000000-53620"/>
    <x v="6"/>
    <n v="230"/>
    <n v="0"/>
    <x v="0"/>
    <n v="53620"/>
    <x v="1"/>
    <s v="53"/>
    <s v="536"/>
    <x v="2039"/>
    <s v="General Use - Nonprogram : WC Nonteaching"/>
    <n v="0"/>
  </r>
  <r>
    <x v="0"/>
    <s v="52-230-00-000000-53920"/>
    <x v="6"/>
    <n v="230"/>
    <n v="0"/>
    <x v="0"/>
    <n v="53920"/>
    <x v="1"/>
    <s v="53"/>
    <s v="539"/>
    <x v="2040"/>
    <s v="General Use - Nonprogram : Other Benefit-Non Teaching"/>
    <n v="0"/>
  </r>
  <r>
    <x v="0"/>
    <s v="52-230-00-000000-54210"/>
    <x v="6"/>
    <n v="230"/>
    <n v="0"/>
    <x v="0"/>
    <n v="54210"/>
    <x v="1"/>
    <s v="54"/>
    <s v="542"/>
    <x v="2041"/>
    <s v="General Use - Nonprogram : Purchases - Food"/>
    <n v="10000"/>
  </r>
  <r>
    <x v="0"/>
    <s v="52-230-00-000000-54300"/>
    <x v="6"/>
    <n v="230"/>
    <n v="0"/>
    <x v="0"/>
    <n v="54300"/>
    <x v="1"/>
    <s v="54"/>
    <s v="543"/>
    <x v="2042"/>
    <s v="General Use - Nonprogram : Supplies &amp; Materials"/>
    <n v="9982"/>
  </r>
  <r>
    <x v="0"/>
    <s v="52-230-00-000000-54320"/>
    <x v="6"/>
    <n v="230"/>
    <n v="0"/>
    <x v="0"/>
    <n v="54320"/>
    <x v="1"/>
    <s v="54"/>
    <s v="543"/>
    <x v="2043"/>
    <s v="General Use - Nonprogram : Laundry"/>
    <n v="0"/>
  </r>
  <r>
    <x v="0"/>
    <s v="52-230-00-000000-55200"/>
    <x v="6"/>
    <n v="230"/>
    <n v="0"/>
    <x v="0"/>
    <n v="55200"/>
    <x v="1"/>
    <s v="55"/>
    <s v="552"/>
    <x v="2044"/>
    <s v="General Use - Nonprogram : Travel &amp; Conference"/>
    <n v="0"/>
  </r>
  <r>
    <x v="0"/>
    <s v="52-230-00-000000-55600"/>
    <x v="6"/>
    <n v="230"/>
    <n v="0"/>
    <x v="0"/>
    <n v="55600"/>
    <x v="1"/>
    <s v="55"/>
    <s v="556"/>
    <x v="2045"/>
    <s v="General Use - Nonprogram : Rents &amp; Leases"/>
    <n v="0"/>
  </r>
  <r>
    <x v="0"/>
    <s v="52-230-00-000000-55630"/>
    <x v="6"/>
    <n v="230"/>
    <n v="0"/>
    <x v="0"/>
    <n v="55630"/>
    <x v="1"/>
    <s v="55"/>
    <s v="556"/>
    <x v="2046"/>
    <s v="General Use - Nonprogram : Printing &amp; Duplicating - Inhouse"/>
    <n v="0"/>
  </r>
  <r>
    <x v="0"/>
    <s v="52-230-00-000000-55651"/>
    <x v="6"/>
    <n v="230"/>
    <n v="0"/>
    <x v="0"/>
    <n v="55651"/>
    <x v="1"/>
    <s v="55"/>
    <s v="556"/>
    <x v="2047"/>
    <s v="General Use - Nonprogram : Equipment Repairs"/>
    <n v="0"/>
  </r>
  <r>
    <x v="0"/>
    <s v="52-230-00-000000-55800"/>
    <x v="6"/>
    <n v="230"/>
    <n v="0"/>
    <x v="0"/>
    <n v="55800"/>
    <x v="1"/>
    <s v="55"/>
    <s v="558"/>
    <x v="2048"/>
    <s v="General Use - Nonprogram : Other Costs"/>
    <n v="370"/>
  </r>
  <r>
    <x v="0"/>
    <s v="52-230-00-000000-55805"/>
    <x v="6"/>
    <n v="230"/>
    <n v="0"/>
    <x v="0"/>
    <n v="55805"/>
    <x v="1"/>
    <s v="55"/>
    <s v="558"/>
    <x v="2049"/>
    <s v="General Use - Nonprogram : Cash, Over / Short"/>
    <n v="0"/>
  </r>
  <r>
    <x v="0"/>
    <s v="52-230-00-000000-55861"/>
    <x v="6"/>
    <n v="230"/>
    <n v="0"/>
    <x v="0"/>
    <n v="55861"/>
    <x v="1"/>
    <s v="55"/>
    <s v="558"/>
    <x v="2050"/>
    <s v="General Use - Nonprogram : Credit Card Fees "/>
    <n v="1215"/>
  </r>
  <r>
    <x v="0"/>
    <s v="52-230-00-000000-56217"/>
    <x v="6"/>
    <n v="230"/>
    <n v="0"/>
    <x v="0"/>
    <n v="56217"/>
    <x v="1"/>
    <s v="56"/>
    <s v="562"/>
    <x v="2051"/>
    <s v="General Use - Nonprogram : Permits and Fees"/>
    <n v="940"/>
  </r>
  <r>
    <x v="0"/>
    <s v="52-230-00-000000-57300"/>
    <x v="6"/>
    <n v="230"/>
    <n v="0"/>
    <x v="0"/>
    <n v="57300"/>
    <x v="1"/>
    <s v="57"/>
    <s v="573"/>
    <x v="2052"/>
    <s v="General Use - Nonprogram : Interfund Transfer"/>
    <n v="7443"/>
  </r>
  <r>
    <x v="0"/>
    <s v="55-230-00-000000-48844"/>
    <x v="7"/>
    <n v="230"/>
    <n v="0"/>
    <x v="0"/>
    <n v="48844"/>
    <x v="0"/>
    <s v="48"/>
    <s v="488"/>
    <x v="2053"/>
    <s v="General Use - Nonprogram : Food Service Sales"/>
    <n v="0"/>
  </r>
  <r>
    <x v="0"/>
    <s v="55-230-00-000000-48860"/>
    <x v="7"/>
    <n v="230"/>
    <n v="0"/>
    <x v="0"/>
    <n v="48860"/>
    <x v="0"/>
    <s v="48"/>
    <s v="488"/>
    <x v="2054"/>
    <s v="General Use - Nonprogram : Interest Income"/>
    <n v="0"/>
  </r>
  <r>
    <x v="0"/>
    <s v="55-230-00-000000-48862"/>
    <x v="7"/>
    <n v="230"/>
    <n v="0"/>
    <x v="0"/>
    <n v="48862"/>
    <x v="0"/>
    <s v="48"/>
    <s v="488"/>
    <x v="2055"/>
    <s v="General Use - Nonprogram : Credit Card Sales"/>
    <n v="0"/>
  </r>
  <r>
    <x v="0"/>
    <s v="55-230-00-000000-48863"/>
    <x v="7"/>
    <n v="230"/>
    <n v="0"/>
    <x v="0"/>
    <n v="48863"/>
    <x v="0"/>
    <s v="48"/>
    <s v="488"/>
    <x v="2056"/>
    <s v="General Use - Nonprogram : Starbucks Pay Sales"/>
    <n v="0"/>
  </r>
  <r>
    <x v="0"/>
    <s v="55-230-00-000000-48864"/>
    <x v="7"/>
    <n v="230"/>
    <n v="0"/>
    <x v="0"/>
    <n v="48864"/>
    <x v="0"/>
    <s v="48"/>
    <s v="488"/>
    <x v="2057"/>
    <s v="General Use - Nonprogram : Cat Card Sales"/>
    <n v="0"/>
  </r>
  <r>
    <x v="0"/>
    <s v="55-230-00-000000-48980"/>
    <x v="7"/>
    <n v="230"/>
    <n v="0"/>
    <x v="0"/>
    <n v="48980"/>
    <x v="0"/>
    <s v="48"/>
    <s v="489"/>
    <x v="2058"/>
    <s v="General Use - Nonprogram : Interfund Transfer-In"/>
    <n v="-7443"/>
  </r>
  <r>
    <x v="0"/>
    <s v="55-230-00-000000-52105"/>
    <x v="7"/>
    <n v="230"/>
    <n v="0"/>
    <x v="0"/>
    <n v="52105"/>
    <x v="1"/>
    <s v="52"/>
    <s v="521"/>
    <x v="2059"/>
    <s v="General Use - Nonprogram : Classified CSEA"/>
    <n v="0"/>
  </r>
  <r>
    <x v="0"/>
    <s v="55-230-00-000000-52115"/>
    <x v="7"/>
    <n v="230"/>
    <n v="0"/>
    <x v="0"/>
    <n v="52115"/>
    <x v="1"/>
    <s v="52"/>
    <s v="521"/>
    <x v="2060"/>
    <s v="General Use - Nonprogram : Classified Supervisory"/>
    <n v="0"/>
  </r>
  <r>
    <x v="0"/>
    <s v="55-230-00-000000-52300"/>
    <x v="7"/>
    <n v="230"/>
    <n v="0"/>
    <x v="0"/>
    <n v="52300"/>
    <x v="1"/>
    <s v="52"/>
    <s v="523"/>
    <x v="2061"/>
    <s v="General Use - Nonprogram : Classified Overtime"/>
    <n v="0"/>
  </r>
  <r>
    <x v="0"/>
    <s v="55-230-00-000000-53220"/>
    <x v="7"/>
    <n v="230"/>
    <n v="0"/>
    <x v="0"/>
    <n v="53220"/>
    <x v="1"/>
    <s v="53"/>
    <s v="532"/>
    <x v="2062"/>
    <s v="General Use - Nonprogram : PERS Nonteaching"/>
    <n v="0"/>
  </r>
  <r>
    <x v="0"/>
    <s v="55-230-00-000000-53320"/>
    <x v="7"/>
    <n v="230"/>
    <n v="0"/>
    <x v="0"/>
    <n v="53320"/>
    <x v="1"/>
    <s v="53"/>
    <s v="533"/>
    <x v="2063"/>
    <s v="General Use - Nonprogram : OASDHI (FICA) Nonteaching"/>
    <n v="0"/>
  </r>
  <r>
    <x v="0"/>
    <s v="55-230-00-000000-53340"/>
    <x v="7"/>
    <n v="230"/>
    <n v="0"/>
    <x v="0"/>
    <n v="53340"/>
    <x v="1"/>
    <s v="53"/>
    <s v="533"/>
    <x v="2064"/>
    <s v="General Use - Nonprogram : Medicare Nonteaching"/>
    <n v="0"/>
  </r>
  <r>
    <x v="0"/>
    <s v="55-230-00-000000-53420"/>
    <x v="7"/>
    <n v="230"/>
    <n v="0"/>
    <x v="0"/>
    <n v="53420"/>
    <x v="1"/>
    <s v="53"/>
    <s v="534"/>
    <x v="2065"/>
    <s v="General Use - Nonprogram : H &amp; W Nonteaching"/>
    <n v="0"/>
  </r>
  <r>
    <x v="0"/>
    <s v="55-230-00-000000-53520"/>
    <x v="7"/>
    <n v="230"/>
    <n v="0"/>
    <x v="0"/>
    <n v="53520"/>
    <x v="1"/>
    <s v="53"/>
    <s v="535"/>
    <x v="2066"/>
    <s v="General Use - Nonprogram : SUI Nonteaching"/>
    <n v="0"/>
  </r>
  <r>
    <x v="0"/>
    <s v="55-230-00-000000-53620"/>
    <x v="7"/>
    <n v="230"/>
    <n v="0"/>
    <x v="0"/>
    <n v="53620"/>
    <x v="1"/>
    <s v="53"/>
    <s v="536"/>
    <x v="2067"/>
    <s v="General Use - Nonprogram : WC Nonteaching"/>
    <n v="0"/>
  </r>
  <r>
    <x v="0"/>
    <s v="55-230-00-000000-53920"/>
    <x v="7"/>
    <n v="230"/>
    <n v="0"/>
    <x v="0"/>
    <n v="53920"/>
    <x v="1"/>
    <s v="53"/>
    <s v="539"/>
    <x v="2068"/>
    <s v="General Use - Nonprogram : Other Benefit-Non Teaching"/>
    <n v="0"/>
  </r>
  <r>
    <x v="0"/>
    <s v="55-230-00-000000-54210"/>
    <x v="7"/>
    <n v="230"/>
    <n v="0"/>
    <x v="0"/>
    <n v="54210"/>
    <x v="1"/>
    <s v="54"/>
    <s v="542"/>
    <x v="2069"/>
    <s v="General Use - Nonprogram : Purchases - Food"/>
    <n v="0"/>
  </r>
  <r>
    <x v="0"/>
    <s v="55-230-00-000000-54300"/>
    <x v="7"/>
    <n v="230"/>
    <n v="0"/>
    <x v="0"/>
    <n v="54300"/>
    <x v="1"/>
    <s v="54"/>
    <s v="543"/>
    <x v="2070"/>
    <s v="General Use - Nonprogram : Supplies &amp; Materials"/>
    <n v="0"/>
  </r>
  <r>
    <x v="0"/>
    <s v="55-230-00-000000-54320"/>
    <x v="7"/>
    <n v="230"/>
    <n v="0"/>
    <x v="0"/>
    <n v="54320"/>
    <x v="1"/>
    <s v="54"/>
    <s v="543"/>
    <x v="2071"/>
    <s v="General Use - Nonprogram : Laundry"/>
    <n v="0"/>
  </r>
  <r>
    <x v="0"/>
    <s v="55-230-00-000000-55105"/>
    <x v="7"/>
    <n v="230"/>
    <n v="0"/>
    <x v="0"/>
    <n v="55105"/>
    <x v="1"/>
    <s v="55"/>
    <s v="551"/>
    <x v="2072"/>
    <s v="General Use - Nonprogram : Contract Services"/>
    <n v="243"/>
  </r>
  <r>
    <x v="0"/>
    <s v="55-230-00-000000-55200"/>
    <x v="7"/>
    <n v="230"/>
    <n v="0"/>
    <x v="0"/>
    <n v="55200"/>
    <x v="1"/>
    <s v="55"/>
    <s v="552"/>
    <x v="2073"/>
    <s v="General Use - Nonprogram : Travel &amp; Conference"/>
    <n v="0"/>
  </r>
  <r>
    <x v="0"/>
    <s v="55-230-00-000000-55630"/>
    <x v="7"/>
    <n v="230"/>
    <n v="0"/>
    <x v="0"/>
    <n v="55630"/>
    <x v="1"/>
    <s v="55"/>
    <s v="556"/>
    <x v="2074"/>
    <s v="General Use - Nonprogram : Printing &amp; Duplicating - Inhouse"/>
    <n v="0"/>
  </r>
  <r>
    <x v="0"/>
    <s v="55-230-00-000000-55640"/>
    <x v="7"/>
    <n v="230"/>
    <n v="0"/>
    <x v="0"/>
    <n v="55640"/>
    <x v="1"/>
    <s v="55"/>
    <s v="556"/>
    <x v="2075"/>
    <s v="General Use - Nonprogram : Royalty Payments"/>
    <n v="0"/>
  </r>
  <r>
    <x v="0"/>
    <s v="55-230-00-000000-55650"/>
    <x v="7"/>
    <n v="230"/>
    <n v="0"/>
    <x v="0"/>
    <n v="55650"/>
    <x v="1"/>
    <s v="55"/>
    <s v="556"/>
    <x v="2076"/>
    <s v="General Use - Nonprogram : Maintenance Agreement"/>
    <n v="3696"/>
  </r>
  <r>
    <x v="0"/>
    <s v="55-230-00-000000-55651"/>
    <x v="7"/>
    <n v="230"/>
    <n v="0"/>
    <x v="0"/>
    <n v="55651"/>
    <x v="1"/>
    <s v="55"/>
    <s v="556"/>
    <x v="2077"/>
    <s v="General Use - Nonprogram : Equipment Repairs"/>
    <n v="0"/>
  </r>
  <r>
    <x v="0"/>
    <s v="55-230-00-000000-55800"/>
    <x v="7"/>
    <n v="230"/>
    <n v="0"/>
    <x v="0"/>
    <n v="55800"/>
    <x v="1"/>
    <s v="55"/>
    <s v="558"/>
    <x v="2078"/>
    <s v="General Use - Nonprogram : Other Costs"/>
    <n v="0"/>
  </r>
  <r>
    <x v="0"/>
    <s v="55-230-00-000000-55861"/>
    <x v="7"/>
    <n v="230"/>
    <n v="0"/>
    <x v="0"/>
    <n v="55861"/>
    <x v="1"/>
    <s v="55"/>
    <s v="558"/>
    <x v="2079"/>
    <s v="General Use - Nonprogram : Credit Card Fees "/>
    <n v="2548"/>
  </r>
  <r>
    <x v="0"/>
    <s v="55-230-00-000000-56217"/>
    <x v="7"/>
    <n v="230"/>
    <n v="0"/>
    <x v="0"/>
    <n v="56217"/>
    <x v="1"/>
    <s v="56"/>
    <s v="562"/>
    <x v="2080"/>
    <s v="General Use - Nonprogram : Permits and Fees"/>
    <n v="956"/>
  </r>
  <r>
    <x v="0"/>
    <s v="55-230-00-000000-56400"/>
    <x v="7"/>
    <n v="230"/>
    <n v="0"/>
    <x v="0"/>
    <n v="56400"/>
    <x v="1"/>
    <s v="56"/>
    <s v="564"/>
    <x v="2081"/>
    <s v="General Use - Nonprogram : Cap Equip - $200 to $4,999"/>
    <n v="0"/>
  </r>
  <r>
    <x v="0"/>
    <s v="61-000-00-000000-53600"/>
    <x v="8"/>
    <n v="0"/>
    <n v="0"/>
    <x v="0"/>
    <n v="53600"/>
    <x v="1"/>
    <s v="53"/>
    <s v="536"/>
    <x v="2082"/>
    <s v="General Use - Nonprogram : Workers' Comp Budget"/>
    <n v="40000"/>
  </r>
  <r>
    <x v="0"/>
    <s v="61-000-00-000000-55400"/>
    <x v="8"/>
    <n v="0"/>
    <n v="0"/>
    <x v="0"/>
    <n v="55400"/>
    <x v="1"/>
    <s v="55"/>
    <s v="554"/>
    <x v="2083"/>
    <s v="General Use - Nonprogram : Insurance"/>
    <n v="3000"/>
  </r>
  <r>
    <x v="0"/>
    <s v="61-000-00-000000-55800"/>
    <x v="8"/>
    <n v="0"/>
    <n v="0"/>
    <x v="0"/>
    <n v="55800"/>
    <x v="1"/>
    <s v="55"/>
    <s v="558"/>
    <x v="2084"/>
    <s v="General Use - Nonprogram : Other Costs"/>
    <n v="3000"/>
  </r>
  <r>
    <x v="0"/>
    <s v="61-200-00-000000-48860"/>
    <x v="8"/>
    <n v="200"/>
    <n v="0"/>
    <x v="0"/>
    <n v="48860"/>
    <x v="0"/>
    <s v="48"/>
    <s v="488"/>
    <x v="2085"/>
    <s v="General Use - Nonprogram : Interest Income"/>
    <n v="-2000"/>
  </r>
  <r>
    <x v="0"/>
    <s v="62-000-00-000000-48860"/>
    <x v="9"/>
    <n v="0"/>
    <n v="0"/>
    <x v="0"/>
    <n v="48860"/>
    <x v="0"/>
    <s v="48"/>
    <s v="488"/>
    <x v="2086"/>
    <s v="General Use - Nonprogram : Interest Income"/>
    <n v="-282809"/>
  </r>
  <r>
    <x v="0"/>
    <s v="62-000-00-000000-55709"/>
    <x v="9"/>
    <n v="0"/>
    <n v="0"/>
    <x v="0"/>
    <n v="55709"/>
    <x v="1"/>
    <s v="55"/>
    <s v="557"/>
    <x v="2087"/>
    <s v="General Use - Nonprogram : Administrative Expense"/>
    <n v="2500"/>
  </r>
  <r>
    <x v="0"/>
    <s v="62-000-00-000000-55800"/>
    <x v="9"/>
    <n v="0"/>
    <n v="0"/>
    <x v="0"/>
    <n v="55800"/>
    <x v="1"/>
    <s v="55"/>
    <s v="558"/>
    <x v="2088"/>
    <s v="General Use - Nonprogram : Other Costs"/>
    <n v="2500"/>
  </r>
  <r>
    <x v="0"/>
    <s v="63-000-00-000000-48860"/>
    <x v="10"/>
    <n v="0"/>
    <n v="0"/>
    <x v="0"/>
    <n v="48860"/>
    <x v="0"/>
    <s v="48"/>
    <s v="488"/>
    <x v="2089"/>
    <s v="General Use - Nonprogram : Interest Income"/>
    <n v="-111365"/>
  </r>
  <r>
    <x v="0"/>
    <s v="63-000-00-000000-55709"/>
    <x v="10"/>
    <n v="0"/>
    <n v="0"/>
    <x v="0"/>
    <n v="55709"/>
    <x v="1"/>
    <s v="55"/>
    <s v="557"/>
    <x v="2090"/>
    <s v="General Use - Nonprogram : Administrative Expense"/>
    <n v="5400"/>
  </r>
  <r>
    <x v="0"/>
    <s v="63-000-00-000000-57300"/>
    <x v="10"/>
    <n v="0"/>
    <n v="0"/>
    <x v="0"/>
    <n v="57300"/>
    <x v="1"/>
    <s v="57"/>
    <s v="573"/>
    <x v="2091"/>
    <s v="General Use - Nonprogram : Interfund Transfer"/>
    <n v="0"/>
  </r>
  <r>
    <x v="0"/>
    <s v="71-400-00-000000-48843"/>
    <x v="11"/>
    <n v="400"/>
    <n v="0"/>
    <x v="0"/>
    <n v="48843"/>
    <x v="0"/>
    <s v="48"/>
    <s v="488"/>
    <x v="2092"/>
    <s v="General Use - Nonprogram : Student I D Card Sales"/>
    <n v="-87000"/>
  </r>
  <r>
    <x v="0"/>
    <s v="71-400-00-000000-48860"/>
    <x v="11"/>
    <n v="400"/>
    <n v="0"/>
    <x v="0"/>
    <n v="48860"/>
    <x v="0"/>
    <s v="48"/>
    <s v="488"/>
    <x v="2093"/>
    <s v="General Use - Nonprogram : Interest Income"/>
    <n v="-2500"/>
  </r>
  <r>
    <x v="0"/>
    <s v="71-400-00-000000-48890"/>
    <x v="11"/>
    <n v="400"/>
    <n v="0"/>
    <x v="0"/>
    <n v="48890"/>
    <x v="0"/>
    <s v="48"/>
    <s v="488"/>
    <x v="2094"/>
    <s v="General Use - Nonprogram : Other Local Income "/>
    <n v="0"/>
  </r>
  <r>
    <x v="0"/>
    <s v="71-400-00-000000-48980"/>
    <x v="11"/>
    <n v="400"/>
    <n v="0"/>
    <x v="0"/>
    <n v="48980"/>
    <x v="0"/>
    <s v="48"/>
    <s v="489"/>
    <x v="2095"/>
    <s v="General Use - Nonprogram : Interfund Transfer-In"/>
    <n v="-10000"/>
  </r>
  <r>
    <x v="0"/>
    <s v="71-400-00-000000-52105"/>
    <x v="11"/>
    <n v="400"/>
    <n v="0"/>
    <x v="0"/>
    <n v="52105"/>
    <x v="1"/>
    <s v="52"/>
    <s v="521"/>
    <x v="2096"/>
    <s v="General Use - Nonprogram : Classified CSEA"/>
    <n v="31764"/>
  </r>
  <r>
    <x v="0"/>
    <s v="71-400-00-000000-52350"/>
    <x v="11"/>
    <n v="400"/>
    <n v="0"/>
    <x v="0"/>
    <n v="52350"/>
    <x v="1"/>
    <s v="52"/>
    <s v="523"/>
    <x v="2097"/>
    <s v="General Use - Nonprogram : Classified Student Dist Non-IA PT"/>
    <n v="10000"/>
  </r>
  <r>
    <x v="0"/>
    <s v="71-400-00-000000-52360"/>
    <x v="11"/>
    <n v="400"/>
    <n v="0"/>
    <x v="0"/>
    <n v="52360"/>
    <x v="1"/>
    <s v="52"/>
    <s v="523"/>
    <x v="2098"/>
    <s v="General Use - Nonprogram : Class Nonstu NonIA PT Prof Exp"/>
    <n v="0"/>
  </r>
  <r>
    <x v="0"/>
    <s v="71-400-00-000000-53220"/>
    <x v="11"/>
    <n v="400"/>
    <n v="0"/>
    <x v="0"/>
    <n v="53220"/>
    <x v="1"/>
    <s v="53"/>
    <s v="532"/>
    <x v="2099"/>
    <s v="General Use - Nonprogram : PERS Nonteaching"/>
    <n v="6575"/>
  </r>
  <r>
    <x v="0"/>
    <s v="71-400-00-000000-53320"/>
    <x v="11"/>
    <n v="400"/>
    <n v="0"/>
    <x v="0"/>
    <n v="53320"/>
    <x v="1"/>
    <s v="53"/>
    <s v="533"/>
    <x v="2100"/>
    <s v="General Use - Nonprogram : OASDHI (FICA) Nonteaching"/>
    <n v="1969"/>
  </r>
  <r>
    <x v="0"/>
    <s v="71-400-00-000000-53340"/>
    <x v="11"/>
    <n v="400"/>
    <n v="0"/>
    <x v="0"/>
    <n v="53340"/>
    <x v="1"/>
    <s v="53"/>
    <s v="533"/>
    <x v="2101"/>
    <s v="General Use - Nonprogram : Medicare Nonteaching"/>
    <n v="461"/>
  </r>
  <r>
    <x v="0"/>
    <s v="71-400-00-000000-53420"/>
    <x v="11"/>
    <n v="400"/>
    <n v="0"/>
    <x v="0"/>
    <n v="53420"/>
    <x v="1"/>
    <s v="53"/>
    <s v="534"/>
    <x v="2102"/>
    <s v="General Use - Nonprogram : H &amp; W Nonteaching"/>
    <n v="16561"/>
  </r>
  <r>
    <x v="0"/>
    <s v="71-400-00-000000-53520"/>
    <x v="11"/>
    <n v="400"/>
    <n v="0"/>
    <x v="0"/>
    <n v="53520"/>
    <x v="1"/>
    <s v="53"/>
    <s v="535"/>
    <x v="2103"/>
    <s v="General Use - Nonprogram : SUI Nonteaching"/>
    <n v="16"/>
  </r>
  <r>
    <x v="0"/>
    <s v="71-400-00-000000-53620"/>
    <x v="11"/>
    <n v="400"/>
    <n v="0"/>
    <x v="0"/>
    <n v="53620"/>
    <x v="1"/>
    <s v="53"/>
    <s v="536"/>
    <x v="2104"/>
    <s v="General Use - Nonprogram : WC Nonteaching"/>
    <n v="935"/>
  </r>
  <r>
    <x v="0"/>
    <s v="71-400-00-000000-54300"/>
    <x v="11"/>
    <n v="400"/>
    <n v="0"/>
    <x v="0"/>
    <n v="54300"/>
    <x v="1"/>
    <s v="54"/>
    <s v="543"/>
    <x v="2105"/>
    <s v="General Use - Nonprogram : Supplies &amp; Materials"/>
    <n v="5000"/>
  </r>
  <r>
    <x v="0"/>
    <s v="71-400-00-000000-55200"/>
    <x v="11"/>
    <n v="400"/>
    <n v="0"/>
    <x v="0"/>
    <n v="55200"/>
    <x v="1"/>
    <s v="55"/>
    <s v="552"/>
    <x v="2106"/>
    <s v="General Use - Nonprogram : Travel &amp; Conference"/>
    <n v="10000"/>
  </r>
  <r>
    <x v="0"/>
    <s v="71-400-00-000000-55240"/>
    <x v="11"/>
    <n v="400"/>
    <n v="0"/>
    <x v="0"/>
    <n v="55240"/>
    <x v="1"/>
    <s v="55"/>
    <s v="552"/>
    <x v="2107"/>
    <s v="General Use - Nonprogram : Field Trips"/>
    <n v="3000"/>
  </r>
  <r>
    <x v="0"/>
    <s v="71-400-00-000000-55243"/>
    <x v="11"/>
    <n v="400"/>
    <n v="0"/>
    <x v="0"/>
    <n v="55243"/>
    <x v="1"/>
    <s v="55"/>
    <s v="552"/>
    <x v="2108"/>
    <s v="General Use - Nonprogram : Activities &amp; Films"/>
    <n v="10000"/>
  </r>
  <r>
    <x v="0"/>
    <s v="71-400-00-000000-55244"/>
    <x v="11"/>
    <n v="400"/>
    <n v="0"/>
    <x v="0"/>
    <n v="55244"/>
    <x v="1"/>
    <s v="55"/>
    <s v="552"/>
    <x v="2109"/>
    <s v="General Use - Nonprogram : Cultural Activities"/>
    <n v="4400"/>
  </r>
  <r>
    <x v="0"/>
    <s v="71-400-00-000000-55247"/>
    <x v="11"/>
    <n v="400"/>
    <n v="0"/>
    <x v="0"/>
    <n v="55247"/>
    <x v="1"/>
    <s v="55"/>
    <s v="552"/>
    <x v="2110"/>
    <s v="General Use - Nonprogram : Inter-Club Council"/>
    <n v="2500"/>
  </r>
  <r>
    <x v="0"/>
    <s v="71-400-00-000000-55300"/>
    <x v="11"/>
    <n v="400"/>
    <n v="0"/>
    <x v="0"/>
    <n v="55300"/>
    <x v="1"/>
    <s v="55"/>
    <s v="553"/>
    <x v="2111"/>
    <s v="General Use - Nonprogram : Memberships"/>
    <n v="500"/>
  </r>
  <r>
    <x v="0"/>
    <s v="71-400-00-000000-55600"/>
    <x v="11"/>
    <n v="400"/>
    <n v="0"/>
    <x v="0"/>
    <n v="55600"/>
    <x v="1"/>
    <s v="55"/>
    <s v="556"/>
    <x v="2112"/>
    <s v="General Use - Nonprogram : Rents &amp; Leases"/>
    <n v="1000"/>
  </r>
  <r>
    <x v="0"/>
    <s v="71-400-00-000000-55635"/>
    <x v="11"/>
    <n v="400"/>
    <n v="0"/>
    <x v="0"/>
    <n v="55635"/>
    <x v="1"/>
    <s v="55"/>
    <s v="556"/>
    <x v="2113"/>
    <s v="General Use - Nonprogram : Printing Services - Vendor"/>
    <n v="1000"/>
  </r>
  <r>
    <x v="0"/>
    <s v="71-400-00-000000-55650"/>
    <x v="11"/>
    <n v="400"/>
    <n v="0"/>
    <x v="0"/>
    <n v="55650"/>
    <x v="1"/>
    <s v="55"/>
    <s v="556"/>
    <x v="2114"/>
    <s v="General Use - Nonprogram : Maintenance Agreement"/>
    <n v="2000"/>
  </r>
  <r>
    <x v="0"/>
    <s v="71-400-00-000000-57510"/>
    <x v="11"/>
    <n v="400"/>
    <n v="0"/>
    <x v="0"/>
    <n v="57510"/>
    <x v="1"/>
    <s v="57"/>
    <s v="575"/>
    <x v="2115"/>
    <s v="General Use - Nonprogram : Student Internship"/>
    <n v="4550"/>
  </r>
  <r>
    <x v="0"/>
    <s v="72-400-00-000000-48844"/>
    <x v="12"/>
    <n v="400"/>
    <n v="0"/>
    <x v="0"/>
    <n v="48844"/>
    <x v="0"/>
    <s v="48"/>
    <s v="488"/>
    <x v="2116"/>
    <s v="General Use - Nonprogram : Food Service Sales"/>
    <n v="0"/>
  </r>
  <r>
    <x v="0"/>
    <s v="72-400-00-000000-48860"/>
    <x v="12"/>
    <n v="400"/>
    <n v="0"/>
    <x v="0"/>
    <n v="48860"/>
    <x v="0"/>
    <s v="48"/>
    <s v="488"/>
    <x v="2117"/>
    <s v="General Use - Nonprogram : Interest Income"/>
    <n v="0"/>
  </r>
  <r>
    <x v="0"/>
    <s v="72-400-00-000000-48884"/>
    <x v="12"/>
    <n v="400"/>
    <n v="0"/>
    <x v="0"/>
    <n v="48884"/>
    <x v="0"/>
    <s v="48"/>
    <s v="488"/>
    <x v="2118"/>
    <s v="General Use - Nonprogram : Student Representation Fee"/>
    <n v="-9929"/>
  </r>
  <r>
    <x v="0"/>
    <s v="72-400-00-000000-55200"/>
    <x v="12"/>
    <n v="400"/>
    <n v="0"/>
    <x v="0"/>
    <n v="55200"/>
    <x v="1"/>
    <s v="55"/>
    <s v="552"/>
    <x v="2119"/>
    <s v="General Use - Nonprogram : Travel &amp; Conference"/>
    <n v="9929"/>
  </r>
  <r>
    <x v="0"/>
    <s v="72-400-00-000000-55800"/>
    <x v="12"/>
    <n v="400"/>
    <n v="0"/>
    <x v="0"/>
    <n v="55800"/>
    <x v="1"/>
    <s v="55"/>
    <s v="558"/>
    <x v="2120"/>
    <s v="General Use - Nonprogram : Other Costs"/>
    <n v="0"/>
  </r>
  <r>
    <x v="0"/>
    <s v="72-400-00-000000-57351"/>
    <x v="12"/>
    <n v="400"/>
    <n v="0"/>
    <x v="0"/>
    <n v="57351"/>
    <x v="1"/>
    <s v="57"/>
    <s v="573"/>
    <x v="2121"/>
    <s v="General Use - Nonprogram : Other Admin Costs"/>
    <n v="0"/>
  </r>
  <r>
    <x v="0"/>
    <s v="75-000-00-000000-48860"/>
    <x v="13"/>
    <n v="0"/>
    <n v="0"/>
    <x v="0"/>
    <n v="48860"/>
    <x v="0"/>
    <s v="48"/>
    <s v="488"/>
    <x v="2122"/>
    <s v="General Use - Nonprogram : Interest Income"/>
    <n v="0"/>
  </r>
  <r>
    <x v="0"/>
    <s v="75-000-00-000000-55800"/>
    <x v="13"/>
    <n v="0"/>
    <n v="0"/>
    <x v="0"/>
    <n v="55800"/>
    <x v="1"/>
    <s v="55"/>
    <s v="558"/>
    <x v="2123"/>
    <s v="General Use - Nonprogram : Other Costs"/>
    <n v="2000"/>
  </r>
  <r>
    <x v="0"/>
    <s v="75-200-00-000000-55105"/>
    <x v="13"/>
    <n v="200"/>
    <n v="0"/>
    <x v="0"/>
    <n v="55105"/>
    <x v="1"/>
    <s v="55"/>
    <s v="551"/>
    <x v="2124"/>
    <s v="General Use - Nonprogram : Contract Services"/>
    <n v="48000"/>
  </r>
  <r>
    <x v="0"/>
    <s v="75-200-00-975109-48000"/>
    <x v="13"/>
    <n v="200"/>
    <n v="0"/>
    <x v="137"/>
    <n v="48000"/>
    <x v="0"/>
    <s v="48"/>
    <s v="480"/>
    <x v="2125"/>
    <s v="Hartnell Cares : Cash Receipts"/>
    <n v="0"/>
  </r>
  <r>
    <x v="0"/>
    <s v="75-200-00-975109-55000"/>
    <x v="13"/>
    <n v="200"/>
    <n v="0"/>
    <x v="137"/>
    <n v="55000"/>
    <x v="1"/>
    <s v="55"/>
    <s v="550"/>
    <x v="2126"/>
    <s v="Hartnell Cares : Other Operating Expenses &amp; Svc"/>
    <n v="0"/>
  </r>
  <r>
    <x v="0"/>
    <s v="75-400-00-000000-48885"/>
    <x v="13"/>
    <n v="400"/>
    <n v="0"/>
    <x v="0"/>
    <n v="48885"/>
    <x v="0"/>
    <s v="48"/>
    <s v="488"/>
    <x v="2127"/>
    <s v="General Use - Nonprogram : Other Student Fees &amp; Charges"/>
    <n v="-50000"/>
  </r>
  <r>
    <x v="0"/>
    <s v="79-320-00-000000-48840"/>
    <x v="14"/>
    <n v="320"/>
    <n v="0"/>
    <x v="0"/>
    <n v="48840"/>
    <x v="0"/>
    <s v="48"/>
    <s v="488"/>
    <x v="2128"/>
    <s v="General Use - Nonprogram : Basketball - Gate Receipts"/>
    <n v="-1000"/>
  </r>
  <r>
    <x v="0"/>
    <s v="79-320-00-000000-48841"/>
    <x v="14"/>
    <n v="320"/>
    <n v="0"/>
    <x v="0"/>
    <n v="48841"/>
    <x v="0"/>
    <s v="48"/>
    <s v="488"/>
    <x v="2129"/>
    <s v="General Use - Nonprogram : Football - Gate Receipts"/>
    <n v="-8640"/>
  </r>
  <r>
    <x v="0"/>
    <s v="79-320-00-000000-48846"/>
    <x v="14"/>
    <n v="320"/>
    <n v="0"/>
    <x v="0"/>
    <n v="48846"/>
    <x v="0"/>
    <s v="48"/>
    <s v="488"/>
    <x v="2130"/>
    <s v="General Use - Nonprogram : ASB Student Fees"/>
    <n v="-17500"/>
  </r>
  <r>
    <x v="0"/>
    <s v="79-320-00-000000-48847"/>
    <x v="14"/>
    <n v="320"/>
    <n v="0"/>
    <x v="0"/>
    <n v="48847"/>
    <x v="0"/>
    <s v="48"/>
    <s v="488"/>
    <x v="2131"/>
    <s v="General Use - Nonprogram : Basketball - Concession Sales"/>
    <n v="-290"/>
  </r>
  <r>
    <x v="0"/>
    <s v="79-320-00-000000-48848"/>
    <x v="14"/>
    <n v="320"/>
    <n v="0"/>
    <x v="0"/>
    <n v="48848"/>
    <x v="0"/>
    <s v="48"/>
    <s v="488"/>
    <x v="2132"/>
    <s v="General Use - Nonprogram : Football - Concession Sales"/>
    <n v="-5000"/>
  </r>
  <r>
    <x v="0"/>
    <s v="79-320-00-000000-48860"/>
    <x v="14"/>
    <n v="320"/>
    <n v="0"/>
    <x v="0"/>
    <n v="48860"/>
    <x v="0"/>
    <s v="48"/>
    <s v="488"/>
    <x v="2133"/>
    <s v="General Use - Nonprogram : Interest Income"/>
    <n v="-100"/>
  </r>
  <r>
    <x v="0"/>
    <s v="79-320-00-000000-48890"/>
    <x v="14"/>
    <n v="320"/>
    <n v="0"/>
    <x v="0"/>
    <n v="48890"/>
    <x v="0"/>
    <s v="48"/>
    <s v="488"/>
    <x v="2134"/>
    <s v="General Use - Nonprogram : Other Local Income "/>
    <n v="0"/>
  </r>
  <r>
    <x v="0"/>
    <s v="79-320-00-000000-52360"/>
    <x v="14"/>
    <n v="320"/>
    <n v="0"/>
    <x v="0"/>
    <n v="52360"/>
    <x v="1"/>
    <s v="52"/>
    <s v="523"/>
    <x v="2135"/>
    <s v="General Use - Nonprogram : Class Nonstu NonIA PT Prof Exp"/>
    <n v="17000"/>
  </r>
  <r>
    <x v="0"/>
    <s v="79-320-00-000000-53320"/>
    <x v="14"/>
    <n v="320"/>
    <n v="0"/>
    <x v="0"/>
    <n v="53320"/>
    <x v="1"/>
    <s v="53"/>
    <s v="533"/>
    <x v="2136"/>
    <s v="General Use - Nonprogram : OASDHI (FICA) Nonteaching"/>
    <n v="1054"/>
  </r>
  <r>
    <x v="0"/>
    <s v="79-320-00-000000-53340"/>
    <x v="14"/>
    <n v="320"/>
    <n v="0"/>
    <x v="0"/>
    <n v="53340"/>
    <x v="1"/>
    <s v="53"/>
    <s v="533"/>
    <x v="2137"/>
    <s v="General Use - Nonprogram : Medicare Nonteaching"/>
    <n v="246"/>
  </r>
  <r>
    <x v="0"/>
    <s v="79-320-00-000000-53520"/>
    <x v="14"/>
    <n v="320"/>
    <n v="0"/>
    <x v="0"/>
    <n v="53520"/>
    <x v="1"/>
    <s v="53"/>
    <s v="535"/>
    <x v="2138"/>
    <s v="General Use - Nonprogram : SUI Nonteaching"/>
    <n v="9"/>
  </r>
  <r>
    <x v="0"/>
    <s v="79-320-00-000000-53620"/>
    <x v="14"/>
    <n v="320"/>
    <n v="0"/>
    <x v="0"/>
    <n v="53620"/>
    <x v="1"/>
    <s v="53"/>
    <s v="536"/>
    <x v="2139"/>
    <s v="General Use - Nonprogram : WC Nonteaching"/>
    <n v="307"/>
  </r>
  <r>
    <x v="0"/>
    <s v="79-320-00-000000-54210"/>
    <x v="14"/>
    <n v="320"/>
    <n v="0"/>
    <x v="0"/>
    <n v="54210"/>
    <x v="1"/>
    <s v="54"/>
    <s v="542"/>
    <x v="2140"/>
    <s v="General Use - Nonprogram : Purchases - Food"/>
    <n v="15000"/>
  </r>
  <r>
    <x v="0"/>
    <s v="79-320-00-000000-55140"/>
    <x v="14"/>
    <n v="320"/>
    <n v="0"/>
    <x v="0"/>
    <n v="55140"/>
    <x v="1"/>
    <s v="55"/>
    <s v="551"/>
    <x v="2141"/>
    <s v="General Use - Nonprogram : Game Employees"/>
    <n v="4000"/>
  </r>
  <r>
    <x v="0"/>
    <s v="79-320-00-000000-55250"/>
    <x v="14"/>
    <n v="320"/>
    <n v="0"/>
    <x v="0"/>
    <n v="55250"/>
    <x v="1"/>
    <s v="55"/>
    <s v="552"/>
    <x v="2142"/>
    <s v="General Use - Nonprogram : Championship Meals"/>
    <n v="7200"/>
  </r>
  <r>
    <x v="0"/>
    <s v="79-320-00-000000-55251"/>
    <x v="14"/>
    <n v="320"/>
    <n v="0"/>
    <x v="0"/>
    <n v="55251"/>
    <x v="1"/>
    <s v="55"/>
    <s v="552"/>
    <x v="2143"/>
    <s v="General Use - Nonprogram : Baseball (M) Meals"/>
    <n v="2000"/>
  </r>
  <r>
    <x v="0"/>
    <s v="79-320-00-000000-55252"/>
    <x v="14"/>
    <n v="320"/>
    <n v="0"/>
    <x v="0"/>
    <n v="55252"/>
    <x v="1"/>
    <s v="55"/>
    <s v="552"/>
    <x v="2144"/>
    <s v="General Use - Nonprogram : Basketball (M) Meals"/>
    <n v="1000"/>
  </r>
  <r>
    <x v="0"/>
    <s v="79-320-00-000000-55253"/>
    <x v="14"/>
    <n v="320"/>
    <n v="0"/>
    <x v="0"/>
    <n v="55253"/>
    <x v="1"/>
    <s v="55"/>
    <s v="552"/>
    <x v="2145"/>
    <s v="General Use - Nonprogram : Basketball (W) Meals"/>
    <n v="1000"/>
  </r>
  <r>
    <x v="0"/>
    <s v="79-320-00-000000-55254"/>
    <x v="14"/>
    <n v="320"/>
    <n v="0"/>
    <x v="0"/>
    <n v="55254"/>
    <x v="1"/>
    <s v="55"/>
    <s v="552"/>
    <x v="2146"/>
    <s v="General Use - Nonprogram : Cross Country (M) Meals"/>
    <n v="2000"/>
  </r>
  <r>
    <x v="0"/>
    <s v="79-320-00-000000-55255"/>
    <x v="14"/>
    <n v="320"/>
    <n v="0"/>
    <x v="0"/>
    <n v="55255"/>
    <x v="1"/>
    <s v="55"/>
    <s v="552"/>
    <x v="2147"/>
    <s v="General Use - Nonprogram : Football Meals"/>
    <n v="1500"/>
  </r>
  <r>
    <x v="0"/>
    <s v="79-320-00-000000-55256"/>
    <x v="14"/>
    <n v="320"/>
    <n v="0"/>
    <x v="0"/>
    <n v="55256"/>
    <x v="1"/>
    <s v="55"/>
    <s v="552"/>
    <x v="2148"/>
    <s v="General Use - Nonprogram : Soccer (M) Meals"/>
    <n v="1300"/>
  </r>
  <r>
    <x v="0"/>
    <s v="79-320-00-000000-55257"/>
    <x v="14"/>
    <n v="320"/>
    <n v="0"/>
    <x v="0"/>
    <n v="55257"/>
    <x v="1"/>
    <s v="55"/>
    <s v="552"/>
    <x v="2149"/>
    <s v="General Use - Nonprogram : Soccer (W) Meals "/>
    <n v="1000"/>
  </r>
  <r>
    <x v="0"/>
    <s v="79-320-00-000000-55258"/>
    <x v="14"/>
    <n v="320"/>
    <n v="0"/>
    <x v="0"/>
    <n v="55258"/>
    <x v="1"/>
    <s v="55"/>
    <s v="552"/>
    <x v="2150"/>
    <s v="General Use - Nonprogram : Softball (W) Meals"/>
    <n v="1000"/>
  </r>
  <r>
    <x v="0"/>
    <s v="79-320-00-000000-55261"/>
    <x v="14"/>
    <n v="320"/>
    <n v="0"/>
    <x v="0"/>
    <n v="55261"/>
    <x v="1"/>
    <s v="55"/>
    <s v="552"/>
    <x v="2151"/>
    <s v="General Use - Nonprogram : Track (M)  Meals"/>
    <n v="3800"/>
  </r>
  <r>
    <x v="0"/>
    <s v="79-320-00-000000-55262"/>
    <x v="14"/>
    <n v="320"/>
    <n v="0"/>
    <x v="0"/>
    <n v="55262"/>
    <x v="1"/>
    <s v="55"/>
    <s v="552"/>
    <x v="2152"/>
    <s v="General Use - Nonprogram : Volleyball  (W) Meals"/>
    <n v="1000"/>
  </r>
  <r>
    <x v="0"/>
    <s v="79-320-00-000000-55264"/>
    <x v="14"/>
    <n v="320"/>
    <n v="0"/>
    <x v="0"/>
    <n v="55264"/>
    <x v="1"/>
    <s v="55"/>
    <s v="552"/>
    <x v="2153"/>
    <s v="General Use - Nonprogram : Entry Fees"/>
    <n v="2500"/>
  </r>
  <r>
    <x v="0"/>
    <s v="79-320-00-000000-55800"/>
    <x v="14"/>
    <n v="320"/>
    <n v="0"/>
    <x v="0"/>
    <n v="55800"/>
    <x v="1"/>
    <s v="55"/>
    <s v="558"/>
    <x v="2154"/>
    <s v="General Use - Nonprogram : Other Costs"/>
    <n v="1000"/>
  </r>
  <r>
    <x v="0"/>
    <s v="79-320-00-000000-55861"/>
    <x v="14"/>
    <n v="320"/>
    <n v="0"/>
    <x v="0"/>
    <n v="55861"/>
    <x v="1"/>
    <s v="55"/>
    <s v="558"/>
    <x v="2155"/>
    <s v="General Use - Nonprogram : Credit Card Fees "/>
    <n v="582"/>
  </r>
  <r>
    <x v="1"/>
    <s v="11-150-00-663000-54300"/>
    <x v="0"/>
    <n v="150"/>
    <n v="0"/>
    <x v="40"/>
    <n v="54300"/>
    <x v="1"/>
    <s v="54"/>
    <s v="543"/>
    <x v="323"/>
    <s v="Research Office : Supplies &amp; Materials"/>
    <n v="1000"/>
  </r>
  <r>
    <x v="1"/>
    <s v="11-150-00-663000-55200"/>
    <x v="0"/>
    <n v="150"/>
    <n v="0"/>
    <x v="40"/>
    <n v="55200"/>
    <x v="1"/>
    <s v="55"/>
    <s v="552"/>
    <x v="324"/>
    <s v="Research Office : Travel &amp; Conference"/>
    <n v="6500"/>
  </r>
  <r>
    <x v="1"/>
    <s v="11-150-00-663000-55300"/>
    <x v="0"/>
    <n v="150"/>
    <n v="0"/>
    <x v="40"/>
    <n v="55300"/>
    <x v="1"/>
    <s v="55"/>
    <s v="553"/>
    <x v="325"/>
    <s v="Research Office : Memberships"/>
    <n v="700"/>
  </r>
  <r>
    <x v="1"/>
    <s v="11-150-00-663000-55309"/>
    <x v="0"/>
    <n v="150"/>
    <n v="0"/>
    <x v="40"/>
    <n v="55309"/>
    <x v="1"/>
    <s v="55"/>
    <s v="553"/>
    <x v="326"/>
    <s v="Research Office : Subscriptions"/>
    <n v="11000"/>
  </r>
  <r>
    <x v="1"/>
    <s v="11-150-00-663000-55610"/>
    <x v="0"/>
    <n v="150"/>
    <n v="0"/>
    <x v="40"/>
    <n v="55610"/>
    <x v="1"/>
    <s v="55"/>
    <s v="556"/>
    <x v="327"/>
    <s v="Research Office : Software licensing"/>
    <n v="5000"/>
  </r>
  <r>
    <x v="1"/>
    <s v="11-150-00-663000-55630"/>
    <x v="0"/>
    <n v="150"/>
    <n v="0"/>
    <x v="40"/>
    <n v="55630"/>
    <x v="1"/>
    <s v="55"/>
    <s v="556"/>
    <x v="328"/>
    <s v="Research Office : Printing &amp; Duplicating - Inhouse"/>
    <n v="556"/>
  </r>
  <r>
    <x v="1"/>
    <s v="11-100-00-661000-52300"/>
    <x v="0"/>
    <n v="100"/>
    <n v="0"/>
    <x v="2"/>
    <n v="52300"/>
    <x v="1"/>
    <s v="52"/>
    <s v="523"/>
    <x v="30"/>
    <s v="Planning &amp; Policy Making : Classified Overtime"/>
    <n v="3120"/>
  </r>
  <r>
    <x v="1"/>
    <s v="11-100-00-661000-53902"/>
    <x v="0"/>
    <n v="100"/>
    <n v="0"/>
    <x v="2"/>
    <n v="53902"/>
    <x v="1"/>
    <s v="53"/>
    <s v="539"/>
    <x v="38"/>
    <s v="Planning &amp; Policy Making : Term Life Insurance - Crown"/>
    <n v="1234"/>
  </r>
  <r>
    <x v="1"/>
    <s v="11-100-00-661000-54210"/>
    <x v="0"/>
    <n v="100"/>
    <n v="0"/>
    <x v="2"/>
    <n v="54210"/>
    <x v="1"/>
    <s v="54"/>
    <s v="542"/>
    <x v="40"/>
    <s v="Planning &amp; Policy Making : Purchases - Food"/>
    <n v="5000"/>
  </r>
  <r>
    <x v="1"/>
    <s v="11-100-00-661000-54300"/>
    <x v="0"/>
    <n v="100"/>
    <n v="0"/>
    <x v="2"/>
    <n v="54300"/>
    <x v="1"/>
    <s v="54"/>
    <s v="543"/>
    <x v="41"/>
    <s v="Planning &amp; Policy Making : Supplies &amp; Materials"/>
    <n v="4000"/>
  </r>
  <r>
    <x v="1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1"/>
    <s v="11-100-00-661000-55105"/>
    <x v="0"/>
    <n v="100"/>
    <n v="0"/>
    <x v="2"/>
    <n v="55105"/>
    <x v="1"/>
    <s v="55"/>
    <s v="551"/>
    <x v="43"/>
    <s v="Planning &amp; Policy Making : Contract Services"/>
    <n v="75000"/>
  </r>
  <r>
    <x v="1"/>
    <s v="11-100-00-661000-55200"/>
    <x v="0"/>
    <n v="100"/>
    <n v="0"/>
    <x v="2"/>
    <n v="55200"/>
    <x v="1"/>
    <s v="55"/>
    <s v="552"/>
    <x v="44"/>
    <s v="Planning &amp; Policy Making : Travel &amp; Conference"/>
    <n v="11000"/>
  </r>
  <r>
    <x v="1"/>
    <s v="11-100-00-661000-55300"/>
    <x v="0"/>
    <n v="100"/>
    <n v="0"/>
    <x v="2"/>
    <n v="55300"/>
    <x v="1"/>
    <s v="55"/>
    <s v="553"/>
    <x v="45"/>
    <s v="Planning &amp; Policy Making : Memberships"/>
    <n v="92000"/>
  </r>
  <r>
    <x v="1"/>
    <s v="11-100-00-661000-55550"/>
    <x v="0"/>
    <n v="100"/>
    <n v="0"/>
    <x v="2"/>
    <n v="55550"/>
    <x v="1"/>
    <s v="55"/>
    <s v="555"/>
    <x v="46"/>
    <s v="Planning &amp; Policy Making : Telephone Service"/>
    <n v="600"/>
  </r>
  <r>
    <x v="1"/>
    <s v="11-100-00-661000-55560"/>
    <x v="0"/>
    <n v="100"/>
    <n v="0"/>
    <x v="2"/>
    <n v="55560"/>
    <x v="1"/>
    <s v="55"/>
    <s v="555"/>
    <x v="47"/>
    <s v="Planning &amp; Policy Making : Water Service"/>
    <n v="450"/>
  </r>
  <r>
    <x v="1"/>
    <s v="11-100-00-661000-55630"/>
    <x v="0"/>
    <n v="100"/>
    <n v="0"/>
    <x v="2"/>
    <n v="55630"/>
    <x v="1"/>
    <s v="55"/>
    <s v="556"/>
    <x v="48"/>
    <s v="Planning &amp; Policy Making : Printing &amp; Duplicating - Inhouse"/>
    <n v="2200"/>
  </r>
  <r>
    <x v="1"/>
    <s v="11-100-00-661000-55635"/>
    <x v="0"/>
    <n v="100"/>
    <n v="0"/>
    <x v="2"/>
    <n v="55635"/>
    <x v="1"/>
    <s v="55"/>
    <s v="556"/>
    <x v="49"/>
    <s v="Planning &amp; Policy Making : Printing Services - Vendor"/>
    <n v="1500"/>
  </r>
  <r>
    <x v="1"/>
    <s v="11-100-00-661000-55800"/>
    <x v="0"/>
    <n v="100"/>
    <n v="0"/>
    <x v="2"/>
    <n v="55800"/>
    <x v="1"/>
    <s v="55"/>
    <s v="558"/>
    <x v="50"/>
    <s v="Planning &amp; Policy Making : Other Costs"/>
    <n v="10900"/>
  </r>
  <r>
    <x v="1"/>
    <s v="11-100-00-661100-55300"/>
    <x v="0"/>
    <n v="100"/>
    <n v="0"/>
    <x v="3"/>
    <n v="55300"/>
    <x v="1"/>
    <s v="55"/>
    <s v="553"/>
    <x v="51"/>
    <s v="Accreditation : Memberships"/>
    <n v="800"/>
  </r>
  <r>
    <x v="1"/>
    <s v="11-100-00-662000-54210"/>
    <x v="0"/>
    <n v="100"/>
    <n v="0"/>
    <x v="4"/>
    <n v="54210"/>
    <x v="1"/>
    <s v="54"/>
    <s v="542"/>
    <x v="60"/>
    <s v="Board of Trustees : Purchases - Food"/>
    <n v="4800"/>
  </r>
  <r>
    <x v="1"/>
    <s v="11-100-00-662000-54300"/>
    <x v="0"/>
    <n v="100"/>
    <n v="0"/>
    <x v="4"/>
    <n v="54300"/>
    <x v="1"/>
    <s v="54"/>
    <s v="543"/>
    <x v="61"/>
    <s v="Board of Trustees : Supplies &amp; Materials"/>
    <n v="610"/>
  </r>
  <r>
    <x v="1"/>
    <s v="11-100-00-662000-55200"/>
    <x v="0"/>
    <n v="100"/>
    <n v="0"/>
    <x v="4"/>
    <n v="55200"/>
    <x v="1"/>
    <s v="55"/>
    <s v="552"/>
    <x v="62"/>
    <s v="Board of Trustees : Travel &amp; Conference"/>
    <n v="35000"/>
  </r>
  <r>
    <x v="1"/>
    <s v="11-100-00-662000-55300"/>
    <x v="0"/>
    <n v="100"/>
    <n v="0"/>
    <x v="4"/>
    <n v="55300"/>
    <x v="1"/>
    <s v="55"/>
    <s v="553"/>
    <x v="63"/>
    <s v="Board of Trustees : Memberships"/>
    <n v="600"/>
  </r>
  <r>
    <x v="1"/>
    <s v="11-100-00-662000-55710"/>
    <x v="0"/>
    <n v="100"/>
    <n v="0"/>
    <x v="4"/>
    <n v="55710"/>
    <x v="1"/>
    <s v="55"/>
    <s v="557"/>
    <x v="64"/>
    <s v="Board of Trustees : Elections"/>
    <n v="0"/>
  </r>
  <r>
    <x v="1"/>
    <s v="11-100-00-662000-55800"/>
    <x v="0"/>
    <n v="100"/>
    <n v="0"/>
    <x v="4"/>
    <n v="55800"/>
    <x v="1"/>
    <s v="55"/>
    <s v="558"/>
    <x v="65"/>
    <s v="Board of Trustees : Other Costs"/>
    <n v="1000"/>
  </r>
  <r>
    <x v="1"/>
    <s v="11-100-00-662000-57552"/>
    <x v="0"/>
    <n v="100"/>
    <n v="0"/>
    <x v="4"/>
    <n v="57552"/>
    <x v="1"/>
    <s v="57"/>
    <s v="575"/>
    <x v="2156"/>
    <s v="Board of Trustees : Student Travel/Meals"/>
    <n v="5000"/>
  </r>
  <r>
    <x v="1"/>
    <s v="11-100-00-671020-55105"/>
    <x v="0"/>
    <n v="100"/>
    <n v="0"/>
    <x v="5"/>
    <n v="55105"/>
    <x v="1"/>
    <s v="55"/>
    <s v="551"/>
    <x v="67"/>
    <s v="Institutional Advancement : Contract Services"/>
    <n v="0"/>
  </r>
  <r>
    <x v="1"/>
    <s v="11-100-00-675020-55200"/>
    <x v="0"/>
    <n v="100"/>
    <n v="0"/>
    <x v="6"/>
    <n v="55200"/>
    <x v="1"/>
    <s v="55"/>
    <s v="552"/>
    <x v="68"/>
    <s v="Academic Senate : Travel &amp; Conference"/>
    <n v="15000"/>
  </r>
  <r>
    <x v="1"/>
    <s v="11-100-00-675020-55300"/>
    <x v="0"/>
    <n v="100"/>
    <n v="0"/>
    <x v="6"/>
    <n v="55300"/>
    <x v="1"/>
    <s v="55"/>
    <s v="553"/>
    <x v="69"/>
    <s v="Academic Senate : Memberships"/>
    <n v="3000"/>
  </r>
  <r>
    <x v="1"/>
    <s v="11-100-00-675020-55630"/>
    <x v="0"/>
    <n v="100"/>
    <n v="0"/>
    <x v="6"/>
    <n v="55630"/>
    <x v="1"/>
    <s v="55"/>
    <s v="556"/>
    <x v="70"/>
    <s v="Academic Senate : Printing &amp; Duplicating - Inhouse"/>
    <n v="350"/>
  </r>
  <r>
    <x v="1"/>
    <s v="11-100-00-680500-52300"/>
    <x v="0"/>
    <n v="100"/>
    <n v="0"/>
    <x v="7"/>
    <n v="52300"/>
    <x v="1"/>
    <s v="52"/>
    <s v="523"/>
    <x v="73"/>
    <s v="Community Information : Classified Overtime"/>
    <n v="2340"/>
  </r>
  <r>
    <x v="1"/>
    <s v="11-100-00-680500-53902"/>
    <x v="0"/>
    <n v="100"/>
    <n v="0"/>
    <x v="7"/>
    <n v="53902"/>
    <x v="1"/>
    <s v="53"/>
    <s v="539"/>
    <x v="81"/>
    <s v="Community Information : Term Life Insurance - Crown"/>
    <n v="935"/>
  </r>
  <r>
    <x v="1"/>
    <s v="11-100-00-680500-55550"/>
    <x v="0"/>
    <n v="100"/>
    <n v="0"/>
    <x v="7"/>
    <n v="55550"/>
    <x v="1"/>
    <s v="55"/>
    <s v="555"/>
    <x v="83"/>
    <s v="Community Information : Telephone Service"/>
    <n v="307"/>
  </r>
  <r>
    <x v="1"/>
    <s v="11-100-00-680500-55630"/>
    <x v="0"/>
    <n v="100"/>
    <n v="0"/>
    <x v="7"/>
    <n v="55630"/>
    <x v="1"/>
    <s v="55"/>
    <s v="556"/>
    <x v="84"/>
    <s v="Community Information : Printing &amp; Duplicating - Inhouse"/>
    <n v="700"/>
  </r>
  <r>
    <x v="1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222"/>
  </r>
  <r>
    <x v="1"/>
    <s v="11-100-00-684000-52300"/>
    <x v="0"/>
    <n v="100"/>
    <n v="0"/>
    <x v="9"/>
    <n v="52300"/>
    <x v="1"/>
    <s v="52"/>
    <s v="523"/>
    <x v="96"/>
    <s v="Community Relations &amp; Develop. : Classified Overtime"/>
    <n v="2340"/>
  </r>
  <r>
    <x v="1"/>
    <s v="11-100-00-684000-53902"/>
    <x v="0"/>
    <n v="100"/>
    <n v="0"/>
    <x v="9"/>
    <n v="53902"/>
    <x v="1"/>
    <s v="53"/>
    <s v="539"/>
    <x v="104"/>
    <s v="Community Relations &amp; Develop. : Term Life Insurance - Crown"/>
    <n v="935"/>
  </r>
  <r>
    <x v="1"/>
    <s v="11-100-00-684000-55550"/>
    <x v="0"/>
    <n v="100"/>
    <n v="0"/>
    <x v="9"/>
    <n v="55550"/>
    <x v="1"/>
    <s v="55"/>
    <s v="555"/>
    <x v="105"/>
    <s v="Community Relations &amp; Develop. : Telephone Service"/>
    <n v="306"/>
  </r>
  <r>
    <x v="1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0"/>
  </r>
  <r>
    <x v="1"/>
    <s v="11-120-02-040110-51311"/>
    <x v="0"/>
    <n v="120"/>
    <n v="2"/>
    <x v="11"/>
    <n v="51311"/>
    <x v="1"/>
    <s v="51"/>
    <s v="513"/>
    <x v="112"/>
    <s v="Biology : Academic Teaching PT"/>
    <n v="32269"/>
  </r>
  <r>
    <x v="1"/>
    <s v="11-120-02-050000-51310"/>
    <x v="0"/>
    <n v="120"/>
    <n v="2"/>
    <x v="12"/>
    <n v="51310"/>
    <x v="1"/>
    <s v="51"/>
    <s v="513"/>
    <x v="118"/>
    <s v="Business Education : Academic Teaching NIC"/>
    <n v="0"/>
  </r>
  <r>
    <x v="1"/>
    <s v="11-120-02-050000-51311"/>
    <x v="0"/>
    <n v="120"/>
    <n v="2"/>
    <x v="12"/>
    <n v="51311"/>
    <x v="1"/>
    <s v="51"/>
    <s v="513"/>
    <x v="119"/>
    <s v="Business Education : Academic Teaching PT"/>
    <n v="21502"/>
  </r>
  <r>
    <x v="1"/>
    <s v="11-120-02-070100-51311"/>
    <x v="0"/>
    <n v="120"/>
    <n v="2"/>
    <x v="13"/>
    <n v="51311"/>
    <x v="1"/>
    <s v="51"/>
    <s v="513"/>
    <x v="124"/>
    <s v="Computer &amp; Information Science : Academic Teaching PT"/>
    <n v="24352"/>
  </r>
  <r>
    <x v="1"/>
    <s v="11-120-02-100200-51311"/>
    <x v="0"/>
    <n v="120"/>
    <n v="2"/>
    <x v="14"/>
    <n v="51311"/>
    <x v="1"/>
    <s v="51"/>
    <s v="513"/>
    <x v="129"/>
    <s v="Art : Academic Teaching PT"/>
    <n v="6738"/>
  </r>
  <r>
    <x v="1"/>
    <s v="11-120-02-100400-51311"/>
    <x v="0"/>
    <n v="120"/>
    <n v="2"/>
    <x v="15"/>
    <n v="51311"/>
    <x v="1"/>
    <s v="51"/>
    <s v="513"/>
    <x v="134"/>
    <s v="Music : Academic Teaching PT"/>
    <n v="21635"/>
  </r>
  <r>
    <x v="1"/>
    <s v="11-120-02-101100-51311"/>
    <x v="0"/>
    <n v="120"/>
    <n v="2"/>
    <x v="16"/>
    <n v="51311"/>
    <x v="1"/>
    <s v="51"/>
    <s v="513"/>
    <x v="139"/>
    <s v="Photography : Academic Teaching PT"/>
    <n v="4024"/>
  </r>
  <r>
    <x v="1"/>
    <s v="11-120-02-110500-51311"/>
    <x v="0"/>
    <n v="120"/>
    <n v="2"/>
    <x v="17"/>
    <n v="51311"/>
    <x v="1"/>
    <s v="51"/>
    <s v="513"/>
    <x v="144"/>
    <s v="Spanish : Academic Teaching PT"/>
    <n v="38563"/>
  </r>
  <r>
    <x v="1"/>
    <s v="11-120-02-130500-51311"/>
    <x v="0"/>
    <n v="120"/>
    <n v="2"/>
    <x v="18"/>
    <n v="51311"/>
    <x v="1"/>
    <s v="51"/>
    <s v="513"/>
    <x v="149"/>
    <s v="Early Childhood Education : Academic Teaching PT"/>
    <n v="10000"/>
  </r>
  <r>
    <x v="1"/>
    <s v="11-120-02-150100-51311"/>
    <x v="0"/>
    <n v="120"/>
    <n v="2"/>
    <x v="19"/>
    <n v="51311"/>
    <x v="1"/>
    <s v="51"/>
    <s v="513"/>
    <x v="155"/>
    <s v="English : Academic Teaching PT"/>
    <n v="132074"/>
  </r>
  <r>
    <x v="1"/>
    <s v="11-120-02-150100-55630"/>
    <x v="0"/>
    <n v="120"/>
    <n v="2"/>
    <x v="19"/>
    <n v="55630"/>
    <x v="1"/>
    <s v="55"/>
    <s v="556"/>
    <x v="161"/>
    <s v="English : Printing &amp; Duplicating - Inhouse"/>
    <n v="120"/>
  </r>
  <r>
    <x v="1"/>
    <s v="11-120-02-150600-51311"/>
    <x v="0"/>
    <n v="120"/>
    <n v="2"/>
    <x v="20"/>
    <n v="51311"/>
    <x v="1"/>
    <s v="51"/>
    <s v="513"/>
    <x v="162"/>
    <s v="Speech : Academic Teaching PT"/>
    <n v="12958"/>
  </r>
  <r>
    <x v="1"/>
    <s v="11-120-02-150600-55630"/>
    <x v="0"/>
    <n v="120"/>
    <n v="2"/>
    <x v="20"/>
    <n v="55630"/>
    <x v="1"/>
    <s v="55"/>
    <s v="556"/>
    <x v="167"/>
    <s v="Speech : Printing &amp; Duplicating - Inhouse"/>
    <n v="8"/>
  </r>
  <r>
    <x v="1"/>
    <s v="11-120-02-170100-51311"/>
    <x v="0"/>
    <n v="120"/>
    <n v="2"/>
    <x v="21"/>
    <n v="51311"/>
    <x v="1"/>
    <s v="51"/>
    <s v="513"/>
    <x v="168"/>
    <s v="Mathematics : Academic Teaching PT"/>
    <n v="34636"/>
  </r>
  <r>
    <x v="1"/>
    <s v="11-120-02-170100-55630"/>
    <x v="0"/>
    <n v="120"/>
    <n v="2"/>
    <x v="21"/>
    <n v="55630"/>
    <x v="1"/>
    <s v="55"/>
    <s v="556"/>
    <x v="173"/>
    <s v="Mathematics : Printing &amp; Duplicating - Inhouse"/>
    <n v="88"/>
  </r>
  <r>
    <x v="1"/>
    <s v="11-120-02-190200-51311"/>
    <x v="0"/>
    <n v="120"/>
    <n v="2"/>
    <x v="22"/>
    <n v="51311"/>
    <x v="1"/>
    <s v="51"/>
    <s v="513"/>
    <x v="174"/>
    <s v="Physics : Academic Teaching PT"/>
    <n v="10280"/>
  </r>
  <r>
    <x v="1"/>
    <s v="11-120-02-190200-55630"/>
    <x v="0"/>
    <n v="120"/>
    <n v="2"/>
    <x v="22"/>
    <n v="55630"/>
    <x v="1"/>
    <s v="55"/>
    <s v="556"/>
    <x v="179"/>
    <s v="Physics : Printing &amp; Duplicating - Inhouse"/>
    <n v="28"/>
  </r>
  <r>
    <x v="1"/>
    <s v="11-120-02-191900-51311"/>
    <x v="0"/>
    <n v="120"/>
    <n v="2"/>
    <x v="23"/>
    <n v="51311"/>
    <x v="1"/>
    <s v="51"/>
    <s v="513"/>
    <x v="180"/>
    <s v="Oceanography : Academic Teaching PT"/>
    <n v="2668"/>
  </r>
  <r>
    <x v="1"/>
    <s v="11-120-02-200100-51311"/>
    <x v="0"/>
    <n v="120"/>
    <n v="2"/>
    <x v="24"/>
    <n v="51311"/>
    <x v="1"/>
    <s v="51"/>
    <s v="513"/>
    <x v="185"/>
    <s v="Psychology : Academic Teaching PT"/>
    <n v="31812"/>
  </r>
  <r>
    <x v="1"/>
    <s v="11-120-02-210500-51311"/>
    <x v="0"/>
    <n v="120"/>
    <n v="2"/>
    <x v="25"/>
    <n v="51311"/>
    <x v="1"/>
    <s v="51"/>
    <s v="513"/>
    <x v="191"/>
    <s v="Administration of Justice : Academic Teaching PT"/>
    <n v="27695"/>
  </r>
  <r>
    <x v="1"/>
    <s v="11-120-02-210500-55630"/>
    <x v="0"/>
    <n v="120"/>
    <n v="2"/>
    <x v="25"/>
    <n v="55630"/>
    <x v="1"/>
    <s v="55"/>
    <s v="556"/>
    <x v="197"/>
    <s v="Administration of Justice : Printing &amp; Duplicating - Inhouse"/>
    <n v="10"/>
  </r>
  <r>
    <x v="1"/>
    <s v="11-120-02-220200-51311"/>
    <x v="0"/>
    <n v="120"/>
    <n v="2"/>
    <x v="26"/>
    <n v="51311"/>
    <x v="1"/>
    <s v="51"/>
    <s v="513"/>
    <x v="198"/>
    <s v="Anthropology : Academic Teaching PT"/>
    <n v="13612"/>
  </r>
  <r>
    <x v="1"/>
    <s v="11-120-02-220200-55630"/>
    <x v="0"/>
    <n v="120"/>
    <n v="2"/>
    <x v="26"/>
    <n v="55630"/>
    <x v="1"/>
    <s v="55"/>
    <s v="556"/>
    <x v="203"/>
    <s v="Anthropology : Printing &amp; Duplicating - Inhouse"/>
    <n v="42"/>
  </r>
  <r>
    <x v="1"/>
    <s v="11-120-02-220210-51311"/>
    <x v="0"/>
    <n v="120"/>
    <n v="2"/>
    <x v="27"/>
    <n v="51311"/>
    <x v="1"/>
    <s v="51"/>
    <s v="513"/>
    <x v="204"/>
    <s v="Ethnic Studies : Academic Teaching PT"/>
    <n v="57590"/>
  </r>
  <r>
    <x v="1"/>
    <s v="11-120-02-220500-51311"/>
    <x v="0"/>
    <n v="120"/>
    <n v="2"/>
    <x v="28"/>
    <n v="51311"/>
    <x v="1"/>
    <s v="51"/>
    <s v="513"/>
    <x v="209"/>
    <s v="History : Academic Teaching PT"/>
    <n v="17512"/>
  </r>
  <r>
    <x v="1"/>
    <s v="11-120-02-220500-55630"/>
    <x v="0"/>
    <n v="120"/>
    <n v="2"/>
    <x v="28"/>
    <n v="55630"/>
    <x v="1"/>
    <s v="55"/>
    <s v="556"/>
    <x v="214"/>
    <s v="History : Printing &amp; Duplicating - Inhouse"/>
    <n v="32"/>
  </r>
  <r>
    <x v="1"/>
    <s v="11-120-02-220600-51311"/>
    <x v="0"/>
    <n v="120"/>
    <n v="2"/>
    <x v="29"/>
    <n v="51311"/>
    <x v="1"/>
    <s v="51"/>
    <s v="513"/>
    <x v="215"/>
    <s v="Geography : Academic Teaching PT"/>
    <n v="3167"/>
  </r>
  <r>
    <x v="1"/>
    <s v="11-120-02-220700-51311"/>
    <x v="0"/>
    <n v="120"/>
    <n v="2"/>
    <x v="30"/>
    <n v="51311"/>
    <x v="1"/>
    <s v="51"/>
    <s v="513"/>
    <x v="220"/>
    <s v="Political Science : Academic Teaching PT"/>
    <n v="4262"/>
  </r>
  <r>
    <x v="1"/>
    <s v="11-120-02-220700-55630"/>
    <x v="0"/>
    <n v="120"/>
    <n v="2"/>
    <x v="30"/>
    <n v="55630"/>
    <x v="1"/>
    <s v="55"/>
    <s v="556"/>
    <x v="225"/>
    <s v="Political Science : Printing &amp; Duplicating - Inhouse"/>
    <n v="122"/>
  </r>
  <r>
    <x v="1"/>
    <s v="11-120-02-220800-51311"/>
    <x v="0"/>
    <n v="120"/>
    <n v="2"/>
    <x v="31"/>
    <n v="51311"/>
    <x v="1"/>
    <s v="51"/>
    <s v="513"/>
    <x v="226"/>
    <s v="Sociology : Academic Teaching PT"/>
    <n v="14066"/>
  </r>
  <r>
    <x v="1"/>
    <s v="11-120-02-220800-55630"/>
    <x v="0"/>
    <n v="120"/>
    <n v="2"/>
    <x v="31"/>
    <n v="55630"/>
    <x v="1"/>
    <s v="55"/>
    <s v="556"/>
    <x v="231"/>
    <s v="Sociology : Printing &amp; Duplicating - Inhouse"/>
    <n v="192"/>
  </r>
  <r>
    <x v="1"/>
    <s v="11-120-02-493010-51311"/>
    <x v="0"/>
    <n v="120"/>
    <n v="2"/>
    <x v="32"/>
    <n v="51311"/>
    <x v="1"/>
    <s v="51"/>
    <s v="513"/>
    <x v="232"/>
    <s v="Counseling Instruction : Academic Teaching PT"/>
    <n v="10958"/>
  </r>
  <r>
    <x v="1"/>
    <s v="11-120-02-493080-51311"/>
    <x v="0"/>
    <n v="120"/>
    <n v="2"/>
    <x v="33"/>
    <n v="51311"/>
    <x v="1"/>
    <s v="51"/>
    <s v="513"/>
    <x v="237"/>
    <s v="ESL : Academic Teaching PT"/>
    <n v="40554"/>
  </r>
  <r>
    <x v="1"/>
    <s v="11-120-02-601000-51412"/>
    <x v="0"/>
    <n v="120"/>
    <n v="2"/>
    <x v="34"/>
    <n v="51412"/>
    <x v="1"/>
    <s v="51"/>
    <s v="514"/>
    <x v="243"/>
    <s v="Academic Administration : Acad Nonteach Special Projects"/>
    <n v="7000"/>
  </r>
  <r>
    <x v="1"/>
    <s v="11-120-02-601000-52300"/>
    <x v="0"/>
    <n v="120"/>
    <n v="2"/>
    <x v="34"/>
    <n v="52300"/>
    <x v="1"/>
    <s v="52"/>
    <s v="523"/>
    <x v="245"/>
    <s v="Academic Administration : Classified Overtime"/>
    <n v="1000"/>
  </r>
  <r>
    <x v="1"/>
    <s v="11-120-02-601000-54300"/>
    <x v="0"/>
    <n v="120"/>
    <n v="2"/>
    <x v="34"/>
    <n v="54300"/>
    <x v="1"/>
    <s v="54"/>
    <s v="543"/>
    <x v="254"/>
    <s v="Academic Administration : Supplies &amp; Materials"/>
    <n v="30000"/>
  </r>
  <r>
    <x v="1"/>
    <s v="11-120-02-601000-55125"/>
    <x v="0"/>
    <n v="120"/>
    <n v="2"/>
    <x v="34"/>
    <n v="55125"/>
    <x v="1"/>
    <s v="55"/>
    <s v="551"/>
    <x v="255"/>
    <s v="Academic Administration : Training &amp; Seminars"/>
    <n v="500"/>
  </r>
  <r>
    <x v="1"/>
    <s v="11-120-02-601000-55200"/>
    <x v="0"/>
    <n v="120"/>
    <n v="2"/>
    <x v="34"/>
    <n v="55200"/>
    <x v="1"/>
    <s v="55"/>
    <s v="552"/>
    <x v="256"/>
    <s v="Academic Administration : Travel &amp; Conference"/>
    <n v="4500"/>
  </r>
  <r>
    <x v="1"/>
    <s v="11-120-02-601000-55210"/>
    <x v="0"/>
    <n v="120"/>
    <n v="2"/>
    <x v="34"/>
    <n v="55210"/>
    <x v="1"/>
    <s v="55"/>
    <s v="552"/>
    <x v="257"/>
    <s v="Academic Administration : Instructional Mileage"/>
    <n v="10000"/>
  </r>
  <r>
    <x v="1"/>
    <s v="11-120-02-601000-55630"/>
    <x v="0"/>
    <n v="120"/>
    <n v="2"/>
    <x v="34"/>
    <n v="55630"/>
    <x v="1"/>
    <s v="55"/>
    <s v="556"/>
    <x v="258"/>
    <s v="Academic Administration : Printing &amp; Duplicating - Inhouse"/>
    <n v="1500"/>
  </r>
  <r>
    <x v="1"/>
    <s v="11-120-02-601000-55650"/>
    <x v="0"/>
    <n v="120"/>
    <n v="2"/>
    <x v="34"/>
    <n v="55650"/>
    <x v="1"/>
    <s v="55"/>
    <s v="556"/>
    <x v="259"/>
    <s v="Academic Administration : Maintenance Agreement"/>
    <n v="42340"/>
  </r>
  <r>
    <x v="1"/>
    <s v="11-120-02-601000-55830"/>
    <x v="0"/>
    <n v="120"/>
    <n v="2"/>
    <x v="34"/>
    <n v="55830"/>
    <x v="1"/>
    <s v="55"/>
    <s v="558"/>
    <x v="260"/>
    <s v="Academic Administration : Advertising Expense"/>
    <n v="10000"/>
  </r>
  <r>
    <x v="1"/>
    <s v="11-120-02-601000-56400"/>
    <x v="0"/>
    <n v="120"/>
    <n v="2"/>
    <x v="34"/>
    <n v="56400"/>
    <x v="1"/>
    <s v="56"/>
    <s v="564"/>
    <x v="261"/>
    <s v="Academic Administration : Cap Equip - $200 to $4,999"/>
    <n v="6000"/>
  </r>
  <r>
    <x v="1"/>
    <s v="11-120-02-612000-51411"/>
    <x v="0"/>
    <n v="120"/>
    <n v="2"/>
    <x v="35"/>
    <n v="51411"/>
    <x v="1"/>
    <s v="51"/>
    <s v="514"/>
    <x v="262"/>
    <s v="Library Services : Academic Nonteaching PT"/>
    <n v="30000"/>
  </r>
  <r>
    <x v="1"/>
    <s v="11-120-02-612000-55630"/>
    <x v="0"/>
    <n v="120"/>
    <n v="2"/>
    <x v="35"/>
    <n v="55630"/>
    <x v="1"/>
    <s v="55"/>
    <s v="556"/>
    <x v="267"/>
    <s v="Library Services : Printing &amp; Duplicating - Inhouse"/>
    <n v="82"/>
  </r>
  <r>
    <x v="1"/>
    <s v="11-120-02-631000-51311"/>
    <x v="0"/>
    <n v="120"/>
    <n v="2"/>
    <x v="36"/>
    <n v="51311"/>
    <x v="1"/>
    <s v="51"/>
    <s v="513"/>
    <x v="268"/>
    <s v="Counseling &amp; Guidance : Academic Teaching PT"/>
    <n v="25000"/>
  </r>
  <r>
    <x v="1"/>
    <s v="11-120-02-631000-51411"/>
    <x v="0"/>
    <n v="120"/>
    <n v="2"/>
    <x v="36"/>
    <n v="51411"/>
    <x v="1"/>
    <s v="51"/>
    <s v="514"/>
    <x v="269"/>
    <s v="Counseling &amp; Guidance : Academic Nonteaching PT"/>
    <n v="16769"/>
  </r>
  <r>
    <x v="1"/>
    <s v="11-120-02-631000-55630"/>
    <x v="0"/>
    <n v="120"/>
    <n v="2"/>
    <x v="36"/>
    <n v="55630"/>
    <x v="1"/>
    <s v="55"/>
    <s v="556"/>
    <x v="278"/>
    <s v="Counseling &amp; Guidance : Printing &amp; Duplicating - Inhouse"/>
    <n v="182"/>
  </r>
  <r>
    <x v="1"/>
    <s v="11-120-02-657000-55530"/>
    <x v="0"/>
    <n v="120"/>
    <n v="2"/>
    <x v="37"/>
    <n v="55530"/>
    <x v="1"/>
    <s v="55"/>
    <s v="555"/>
    <x v="279"/>
    <s v="Utilities : Electric Utility"/>
    <n v="22290"/>
  </r>
  <r>
    <x v="1"/>
    <s v="11-120-02-657000-55540"/>
    <x v="0"/>
    <n v="120"/>
    <n v="2"/>
    <x v="37"/>
    <n v="55540"/>
    <x v="1"/>
    <s v="55"/>
    <s v="555"/>
    <x v="280"/>
    <s v="Utilities : Gas Utility"/>
    <n v="1161"/>
  </r>
  <r>
    <x v="1"/>
    <s v="11-120-02-657000-55560"/>
    <x v="0"/>
    <n v="120"/>
    <n v="2"/>
    <x v="37"/>
    <n v="55560"/>
    <x v="1"/>
    <s v="55"/>
    <s v="555"/>
    <x v="281"/>
    <s v="Utilities : Water Service"/>
    <n v="7769"/>
  </r>
  <r>
    <x v="1"/>
    <s v="11-120-02-657000-55580"/>
    <x v="0"/>
    <n v="120"/>
    <n v="2"/>
    <x v="37"/>
    <n v="55580"/>
    <x v="1"/>
    <s v="55"/>
    <s v="555"/>
    <x v="282"/>
    <s v="Utilities : Trash Collection Service"/>
    <n v="4597"/>
  </r>
  <r>
    <x v="1"/>
    <s v="11-120-02-700400-55630"/>
    <x v="0"/>
    <n v="120"/>
    <n v="2"/>
    <x v="38"/>
    <n v="55630"/>
    <x v="1"/>
    <s v="55"/>
    <s v="556"/>
    <x v="283"/>
    <s v="SSSP : Printing &amp; Duplicating - Inhouse"/>
    <n v="0"/>
  </r>
  <r>
    <x v="1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7385"/>
  </r>
  <r>
    <x v="1"/>
    <s v="11-140-00-684000-54300"/>
    <x v="0"/>
    <n v="140"/>
    <n v="0"/>
    <x v="9"/>
    <n v="54300"/>
    <x v="1"/>
    <s v="54"/>
    <s v="543"/>
    <x v="300"/>
    <s v="Community Relations &amp; Develop. : Supplies &amp; Materials"/>
    <n v="3000"/>
  </r>
  <r>
    <x v="1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1"/>
    <s v="11-140-00-684000-55105"/>
    <x v="0"/>
    <n v="140"/>
    <n v="0"/>
    <x v="9"/>
    <n v="55105"/>
    <x v="1"/>
    <s v="55"/>
    <s v="551"/>
    <x v="302"/>
    <s v="Community Relations &amp; Develop. : Contract Services"/>
    <n v="71792"/>
  </r>
  <r>
    <x v="1"/>
    <s v="11-140-00-684000-55200"/>
    <x v="0"/>
    <n v="140"/>
    <n v="0"/>
    <x v="9"/>
    <n v="55200"/>
    <x v="1"/>
    <s v="55"/>
    <s v="552"/>
    <x v="303"/>
    <s v="Community Relations &amp; Develop. : Travel &amp; Conference"/>
    <n v="9000"/>
  </r>
  <r>
    <x v="1"/>
    <s v="11-140-00-684000-55300"/>
    <x v="0"/>
    <n v="140"/>
    <n v="0"/>
    <x v="9"/>
    <n v="55300"/>
    <x v="1"/>
    <s v="55"/>
    <s v="553"/>
    <x v="304"/>
    <s v="Community Relations &amp; Develop. : Memberships"/>
    <n v="2000"/>
  </r>
  <r>
    <x v="1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00"/>
  </r>
  <r>
    <x v="1"/>
    <s v="11-140-00-684000-55635"/>
    <x v="0"/>
    <n v="140"/>
    <n v="0"/>
    <x v="9"/>
    <n v="55635"/>
    <x v="1"/>
    <s v="55"/>
    <s v="556"/>
    <x v="306"/>
    <s v="Community Relations &amp; Develop. : Printing Services - Vendor"/>
    <n v="800"/>
  </r>
  <r>
    <x v="1"/>
    <s v="11-140-00-684000-55810"/>
    <x v="0"/>
    <n v="140"/>
    <n v="0"/>
    <x v="9"/>
    <n v="55810"/>
    <x v="1"/>
    <s v="55"/>
    <s v="558"/>
    <x v="307"/>
    <s v="Community Relations &amp; Develop. : Bulk Mail"/>
    <n v="500"/>
  </r>
  <r>
    <x v="1"/>
    <s v="11-140-00-684000-55830"/>
    <x v="0"/>
    <n v="140"/>
    <n v="0"/>
    <x v="9"/>
    <n v="55830"/>
    <x v="1"/>
    <s v="55"/>
    <s v="558"/>
    <x v="309"/>
    <s v="Community Relations &amp; Develop. : Advertising Expense"/>
    <n v="282000"/>
  </r>
  <r>
    <x v="1"/>
    <s v="11-140-00-684000-56400"/>
    <x v="0"/>
    <n v="140"/>
    <n v="0"/>
    <x v="9"/>
    <n v="56400"/>
    <x v="1"/>
    <s v="56"/>
    <s v="564"/>
    <x v="310"/>
    <s v="Community Relations &amp; Develop. : Cap Equip - $200 to $4,999"/>
    <n v="2794"/>
  </r>
  <r>
    <x v="1"/>
    <s v="11-200-00-677100-54300"/>
    <x v="0"/>
    <n v="200"/>
    <n v="0"/>
    <x v="46"/>
    <n v="54300"/>
    <x v="1"/>
    <s v="54"/>
    <s v="543"/>
    <x v="337"/>
    <s v="Campus Security : Supplies &amp; Materials"/>
    <n v="956"/>
  </r>
  <r>
    <x v="1"/>
    <s v="11-200-00-677100-55105"/>
    <x v="0"/>
    <n v="200"/>
    <n v="0"/>
    <x v="46"/>
    <n v="55105"/>
    <x v="1"/>
    <s v="55"/>
    <s v="551"/>
    <x v="338"/>
    <s v="Campus Security : Contract Services"/>
    <n v="630185"/>
  </r>
  <r>
    <x v="1"/>
    <s v="11-200-00-677100-55630"/>
    <x v="0"/>
    <n v="200"/>
    <n v="0"/>
    <x v="46"/>
    <n v="55630"/>
    <x v="1"/>
    <s v="55"/>
    <s v="556"/>
    <x v="339"/>
    <s v="Campus Security : Printing &amp; Duplicating - Inhouse"/>
    <n v="6"/>
  </r>
  <r>
    <x v="1"/>
    <s v="11-200-00-695000-55800"/>
    <x v="0"/>
    <n v="200"/>
    <n v="0"/>
    <x v="47"/>
    <n v="55800"/>
    <x v="1"/>
    <s v="55"/>
    <s v="558"/>
    <x v="340"/>
    <s v="Parking Services : Other Costs"/>
    <n v="27455"/>
  </r>
  <r>
    <x v="1"/>
    <s v="11-210-00-677020-54300"/>
    <x v="0"/>
    <n v="210"/>
    <n v="0"/>
    <x v="50"/>
    <n v="54300"/>
    <x v="1"/>
    <s v="54"/>
    <s v="543"/>
    <x v="419"/>
    <s v="Emergency Management : Supplies &amp; Materials"/>
    <n v="5000"/>
  </r>
  <r>
    <x v="1"/>
    <s v="11-210-00-677020-55200"/>
    <x v="0"/>
    <n v="210"/>
    <n v="0"/>
    <x v="50"/>
    <n v="55200"/>
    <x v="1"/>
    <s v="55"/>
    <s v="552"/>
    <x v="420"/>
    <s v="Emergency Management : Travel &amp; Conference"/>
    <n v="1000"/>
  </r>
  <r>
    <x v="1"/>
    <s v="11-210-00-677020-55300"/>
    <x v="0"/>
    <n v="210"/>
    <n v="0"/>
    <x v="50"/>
    <n v="55300"/>
    <x v="1"/>
    <s v="55"/>
    <s v="553"/>
    <x v="421"/>
    <s v="Emergency Management : Memberships"/>
    <n v="500"/>
  </r>
  <r>
    <x v="1"/>
    <s v="11-210-00-677020-55550"/>
    <x v="0"/>
    <n v="210"/>
    <n v="0"/>
    <x v="50"/>
    <n v="55550"/>
    <x v="1"/>
    <s v="55"/>
    <s v="555"/>
    <x v="422"/>
    <s v="Emergency Management : Telephone Service"/>
    <n v="500"/>
  </r>
  <r>
    <x v="1"/>
    <s v="11-210-00-677020-55650"/>
    <x v="0"/>
    <n v="210"/>
    <n v="0"/>
    <x v="50"/>
    <n v="55650"/>
    <x v="1"/>
    <s v="55"/>
    <s v="556"/>
    <x v="423"/>
    <s v="Emergency Management : Maintenance Agreement"/>
    <n v="1700"/>
  </r>
  <r>
    <x v="1"/>
    <s v="13-210-00-695000-55105"/>
    <x v="1"/>
    <n v="210"/>
    <n v="0"/>
    <x v="47"/>
    <n v="55105"/>
    <x v="1"/>
    <s v="55"/>
    <s v="551"/>
    <x v="1887"/>
    <s v="Parking Services : Contract Services"/>
    <n v="1994.5"/>
  </r>
  <r>
    <x v="1"/>
    <s v="11-220-00-651000-52300"/>
    <x v="0"/>
    <n v="220"/>
    <n v="0"/>
    <x v="52"/>
    <n v="52300"/>
    <x v="1"/>
    <s v="52"/>
    <s v="523"/>
    <x v="429"/>
    <s v="Building Maintenance &amp; Repairs : Classified Overtime"/>
    <n v="11500"/>
  </r>
  <r>
    <x v="1"/>
    <s v="11-220-00-651000-54330"/>
    <x v="0"/>
    <n v="220"/>
    <n v="0"/>
    <x v="52"/>
    <n v="54330"/>
    <x v="1"/>
    <s v="54"/>
    <s v="543"/>
    <x v="437"/>
    <s v="Building Maintenance &amp; Repairs : M &amp; O General Supplies"/>
    <n v="34000"/>
  </r>
  <r>
    <x v="1"/>
    <s v="11-220-00-651000-54335"/>
    <x v="0"/>
    <n v="220"/>
    <n v="0"/>
    <x v="52"/>
    <n v="54335"/>
    <x v="1"/>
    <s v="54"/>
    <s v="543"/>
    <x v="438"/>
    <s v="Building Maintenance &amp; Repairs : M &amp; O Stnry Equipment Parts"/>
    <n v="18800"/>
  </r>
  <r>
    <x v="1"/>
    <s v="11-220-00-651000-54337"/>
    <x v="0"/>
    <n v="220"/>
    <n v="0"/>
    <x v="52"/>
    <n v="54337"/>
    <x v="1"/>
    <s v="54"/>
    <s v="543"/>
    <x v="439"/>
    <s v="Building Maintenance &amp; Repairs : M &amp; O Electrical Supplies"/>
    <n v="14200"/>
  </r>
  <r>
    <x v="1"/>
    <s v="11-220-00-651000-54338"/>
    <x v="0"/>
    <n v="220"/>
    <n v="0"/>
    <x v="52"/>
    <n v="54338"/>
    <x v="1"/>
    <s v="54"/>
    <s v="543"/>
    <x v="440"/>
    <s v="Building Maintenance &amp; Repairs : M &amp; O Plumbing Supplies"/>
    <n v="13900"/>
  </r>
  <r>
    <x v="1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28"/>
  </r>
  <r>
    <x v="1"/>
    <s v="11-220-00-651000-55650"/>
    <x v="0"/>
    <n v="220"/>
    <n v="0"/>
    <x v="52"/>
    <n v="55650"/>
    <x v="1"/>
    <s v="55"/>
    <s v="556"/>
    <x v="442"/>
    <s v="Building Maintenance &amp; Repairs : Maintenance Agreement"/>
    <n v="111800"/>
  </r>
  <r>
    <x v="1"/>
    <s v="11-220-00-651000-55651"/>
    <x v="0"/>
    <n v="220"/>
    <n v="0"/>
    <x v="52"/>
    <n v="55651"/>
    <x v="1"/>
    <s v="55"/>
    <s v="556"/>
    <x v="443"/>
    <s v="Building Maintenance &amp; Repairs : Equipment Repairs"/>
    <n v="85653"/>
  </r>
  <r>
    <x v="1"/>
    <s v="11-220-00-651000-56400"/>
    <x v="0"/>
    <n v="220"/>
    <n v="0"/>
    <x v="52"/>
    <n v="56400"/>
    <x v="1"/>
    <s v="56"/>
    <s v="564"/>
    <x v="444"/>
    <s v="Building Maintenance &amp; Repairs : Cap Equip - $200 to $4,999"/>
    <n v="500"/>
  </r>
  <r>
    <x v="1"/>
    <s v="11-220-00-651000-56405"/>
    <x v="0"/>
    <n v="220"/>
    <n v="0"/>
    <x v="52"/>
    <n v="56405"/>
    <x v="1"/>
    <s v="56"/>
    <s v="564"/>
    <x v="445"/>
    <s v="Building Maintenance &amp; Repairs : Cap Equip - $5,000 and Over"/>
    <n v="5810"/>
  </r>
  <r>
    <x v="1"/>
    <s v="11-220-00-653000-52300"/>
    <x v="0"/>
    <n v="220"/>
    <n v="0"/>
    <x v="53"/>
    <n v="52300"/>
    <x v="1"/>
    <s v="52"/>
    <s v="523"/>
    <x v="448"/>
    <s v="Custodial Services : Classified Overtime"/>
    <n v="0"/>
  </r>
  <r>
    <x v="1"/>
    <s v="11-220-00-653000-54300"/>
    <x v="0"/>
    <n v="220"/>
    <n v="0"/>
    <x v="53"/>
    <n v="54300"/>
    <x v="1"/>
    <s v="54"/>
    <s v="543"/>
    <x v="456"/>
    <s v="Custodial Services : Supplies &amp; Materials"/>
    <n v="84190"/>
  </r>
  <r>
    <x v="1"/>
    <s v="11-220-00-653000-55630"/>
    <x v="0"/>
    <n v="220"/>
    <n v="0"/>
    <x v="53"/>
    <n v="55630"/>
    <x v="1"/>
    <s v="55"/>
    <s v="556"/>
    <x v="457"/>
    <s v="Custodial Services : Printing &amp; Duplicating - Inhouse"/>
    <n v="80"/>
  </r>
  <r>
    <x v="1"/>
    <s v="11-220-00-653000-55650"/>
    <x v="0"/>
    <n v="220"/>
    <n v="0"/>
    <x v="53"/>
    <n v="55650"/>
    <x v="1"/>
    <s v="55"/>
    <s v="556"/>
    <x v="458"/>
    <s v="Custodial Services : Maintenance Agreement"/>
    <n v="31500"/>
  </r>
  <r>
    <x v="1"/>
    <s v="11-220-00-655000-52300"/>
    <x v="0"/>
    <n v="220"/>
    <n v="0"/>
    <x v="54"/>
    <n v="52300"/>
    <x v="1"/>
    <s v="52"/>
    <s v="523"/>
    <x v="460"/>
    <s v="Grounds Maintenance &amp; Repairs : Classified Overtime"/>
    <n v="1750"/>
  </r>
  <r>
    <x v="1"/>
    <s v="11-220-00-655000-54300"/>
    <x v="0"/>
    <n v="220"/>
    <n v="0"/>
    <x v="54"/>
    <n v="54300"/>
    <x v="1"/>
    <s v="54"/>
    <s v="543"/>
    <x v="468"/>
    <s v="Grounds Maintenance &amp; Repairs : Supplies &amp; Materials"/>
    <n v="12500"/>
  </r>
  <r>
    <x v="1"/>
    <s v="11-220-00-655000-54330"/>
    <x v="0"/>
    <n v="220"/>
    <n v="0"/>
    <x v="54"/>
    <n v="54330"/>
    <x v="1"/>
    <s v="54"/>
    <s v="543"/>
    <x v="469"/>
    <s v="Grounds Maintenance &amp; Repairs : M &amp; O General Supplies"/>
    <n v="32500"/>
  </r>
  <r>
    <x v="1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6"/>
  </r>
  <r>
    <x v="1"/>
    <s v="11-220-00-655000-55650"/>
    <x v="0"/>
    <n v="220"/>
    <n v="0"/>
    <x v="54"/>
    <n v="55650"/>
    <x v="1"/>
    <s v="55"/>
    <s v="556"/>
    <x v="471"/>
    <s v="Grounds Maintenance &amp; Repairs : Maintenance Agreement"/>
    <n v="17000"/>
  </r>
  <r>
    <x v="1"/>
    <s v="11-220-00-655000-55651"/>
    <x v="0"/>
    <n v="220"/>
    <n v="0"/>
    <x v="54"/>
    <n v="55651"/>
    <x v="1"/>
    <s v="55"/>
    <s v="556"/>
    <x v="472"/>
    <s v="Grounds Maintenance &amp; Repairs : Equipment Repairs"/>
    <n v="23000"/>
  </r>
  <r>
    <x v="1"/>
    <s v="11-220-00-657000-55530"/>
    <x v="0"/>
    <n v="220"/>
    <n v="0"/>
    <x v="37"/>
    <n v="55530"/>
    <x v="1"/>
    <s v="55"/>
    <s v="555"/>
    <x v="2157"/>
    <s v="Utilities : Electric Utility"/>
    <n v="0"/>
  </r>
  <r>
    <x v="1"/>
    <s v="11-220-00-657000-55530"/>
    <x v="0"/>
    <n v="220"/>
    <n v="0"/>
    <x v="37"/>
    <n v="55530"/>
    <x v="1"/>
    <s v="55"/>
    <s v="555"/>
    <x v="2157"/>
    <s v="Utilities : Electric Utility"/>
    <n v="845000"/>
  </r>
  <r>
    <x v="1"/>
    <s v="11-220-00-657000-55540"/>
    <x v="0"/>
    <n v="220"/>
    <n v="0"/>
    <x v="37"/>
    <n v="55540"/>
    <x v="1"/>
    <s v="55"/>
    <s v="555"/>
    <x v="2158"/>
    <s v="Utilities : Gas Utility"/>
    <n v="155661"/>
  </r>
  <r>
    <x v="1"/>
    <s v="11-220-00-657000-55560"/>
    <x v="0"/>
    <n v="220"/>
    <n v="0"/>
    <x v="37"/>
    <n v="55560"/>
    <x v="1"/>
    <s v="55"/>
    <s v="555"/>
    <x v="2159"/>
    <s v="Utilities : Water Service"/>
    <n v="59200"/>
  </r>
  <r>
    <x v="1"/>
    <s v="11-220-00-657000-55570"/>
    <x v="0"/>
    <n v="220"/>
    <n v="0"/>
    <x v="37"/>
    <n v="55570"/>
    <x v="1"/>
    <s v="55"/>
    <s v="555"/>
    <x v="2160"/>
    <s v="Utilities : Sewer Service"/>
    <n v="31838"/>
  </r>
  <r>
    <x v="1"/>
    <s v="11-220-00-657000-55575"/>
    <x v="0"/>
    <n v="220"/>
    <n v="0"/>
    <x v="37"/>
    <n v="55575"/>
    <x v="1"/>
    <s v="55"/>
    <s v="555"/>
    <x v="2161"/>
    <s v="Utilities : Hazardous Waste Disposal"/>
    <n v="2000"/>
  </r>
  <r>
    <x v="1"/>
    <s v="11-220-00-657000-55580"/>
    <x v="0"/>
    <n v="220"/>
    <n v="0"/>
    <x v="37"/>
    <n v="55580"/>
    <x v="1"/>
    <s v="55"/>
    <s v="555"/>
    <x v="2162"/>
    <s v="Utilities : Trash Collection Service"/>
    <n v="50000"/>
  </r>
  <r>
    <x v="1"/>
    <s v="11-220-00-659010-52360"/>
    <x v="0"/>
    <n v="220"/>
    <n v="0"/>
    <x v="55"/>
    <n v="52360"/>
    <x v="1"/>
    <s v="52"/>
    <s v="523"/>
    <x v="476"/>
    <s v="Maintenance &amp; Operations : Class Nonstu NonIA PT Prof Exp"/>
    <n v="14000"/>
  </r>
  <r>
    <x v="1"/>
    <s v="11-220-00-659010-54300"/>
    <x v="0"/>
    <n v="220"/>
    <n v="0"/>
    <x v="55"/>
    <n v="54300"/>
    <x v="1"/>
    <s v="54"/>
    <s v="543"/>
    <x v="484"/>
    <s v="Maintenance &amp; Operations : Supplies &amp; Materials"/>
    <n v="38000"/>
  </r>
  <r>
    <x v="1"/>
    <s v="11-220-00-659010-55105"/>
    <x v="0"/>
    <n v="220"/>
    <n v="0"/>
    <x v="55"/>
    <n v="55105"/>
    <x v="1"/>
    <s v="55"/>
    <s v="551"/>
    <x v="485"/>
    <s v="Maintenance &amp; Operations : Contract Services"/>
    <n v="20700"/>
  </r>
  <r>
    <x v="1"/>
    <s v="11-220-00-659010-55550"/>
    <x v="0"/>
    <n v="220"/>
    <n v="0"/>
    <x v="55"/>
    <n v="55550"/>
    <x v="1"/>
    <s v="55"/>
    <s v="555"/>
    <x v="486"/>
    <s v="Maintenance &amp; Operations : Telephone Service"/>
    <n v="0"/>
  </r>
  <r>
    <x v="1"/>
    <s v="11-220-00-659010-55600"/>
    <x v="0"/>
    <n v="220"/>
    <n v="0"/>
    <x v="55"/>
    <n v="55600"/>
    <x v="1"/>
    <s v="55"/>
    <s v="556"/>
    <x v="487"/>
    <s v="Maintenance &amp; Operations : Rents &amp; Leases"/>
    <n v="800"/>
  </r>
  <r>
    <x v="1"/>
    <s v="11-220-00-659010-55630"/>
    <x v="0"/>
    <n v="220"/>
    <n v="0"/>
    <x v="55"/>
    <n v="55630"/>
    <x v="1"/>
    <s v="55"/>
    <s v="556"/>
    <x v="488"/>
    <s v="Maintenance &amp; Operations : Printing &amp; Duplicating - Inhouse"/>
    <n v="500"/>
  </r>
  <r>
    <x v="1"/>
    <s v="11-220-00-659010-55650"/>
    <x v="0"/>
    <n v="220"/>
    <n v="0"/>
    <x v="55"/>
    <n v="55650"/>
    <x v="1"/>
    <s v="55"/>
    <s v="556"/>
    <x v="489"/>
    <s v="Maintenance &amp; Operations : Maintenance Agreement"/>
    <n v="28500"/>
  </r>
  <r>
    <x v="1"/>
    <s v="11-220-00-659010-55651"/>
    <x v="0"/>
    <n v="220"/>
    <n v="0"/>
    <x v="55"/>
    <n v="55651"/>
    <x v="1"/>
    <s v="55"/>
    <s v="556"/>
    <x v="490"/>
    <s v="Maintenance &amp; Operations : Equipment Repairs"/>
    <n v="2500"/>
  </r>
  <r>
    <x v="1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1"/>
    <s v="11-220-00-659010-56216"/>
    <x v="0"/>
    <n v="220"/>
    <n v="0"/>
    <x v="55"/>
    <n v="56216"/>
    <x v="1"/>
    <s v="56"/>
    <s v="562"/>
    <x v="492"/>
    <s v="Maintenance &amp; Operations : Other Costs"/>
    <n v="425"/>
  </r>
  <r>
    <x v="1"/>
    <s v="11-220-00-659020-54300"/>
    <x v="0"/>
    <n v="220"/>
    <n v="0"/>
    <x v="56"/>
    <n v="54300"/>
    <x v="1"/>
    <s v="54"/>
    <s v="543"/>
    <x v="493"/>
    <s v="Safety &amp; Hazardous Materials : Supplies &amp; Materials"/>
    <n v="500"/>
  </r>
  <r>
    <x v="1"/>
    <s v="11-220-00-659020-55105"/>
    <x v="0"/>
    <n v="220"/>
    <n v="0"/>
    <x v="56"/>
    <n v="55105"/>
    <x v="1"/>
    <s v="55"/>
    <s v="551"/>
    <x v="494"/>
    <s v="Safety &amp; Hazardous Materials : Contract Services"/>
    <n v="500"/>
  </r>
  <r>
    <x v="1"/>
    <s v="11-220-00-659020-55575"/>
    <x v="0"/>
    <n v="220"/>
    <n v="0"/>
    <x v="56"/>
    <n v="55575"/>
    <x v="1"/>
    <s v="55"/>
    <s v="555"/>
    <x v="495"/>
    <s v="Safety &amp; Hazardous Materials : Hazardous Waste Disposal"/>
    <n v="14500"/>
  </r>
  <r>
    <x v="1"/>
    <s v="11-220-00-659020-56217"/>
    <x v="0"/>
    <n v="220"/>
    <n v="0"/>
    <x v="56"/>
    <n v="56217"/>
    <x v="1"/>
    <s v="56"/>
    <s v="562"/>
    <x v="496"/>
    <s v="Safety &amp; Hazardous Materials : Permits and Fees"/>
    <n v="5500"/>
  </r>
  <r>
    <x v="1"/>
    <s v="11-220-00-677000-52300"/>
    <x v="0"/>
    <n v="220"/>
    <n v="0"/>
    <x v="45"/>
    <n v="52300"/>
    <x v="1"/>
    <s v="52"/>
    <s v="523"/>
    <x v="498"/>
    <s v="Purchasing/Receiving : Classified Overtime"/>
    <n v="0"/>
  </r>
  <r>
    <x v="1"/>
    <s v="11-220-00-677000-55630"/>
    <x v="0"/>
    <n v="220"/>
    <n v="0"/>
    <x v="45"/>
    <n v="55630"/>
    <x v="1"/>
    <s v="55"/>
    <s v="556"/>
    <x v="505"/>
    <s v="Purchasing/Receiving : Printing &amp; Duplicating - Inhouse"/>
    <n v="150"/>
  </r>
  <r>
    <x v="1"/>
    <s v="11-220-00-677300-54349"/>
    <x v="0"/>
    <n v="220"/>
    <n v="0"/>
    <x v="57"/>
    <n v="54349"/>
    <x v="1"/>
    <s v="54"/>
    <s v="543"/>
    <x v="506"/>
    <s v="Vehicle Maintenance : M&amp;O Fuel and Oil Expense"/>
    <n v="12000"/>
  </r>
  <r>
    <x v="1"/>
    <s v="11-220-00-677300-55651"/>
    <x v="0"/>
    <n v="220"/>
    <n v="0"/>
    <x v="57"/>
    <n v="55651"/>
    <x v="1"/>
    <s v="55"/>
    <s v="556"/>
    <x v="507"/>
    <s v="Vehicle Maintenance : Equipment Repairs"/>
    <n v="3300"/>
  </r>
  <r>
    <x v="1"/>
    <s v="11-220-00-683000-52300"/>
    <x v="0"/>
    <n v="220"/>
    <n v="0"/>
    <x v="58"/>
    <n v="52300"/>
    <x v="1"/>
    <s v="52"/>
    <s v="523"/>
    <x v="511"/>
    <s v="Community Use of Facilities : Classified Overtime"/>
    <n v="1350"/>
  </r>
  <r>
    <x v="1"/>
    <s v="11-220-00-683000-54340"/>
    <x v="0"/>
    <n v="220"/>
    <n v="0"/>
    <x v="58"/>
    <n v="54340"/>
    <x v="1"/>
    <s v="54"/>
    <s v="543"/>
    <x v="519"/>
    <s v="Community Use of Facilities : M &amp; O Pool Chemicals"/>
    <n v="18000"/>
  </r>
  <r>
    <x v="1"/>
    <s v="11-220-00-683000-55630"/>
    <x v="0"/>
    <n v="220"/>
    <n v="0"/>
    <x v="58"/>
    <n v="55630"/>
    <x v="1"/>
    <s v="55"/>
    <s v="556"/>
    <x v="520"/>
    <s v="Community Use of Facilities : Printing &amp; Duplicating - Inhouse"/>
    <n v="200"/>
  </r>
  <r>
    <x v="1"/>
    <s v="11-300-00-601000-51412"/>
    <x v="0"/>
    <n v="300"/>
    <n v="0"/>
    <x v="34"/>
    <n v="51412"/>
    <x v="1"/>
    <s v="51"/>
    <s v="514"/>
    <x v="528"/>
    <s v="Academic Administration : Acad Nonteach Special Projects"/>
    <n v="273600"/>
  </r>
  <r>
    <x v="1"/>
    <s v="11-300-00-601000-52300"/>
    <x v="0"/>
    <n v="300"/>
    <n v="0"/>
    <x v="34"/>
    <n v="52300"/>
    <x v="1"/>
    <s v="52"/>
    <s v="523"/>
    <x v="531"/>
    <s v="Academic Administration : Classified Overtime"/>
    <n v="0"/>
  </r>
  <r>
    <x v="1"/>
    <s v="11-300-00-601000-52350"/>
    <x v="0"/>
    <n v="300"/>
    <n v="0"/>
    <x v="34"/>
    <n v="52350"/>
    <x v="1"/>
    <s v="52"/>
    <s v="523"/>
    <x v="532"/>
    <s v="Academic Administration : Classified Student Dist Non-IA PT"/>
    <n v="4000"/>
  </r>
  <r>
    <x v="1"/>
    <s v="11-300-00-601000-52360"/>
    <x v="0"/>
    <n v="300"/>
    <n v="0"/>
    <x v="34"/>
    <n v="52360"/>
    <x v="1"/>
    <s v="52"/>
    <s v="523"/>
    <x v="533"/>
    <s v="Academic Administration : Class Nonstu NonIA PT Prof Exp"/>
    <n v="20000"/>
  </r>
  <r>
    <x v="1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1"/>
    <s v="11-300-00-601000-54300"/>
    <x v="0"/>
    <n v="300"/>
    <n v="0"/>
    <x v="34"/>
    <n v="54300"/>
    <x v="1"/>
    <s v="54"/>
    <s v="543"/>
    <x v="543"/>
    <s v="Academic Administration : Supplies &amp; Materials"/>
    <n v="39400"/>
  </r>
  <r>
    <x v="1"/>
    <s v="11-300-00-601000-55105"/>
    <x v="0"/>
    <n v="300"/>
    <n v="0"/>
    <x v="34"/>
    <n v="55105"/>
    <x v="1"/>
    <s v="55"/>
    <s v="551"/>
    <x v="544"/>
    <s v="Academic Administration : Contract Services"/>
    <n v="498453"/>
  </r>
  <r>
    <x v="1"/>
    <s v="11-300-00-601000-55200"/>
    <x v="0"/>
    <n v="300"/>
    <n v="0"/>
    <x v="34"/>
    <n v="55200"/>
    <x v="1"/>
    <s v="55"/>
    <s v="552"/>
    <x v="545"/>
    <s v="Academic Administration : Travel &amp; Conference"/>
    <n v="6000"/>
  </r>
  <r>
    <x v="1"/>
    <s v="11-300-00-601000-55300"/>
    <x v="0"/>
    <n v="300"/>
    <n v="0"/>
    <x v="34"/>
    <n v="55300"/>
    <x v="1"/>
    <s v="55"/>
    <s v="553"/>
    <x v="546"/>
    <s v="Academic Administration : Memberships"/>
    <n v="400"/>
  </r>
  <r>
    <x v="1"/>
    <s v="11-300-00-601000-55630"/>
    <x v="0"/>
    <n v="300"/>
    <n v="0"/>
    <x v="34"/>
    <n v="55630"/>
    <x v="1"/>
    <s v="55"/>
    <s v="556"/>
    <x v="547"/>
    <s v="Academic Administration : Printing &amp; Duplicating - Inhouse"/>
    <n v="1076"/>
  </r>
  <r>
    <x v="1"/>
    <s v="11-300-00-601000-55635"/>
    <x v="0"/>
    <n v="300"/>
    <n v="0"/>
    <x v="34"/>
    <n v="55635"/>
    <x v="1"/>
    <s v="55"/>
    <s v="556"/>
    <x v="548"/>
    <s v="Academic Administration : Printing Services - Vendor"/>
    <n v="18450"/>
  </r>
  <r>
    <x v="1"/>
    <s v="11-300-00-601000-55650"/>
    <x v="0"/>
    <n v="300"/>
    <n v="0"/>
    <x v="34"/>
    <n v="55650"/>
    <x v="1"/>
    <s v="55"/>
    <s v="556"/>
    <x v="549"/>
    <s v="Academic Administration : Maintenance Agreement"/>
    <n v="160"/>
  </r>
  <r>
    <x v="1"/>
    <s v="11-300-00-612000-56310"/>
    <x v="0"/>
    <n v="300"/>
    <n v="0"/>
    <x v="35"/>
    <n v="56310"/>
    <x v="1"/>
    <s v="56"/>
    <s v="563"/>
    <x v="550"/>
    <s v="Library Services : Periodicals &amp; Newspapers"/>
    <n v="129"/>
  </r>
  <r>
    <x v="1"/>
    <s v="11-300-00-675020-55630"/>
    <x v="0"/>
    <n v="300"/>
    <n v="0"/>
    <x v="6"/>
    <n v="55630"/>
    <x v="1"/>
    <s v="55"/>
    <s v="556"/>
    <x v="557"/>
    <s v="Academic Senate : Printing &amp; Duplicating - Inhouse"/>
    <n v="0"/>
  </r>
  <r>
    <x v="1"/>
    <s v="11-300-04-490000-51311"/>
    <x v="0"/>
    <n v="300"/>
    <n v="4"/>
    <x v="59"/>
    <n v="51311"/>
    <x v="1"/>
    <s v="51"/>
    <s v="513"/>
    <x v="558"/>
    <s v="Interdisiplinary Studies : Academic Teaching PT"/>
    <n v="86356.26"/>
  </r>
  <r>
    <x v="1"/>
    <s v="11-300-04-601000-55650"/>
    <x v="0"/>
    <n v="300"/>
    <n v="4"/>
    <x v="34"/>
    <n v="55650"/>
    <x v="1"/>
    <s v="55"/>
    <s v="556"/>
    <x v="563"/>
    <s v="Academic Administration : Maintenance Agreement"/>
    <n v="23000"/>
  </r>
  <r>
    <x v="1"/>
    <s v="11-301-00-601000-51412"/>
    <x v="0"/>
    <n v="301"/>
    <n v="0"/>
    <x v="34"/>
    <n v="51412"/>
    <x v="1"/>
    <s v="51"/>
    <s v="514"/>
    <x v="565"/>
    <s v="Academic Administration : Acad Nonteach Special Projects"/>
    <n v="40000"/>
  </r>
  <r>
    <x v="1"/>
    <s v="11-301-00-601000-52300"/>
    <x v="0"/>
    <n v="301"/>
    <n v="0"/>
    <x v="34"/>
    <n v="52300"/>
    <x v="1"/>
    <s v="52"/>
    <s v="523"/>
    <x v="567"/>
    <s v="Academic Administration : Classified Overtime"/>
    <n v="12000"/>
  </r>
  <r>
    <x v="1"/>
    <s v="11-301-00-601000-52360"/>
    <x v="0"/>
    <n v="301"/>
    <n v="0"/>
    <x v="34"/>
    <n v="52360"/>
    <x v="1"/>
    <s v="52"/>
    <s v="523"/>
    <x v="568"/>
    <s v="Academic Administration : Class Nonstu NonIA PT Prof Exp"/>
    <n v="0"/>
  </r>
  <r>
    <x v="1"/>
    <s v="11-301-00-601000-54300"/>
    <x v="0"/>
    <n v="301"/>
    <n v="0"/>
    <x v="34"/>
    <n v="54300"/>
    <x v="1"/>
    <s v="54"/>
    <s v="543"/>
    <x v="577"/>
    <s v="Academic Administration : Supplies &amp; Materials"/>
    <n v="10000"/>
  </r>
  <r>
    <x v="1"/>
    <s v="11-301-00-601000-55200"/>
    <x v="0"/>
    <n v="301"/>
    <n v="0"/>
    <x v="34"/>
    <n v="55200"/>
    <x v="1"/>
    <s v="55"/>
    <s v="552"/>
    <x v="578"/>
    <s v="Academic Administration : Travel &amp; Conference"/>
    <n v="5000"/>
  </r>
  <r>
    <x v="1"/>
    <s v="11-301-00-601000-55630"/>
    <x v="0"/>
    <n v="301"/>
    <n v="0"/>
    <x v="34"/>
    <n v="55630"/>
    <x v="1"/>
    <s v="55"/>
    <s v="556"/>
    <x v="579"/>
    <s v="Academic Administration : Printing &amp; Duplicating - Inhouse"/>
    <n v="1400"/>
  </r>
  <r>
    <x v="1"/>
    <s v="11-310-00-080100-51311"/>
    <x v="0"/>
    <n v="310"/>
    <n v="0"/>
    <x v="62"/>
    <n v="51311"/>
    <x v="1"/>
    <s v="51"/>
    <s v="513"/>
    <x v="619"/>
    <s v="EDU (Education) Adjunct Exps. : Academic Teaching PT"/>
    <m/>
  </r>
  <r>
    <x v="1"/>
    <s v="11-310-00-100200-51310"/>
    <x v="0"/>
    <n v="310"/>
    <n v="0"/>
    <x v="14"/>
    <n v="51310"/>
    <x v="1"/>
    <s v="51"/>
    <s v="513"/>
    <x v="625"/>
    <s v="Art : Academic Teaching NIC"/>
    <n v="4293"/>
  </r>
  <r>
    <x v="1"/>
    <s v="11-310-00-100200-51311"/>
    <x v="0"/>
    <n v="310"/>
    <n v="0"/>
    <x v="14"/>
    <n v="51311"/>
    <x v="1"/>
    <s v="51"/>
    <s v="513"/>
    <x v="626"/>
    <s v="Art : Academic Teaching PT"/>
    <n v="176100"/>
  </r>
  <r>
    <x v="1"/>
    <s v="11-310-00-100200-52360"/>
    <x v="0"/>
    <n v="310"/>
    <n v="0"/>
    <x v="14"/>
    <n v="52360"/>
    <x v="1"/>
    <s v="52"/>
    <s v="523"/>
    <x v="628"/>
    <s v="Art : Class Nonstu NonIA PT Prof Exp"/>
    <n v="7700"/>
  </r>
  <r>
    <x v="1"/>
    <s v="11-310-00-100200-54300"/>
    <x v="0"/>
    <n v="310"/>
    <n v="0"/>
    <x v="14"/>
    <n v="54300"/>
    <x v="1"/>
    <s v="54"/>
    <s v="543"/>
    <x v="641"/>
    <s v="Art : Supplies &amp; Materials"/>
    <n v="3975"/>
  </r>
  <r>
    <x v="1"/>
    <s v="11-310-00-100200-55630"/>
    <x v="0"/>
    <n v="310"/>
    <n v="0"/>
    <x v="14"/>
    <n v="55630"/>
    <x v="1"/>
    <s v="55"/>
    <s v="556"/>
    <x v="642"/>
    <s v="Art : Printing &amp; Duplicating - Inhouse"/>
    <n v="600"/>
  </r>
  <r>
    <x v="1"/>
    <s v="11-310-00-100200-55651"/>
    <x v="0"/>
    <n v="310"/>
    <n v="0"/>
    <x v="14"/>
    <n v="55651"/>
    <x v="1"/>
    <s v="55"/>
    <s v="556"/>
    <x v="643"/>
    <s v="Art : Equipment Repairs"/>
    <n v="10"/>
  </r>
  <r>
    <x v="1"/>
    <s v="11-310-00-100200-56400"/>
    <x v="0"/>
    <n v="310"/>
    <n v="0"/>
    <x v="14"/>
    <n v="56400"/>
    <x v="1"/>
    <s v="56"/>
    <s v="564"/>
    <x v="644"/>
    <s v="Art : Cap Equip - $200 to $4,999"/>
    <n v="2500"/>
  </r>
  <r>
    <x v="1"/>
    <s v="11-310-00-100400-51310"/>
    <x v="0"/>
    <n v="310"/>
    <n v="0"/>
    <x v="15"/>
    <n v="51310"/>
    <x v="1"/>
    <s v="51"/>
    <s v="513"/>
    <x v="646"/>
    <s v="Music : Academic Teaching NIC"/>
    <n v="4443.2550000000001"/>
  </r>
  <r>
    <x v="1"/>
    <s v="11-310-00-100400-51311"/>
    <x v="0"/>
    <n v="310"/>
    <n v="0"/>
    <x v="15"/>
    <n v="51311"/>
    <x v="1"/>
    <s v="51"/>
    <s v="513"/>
    <x v="647"/>
    <s v="Music : Academic Teaching PT"/>
    <n v="123560"/>
  </r>
  <r>
    <x v="1"/>
    <s v="11-310-00-100400-52400"/>
    <x v="0"/>
    <n v="310"/>
    <n v="0"/>
    <x v="15"/>
    <n v="52400"/>
    <x v="1"/>
    <s v="52"/>
    <s v="524"/>
    <x v="648"/>
    <s v="Music : Classified Nonstudent Instructional Aides PT"/>
    <n v="10350"/>
  </r>
  <r>
    <x v="1"/>
    <s v="11-310-00-100400-54300"/>
    <x v="0"/>
    <n v="310"/>
    <n v="0"/>
    <x v="15"/>
    <n v="54300"/>
    <x v="1"/>
    <s v="54"/>
    <s v="543"/>
    <x v="655"/>
    <s v="Music : Supplies &amp; Materials"/>
    <n v="3000"/>
  </r>
  <r>
    <x v="1"/>
    <s v="11-310-00-100400-55630"/>
    <x v="0"/>
    <n v="310"/>
    <n v="0"/>
    <x v="15"/>
    <n v="55630"/>
    <x v="1"/>
    <s v="55"/>
    <s v="556"/>
    <x v="656"/>
    <s v="Music : Printing &amp; Duplicating - Inhouse"/>
    <n v="600"/>
  </r>
  <r>
    <x v="1"/>
    <s v="11-310-00-100400-55651"/>
    <x v="0"/>
    <n v="310"/>
    <n v="0"/>
    <x v="15"/>
    <n v="55651"/>
    <x v="1"/>
    <s v="55"/>
    <s v="556"/>
    <x v="657"/>
    <s v="Music : Equipment Repairs"/>
    <n v="3000"/>
  </r>
  <r>
    <x v="1"/>
    <s v="11-310-00-100700-51310"/>
    <x v="0"/>
    <n v="310"/>
    <n v="0"/>
    <x v="63"/>
    <n v="51310"/>
    <x v="1"/>
    <s v="51"/>
    <s v="513"/>
    <x v="659"/>
    <s v="Theater Arts : Academic Teaching NIC"/>
    <n v="23246"/>
  </r>
  <r>
    <x v="1"/>
    <s v="11-310-00-100700-51311"/>
    <x v="0"/>
    <n v="310"/>
    <n v="0"/>
    <x v="63"/>
    <n v="51311"/>
    <x v="1"/>
    <s v="51"/>
    <s v="513"/>
    <x v="660"/>
    <s v="Theater Arts : Academic Teaching PT"/>
    <n v="120000"/>
  </r>
  <r>
    <x v="1"/>
    <s v="11-310-00-100700-52350"/>
    <x v="0"/>
    <n v="310"/>
    <n v="0"/>
    <x v="63"/>
    <n v="52350"/>
    <x v="1"/>
    <s v="52"/>
    <s v="523"/>
    <x v="661"/>
    <s v="Theater Arts : Classified Student Dist Non-IA PT"/>
    <n v="435"/>
  </r>
  <r>
    <x v="1"/>
    <s v="11-310-00-100700-52360"/>
    <x v="0"/>
    <n v="310"/>
    <n v="0"/>
    <x v="63"/>
    <n v="52360"/>
    <x v="1"/>
    <s v="52"/>
    <s v="523"/>
    <x v="662"/>
    <s v="Theater Arts : Class Nonstu NonIA PT Prof Exp"/>
    <n v="1500"/>
  </r>
  <r>
    <x v="1"/>
    <s v="11-310-00-100700-55105"/>
    <x v="0"/>
    <n v="310"/>
    <n v="0"/>
    <x v="63"/>
    <n v="55105"/>
    <x v="1"/>
    <s v="55"/>
    <s v="551"/>
    <x v="673"/>
    <s v="Theater Arts : Contract Services"/>
    <n v="1420"/>
  </r>
  <r>
    <x v="1"/>
    <s v="11-310-00-100700-55200"/>
    <x v="0"/>
    <n v="310"/>
    <n v="0"/>
    <x v="63"/>
    <n v="55200"/>
    <x v="1"/>
    <s v="55"/>
    <s v="552"/>
    <x v="674"/>
    <s v="Theater Arts : Travel &amp; Conference"/>
    <n v="2000"/>
  </r>
  <r>
    <x v="1"/>
    <s v="11-310-00-100700-55300"/>
    <x v="0"/>
    <n v="310"/>
    <n v="0"/>
    <x v="63"/>
    <n v="55300"/>
    <x v="1"/>
    <s v="55"/>
    <s v="553"/>
    <x v="675"/>
    <s v="Theater Arts : Memberships"/>
    <n v="200"/>
  </r>
  <r>
    <x v="1"/>
    <s v="11-310-00-100700-55630"/>
    <x v="0"/>
    <n v="310"/>
    <n v="0"/>
    <x v="63"/>
    <n v="55630"/>
    <x v="1"/>
    <s v="55"/>
    <s v="556"/>
    <x v="676"/>
    <s v="Theater Arts : Printing &amp; Duplicating - Inhouse"/>
    <n v="600"/>
  </r>
  <r>
    <x v="1"/>
    <s v="11-310-00-100700-57552"/>
    <x v="0"/>
    <n v="310"/>
    <n v="0"/>
    <x v="63"/>
    <n v="57552"/>
    <x v="1"/>
    <s v="57"/>
    <s v="575"/>
    <x v="2163"/>
    <s v="Theater Arts : Student Travel/Meals"/>
    <n v="2000"/>
  </r>
  <r>
    <x v="1"/>
    <s v="11-310-00-101100-51310"/>
    <x v="0"/>
    <n v="310"/>
    <n v="0"/>
    <x v="16"/>
    <n v="51310"/>
    <x v="1"/>
    <s v="51"/>
    <s v="513"/>
    <x v="678"/>
    <s v="Photography : Academic Teaching NIC"/>
    <n v="7000"/>
  </r>
  <r>
    <x v="1"/>
    <s v="11-310-00-101100-51311"/>
    <x v="0"/>
    <n v="310"/>
    <n v="0"/>
    <x v="16"/>
    <n v="51311"/>
    <x v="1"/>
    <s v="51"/>
    <s v="513"/>
    <x v="679"/>
    <s v="Photography : Academic Teaching PT"/>
    <n v="40000"/>
  </r>
  <r>
    <x v="1"/>
    <s v="11-310-00-101100-54300"/>
    <x v="0"/>
    <n v="310"/>
    <n v="0"/>
    <x v="16"/>
    <n v="54300"/>
    <x v="1"/>
    <s v="54"/>
    <s v="543"/>
    <x v="688"/>
    <s v="Photography : Supplies &amp; Materials"/>
    <n v="2500"/>
  </r>
  <r>
    <x v="1"/>
    <s v="11-310-00-101100-55630"/>
    <x v="0"/>
    <n v="310"/>
    <n v="0"/>
    <x v="16"/>
    <n v="55630"/>
    <x v="1"/>
    <s v="55"/>
    <s v="556"/>
    <x v="689"/>
    <s v="Photography : Printing &amp; Duplicating - Inhouse"/>
    <n v="600"/>
  </r>
  <r>
    <x v="1"/>
    <s v="11-310-00-130500-51310"/>
    <x v="0"/>
    <n v="310"/>
    <n v="0"/>
    <x v="18"/>
    <n v="51310"/>
    <x v="1"/>
    <s v="51"/>
    <s v="513"/>
    <x v="690"/>
    <s v="Early Childhood Education : Academic Teaching NIC"/>
    <n v="7000"/>
  </r>
  <r>
    <x v="1"/>
    <s v="11-310-00-130500-55630"/>
    <x v="0"/>
    <n v="310"/>
    <n v="0"/>
    <x v="18"/>
    <n v="55630"/>
    <x v="1"/>
    <s v="55"/>
    <s v="556"/>
    <x v="698"/>
    <s v="Early Childhood Education : Printing &amp; Duplicating - Inhouse"/>
    <n v="600"/>
  </r>
  <r>
    <x v="1"/>
    <s v="11-310-00-140100-55300"/>
    <x v="0"/>
    <n v="310"/>
    <n v="0"/>
    <x v="64"/>
    <n v="55300"/>
    <x v="1"/>
    <s v="55"/>
    <s v="553"/>
    <x v="699"/>
    <s v="General Law : Memberships"/>
    <n v="5000"/>
  </r>
  <r>
    <x v="1"/>
    <s v="11-310-00-150900-51310"/>
    <x v="0"/>
    <n v="310"/>
    <n v="0"/>
    <x v="65"/>
    <n v="51310"/>
    <x v="1"/>
    <s v="51"/>
    <s v="513"/>
    <x v="701"/>
    <s v="Philosophy : Academic Teaching NIC"/>
    <n v="20000"/>
  </r>
  <r>
    <x v="1"/>
    <s v="11-310-00-150900-51311"/>
    <x v="0"/>
    <n v="310"/>
    <n v="0"/>
    <x v="65"/>
    <n v="51311"/>
    <x v="1"/>
    <s v="51"/>
    <s v="513"/>
    <x v="702"/>
    <s v="Philosophy : Academic Teaching PT"/>
    <n v="8000"/>
  </r>
  <r>
    <x v="1"/>
    <s v="11-310-00-150900-51412"/>
    <x v="0"/>
    <n v="310"/>
    <n v="0"/>
    <x v="65"/>
    <n v="51412"/>
    <x v="1"/>
    <s v="51"/>
    <s v="514"/>
    <x v="703"/>
    <s v="Philosophy : Acad Nonteach Special Projects"/>
    <n v="4000"/>
  </r>
  <r>
    <x v="1"/>
    <s v="11-310-00-150900-55630"/>
    <x v="0"/>
    <n v="310"/>
    <n v="0"/>
    <x v="65"/>
    <n v="55630"/>
    <x v="1"/>
    <s v="55"/>
    <s v="556"/>
    <x v="713"/>
    <s v="Philosophy : Printing &amp; Duplicating - Inhouse"/>
    <n v="600"/>
  </r>
  <r>
    <x v="1"/>
    <s v="11-310-00-200100-51310"/>
    <x v="0"/>
    <n v="310"/>
    <n v="0"/>
    <x v="24"/>
    <n v="51310"/>
    <x v="1"/>
    <s v="51"/>
    <s v="513"/>
    <x v="715"/>
    <s v="Psychology : Academic Teaching NIC"/>
    <n v="10000"/>
  </r>
  <r>
    <x v="1"/>
    <s v="11-310-00-200100-51311"/>
    <x v="0"/>
    <n v="310"/>
    <n v="0"/>
    <x v="24"/>
    <n v="51311"/>
    <x v="1"/>
    <s v="51"/>
    <s v="513"/>
    <x v="716"/>
    <s v="Psychology : Academic Teaching PT"/>
    <n v="160000"/>
  </r>
  <r>
    <x v="1"/>
    <s v="11-310-00-200100-51412"/>
    <x v="0"/>
    <n v="310"/>
    <n v="0"/>
    <x v="24"/>
    <n v="51412"/>
    <x v="1"/>
    <s v="51"/>
    <s v="514"/>
    <x v="717"/>
    <s v="Psychology : Acad Nonteach Special Projects"/>
    <n v="300"/>
  </r>
  <r>
    <x v="1"/>
    <s v="11-310-00-200100-55630"/>
    <x v="0"/>
    <n v="310"/>
    <n v="0"/>
    <x v="24"/>
    <n v="55630"/>
    <x v="1"/>
    <s v="55"/>
    <s v="556"/>
    <x v="729"/>
    <s v="Psychology : Printing &amp; Duplicating - Inhouse"/>
    <n v="600"/>
  </r>
  <r>
    <x v="1"/>
    <s v="11-310-00-220200-51310"/>
    <x v="0"/>
    <n v="310"/>
    <n v="0"/>
    <x v="26"/>
    <n v="51310"/>
    <x v="1"/>
    <s v="51"/>
    <s v="513"/>
    <x v="744"/>
    <s v="Anthropology : Academic Teaching NIC"/>
    <n v="15000"/>
  </r>
  <r>
    <x v="1"/>
    <s v="11-310-00-220200-51311"/>
    <x v="0"/>
    <n v="310"/>
    <n v="0"/>
    <x v="26"/>
    <n v="51311"/>
    <x v="1"/>
    <s v="51"/>
    <s v="513"/>
    <x v="745"/>
    <s v="Anthropology : Academic Teaching PT"/>
    <n v="35828"/>
  </r>
  <r>
    <x v="1"/>
    <s v="11-310-00-220200-55630"/>
    <x v="0"/>
    <n v="310"/>
    <n v="0"/>
    <x v="26"/>
    <n v="55630"/>
    <x v="1"/>
    <s v="55"/>
    <s v="556"/>
    <x v="752"/>
    <s v="Anthropology : Printing &amp; Duplicating - Inhouse"/>
    <n v="600"/>
  </r>
  <r>
    <x v="1"/>
    <s v="11-310-00-220210-51310"/>
    <x v="0"/>
    <n v="310"/>
    <n v="0"/>
    <x v="27"/>
    <n v="51310"/>
    <x v="1"/>
    <s v="51"/>
    <s v="513"/>
    <x v="754"/>
    <s v="Ethnic Studies : Academic Teaching NIC"/>
    <n v="3000"/>
  </r>
  <r>
    <x v="1"/>
    <s v="11-310-00-220210-51311"/>
    <x v="0"/>
    <n v="310"/>
    <n v="0"/>
    <x v="27"/>
    <n v="51311"/>
    <x v="1"/>
    <s v="51"/>
    <s v="513"/>
    <x v="755"/>
    <s v="Ethnic Studies : Academic Teaching PT"/>
    <n v="38721"/>
  </r>
  <r>
    <x v="1"/>
    <s v="11-310-00-220210-55200"/>
    <x v="0"/>
    <n v="310"/>
    <n v="0"/>
    <x v="27"/>
    <n v="55200"/>
    <x v="1"/>
    <s v="55"/>
    <s v="552"/>
    <x v="761"/>
    <s v="Ethnic Studies : Travel &amp; Conference"/>
    <n v="2500"/>
  </r>
  <r>
    <x v="1"/>
    <s v="11-310-00-220210-55630"/>
    <x v="0"/>
    <n v="310"/>
    <n v="0"/>
    <x v="27"/>
    <n v="55630"/>
    <x v="1"/>
    <s v="55"/>
    <s v="556"/>
    <x v="762"/>
    <s v="Ethnic Studies : Printing &amp; Duplicating - Inhouse"/>
    <n v="600"/>
  </r>
  <r>
    <x v="1"/>
    <s v="11-310-00-220400-51310"/>
    <x v="0"/>
    <n v="310"/>
    <n v="0"/>
    <x v="67"/>
    <n v="51310"/>
    <x v="1"/>
    <s v="51"/>
    <s v="513"/>
    <x v="764"/>
    <s v="Economics : Academic Teaching NIC"/>
    <n v="17172"/>
  </r>
  <r>
    <x v="1"/>
    <s v="11-310-00-220400-51311"/>
    <x v="0"/>
    <n v="310"/>
    <n v="0"/>
    <x v="67"/>
    <n v="51311"/>
    <x v="1"/>
    <s v="51"/>
    <s v="513"/>
    <x v="765"/>
    <s v="Economics : Academic Teaching PT"/>
    <n v="25000"/>
  </r>
  <r>
    <x v="1"/>
    <s v="11-310-00-220400-55630"/>
    <x v="0"/>
    <n v="310"/>
    <n v="0"/>
    <x v="67"/>
    <n v="55630"/>
    <x v="1"/>
    <s v="55"/>
    <s v="556"/>
    <x v="771"/>
    <s v="Economics : Printing &amp; Duplicating - Inhouse"/>
    <n v="600"/>
  </r>
  <r>
    <x v="1"/>
    <s v="11-310-00-220500-51310"/>
    <x v="0"/>
    <n v="310"/>
    <n v="0"/>
    <x v="28"/>
    <n v="51310"/>
    <x v="1"/>
    <s v="51"/>
    <s v="513"/>
    <x v="773"/>
    <s v="History : Academic Teaching NIC"/>
    <n v="65000"/>
  </r>
  <r>
    <x v="1"/>
    <s v="11-310-00-220500-51311"/>
    <x v="0"/>
    <n v="310"/>
    <n v="0"/>
    <x v="28"/>
    <n v="51311"/>
    <x v="1"/>
    <s v="51"/>
    <s v="513"/>
    <x v="774"/>
    <s v="History : Academic Teaching PT"/>
    <n v="130000"/>
  </r>
  <r>
    <x v="1"/>
    <s v="11-310-00-220500-55630"/>
    <x v="0"/>
    <n v="310"/>
    <n v="0"/>
    <x v="28"/>
    <n v="55630"/>
    <x v="1"/>
    <s v="55"/>
    <s v="556"/>
    <x v="781"/>
    <s v="History : Printing &amp; Duplicating - Inhouse"/>
    <n v="600"/>
  </r>
  <r>
    <x v="1"/>
    <s v="11-310-00-220700-51310"/>
    <x v="0"/>
    <n v="310"/>
    <n v="0"/>
    <x v="30"/>
    <n v="51310"/>
    <x v="1"/>
    <s v="51"/>
    <s v="513"/>
    <x v="783"/>
    <s v="Political Science : Academic Teaching NIC"/>
    <n v="17172"/>
  </r>
  <r>
    <x v="1"/>
    <s v="11-310-00-220700-51311"/>
    <x v="0"/>
    <n v="310"/>
    <n v="0"/>
    <x v="30"/>
    <n v="51311"/>
    <x v="1"/>
    <s v="51"/>
    <s v="513"/>
    <x v="784"/>
    <s v="Political Science : Academic Teaching PT"/>
    <n v="101500"/>
  </r>
  <r>
    <x v="1"/>
    <s v="11-310-00-220700-55630"/>
    <x v="0"/>
    <n v="310"/>
    <n v="0"/>
    <x v="30"/>
    <n v="55630"/>
    <x v="1"/>
    <s v="55"/>
    <s v="556"/>
    <x v="790"/>
    <s v="Political Science : Printing &amp; Duplicating - Inhouse"/>
    <n v="600"/>
  </r>
  <r>
    <x v="1"/>
    <s v="11-310-00-220800-51310"/>
    <x v="0"/>
    <n v="310"/>
    <n v="0"/>
    <x v="31"/>
    <n v="51310"/>
    <x v="1"/>
    <s v="51"/>
    <s v="513"/>
    <x v="792"/>
    <s v="Sociology : Academic Teaching NIC"/>
    <n v="21465"/>
  </r>
  <r>
    <x v="1"/>
    <s v="11-310-00-220800-51311"/>
    <x v="0"/>
    <n v="310"/>
    <n v="0"/>
    <x v="31"/>
    <n v="51311"/>
    <x v="1"/>
    <s v="51"/>
    <s v="513"/>
    <x v="793"/>
    <s v="Sociology : Academic Teaching PT"/>
    <n v="49035"/>
  </r>
  <r>
    <x v="1"/>
    <s v="11-310-00-220800-55630"/>
    <x v="0"/>
    <n v="310"/>
    <n v="0"/>
    <x v="31"/>
    <n v="55630"/>
    <x v="1"/>
    <s v="55"/>
    <s v="556"/>
    <x v="800"/>
    <s v="Sociology : Printing &amp; Duplicating - Inhouse"/>
    <n v="600"/>
  </r>
  <r>
    <x v="1"/>
    <s v="11-350-00-130500-51310"/>
    <x v="0"/>
    <n v="350"/>
    <n v="0"/>
    <x v="18"/>
    <n v="51310"/>
    <x v="1"/>
    <s v="51"/>
    <s v="513"/>
    <x v="1195"/>
    <s v="Early Childhood Education : Academic Teaching NIC"/>
    <n v="12000"/>
  </r>
  <r>
    <x v="1"/>
    <s v="11-350-00-130500-51311"/>
    <x v="0"/>
    <n v="350"/>
    <n v="0"/>
    <x v="18"/>
    <n v="51311"/>
    <x v="1"/>
    <s v="51"/>
    <s v="513"/>
    <x v="1196"/>
    <s v="Early Childhood Education : Academic Teaching PT"/>
    <n v="8480"/>
  </r>
  <r>
    <x v="1"/>
    <s v="11-320-00-083500-51310"/>
    <x v="0"/>
    <n v="320"/>
    <n v="0"/>
    <x v="68"/>
    <n v="51310"/>
    <x v="1"/>
    <s v="51"/>
    <s v="513"/>
    <x v="802"/>
    <s v="Physical Education : Academic Teaching NIC"/>
    <n v="36000"/>
  </r>
  <r>
    <x v="1"/>
    <s v="11-320-00-083500-51311"/>
    <x v="0"/>
    <n v="320"/>
    <n v="0"/>
    <x v="68"/>
    <n v="51311"/>
    <x v="1"/>
    <s v="51"/>
    <s v="513"/>
    <x v="803"/>
    <s v="Physical Education : Academic Teaching PT"/>
    <n v="235000"/>
  </r>
  <r>
    <x v="1"/>
    <s v="11-320-00-083500-51412"/>
    <x v="0"/>
    <n v="320"/>
    <n v="0"/>
    <x v="68"/>
    <n v="51412"/>
    <x v="1"/>
    <s v="51"/>
    <s v="514"/>
    <x v="804"/>
    <s v="Physical Education : Acad Nonteach Special Projects"/>
    <n v="500"/>
  </r>
  <r>
    <x v="1"/>
    <s v="11-320-00-083500-52360"/>
    <x v="0"/>
    <n v="320"/>
    <n v="0"/>
    <x v="68"/>
    <n v="52360"/>
    <x v="1"/>
    <s v="52"/>
    <s v="523"/>
    <x v="805"/>
    <s v="Physical Education : Class Nonstu NonIA PT Prof Exp"/>
    <n v="13000"/>
  </r>
  <r>
    <x v="1"/>
    <s v="11-320-00-083500-52400"/>
    <x v="0"/>
    <n v="320"/>
    <n v="0"/>
    <x v="68"/>
    <n v="52400"/>
    <x v="1"/>
    <s v="52"/>
    <s v="524"/>
    <x v="806"/>
    <s v="Physical Education : Classified Nonstudent Instructional Aides PT"/>
    <n v="4000"/>
  </r>
  <r>
    <x v="1"/>
    <s v="11-320-00-083500-54300"/>
    <x v="0"/>
    <n v="320"/>
    <n v="0"/>
    <x v="68"/>
    <n v="54300"/>
    <x v="1"/>
    <s v="54"/>
    <s v="543"/>
    <x v="818"/>
    <s v="Physical Education : Supplies &amp; Materials"/>
    <n v="1300"/>
  </r>
  <r>
    <x v="1"/>
    <s v="11-320-00-083500-55309"/>
    <x v="0"/>
    <n v="320"/>
    <n v="0"/>
    <x v="68"/>
    <n v="55309"/>
    <x v="1"/>
    <s v="55"/>
    <s v="553"/>
    <x v="819"/>
    <s v="Physical Education : Subscriptions"/>
    <n v="700"/>
  </r>
  <r>
    <x v="1"/>
    <s v="11-320-00-083500-55630"/>
    <x v="0"/>
    <n v="320"/>
    <n v="0"/>
    <x v="68"/>
    <n v="55630"/>
    <x v="1"/>
    <s v="55"/>
    <s v="556"/>
    <x v="820"/>
    <s v="Physical Education : Printing &amp; Duplicating - Inhouse"/>
    <n v="2600"/>
  </r>
  <r>
    <x v="1"/>
    <s v="11-320-00-083500-55651"/>
    <x v="0"/>
    <n v="320"/>
    <n v="0"/>
    <x v="68"/>
    <n v="55651"/>
    <x v="1"/>
    <s v="55"/>
    <s v="556"/>
    <x v="821"/>
    <s v="Physical Education : Equipment Repairs"/>
    <n v="5000"/>
  </r>
  <r>
    <x v="1"/>
    <s v="11-320-00-083510-51310"/>
    <x v="0"/>
    <n v="320"/>
    <n v="0"/>
    <x v="69"/>
    <n v="51310"/>
    <x v="1"/>
    <s v="51"/>
    <s v="513"/>
    <x v="823"/>
    <s v="Adaptive Physical Education : Academic Teaching NIC"/>
    <n v="5000"/>
  </r>
  <r>
    <x v="1"/>
    <s v="11-320-00-083510-51311"/>
    <x v="0"/>
    <n v="320"/>
    <n v="0"/>
    <x v="69"/>
    <n v="51311"/>
    <x v="1"/>
    <s v="51"/>
    <s v="513"/>
    <x v="824"/>
    <s v="Adaptive Physical Education : Academic Teaching PT"/>
    <n v="500"/>
  </r>
  <r>
    <x v="1"/>
    <s v="11-320-00-083510-51412"/>
    <x v="0"/>
    <n v="320"/>
    <n v="0"/>
    <x v="69"/>
    <n v="51412"/>
    <x v="1"/>
    <s v="51"/>
    <s v="514"/>
    <x v="825"/>
    <s v="Adaptive Physical Education : Acad Nonteach Special Projects"/>
    <n v="500"/>
  </r>
  <r>
    <x v="1"/>
    <s v="11-320-00-083510-55630"/>
    <x v="0"/>
    <n v="320"/>
    <n v="0"/>
    <x v="69"/>
    <n v="55630"/>
    <x v="1"/>
    <s v="55"/>
    <s v="556"/>
    <x v="835"/>
    <s v="Adaptive Physical Education : Printing &amp; Duplicating - Inhouse"/>
    <n v="500"/>
  </r>
  <r>
    <x v="1"/>
    <s v="11-320-00-083550-51310"/>
    <x v="0"/>
    <n v="320"/>
    <n v="0"/>
    <x v="70"/>
    <n v="51310"/>
    <x v="1"/>
    <s v="51"/>
    <s v="513"/>
    <x v="837"/>
    <s v="Athletics - Instruction : Academic Teaching NIC"/>
    <n v="8500"/>
  </r>
  <r>
    <x v="1"/>
    <s v="11-320-00-083550-51311"/>
    <x v="0"/>
    <n v="320"/>
    <n v="0"/>
    <x v="70"/>
    <n v="51311"/>
    <x v="1"/>
    <s v="51"/>
    <s v="513"/>
    <x v="838"/>
    <s v="Athletics - Instruction : Academic Teaching PT"/>
    <n v="64000"/>
  </r>
  <r>
    <x v="1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8000"/>
  </r>
  <r>
    <x v="1"/>
    <s v="11-320-00-083550-55630"/>
    <x v="0"/>
    <n v="320"/>
    <n v="0"/>
    <x v="70"/>
    <n v="55630"/>
    <x v="1"/>
    <s v="55"/>
    <s v="556"/>
    <x v="846"/>
    <s v="Athletics - Instruction : Printing &amp; Duplicating - Inhouse"/>
    <n v="1100"/>
  </r>
  <r>
    <x v="1"/>
    <s v="11-320-00-083700-51310"/>
    <x v="0"/>
    <n v="320"/>
    <n v="0"/>
    <x v="71"/>
    <n v="51310"/>
    <x v="1"/>
    <s v="51"/>
    <s v="513"/>
    <x v="847"/>
    <s v="Health Education : Academic Teaching NIC"/>
    <n v="4800"/>
  </r>
  <r>
    <x v="1"/>
    <s v="11-320-00-083700-51311"/>
    <x v="0"/>
    <n v="320"/>
    <n v="0"/>
    <x v="71"/>
    <n v="51311"/>
    <x v="1"/>
    <s v="51"/>
    <s v="513"/>
    <x v="848"/>
    <s v="Health Education : Academic Teaching PT"/>
    <n v="32000"/>
  </r>
  <r>
    <x v="1"/>
    <s v="11-320-00-083700-55630"/>
    <x v="0"/>
    <n v="320"/>
    <n v="0"/>
    <x v="71"/>
    <n v="55630"/>
    <x v="1"/>
    <s v="55"/>
    <s v="556"/>
    <x v="853"/>
    <s v="Health Education : Printing &amp; Duplicating - Inhouse"/>
    <n v="50"/>
  </r>
  <r>
    <x v="1"/>
    <s v="11-320-00-130600-51311"/>
    <x v="0"/>
    <n v="320"/>
    <n v="0"/>
    <x v="72"/>
    <n v="51311"/>
    <x v="1"/>
    <s v="51"/>
    <s v="513"/>
    <x v="854"/>
    <s v="Food Service Management : Academic Teaching PT"/>
    <n v="35000"/>
  </r>
  <r>
    <x v="1"/>
    <s v="11-320-00-130600-55630"/>
    <x v="0"/>
    <n v="320"/>
    <n v="0"/>
    <x v="72"/>
    <n v="55630"/>
    <x v="1"/>
    <s v="55"/>
    <s v="556"/>
    <x v="859"/>
    <s v="Food Service Management : Printing &amp; Duplicating - Inhouse"/>
    <n v="45"/>
  </r>
  <r>
    <x v="1"/>
    <s v="11-320-00-601000-52300"/>
    <x v="0"/>
    <n v="320"/>
    <n v="0"/>
    <x v="34"/>
    <n v="52300"/>
    <x v="1"/>
    <s v="52"/>
    <s v="523"/>
    <x v="862"/>
    <s v="Academic Administration : Classified Overtime"/>
    <n v="0"/>
  </r>
  <r>
    <x v="1"/>
    <s v="11-320-00-601000-55630"/>
    <x v="0"/>
    <n v="320"/>
    <n v="0"/>
    <x v="34"/>
    <n v="55630"/>
    <x v="1"/>
    <s v="55"/>
    <s v="556"/>
    <x v="871"/>
    <s v="Academic Administration : Printing &amp; Duplicating - Inhouse"/>
    <n v="1000"/>
  </r>
  <r>
    <x v="1"/>
    <s v="11-320-00-696500-51412"/>
    <x v="0"/>
    <n v="320"/>
    <n v="0"/>
    <x v="73"/>
    <n v="51412"/>
    <x v="1"/>
    <s v="51"/>
    <s v="514"/>
    <x v="873"/>
    <s v="Athletic Activities : Acad Nonteach Special Projects"/>
    <n v="169000"/>
  </r>
  <r>
    <x v="1"/>
    <s v="11-320-00-696500-52300"/>
    <x v="0"/>
    <n v="320"/>
    <n v="0"/>
    <x v="73"/>
    <n v="52300"/>
    <x v="1"/>
    <s v="52"/>
    <s v="523"/>
    <x v="875"/>
    <s v="Athletic Activities : Classified Overtime"/>
    <n v="0"/>
  </r>
  <r>
    <x v="1"/>
    <s v="11-320-00-696500-52360"/>
    <x v="0"/>
    <n v="320"/>
    <n v="0"/>
    <x v="73"/>
    <n v="52360"/>
    <x v="1"/>
    <s v="52"/>
    <s v="523"/>
    <x v="876"/>
    <s v="Athletic Activities : Class Nonstu NonIA PT Prof Exp"/>
    <n v="15000"/>
  </r>
  <r>
    <x v="1"/>
    <s v="11-320-00-696500-54300"/>
    <x v="0"/>
    <n v="320"/>
    <n v="0"/>
    <x v="73"/>
    <n v="54300"/>
    <x v="1"/>
    <s v="54"/>
    <s v="543"/>
    <x v="885"/>
    <s v="Athletic Activities : Supplies &amp; Materials"/>
    <n v="112967.77"/>
  </r>
  <r>
    <x v="1"/>
    <s v="11-320-00-696500-55100"/>
    <x v="0"/>
    <n v="320"/>
    <n v="0"/>
    <x v="73"/>
    <n v="55100"/>
    <x v="1"/>
    <s v="55"/>
    <s v="551"/>
    <x v="886"/>
    <s v="Athletic Activities : Personal Service Contract - 1099"/>
    <n v="8333"/>
  </r>
  <r>
    <x v="1"/>
    <s v="11-320-00-696500-55105"/>
    <x v="0"/>
    <n v="320"/>
    <n v="0"/>
    <x v="73"/>
    <n v="55105"/>
    <x v="1"/>
    <s v="55"/>
    <s v="551"/>
    <x v="887"/>
    <s v="Athletic Activities : Contract Services"/>
    <n v="96667"/>
  </r>
  <r>
    <x v="1"/>
    <s v="11-320-00-696500-55110"/>
    <x v="0"/>
    <n v="320"/>
    <n v="0"/>
    <x v="73"/>
    <n v="55110"/>
    <x v="1"/>
    <s v="55"/>
    <s v="551"/>
    <x v="888"/>
    <s v="Athletic Activities : Athletic Officials"/>
    <n v="60000"/>
  </r>
  <r>
    <x v="1"/>
    <s v="11-320-00-696500-55200"/>
    <x v="0"/>
    <n v="320"/>
    <n v="0"/>
    <x v="73"/>
    <n v="55200"/>
    <x v="1"/>
    <s v="55"/>
    <s v="552"/>
    <x v="890"/>
    <s v="Athletic Activities : Travel &amp; Conference"/>
    <n v="15000"/>
  </r>
  <r>
    <x v="1"/>
    <s v="11-320-00-696500-55240"/>
    <x v="0"/>
    <n v="320"/>
    <n v="0"/>
    <x v="73"/>
    <n v="55240"/>
    <x v="1"/>
    <s v="55"/>
    <s v="552"/>
    <x v="891"/>
    <s v="Athletic Activities : Field Trips"/>
    <n v="125000"/>
  </r>
  <r>
    <x v="1"/>
    <s v="11-320-00-696500-55264"/>
    <x v="0"/>
    <n v="320"/>
    <n v="0"/>
    <x v="73"/>
    <n v="55264"/>
    <x v="1"/>
    <s v="55"/>
    <s v="552"/>
    <x v="892"/>
    <s v="Athletic Activities : Entry Fees"/>
    <n v="10000"/>
  </r>
  <r>
    <x v="1"/>
    <s v="11-320-00-696500-55300"/>
    <x v="0"/>
    <n v="320"/>
    <n v="0"/>
    <x v="73"/>
    <n v="55300"/>
    <x v="1"/>
    <s v="55"/>
    <s v="553"/>
    <x v="893"/>
    <s v="Athletic Activities : Memberships"/>
    <n v="25000"/>
  </r>
  <r>
    <x v="1"/>
    <s v="11-320-00-696500-55309"/>
    <x v="0"/>
    <n v="320"/>
    <n v="0"/>
    <x v="73"/>
    <n v="55309"/>
    <x v="1"/>
    <s v="55"/>
    <s v="553"/>
    <x v="894"/>
    <s v="Athletic Activities : Subscriptions"/>
    <n v="800"/>
  </r>
  <r>
    <x v="1"/>
    <s v="11-320-00-696500-55400"/>
    <x v="0"/>
    <n v="320"/>
    <n v="0"/>
    <x v="73"/>
    <n v="55400"/>
    <x v="1"/>
    <s v="55"/>
    <s v="554"/>
    <x v="895"/>
    <s v="Athletic Activities : Insurance"/>
    <n v="69570"/>
  </r>
  <r>
    <x v="1"/>
    <s v="11-320-00-696500-55600"/>
    <x v="0"/>
    <n v="320"/>
    <n v="0"/>
    <x v="73"/>
    <n v="55600"/>
    <x v="1"/>
    <s v="55"/>
    <s v="556"/>
    <x v="896"/>
    <s v="Athletic Activities : Rents &amp; Leases"/>
    <n v="10000"/>
  </r>
  <r>
    <x v="1"/>
    <s v="11-320-00-696500-55630"/>
    <x v="0"/>
    <n v="320"/>
    <n v="0"/>
    <x v="73"/>
    <n v="55630"/>
    <x v="1"/>
    <s v="55"/>
    <s v="556"/>
    <x v="897"/>
    <s v="Athletic Activities : Printing &amp; Duplicating - Inhouse"/>
    <n v="1700"/>
  </r>
  <r>
    <x v="1"/>
    <s v="11-320-00-696500-55651"/>
    <x v="0"/>
    <n v="320"/>
    <n v="0"/>
    <x v="73"/>
    <n v="55651"/>
    <x v="1"/>
    <s v="55"/>
    <s v="556"/>
    <x v="898"/>
    <s v="Athletic Activities : Equipment Repairs"/>
    <n v="12000"/>
  </r>
  <r>
    <x v="1"/>
    <s v="11-320-00-696500-56400"/>
    <x v="0"/>
    <n v="320"/>
    <n v="0"/>
    <x v="73"/>
    <n v="56400"/>
    <x v="1"/>
    <s v="56"/>
    <s v="564"/>
    <x v="899"/>
    <s v="Athletic Activities : Cap Equip - $200 to $4,999"/>
    <n v="9158.2000000000007"/>
  </r>
  <r>
    <x v="1"/>
    <s v="11-320-00-696500-57552"/>
    <x v="0"/>
    <n v="320"/>
    <n v="0"/>
    <x v="73"/>
    <n v="57552"/>
    <x v="1"/>
    <s v="57"/>
    <s v="575"/>
    <x v="2164"/>
    <s v="Athletic Activities : Student Travel/Meals"/>
    <n v="38000"/>
  </r>
  <r>
    <x v="1"/>
    <s v="11-304-00-601000-54300"/>
    <x v="0"/>
    <n v="304"/>
    <n v="0"/>
    <x v="34"/>
    <n v="54300"/>
    <x v="1"/>
    <s v="54"/>
    <s v="543"/>
    <x v="590"/>
    <s v="Academic Administration : Supplies &amp; Materials"/>
    <n v="3204"/>
  </r>
  <r>
    <x v="1"/>
    <s v="11-304-00-601000-55200"/>
    <x v="0"/>
    <n v="304"/>
    <n v="0"/>
    <x v="34"/>
    <n v="55200"/>
    <x v="1"/>
    <s v="55"/>
    <s v="552"/>
    <x v="591"/>
    <s v="Academic Administration : Travel &amp; Conference"/>
    <n v="651"/>
  </r>
  <r>
    <x v="1"/>
    <s v="11-304-00-601000-55630"/>
    <x v="0"/>
    <n v="304"/>
    <n v="0"/>
    <x v="34"/>
    <n v="55630"/>
    <x v="1"/>
    <s v="55"/>
    <s v="556"/>
    <x v="592"/>
    <s v="Academic Administration : Printing &amp; Duplicating - Inhouse"/>
    <n v="279"/>
  </r>
  <r>
    <x v="1"/>
    <s v="11-304-00-601000-55650"/>
    <x v="0"/>
    <n v="304"/>
    <n v="0"/>
    <x v="34"/>
    <n v="55650"/>
    <x v="1"/>
    <s v="55"/>
    <s v="556"/>
    <x v="593"/>
    <s v="Academic Administration : Maintenance Agreement"/>
    <n v="3000"/>
  </r>
  <r>
    <x v="1"/>
    <s v="11-304-00-682100-54300"/>
    <x v="0"/>
    <n v="304"/>
    <n v="0"/>
    <x v="60"/>
    <n v="54300"/>
    <x v="1"/>
    <s v="54"/>
    <s v="543"/>
    <x v="597"/>
    <s v="Planetarium : Supplies &amp; Materials"/>
    <n v="282"/>
  </r>
  <r>
    <x v="1"/>
    <s v="11-304-00-682100-55630"/>
    <x v="0"/>
    <n v="304"/>
    <n v="0"/>
    <x v="60"/>
    <n v="55630"/>
    <x v="1"/>
    <s v="55"/>
    <s v="556"/>
    <x v="598"/>
    <s v="Planetarium : Printing &amp; Duplicating - Inhouse"/>
    <n v="93"/>
  </r>
  <r>
    <x v="1"/>
    <s v="11-304-00-703800-52350"/>
    <x v="0"/>
    <n v="304"/>
    <n v="0"/>
    <x v="61"/>
    <n v="52350"/>
    <x v="1"/>
    <s v="52"/>
    <s v="523"/>
    <x v="601"/>
    <s v="MESA Grant : Classified Student Dist Non-IA PT"/>
    <n v="0"/>
  </r>
  <r>
    <x v="1"/>
    <s v="11-304-00-703800-52360"/>
    <x v="0"/>
    <n v="304"/>
    <n v="0"/>
    <x v="61"/>
    <n v="52360"/>
    <x v="1"/>
    <s v="52"/>
    <s v="523"/>
    <x v="602"/>
    <s v="MESA Grant : Class Nonstu NonIA PT Prof Exp"/>
    <n v="8500"/>
  </r>
  <r>
    <x v="1"/>
    <s v="11-304-00-703800-55630"/>
    <x v="0"/>
    <n v="304"/>
    <n v="0"/>
    <x v="61"/>
    <n v="55630"/>
    <x v="1"/>
    <s v="55"/>
    <s v="556"/>
    <x v="611"/>
    <s v="MESA Grant : Printing &amp; Duplicating - Inhouse"/>
    <n v="233"/>
  </r>
  <r>
    <x v="1"/>
    <s v="11-330-00-040110-51310"/>
    <x v="0"/>
    <n v="330"/>
    <n v="0"/>
    <x v="11"/>
    <n v="51310"/>
    <x v="1"/>
    <s v="51"/>
    <s v="513"/>
    <x v="902"/>
    <s v="Biology : Academic Teaching NIC"/>
    <n v="56000"/>
  </r>
  <r>
    <x v="1"/>
    <s v="11-330-00-040110-51311"/>
    <x v="0"/>
    <n v="330"/>
    <n v="0"/>
    <x v="11"/>
    <n v="51311"/>
    <x v="1"/>
    <s v="51"/>
    <s v="513"/>
    <x v="903"/>
    <s v="Biology : Academic Teaching PT"/>
    <n v="240240"/>
  </r>
  <r>
    <x v="1"/>
    <s v="11-330-00-040110-52300"/>
    <x v="0"/>
    <n v="330"/>
    <n v="0"/>
    <x v="11"/>
    <n v="52300"/>
    <x v="1"/>
    <s v="52"/>
    <s v="523"/>
    <x v="905"/>
    <s v="Biology : Classified Overtime"/>
    <n v="2682.8999999999996"/>
  </r>
  <r>
    <x v="1"/>
    <s v="11-330-00-040110-54300"/>
    <x v="0"/>
    <n v="330"/>
    <n v="0"/>
    <x v="11"/>
    <n v="54300"/>
    <x v="1"/>
    <s v="54"/>
    <s v="543"/>
    <x v="917"/>
    <s v="Biology : Supplies &amp; Materials"/>
    <n v="41592"/>
  </r>
  <r>
    <x v="1"/>
    <s v="11-330-00-040110-55630"/>
    <x v="0"/>
    <n v="330"/>
    <n v="0"/>
    <x v="11"/>
    <n v="55630"/>
    <x v="1"/>
    <s v="55"/>
    <s v="556"/>
    <x v="918"/>
    <s v="Biology : Printing &amp; Duplicating - Inhouse"/>
    <n v="3682.7999999999997"/>
  </r>
  <r>
    <x v="1"/>
    <s v="11-330-00-040110-55650"/>
    <x v="0"/>
    <n v="330"/>
    <n v="0"/>
    <x v="11"/>
    <n v="55650"/>
    <x v="1"/>
    <s v="55"/>
    <s v="556"/>
    <x v="919"/>
    <s v="Biology : Maintenance Agreement"/>
    <n v="14358"/>
  </r>
  <r>
    <x v="1"/>
    <s v="11-330-00-070710-54300"/>
    <x v="0"/>
    <n v="330"/>
    <n v="0"/>
    <x v="74"/>
    <n v="54300"/>
    <x v="1"/>
    <s v="54"/>
    <s v="543"/>
    <x v="920"/>
    <s v="Computer Programming : Supplies &amp; Materials"/>
    <n v="564"/>
  </r>
  <r>
    <x v="1"/>
    <s v="11-330-00-070710-55630"/>
    <x v="0"/>
    <n v="330"/>
    <n v="0"/>
    <x v="74"/>
    <n v="55630"/>
    <x v="1"/>
    <s v="55"/>
    <s v="556"/>
    <x v="921"/>
    <s v="Computer Programming : Printing &amp; Duplicating - Inhouse"/>
    <n v="334.8"/>
  </r>
  <r>
    <x v="1"/>
    <s v="11-330-00-090100-51310"/>
    <x v="0"/>
    <n v="330"/>
    <n v="0"/>
    <x v="75"/>
    <n v="51310"/>
    <x v="1"/>
    <s v="51"/>
    <s v="513"/>
    <x v="923"/>
    <s v="Engineering : Academic Teaching NIC"/>
    <n v="34000"/>
  </r>
  <r>
    <x v="1"/>
    <s v="11-330-00-090100-51311"/>
    <x v="0"/>
    <n v="330"/>
    <n v="0"/>
    <x v="75"/>
    <n v="51311"/>
    <x v="1"/>
    <s v="51"/>
    <s v="513"/>
    <x v="924"/>
    <s v="Engineering : Academic Teaching PT"/>
    <n v="644.80000000000007"/>
  </r>
  <r>
    <x v="1"/>
    <s v="11-330-00-090100-51412"/>
    <x v="0"/>
    <n v="330"/>
    <n v="0"/>
    <x v="75"/>
    <n v="51412"/>
    <x v="1"/>
    <s v="51"/>
    <s v="514"/>
    <x v="925"/>
    <s v="Engineering : Acad Nonteach Special Projects"/>
    <n v="0"/>
  </r>
  <r>
    <x v="1"/>
    <s v="11-330-00-090100-52300"/>
    <x v="0"/>
    <n v="330"/>
    <n v="0"/>
    <x v="75"/>
    <n v="52300"/>
    <x v="1"/>
    <s v="52"/>
    <s v="523"/>
    <x v="927"/>
    <s v="Engineering : Classified Overtime"/>
    <n v="1341.4499999999998"/>
  </r>
  <r>
    <x v="1"/>
    <s v="11-330-00-090100-54300"/>
    <x v="0"/>
    <n v="330"/>
    <n v="0"/>
    <x v="75"/>
    <n v="54300"/>
    <x v="1"/>
    <s v="54"/>
    <s v="543"/>
    <x v="941"/>
    <s v="Engineering : Supplies &amp; Materials"/>
    <n v="2008.8"/>
  </r>
  <r>
    <x v="1"/>
    <s v="11-330-00-090100-55630"/>
    <x v="0"/>
    <n v="330"/>
    <n v="0"/>
    <x v="75"/>
    <n v="55630"/>
    <x v="1"/>
    <s v="55"/>
    <s v="556"/>
    <x v="942"/>
    <s v="Engineering : Printing &amp; Duplicating - Inhouse"/>
    <n v="446.4"/>
  </r>
  <r>
    <x v="1"/>
    <s v="11-330-00-170100-51310"/>
    <x v="0"/>
    <n v="330"/>
    <n v="0"/>
    <x v="21"/>
    <n v="51310"/>
    <x v="1"/>
    <s v="51"/>
    <s v="513"/>
    <x v="944"/>
    <s v="Mathematics : Academic Teaching NIC"/>
    <n v="271000"/>
  </r>
  <r>
    <x v="1"/>
    <s v="11-330-00-170100-51311"/>
    <x v="0"/>
    <n v="330"/>
    <n v="0"/>
    <x v="21"/>
    <n v="51311"/>
    <x v="1"/>
    <s v="51"/>
    <s v="513"/>
    <x v="945"/>
    <s v="Mathematics : Academic Teaching PT"/>
    <n v="240000"/>
  </r>
  <r>
    <x v="1"/>
    <s v="11-330-00-170100-51412"/>
    <x v="0"/>
    <n v="330"/>
    <n v="0"/>
    <x v="21"/>
    <n v="51412"/>
    <x v="1"/>
    <s v="51"/>
    <s v="514"/>
    <x v="946"/>
    <s v="Mathematics : Acad Nonteach Special Projects"/>
    <n v="0"/>
  </r>
  <r>
    <x v="1"/>
    <s v="11-330-00-170100-54300"/>
    <x v="0"/>
    <n v="330"/>
    <n v="0"/>
    <x v="21"/>
    <n v="54300"/>
    <x v="1"/>
    <s v="54"/>
    <s v="543"/>
    <x v="958"/>
    <s v="Mathematics : Supplies &amp; Materials"/>
    <n v="1116"/>
  </r>
  <r>
    <x v="1"/>
    <s v="11-330-00-170100-55630"/>
    <x v="0"/>
    <n v="330"/>
    <n v="0"/>
    <x v="21"/>
    <n v="55630"/>
    <x v="1"/>
    <s v="55"/>
    <s v="556"/>
    <x v="959"/>
    <s v="Mathematics : Printing &amp; Duplicating - Inhouse"/>
    <n v="11718"/>
  </r>
  <r>
    <x v="1"/>
    <s v="11-330-00-170100-55650"/>
    <x v="0"/>
    <n v="330"/>
    <n v="0"/>
    <x v="21"/>
    <n v="55650"/>
    <x v="1"/>
    <s v="55"/>
    <s v="556"/>
    <x v="960"/>
    <s v="Mathematics : Maintenance Agreement"/>
    <n v="564"/>
  </r>
  <r>
    <x v="1"/>
    <s v="11-330-00-190200-51310"/>
    <x v="0"/>
    <n v="330"/>
    <n v="0"/>
    <x v="22"/>
    <n v="51310"/>
    <x v="1"/>
    <s v="51"/>
    <s v="513"/>
    <x v="962"/>
    <s v="Physics : Academic Teaching NIC"/>
    <n v="10930.5"/>
  </r>
  <r>
    <x v="1"/>
    <s v="11-330-00-190200-51311"/>
    <x v="0"/>
    <n v="330"/>
    <n v="0"/>
    <x v="22"/>
    <n v="51311"/>
    <x v="1"/>
    <s v="51"/>
    <s v="513"/>
    <x v="963"/>
    <s v="Physics : Academic Teaching PT"/>
    <n v="48672"/>
  </r>
  <r>
    <x v="1"/>
    <s v="11-330-00-190200-52300"/>
    <x v="0"/>
    <n v="330"/>
    <n v="0"/>
    <x v="22"/>
    <n v="52300"/>
    <x v="1"/>
    <s v="52"/>
    <s v="523"/>
    <x v="965"/>
    <s v="Physics : Classified Overtime"/>
    <n v="2012.1749999999997"/>
  </r>
  <r>
    <x v="1"/>
    <s v="11-330-00-190200-54300"/>
    <x v="0"/>
    <n v="330"/>
    <n v="0"/>
    <x v="22"/>
    <n v="54300"/>
    <x v="1"/>
    <s v="54"/>
    <s v="543"/>
    <x v="978"/>
    <s v="Physics : Supplies &amp; Materials"/>
    <n v="2100"/>
  </r>
  <r>
    <x v="1"/>
    <s v="11-330-00-190200-55630"/>
    <x v="0"/>
    <n v="330"/>
    <n v="0"/>
    <x v="22"/>
    <n v="55630"/>
    <x v="1"/>
    <s v="55"/>
    <s v="556"/>
    <x v="979"/>
    <s v="Physics : Printing &amp; Duplicating - Inhouse"/>
    <n v="446.4"/>
  </r>
  <r>
    <x v="1"/>
    <s v="11-330-00-190500-51310"/>
    <x v="0"/>
    <n v="330"/>
    <n v="0"/>
    <x v="76"/>
    <n v="51310"/>
    <x v="1"/>
    <s v="51"/>
    <s v="513"/>
    <x v="981"/>
    <s v="Chemistry : Academic Teaching NIC"/>
    <n v="52000"/>
  </r>
  <r>
    <x v="1"/>
    <s v="11-330-00-190500-51311"/>
    <x v="0"/>
    <n v="330"/>
    <n v="0"/>
    <x v="76"/>
    <n v="51311"/>
    <x v="1"/>
    <s v="51"/>
    <s v="513"/>
    <x v="982"/>
    <s v="Chemistry : Academic Teaching PT"/>
    <n v="84760"/>
  </r>
  <r>
    <x v="1"/>
    <s v="11-330-00-190500-52300"/>
    <x v="0"/>
    <n v="330"/>
    <n v="0"/>
    <x v="76"/>
    <n v="52300"/>
    <x v="1"/>
    <s v="52"/>
    <s v="523"/>
    <x v="984"/>
    <s v="Chemistry : Classified Overtime"/>
    <n v="1341.4499999999998"/>
  </r>
  <r>
    <x v="1"/>
    <s v="11-330-00-190500-54300"/>
    <x v="0"/>
    <n v="330"/>
    <n v="0"/>
    <x v="76"/>
    <n v="54300"/>
    <x v="1"/>
    <s v="54"/>
    <s v="543"/>
    <x v="997"/>
    <s v="Chemistry : Supplies &amp; Materials"/>
    <n v="12600"/>
  </r>
  <r>
    <x v="1"/>
    <s v="11-330-00-190500-55630"/>
    <x v="0"/>
    <n v="330"/>
    <n v="0"/>
    <x v="76"/>
    <n v="55630"/>
    <x v="1"/>
    <s v="55"/>
    <s v="556"/>
    <x v="998"/>
    <s v="Chemistry : Printing &amp; Duplicating - Inhouse"/>
    <n v="1246.8"/>
  </r>
  <r>
    <x v="1"/>
    <s v="11-330-00-190500-55650"/>
    <x v="0"/>
    <n v="330"/>
    <n v="0"/>
    <x v="76"/>
    <n v="55650"/>
    <x v="1"/>
    <s v="55"/>
    <s v="556"/>
    <x v="999"/>
    <s v="Chemistry : Maintenance Agreement"/>
    <n v="2880"/>
  </r>
  <r>
    <x v="1"/>
    <s v="11-330-00-191100-51310"/>
    <x v="0"/>
    <n v="330"/>
    <n v="0"/>
    <x v="77"/>
    <n v="51310"/>
    <x v="1"/>
    <s v="51"/>
    <s v="513"/>
    <x v="1001"/>
    <s v="Astronomy : Academic Teaching NIC"/>
    <n v="2600"/>
  </r>
  <r>
    <x v="1"/>
    <s v="11-330-00-191100-51311"/>
    <x v="0"/>
    <n v="330"/>
    <n v="0"/>
    <x v="77"/>
    <n v="51311"/>
    <x v="1"/>
    <s v="51"/>
    <s v="513"/>
    <x v="1002"/>
    <s v="Astronomy : Academic Teaching PT"/>
    <n v="34736"/>
  </r>
  <r>
    <x v="1"/>
    <s v="11-330-00-191100-54300"/>
    <x v="0"/>
    <n v="330"/>
    <n v="0"/>
    <x v="77"/>
    <n v="54300"/>
    <x v="1"/>
    <s v="54"/>
    <s v="543"/>
    <x v="1008"/>
    <s v="Astronomy : Supplies &amp; Materials"/>
    <n v="1116"/>
  </r>
  <r>
    <x v="1"/>
    <s v="11-330-00-191100-55630"/>
    <x v="0"/>
    <n v="330"/>
    <n v="0"/>
    <x v="77"/>
    <n v="55630"/>
    <x v="1"/>
    <s v="55"/>
    <s v="556"/>
    <x v="1009"/>
    <s v="Astronomy : Printing &amp; Duplicating - Inhouse"/>
    <n v="600"/>
  </r>
  <r>
    <x v="1"/>
    <s v="11-330-00-191400-51311"/>
    <x v="0"/>
    <n v="330"/>
    <n v="0"/>
    <x v="78"/>
    <n v="51311"/>
    <x v="1"/>
    <s v="51"/>
    <s v="513"/>
    <x v="1011"/>
    <s v="Geology : Academic Teaching PT"/>
    <n v="2900"/>
  </r>
  <r>
    <x v="1"/>
    <s v="11-330-00-191400-52300"/>
    <x v="0"/>
    <n v="330"/>
    <n v="0"/>
    <x v="78"/>
    <n v="52300"/>
    <x v="1"/>
    <s v="52"/>
    <s v="523"/>
    <x v="1013"/>
    <s v="Geology : Classified Overtime"/>
    <n v="1404.6749999999997"/>
  </r>
  <r>
    <x v="1"/>
    <s v="11-330-00-191400-54300"/>
    <x v="0"/>
    <n v="330"/>
    <n v="0"/>
    <x v="78"/>
    <n v="54300"/>
    <x v="1"/>
    <s v="54"/>
    <s v="543"/>
    <x v="1026"/>
    <s v="Geology : Supplies &amp; Materials"/>
    <n v="1200"/>
  </r>
  <r>
    <x v="1"/>
    <s v="11-330-00-191400-55630"/>
    <x v="0"/>
    <n v="330"/>
    <n v="0"/>
    <x v="78"/>
    <n v="55630"/>
    <x v="1"/>
    <s v="55"/>
    <s v="556"/>
    <x v="1027"/>
    <s v="Geology : Printing &amp; Duplicating - Inhouse"/>
    <n v="669.6"/>
  </r>
  <r>
    <x v="1"/>
    <s v="11-330-00-191900-51311"/>
    <x v="0"/>
    <n v="330"/>
    <n v="0"/>
    <x v="23"/>
    <n v="51311"/>
    <x v="1"/>
    <s v="51"/>
    <s v="513"/>
    <x v="1029"/>
    <s v="Oceanography : Academic Teaching PT"/>
    <n v="3400"/>
  </r>
  <r>
    <x v="1"/>
    <s v="11-330-00-191900-55630"/>
    <x v="0"/>
    <n v="330"/>
    <n v="0"/>
    <x v="23"/>
    <n v="55630"/>
    <x v="1"/>
    <s v="55"/>
    <s v="556"/>
    <x v="1035"/>
    <s v="Oceanography : Printing &amp; Duplicating - Inhouse"/>
    <n v="223.2"/>
  </r>
  <r>
    <x v="1"/>
    <s v="11-330-00-220600-51311"/>
    <x v="0"/>
    <n v="330"/>
    <n v="0"/>
    <x v="29"/>
    <n v="51311"/>
    <x v="1"/>
    <s v="51"/>
    <s v="513"/>
    <x v="1036"/>
    <s v="Geography : Academic Teaching PT"/>
    <n v="3640"/>
  </r>
  <r>
    <x v="1"/>
    <s v="11-330-00-220600-55630"/>
    <x v="0"/>
    <n v="330"/>
    <n v="0"/>
    <x v="29"/>
    <n v="55630"/>
    <x v="1"/>
    <s v="55"/>
    <s v="556"/>
    <x v="1042"/>
    <s v="Geography : Printing &amp; Duplicating - Inhouse"/>
    <n v="1116"/>
  </r>
  <r>
    <x v="1"/>
    <s v="11-330-00-601000-55630"/>
    <x v="0"/>
    <n v="330"/>
    <n v="0"/>
    <x v="34"/>
    <n v="55630"/>
    <x v="1"/>
    <s v="55"/>
    <s v="556"/>
    <x v="1050"/>
    <s v="Academic Administration : Printing &amp; Duplicating - Inhouse"/>
    <n v="93"/>
  </r>
  <r>
    <x v="1"/>
    <s v="11-330-01-070100-51310"/>
    <x v="0"/>
    <n v="330"/>
    <n v="1"/>
    <x v="13"/>
    <n v="51310"/>
    <x v="1"/>
    <s v="51"/>
    <s v="513"/>
    <x v="1059"/>
    <s v="Computer &amp; Information Science : Academic Teaching NIC"/>
    <n v="41250"/>
  </r>
  <r>
    <x v="1"/>
    <s v="11-330-01-070100-54300"/>
    <x v="0"/>
    <n v="330"/>
    <n v="1"/>
    <x v="13"/>
    <n v="54300"/>
    <x v="1"/>
    <s v="54"/>
    <s v="543"/>
    <x v="1066"/>
    <s v="Computer &amp; Information Science : Supplies &amp; Materials"/>
    <n v="892.8"/>
  </r>
  <r>
    <x v="1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390"/>
  </r>
  <r>
    <x v="1"/>
    <s v="11-330-01-070100-55650"/>
    <x v="0"/>
    <n v="330"/>
    <n v="1"/>
    <x v="13"/>
    <n v="55650"/>
    <x v="1"/>
    <s v="55"/>
    <s v="556"/>
    <x v="1068"/>
    <s v="Computer &amp; Information Science : Maintenance Agreement"/>
    <n v="360"/>
  </r>
  <r>
    <x v="1"/>
    <s v="11-335-00-120300-51310"/>
    <x v="0"/>
    <n v="335"/>
    <n v="0"/>
    <x v="79"/>
    <n v="51310"/>
    <x v="1"/>
    <s v="51"/>
    <s v="513"/>
    <x v="1077"/>
    <s v="Nursing - RN : Academic Teaching NIC"/>
    <n v="19123"/>
  </r>
  <r>
    <x v="1"/>
    <s v="11-335-00-120300-51311"/>
    <x v="0"/>
    <n v="335"/>
    <n v="0"/>
    <x v="79"/>
    <n v="51311"/>
    <x v="1"/>
    <s v="51"/>
    <s v="513"/>
    <x v="1078"/>
    <s v="Nursing - RN : Academic Teaching PT"/>
    <n v="142438"/>
  </r>
  <r>
    <x v="1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1"/>
    <s v="11-335-00-120300-52360"/>
    <x v="0"/>
    <n v="335"/>
    <n v="0"/>
    <x v="79"/>
    <n v="52360"/>
    <x v="1"/>
    <s v="52"/>
    <s v="523"/>
    <x v="1080"/>
    <s v="Nursing - RN : Class Nonstu NonIA PT Prof Exp"/>
    <n v="2687"/>
  </r>
  <r>
    <x v="1"/>
    <s v="11-335-00-120300-54300"/>
    <x v="0"/>
    <n v="335"/>
    <n v="0"/>
    <x v="79"/>
    <n v="54300"/>
    <x v="1"/>
    <s v="54"/>
    <s v="543"/>
    <x v="1093"/>
    <s v="Nursing - RN : Supplies &amp; Materials"/>
    <n v="5000"/>
  </r>
  <r>
    <x v="1"/>
    <s v="11-335-00-120300-55200"/>
    <x v="0"/>
    <n v="335"/>
    <n v="0"/>
    <x v="79"/>
    <n v="55200"/>
    <x v="1"/>
    <s v="55"/>
    <s v="552"/>
    <x v="1094"/>
    <s v="Nursing - RN : Travel &amp; Conference"/>
    <n v="1000"/>
  </r>
  <r>
    <x v="1"/>
    <s v="11-335-00-120300-55210"/>
    <x v="0"/>
    <n v="335"/>
    <n v="0"/>
    <x v="79"/>
    <n v="55210"/>
    <x v="1"/>
    <s v="55"/>
    <s v="552"/>
    <x v="2165"/>
    <s v="Instructional Mileage"/>
    <n v="1000"/>
  </r>
  <r>
    <x v="1"/>
    <s v="11-335-00-120300-55300"/>
    <x v="0"/>
    <n v="335"/>
    <n v="0"/>
    <x v="79"/>
    <n v="55300"/>
    <x v="1"/>
    <s v="55"/>
    <s v="553"/>
    <x v="1095"/>
    <s v="Nursing - RN : Memberships"/>
    <n v="12143"/>
  </r>
  <r>
    <x v="1"/>
    <s v="11-335-00-120300-55625"/>
    <x v="0"/>
    <n v="335"/>
    <n v="0"/>
    <x v="79"/>
    <n v="55625"/>
    <x v="1"/>
    <s v="55"/>
    <s v="556"/>
    <x v="1096"/>
    <s v="Nursing - RN : Inprocessing Costs"/>
    <n v="250"/>
  </r>
  <r>
    <x v="1"/>
    <s v="11-335-00-120300-55630"/>
    <x v="0"/>
    <n v="335"/>
    <n v="0"/>
    <x v="79"/>
    <n v="55630"/>
    <x v="1"/>
    <s v="55"/>
    <s v="556"/>
    <x v="1097"/>
    <s v="Nursing - RN : Printing &amp; Duplicating - Inhouse"/>
    <n v="900"/>
  </r>
  <r>
    <x v="1"/>
    <s v="11-335-00-120300-55650"/>
    <x v="0"/>
    <n v="335"/>
    <n v="0"/>
    <x v="79"/>
    <n v="55650"/>
    <x v="1"/>
    <s v="55"/>
    <s v="556"/>
    <x v="1098"/>
    <s v="Nursing - RN : Maintenance Agreement"/>
    <n v="15000"/>
  </r>
  <r>
    <x v="1"/>
    <s v="11-335-00-120320-51310"/>
    <x v="0"/>
    <n v="335"/>
    <n v="0"/>
    <x v="80"/>
    <n v="51310"/>
    <x v="1"/>
    <s v="51"/>
    <s v="513"/>
    <x v="1100"/>
    <s v="Nursing - LVN : Academic Teaching NIC"/>
    <n v="12000"/>
  </r>
  <r>
    <x v="1"/>
    <s v="11-335-00-120320-51311"/>
    <x v="0"/>
    <n v="335"/>
    <n v="0"/>
    <x v="80"/>
    <n v="51311"/>
    <x v="1"/>
    <s v="51"/>
    <s v="513"/>
    <x v="1101"/>
    <s v="Nursing - LVN : Academic Teaching PT"/>
    <n v="95000"/>
  </r>
  <r>
    <x v="1"/>
    <s v="11-335-00-120320-55200"/>
    <x v="0"/>
    <n v="335"/>
    <n v="0"/>
    <x v="80"/>
    <n v="55200"/>
    <x v="1"/>
    <s v="55"/>
    <s v="552"/>
    <x v="1108"/>
    <s v="Nursing - LVN : Travel &amp; Conference"/>
    <n v="700"/>
  </r>
  <r>
    <x v="1"/>
    <s v="11-335-00-120300-55210"/>
    <x v="0"/>
    <n v="335"/>
    <n v="0"/>
    <x v="79"/>
    <n v="55210"/>
    <x v="1"/>
    <s v="55"/>
    <s v="552"/>
    <x v="2165"/>
    <s v="Instructional Mileage"/>
    <n v="500"/>
  </r>
  <r>
    <x v="1"/>
    <s v="11-335-00-120320-55630"/>
    <x v="0"/>
    <n v="335"/>
    <n v="0"/>
    <x v="80"/>
    <n v="55630"/>
    <x v="1"/>
    <s v="55"/>
    <s v="556"/>
    <x v="1109"/>
    <s v="Nursing - LVN : Printing &amp; Duplicating - Inhouse"/>
    <n v="300"/>
  </r>
  <r>
    <x v="1"/>
    <s v="11-335-00-120400-51310"/>
    <x v="0"/>
    <n v="335"/>
    <n v="0"/>
    <x v="81"/>
    <n v="51310"/>
    <x v="1"/>
    <s v="51"/>
    <s v="513"/>
    <x v="1111"/>
    <s v="Respiratory Care Program : Academic Teaching NIC"/>
    <n v="2520"/>
  </r>
  <r>
    <x v="1"/>
    <s v="11-335-00-120400-51311"/>
    <x v="0"/>
    <n v="335"/>
    <n v="0"/>
    <x v="81"/>
    <n v="51311"/>
    <x v="1"/>
    <s v="51"/>
    <s v="513"/>
    <x v="1112"/>
    <s v="Respiratory Care Program : Academic Teaching PT"/>
    <n v="76000"/>
  </r>
  <r>
    <x v="1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1"/>
    <s v="11-335-00-120400-54300"/>
    <x v="0"/>
    <n v="335"/>
    <n v="0"/>
    <x v="81"/>
    <n v="54300"/>
    <x v="1"/>
    <s v="54"/>
    <s v="543"/>
    <x v="1120"/>
    <s v="Respiratory Care Program : Supplies &amp; Materials"/>
    <n v="3000"/>
  </r>
  <r>
    <x v="1"/>
    <s v="11-335-00-120400-55309"/>
    <x v="0"/>
    <n v="335"/>
    <n v="0"/>
    <x v="81"/>
    <n v="55309"/>
    <x v="1"/>
    <s v="55"/>
    <s v="553"/>
    <x v="1121"/>
    <s v="Respiratory Care Program : Subscriptions"/>
    <n v="4952"/>
  </r>
  <r>
    <x v="1"/>
    <s v="11-335-00-120400-55630"/>
    <x v="0"/>
    <n v="335"/>
    <n v="0"/>
    <x v="81"/>
    <n v="55630"/>
    <x v="1"/>
    <s v="55"/>
    <s v="556"/>
    <x v="1122"/>
    <s v="Respiratory Care Program : Printing &amp; Duplicating - Inhouse"/>
    <n v="211"/>
  </r>
  <r>
    <x v="1"/>
    <s v="11-335-00-120400-55650"/>
    <x v="0"/>
    <n v="335"/>
    <n v="0"/>
    <x v="81"/>
    <n v="55650"/>
    <x v="1"/>
    <s v="55"/>
    <s v="556"/>
    <x v="1123"/>
    <s v="Respiratory Care Program : Maintenance Agreement"/>
    <n v="5000"/>
  </r>
  <r>
    <x v="1"/>
    <s v="11-335-00-125000-51310"/>
    <x v="0"/>
    <n v="335"/>
    <n v="0"/>
    <x v="82"/>
    <n v="51310"/>
    <x v="1"/>
    <s v="51"/>
    <s v="513"/>
    <x v="1124"/>
    <s v="Mobile Intensive Care Paramedic : Academic Teaching NIC"/>
    <n v="0"/>
  </r>
  <r>
    <x v="1"/>
    <s v="11-335-00-125000-51311"/>
    <x v="0"/>
    <n v="335"/>
    <n v="0"/>
    <x v="82"/>
    <n v="51311"/>
    <x v="1"/>
    <s v="51"/>
    <s v="513"/>
    <x v="1125"/>
    <s v="Mobile Intensive Care Paramedic : Academic Teaching PT"/>
    <n v="13000"/>
  </r>
  <r>
    <x v="1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34500"/>
  </r>
  <r>
    <x v="1"/>
    <s v="11-335-00-125000-54300"/>
    <x v="0"/>
    <n v="335"/>
    <n v="0"/>
    <x v="82"/>
    <n v="54300"/>
    <x v="1"/>
    <s v="54"/>
    <s v="543"/>
    <x v="1134"/>
    <s v="Mobile Intensive Care Paramedic : Supplies &amp; Materials"/>
    <n v="4000"/>
  </r>
  <r>
    <x v="1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84"/>
  </r>
  <r>
    <x v="1"/>
    <s v="11-335-00-126000-51310"/>
    <x v="0"/>
    <n v="335"/>
    <n v="0"/>
    <x v="83"/>
    <n v="51310"/>
    <x v="1"/>
    <s v="51"/>
    <s v="513"/>
    <x v="1136"/>
    <s v="Health Professions : Academic Teaching NIC"/>
    <n v="6000"/>
  </r>
  <r>
    <x v="1"/>
    <s v="11-335-00-126000-51311"/>
    <x v="0"/>
    <n v="335"/>
    <n v="0"/>
    <x v="83"/>
    <n v="51311"/>
    <x v="1"/>
    <s v="51"/>
    <s v="513"/>
    <x v="1137"/>
    <s v="Health Professions : Academic Teaching PT"/>
    <n v="30000"/>
  </r>
  <r>
    <x v="1"/>
    <s v="11-335-00-126000-52400"/>
    <x v="0"/>
    <n v="335"/>
    <n v="0"/>
    <x v="83"/>
    <n v="52400"/>
    <x v="1"/>
    <s v="52"/>
    <s v="524"/>
    <x v="1138"/>
    <s v="Health Professions : Classified Nonstudent Instructional Aides PT"/>
    <n v="1000"/>
  </r>
  <r>
    <x v="1"/>
    <s v="11-335-00-126000-54300"/>
    <x v="0"/>
    <n v="335"/>
    <n v="0"/>
    <x v="83"/>
    <n v="54300"/>
    <x v="1"/>
    <s v="54"/>
    <s v="543"/>
    <x v="1146"/>
    <s v="Health Professions : Supplies &amp; Materials"/>
    <n v="2000"/>
  </r>
  <r>
    <x v="1"/>
    <s v="11-335-00-601000-55630"/>
    <x v="0"/>
    <n v="335"/>
    <n v="0"/>
    <x v="34"/>
    <n v="55630"/>
    <x v="1"/>
    <s v="55"/>
    <s v="556"/>
    <x v="1157"/>
    <s v="Academic Administration : Printing &amp; Duplicating - Inhouse"/>
    <n v="3000"/>
  </r>
  <r>
    <x v="1"/>
    <s v="11-340-00-682500-52360"/>
    <x v="0"/>
    <n v="340"/>
    <n v="0"/>
    <x v="84"/>
    <n v="52360"/>
    <x v="1"/>
    <s v="52"/>
    <s v="523"/>
    <x v="1159"/>
    <s v="Western Stage : Class Nonstu NonIA PT Prof Exp"/>
    <n v="378500"/>
  </r>
  <r>
    <x v="1"/>
    <s v="11-340-00-682500-54300"/>
    <x v="0"/>
    <n v="340"/>
    <n v="0"/>
    <x v="84"/>
    <n v="54300"/>
    <x v="1"/>
    <s v="54"/>
    <s v="543"/>
    <x v="1168"/>
    <s v="Western Stage : Supplies &amp; Materials"/>
    <n v="46500"/>
  </r>
  <r>
    <x v="1"/>
    <s v="11-340-00-682500-54320"/>
    <x v="0"/>
    <n v="340"/>
    <n v="0"/>
    <x v="84"/>
    <n v="54320"/>
    <x v="1"/>
    <s v="54"/>
    <s v="543"/>
    <x v="1169"/>
    <s v="Western Stage : Laundry"/>
    <n v="2500"/>
  </r>
  <r>
    <x v="1"/>
    <s v="11-340-00-682500-55105"/>
    <x v="0"/>
    <n v="340"/>
    <n v="0"/>
    <x v="84"/>
    <n v="55105"/>
    <x v="1"/>
    <s v="55"/>
    <s v="551"/>
    <x v="1170"/>
    <s v="Western Stage : Contract Services"/>
    <n v="28085"/>
  </r>
  <r>
    <x v="1"/>
    <s v="11-340-00-682500-55200"/>
    <x v="0"/>
    <n v="340"/>
    <n v="0"/>
    <x v="84"/>
    <n v="55200"/>
    <x v="1"/>
    <s v="55"/>
    <s v="552"/>
    <x v="1171"/>
    <s v="Western Stage : Travel &amp; Conference"/>
    <n v="1000"/>
  </r>
  <r>
    <x v="1"/>
    <s v="11-340-00-682500-55600"/>
    <x v="0"/>
    <n v="340"/>
    <n v="0"/>
    <x v="84"/>
    <n v="55600"/>
    <x v="1"/>
    <s v="55"/>
    <s v="556"/>
    <x v="1172"/>
    <s v="Western Stage : Rents &amp; Leases"/>
    <n v="25000"/>
  </r>
  <r>
    <x v="1"/>
    <s v="11-340-00-682500-55630"/>
    <x v="0"/>
    <n v="340"/>
    <n v="0"/>
    <x v="84"/>
    <n v="55630"/>
    <x v="1"/>
    <s v="55"/>
    <s v="556"/>
    <x v="1173"/>
    <s v="Western Stage : Printing &amp; Duplicating - Inhouse"/>
    <n v="575"/>
  </r>
  <r>
    <x v="1"/>
    <s v="11-340-00-682500-55635"/>
    <x v="0"/>
    <n v="340"/>
    <n v="0"/>
    <x v="84"/>
    <n v="55635"/>
    <x v="1"/>
    <s v="55"/>
    <s v="556"/>
    <x v="1174"/>
    <s v="Western Stage : Printing Services - Vendor"/>
    <n v="15500"/>
  </r>
  <r>
    <x v="1"/>
    <s v="11-340-00-682500-55650"/>
    <x v="0"/>
    <n v="340"/>
    <n v="0"/>
    <x v="84"/>
    <n v="55650"/>
    <x v="1"/>
    <s v="55"/>
    <s v="556"/>
    <x v="1175"/>
    <s v="Western Stage : Maintenance Agreement"/>
    <n v="1600"/>
  </r>
  <r>
    <x v="1"/>
    <s v="11-340-00-682500-55651"/>
    <x v="0"/>
    <n v="340"/>
    <n v="0"/>
    <x v="84"/>
    <n v="55651"/>
    <x v="1"/>
    <s v="55"/>
    <s v="556"/>
    <x v="1176"/>
    <s v="Western Stage : Equipment Repairs"/>
    <n v="3500"/>
  </r>
  <r>
    <x v="1"/>
    <s v="11-340-00-682500-55810"/>
    <x v="0"/>
    <n v="340"/>
    <n v="0"/>
    <x v="84"/>
    <n v="55810"/>
    <x v="1"/>
    <s v="55"/>
    <s v="558"/>
    <x v="1177"/>
    <s v="Western Stage : Bulk Mail"/>
    <n v="3500"/>
  </r>
  <r>
    <x v="1"/>
    <s v="11-340-00-682500-55820"/>
    <x v="0"/>
    <n v="340"/>
    <n v="0"/>
    <x v="84"/>
    <n v="55820"/>
    <x v="1"/>
    <s v="55"/>
    <s v="558"/>
    <x v="1178"/>
    <s v="Western Stage : US Postage"/>
    <n v="500"/>
  </r>
  <r>
    <x v="1"/>
    <s v="11-340-00-682500-55830"/>
    <x v="0"/>
    <n v="340"/>
    <n v="0"/>
    <x v="84"/>
    <n v="55830"/>
    <x v="1"/>
    <s v="55"/>
    <s v="558"/>
    <x v="1179"/>
    <s v="Western Stage : Advertising Expense"/>
    <n v="36500"/>
  </r>
  <r>
    <x v="1"/>
    <s v="11-350-00-050000-51310"/>
    <x v="0"/>
    <n v="350"/>
    <n v="0"/>
    <x v="12"/>
    <n v="51310"/>
    <x v="1"/>
    <s v="51"/>
    <s v="513"/>
    <x v="1181"/>
    <s v="Business Education : Academic Teaching NIC"/>
    <n v="99716"/>
  </r>
  <r>
    <x v="1"/>
    <s v="11-350-00-050000-51311"/>
    <x v="0"/>
    <n v="350"/>
    <n v="0"/>
    <x v="12"/>
    <n v="51311"/>
    <x v="1"/>
    <s v="51"/>
    <s v="513"/>
    <x v="1182"/>
    <s v="Business Education : Academic Teaching PT"/>
    <n v="74500"/>
  </r>
  <r>
    <x v="1"/>
    <s v="11-350-00-050000-54300"/>
    <x v="0"/>
    <n v="350"/>
    <n v="0"/>
    <x v="12"/>
    <n v="54300"/>
    <x v="1"/>
    <s v="54"/>
    <s v="543"/>
    <x v="1190"/>
    <s v="Business Education : Supplies &amp; Materials"/>
    <n v="535"/>
  </r>
  <r>
    <x v="1"/>
    <s v="11-350-00-050000-55630"/>
    <x v="0"/>
    <n v="350"/>
    <n v="0"/>
    <x v="12"/>
    <n v="55630"/>
    <x v="1"/>
    <s v="55"/>
    <s v="556"/>
    <x v="1191"/>
    <s v="Business Education : Printing &amp; Duplicating - Inhouse"/>
    <n v="250"/>
  </r>
  <r>
    <x v="1"/>
    <s v="11-350-00-050000-56400"/>
    <x v="0"/>
    <n v="350"/>
    <n v="0"/>
    <x v="12"/>
    <n v="56400"/>
    <x v="1"/>
    <s v="56"/>
    <s v="564"/>
    <x v="1192"/>
    <s v="Business Education : Cap Equip - $200 to $4,999"/>
    <n v="0"/>
  </r>
  <r>
    <x v="1"/>
    <s v="11-350-01-094800-55630"/>
    <x v="0"/>
    <n v="350"/>
    <n v="1"/>
    <x v="85"/>
    <n v="55630"/>
    <x v="1"/>
    <s v="55"/>
    <s v="556"/>
    <x v="1350"/>
    <s v="Automotive Technology : Printing &amp; Duplicating - Inhouse"/>
    <m/>
  </r>
  <r>
    <x v="1"/>
    <s v="11-350-00-210440-51310"/>
    <x v="0"/>
    <n v="350"/>
    <n v="0"/>
    <x v="66"/>
    <n v="51310"/>
    <x v="1"/>
    <s v="51"/>
    <s v="513"/>
    <x v="1207"/>
    <s v="Alcohol &amp; Drug Counseling : Academic Teaching NIC"/>
    <n v="3000"/>
  </r>
  <r>
    <x v="1"/>
    <s v="11-350-00-210440-51311"/>
    <x v="0"/>
    <n v="350"/>
    <n v="0"/>
    <x v="66"/>
    <n v="51311"/>
    <x v="1"/>
    <s v="51"/>
    <s v="513"/>
    <x v="1208"/>
    <s v="Alcohol &amp; Drug Counseling : Academic Teaching PT"/>
    <n v="11000"/>
  </r>
  <r>
    <x v="1"/>
    <s v="11-350-00-210440-51412"/>
    <x v="0"/>
    <n v="350"/>
    <n v="0"/>
    <x v="66"/>
    <n v="51412"/>
    <x v="1"/>
    <s v="51"/>
    <s v="514"/>
    <x v="1209"/>
    <s v="Alcohol &amp; Drug Counseling : Acad Nonteach Special Projects"/>
    <n v="75"/>
  </r>
  <r>
    <x v="1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150"/>
  </r>
  <r>
    <x v="1"/>
    <s v="11-350-00-210500-51310"/>
    <x v="0"/>
    <n v="350"/>
    <n v="0"/>
    <x v="25"/>
    <n v="51310"/>
    <x v="1"/>
    <s v="51"/>
    <s v="513"/>
    <x v="1221"/>
    <s v="Administration of Justice : Academic Teaching NIC"/>
    <n v="32521"/>
  </r>
  <r>
    <x v="1"/>
    <s v="11-350-00-210500-51311"/>
    <x v="0"/>
    <n v="350"/>
    <n v="0"/>
    <x v="25"/>
    <n v="51311"/>
    <x v="1"/>
    <s v="51"/>
    <s v="513"/>
    <x v="1222"/>
    <s v="Administration of Justice : Academic Teaching PT"/>
    <n v="176842"/>
  </r>
  <r>
    <x v="1"/>
    <s v="11-350-00-210500-51412"/>
    <x v="0"/>
    <n v="350"/>
    <n v="0"/>
    <x v="25"/>
    <n v="51412"/>
    <x v="1"/>
    <s v="51"/>
    <s v="514"/>
    <x v="1223"/>
    <s v="Administration of Justice : Acad Nonteach Special Projects"/>
    <n v="5350"/>
  </r>
  <r>
    <x v="1"/>
    <s v="11-350-00-210500-52360"/>
    <x v="0"/>
    <n v="350"/>
    <n v="0"/>
    <x v="25"/>
    <n v="52360"/>
    <x v="1"/>
    <s v="52"/>
    <s v="523"/>
    <x v="1224"/>
    <s v="Administration of Justice : Class Nonstu NonIA PT Prof Exp"/>
    <n v="100"/>
  </r>
  <r>
    <x v="1"/>
    <s v="11-350-00-210500-55309"/>
    <x v="0"/>
    <n v="350"/>
    <n v="0"/>
    <x v="25"/>
    <n v="55309"/>
    <x v="1"/>
    <s v="55"/>
    <s v="553"/>
    <x v="1236"/>
    <s v="Administration of Justice : Subscriptions"/>
    <n v="5700"/>
  </r>
  <r>
    <x v="1"/>
    <s v="11-350-00-210500-55630"/>
    <x v="0"/>
    <n v="350"/>
    <n v="0"/>
    <x v="25"/>
    <n v="55630"/>
    <x v="1"/>
    <s v="55"/>
    <s v="556"/>
    <x v="1237"/>
    <s v="Administration of Justice : Printing &amp; Duplicating - Inhouse"/>
    <n v="250"/>
  </r>
  <r>
    <x v="1"/>
    <s v="11-350-00-601000-52360"/>
    <x v="0"/>
    <n v="350"/>
    <n v="0"/>
    <x v="34"/>
    <n v="52360"/>
    <x v="1"/>
    <s v="52"/>
    <s v="523"/>
    <x v="1240"/>
    <s v="Academic Administration : Class Nonstu NonIA PT Prof Exp"/>
    <n v="250"/>
  </r>
  <r>
    <x v="1"/>
    <s v="11-350-00-601000-54349"/>
    <x v="0"/>
    <n v="350"/>
    <n v="0"/>
    <x v="34"/>
    <n v="54349"/>
    <x v="1"/>
    <s v="54"/>
    <s v="543"/>
    <x v="1248"/>
    <s v="Academic Administration : M&amp;O Fuel and Oil Expense"/>
    <n v="200"/>
  </r>
  <r>
    <x v="1"/>
    <s v="11-350-00-601000-55630"/>
    <x v="0"/>
    <n v="350"/>
    <n v="0"/>
    <x v="34"/>
    <n v="55630"/>
    <x v="1"/>
    <s v="55"/>
    <s v="556"/>
    <x v="1249"/>
    <s v="Academic Administration : Printing &amp; Duplicating - Inhouse"/>
    <n v="100"/>
  </r>
  <r>
    <x v="1"/>
    <s v="11-350-00-703800-51412"/>
    <x v="0"/>
    <n v="350"/>
    <n v="0"/>
    <x v="61"/>
    <n v="51412"/>
    <x v="1"/>
    <s v="51"/>
    <s v="514"/>
    <x v="1250"/>
    <s v="MESA Grant : Acad Nonteach Special Projects"/>
    <n v="0"/>
  </r>
  <r>
    <x v="1"/>
    <s v="11-350-01-010100-51310"/>
    <x v="0"/>
    <n v="350"/>
    <n v="1"/>
    <x v="10"/>
    <n v="51310"/>
    <x v="1"/>
    <s v="51"/>
    <s v="513"/>
    <x v="1260"/>
    <s v="Agriculture Technology : Academic Teaching NIC"/>
    <n v="27540"/>
  </r>
  <r>
    <x v="1"/>
    <s v="11-350-01-010100-51311"/>
    <x v="0"/>
    <n v="350"/>
    <n v="1"/>
    <x v="10"/>
    <n v="51311"/>
    <x v="1"/>
    <s v="51"/>
    <s v="513"/>
    <x v="1261"/>
    <s v="Agriculture Technology : Academic Teaching PT"/>
    <n v="100266"/>
  </r>
  <r>
    <x v="1"/>
    <s v="11-350-01-010100-51412"/>
    <x v="0"/>
    <n v="350"/>
    <n v="1"/>
    <x v="10"/>
    <n v="51412"/>
    <x v="1"/>
    <s v="51"/>
    <s v="514"/>
    <x v="1262"/>
    <s v="Agriculture Technology : Acad Nonteach Special Projects"/>
    <n v="100"/>
  </r>
  <r>
    <x v="1"/>
    <s v="11-350-01-010100-52300"/>
    <x v="0"/>
    <n v="350"/>
    <n v="1"/>
    <x v="10"/>
    <n v="52300"/>
    <x v="1"/>
    <s v="52"/>
    <s v="523"/>
    <x v="1264"/>
    <s v="Agriculture Technology : Classified Overtime"/>
    <n v="0"/>
  </r>
  <r>
    <x v="1"/>
    <s v="11-350-01-010100-54300"/>
    <x v="0"/>
    <n v="350"/>
    <n v="1"/>
    <x v="10"/>
    <n v="54300"/>
    <x v="1"/>
    <s v="54"/>
    <s v="543"/>
    <x v="1278"/>
    <s v="Agriculture Technology : Supplies &amp; Materials"/>
    <n v="5350"/>
  </r>
  <r>
    <x v="1"/>
    <s v="11-350-01-010100-55200"/>
    <x v="0"/>
    <n v="350"/>
    <n v="1"/>
    <x v="10"/>
    <n v="55200"/>
    <x v="1"/>
    <s v="55"/>
    <s v="552"/>
    <x v="1279"/>
    <s v="Agriculture Technology : Travel &amp; Conference"/>
    <n v="1070"/>
  </r>
  <r>
    <x v="1"/>
    <s v="11-350-01-010100-55300"/>
    <x v="0"/>
    <n v="350"/>
    <n v="1"/>
    <x v="10"/>
    <n v="55300"/>
    <x v="1"/>
    <s v="55"/>
    <s v="553"/>
    <x v="1280"/>
    <s v="Agriculture Technology : Memberships"/>
    <n v="250"/>
  </r>
  <r>
    <x v="1"/>
    <s v="11-350-01-010100-55560"/>
    <x v="0"/>
    <n v="350"/>
    <n v="1"/>
    <x v="10"/>
    <n v="55560"/>
    <x v="1"/>
    <s v="55"/>
    <s v="555"/>
    <x v="1281"/>
    <s v="Agriculture Technology : Water Service"/>
    <n v="1000"/>
  </r>
  <r>
    <x v="1"/>
    <s v="11-350-01-010100-55630"/>
    <x v="0"/>
    <n v="350"/>
    <n v="1"/>
    <x v="10"/>
    <n v="55630"/>
    <x v="1"/>
    <s v="55"/>
    <s v="556"/>
    <x v="1282"/>
    <s v="Agriculture Technology : Printing &amp; Duplicating - Inhouse"/>
    <n v="600"/>
  </r>
  <r>
    <x v="1"/>
    <s v="11-350-01-010100-55635"/>
    <x v="0"/>
    <n v="350"/>
    <n v="1"/>
    <x v="10"/>
    <n v="55635"/>
    <x v="1"/>
    <s v="55"/>
    <s v="556"/>
    <x v="1283"/>
    <s v="Agriculture Technology : Printing Services - Vendor"/>
    <n v="107"/>
  </r>
  <r>
    <x v="1"/>
    <s v="11-350-01-010100-55650"/>
    <x v="0"/>
    <n v="350"/>
    <n v="1"/>
    <x v="10"/>
    <n v="55650"/>
    <x v="1"/>
    <s v="55"/>
    <s v="556"/>
    <x v="1284"/>
    <s v="Agriculture Technology : Maintenance Agreement"/>
    <n v="535"/>
  </r>
  <r>
    <x v="1"/>
    <s v="11-350-01-070100-51311"/>
    <x v="0"/>
    <n v="350"/>
    <n v="1"/>
    <x v="13"/>
    <n v="51311"/>
    <x v="1"/>
    <s v="51"/>
    <s v="513"/>
    <x v="1287"/>
    <s v="Computer &amp; Information Science : Academic Teaching PT"/>
    <m/>
  </r>
  <r>
    <x v="1"/>
    <s v="11-350-01-094500-54300"/>
    <x v="0"/>
    <n v="350"/>
    <n v="1"/>
    <x v="86"/>
    <n v="54300"/>
    <x v="1"/>
    <s v="54"/>
    <s v="543"/>
    <x v="1305"/>
    <s v="Agriculture &amp; Industrial Tech. : Supplies &amp; Materials"/>
    <n v="8560"/>
  </r>
  <r>
    <x v="1"/>
    <s v="11-350-01-094500-55200"/>
    <x v="0"/>
    <n v="350"/>
    <n v="1"/>
    <x v="86"/>
    <n v="55200"/>
    <x v="1"/>
    <s v="55"/>
    <s v="552"/>
    <x v="1306"/>
    <s v="Agriculture &amp; Industrial Tech. : Travel &amp; Conference"/>
    <n v="535"/>
  </r>
  <r>
    <x v="1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250"/>
  </r>
  <r>
    <x v="1"/>
    <s v="11-350-01-094500-55651"/>
    <x v="0"/>
    <n v="350"/>
    <n v="1"/>
    <x v="86"/>
    <n v="55651"/>
    <x v="1"/>
    <s v="55"/>
    <s v="556"/>
    <x v="1309"/>
    <s v="Agriculture &amp; Industrial Tech. : Equipment Repairs"/>
    <n v="700"/>
  </r>
  <r>
    <x v="1"/>
    <s v="11-350-01-094700-51310"/>
    <x v="0"/>
    <n v="350"/>
    <n v="1"/>
    <x v="87"/>
    <n v="51310"/>
    <x v="1"/>
    <s v="51"/>
    <s v="513"/>
    <x v="1311"/>
    <s v="Diesel Mechanics : Academic Teaching NIC"/>
    <n v="34380"/>
  </r>
  <r>
    <x v="1"/>
    <s v="11-350-01-094700-51412"/>
    <x v="0"/>
    <n v="350"/>
    <n v="1"/>
    <x v="87"/>
    <n v="51412"/>
    <x v="1"/>
    <s v="51"/>
    <s v="514"/>
    <x v="1313"/>
    <s v="Diesel Mechanics : Acad Nonteach Special Projects"/>
    <n v="250"/>
  </r>
  <r>
    <x v="1"/>
    <s v="11-350-01-094700-52360"/>
    <x v="0"/>
    <n v="350"/>
    <n v="1"/>
    <x v="87"/>
    <n v="52360"/>
    <x v="1"/>
    <s v="52"/>
    <s v="523"/>
    <x v="1315"/>
    <s v="Diesel Mechanics : Class Nonstu NonIA PT Prof Exp"/>
    <n v="50"/>
  </r>
  <r>
    <x v="1"/>
    <s v="11-350-01-094700-54300"/>
    <x v="0"/>
    <n v="350"/>
    <n v="1"/>
    <x v="87"/>
    <n v="54300"/>
    <x v="1"/>
    <s v="54"/>
    <s v="543"/>
    <x v="1329"/>
    <s v="Diesel Mechanics : Supplies &amp; Materials"/>
    <n v="10165"/>
  </r>
  <r>
    <x v="1"/>
    <s v="11-350-01-094700-55125"/>
    <x v="0"/>
    <n v="350"/>
    <n v="1"/>
    <x v="87"/>
    <n v="55125"/>
    <x v="1"/>
    <s v="55"/>
    <s v="551"/>
    <x v="1330"/>
    <s v="Diesel Mechanics : Training &amp; Seminars"/>
    <n v="656"/>
  </r>
  <r>
    <x v="1"/>
    <s v="11-350-01-094700-55575"/>
    <x v="0"/>
    <n v="350"/>
    <n v="1"/>
    <x v="87"/>
    <n v="55575"/>
    <x v="1"/>
    <s v="55"/>
    <s v="555"/>
    <x v="1331"/>
    <s v="Diesel Mechanics : Hazardous Waste Disposal"/>
    <n v="139"/>
  </r>
  <r>
    <x v="1"/>
    <s v="11-350-01-094700-55630"/>
    <x v="0"/>
    <n v="350"/>
    <n v="1"/>
    <x v="87"/>
    <n v="55630"/>
    <x v="1"/>
    <s v="55"/>
    <s v="556"/>
    <x v="1332"/>
    <s v="Diesel Mechanics : Printing &amp; Duplicating - Inhouse"/>
    <n v="200"/>
  </r>
  <r>
    <x v="1"/>
    <s v="11-350-01-094700-55650"/>
    <x v="0"/>
    <n v="350"/>
    <n v="1"/>
    <x v="87"/>
    <n v="55650"/>
    <x v="1"/>
    <s v="55"/>
    <s v="556"/>
    <x v="1333"/>
    <s v="Diesel Mechanics : Maintenance Agreement"/>
    <n v="4100"/>
  </r>
  <r>
    <x v="1"/>
    <s v="11-350-01-094700-55651"/>
    <x v="0"/>
    <n v="350"/>
    <n v="1"/>
    <x v="87"/>
    <n v="55651"/>
    <x v="1"/>
    <s v="55"/>
    <s v="556"/>
    <x v="1334"/>
    <s v="Diesel Mechanics : Equipment Repairs"/>
    <n v="642"/>
  </r>
  <r>
    <x v="1"/>
    <s v="11-350-01-094700-55800"/>
    <x v="0"/>
    <n v="350"/>
    <n v="1"/>
    <x v="87"/>
    <n v="55800"/>
    <x v="1"/>
    <s v="55"/>
    <s v="558"/>
    <x v="1335"/>
    <s v="Diesel Mechanics : Other Costs"/>
    <n v="27"/>
  </r>
  <r>
    <x v="1"/>
    <s v="11-350-01-094700-56400"/>
    <x v="0"/>
    <n v="350"/>
    <n v="1"/>
    <x v="87"/>
    <n v="56400"/>
    <x v="1"/>
    <s v="56"/>
    <s v="564"/>
    <x v="1336"/>
    <s v="Diesel Mechanics : Cap Equip - $200 to $4,999"/>
    <n v="300"/>
  </r>
  <r>
    <x v="1"/>
    <s v="11-350-01-094800-51310"/>
    <x v="0"/>
    <n v="350"/>
    <n v="1"/>
    <x v="85"/>
    <n v="51310"/>
    <x v="1"/>
    <s v="51"/>
    <s v="513"/>
    <x v="1337"/>
    <s v="Automotive Technology : Academic Teaching NIC"/>
    <n v="36786.095999999998"/>
  </r>
  <r>
    <x v="1"/>
    <s v="11-350-01-094800-51311"/>
    <x v="0"/>
    <n v="350"/>
    <n v="1"/>
    <x v="85"/>
    <n v="51311"/>
    <x v="1"/>
    <s v="51"/>
    <s v="513"/>
    <x v="1338"/>
    <s v="Automotive Technology : Academic Teaching PT"/>
    <n v="75736.08"/>
  </r>
  <r>
    <x v="1"/>
    <s v="11-350-01-094800-51412"/>
    <x v="0"/>
    <n v="350"/>
    <n v="1"/>
    <x v="85"/>
    <n v="51412"/>
    <x v="1"/>
    <s v="51"/>
    <s v="514"/>
    <x v="1339"/>
    <s v="Automotive Technology : Acad Nonteach Special Projects"/>
    <n v="100"/>
  </r>
  <r>
    <x v="1"/>
    <s v="11-350-01-094800-54300"/>
    <x v="0"/>
    <n v="350"/>
    <n v="1"/>
    <x v="85"/>
    <n v="54300"/>
    <x v="1"/>
    <s v="54"/>
    <s v="543"/>
    <x v="1349"/>
    <s v="Automotive Technology : Supplies &amp; Materials"/>
    <n v="9630"/>
  </r>
  <r>
    <x v="1"/>
    <s v="11-350-01-094800-55630"/>
    <x v="0"/>
    <n v="350"/>
    <n v="1"/>
    <x v="85"/>
    <n v="55630"/>
    <x v="1"/>
    <s v="55"/>
    <s v="556"/>
    <x v="1350"/>
    <s v="Automotive Technology : Printing &amp; Duplicating - Inhouse"/>
    <n v="45"/>
  </r>
  <r>
    <x v="1"/>
    <s v="11-350-01-094800-55650"/>
    <x v="0"/>
    <n v="350"/>
    <n v="1"/>
    <x v="85"/>
    <n v="55650"/>
    <x v="1"/>
    <s v="55"/>
    <s v="556"/>
    <x v="1351"/>
    <s v="Automotive Technology : Maintenance Agreement"/>
    <n v="800"/>
  </r>
  <r>
    <x v="1"/>
    <s v="11-350-01-094800-55651"/>
    <x v="0"/>
    <n v="350"/>
    <n v="1"/>
    <x v="85"/>
    <n v="55651"/>
    <x v="1"/>
    <s v="55"/>
    <s v="556"/>
    <x v="1352"/>
    <s v="Automotive Technology : Equipment Repairs"/>
    <n v="2000"/>
  </r>
  <r>
    <x v="1"/>
    <s v="11-350-01-094800-56341"/>
    <x v="0"/>
    <n v="350"/>
    <n v="1"/>
    <x v="85"/>
    <n v="56341"/>
    <x v="1"/>
    <s v="56"/>
    <s v="563"/>
    <x v="1353"/>
    <s v="Automotive Technology : On-line Database Services"/>
    <n v="6720"/>
  </r>
  <r>
    <x v="1"/>
    <s v="11-350-01-095200-51310"/>
    <x v="0"/>
    <n v="350"/>
    <n v="1"/>
    <x v="88"/>
    <n v="51310"/>
    <x v="1"/>
    <s v="51"/>
    <s v="513"/>
    <x v="1355"/>
    <s v="Construction Technology : Academic Teaching NIC"/>
    <n v="2500"/>
  </r>
  <r>
    <x v="1"/>
    <s v="11-350-01-095200-51311"/>
    <x v="0"/>
    <n v="350"/>
    <n v="1"/>
    <x v="88"/>
    <n v="51311"/>
    <x v="1"/>
    <s v="51"/>
    <s v="513"/>
    <x v="1356"/>
    <s v="Construction Technology : Academic Teaching PT"/>
    <n v="103275"/>
  </r>
  <r>
    <x v="1"/>
    <s v="11-350-01-095200-54300"/>
    <x v="0"/>
    <n v="350"/>
    <n v="1"/>
    <x v="88"/>
    <n v="54300"/>
    <x v="1"/>
    <s v="54"/>
    <s v="543"/>
    <x v="1363"/>
    <s v="Construction Technology : Supplies &amp; Materials"/>
    <n v="3000"/>
  </r>
  <r>
    <x v="1"/>
    <s v="11-350-01-095200-55300"/>
    <x v="0"/>
    <n v="350"/>
    <n v="1"/>
    <x v="88"/>
    <n v="55300"/>
    <x v="1"/>
    <s v="55"/>
    <s v="553"/>
    <x v="1364"/>
    <s v="Construction Technology : Memberships"/>
    <n v="150"/>
  </r>
  <r>
    <x v="1"/>
    <s v="11-350-01-095200-55309"/>
    <x v="0"/>
    <n v="350"/>
    <n v="1"/>
    <x v="88"/>
    <n v="55309"/>
    <x v="1"/>
    <s v="55"/>
    <s v="553"/>
    <x v="1365"/>
    <s v="Construction Technology : Subscriptions"/>
    <n v="150"/>
  </r>
  <r>
    <x v="1"/>
    <s v="11-350-01-095200-55630"/>
    <x v="0"/>
    <n v="350"/>
    <n v="1"/>
    <x v="88"/>
    <n v="55630"/>
    <x v="1"/>
    <s v="55"/>
    <s v="556"/>
    <x v="1366"/>
    <s v="Construction Technology : Printing &amp; Duplicating - Inhouse"/>
    <n v="150"/>
  </r>
  <r>
    <x v="1"/>
    <s v="11-350-01-095200-56400"/>
    <x v="0"/>
    <n v="350"/>
    <n v="1"/>
    <x v="88"/>
    <n v="56400"/>
    <x v="1"/>
    <s v="56"/>
    <s v="564"/>
    <x v="1367"/>
    <s v="Construction Technology : Cap Equip - $200 to $4,999"/>
    <n v="200"/>
  </r>
  <r>
    <x v="1"/>
    <s v="11-350-01-095220-55105"/>
    <x v="0"/>
    <n v="350"/>
    <n v="1"/>
    <x v="89"/>
    <n v="55105"/>
    <x v="1"/>
    <s v="55"/>
    <s v="551"/>
    <x v="1368"/>
    <s v="Electrical Apprentice : Contract Services"/>
    <n v="67000"/>
  </r>
  <r>
    <x v="1"/>
    <s v="11-350-01-095300-54300"/>
    <x v="0"/>
    <n v="350"/>
    <n v="1"/>
    <x v="90"/>
    <n v="54300"/>
    <x v="1"/>
    <s v="54"/>
    <s v="543"/>
    <x v="1375"/>
    <s v="Drafting Technology : Supplies &amp; Materials"/>
    <n v="107"/>
  </r>
  <r>
    <x v="1"/>
    <s v="11-350-01-095300-55630"/>
    <x v="0"/>
    <n v="350"/>
    <n v="1"/>
    <x v="90"/>
    <n v="55630"/>
    <x v="1"/>
    <s v="55"/>
    <s v="556"/>
    <x v="1376"/>
    <s v="Drafting Technology : Printing &amp; Duplicating - Inhouse"/>
    <n v="150"/>
  </r>
  <r>
    <x v="1"/>
    <s v="11-350-01-095300-55651"/>
    <x v="0"/>
    <n v="350"/>
    <n v="1"/>
    <x v="90"/>
    <n v="55651"/>
    <x v="1"/>
    <s v="55"/>
    <s v="556"/>
    <x v="1377"/>
    <s v="Drafting Technology : Equipment Repairs"/>
    <n v="54"/>
  </r>
  <r>
    <x v="1"/>
    <s v="11-350-01-095300-56300"/>
    <x v="0"/>
    <n v="350"/>
    <n v="1"/>
    <x v="90"/>
    <n v="56300"/>
    <x v="1"/>
    <s v="56"/>
    <s v="563"/>
    <x v="1378"/>
    <s v="Drafting Technology : Capital Books &amp; Software"/>
    <n v="3000"/>
  </r>
  <r>
    <x v="1"/>
    <s v="11-350-01-095650-51310"/>
    <x v="0"/>
    <n v="350"/>
    <n v="1"/>
    <x v="91"/>
    <n v="51310"/>
    <x v="1"/>
    <s v="51"/>
    <s v="513"/>
    <x v="1380"/>
    <s v="Welding Technology : Academic Teaching NIC"/>
    <n v="16229.16"/>
  </r>
  <r>
    <x v="1"/>
    <s v="11-350-01-095650-51311"/>
    <x v="0"/>
    <n v="350"/>
    <n v="1"/>
    <x v="91"/>
    <n v="51311"/>
    <x v="1"/>
    <s v="51"/>
    <s v="513"/>
    <x v="1381"/>
    <s v="Welding Technology : Academic Teaching PT"/>
    <n v="40572.9"/>
  </r>
  <r>
    <x v="1"/>
    <s v="11-350-01-095650-54300"/>
    <x v="0"/>
    <n v="350"/>
    <n v="1"/>
    <x v="91"/>
    <n v="54300"/>
    <x v="1"/>
    <s v="54"/>
    <s v="543"/>
    <x v="1390"/>
    <s v="Welding Technology : Supplies &amp; Materials"/>
    <n v="33170"/>
  </r>
  <r>
    <x v="1"/>
    <s v="11-350-01-095650-55630"/>
    <x v="0"/>
    <n v="350"/>
    <n v="1"/>
    <x v="91"/>
    <n v="55630"/>
    <x v="1"/>
    <s v="55"/>
    <s v="556"/>
    <x v="1391"/>
    <s v="Welding Technology : Printing &amp; Duplicating - Inhouse"/>
    <n v="600"/>
  </r>
  <r>
    <x v="1"/>
    <s v="11-350-01-095650-55651"/>
    <x v="0"/>
    <n v="350"/>
    <n v="1"/>
    <x v="91"/>
    <n v="55651"/>
    <x v="1"/>
    <s v="55"/>
    <s v="556"/>
    <x v="1392"/>
    <s v="Welding Technology : Equipment Repairs"/>
    <n v="2000"/>
  </r>
  <r>
    <x v="1"/>
    <s v="11-350-01-095650-56400"/>
    <x v="0"/>
    <n v="350"/>
    <n v="1"/>
    <x v="91"/>
    <n v="56400"/>
    <x v="1"/>
    <s v="56"/>
    <s v="564"/>
    <x v="1393"/>
    <s v="Welding Technology : Cap Equip - $200 to $4,999"/>
    <n v="600"/>
  </r>
  <r>
    <x v="1"/>
    <s v="11-350-01-601000-52300"/>
    <x v="0"/>
    <n v="350"/>
    <n v="1"/>
    <x v="34"/>
    <n v="52300"/>
    <x v="1"/>
    <s v="52"/>
    <s v="523"/>
    <x v="1396"/>
    <s v="Academic Administration : Classified Overtime"/>
    <n v="0"/>
  </r>
  <r>
    <x v="1"/>
    <s v="11-350-01-601000-52350"/>
    <x v="0"/>
    <n v="350"/>
    <n v="1"/>
    <x v="34"/>
    <n v="52350"/>
    <x v="1"/>
    <s v="52"/>
    <s v="523"/>
    <x v="1397"/>
    <s v="Academic Administration : Classified Student Dist Non-IA PT"/>
    <n v="6151"/>
  </r>
  <r>
    <x v="1"/>
    <s v="11-350-01-601000-54300"/>
    <x v="0"/>
    <n v="350"/>
    <n v="1"/>
    <x v="34"/>
    <n v="54300"/>
    <x v="1"/>
    <s v="54"/>
    <s v="543"/>
    <x v="1406"/>
    <s v="Academic Administration : Supplies &amp; Materials"/>
    <n v="3300"/>
  </r>
  <r>
    <x v="1"/>
    <s v="11-350-01-601000-54349"/>
    <x v="0"/>
    <n v="350"/>
    <n v="1"/>
    <x v="34"/>
    <n v="54349"/>
    <x v="1"/>
    <s v="54"/>
    <s v="543"/>
    <x v="1407"/>
    <s v="Academic Administration : M&amp;O Fuel and Oil Expense"/>
    <n v="1000"/>
  </r>
  <r>
    <x v="1"/>
    <s v="11-350-01-601000-55125"/>
    <x v="0"/>
    <n v="350"/>
    <n v="1"/>
    <x v="34"/>
    <n v="55125"/>
    <x v="1"/>
    <s v="55"/>
    <s v="551"/>
    <x v="1408"/>
    <s v="Academic Administration : Training &amp; Seminars"/>
    <n v="1000"/>
  </r>
  <r>
    <x v="1"/>
    <s v="11-350-01-601000-55200"/>
    <x v="0"/>
    <n v="350"/>
    <n v="1"/>
    <x v="34"/>
    <n v="55200"/>
    <x v="1"/>
    <s v="55"/>
    <s v="552"/>
    <x v="1409"/>
    <s v="Academic Administration : Travel &amp; Conference"/>
    <n v="2400"/>
  </r>
  <r>
    <x v="1"/>
    <s v="11-350-01-601000-55300"/>
    <x v="0"/>
    <n v="350"/>
    <n v="1"/>
    <x v="34"/>
    <n v="55300"/>
    <x v="1"/>
    <s v="55"/>
    <s v="553"/>
    <x v="1410"/>
    <s v="Academic Administration : Memberships"/>
    <n v="3210"/>
  </r>
  <r>
    <x v="1"/>
    <s v="11-350-01-601000-55309"/>
    <x v="0"/>
    <n v="350"/>
    <n v="1"/>
    <x v="34"/>
    <n v="55309"/>
    <x v="1"/>
    <s v="55"/>
    <s v="553"/>
    <x v="1411"/>
    <s v="Academic Administration : Subscriptions"/>
    <n v="107"/>
  </r>
  <r>
    <x v="1"/>
    <s v="11-350-01-601000-55600"/>
    <x v="0"/>
    <n v="350"/>
    <n v="1"/>
    <x v="34"/>
    <n v="55600"/>
    <x v="1"/>
    <s v="55"/>
    <s v="556"/>
    <x v="1412"/>
    <s v="Academic Administration : Rents &amp; Leases"/>
    <n v="0"/>
  </r>
  <r>
    <x v="1"/>
    <s v="11-350-01-601000-55630"/>
    <x v="0"/>
    <n v="350"/>
    <n v="1"/>
    <x v="34"/>
    <n v="55630"/>
    <x v="1"/>
    <s v="55"/>
    <s v="556"/>
    <x v="1413"/>
    <s v="Academic Administration : Printing &amp; Duplicating - Inhouse"/>
    <n v="800"/>
  </r>
  <r>
    <x v="1"/>
    <s v="11-350-01-601000-55635"/>
    <x v="0"/>
    <n v="350"/>
    <n v="1"/>
    <x v="34"/>
    <n v="55635"/>
    <x v="1"/>
    <s v="55"/>
    <s v="556"/>
    <x v="1414"/>
    <s v="Academic Administration : Printing Services - Vendor"/>
    <n v="214"/>
  </r>
  <r>
    <x v="1"/>
    <s v="11-350-01-601000-55650"/>
    <x v="0"/>
    <n v="350"/>
    <n v="1"/>
    <x v="34"/>
    <n v="55650"/>
    <x v="1"/>
    <s v="55"/>
    <s v="556"/>
    <x v="1415"/>
    <s v="Academic Administration : Maintenance Agreement"/>
    <n v="15083.93"/>
  </r>
  <r>
    <x v="1"/>
    <s v="11-350-01-601000-55800"/>
    <x v="0"/>
    <n v="350"/>
    <n v="1"/>
    <x v="34"/>
    <n v="55800"/>
    <x v="1"/>
    <s v="55"/>
    <s v="558"/>
    <x v="1416"/>
    <s v="Academic Administration : Other Costs"/>
    <n v="1000"/>
  </r>
  <r>
    <x v="1"/>
    <s v="11-350-01-601000-55830"/>
    <x v="0"/>
    <n v="350"/>
    <n v="1"/>
    <x v="34"/>
    <n v="55830"/>
    <x v="1"/>
    <s v="55"/>
    <s v="558"/>
    <x v="1417"/>
    <s v="Academic Administration : Advertising Expense"/>
    <n v="2500"/>
  </r>
  <r>
    <x v="1"/>
    <s v="11-350-01-601000-56300"/>
    <x v="0"/>
    <n v="350"/>
    <n v="1"/>
    <x v="34"/>
    <n v="56300"/>
    <x v="1"/>
    <s v="56"/>
    <s v="563"/>
    <x v="1418"/>
    <s v="Academic Administration : Capital Books &amp; Software"/>
    <n v="2660"/>
  </r>
  <r>
    <x v="1"/>
    <s v="11-360-00-160100-51310"/>
    <x v="0"/>
    <n v="360"/>
    <n v="0"/>
    <x v="92"/>
    <n v="51310"/>
    <x v="1"/>
    <s v="51"/>
    <s v="513"/>
    <x v="1420"/>
    <s v="Library Science : Academic Teaching NIC"/>
    <n v="7000"/>
  </r>
  <r>
    <x v="1"/>
    <s v="11-360-00-160100-51311"/>
    <x v="0"/>
    <n v="360"/>
    <n v="0"/>
    <x v="92"/>
    <n v="51311"/>
    <x v="1"/>
    <s v="51"/>
    <s v="513"/>
    <x v="1421"/>
    <s v="Library Science : Academic Teaching PT"/>
    <n v="14000"/>
  </r>
  <r>
    <x v="1"/>
    <s v="11-360-00-160100-54300"/>
    <x v="0"/>
    <n v="360"/>
    <n v="0"/>
    <x v="92"/>
    <n v="54300"/>
    <x v="1"/>
    <s v="54"/>
    <s v="543"/>
    <x v="1429"/>
    <s v="Library Science : Supplies &amp; Materials"/>
    <n v="505"/>
  </r>
  <r>
    <x v="1"/>
    <s v="11-360-00-160100-55200"/>
    <x v="0"/>
    <n v="360"/>
    <n v="0"/>
    <x v="92"/>
    <n v="55200"/>
    <x v="1"/>
    <s v="55"/>
    <s v="552"/>
    <x v="1430"/>
    <s v="Library Science : Travel &amp; Conference"/>
    <n v="500"/>
  </r>
  <r>
    <x v="1"/>
    <s v="11-360-00-160100-55630"/>
    <x v="0"/>
    <n v="360"/>
    <n v="0"/>
    <x v="92"/>
    <n v="55630"/>
    <x v="1"/>
    <s v="55"/>
    <s v="556"/>
    <x v="1431"/>
    <s v="Library Science : Printing &amp; Duplicating - Inhouse"/>
    <n v="510"/>
  </r>
  <r>
    <x v="1"/>
    <s v="11-360-00-490110-54300"/>
    <x v="0"/>
    <n v="360"/>
    <n v="0"/>
    <x v="93"/>
    <n v="54300"/>
    <x v="1"/>
    <s v="54"/>
    <s v="543"/>
    <x v="1432"/>
    <s v="Interdisciplinary Studies : Supplies &amp; Materials"/>
    <n v="705"/>
  </r>
  <r>
    <x v="1"/>
    <s v="11-360-00-490110-55200"/>
    <x v="0"/>
    <n v="360"/>
    <n v="0"/>
    <x v="93"/>
    <n v="55200"/>
    <x v="1"/>
    <s v="55"/>
    <s v="552"/>
    <x v="1433"/>
    <s v="Interdisciplinary Studies : Travel &amp; Conference"/>
    <n v="250"/>
  </r>
  <r>
    <x v="1"/>
    <s v="11-360-00-490110-56300"/>
    <x v="0"/>
    <n v="360"/>
    <n v="0"/>
    <x v="93"/>
    <n v="56300"/>
    <x v="1"/>
    <s v="56"/>
    <s v="563"/>
    <x v="1434"/>
    <s v="Interdisciplinary Studies : Capital Books &amp; Software"/>
    <n v="500"/>
  </r>
  <r>
    <x v="1"/>
    <s v="11-360-00-601000-52300"/>
    <x v="0"/>
    <n v="360"/>
    <n v="0"/>
    <x v="34"/>
    <n v="52300"/>
    <x v="1"/>
    <s v="52"/>
    <s v="523"/>
    <x v="1437"/>
    <s v="Academic Administration : Classified Overtime"/>
    <n v="1000"/>
  </r>
  <r>
    <x v="1"/>
    <s v="11-360-00-601000-52360"/>
    <x v="0"/>
    <n v="360"/>
    <n v="0"/>
    <x v="34"/>
    <n v="52360"/>
    <x v="1"/>
    <s v="52"/>
    <s v="523"/>
    <x v="1438"/>
    <s v="Academic Administration : Class Nonstu NonIA PT Prof Exp"/>
    <n v="1000"/>
  </r>
  <r>
    <x v="1"/>
    <s v="11-360-00-601000-54300"/>
    <x v="0"/>
    <n v="360"/>
    <n v="0"/>
    <x v="34"/>
    <n v="54300"/>
    <x v="1"/>
    <s v="54"/>
    <s v="543"/>
    <x v="1447"/>
    <s v="Academic Administration : Supplies &amp; Materials"/>
    <n v="500"/>
  </r>
  <r>
    <x v="1"/>
    <s v="11-360-00-601000-55630"/>
    <x v="0"/>
    <n v="360"/>
    <n v="0"/>
    <x v="34"/>
    <n v="55630"/>
    <x v="1"/>
    <s v="55"/>
    <s v="556"/>
    <x v="1448"/>
    <s v="Academic Administration : Printing &amp; Duplicating - Inhouse"/>
    <n v="1500"/>
  </r>
  <r>
    <x v="1"/>
    <s v="11-360-00-612000-51411"/>
    <x v="0"/>
    <n v="360"/>
    <n v="0"/>
    <x v="35"/>
    <n v="51411"/>
    <x v="1"/>
    <s v="51"/>
    <s v="514"/>
    <x v="1450"/>
    <s v="Library Services : Academic Nonteaching PT"/>
    <n v="164000"/>
  </r>
  <r>
    <x v="1"/>
    <s v="11-360-00-612000-51412"/>
    <x v="0"/>
    <n v="360"/>
    <n v="0"/>
    <x v="35"/>
    <n v="51412"/>
    <x v="1"/>
    <s v="51"/>
    <s v="514"/>
    <x v="1451"/>
    <s v="Library Services : Acad Nonteach Special Projects"/>
    <n v="12000"/>
  </r>
  <r>
    <x v="1"/>
    <s v="11-360-00-612000-52300"/>
    <x v="0"/>
    <n v="360"/>
    <n v="0"/>
    <x v="35"/>
    <n v="52300"/>
    <x v="1"/>
    <s v="52"/>
    <s v="523"/>
    <x v="1453"/>
    <s v="Library Services : Classified Overtime"/>
    <n v="1800"/>
  </r>
  <r>
    <x v="1"/>
    <s v="11-360-00-612000-52350"/>
    <x v="0"/>
    <n v="360"/>
    <n v="0"/>
    <x v="35"/>
    <n v="52350"/>
    <x v="1"/>
    <s v="52"/>
    <s v="523"/>
    <x v="1454"/>
    <s v="Library Services : Classified Student Dist Non-IA PT"/>
    <n v="9000"/>
  </r>
  <r>
    <x v="1"/>
    <s v="11-360-00-612000-54300"/>
    <x v="0"/>
    <n v="360"/>
    <n v="0"/>
    <x v="35"/>
    <n v="54300"/>
    <x v="1"/>
    <s v="54"/>
    <s v="543"/>
    <x v="1462"/>
    <s v="Library Services : Supplies &amp; Materials"/>
    <n v="4551"/>
  </r>
  <r>
    <x v="1"/>
    <s v="11-360-00-612000-55200"/>
    <x v="0"/>
    <n v="360"/>
    <n v="0"/>
    <x v="35"/>
    <n v="55200"/>
    <x v="1"/>
    <s v="55"/>
    <s v="552"/>
    <x v="1463"/>
    <s v="Library Services : Travel &amp; Conference"/>
    <n v="3100"/>
  </r>
  <r>
    <x v="1"/>
    <s v="11-360-00-612000-55300"/>
    <x v="0"/>
    <n v="360"/>
    <n v="0"/>
    <x v="35"/>
    <n v="55300"/>
    <x v="1"/>
    <s v="55"/>
    <s v="553"/>
    <x v="1464"/>
    <s v="Library Services : Memberships"/>
    <n v="3000"/>
  </r>
  <r>
    <x v="1"/>
    <s v="11-360-00-612000-55630"/>
    <x v="0"/>
    <n v="360"/>
    <n v="0"/>
    <x v="35"/>
    <n v="55630"/>
    <x v="1"/>
    <s v="55"/>
    <s v="556"/>
    <x v="1465"/>
    <s v="Library Services : Printing &amp; Duplicating - Inhouse"/>
    <n v="1442"/>
  </r>
  <r>
    <x v="1"/>
    <s v="11-360-00-612000-55650"/>
    <x v="0"/>
    <n v="360"/>
    <n v="0"/>
    <x v="35"/>
    <n v="55650"/>
    <x v="1"/>
    <s v="55"/>
    <s v="556"/>
    <x v="1466"/>
    <s v="Library Services : Maintenance Agreement"/>
    <n v="5000"/>
  </r>
  <r>
    <x v="1"/>
    <s v="11-360-00-612000-56300"/>
    <x v="0"/>
    <n v="360"/>
    <n v="0"/>
    <x v="35"/>
    <n v="56300"/>
    <x v="1"/>
    <s v="56"/>
    <s v="563"/>
    <x v="1467"/>
    <s v="Library Services : Capital Books &amp; Software"/>
    <n v="30000"/>
  </r>
  <r>
    <x v="1"/>
    <s v="11-360-00-612000-56310"/>
    <x v="0"/>
    <n v="360"/>
    <n v="0"/>
    <x v="35"/>
    <n v="56310"/>
    <x v="1"/>
    <s v="56"/>
    <s v="563"/>
    <x v="1468"/>
    <s v="Library Services : Periodicals &amp; Newspapers"/>
    <n v="20871"/>
  </r>
  <r>
    <x v="1"/>
    <s v="11-360-00-612000-56340"/>
    <x v="0"/>
    <n v="360"/>
    <n v="0"/>
    <x v="35"/>
    <n v="56340"/>
    <x v="1"/>
    <s v="56"/>
    <s v="563"/>
    <x v="1469"/>
    <s v="Library Services : Bibliographic Utilities"/>
    <n v="7717"/>
  </r>
  <r>
    <x v="1"/>
    <s v="11-360-00-612000-56341"/>
    <x v="0"/>
    <n v="360"/>
    <n v="0"/>
    <x v="35"/>
    <n v="56341"/>
    <x v="1"/>
    <s v="56"/>
    <s v="563"/>
    <x v="1470"/>
    <s v="Library Services : On-line Database Services"/>
    <n v="1150"/>
  </r>
  <r>
    <x v="1"/>
    <s v="11-360-00-613000-52300"/>
    <x v="0"/>
    <n v="360"/>
    <n v="0"/>
    <x v="94"/>
    <n v="52300"/>
    <x v="1"/>
    <s v="52"/>
    <s v="523"/>
    <x v="1472"/>
    <s v="Instructional Media : Classified Overtime"/>
    <n v="700"/>
  </r>
  <r>
    <x v="1"/>
    <s v="11-360-00-613000-54300"/>
    <x v="0"/>
    <n v="360"/>
    <n v="0"/>
    <x v="94"/>
    <n v="54300"/>
    <x v="1"/>
    <s v="54"/>
    <s v="543"/>
    <x v="1479"/>
    <s v="Instructional Media : Supplies &amp; Materials"/>
    <n v="4615"/>
  </r>
  <r>
    <x v="1"/>
    <s v="11-360-00-613000-55630"/>
    <x v="0"/>
    <n v="360"/>
    <n v="0"/>
    <x v="94"/>
    <n v="55630"/>
    <x v="1"/>
    <s v="55"/>
    <s v="556"/>
    <x v="1480"/>
    <s v="Instructional Media : Printing &amp; Duplicating - Inhouse"/>
    <n v="500"/>
  </r>
  <r>
    <x v="1"/>
    <s v="11-360-00-613000-56300"/>
    <x v="0"/>
    <n v="360"/>
    <n v="0"/>
    <x v="94"/>
    <n v="56300"/>
    <x v="1"/>
    <s v="56"/>
    <s v="563"/>
    <x v="1481"/>
    <s v="Instructional Media : Capital Books &amp; Software"/>
    <n v="600"/>
  </r>
  <r>
    <x v="1"/>
    <s v="11-360-00-613000-56400"/>
    <x v="0"/>
    <n v="360"/>
    <n v="0"/>
    <x v="94"/>
    <n v="56400"/>
    <x v="1"/>
    <s v="56"/>
    <s v="564"/>
    <x v="1482"/>
    <s v="Instructional Media : Cap Equip - $200 to $4,999"/>
    <n v="500"/>
  </r>
  <r>
    <x v="1"/>
    <s v="11-365-00-493034-51311"/>
    <x v="0"/>
    <n v="365"/>
    <n v="0"/>
    <x v="95"/>
    <n v="51311"/>
    <x v="1"/>
    <s v="51"/>
    <s v="513"/>
    <x v="1483"/>
    <s v="Learning Skills Center : Academic Teaching PT"/>
    <n v="3000"/>
  </r>
  <r>
    <x v="1"/>
    <s v="11-365-00-493034-52350"/>
    <x v="0"/>
    <n v="365"/>
    <n v="0"/>
    <x v="95"/>
    <n v="52350"/>
    <x v="1"/>
    <s v="52"/>
    <s v="523"/>
    <x v="1484"/>
    <s v="Learning Skills Center : Classified Student Dist Non-IA PT"/>
    <n v="23000"/>
  </r>
  <r>
    <x v="1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1"/>
    <s v="11-365-00-493034-55630"/>
    <x v="0"/>
    <n v="365"/>
    <n v="0"/>
    <x v="95"/>
    <n v="55630"/>
    <x v="1"/>
    <s v="55"/>
    <s v="556"/>
    <x v="1492"/>
    <s v="Learning Skills Center : Printing &amp; Duplicating - Inhouse"/>
    <n v="1500"/>
  </r>
  <r>
    <x v="1"/>
    <s v="11-365-00-493035-52350"/>
    <x v="0"/>
    <n v="365"/>
    <n v="0"/>
    <x v="96"/>
    <n v="52350"/>
    <x v="1"/>
    <s v="52"/>
    <s v="523"/>
    <x v="1494"/>
    <s v="Tutorial Center : Classified Student Dist Non-IA PT"/>
    <n v="3800"/>
  </r>
  <r>
    <x v="1"/>
    <s v="11-365-00-493035-52360"/>
    <x v="0"/>
    <n v="365"/>
    <n v="0"/>
    <x v="96"/>
    <n v="52360"/>
    <x v="1"/>
    <s v="52"/>
    <s v="523"/>
    <x v="1495"/>
    <s v="Tutorial Center : Class Nonstu NonIA PT Prof Exp"/>
    <n v="1000"/>
  </r>
  <r>
    <x v="1"/>
    <s v="11-365-00-493035-54300"/>
    <x v="0"/>
    <n v="365"/>
    <n v="0"/>
    <x v="96"/>
    <n v="54300"/>
    <x v="1"/>
    <s v="54"/>
    <s v="543"/>
    <x v="1502"/>
    <s v="Tutorial Center : Supplies &amp; Materials"/>
    <n v="2575"/>
  </r>
  <r>
    <x v="1"/>
    <s v="11-365-00-493035-55300"/>
    <x v="0"/>
    <n v="365"/>
    <n v="0"/>
    <x v="96"/>
    <n v="55300"/>
    <x v="1"/>
    <s v="55"/>
    <s v="553"/>
    <x v="1503"/>
    <s v="Tutorial Center : Memberships"/>
    <n v="75"/>
  </r>
  <r>
    <x v="1"/>
    <s v="11-375-00-085000-51311"/>
    <x v="0"/>
    <n v="375"/>
    <n v="0"/>
    <x v="98"/>
    <n v="51311"/>
    <x v="1"/>
    <s v="51"/>
    <s v="513"/>
    <x v="1543"/>
    <s v="American Sign Language : Academic Teaching PT"/>
    <n v="54527"/>
  </r>
  <r>
    <x v="1"/>
    <s v="11-375-00-085000-51412"/>
    <x v="0"/>
    <n v="375"/>
    <n v="0"/>
    <x v="98"/>
    <n v="51412"/>
    <x v="1"/>
    <s v="51"/>
    <s v="514"/>
    <x v="1544"/>
    <s v="American Sign Language : Acad Nonteach Special Projects"/>
    <n v="1200"/>
  </r>
  <r>
    <x v="1"/>
    <s v="11-375-00-085000-55105"/>
    <x v="0"/>
    <n v="375"/>
    <n v="0"/>
    <x v="98"/>
    <n v="55105"/>
    <x v="1"/>
    <s v="55"/>
    <s v="551"/>
    <x v="1553"/>
    <s v="American Sign Language : Contract Services"/>
    <n v="2000"/>
  </r>
  <r>
    <x v="1"/>
    <s v="11-375-00-110500-51310"/>
    <x v="0"/>
    <n v="375"/>
    <n v="0"/>
    <x v="17"/>
    <n v="51310"/>
    <x v="1"/>
    <s v="51"/>
    <s v="513"/>
    <x v="1555"/>
    <s v="Spanish : Academic Teaching NIC"/>
    <n v="6060"/>
  </r>
  <r>
    <x v="1"/>
    <s v="11-375-00-110500-51311"/>
    <x v="0"/>
    <n v="375"/>
    <n v="0"/>
    <x v="17"/>
    <n v="51311"/>
    <x v="1"/>
    <s v="51"/>
    <s v="513"/>
    <x v="1556"/>
    <s v="Spanish : Academic Teaching PT"/>
    <n v="144341.12"/>
  </r>
  <r>
    <x v="1"/>
    <s v="11-375-00-110500-54300"/>
    <x v="0"/>
    <n v="375"/>
    <n v="0"/>
    <x v="17"/>
    <n v="54300"/>
    <x v="1"/>
    <s v="54"/>
    <s v="543"/>
    <x v="1563"/>
    <s v="Spanish : Supplies &amp; Materials"/>
    <n v="303"/>
  </r>
  <r>
    <x v="1"/>
    <s v="11-375-00-110500-55630"/>
    <x v="0"/>
    <n v="375"/>
    <n v="0"/>
    <x v="17"/>
    <n v="55630"/>
    <x v="1"/>
    <s v="55"/>
    <s v="556"/>
    <x v="1564"/>
    <s v="Spanish : Printing &amp; Duplicating - Inhouse"/>
    <n v="3000"/>
  </r>
  <r>
    <x v="1"/>
    <s v="11-375-00-150100-51310"/>
    <x v="0"/>
    <n v="375"/>
    <n v="0"/>
    <x v="19"/>
    <n v="51310"/>
    <x v="1"/>
    <s v="51"/>
    <s v="513"/>
    <x v="1566"/>
    <s v="English : Academic Teaching NIC"/>
    <n v="71710"/>
  </r>
  <r>
    <x v="1"/>
    <s v="11-375-00-150100-51311"/>
    <x v="0"/>
    <n v="375"/>
    <n v="0"/>
    <x v="19"/>
    <n v="51311"/>
    <x v="1"/>
    <s v="51"/>
    <s v="513"/>
    <x v="1567"/>
    <s v="English : Academic Teaching PT"/>
    <n v="375360"/>
  </r>
  <r>
    <x v="1"/>
    <s v="11-375-00-150100-54300"/>
    <x v="0"/>
    <n v="375"/>
    <n v="0"/>
    <x v="19"/>
    <n v="54300"/>
    <x v="1"/>
    <s v="54"/>
    <s v="543"/>
    <x v="1575"/>
    <s v="English : Supplies &amp; Materials"/>
    <n v="910"/>
  </r>
  <r>
    <x v="1"/>
    <s v="11-375-00-150100-55300"/>
    <x v="0"/>
    <n v="375"/>
    <n v="0"/>
    <x v="19"/>
    <n v="55300"/>
    <x v="1"/>
    <s v="55"/>
    <s v="553"/>
    <x v="1576"/>
    <s v="English : Memberships"/>
    <n v="100"/>
  </r>
  <r>
    <x v="1"/>
    <s v="11-375-00-150100-55630"/>
    <x v="0"/>
    <n v="375"/>
    <n v="0"/>
    <x v="19"/>
    <n v="55630"/>
    <x v="1"/>
    <s v="55"/>
    <s v="556"/>
    <x v="1577"/>
    <s v="English : Printing &amp; Duplicating - Inhouse"/>
    <n v="11000"/>
  </r>
  <r>
    <x v="1"/>
    <s v="11-375-00-150600-51310"/>
    <x v="0"/>
    <n v="375"/>
    <n v="0"/>
    <x v="20"/>
    <n v="51310"/>
    <x v="1"/>
    <s v="51"/>
    <s v="513"/>
    <x v="1579"/>
    <s v="Speech : Academic Teaching NIC"/>
    <n v="35350"/>
  </r>
  <r>
    <x v="1"/>
    <s v="11-375-00-150600-51311"/>
    <x v="0"/>
    <n v="375"/>
    <n v="0"/>
    <x v="20"/>
    <n v="51311"/>
    <x v="1"/>
    <s v="51"/>
    <s v="513"/>
    <x v="1580"/>
    <s v="Speech : Academic Teaching PT"/>
    <n v="140330"/>
  </r>
  <r>
    <x v="1"/>
    <s v="11-375-00-150600-54300"/>
    <x v="0"/>
    <n v="375"/>
    <n v="0"/>
    <x v="20"/>
    <n v="54300"/>
    <x v="1"/>
    <s v="54"/>
    <s v="543"/>
    <x v="1587"/>
    <s v="Speech : Supplies &amp; Materials"/>
    <n v="303"/>
  </r>
  <r>
    <x v="1"/>
    <s v="11-375-00-150600-55200"/>
    <x v="0"/>
    <n v="375"/>
    <n v="0"/>
    <x v="20"/>
    <n v="55200"/>
    <x v="1"/>
    <s v="55"/>
    <s v="552"/>
    <x v="1588"/>
    <s v="Speech : Travel &amp; Conference"/>
    <n v="3000"/>
  </r>
  <r>
    <x v="1"/>
    <s v="11-375-00-150600-55630"/>
    <x v="0"/>
    <n v="375"/>
    <n v="0"/>
    <x v="20"/>
    <n v="55630"/>
    <x v="1"/>
    <s v="55"/>
    <s v="556"/>
    <x v="1589"/>
    <s v="Speech : Printing &amp; Duplicating - Inhouse"/>
    <n v="1600"/>
  </r>
  <r>
    <x v="1"/>
    <s v="11-375-00-493080-51310"/>
    <x v="0"/>
    <n v="375"/>
    <n v="0"/>
    <x v="33"/>
    <n v="51310"/>
    <x v="1"/>
    <s v="51"/>
    <s v="513"/>
    <x v="1591"/>
    <s v="ESL : Academic Teaching NIC"/>
    <n v="7676"/>
  </r>
  <r>
    <x v="1"/>
    <s v="11-375-00-493080-51311"/>
    <x v="0"/>
    <n v="375"/>
    <n v="0"/>
    <x v="33"/>
    <n v="51311"/>
    <x v="1"/>
    <s v="51"/>
    <s v="513"/>
    <x v="1592"/>
    <s v="ESL : Academic Teaching PT"/>
    <n v="176750"/>
  </r>
  <r>
    <x v="1"/>
    <s v="11-375-00-493080-54300"/>
    <x v="0"/>
    <n v="375"/>
    <n v="0"/>
    <x v="33"/>
    <n v="54300"/>
    <x v="1"/>
    <s v="54"/>
    <s v="543"/>
    <x v="1598"/>
    <s v="ESL : Supplies &amp; Materials"/>
    <n v="600"/>
  </r>
  <r>
    <x v="1"/>
    <s v="11-375-00-493080-55630"/>
    <x v="0"/>
    <n v="375"/>
    <n v="0"/>
    <x v="33"/>
    <n v="55630"/>
    <x v="1"/>
    <s v="55"/>
    <s v="556"/>
    <x v="1599"/>
    <s v="ESL : Printing &amp; Duplicating - Inhouse"/>
    <n v="2200"/>
  </r>
  <r>
    <x v="1"/>
    <s v="11-310-00-050000-51310"/>
    <x v="0"/>
    <n v="310"/>
    <n v="0"/>
    <x v="12"/>
    <n v="51310"/>
    <x v="1"/>
    <s v="51"/>
    <s v="513"/>
    <x v="612"/>
    <s v="Business Education : Academic Teaching NIC"/>
    <n v="12000"/>
  </r>
  <r>
    <x v="1"/>
    <s v="11-310-00-050000-51311"/>
    <x v="0"/>
    <n v="310"/>
    <n v="0"/>
    <x v="12"/>
    <n v="51311"/>
    <x v="1"/>
    <s v="51"/>
    <s v="513"/>
    <x v="613"/>
    <s v="Business Education : Academic Teaching PT"/>
    <n v="37000"/>
  </r>
  <r>
    <x v="1"/>
    <s v="11-370-00-708300-52360"/>
    <x v="0"/>
    <n v="370"/>
    <n v="0"/>
    <x v="97"/>
    <n v="52360"/>
    <x v="1"/>
    <s v="52"/>
    <s v="523"/>
    <x v="1507"/>
    <s v="Dept of Social &amp; Employ Svs : Class Nonstu NonIA PT Prof Exp"/>
    <n v="24000"/>
  </r>
  <r>
    <x v="1"/>
    <s v="11-370-00-708300-54300"/>
    <x v="0"/>
    <n v="370"/>
    <n v="0"/>
    <x v="97"/>
    <n v="54300"/>
    <x v="1"/>
    <s v="54"/>
    <s v="543"/>
    <x v="1515"/>
    <s v="Dept of Social &amp; Employ Svs : Supplies &amp; Materials"/>
    <n v="5295.4299999999994"/>
  </r>
  <r>
    <x v="1"/>
    <s v="11-370-00-708300-55100"/>
    <x v="0"/>
    <n v="370"/>
    <n v="0"/>
    <x v="97"/>
    <n v="55100"/>
    <x v="1"/>
    <s v="55"/>
    <s v="551"/>
    <x v="1516"/>
    <s v="Dept of Social &amp; Employ Svs : Personal Service Contract - 1099"/>
    <n v="2500"/>
  </r>
  <r>
    <x v="1"/>
    <s v="11-370-00-708300-55105"/>
    <x v="0"/>
    <n v="370"/>
    <n v="0"/>
    <x v="97"/>
    <n v="55105"/>
    <x v="1"/>
    <s v="55"/>
    <s v="551"/>
    <x v="1517"/>
    <s v="Dept of Social &amp; Employ Svs : Contract Services"/>
    <n v="58658"/>
  </r>
  <r>
    <x v="1"/>
    <s v="11-370-00-708300-55200"/>
    <x v="0"/>
    <n v="370"/>
    <n v="0"/>
    <x v="97"/>
    <n v="55200"/>
    <x v="1"/>
    <s v="55"/>
    <s v="552"/>
    <x v="1518"/>
    <s v="Dept of Social &amp; Employ Svs : Travel &amp; Conference"/>
    <n v="1800"/>
  </r>
  <r>
    <x v="1"/>
    <s v="11-370-00-708300-55600"/>
    <x v="0"/>
    <n v="370"/>
    <n v="0"/>
    <x v="97"/>
    <n v="55600"/>
    <x v="1"/>
    <s v="55"/>
    <s v="556"/>
    <x v="1519"/>
    <s v="Dept of Social &amp; Employ Svs : Rents &amp; Leases"/>
    <n v="3000"/>
  </r>
  <r>
    <x v="1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000"/>
  </r>
  <r>
    <x v="1"/>
    <s v="11-370-00-708300-55635"/>
    <x v="0"/>
    <n v="370"/>
    <n v="0"/>
    <x v="97"/>
    <n v="55635"/>
    <x v="1"/>
    <s v="55"/>
    <s v="556"/>
    <x v="1521"/>
    <s v="Dept of Social &amp; Employ Svs : Printing Services - Vendor"/>
    <n v="3000"/>
  </r>
  <r>
    <x v="1"/>
    <s v="11-370-00-708300-57350"/>
    <x v="0"/>
    <n v="370"/>
    <n v="0"/>
    <x v="97"/>
    <n v="57350"/>
    <x v="1"/>
    <s v="57"/>
    <s v="573"/>
    <x v="1523"/>
    <s v="Dept of Social &amp; Employ Svs : Tsf Indirect Costs-Interfund"/>
    <n v="43132"/>
  </r>
  <r>
    <x v="1"/>
    <s v="11-372-00-601000-51412"/>
    <x v="0"/>
    <n v="372"/>
    <n v="0"/>
    <x v="34"/>
    <n v="51412"/>
    <x v="1"/>
    <s v="51"/>
    <s v="514"/>
    <x v="1524"/>
    <s v="Academic Administration : Acad Nonteach Special Projects"/>
    <n v="7663"/>
  </r>
  <r>
    <x v="1"/>
    <s v="11-372-00-601000-54300"/>
    <x v="0"/>
    <n v="372"/>
    <n v="0"/>
    <x v="34"/>
    <n v="54300"/>
    <x v="1"/>
    <s v="54"/>
    <s v="543"/>
    <x v="1529"/>
    <s v="Academic Administration : Supplies &amp; Materials"/>
    <n v="15650"/>
  </r>
  <r>
    <x v="1"/>
    <s v="11-372-00-601000-55200"/>
    <x v="0"/>
    <n v="372"/>
    <n v="0"/>
    <x v="34"/>
    <n v="55200"/>
    <x v="1"/>
    <s v="55"/>
    <s v="552"/>
    <x v="1530"/>
    <s v="Academic Administration : Travel &amp; Conference"/>
    <n v="6500"/>
  </r>
  <r>
    <x v="1"/>
    <s v="11-372-00-601000-55821"/>
    <x v="0"/>
    <n v="372"/>
    <n v="0"/>
    <x v="34"/>
    <n v="55821"/>
    <x v="1"/>
    <s v="55"/>
    <s v="558"/>
    <x v="1531"/>
    <s v="Academic Administration : Commercial Parcel Service"/>
    <n v="1000"/>
  </r>
  <r>
    <x v="1"/>
    <s v="11-372-00-601000-56400"/>
    <x v="0"/>
    <n v="372"/>
    <n v="0"/>
    <x v="34"/>
    <n v="56400"/>
    <x v="1"/>
    <s v="56"/>
    <s v="564"/>
    <x v="1532"/>
    <s v="Academic Administration : Cap Equip - $200 to $4,999"/>
    <n v="350"/>
  </r>
  <r>
    <x v="1"/>
    <s v="11-395-00-635050-51412"/>
    <x v="0"/>
    <n v="395"/>
    <n v="0"/>
    <x v="99"/>
    <n v="51412"/>
    <x v="1"/>
    <s v="51"/>
    <s v="514"/>
    <x v="1600"/>
    <s v="ACE Program : Acad Nonteach Special Projects"/>
    <n v="2000"/>
  </r>
  <r>
    <x v="1"/>
    <s v="11-395-00-635050-52350"/>
    <x v="0"/>
    <n v="395"/>
    <n v="0"/>
    <x v="99"/>
    <n v="52350"/>
    <x v="1"/>
    <s v="52"/>
    <s v="523"/>
    <x v="1602"/>
    <s v="ACE Program : Classified Student Dist Non-IA PT"/>
    <n v="14000"/>
  </r>
  <r>
    <x v="1"/>
    <s v="11-395-00-635050-54300"/>
    <x v="0"/>
    <n v="395"/>
    <n v="0"/>
    <x v="99"/>
    <n v="54300"/>
    <x v="1"/>
    <s v="54"/>
    <s v="543"/>
    <x v="1612"/>
    <s v="ACE Program : Supplies &amp; Materials"/>
    <n v="3000"/>
  </r>
  <r>
    <x v="1"/>
    <s v="11-395-00-635050-55105"/>
    <x v="0"/>
    <n v="395"/>
    <n v="0"/>
    <x v="99"/>
    <n v="55105"/>
    <x v="1"/>
    <s v="55"/>
    <s v="551"/>
    <x v="1613"/>
    <s v="ACE Program : Contract Services"/>
    <n v="450"/>
  </r>
  <r>
    <x v="1"/>
    <s v="11-395-00-635050-55125"/>
    <x v="0"/>
    <n v="395"/>
    <n v="0"/>
    <x v="99"/>
    <n v="55125"/>
    <x v="1"/>
    <s v="55"/>
    <s v="551"/>
    <x v="1614"/>
    <s v="ACE Program : Training &amp; Seminars"/>
    <n v="350"/>
  </r>
  <r>
    <x v="1"/>
    <s v="11-395-00-635050-55200"/>
    <x v="0"/>
    <n v="395"/>
    <n v="0"/>
    <x v="99"/>
    <n v="55200"/>
    <x v="1"/>
    <s v="55"/>
    <s v="552"/>
    <x v="1615"/>
    <s v="ACE Program : Travel &amp; Conference"/>
    <n v="1600"/>
  </r>
  <r>
    <x v="1"/>
    <s v="11-395-00-635050-55630"/>
    <x v="0"/>
    <n v="395"/>
    <n v="0"/>
    <x v="99"/>
    <n v="55630"/>
    <x v="1"/>
    <s v="55"/>
    <s v="556"/>
    <x v="1616"/>
    <s v="ACE Program : Printing &amp; Duplicating - Inhouse"/>
    <n v="495"/>
  </r>
  <r>
    <x v="1"/>
    <s v="11-395-00-635050-55650"/>
    <x v="0"/>
    <n v="395"/>
    <n v="0"/>
    <x v="99"/>
    <n v="55650"/>
    <x v="1"/>
    <s v="55"/>
    <s v="556"/>
    <x v="1617"/>
    <s v="ACE Program : Maintenance Agreement"/>
    <n v="160"/>
  </r>
  <r>
    <x v="1"/>
    <s v="11-395-00-635050-56400"/>
    <x v="0"/>
    <n v="395"/>
    <n v="0"/>
    <x v="99"/>
    <n v="56400"/>
    <x v="1"/>
    <s v="56"/>
    <s v="564"/>
    <x v="1618"/>
    <s v="ACE Program : Cap Equip - $200 to $4,999"/>
    <n v="2224"/>
  </r>
  <r>
    <x v="1"/>
    <s v="11-395-00-696000-55630"/>
    <x v="0"/>
    <n v="395"/>
    <n v="0"/>
    <x v="100"/>
    <n v="55630"/>
    <x v="1"/>
    <s v="55"/>
    <s v="556"/>
    <x v="1627"/>
    <s v="Student Activities : Printing &amp; Duplicating - Inhouse"/>
    <n v="600"/>
  </r>
  <r>
    <x v="1"/>
    <s v="11-400-00-493010-51310"/>
    <x v="0"/>
    <n v="400"/>
    <n v="0"/>
    <x v="32"/>
    <n v="51310"/>
    <x v="1"/>
    <s v="51"/>
    <s v="513"/>
    <x v="1630"/>
    <s v="Counseling Instruction : Academic Teaching NIC"/>
    <n v="2000"/>
  </r>
  <r>
    <x v="1"/>
    <s v="11-400-00-631000-51310"/>
    <x v="0"/>
    <n v="400"/>
    <n v="0"/>
    <x v="36"/>
    <n v="51310"/>
    <x v="1"/>
    <s v="51"/>
    <s v="513"/>
    <x v="1645"/>
    <s v="Counseling &amp; Guidance : Academic Teaching NIC"/>
    <n v="148000"/>
  </r>
  <r>
    <x v="1"/>
    <s v="11-400-00-631000-51311"/>
    <x v="0"/>
    <n v="400"/>
    <n v="0"/>
    <x v="36"/>
    <n v="51311"/>
    <x v="1"/>
    <s v="51"/>
    <s v="513"/>
    <x v="1646"/>
    <s v="Counseling &amp; Guidance : Academic Teaching PT"/>
    <n v="58317"/>
  </r>
  <r>
    <x v="1"/>
    <s v="11-400-00-631000-51410"/>
    <x v="0"/>
    <n v="400"/>
    <n v="0"/>
    <x v="36"/>
    <n v="51410"/>
    <x v="1"/>
    <s v="51"/>
    <s v="514"/>
    <x v="1647"/>
    <s v="Counseling &amp; Guidance : Academic Nonteaching NIC"/>
    <n v="140000"/>
  </r>
  <r>
    <x v="1"/>
    <s v="11-400-00-631000-51411"/>
    <x v="0"/>
    <n v="400"/>
    <n v="0"/>
    <x v="36"/>
    <n v="51411"/>
    <x v="1"/>
    <s v="51"/>
    <s v="514"/>
    <x v="1648"/>
    <s v="Counseling &amp; Guidance : Academic Nonteaching PT"/>
    <n v="110000"/>
  </r>
  <r>
    <x v="1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1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1"/>
    <s v="11-400-00-631000-54300"/>
    <x v="0"/>
    <n v="400"/>
    <n v="0"/>
    <x v="36"/>
    <n v="54300"/>
    <x v="1"/>
    <s v="54"/>
    <s v="543"/>
    <x v="1666"/>
    <s v="Counseling &amp; Guidance : Supplies &amp; Materials"/>
    <n v="40"/>
  </r>
  <r>
    <x v="1"/>
    <s v="11-400-00-631000-55630"/>
    <x v="0"/>
    <n v="400"/>
    <n v="0"/>
    <x v="36"/>
    <n v="55630"/>
    <x v="1"/>
    <s v="55"/>
    <s v="556"/>
    <x v="1667"/>
    <s v="Counseling &amp; Guidance : Printing &amp; Duplicating - Inhouse"/>
    <n v="20.65"/>
  </r>
  <r>
    <x v="1"/>
    <s v="11-400-00-633050-52310"/>
    <x v="0"/>
    <n v="400"/>
    <n v="0"/>
    <x v="103"/>
    <n v="52310"/>
    <x v="1"/>
    <s v="52"/>
    <s v="523"/>
    <x v="1677"/>
    <s v="Transfer Center : Classified Student FWS Non-IA"/>
    <n v="1000"/>
  </r>
  <r>
    <x v="1"/>
    <s v="11-400-00-634000-52300"/>
    <x v="0"/>
    <n v="400"/>
    <n v="0"/>
    <x v="104"/>
    <n v="52300"/>
    <x v="1"/>
    <s v="52"/>
    <s v="523"/>
    <x v="1681"/>
    <s v="Career Center : Classified Overtime"/>
    <n v="0"/>
  </r>
  <r>
    <x v="1"/>
    <s v="11-400-00-634000-54300"/>
    <x v="0"/>
    <n v="400"/>
    <n v="0"/>
    <x v="104"/>
    <n v="54300"/>
    <x v="1"/>
    <s v="54"/>
    <s v="543"/>
    <x v="1690"/>
    <s v="Career Center : Supplies &amp; Materials"/>
    <n v="600"/>
  </r>
  <r>
    <x v="1"/>
    <s v="11-400-00-634000-55200"/>
    <x v="0"/>
    <n v="400"/>
    <n v="0"/>
    <x v="104"/>
    <n v="55200"/>
    <x v="1"/>
    <s v="55"/>
    <s v="552"/>
    <x v="1691"/>
    <s v="Career Center : Travel &amp; Conference"/>
    <n v="500"/>
  </r>
  <r>
    <x v="1"/>
    <s v="11-400-00-634000-55630"/>
    <x v="0"/>
    <n v="400"/>
    <n v="0"/>
    <x v="104"/>
    <n v="55630"/>
    <x v="1"/>
    <s v="55"/>
    <s v="556"/>
    <x v="1692"/>
    <s v="Career Center : Printing &amp; Duplicating - Inhouse"/>
    <n v="3000"/>
  </r>
  <r>
    <x v="1"/>
    <s v="11-400-00-620020-52300"/>
    <x v="0"/>
    <n v="400"/>
    <n v="0"/>
    <x v="101"/>
    <n v="52300"/>
    <x v="1"/>
    <s v="52"/>
    <s v="523"/>
    <x v="1635"/>
    <s v="Graduation Program : Classified Overtime"/>
    <n v="3000"/>
  </r>
  <r>
    <x v="1"/>
    <s v="11-400-00-620020-54300"/>
    <x v="0"/>
    <n v="400"/>
    <n v="0"/>
    <x v="101"/>
    <n v="54300"/>
    <x v="1"/>
    <s v="54"/>
    <s v="543"/>
    <x v="1640"/>
    <s v="Graduation Program : Supplies &amp; Materials"/>
    <n v="3000"/>
  </r>
  <r>
    <x v="1"/>
    <s v="11-400-00-620020-55100"/>
    <x v="0"/>
    <n v="400"/>
    <n v="0"/>
    <x v="101"/>
    <n v="55100"/>
    <x v="1"/>
    <s v="55"/>
    <s v="551"/>
    <x v="1641"/>
    <s v="Graduation Program : Personal Service Contract - 1099"/>
    <n v="5000"/>
  </r>
  <r>
    <x v="1"/>
    <s v="11-400-00-620020-55635"/>
    <x v="0"/>
    <n v="400"/>
    <n v="0"/>
    <x v="101"/>
    <n v="55635"/>
    <x v="1"/>
    <s v="55"/>
    <s v="556"/>
    <x v="1642"/>
    <s v="Graduation Program : Printing Services - Vendor"/>
    <n v="12000"/>
  </r>
  <r>
    <x v="1"/>
    <s v="11-400-00-696000-52300"/>
    <x v="0"/>
    <n v="400"/>
    <n v="0"/>
    <x v="100"/>
    <n v="52300"/>
    <x v="1"/>
    <s v="52"/>
    <s v="523"/>
    <x v="1716"/>
    <s v="Student Activities : Classified Overtime"/>
    <n v="0"/>
  </r>
  <r>
    <x v="1"/>
    <s v="11-400-00-696000-54300"/>
    <x v="0"/>
    <n v="400"/>
    <n v="0"/>
    <x v="100"/>
    <n v="54300"/>
    <x v="1"/>
    <s v="54"/>
    <s v="543"/>
    <x v="1724"/>
    <s v="Student Activities : Supplies &amp; Materials"/>
    <n v="100"/>
  </r>
  <r>
    <x v="1"/>
    <s v="11-400-00-696000-55630"/>
    <x v="0"/>
    <n v="400"/>
    <n v="0"/>
    <x v="100"/>
    <n v="55630"/>
    <x v="1"/>
    <s v="55"/>
    <s v="556"/>
    <x v="1725"/>
    <s v="Student Activities : Printing &amp; Duplicating - Inhouse"/>
    <n v="1200"/>
  </r>
  <r>
    <x v="1"/>
    <s v="11-400-00-631020-52360"/>
    <x v="0"/>
    <n v="400"/>
    <n v="0"/>
    <x v="102"/>
    <n v="52360"/>
    <x v="1"/>
    <s v="52"/>
    <s v="523"/>
    <x v="1668"/>
    <s v="Crisis Counseling : Class Nonstu NonIA PT Prof Exp"/>
    <n v="155075"/>
  </r>
  <r>
    <x v="1"/>
    <s v="11-400-00-631020-55630"/>
    <x v="0"/>
    <n v="400"/>
    <n v="0"/>
    <x v="102"/>
    <n v="55630"/>
    <x v="1"/>
    <s v="55"/>
    <s v="556"/>
    <x v="1676"/>
    <s v="Crisis Counseling : Printing &amp; Duplicating - Inhouse"/>
    <n v="200"/>
  </r>
  <r>
    <x v="1"/>
    <s v="11-400-00-665000-52300"/>
    <x v="0"/>
    <n v="400"/>
    <n v="0"/>
    <x v="106"/>
    <n v="52300"/>
    <x v="1"/>
    <s v="52"/>
    <s v="523"/>
    <x v="1697"/>
    <s v="Student Services Administration : Classified Overtime"/>
    <n v="0"/>
  </r>
  <r>
    <x v="1"/>
    <s v="11-400-00-665000-52360"/>
    <x v="0"/>
    <n v="400"/>
    <n v="0"/>
    <x v="106"/>
    <n v="52360"/>
    <x v="1"/>
    <s v="52"/>
    <s v="523"/>
    <x v="1698"/>
    <s v="Student Services Administration : Class Nonstu NonIA PT Prof Exp"/>
    <n v="49000"/>
  </r>
  <r>
    <x v="1"/>
    <s v="11-400-00-665000-54300"/>
    <x v="0"/>
    <n v="400"/>
    <n v="0"/>
    <x v="106"/>
    <n v="54300"/>
    <x v="1"/>
    <s v="54"/>
    <s v="543"/>
    <x v="1707"/>
    <s v="Student Services Administration : Supplies &amp; Materials"/>
    <n v="1800"/>
  </r>
  <r>
    <x v="1"/>
    <s v="11-400-00-665000-55100"/>
    <x v="0"/>
    <n v="400"/>
    <n v="0"/>
    <x v="106"/>
    <n v="55100"/>
    <x v="1"/>
    <s v="55"/>
    <s v="551"/>
    <x v="1708"/>
    <s v="Student Services Administration : Personal Service Contract - 1099"/>
    <n v="0"/>
  </r>
  <r>
    <x v="1"/>
    <s v="11-400-00-665000-55105"/>
    <x v="0"/>
    <n v="400"/>
    <n v="0"/>
    <x v="106"/>
    <n v="55105"/>
    <x v="1"/>
    <s v="55"/>
    <s v="551"/>
    <x v="1709"/>
    <s v="Student Services Administration : Contract Services"/>
    <n v="200"/>
  </r>
  <r>
    <x v="1"/>
    <s v="11-400-00-665000-55200"/>
    <x v="0"/>
    <n v="400"/>
    <n v="0"/>
    <x v="106"/>
    <n v="55200"/>
    <x v="1"/>
    <s v="55"/>
    <s v="552"/>
    <x v="1710"/>
    <s v="Student Services Administration : Travel &amp; Conference"/>
    <n v="6000"/>
  </r>
  <r>
    <x v="1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1"/>
    <s v="11-400-00-665000-55400"/>
    <x v="0"/>
    <n v="400"/>
    <n v="0"/>
    <x v="106"/>
    <n v="55400"/>
    <x v="1"/>
    <s v="55"/>
    <s v="554"/>
    <x v="1712"/>
    <s v="Student Services Administration : Insurance"/>
    <n v="119651"/>
  </r>
  <r>
    <x v="1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500"/>
  </r>
  <r>
    <x v="1"/>
    <s v="11-410-00-620000-52300"/>
    <x v="0"/>
    <n v="410"/>
    <n v="0"/>
    <x v="108"/>
    <n v="52300"/>
    <x v="1"/>
    <s v="52"/>
    <s v="523"/>
    <x v="1742"/>
    <s v="Admissions &amp; Records : Classified Overtime"/>
    <n v="500"/>
  </r>
  <r>
    <x v="1"/>
    <s v="11-410-00-620000-52360"/>
    <x v="0"/>
    <n v="410"/>
    <n v="0"/>
    <x v="108"/>
    <n v="52360"/>
    <x v="1"/>
    <s v="52"/>
    <s v="523"/>
    <x v="1743"/>
    <s v="Admissions &amp; Records : Class Nonstu NonIA PT Prof Exp"/>
    <n v="18000"/>
  </r>
  <r>
    <x v="1"/>
    <s v="11-410-00-620000-54300"/>
    <x v="0"/>
    <n v="410"/>
    <n v="0"/>
    <x v="108"/>
    <n v="54300"/>
    <x v="1"/>
    <s v="54"/>
    <s v="543"/>
    <x v="1751"/>
    <s v="Admissions &amp; Records : Supplies &amp; Materials"/>
    <n v="1649"/>
  </r>
  <r>
    <x v="1"/>
    <s v="11-410-00-620000-55200"/>
    <x v="0"/>
    <n v="410"/>
    <n v="0"/>
    <x v="108"/>
    <n v="55200"/>
    <x v="1"/>
    <s v="55"/>
    <s v="552"/>
    <x v="1752"/>
    <s v="Admissions &amp; Records : Travel &amp; Conference"/>
    <n v="2910"/>
  </r>
  <r>
    <x v="1"/>
    <s v="11-410-00-620000-55300"/>
    <x v="0"/>
    <n v="410"/>
    <n v="0"/>
    <x v="108"/>
    <n v="55300"/>
    <x v="1"/>
    <s v="55"/>
    <s v="553"/>
    <x v="1753"/>
    <s v="Admissions &amp; Records : Memberships"/>
    <n v="0"/>
  </r>
  <r>
    <x v="1"/>
    <s v="11-410-00-620000-55630"/>
    <x v="0"/>
    <n v="410"/>
    <n v="0"/>
    <x v="108"/>
    <n v="55630"/>
    <x v="1"/>
    <s v="55"/>
    <s v="556"/>
    <x v="1754"/>
    <s v="Admissions &amp; Records : Printing &amp; Duplicating - Inhouse"/>
    <n v="3820"/>
  </r>
  <r>
    <x v="1"/>
    <s v="11-410-00-620000-55635"/>
    <x v="0"/>
    <n v="410"/>
    <n v="0"/>
    <x v="108"/>
    <n v="55635"/>
    <x v="1"/>
    <s v="55"/>
    <s v="556"/>
    <x v="1755"/>
    <s v="Admissions &amp; Records : Printing Services - Vendor"/>
    <n v="4074"/>
  </r>
  <r>
    <x v="1"/>
    <s v="11-410-00-620000-55650"/>
    <x v="0"/>
    <n v="410"/>
    <n v="0"/>
    <x v="108"/>
    <n v="55650"/>
    <x v="1"/>
    <s v="55"/>
    <s v="556"/>
    <x v="1756"/>
    <s v="Admissions &amp; Records : Maintenance Agreement"/>
    <n v="3820"/>
  </r>
  <r>
    <x v="1"/>
    <s v="11-420-00-646000-52300"/>
    <x v="0"/>
    <n v="420"/>
    <n v="0"/>
    <x v="109"/>
    <n v="52300"/>
    <x v="1"/>
    <s v="52"/>
    <s v="523"/>
    <x v="1759"/>
    <s v="Financial Aid : Classified Overtime"/>
    <n v="6000"/>
  </r>
  <r>
    <x v="1"/>
    <s v="11-420-00-646000-52310"/>
    <x v="0"/>
    <n v="420"/>
    <n v="0"/>
    <x v="109"/>
    <n v="52310"/>
    <x v="1"/>
    <s v="52"/>
    <s v="523"/>
    <x v="1760"/>
    <s v="Financial Aid : Classified Student FWS Non-IA"/>
    <n v="45000"/>
  </r>
  <r>
    <x v="1"/>
    <s v="11-420-00-646000-52360"/>
    <x v="0"/>
    <n v="420"/>
    <n v="0"/>
    <x v="109"/>
    <n v="52360"/>
    <x v="1"/>
    <s v="52"/>
    <s v="523"/>
    <x v="1761"/>
    <s v="Financial Aid : Class Nonstu NonIA PT Prof Exp"/>
    <n v="200"/>
  </r>
  <r>
    <x v="1"/>
    <s v="11-420-00-646000-54300"/>
    <x v="0"/>
    <n v="420"/>
    <n v="0"/>
    <x v="109"/>
    <n v="54300"/>
    <x v="1"/>
    <s v="54"/>
    <s v="543"/>
    <x v="1769"/>
    <s v="Financial Aid : Supplies &amp; Materials"/>
    <n v="2820"/>
  </r>
  <r>
    <x v="1"/>
    <s v="11-420-00-646000-55200"/>
    <x v="0"/>
    <n v="420"/>
    <n v="0"/>
    <x v="109"/>
    <n v="55200"/>
    <x v="1"/>
    <s v="55"/>
    <s v="552"/>
    <x v="1771"/>
    <s v="Financial Aid : Travel &amp; Conference"/>
    <n v="4850"/>
  </r>
  <r>
    <x v="1"/>
    <s v="11-420-00-646000-55300"/>
    <x v="0"/>
    <n v="420"/>
    <n v="0"/>
    <x v="109"/>
    <n v="55300"/>
    <x v="1"/>
    <s v="55"/>
    <s v="553"/>
    <x v="1772"/>
    <s v="Financial Aid : Memberships"/>
    <n v="1509"/>
  </r>
  <r>
    <x v="1"/>
    <s v="11-420-00-646000-55309"/>
    <x v="0"/>
    <n v="420"/>
    <n v="0"/>
    <x v="109"/>
    <n v="55309"/>
    <x v="1"/>
    <s v="55"/>
    <s v="553"/>
    <x v="1773"/>
    <s v="Financial Aid : Subscriptions"/>
    <n v="16500"/>
  </r>
  <r>
    <x v="1"/>
    <s v="11-420-00-646000-55630"/>
    <x v="0"/>
    <n v="420"/>
    <n v="0"/>
    <x v="109"/>
    <n v="55630"/>
    <x v="1"/>
    <s v="55"/>
    <s v="556"/>
    <x v="1774"/>
    <s v="Financial Aid : Printing &amp; Duplicating - Inhouse"/>
    <n v="5828"/>
  </r>
  <r>
    <x v="1"/>
    <s v="11-420-00-646021-52300"/>
    <x v="0"/>
    <n v="420"/>
    <n v="0"/>
    <x v="110"/>
    <n v="52300"/>
    <x v="1"/>
    <s v="52"/>
    <s v="523"/>
    <x v="1776"/>
    <s v="Scholarship Operations : Classified Overtime"/>
    <n v="200"/>
  </r>
  <r>
    <x v="1"/>
    <s v="11-420-00-646021-55630"/>
    <x v="0"/>
    <n v="420"/>
    <n v="0"/>
    <x v="110"/>
    <n v="55630"/>
    <x v="1"/>
    <s v="55"/>
    <s v="556"/>
    <x v="1783"/>
    <s v="Scholarship Operations : Printing &amp; Duplicating - Inhouse"/>
    <n v="388"/>
  </r>
  <r>
    <x v="1"/>
    <s v="11-420-00-648000-52300"/>
    <x v="0"/>
    <n v="420"/>
    <n v="0"/>
    <x v="111"/>
    <n v="52300"/>
    <x v="1"/>
    <s v="52"/>
    <s v="523"/>
    <x v="1786"/>
    <s v="Veterans : Classified Overtime"/>
    <n v="0"/>
  </r>
  <r>
    <x v="1"/>
    <s v="11-420-00-648000-55200"/>
    <x v="0"/>
    <n v="420"/>
    <n v="0"/>
    <x v="111"/>
    <n v="55200"/>
    <x v="1"/>
    <s v="55"/>
    <s v="552"/>
    <x v="1794"/>
    <s v="Veterans : Travel &amp; Conference"/>
    <n v="1000"/>
  </r>
  <r>
    <x v="1"/>
    <s v="11-420-00-648000-55300"/>
    <x v="0"/>
    <n v="420"/>
    <n v="0"/>
    <x v="111"/>
    <n v="55300"/>
    <x v="1"/>
    <s v="55"/>
    <s v="553"/>
    <x v="1795"/>
    <s v="Veterans : Memberships"/>
    <n v="100"/>
  </r>
  <r>
    <x v="1"/>
    <s v="11-420-00-648000-55630"/>
    <x v="0"/>
    <n v="420"/>
    <n v="0"/>
    <x v="111"/>
    <n v="55630"/>
    <x v="1"/>
    <s v="55"/>
    <s v="556"/>
    <x v="1796"/>
    <s v="Veterans : Printing &amp; Duplicating - Inhouse"/>
    <n v="8"/>
  </r>
  <r>
    <x v="1"/>
    <s v="11-430-00-704700-52315"/>
    <x v="0"/>
    <n v="430"/>
    <n v="0"/>
    <x v="114"/>
    <n v="52315"/>
    <x v="1"/>
    <s v="52"/>
    <s v="523"/>
    <x v="1812"/>
    <s v="CalWORKs : Classified Student SWS Non-IA"/>
    <n v="15000"/>
  </r>
  <r>
    <x v="1"/>
    <s v="11-430-00-700500-55630"/>
    <x v="0"/>
    <n v="430"/>
    <n v="0"/>
    <x v="113"/>
    <n v="55630"/>
    <x v="1"/>
    <s v="55"/>
    <s v="556"/>
    <x v="1811"/>
    <s v="EOPS - State : Printing &amp; Duplicating - Inhouse"/>
    <n v="125"/>
  </r>
  <r>
    <x v="1"/>
    <s v="11-440-00-493032-51311"/>
    <x v="0"/>
    <n v="440"/>
    <n v="0"/>
    <x v="115"/>
    <n v="51311"/>
    <x v="1"/>
    <s v="51"/>
    <s v="513"/>
    <x v="1815"/>
    <s v="DSP&amp;S Instruction : Academic Teaching PT"/>
    <n v="5000"/>
  </r>
  <r>
    <x v="1"/>
    <s v="11-440-00-493032-51411"/>
    <x v="0"/>
    <n v="440"/>
    <n v="0"/>
    <x v="115"/>
    <n v="51411"/>
    <x v="1"/>
    <s v="51"/>
    <s v="514"/>
    <x v="1816"/>
    <s v="DSP&amp;S Instruction : Academic Nonteaching PT"/>
    <n v="3850"/>
  </r>
  <r>
    <x v="1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0"/>
  </r>
  <r>
    <x v="1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1500"/>
  </r>
  <r>
    <x v="1"/>
    <s v="11-440-00-493032-54300"/>
    <x v="0"/>
    <n v="440"/>
    <n v="0"/>
    <x v="115"/>
    <n v="54300"/>
    <x v="1"/>
    <s v="54"/>
    <s v="543"/>
    <x v="1830"/>
    <s v="DSP&amp;S Instruction : Supplies &amp; Materials"/>
    <n v="1500"/>
  </r>
  <r>
    <x v="1"/>
    <s v="11-440-00-493032-55105"/>
    <x v="0"/>
    <n v="440"/>
    <n v="0"/>
    <x v="115"/>
    <n v="55105"/>
    <x v="1"/>
    <s v="55"/>
    <s v="551"/>
    <x v="1831"/>
    <s v="DSP&amp;S Instruction : Contract Services"/>
    <n v="12000"/>
  </r>
  <r>
    <x v="1"/>
    <s v="11-440-00-493032-55200"/>
    <x v="0"/>
    <n v="440"/>
    <n v="0"/>
    <x v="115"/>
    <n v="55200"/>
    <x v="1"/>
    <s v="55"/>
    <s v="552"/>
    <x v="1832"/>
    <s v="DSP&amp;S Instruction : Travel &amp; Conference"/>
    <n v="500"/>
  </r>
  <r>
    <x v="1"/>
    <s v="11-440-00-493032-55309"/>
    <x v="0"/>
    <n v="440"/>
    <n v="0"/>
    <x v="115"/>
    <n v="55309"/>
    <x v="1"/>
    <s v="55"/>
    <s v="553"/>
    <x v="1833"/>
    <s v="DSP&amp;S Instruction : Subscriptions"/>
    <n v="500"/>
  </r>
  <r>
    <x v="1"/>
    <s v="11-440-00-493032-55630"/>
    <x v="0"/>
    <n v="440"/>
    <n v="0"/>
    <x v="115"/>
    <n v="55630"/>
    <x v="1"/>
    <s v="55"/>
    <s v="556"/>
    <x v="1834"/>
    <s v="DSP&amp;S Instruction : Printing &amp; Duplicating - Inhouse"/>
    <n v="250"/>
  </r>
  <r>
    <x v="1"/>
    <s v="11-440-00-701021-55105"/>
    <x v="0"/>
    <n v="440"/>
    <n v="0"/>
    <x v="116"/>
    <n v="55105"/>
    <x v="1"/>
    <s v="55"/>
    <s v="551"/>
    <x v="1835"/>
    <s v="DHH - DSPS : Contract Services"/>
    <n v="47500"/>
  </r>
  <r>
    <x v="1"/>
    <s v="11-500-00-673000-52300"/>
    <x v="0"/>
    <n v="500"/>
    <n v="0"/>
    <x v="117"/>
    <n v="52300"/>
    <x v="1"/>
    <s v="52"/>
    <s v="523"/>
    <x v="1838"/>
    <s v="Human Resources : Classified Overtime"/>
    <n v="3300"/>
  </r>
  <r>
    <x v="1"/>
    <s v="11-500-00-673000-52360"/>
    <x v="0"/>
    <n v="500"/>
    <n v="0"/>
    <x v="117"/>
    <n v="52360"/>
    <x v="1"/>
    <s v="52"/>
    <s v="523"/>
    <x v="1839"/>
    <s v="Human Resources : Class Nonstu NonIA PT Prof Exp"/>
    <n v="6500"/>
  </r>
  <r>
    <x v="1"/>
    <s v="11-500-00-673000-54300"/>
    <x v="0"/>
    <n v="500"/>
    <n v="0"/>
    <x v="117"/>
    <n v="54300"/>
    <x v="1"/>
    <s v="54"/>
    <s v="543"/>
    <x v="1847"/>
    <s v="Human Resources : Supplies &amp; Materials"/>
    <n v="3500"/>
  </r>
  <r>
    <x v="1"/>
    <s v="11-500-00-673000-55105"/>
    <x v="0"/>
    <n v="500"/>
    <n v="0"/>
    <x v="117"/>
    <n v="55105"/>
    <x v="1"/>
    <s v="55"/>
    <s v="551"/>
    <x v="1848"/>
    <s v="Human Resources : Contract Services"/>
    <n v="2000"/>
  </r>
  <r>
    <x v="1"/>
    <s v="11-500-00-673000-55125"/>
    <x v="0"/>
    <n v="500"/>
    <n v="0"/>
    <x v="117"/>
    <n v="55125"/>
    <x v="1"/>
    <s v="55"/>
    <s v="551"/>
    <x v="1849"/>
    <s v="Human Resources : Training &amp; Seminars"/>
    <n v="35000"/>
  </r>
  <r>
    <x v="1"/>
    <s v="11-500-00-673000-55200"/>
    <x v="0"/>
    <n v="500"/>
    <n v="0"/>
    <x v="117"/>
    <n v="55200"/>
    <x v="1"/>
    <s v="55"/>
    <s v="552"/>
    <x v="1850"/>
    <s v="Human Resources : Travel &amp; Conference"/>
    <n v="2000"/>
  </r>
  <r>
    <x v="1"/>
    <s v="11-500-00-673000-55300"/>
    <x v="0"/>
    <n v="500"/>
    <n v="0"/>
    <x v="117"/>
    <n v="55300"/>
    <x v="1"/>
    <s v="55"/>
    <s v="553"/>
    <x v="1851"/>
    <s v="Human Resources : Memberships"/>
    <n v="2695"/>
  </r>
  <r>
    <x v="1"/>
    <s v="11-500-00-673000-55625"/>
    <x v="0"/>
    <n v="500"/>
    <n v="0"/>
    <x v="117"/>
    <n v="55625"/>
    <x v="1"/>
    <s v="55"/>
    <s v="556"/>
    <x v="1852"/>
    <s v="Human Resources : Inprocessing Costs"/>
    <n v="15000"/>
  </r>
  <r>
    <x v="1"/>
    <s v="11-500-00-673000-55630"/>
    <x v="0"/>
    <n v="500"/>
    <n v="0"/>
    <x v="117"/>
    <n v="55630"/>
    <x v="1"/>
    <s v="55"/>
    <s v="556"/>
    <x v="1853"/>
    <s v="Human Resources : Printing &amp; Duplicating - Inhouse"/>
    <n v="3000"/>
  </r>
  <r>
    <x v="1"/>
    <s v="11-500-00-673000-55635"/>
    <x v="0"/>
    <n v="500"/>
    <n v="0"/>
    <x v="117"/>
    <n v="55635"/>
    <x v="1"/>
    <s v="55"/>
    <s v="556"/>
    <x v="1854"/>
    <s v="Human Resources : Printing Services - Vendor"/>
    <n v="200"/>
  </r>
  <r>
    <x v="1"/>
    <s v="11-500-00-673000-55700"/>
    <x v="0"/>
    <n v="500"/>
    <n v="0"/>
    <x v="117"/>
    <n v="55700"/>
    <x v="1"/>
    <s v="55"/>
    <s v="557"/>
    <x v="1855"/>
    <s v="Human Resources : Legal &amp; Audit Expenses"/>
    <n v="75000"/>
  </r>
  <r>
    <x v="1"/>
    <s v="11-500-00-673000-55825"/>
    <x v="0"/>
    <n v="500"/>
    <n v="0"/>
    <x v="117"/>
    <n v="55825"/>
    <x v="1"/>
    <s v="55"/>
    <s v="558"/>
    <x v="1856"/>
    <s v="Human Resources : Relocation Expenses"/>
    <n v="0"/>
  </r>
  <r>
    <x v="1"/>
    <s v="11-500-00-673000-56400"/>
    <x v="0"/>
    <n v="500"/>
    <n v="0"/>
    <x v="117"/>
    <n v="56400"/>
    <x v="1"/>
    <s v="56"/>
    <s v="564"/>
    <x v="1857"/>
    <s v="Human Resources : Cap Equip - $200 to $4,999"/>
    <n v="6000"/>
  </r>
  <r>
    <x v="1"/>
    <s v="11-600-00-678000-52300"/>
    <x v="0"/>
    <n v="600"/>
    <n v="0"/>
    <x v="118"/>
    <n v="52300"/>
    <x v="1"/>
    <s v="52"/>
    <s v="523"/>
    <x v="1860"/>
    <s v="Management Information Systems : Classified Overtime"/>
    <n v="20000"/>
  </r>
  <r>
    <x v="1"/>
    <s v="11-600-00-678000-52350"/>
    <x v="0"/>
    <n v="600"/>
    <n v="0"/>
    <x v="118"/>
    <n v="52350"/>
    <x v="1"/>
    <s v="52"/>
    <s v="523"/>
    <x v="1861"/>
    <s v="Management Information Systems : Classified Student Dist Non-IA PT"/>
    <n v="30000"/>
  </r>
  <r>
    <x v="1"/>
    <s v="11-600-00-678000-54300"/>
    <x v="0"/>
    <n v="600"/>
    <n v="0"/>
    <x v="118"/>
    <n v="54300"/>
    <x v="1"/>
    <s v="54"/>
    <s v="543"/>
    <x v="1869"/>
    <s v="Management Information Systems : Supplies &amp; Materials"/>
    <n v="4500"/>
  </r>
  <r>
    <x v="1"/>
    <s v="11-600-00-678000-55105"/>
    <x v="0"/>
    <n v="600"/>
    <n v="0"/>
    <x v="118"/>
    <n v="55105"/>
    <x v="1"/>
    <s v="55"/>
    <s v="551"/>
    <x v="1870"/>
    <s v="Management Information Systems : Contract Services"/>
    <n v="80170"/>
  </r>
  <r>
    <x v="1"/>
    <s v="11-600-00-678000-55125"/>
    <x v="0"/>
    <n v="600"/>
    <n v="0"/>
    <x v="118"/>
    <n v="55125"/>
    <x v="1"/>
    <s v="55"/>
    <s v="551"/>
    <x v="1871"/>
    <s v="Management Information Systems : Training &amp; Seminars"/>
    <n v="10000"/>
  </r>
  <r>
    <x v="1"/>
    <s v="11-600-00-678000-55200"/>
    <x v="0"/>
    <n v="600"/>
    <n v="0"/>
    <x v="118"/>
    <n v="55200"/>
    <x v="1"/>
    <s v="55"/>
    <s v="552"/>
    <x v="1872"/>
    <s v="Management Information Systems : Travel &amp; Conference"/>
    <n v="10000"/>
  </r>
  <r>
    <x v="1"/>
    <s v="11-600-00-678000-55300"/>
    <x v="0"/>
    <n v="600"/>
    <n v="0"/>
    <x v="118"/>
    <n v="55300"/>
    <x v="1"/>
    <s v="55"/>
    <s v="553"/>
    <x v="1873"/>
    <s v="Management Information Systems : Memberships"/>
    <n v="1500"/>
  </r>
  <r>
    <x v="1"/>
    <s v="11-600-00-678000-55550"/>
    <x v="0"/>
    <n v="600"/>
    <n v="0"/>
    <x v="118"/>
    <n v="55550"/>
    <x v="1"/>
    <s v="55"/>
    <s v="555"/>
    <x v="1874"/>
    <s v="Management Information Systems : Telephone Service"/>
    <n v="139000"/>
  </r>
  <r>
    <x v="1"/>
    <s v="11-600-00-678000-55610"/>
    <x v="0"/>
    <n v="600"/>
    <n v="0"/>
    <x v="118"/>
    <n v="55610"/>
    <x v="1"/>
    <s v="55"/>
    <s v="556"/>
    <x v="1875"/>
    <s v="Management Information Systems : Software licensing"/>
    <n v="50000"/>
  </r>
  <r>
    <x v="1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1000"/>
  </r>
  <r>
    <x v="1"/>
    <s v="11-600-00-678000-55650"/>
    <x v="0"/>
    <n v="600"/>
    <n v="0"/>
    <x v="118"/>
    <n v="55650"/>
    <x v="1"/>
    <s v="55"/>
    <s v="556"/>
    <x v="1877"/>
    <s v="Management Information Systems : Maintenance Agreement"/>
    <n v="1256985"/>
  </r>
  <r>
    <x v="1"/>
    <s v="11-600-00-678000-55653"/>
    <x v="0"/>
    <n v="600"/>
    <n v="0"/>
    <x v="118"/>
    <n v="55653"/>
    <x v="1"/>
    <s v="55"/>
    <s v="556"/>
    <x v="1878"/>
    <s v="Management Information Systems : Instructional Computer Repair"/>
    <n v="1500"/>
  </r>
  <r>
    <x v="1"/>
    <s v="11-600-00-678000-56400"/>
    <x v="0"/>
    <n v="600"/>
    <n v="0"/>
    <x v="118"/>
    <n v="56400"/>
    <x v="1"/>
    <s v="56"/>
    <s v="564"/>
    <x v="1879"/>
    <s v="Management Information Systems : Cap Equip - $200 to $4,999"/>
    <n v="3300"/>
  </r>
  <r>
    <x v="2"/>
    <s v="11-000-00-000000-48110"/>
    <x v="0"/>
    <n v="0"/>
    <n v="0"/>
    <x v="0"/>
    <n v="48110"/>
    <x v="0"/>
    <s v="48"/>
    <s v="481"/>
    <x v="0"/>
    <s v="General Use - Nonprogram : Forest Reserve"/>
    <n v="0"/>
  </r>
  <r>
    <x v="2"/>
    <s v="11-000-00-000000-48160"/>
    <x v="0"/>
    <n v="0"/>
    <n v="0"/>
    <x v="0"/>
    <n v="48160"/>
    <x v="0"/>
    <s v="48"/>
    <s v="481"/>
    <x v="1"/>
    <s v="General Use - Nonprogram : Veterans Education"/>
    <n v="-1472"/>
  </r>
  <r>
    <x v="2"/>
    <s v="11-000-00-000000-48180"/>
    <x v="0"/>
    <n v="0"/>
    <n v="0"/>
    <x v="0"/>
    <n v="48180"/>
    <x v="0"/>
    <s v="48"/>
    <s v="481"/>
    <x v="2"/>
    <s v="General Use - Nonprogram : Pell Administration Cost"/>
    <n v="-12455"/>
  </r>
  <r>
    <x v="2"/>
    <s v="11-000-00-000000-48611"/>
    <x v="0"/>
    <n v="0"/>
    <n v="0"/>
    <x v="0"/>
    <n v="48611"/>
    <x v="0"/>
    <s v="48"/>
    <s v="486"/>
    <x v="3"/>
    <s v="General Use - Nonprogram : Principal Apportionment"/>
    <n v="-5071663"/>
  </r>
  <r>
    <x v="2"/>
    <s v="11-000-00-000000-48613"/>
    <x v="0"/>
    <n v="0"/>
    <n v="0"/>
    <x v="0"/>
    <n v="48613"/>
    <x v="0"/>
    <s v="48"/>
    <s v="486"/>
    <x v="4"/>
    <s v="General Use - Nonprogram : BOG Fee Waivers Admin Fee"/>
    <n v="-118400"/>
  </r>
  <r>
    <x v="2"/>
    <s v="11-000-00-000000-48614"/>
    <x v="0"/>
    <n v="0"/>
    <n v="0"/>
    <x v="0"/>
    <n v="48614"/>
    <x v="0"/>
    <s v="48"/>
    <s v="486"/>
    <x v="5"/>
    <s v="General Use - Nonprogram : Apprenticeship"/>
    <n v="-57405"/>
  </r>
  <r>
    <x v="2"/>
    <s v="11-000-00-000000-48616"/>
    <x v="0"/>
    <n v="0"/>
    <n v="0"/>
    <x v="0"/>
    <n v="48616"/>
    <x v="0"/>
    <s v="48"/>
    <s v="486"/>
    <x v="6"/>
    <s v="General Use - Nonprogram : Part Time Faculty"/>
    <n v="-206857"/>
  </r>
  <r>
    <x v="2"/>
    <s v="11-000-00-000000-48617"/>
    <x v="0"/>
    <n v="0"/>
    <n v="0"/>
    <x v="0"/>
    <n v="48617"/>
    <x v="0"/>
    <s v="48"/>
    <s v="486"/>
    <x v="7"/>
    <s v="General Use - Nonprogram : Apportionment PY Adjustment"/>
    <n v="-547386"/>
  </r>
  <r>
    <x v="2"/>
    <s v="11-000-00-000000-48630"/>
    <x v="0"/>
    <n v="0"/>
    <n v="0"/>
    <x v="0"/>
    <n v="48630"/>
    <x v="0"/>
    <s v="48"/>
    <s v="486"/>
    <x v="8"/>
    <s v="General Use - Nonprogram : Prop 30-EPA Funds"/>
    <n v="0"/>
  </r>
  <r>
    <x v="2"/>
    <s v="11-000-00-000000-48668"/>
    <x v="0"/>
    <n v="0"/>
    <n v="0"/>
    <x v="0"/>
    <n v="48668"/>
    <x v="0"/>
    <s v="48"/>
    <s v="486"/>
    <x v="9"/>
    <s v="General Use - Nonprogram : Full Time Faculty Hiring"/>
    <n v="-326873"/>
  </r>
  <r>
    <x v="2"/>
    <s v="11-000-00-000000-48670"/>
    <x v="0"/>
    <n v="0"/>
    <n v="0"/>
    <x v="0"/>
    <n v="48670"/>
    <x v="0"/>
    <s v="48"/>
    <s v="486"/>
    <x v="10"/>
    <s v="General Use - Nonprogram : HOPTR"/>
    <n v="-52240.5"/>
  </r>
  <r>
    <x v="2"/>
    <s v="11-000-00-000000-48681"/>
    <x v="0"/>
    <n v="0"/>
    <n v="0"/>
    <x v="0"/>
    <n v="48681"/>
    <x v="0"/>
    <s v="48"/>
    <s v="486"/>
    <x v="11"/>
    <s v="General Use - Nonprogram : State Mandated Costs"/>
    <n v="-222046"/>
  </r>
  <r>
    <x v="2"/>
    <s v="11-000-00-000000-48811"/>
    <x v="0"/>
    <n v="0"/>
    <n v="0"/>
    <x v="0"/>
    <n v="48811"/>
    <x v="0"/>
    <s v="48"/>
    <s v="488"/>
    <x v="12"/>
    <s v="General Use - Nonprogram : Property Taxes - Secured"/>
    <n v="-15425207.970000001"/>
  </r>
  <r>
    <x v="2"/>
    <s v="11-000-00-000000-48812"/>
    <x v="0"/>
    <n v="0"/>
    <n v="0"/>
    <x v="0"/>
    <n v="48812"/>
    <x v="0"/>
    <s v="48"/>
    <s v="488"/>
    <x v="13"/>
    <s v="General Use - Nonprogram : Property Taxes - Unsecured"/>
    <n v="-845444.62"/>
  </r>
  <r>
    <x v="2"/>
    <s v="11-000-00-000000-48813"/>
    <x v="0"/>
    <n v="0"/>
    <n v="0"/>
    <x v="0"/>
    <n v="48813"/>
    <x v="0"/>
    <s v="48"/>
    <s v="488"/>
    <x v="14"/>
    <s v="General Use - Nonprogram : Property Taxes - Prior Year"/>
    <n v="-315071.8"/>
  </r>
  <r>
    <x v="2"/>
    <s v="11-000-00-000000-48814"/>
    <x v="0"/>
    <n v="0"/>
    <n v="0"/>
    <x v="0"/>
    <n v="48814"/>
    <x v="0"/>
    <s v="48"/>
    <s v="488"/>
    <x v="15"/>
    <s v="General Use - Nonprogram : Property Taxes - Supplemental"/>
    <n v="-160464.07999999999"/>
  </r>
  <r>
    <x v="2"/>
    <s v="11-000-00-000000-48817"/>
    <x v="0"/>
    <n v="0"/>
    <n v="0"/>
    <x v="0"/>
    <n v="48817"/>
    <x v="0"/>
    <s v="48"/>
    <s v="488"/>
    <x v="16"/>
    <s v="General Use - Nonprogram : Education Revenue Augmentation Fund"/>
    <n v="-1119.52"/>
  </r>
  <r>
    <x v="2"/>
    <s v="11-000-00-000000-48818"/>
    <x v="0"/>
    <n v="0"/>
    <n v="0"/>
    <x v="0"/>
    <n v="48818"/>
    <x v="0"/>
    <s v="48"/>
    <s v="488"/>
    <x v="17"/>
    <s v="General Use - Nonprogram : RDA/RPTTF Pass-Through"/>
    <n v="-88849.38"/>
  </r>
  <r>
    <x v="2"/>
    <s v="11-000-00-000000-48819"/>
    <x v="0"/>
    <n v="0"/>
    <n v="0"/>
    <x v="0"/>
    <n v="48819"/>
    <x v="0"/>
    <s v="48"/>
    <s v="488"/>
    <x v="18"/>
    <s v="General Use - Nonprogram : RDA/RPTTF Residual PTAX"/>
    <n v="-619207.35"/>
  </r>
  <r>
    <x v="2"/>
    <s v="11-000-00-000000-48860"/>
    <x v="0"/>
    <n v="0"/>
    <n v="0"/>
    <x v="0"/>
    <n v="48860"/>
    <x v="0"/>
    <s v="48"/>
    <s v="488"/>
    <x v="19"/>
    <s v="General Use - Nonprogram : Interest Income"/>
    <n v="-94640.03"/>
  </r>
  <r>
    <x v="2"/>
    <s v="11-000-00-000000-48872"/>
    <x v="0"/>
    <n v="0"/>
    <n v="0"/>
    <x v="0"/>
    <n v="48872"/>
    <x v="0"/>
    <s v="48"/>
    <s v="488"/>
    <x v="20"/>
    <s v="General Use - Nonprogram : Planetarium"/>
    <n v="0"/>
  </r>
  <r>
    <x v="2"/>
    <s v="11-000-00-000000-48874"/>
    <x v="0"/>
    <n v="0"/>
    <n v="0"/>
    <x v="0"/>
    <n v="48874"/>
    <x v="0"/>
    <s v="48"/>
    <s v="488"/>
    <x v="21"/>
    <s v="General Use - Nonprogram : Enrollment Fees"/>
    <n v="-1966973.17"/>
  </r>
  <r>
    <x v="2"/>
    <s v="11-000-00-000000-48879"/>
    <x v="0"/>
    <n v="0"/>
    <n v="0"/>
    <x v="0"/>
    <n v="48879"/>
    <x v="0"/>
    <s v="48"/>
    <s v="488"/>
    <x v="22"/>
    <s v="General Use - Nonprogram : Transcript Fees"/>
    <n v="-33353"/>
  </r>
  <r>
    <x v="2"/>
    <s v="11-000-00-000000-48880"/>
    <x v="0"/>
    <n v="0"/>
    <n v="0"/>
    <x v="0"/>
    <n v="48880"/>
    <x v="0"/>
    <s v="48"/>
    <s v="488"/>
    <x v="23"/>
    <s v="General Use - Nonprogram : Non-resident Tuition"/>
    <n v="-205093"/>
  </r>
  <r>
    <x v="2"/>
    <s v="11-000-00-000000-48890"/>
    <x v="0"/>
    <n v="0"/>
    <n v="0"/>
    <x v="0"/>
    <n v="48890"/>
    <x v="0"/>
    <s v="48"/>
    <s v="488"/>
    <x v="24"/>
    <s v="General Use - Nonprogram : Other Local Income "/>
    <n v="-95132.79"/>
  </r>
  <r>
    <x v="2"/>
    <s v="11-000-00-000000-48892"/>
    <x v="0"/>
    <n v="0"/>
    <n v="0"/>
    <x v="0"/>
    <n v="48892"/>
    <x v="0"/>
    <s v="48"/>
    <s v="488"/>
    <x v="25"/>
    <s v="General Use - Nonprogram : Community Use of Facilities"/>
    <n v="-41954.92"/>
  </r>
  <r>
    <x v="2"/>
    <s v="11-000-00-000000-48980"/>
    <x v="0"/>
    <n v="0"/>
    <n v="0"/>
    <x v="0"/>
    <n v="48980"/>
    <x v="0"/>
    <s v="48"/>
    <s v="489"/>
    <x v="26"/>
    <s v="General Use - Nonprogram : Interfund Transfer-In"/>
    <n v="0"/>
  </r>
  <r>
    <x v="2"/>
    <s v="11-000-00-677010-48887"/>
    <x v="0"/>
    <n v="0"/>
    <n v="0"/>
    <x v="1"/>
    <n v="48887"/>
    <x v="0"/>
    <s v="48"/>
    <s v="488"/>
    <x v="27"/>
    <s v="COVID-19 : Enrollment Fees - Contra Acct."/>
    <n v="0"/>
  </r>
  <r>
    <x v="2"/>
    <s v="11-100-00-661000-51205"/>
    <x v="0"/>
    <n v="100"/>
    <n v="0"/>
    <x v="2"/>
    <n v="51205"/>
    <x v="1"/>
    <s v="51"/>
    <s v="512"/>
    <x v="28"/>
    <s v="Planning &amp; Policy Making : Academic Nonteaching President"/>
    <n v="173563.24"/>
  </r>
  <r>
    <x v="2"/>
    <s v="11-100-00-661000-52120"/>
    <x v="0"/>
    <n v="100"/>
    <n v="0"/>
    <x v="2"/>
    <n v="52120"/>
    <x v="1"/>
    <s v="52"/>
    <s v="521"/>
    <x v="29"/>
    <s v="Planning &amp; Policy Making : Classified Confidential"/>
    <n v="50679.15"/>
  </r>
  <r>
    <x v="2"/>
    <s v="11-100-00-661000-52300"/>
    <x v="0"/>
    <n v="100"/>
    <n v="0"/>
    <x v="2"/>
    <n v="52300"/>
    <x v="1"/>
    <s v="52"/>
    <s v="523"/>
    <x v="30"/>
    <s v="Planning &amp; Policy Making : Classified Overtime"/>
    <n v="1227.27"/>
  </r>
  <r>
    <x v="2"/>
    <s v="11-100-00-661000-53120"/>
    <x v="0"/>
    <n v="100"/>
    <n v="0"/>
    <x v="2"/>
    <n v="53120"/>
    <x v="1"/>
    <s v="53"/>
    <s v="531"/>
    <x v="31"/>
    <s v="Planning &amp; Policy Making : STRS Nonteaching"/>
    <n v="969"/>
  </r>
  <r>
    <x v="2"/>
    <s v="11-100-00-661000-53220"/>
    <x v="0"/>
    <n v="100"/>
    <n v="0"/>
    <x v="2"/>
    <n v="53220"/>
    <x v="1"/>
    <s v="53"/>
    <s v="532"/>
    <x v="32"/>
    <s v="Planning &amp; Policy Making : PERS Nonteaching"/>
    <n v="30358.29"/>
  </r>
  <r>
    <x v="2"/>
    <s v="11-100-00-661000-53320"/>
    <x v="0"/>
    <n v="100"/>
    <n v="0"/>
    <x v="2"/>
    <n v="53320"/>
    <x v="1"/>
    <s v="53"/>
    <s v="533"/>
    <x v="33"/>
    <s v="Planning &amp; Policy Making : OASDHI (FICA) Nonteaching"/>
    <n v="9063.01"/>
  </r>
  <r>
    <x v="2"/>
    <s v="11-100-00-661000-53340"/>
    <x v="0"/>
    <n v="100"/>
    <n v="0"/>
    <x v="2"/>
    <n v="53340"/>
    <x v="1"/>
    <s v="53"/>
    <s v="533"/>
    <x v="34"/>
    <s v="Planning &amp; Policy Making : Medicare Nonteaching"/>
    <n v="3256.59"/>
  </r>
  <r>
    <x v="2"/>
    <s v="11-100-00-661000-53420"/>
    <x v="0"/>
    <n v="100"/>
    <n v="0"/>
    <x v="2"/>
    <n v="53420"/>
    <x v="1"/>
    <s v="53"/>
    <s v="534"/>
    <x v="35"/>
    <s v="Planning &amp; Policy Making : H &amp; W Nonteaching"/>
    <n v="34093.410000000003"/>
  </r>
  <r>
    <x v="2"/>
    <s v="11-100-00-661000-53520"/>
    <x v="0"/>
    <n v="100"/>
    <n v="0"/>
    <x v="2"/>
    <n v="53520"/>
    <x v="1"/>
    <s v="53"/>
    <s v="535"/>
    <x v="36"/>
    <s v="Planning &amp; Policy Making : SUI Nonteaching"/>
    <n v="112.68"/>
  </r>
  <r>
    <x v="2"/>
    <s v="11-100-00-661000-53620"/>
    <x v="0"/>
    <n v="100"/>
    <n v="0"/>
    <x v="2"/>
    <n v="53620"/>
    <x v="1"/>
    <s v="53"/>
    <s v="536"/>
    <x v="37"/>
    <s v="Planning &amp; Policy Making : WC Nonteaching"/>
    <n v="4278.96"/>
  </r>
  <r>
    <x v="2"/>
    <s v="11-100-00-661000-53902"/>
    <x v="0"/>
    <n v="100"/>
    <n v="0"/>
    <x v="2"/>
    <n v="53902"/>
    <x v="1"/>
    <s v="53"/>
    <s v="539"/>
    <x v="38"/>
    <s v="Planning &amp; Policy Making : Term Life Insurance - Crown"/>
    <n v="822.4"/>
  </r>
  <r>
    <x v="2"/>
    <s v="11-100-00-661000-53920"/>
    <x v="0"/>
    <n v="100"/>
    <n v="0"/>
    <x v="2"/>
    <n v="53920"/>
    <x v="1"/>
    <s v="53"/>
    <s v="539"/>
    <x v="39"/>
    <s v="Planning &amp; Policy Making : Other Benefit-Non Teaching"/>
    <n v="620.47"/>
  </r>
  <r>
    <x v="2"/>
    <s v="11-100-00-661000-54210"/>
    <x v="0"/>
    <n v="100"/>
    <n v="0"/>
    <x v="2"/>
    <n v="54210"/>
    <x v="1"/>
    <s v="54"/>
    <s v="542"/>
    <x v="40"/>
    <s v="Planning &amp; Policy Making : Purchases - Food"/>
    <n v="0"/>
  </r>
  <r>
    <x v="2"/>
    <s v="11-100-00-661000-54300"/>
    <x v="0"/>
    <n v="100"/>
    <n v="0"/>
    <x v="2"/>
    <n v="54300"/>
    <x v="1"/>
    <s v="54"/>
    <s v="543"/>
    <x v="41"/>
    <s v="Planning &amp; Policy Making : Supplies &amp; Materials"/>
    <n v="3441.92"/>
  </r>
  <r>
    <x v="2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2"/>
    <s v="11-100-00-661000-55105"/>
    <x v="0"/>
    <n v="100"/>
    <n v="0"/>
    <x v="2"/>
    <n v="55105"/>
    <x v="1"/>
    <s v="55"/>
    <s v="551"/>
    <x v="43"/>
    <s v="Planning &amp; Policy Making : Contract Services"/>
    <n v="8000"/>
  </r>
  <r>
    <x v="2"/>
    <s v="11-100-00-661000-55200"/>
    <x v="0"/>
    <n v="100"/>
    <n v="0"/>
    <x v="2"/>
    <n v="55200"/>
    <x v="1"/>
    <s v="55"/>
    <s v="552"/>
    <x v="44"/>
    <s v="Planning &amp; Policy Making : Travel &amp; Conference"/>
    <n v="441.6"/>
  </r>
  <r>
    <x v="2"/>
    <s v="11-100-00-661000-55300"/>
    <x v="0"/>
    <n v="100"/>
    <n v="0"/>
    <x v="2"/>
    <n v="55300"/>
    <x v="1"/>
    <s v="55"/>
    <s v="553"/>
    <x v="45"/>
    <s v="Planning &amp; Policy Making : Memberships"/>
    <n v="79168.5"/>
  </r>
  <r>
    <x v="2"/>
    <s v="11-100-00-661000-55550"/>
    <x v="0"/>
    <n v="100"/>
    <n v="0"/>
    <x v="2"/>
    <n v="55550"/>
    <x v="1"/>
    <s v="55"/>
    <s v="555"/>
    <x v="46"/>
    <s v="Planning &amp; Policy Making : Telephone Service"/>
    <n v="550"/>
  </r>
  <r>
    <x v="2"/>
    <s v="11-100-00-661000-55560"/>
    <x v="0"/>
    <n v="100"/>
    <n v="0"/>
    <x v="2"/>
    <n v="55560"/>
    <x v="1"/>
    <s v="55"/>
    <s v="555"/>
    <x v="47"/>
    <s v="Planning &amp; Policy Making : Water Service"/>
    <n v="484.7"/>
  </r>
  <r>
    <x v="2"/>
    <s v="11-100-00-661000-55630"/>
    <x v="0"/>
    <n v="100"/>
    <n v="0"/>
    <x v="2"/>
    <n v="55630"/>
    <x v="1"/>
    <s v="55"/>
    <s v="556"/>
    <x v="48"/>
    <s v="Planning &amp; Policy Making : Printing &amp; Duplicating - Inhouse"/>
    <n v="258.39"/>
  </r>
  <r>
    <x v="2"/>
    <s v="11-100-00-661000-55635"/>
    <x v="0"/>
    <n v="100"/>
    <n v="0"/>
    <x v="2"/>
    <n v="55635"/>
    <x v="1"/>
    <s v="55"/>
    <s v="556"/>
    <x v="49"/>
    <s v="Planning &amp; Policy Making : Printing Services - Vendor"/>
    <n v="500"/>
  </r>
  <r>
    <x v="2"/>
    <s v="11-100-00-661000-55800"/>
    <x v="0"/>
    <n v="100"/>
    <n v="0"/>
    <x v="2"/>
    <n v="55800"/>
    <x v="1"/>
    <s v="55"/>
    <s v="558"/>
    <x v="50"/>
    <s v="Planning &amp; Policy Making : Other Costs"/>
    <n v="994.95"/>
  </r>
  <r>
    <x v="2"/>
    <s v="11-100-00-661100-55300"/>
    <x v="0"/>
    <n v="100"/>
    <n v="0"/>
    <x v="3"/>
    <n v="55300"/>
    <x v="1"/>
    <s v="55"/>
    <s v="553"/>
    <x v="51"/>
    <s v="Accreditation : Memberships"/>
    <n v="0"/>
  </r>
  <r>
    <x v="2"/>
    <s v="11-100-00-662000-52130"/>
    <x v="0"/>
    <n v="100"/>
    <n v="0"/>
    <x v="4"/>
    <n v="52130"/>
    <x v="1"/>
    <s v="52"/>
    <s v="521"/>
    <x v="52"/>
    <s v="Board of Trustees : Classified Management"/>
    <n v="17040"/>
  </r>
  <r>
    <x v="2"/>
    <s v="11-100-00-662000-53220"/>
    <x v="0"/>
    <n v="100"/>
    <n v="0"/>
    <x v="4"/>
    <n v="53220"/>
    <x v="1"/>
    <s v="53"/>
    <s v="532"/>
    <x v="53"/>
    <s v="Board of Trustees : PERS Nonteaching"/>
    <n v="99.36"/>
  </r>
  <r>
    <x v="2"/>
    <s v="11-100-00-662000-53320"/>
    <x v="0"/>
    <n v="100"/>
    <n v="0"/>
    <x v="4"/>
    <n v="53320"/>
    <x v="1"/>
    <s v="53"/>
    <s v="533"/>
    <x v="54"/>
    <s v="Board of Trustees : OASDHI (FICA) Nonteaching"/>
    <n v="805.36"/>
  </r>
  <r>
    <x v="2"/>
    <s v="11-100-00-662000-53340"/>
    <x v="0"/>
    <n v="100"/>
    <n v="0"/>
    <x v="4"/>
    <n v="53340"/>
    <x v="1"/>
    <s v="53"/>
    <s v="533"/>
    <x v="55"/>
    <s v="Board of Trustees : Medicare Nonteaching"/>
    <n v="188.36"/>
  </r>
  <r>
    <x v="2"/>
    <s v="11-100-00-662000-53420"/>
    <x v="0"/>
    <n v="100"/>
    <n v="0"/>
    <x v="4"/>
    <n v="53420"/>
    <x v="1"/>
    <s v="53"/>
    <s v="534"/>
    <x v="56"/>
    <s v="Board of Trustees : H &amp; W Nonteaching"/>
    <n v="111344.75"/>
  </r>
  <r>
    <x v="2"/>
    <s v="11-100-00-662000-53430"/>
    <x v="0"/>
    <n v="100"/>
    <n v="0"/>
    <x v="4"/>
    <n v="53430"/>
    <x v="1"/>
    <s v="53"/>
    <s v="534"/>
    <x v="57"/>
    <s v="Board of Trustees : Trustee Benefits"/>
    <n v="1647"/>
  </r>
  <r>
    <x v="2"/>
    <s v="11-100-00-662000-53520"/>
    <x v="0"/>
    <n v="100"/>
    <n v="0"/>
    <x v="4"/>
    <n v="53520"/>
    <x v="1"/>
    <s v="53"/>
    <s v="535"/>
    <x v="58"/>
    <s v="Board of Trustees : SUI Nonteaching"/>
    <n v="7.74"/>
  </r>
  <r>
    <x v="2"/>
    <s v="11-100-00-662000-53620"/>
    <x v="0"/>
    <n v="100"/>
    <n v="0"/>
    <x v="4"/>
    <n v="53620"/>
    <x v="1"/>
    <s v="53"/>
    <s v="536"/>
    <x v="59"/>
    <s v="Board of Trustees : WC Nonteaching"/>
    <n v="322.33999999999997"/>
  </r>
  <r>
    <x v="2"/>
    <s v="11-100-00-662000-54210"/>
    <x v="0"/>
    <n v="100"/>
    <n v="0"/>
    <x v="4"/>
    <n v="54210"/>
    <x v="1"/>
    <s v="54"/>
    <s v="542"/>
    <x v="60"/>
    <s v="Board of Trustees : Purchases - Food"/>
    <n v="1785"/>
  </r>
  <r>
    <x v="2"/>
    <s v="11-100-00-662000-54300"/>
    <x v="0"/>
    <n v="100"/>
    <n v="0"/>
    <x v="4"/>
    <n v="54300"/>
    <x v="1"/>
    <s v="54"/>
    <s v="543"/>
    <x v="61"/>
    <s v="Board of Trustees : Supplies &amp; Materials"/>
    <n v="461.08"/>
  </r>
  <r>
    <x v="2"/>
    <s v="11-100-00-662000-55200"/>
    <x v="0"/>
    <n v="100"/>
    <n v="0"/>
    <x v="4"/>
    <n v="55200"/>
    <x v="1"/>
    <s v="55"/>
    <s v="552"/>
    <x v="62"/>
    <s v="Board of Trustees : Travel &amp; Conference"/>
    <n v="2045.66"/>
  </r>
  <r>
    <x v="2"/>
    <s v="11-100-00-662000-55300"/>
    <x v="0"/>
    <n v="100"/>
    <n v="0"/>
    <x v="4"/>
    <n v="55300"/>
    <x v="1"/>
    <s v="55"/>
    <s v="553"/>
    <x v="63"/>
    <s v="Board of Trustees : Memberships"/>
    <n v="150"/>
  </r>
  <r>
    <x v="2"/>
    <s v="11-100-00-662000-55710"/>
    <x v="0"/>
    <n v="100"/>
    <n v="0"/>
    <x v="4"/>
    <n v="55710"/>
    <x v="1"/>
    <s v="55"/>
    <s v="557"/>
    <x v="64"/>
    <s v="Board of Trustees : Elections"/>
    <n v="320114.25"/>
  </r>
  <r>
    <x v="2"/>
    <s v="11-100-00-662000-55800"/>
    <x v="0"/>
    <n v="100"/>
    <n v="0"/>
    <x v="4"/>
    <n v="55800"/>
    <x v="1"/>
    <s v="55"/>
    <s v="558"/>
    <x v="65"/>
    <s v="Board of Trustees : Other Costs"/>
    <n v="495.81"/>
  </r>
  <r>
    <x v="2"/>
    <s v="11-100-00-662000-57552"/>
    <x v="0"/>
    <n v="100"/>
    <n v="0"/>
    <x v="4"/>
    <n v="57552"/>
    <x v="1"/>
    <s v="57"/>
    <s v="575"/>
    <x v="66"/>
    <s v="Board of Trustees : Student Travel/Workshps/Meals"/>
    <n v="0"/>
  </r>
  <r>
    <x v="2"/>
    <s v="11-100-00-671020-55105"/>
    <x v="0"/>
    <n v="100"/>
    <n v="0"/>
    <x v="5"/>
    <n v="55105"/>
    <x v="1"/>
    <s v="55"/>
    <s v="551"/>
    <x v="67"/>
    <s v="Institutional Advancement : Contract Services"/>
    <n v="22669.200000000001"/>
  </r>
  <r>
    <x v="2"/>
    <s v="11-100-00-675020-55200"/>
    <x v="0"/>
    <n v="100"/>
    <n v="0"/>
    <x v="6"/>
    <n v="55200"/>
    <x v="1"/>
    <s v="55"/>
    <s v="552"/>
    <x v="68"/>
    <s v="Academic Senate : Travel &amp; Conference"/>
    <n v="5125"/>
  </r>
  <r>
    <x v="2"/>
    <s v="11-100-00-675020-55300"/>
    <x v="0"/>
    <n v="100"/>
    <n v="0"/>
    <x v="6"/>
    <n v="55300"/>
    <x v="1"/>
    <s v="55"/>
    <s v="553"/>
    <x v="69"/>
    <s v="Academic Senate : Memberships"/>
    <n v="2865"/>
  </r>
  <r>
    <x v="2"/>
    <s v="11-100-00-675020-55630"/>
    <x v="0"/>
    <n v="100"/>
    <n v="0"/>
    <x v="6"/>
    <n v="55630"/>
    <x v="1"/>
    <s v="55"/>
    <s v="556"/>
    <x v="70"/>
    <s v="Academic Senate : Printing &amp; Duplicating - Inhouse"/>
    <n v="0"/>
  </r>
  <r>
    <x v="2"/>
    <s v="11-100-00-680500-51205"/>
    <x v="0"/>
    <n v="100"/>
    <n v="0"/>
    <x v="7"/>
    <n v="51205"/>
    <x v="1"/>
    <s v="51"/>
    <s v="512"/>
    <x v="71"/>
    <s v="Community Information : Academic Nonteaching President"/>
    <n v="130172.4"/>
  </r>
  <r>
    <x v="2"/>
    <s v="11-100-00-680500-52120"/>
    <x v="0"/>
    <n v="100"/>
    <n v="0"/>
    <x v="7"/>
    <n v="52120"/>
    <x v="1"/>
    <s v="52"/>
    <s v="521"/>
    <x v="72"/>
    <s v="Community Information : Classified Confidential"/>
    <n v="38009.360000000001"/>
  </r>
  <r>
    <x v="2"/>
    <s v="11-100-00-680500-52300"/>
    <x v="0"/>
    <n v="100"/>
    <n v="0"/>
    <x v="7"/>
    <n v="52300"/>
    <x v="1"/>
    <s v="52"/>
    <s v="523"/>
    <x v="73"/>
    <s v="Community Information : Classified Overtime"/>
    <n v="920.68"/>
  </r>
  <r>
    <x v="2"/>
    <s v="11-100-00-680500-53120"/>
    <x v="0"/>
    <n v="100"/>
    <n v="0"/>
    <x v="7"/>
    <n v="53120"/>
    <x v="1"/>
    <s v="53"/>
    <s v="531"/>
    <x v="74"/>
    <s v="Community Information : STRS Nonteaching"/>
    <n v="726.75"/>
  </r>
  <r>
    <x v="2"/>
    <s v="11-100-00-680500-53220"/>
    <x v="0"/>
    <n v="100"/>
    <n v="0"/>
    <x v="7"/>
    <n v="53220"/>
    <x v="1"/>
    <s v="53"/>
    <s v="532"/>
    <x v="75"/>
    <s v="Community Information : PERS Nonteaching"/>
    <n v="22768.77"/>
  </r>
  <r>
    <x v="2"/>
    <s v="11-100-00-680500-53320"/>
    <x v="0"/>
    <n v="100"/>
    <n v="0"/>
    <x v="7"/>
    <n v="53320"/>
    <x v="1"/>
    <s v="53"/>
    <s v="533"/>
    <x v="76"/>
    <s v="Community Information : OASDHI (FICA) Nonteaching"/>
    <n v="6797.25"/>
  </r>
  <r>
    <x v="2"/>
    <s v="11-100-00-680500-53340"/>
    <x v="0"/>
    <n v="100"/>
    <n v="0"/>
    <x v="7"/>
    <n v="53340"/>
    <x v="1"/>
    <s v="53"/>
    <s v="533"/>
    <x v="77"/>
    <s v="Community Information : Medicare Nonteaching"/>
    <n v="2442.44"/>
  </r>
  <r>
    <x v="2"/>
    <s v="11-100-00-680500-53420"/>
    <x v="0"/>
    <n v="100"/>
    <n v="0"/>
    <x v="7"/>
    <n v="53420"/>
    <x v="1"/>
    <s v="53"/>
    <s v="534"/>
    <x v="78"/>
    <s v="Community Information : H &amp; W Nonteaching"/>
    <n v="25595.919999999998"/>
  </r>
  <r>
    <x v="2"/>
    <s v="11-100-00-680500-53520"/>
    <x v="0"/>
    <n v="100"/>
    <n v="0"/>
    <x v="7"/>
    <n v="53520"/>
    <x v="1"/>
    <s v="53"/>
    <s v="535"/>
    <x v="79"/>
    <s v="Community Information : SUI Nonteaching"/>
    <n v="84.39"/>
  </r>
  <r>
    <x v="2"/>
    <s v="11-100-00-680500-53620"/>
    <x v="0"/>
    <n v="100"/>
    <n v="0"/>
    <x v="7"/>
    <n v="53620"/>
    <x v="1"/>
    <s v="53"/>
    <s v="536"/>
    <x v="80"/>
    <s v="Community Information : WC Nonteaching"/>
    <n v="3209.2"/>
  </r>
  <r>
    <x v="2"/>
    <s v="11-100-00-680500-53902"/>
    <x v="0"/>
    <n v="100"/>
    <n v="0"/>
    <x v="7"/>
    <n v="53902"/>
    <x v="1"/>
    <s v="53"/>
    <s v="539"/>
    <x v="81"/>
    <s v="Community Information : Term Life Insurance - Crown"/>
    <n v="616.79999999999995"/>
  </r>
  <r>
    <x v="2"/>
    <s v="11-100-00-680500-53920"/>
    <x v="0"/>
    <n v="100"/>
    <n v="0"/>
    <x v="7"/>
    <n v="53920"/>
    <x v="1"/>
    <s v="53"/>
    <s v="539"/>
    <x v="82"/>
    <s v="Community Information : Other Benefit-Non Teaching"/>
    <n v="465.35"/>
  </r>
  <r>
    <x v="2"/>
    <s v="11-100-00-680500-55550"/>
    <x v="0"/>
    <n v="100"/>
    <n v="0"/>
    <x v="7"/>
    <n v="55550"/>
    <x v="1"/>
    <s v="55"/>
    <s v="555"/>
    <x v="83"/>
    <s v="Community Information : Telephone Service"/>
    <n v="192.5"/>
  </r>
  <r>
    <x v="2"/>
    <s v="11-100-00-680500-55630"/>
    <x v="0"/>
    <n v="100"/>
    <n v="0"/>
    <x v="7"/>
    <n v="55630"/>
    <x v="1"/>
    <s v="55"/>
    <s v="556"/>
    <x v="84"/>
    <s v="Community Information : Printing &amp; Duplicating - Inhouse"/>
    <n v="193.8"/>
  </r>
  <r>
    <x v="2"/>
    <s v="11-100-00-682000-52120"/>
    <x v="0"/>
    <n v="100"/>
    <n v="0"/>
    <x v="8"/>
    <n v="52120"/>
    <x v="1"/>
    <s v="52"/>
    <s v="521"/>
    <x v="85"/>
    <s v="Workforce &amp; Community Development : Classified Confidential"/>
    <n v="14642.66"/>
  </r>
  <r>
    <x v="2"/>
    <s v="11-100-00-682000-52300"/>
    <x v="0"/>
    <n v="100"/>
    <n v="0"/>
    <x v="8"/>
    <n v="52300"/>
    <x v="1"/>
    <s v="52"/>
    <s v="523"/>
    <x v="86"/>
    <s v="Workforce &amp; Community Development : Classified Overtime"/>
    <n v="43.35"/>
  </r>
  <r>
    <x v="2"/>
    <s v="11-100-00-682000-53220"/>
    <x v="0"/>
    <n v="100"/>
    <n v="0"/>
    <x v="8"/>
    <n v="53220"/>
    <x v="1"/>
    <s v="53"/>
    <s v="532"/>
    <x v="87"/>
    <s v="Workforce &amp; Community Development : PERS Nonteaching"/>
    <n v="3031.03"/>
  </r>
  <r>
    <x v="2"/>
    <s v="11-100-00-682000-53320"/>
    <x v="0"/>
    <n v="100"/>
    <n v="0"/>
    <x v="8"/>
    <n v="53320"/>
    <x v="1"/>
    <s v="53"/>
    <s v="533"/>
    <x v="88"/>
    <s v="Workforce &amp; Community Development : OASDHI (FICA) Nonteaching"/>
    <n v="894.62"/>
  </r>
  <r>
    <x v="2"/>
    <s v="11-100-00-682000-53340"/>
    <x v="0"/>
    <n v="100"/>
    <n v="0"/>
    <x v="8"/>
    <n v="53340"/>
    <x v="1"/>
    <s v="53"/>
    <s v="533"/>
    <x v="89"/>
    <s v="Workforce &amp; Community Development : Medicare Nonteaching"/>
    <n v="209.26"/>
  </r>
  <r>
    <x v="2"/>
    <s v="11-100-00-682000-53420"/>
    <x v="0"/>
    <n v="100"/>
    <n v="0"/>
    <x v="8"/>
    <n v="53420"/>
    <x v="1"/>
    <s v="53"/>
    <s v="534"/>
    <x v="90"/>
    <s v="Workforce &amp; Community Development : H &amp; W Nonteaching"/>
    <n v="4930.83"/>
  </r>
  <r>
    <x v="2"/>
    <s v="11-100-00-682000-53520"/>
    <x v="0"/>
    <n v="100"/>
    <n v="0"/>
    <x v="8"/>
    <n v="53520"/>
    <x v="1"/>
    <s v="53"/>
    <s v="535"/>
    <x v="91"/>
    <s v="Workforce &amp; Community Development : SUI Nonteaching"/>
    <n v="7.22"/>
  </r>
  <r>
    <x v="2"/>
    <s v="11-100-00-682000-53620"/>
    <x v="0"/>
    <n v="100"/>
    <n v="0"/>
    <x v="8"/>
    <n v="53620"/>
    <x v="1"/>
    <s v="53"/>
    <s v="536"/>
    <x v="92"/>
    <s v="Workforce &amp; Community Development : WC Nonteaching"/>
    <n v="277.66000000000003"/>
  </r>
  <r>
    <x v="2"/>
    <s v="11-100-00-682000-53920"/>
    <x v="0"/>
    <n v="100"/>
    <n v="0"/>
    <x v="8"/>
    <n v="53920"/>
    <x v="1"/>
    <s v="53"/>
    <s v="539"/>
    <x v="93"/>
    <s v="Workforce &amp; Community Development : Other Benefit-Non Teaching"/>
    <n v="465.34"/>
  </r>
  <r>
    <x v="2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15.23"/>
  </r>
  <r>
    <x v="2"/>
    <s v="11-100-00-684000-51205"/>
    <x v="0"/>
    <n v="100"/>
    <n v="0"/>
    <x v="9"/>
    <n v="51205"/>
    <x v="1"/>
    <s v="51"/>
    <s v="512"/>
    <x v="95"/>
    <s v="Community Relations &amp; Develop. : Academic Nonteaching President"/>
    <n v="130172.39"/>
  </r>
  <r>
    <x v="2"/>
    <s v="11-100-00-684000-52300"/>
    <x v="0"/>
    <n v="100"/>
    <n v="0"/>
    <x v="9"/>
    <n v="52300"/>
    <x v="1"/>
    <s v="52"/>
    <s v="523"/>
    <x v="96"/>
    <s v="Community Relations &amp; Develop. : Classified Overtime"/>
    <n v="876.9"/>
  </r>
  <r>
    <x v="2"/>
    <s v="11-100-00-684000-53120"/>
    <x v="0"/>
    <n v="100"/>
    <n v="0"/>
    <x v="9"/>
    <n v="53120"/>
    <x v="1"/>
    <s v="53"/>
    <s v="531"/>
    <x v="97"/>
    <s v="Community Relations &amp; Develop. : STRS Nonteaching"/>
    <n v="726.75"/>
  </r>
  <r>
    <x v="2"/>
    <s v="11-100-00-684000-53220"/>
    <x v="0"/>
    <n v="100"/>
    <n v="0"/>
    <x v="9"/>
    <n v="53220"/>
    <x v="1"/>
    <s v="53"/>
    <s v="532"/>
    <x v="98"/>
    <s v="Community Relations &amp; Develop. : PERS Nonteaching"/>
    <n v="14900.81"/>
  </r>
  <r>
    <x v="2"/>
    <s v="11-100-00-684000-53320"/>
    <x v="0"/>
    <n v="100"/>
    <n v="0"/>
    <x v="9"/>
    <n v="53320"/>
    <x v="1"/>
    <s v="53"/>
    <s v="533"/>
    <x v="99"/>
    <s v="Community Relations &amp; Develop. : OASDHI (FICA) Nonteaching"/>
    <n v="4501.5"/>
  </r>
  <r>
    <x v="2"/>
    <s v="11-100-00-684000-53340"/>
    <x v="0"/>
    <n v="100"/>
    <n v="0"/>
    <x v="9"/>
    <n v="53340"/>
    <x v="1"/>
    <s v="53"/>
    <s v="533"/>
    <x v="100"/>
    <s v="Community Relations &amp; Develop. : Medicare Nonteaching"/>
    <n v="1905.52"/>
  </r>
  <r>
    <x v="2"/>
    <s v="11-100-00-684000-53420"/>
    <x v="0"/>
    <n v="100"/>
    <n v="0"/>
    <x v="9"/>
    <n v="53420"/>
    <x v="1"/>
    <s v="53"/>
    <s v="534"/>
    <x v="101"/>
    <s v="Community Relations &amp; Develop. : H &amp; W Nonteaching"/>
    <n v="12548.31"/>
  </r>
  <r>
    <x v="2"/>
    <s v="11-100-00-684000-53520"/>
    <x v="0"/>
    <n v="100"/>
    <n v="0"/>
    <x v="9"/>
    <n v="53520"/>
    <x v="1"/>
    <s v="53"/>
    <s v="535"/>
    <x v="102"/>
    <s v="Community Relations &amp; Develop. : SUI Nonteaching"/>
    <n v="65.900000000000006"/>
  </r>
  <r>
    <x v="2"/>
    <s v="11-100-00-684000-53620"/>
    <x v="0"/>
    <n v="100"/>
    <n v="0"/>
    <x v="9"/>
    <n v="53620"/>
    <x v="1"/>
    <s v="53"/>
    <s v="536"/>
    <x v="103"/>
    <s v="Community Relations &amp; Develop. : WC Nonteaching"/>
    <n v="2489.73"/>
  </r>
  <r>
    <x v="2"/>
    <s v="11-100-00-684000-53902"/>
    <x v="0"/>
    <n v="100"/>
    <n v="0"/>
    <x v="9"/>
    <n v="53902"/>
    <x v="1"/>
    <s v="53"/>
    <s v="539"/>
    <x v="104"/>
    <s v="Community Relations &amp; Develop. : Term Life Insurance - Crown"/>
    <n v="616.79999999999995"/>
  </r>
  <r>
    <x v="2"/>
    <s v="11-100-00-684000-55550"/>
    <x v="0"/>
    <n v="100"/>
    <n v="0"/>
    <x v="9"/>
    <n v="55550"/>
    <x v="1"/>
    <s v="55"/>
    <s v="555"/>
    <x v="105"/>
    <s v="Community Relations &amp; Develop. : Telephone Service"/>
    <n v="192.5"/>
  </r>
  <r>
    <x v="2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178.57"/>
  </r>
  <r>
    <x v="2"/>
    <s v="11-120-02-010100-51311"/>
    <x v="0"/>
    <n v="120"/>
    <n v="2"/>
    <x v="10"/>
    <n v="51311"/>
    <x v="1"/>
    <s v="51"/>
    <s v="513"/>
    <x v="107"/>
    <s v="Agriculture Technology : Academic Teaching PT"/>
    <n v="624.05999999999995"/>
  </r>
  <r>
    <x v="2"/>
    <s v="11-120-02-010100-53310"/>
    <x v="0"/>
    <n v="120"/>
    <n v="2"/>
    <x v="10"/>
    <n v="53310"/>
    <x v="1"/>
    <s v="53"/>
    <s v="533"/>
    <x v="108"/>
    <s v="Agriculture Technology : OASDHI (FICA) Teaching"/>
    <n v="38.69"/>
  </r>
  <r>
    <x v="2"/>
    <s v="11-120-02-010100-53330"/>
    <x v="0"/>
    <n v="120"/>
    <n v="2"/>
    <x v="10"/>
    <n v="53330"/>
    <x v="1"/>
    <s v="53"/>
    <s v="533"/>
    <x v="109"/>
    <s v="Agriculture Technology : Medicare Teaching"/>
    <n v="9.0500000000000007"/>
  </r>
  <r>
    <x v="2"/>
    <s v="11-120-02-010100-53510"/>
    <x v="0"/>
    <n v="120"/>
    <n v="2"/>
    <x v="10"/>
    <n v="53510"/>
    <x v="1"/>
    <s v="53"/>
    <s v="535"/>
    <x v="110"/>
    <s v="Agriculture Technology : SUI Teaching"/>
    <n v="0.31"/>
  </r>
  <r>
    <x v="2"/>
    <s v="11-120-02-010100-53610"/>
    <x v="0"/>
    <n v="120"/>
    <n v="2"/>
    <x v="10"/>
    <n v="53610"/>
    <x v="1"/>
    <s v="53"/>
    <s v="536"/>
    <x v="111"/>
    <s v="Agriculture Technology : WC Teaching"/>
    <n v="11.8"/>
  </r>
  <r>
    <x v="2"/>
    <s v="11-120-02-040110-51311"/>
    <x v="0"/>
    <n v="120"/>
    <n v="2"/>
    <x v="11"/>
    <n v="51311"/>
    <x v="1"/>
    <s v="51"/>
    <s v="513"/>
    <x v="112"/>
    <s v="Biology : Academic Teaching PT"/>
    <n v="19822.93"/>
  </r>
  <r>
    <x v="2"/>
    <s v="11-120-02-040110-53110"/>
    <x v="0"/>
    <n v="120"/>
    <n v="2"/>
    <x v="11"/>
    <n v="53110"/>
    <x v="1"/>
    <s v="53"/>
    <s v="531"/>
    <x v="113"/>
    <s v="Biology : STRS Teaching"/>
    <n v="671.22"/>
  </r>
  <r>
    <x v="2"/>
    <s v="11-120-02-040110-53310"/>
    <x v="0"/>
    <n v="120"/>
    <n v="2"/>
    <x v="11"/>
    <n v="53310"/>
    <x v="1"/>
    <s v="53"/>
    <s v="533"/>
    <x v="114"/>
    <s v="Biology : OASDHI (FICA) Teaching"/>
    <n v="144.87"/>
  </r>
  <r>
    <x v="2"/>
    <s v="11-120-02-040110-53330"/>
    <x v="0"/>
    <n v="120"/>
    <n v="2"/>
    <x v="11"/>
    <n v="53330"/>
    <x v="1"/>
    <s v="53"/>
    <s v="533"/>
    <x v="115"/>
    <s v="Biology : Medicare Teaching"/>
    <n v="287.44"/>
  </r>
  <r>
    <x v="2"/>
    <s v="11-120-02-040110-53510"/>
    <x v="0"/>
    <n v="120"/>
    <n v="2"/>
    <x v="11"/>
    <n v="53510"/>
    <x v="1"/>
    <s v="53"/>
    <s v="535"/>
    <x v="116"/>
    <s v="Biology : SUI Teaching"/>
    <n v="9.93"/>
  </r>
  <r>
    <x v="2"/>
    <s v="11-120-02-040110-53610"/>
    <x v="0"/>
    <n v="120"/>
    <n v="2"/>
    <x v="11"/>
    <n v="53610"/>
    <x v="1"/>
    <s v="53"/>
    <s v="536"/>
    <x v="117"/>
    <s v="Biology : WC Teaching"/>
    <n v="374.84"/>
  </r>
  <r>
    <x v="2"/>
    <s v="11-120-02-050000-51310"/>
    <x v="0"/>
    <n v="120"/>
    <n v="2"/>
    <x v="12"/>
    <n v="51310"/>
    <x v="1"/>
    <s v="51"/>
    <s v="513"/>
    <x v="118"/>
    <s v="Business Education : Academic Teaching NIC"/>
    <n v="3580.74"/>
  </r>
  <r>
    <x v="2"/>
    <s v="11-120-02-050000-51311"/>
    <x v="0"/>
    <n v="120"/>
    <n v="2"/>
    <x v="12"/>
    <n v="51311"/>
    <x v="1"/>
    <s v="51"/>
    <s v="513"/>
    <x v="119"/>
    <s v="Business Education : Academic Teaching PT"/>
    <n v="20982.240000000002"/>
  </r>
  <r>
    <x v="2"/>
    <s v="11-120-02-050000-53110"/>
    <x v="0"/>
    <n v="120"/>
    <n v="2"/>
    <x v="12"/>
    <n v="53110"/>
    <x v="1"/>
    <s v="53"/>
    <s v="531"/>
    <x v="120"/>
    <s v="Business Education : STRS Teaching"/>
    <n v="3966.94"/>
  </r>
  <r>
    <x v="2"/>
    <s v="11-120-02-050000-53330"/>
    <x v="0"/>
    <n v="120"/>
    <n v="2"/>
    <x v="12"/>
    <n v="53330"/>
    <x v="1"/>
    <s v="53"/>
    <s v="533"/>
    <x v="121"/>
    <s v="Business Education : Medicare Teaching"/>
    <n v="356.22"/>
  </r>
  <r>
    <x v="2"/>
    <s v="11-120-02-050000-53510"/>
    <x v="0"/>
    <n v="120"/>
    <n v="2"/>
    <x v="12"/>
    <n v="53510"/>
    <x v="1"/>
    <s v="53"/>
    <s v="535"/>
    <x v="122"/>
    <s v="Business Education : SUI Teaching"/>
    <n v="12.28"/>
  </r>
  <r>
    <x v="2"/>
    <s v="11-120-02-050000-53610"/>
    <x v="0"/>
    <n v="120"/>
    <n v="2"/>
    <x v="12"/>
    <n v="53610"/>
    <x v="1"/>
    <s v="53"/>
    <s v="536"/>
    <x v="123"/>
    <s v="Business Education : WC Teaching"/>
    <n v="464.41"/>
  </r>
  <r>
    <x v="2"/>
    <s v="11-120-02-070100-51311"/>
    <x v="0"/>
    <n v="120"/>
    <n v="2"/>
    <x v="13"/>
    <n v="51311"/>
    <x v="1"/>
    <s v="51"/>
    <s v="513"/>
    <x v="124"/>
    <s v="Computer &amp; Information Science : Academic Teaching PT"/>
    <n v="15583.3"/>
  </r>
  <r>
    <x v="2"/>
    <s v="11-120-02-070100-53110"/>
    <x v="0"/>
    <n v="120"/>
    <n v="2"/>
    <x v="13"/>
    <n v="53110"/>
    <x v="1"/>
    <s v="53"/>
    <s v="531"/>
    <x v="125"/>
    <s v="Computer &amp; Information Science : STRS Teaching"/>
    <n v="2516.75"/>
  </r>
  <r>
    <x v="2"/>
    <s v="11-120-02-070100-53330"/>
    <x v="0"/>
    <n v="120"/>
    <n v="2"/>
    <x v="13"/>
    <n v="53330"/>
    <x v="1"/>
    <s v="53"/>
    <s v="533"/>
    <x v="126"/>
    <s v="Computer &amp; Information Science : Medicare Teaching"/>
    <n v="225.95"/>
  </r>
  <r>
    <x v="2"/>
    <s v="11-120-02-070100-53510"/>
    <x v="0"/>
    <n v="120"/>
    <n v="2"/>
    <x v="13"/>
    <n v="53510"/>
    <x v="1"/>
    <s v="53"/>
    <s v="535"/>
    <x v="127"/>
    <s v="Computer &amp; Information Science : SUI Teaching"/>
    <n v="7.8"/>
  </r>
  <r>
    <x v="2"/>
    <s v="11-120-02-070100-53610"/>
    <x v="0"/>
    <n v="120"/>
    <n v="2"/>
    <x v="13"/>
    <n v="53610"/>
    <x v="1"/>
    <s v="53"/>
    <s v="536"/>
    <x v="128"/>
    <s v="Computer &amp; Information Science : WC Teaching"/>
    <n v="294.66000000000003"/>
  </r>
  <r>
    <x v="2"/>
    <s v="11-120-02-100200-51311"/>
    <x v="0"/>
    <n v="120"/>
    <n v="2"/>
    <x v="14"/>
    <n v="51311"/>
    <x v="1"/>
    <s v="51"/>
    <s v="513"/>
    <x v="129"/>
    <s v="Art : Academic Teaching PT"/>
    <n v="0"/>
  </r>
  <r>
    <x v="2"/>
    <s v="11-120-02-100200-53110"/>
    <x v="0"/>
    <n v="120"/>
    <n v="2"/>
    <x v="14"/>
    <n v="53110"/>
    <x v="1"/>
    <s v="53"/>
    <s v="531"/>
    <x v="130"/>
    <s v="Art : STRS Teaching"/>
    <n v="0"/>
  </r>
  <r>
    <x v="2"/>
    <s v="11-120-02-100200-53330"/>
    <x v="0"/>
    <n v="120"/>
    <n v="2"/>
    <x v="14"/>
    <n v="53330"/>
    <x v="1"/>
    <s v="53"/>
    <s v="533"/>
    <x v="131"/>
    <s v="Art : Medicare Teaching"/>
    <n v="0"/>
  </r>
  <r>
    <x v="2"/>
    <s v="11-120-02-100200-53510"/>
    <x v="0"/>
    <n v="120"/>
    <n v="2"/>
    <x v="14"/>
    <n v="53510"/>
    <x v="1"/>
    <s v="53"/>
    <s v="535"/>
    <x v="132"/>
    <s v="Art : SUI Teaching"/>
    <n v="0"/>
  </r>
  <r>
    <x v="2"/>
    <s v="11-120-02-100200-53610"/>
    <x v="0"/>
    <n v="120"/>
    <n v="2"/>
    <x v="14"/>
    <n v="53610"/>
    <x v="1"/>
    <s v="53"/>
    <s v="536"/>
    <x v="133"/>
    <s v="Art : WC Teaching"/>
    <n v="0"/>
  </r>
  <r>
    <x v="2"/>
    <s v="11-120-02-100400-51311"/>
    <x v="0"/>
    <n v="120"/>
    <n v="2"/>
    <x v="15"/>
    <n v="51311"/>
    <x v="1"/>
    <s v="51"/>
    <s v="513"/>
    <x v="134"/>
    <s v="Music : Academic Teaching PT"/>
    <n v="5216.3999999999996"/>
  </r>
  <r>
    <x v="2"/>
    <s v="11-120-02-100400-53110"/>
    <x v="0"/>
    <n v="120"/>
    <n v="2"/>
    <x v="15"/>
    <n v="53110"/>
    <x v="1"/>
    <s v="53"/>
    <s v="531"/>
    <x v="135"/>
    <s v="Music : STRS Teaching"/>
    <n v="842.46"/>
  </r>
  <r>
    <x v="2"/>
    <s v="11-120-02-100400-53330"/>
    <x v="0"/>
    <n v="120"/>
    <n v="2"/>
    <x v="15"/>
    <n v="53330"/>
    <x v="1"/>
    <s v="53"/>
    <s v="533"/>
    <x v="136"/>
    <s v="Music : Medicare Teaching"/>
    <n v="75.64"/>
  </r>
  <r>
    <x v="2"/>
    <s v="11-120-02-100400-53510"/>
    <x v="0"/>
    <n v="120"/>
    <n v="2"/>
    <x v="15"/>
    <n v="53510"/>
    <x v="1"/>
    <s v="53"/>
    <s v="535"/>
    <x v="137"/>
    <s v="Music : SUI Teaching"/>
    <n v="2.62"/>
  </r>
  <r>
    <x v="2"/>
    <s v="11-120-02-100400-53610"/>
    <x v="0"/>
    <n v="120"/>
    <n v="2"/>
    <x v="15"/>
    <n v="53610"/>
    <x v="1"/>
    <s v="53"/>
    <s v="536"/>
    <x v="138"/>
    <s v="Music : WC Teaching"/>
    <n v="98.62"/>
  </r>
  <r>
    <x v="2"/>
    <s v="11-120-02-101100-51311"/>
    <x v="0"/>
    <n v="120"/>
    <n v="2"/>
    <x v="16"/>
    <n v="51311"/>
    <x v="1"/>
    <s v="51"/>
    <s v="513"/>
    <x v="139"/>
    <s v="Photography : Academic Teaching PT"/>
    <n v="7921.54"/>
  </r>
  <r>
    <x v="2"/>
    <s v="11-120-02-101100-53110"/>
    <x v="0"/>
    <n v="120"/>
    <n v="2"/>
    <x v="16"/>
    <n v="53110"/>
    <x v="1"/>
    <s v="53"/>
    <s v="531"/>
    <x v="140"/>
    <s v="Photography : STRS Teaching"/>
    <n v="1279.33"/>
  </r>
  <r>
    <x v="2"/>
    <s v="11-120-02-101100-53330"/>
    <x v="0"/>
    <n v="120"/>
    <n v="2"/>
    <x v="16"/>
    <n v="53330"/>
    <x v="1"/>
    <s v="53"/>
    <s v="533"/>
    <x v="141"/>
    <s v="Photography : Medicare Teaching"/>
    <n v="114.84"/>
  </r>
  <r>
    <x v="2"/>
    <s v="11-120-02-101100-53510"/>
    <x v="0"/>
    <n v="120"/>
    <n v="2"/>
    <x v="16"/>
    <n v="53510"/>
    <x v="1"/>
    <s v="53"/>
    <s v="535"/>
    <x v="142"/>
    <s v="Photography : SUI Teaching"/>
    <n v="3.96"/>
  </r>
  <r>
    <x v="2"/>
    <s v="11-120-02-101100-53610"/>
    <x v="0"/>
    <n v="120"/>
    <n v="2"/>
    <x v="16"/>
    <n v="53610"/>
    <x v="1"/>
    <s v="53"/>
    <s v="536"/>
    <x v="143"/>
    <s v="Photography : WC Teaching"/>
    <n v="149.79"/>
  </r>
  <r>
    <x v="2"/>
    <s v="11-120-02-110500-51311"/>
    <x v="0"/>
    <n v="120"/>
    <n v="2"/>
    <x v="17"/>
    <n v="51311"/>
    <x v="1"/>
    <s v="51"/>
    <s v="513"/>
    <x v="144"/>
    <s v="Spanish : Academic Teaching PT"/>
    <n v="32758.560000000001"/>
  </r>
  <r>
    <x v="2"/>
    <s v="11-120-02-110500-53110"/>
    <x v="0"/>
    <n v="120"/>
    <n v="2"/>
    <x v="17"/>
    <n v="53110"/>
    <x v="1"/>
    <s v="53"/>
    <s v="531"/>
    <x v="145"/>
    <s v="Spanish : STRS Teaching"/>
    <n v="5290.5"/>
  </r>
  <r>
    <x v="2"/>
    <s v="11-120-02-110500-53330"/>
    <x v="0"/>
    <n v="120"/>
    <n v="2"/>
    <x v="17"/>
    <n v="53330"/>
    <x v="1"/>
    <s v="53"/>
    <s v="533"/>
    <x v="146"/>
    <s v="Spanish : Medicare Teaching"/>
    <n v="474.96"/>
  </r>
  <r>
    <x v="2"/>
    <s v="11-120-02-110500-53510"/>
    <x v="0"/>
    <n v="120"/>
    <n v="2"/>
    <x v="17"/>
    <n v="53510"/>
    <x v="1"/>
    <s v="53"/>
    <s v="535"/>
    <x v="147"/>
    <s v="Spanish : SUI Teaching"/>
    <n v="16.37"/>
  </r>
  <r>
    <x v="2"/>
    <s v="11-120-02-110500-53610"/>
    <x v="0"/>
    <n v="120"/>
    <n v="2"/>
    <x v="17"/>
    <n v="53610"/>
    <x v="1"/>
    <s v="53"/>
    <s v="536"/>
    <x v="148"/>
    <s v="Spanish : WC Teaching"/>
    <n v="619.4"/>
  </r>
  <r>
    <x v="2"/>
    <s v="11-120-02-130500-51311"/>
    <x v="0"/>
    <n v="120"/>
    <n v="2"/>
    <x v="18"/>
    <n v="51311"/>
    <x v="1"/>
    <s v="51"/>
    <s v="513"/>
    <x v="149"/>
    <s v="Early Childhood Education : Academic Teaching PT"/>
    <n v="5539.12"/>
  </r>
  <r>
    <x v="2"/>
    <s v="11-120-02-130500-53110"/>
    <x v="0"/>
    <n v="120"/>
    <n v="2"/>
    <x v="18"/>
    <n v="53110"/>
    <x v="1"/>
    <s v="53"/>
    <s v="531"/>
    <x v="150"/>
    <s v="Early Childhood Education : STRS Teaching"/>
    <n v="0"/>
  </r>
  <r>
    <x v="2"/>
    <s v="11-120-02-130500-53310"/>
    <x v="0"/>
    <n v="120"/>
    <n v="2"/>
    <x v="18"/>
    <n v="53310"/>
    <x v="1"/>
    <s v="53"/>
    <s v="533"/>
    <x v="151"/>
    <s v="Early Childhood Education : OASDHI (FICA) Teaching"/>
    <n v="343.44"/>
  </r>
  <r>
    <x v="2"/>
    <s v="11-120-02-130500-53330"/>
    <x v="0"/>
    <n v="120"/>
    <n v="2"/>
    <x v="18"/>
    <n v="53330"/>
    <x v="1"/>
    <s v="53"/>
    <s v="533"/>
    <x v="152"/>
    <s v="Early Childhood Education : Medicare Teaching"/>
    <n v="80.319999999999993"/>
  </r>
  <r>
    <x v="2"/>
    <s v="11-120-02-130500-53510"/>
    <x v="0"/>
    <n v="120"/>
    <n v="2"/>
    <x v="18"/>
    <n v="53510"/>
    <x v="1"/>
    <s v="53"/>
    <s v="535"/>
    <x v="153"/>
    <s v="Early Childhood Education : SUI Teaching"/>
    <n v="2.8"/>
  </r>
  <r>
    <x v="2"/>
    <s v="11-120-02-130500-53610"/>
    <x v="0"/>
    <n v="120"/>
    <n v="2"/>
    <x v="18"/>
    <n v="53610"/>
    <x v="1"/>
    <s v="53"/>
    <s v="536"/>
    <x v="154"/>
    <s v="Early Childhood Education : WC Teaching"/>
    <n v="104.72"/>
  </r>
  <r>
    <x v="2"/>
    <s v="11-120-02-150100-51311"/>
    <x v="0"/>
    <n v="120"/>
    <n v="2"/>
    <x v="19"/>
    <n v="51311"/>
    <x v="1"/>
    <s v="51"/>
    <s v="513"/>
    <x v="155"/>
    <s v="English : Academic Teaching PT"/>
    <n v="54276.62"/>
  </r>
  <r>
    <x v="2"/>
    <s v="11-120-02-150100-53110"/>
    <x v="0"/>
    <n v="120"/>
    <n v="2"/>
    <x v="19"/>
    <n v="53110"/>
    <x v="1"/>
    <s v="53"/>
    <s v="531"/>
    <x v="156"/>
    <s v="English : STRS Teaching"/>
    <n v="8416.76"/>
  </r>
  <r>
    <x v="2"/>
    <s v="11-120-02-150100-53310"/>
    <x v="0"/>
    <n v="120"/>
    <n v="2"/>
    <x v="19"/>
    <n v="53310"/>
    <x v="1"/>
    <s v="53"/>
    <s v="533"/>
    <x v="157"/>
    <s v="English : OASDHI (FICA) Teaching"/>
    <n v="133.94999999999999"/>
  </r>
  <r>
    <x v="2"/>
    <s v="11-120-02-150100-53330"/>
    <x v="0"/>
    <n v="120"/>
    <n v="2"/>
    <x v="19"/>
    <n v="53330"/>
    <x v="1"/>
    <s v="53"/>
    <s v="533"/>
    <x v="158"/>
    <s v="English : Medicare Teaching"/>
    <n v="787.01"/>
  </r>
  <r>
    <x v="2"/>
    <s v="11-120-02-150100-53510"/>
    <x v="0"/>
    <n v="120"/>
    <n v="2"/>
    <x v="19"/>
    <n v="53510"/>
    <x v="1"/>
    <s v="53"/>
    <s v="535"/>
    <x v="159"/>
    <s v="English : SUI Teaching"/>
    <n v="27.13"/>
  </r>
  <r>
    <x v="2"/>
    <s v="11-120-02-150100-53610"/>
    <x v="0"/>
    <n v="120"/>
    <n v="2"/>
    <x v="19"/>
    <n v="53610"/>
    <x v="1"/>
    <s v="53"/>
    <s v="536"/>
    <x v="160"/>
    <s v="English : WC Teaching"/>
    <n v="1026.31"/>
  </r>
  <r>
    <x v="2"/>
    <s v="11-120-02-150100-55630"/>
    <x v="0"/>
    <n v="120"/>
    <n v="2"/>
    <x v="19"/>
    <n v="55630"/>
    <x v="1"/>
    <s v="55"/>
    <s v="556"/>
    <x v="161"/>
    <s v="English : Printing &amp; Duplicating - Inhouse"/>
    <n v="0"/>
  </r>
  <r>
    <x v="2"/>
    <s v="11-120-02-150600-51311"/>
    <x v="0"/>
    <n v="120"/>
    <n v="2"/>
    <x v="20"/>
    <n v="51311"/>
    <x v="1"/>
    <s v="51"/>
    <s v="513"/>
    <x v="162"/>
    <s v="Speech : Academic Teaching PT"/>
    <n v="33362.879999999997"/>
  </r>
  <r>
    <x v="2"/>
    <s v="11-120-02-150600-53110"/>
    <x v="0"/>
    <n v="120"/>
    <n v="2"/>
    <x v="20"/>
    <n v="53110"/>
    <x v="1"/>
    <s v="53"/>
    <s v="531"/>
    <x v="163"/>
    <s v="Speech : STRS Teaching"/>
    <n v="5388.14"/>
  </r>
  <r>
    <x v="2"/>
    <s v="11-120-02-150600-53330"/>
    <x v="0"/>
    <n v="120"/>
    <n v="2"/>
    <x v="20"/>
    <n v="53330"/>
    <x v="1"/>
    <s v="53"/>
    <s v="533"/>
    <x v="164"/>
    <s v="Speech : Medicare Teaching"/>
    <n v="483.77"/>
  </r>
  <r>
    <x v="2"/>
    <s v="11-120-02-150600-53510"/>
    <x v="0"/>
    <n v="120"/>
    <n v="2"/>
    <x v="20"/>
    <n v="53510"/>
    <x v="1"/>
    <s v="53"/>
    <s v="535"/>
    <x v="165"/>
    <s v="Speech : SUI Teaching"/>
    <n v="16.690000000000001"/>
  </r>
  <r>
    <x v="2"/>
    <s v="11-120-02-150600-53610"/>
    <x v="0"/>
    <n v="120"/>
    <n v="2"/>
    <x v="20"/>
    <n v="53610"/>
    <x v="1"/>
    <s v="53"/>
    <s v="536"/>
    <x v="166"/>
    <s v="Speech : WC Teaching"/>
    <n v="630.86"/>
  </r>
  <r>
    <x v="2"/>
    <s v="11-120-02-150600-55630"/>
    <x v="0"/>
    <n v="120"/>
    <n v="2"/>
    <x v="20"/>
    <n v="55630"/>
    <x v="1"/>
    <s v="55"/>
    <s v="556"/>
    <x v="167"/>
    <s v="Speech : Printing &amp; Duplicating - Inhouse"/>
    <n v="0"/>
  </r>
  <r>
    <x v="2"/>
    <s v="11-120-02-170100-51311"/>
    <x v="0"/>
    <n v="120"/>
    <n v="2"/>
    <x v="21"/>
    <n v="51311"/>
    <x v="1"/>
    <s v="51"/>
    <s v="513"/>
    <x v="168"/>
    <s v="Mathematics : Academic Teaching PT"/>
    <n v="9229.92"/>
  </r>
  <r>
    <x v="2"/>
    <s v="11-120-02-170100-53110"/>
    <x v="0"/>
    <n v="120"/>
    <n v="2"/>
    <x v="21"/>
    <n v="53110"/>
    <x v="1"/>
    <s v="53"/>
    <s v="531"/>
    <x v="169"/>
    <s v="Mathematics : STRS Teaching"/>
    <n v="1490.61"/>
  </r>
  <r>
    <x v="2"/>
    <s v="11-120-02-170100-53330"/>
    <x v="0"/>
    <n v="120"/>
    <n v="2"/>
    <x v="21"/>
    <n v="53330"/>
    <x v="1"/>
    <s v="53"/>
    <s v="533"/>
    <x v="170"/>
    <s v="Mathematics : Medicare Teaching"/>
    <n v="133.83000000000001"/>
  </r>
  <r>
    <x v="2"/>
    <s v="11-120-02-170100-53510"/>
    <x v="0"/>
    <n v="120"/>
    <n v="2"/>
    <x v="21"/>
    <n v="53510"/>
    <x v="1"/>
    <s v="53"/>
    <s v="535"/>
    <x v="171"/>
    <s v="Mathematics : SUI Teaching"/>
    <n v="4.5999999999999996"/>
  </r>
  <r>
    <x v="2"/>
    <s v="11-120-02-170100-53610"/>
    <x v="0"/>
    <n v="120"/>
    <n v="2"/>
    <x v="21"/>
    <n v="53610"/>
    <x v="1"/>
    <s v="53"/>
    <s v="536"/>
    <x v="172"/>
    <s v="Mathematics : WC Teaching"/>
    <n v="174.52"/>
  </r>
  <r>
    <x v="2"/>
    <s v="11-120-02-170100-55630"/>
    <x v="0"/>
    <n v="120"/>
    <n v="2"/>
    <x v="21"/>
    <n v="55630"/>
    <x v="1"/>
    <s v="55"/>
    <s v="556"/>
    <x v="173"/>
    <s v="Mathematics : Printing &amp; Duplicating - Inhouse"/>
    <n v="0"/>
  </r>
  <r>
    <x v="2"/>
    <s v="11-120-02-190200-51311"/>
    <x v="0"/>
    <n v="120"/>
    <n v="2"/>
    <x v="22"/>
    <n v="51311"/>
    <x v="1"/>
    <s v="51"/>
    <s v="513"/>
    <x v="174"/>
    <s v="Physics : Academic Teaching PT"/>
    <n v="4481.58"/>
  </r>
  <r>
    <x v="2"/>
    <s v="11-120-02-190200-53110"/>
    <x v="0"/>
    <n v="120"/>
    <n v="2"/>
    <x v="22"/>
    <n v="53110"/>
    <x v="1"/>
    <s v="53"/>
    <s v="531"/>
    <x v="175"/>
    <s v="Physics : STRS Teaching"/>
    <n v="723.78"/>
  </r>
  <r>
    <x v="2"/>
    <s v="11-120-02-190200-53330"/>
    <x v="0"/>
    <n v="120"/>
    <n v="2"/>
    <x v="22"/>
    <n v="53330"/>
    <x v="1"/>
    <s v="53"/>
    <s v="533"/>
    <x v="176"/>
    <s v="Physics : Medicare Teaching"/>
    <n v="64.98"/>
  </r>
  <r>
    <x v="2"/>
    <s v="11-120-02-190200-53510"/>
    <x v="0"/>
    <n v="120"/>
    <n v="2"/>
    <x v="22"/>
    <n v="53510"/>
    <x v="1"/>
    <s v="53"/>
    <s v="535"/>
    <x v="177"/>
    <s v="Physics : SUI Teaching"/>
    <n v="2.2200000000000002"/>
  </r>
  <r>
    <x v="2"/>
    <s v="11-120-02-190200-53610"/>
    <x v="0"/>
    <n v="120"/>
    <n v="2"/>
    <x v="22"/>
    <n v="53610"/>
    <x v="1"/>
    <s v="53"/>
    <s v="536"/>
    <x v="178"/>
    <s v="Physics : WC Teaching"/>
    <n v="84.75"/>
  </r>
  <r>
    <x v="2"/>
    <s v="11-120-02-190200-55630"/>
    <x v="0"/>
    <n v="120"/>
    <n v="2"/>
    <x v="22"/>
    <n v="55630"/>
    <x v="1"/>
    <s v="55"/>
    <s v="556"/>
    <x v="179"/>
    <s v="Physics : Printing &amp; Duplicating - Inhouse"/>
    <n v="0"/>
  </r>
  <r>
    <x v="2"/>
    <s v="11-120-02-191900-51311"/>
    <x v="0"/>
    <n v="120"/>
    <n v="2"/>
    <x v="23"/>
    <n v="51311"/>
    <x v="1"/>
    <s v="51"/>
    <s v="513"/>
    <x v="180"/>
    <s v="Oceanography : Academic Teaching PT"/>
    <n v="0"/>
  </r>
  <r>
    <x v="2"/>
    <s v="11-120-02-191900-53110"/>
    <x v="0"/>
    <n v="120"/>
    <n v="2"/>
    <x v="23"/>
    <n v="53110"/>
    <x v="1"/>
    <s v="53"/>
    <s v="531"/>
    <x v="181"/>
    <s v="Oceanography : STRS Teaching"/>
    <n v="0"/>
  </r>
  <r>
    <x v="2"/>
    <s v="11-120-02-191900-53330"/>
    <x v="0"/>
    <n v="120"/>
    <n v="2"/>
    <x v="23"/>
    <n v="53330"/>
    <x v="1"/>
    <s v="53"/>
    <s v="533"/>
    <x v="182"/>
    <s v="Oceanography : Medicare Teaching"/>
    <n v="0"/>
  </r>
  <r>
    <x v="2"/>
    <s v="11-120-02-191900-53510"/>
    <x v="0"/>
    <n v="120"/>
    <n v="2"/>
    <x v="23"/>
    <n v="53510"/>
    <x v="1"/>
    <s v="53"/>
    <s v="535"/>
    <x v="183"/>
    <s v="Oceanography : SUI Teaching"/>
    <n v="0"/>
  </r>
  <r>
    <x v="2"/>
    <s v="11-120-02-191900-53610"/>
    <x v="0"/>
    <n v="120"/>
    <n v="2"/>
    <x v="23"/>
    <n v="53610"/>
    <x v="1"/>
    <s v="53"/>
    <s v="536"/>
    <x v="184"/>
    <s v="Oceanography : WC Teaching"/>
    <n v="0"/>
  </r>
  <r>
    <x v="2"/>
    <s v="11-120-02-200100-51311"/>
    <x v="0"/>
    <n v="120"/>
    <n v="2"/>
    <x v="24"/>
    <n v="51311"/>
    <x v="1"/>
    <s v="51"/>
    <s v="513"/>
    <x v="185"/>
    <s v="Psychology : Academic Teaching PT"/>
    <n v="30253.46"/>
  </r>
  <r>
    <x v="2"/>
    <s v="11-120-02-200100-53110"/>
    <x v="0"/>
    <n v="120"/>
    <n v="2"/>
    <x v="24"/>
    <n v="53110"/>
    <x v="1"/>
    <s v="53"/>
    <s v="531"/>
    <x v="186"/>
    <s v="Psychology : STRS Teaching"/>
    <n v="3423.76"/>
  </r>
  <r>
    <x v="2"/>
    <s v="11-120-02-200100-53310"/>
    <x v="0"/>
    <n v="120"/>
    <n v="2"/>
    <x v="24"/>
    <n v="53310"/>
    <x v="1"/>
    <s v="53"/>
    <s v="533"/>
    <x v="187"/>
    <s v="Psychology : OASDHI (FICA) Teaching"/>
    <n v="561.34"/>
  </r>
  <r>
    <x v="2"/>
    <s v="11-120-02-200100-53330"/>
    <x v="0"/>
    <n v="120"/>
    <n v="2"/>
    <x v="24"/>
    <n v="53330"/>
    <x v="1"/>
    <s v="53"/>
    <s v="533"/>
    <x v="188"/>
    <s v="Psychology : Medicare Teaching"/>
    <n v="438.61"/>
  </r>
  <r>
    <x v="2"/>
    <s v="11-120-02-200100-53510"/>
    <x v="0"/>
    <n v="120"/>
    <n v="2"/>
    <x v="24"/>
    <n v="53510"/>
    <x v="1"/>
    <s v="53"/>
    <s v="535"/>
    <x v="189"/>
    <s v="Psychology : SUI Teaching"/>
    <n v="15.16"/>
  </r>
  <r>
    <x v="2"/>
    <s v="11-120-02-200100-53610"/>
    <x v="0"/>
    <n v="120"/>
    <n v="2"/>
    <x v="24"/>
    <n v="53610"/>
    <x v="1"/>
    <s v="53"/>
    <s v="536"/>
    <x v="190"/>
    <s v="Psychology : WC Teaching"/>
    <n v="572.09"/>
  </r>
  <r>
    <x v="2"/>
    <s v="11-120-02-210500-51311"/>
    <x v="0"/>
    <n v="120"/>
    <n v="2"/>
    <x v="25"/>
    <n v="51311"/>
    <x v="1"/>
    <s v="51"/>
    <s v="513"/>
    <x v="191"/>
    <s v="Administration of Justice : Academic Teaching PT"/>
    <n v="15638.82"/>
  </r>
  <r>
    <x v="2"/>
    <s v="11-120-02-210500-53110"/>
    <x v="0"/>
    <n v="120"/>
    <n v="2"/>
    <x v="25"/>
    <n v="53110"/>
    <x v="1"/>
    <s v="53"/>
    <s v="531"/>
    <x v="192"/>
    <s v="Administration of Justice : STRS Teaching"/>
    <n v="0"/>
  </r>
  <r>
    <x v="2"/>
    <s v="11-120-02-210500-53310"/>
    <x v="0"/>
    <n v="120"/>
    <n v="2"/>
    <x v="25"/>
    <n v="53310"/>
    <x v="1"/>
    <s v="53"/>
    <s v="533"/>
    <x v="193"/>
    <s v="Administration of Justice : OASDHI (FICA) Teaching"/>
    <n v="969.62"/>
  </r>
  <r>
    <x v="2"/>
    <s v="11-120-02-210500-53330"/>
    <x v="0"/>
    <n v="120"/>
    <n v="2"/>
    <x v="25"/>
    <n v="53330"/>
    <x v="1"/>
    <s v="53"/>
    <s v="533"/>
    <x v="194"/>
    <s v="Administration of Justice : Medicare Teaching"/>
    <n v="226.73"/>
  </r>
  <r>
    <x v="2"/>
    <s v="11-120-02-210500-53510"/>
    <x v="0"/>
    <n v="120"/>
    <n v="2"/>
    <x v="25"/>
    <n v="53510"/>
    <x v="1"/>
    <s v="53"/>
    <s v="535"/>
    <x v="195"/>
    <s v="Administration of Justice : SUI Teaching"/>
    <n v="7.82"/>
  </r>
  <r>
    <x v="2"/>
    <s v="11-120-02-210500-53610"/>
    <x v="0"/>
    <n v="120"/>
    <n v="2"/>
    <x v="25"/>
    <n v="53610"/>
    <x v="1"/>
    <s v="53"/>
    <s v="536"/>
    <x v="196"/>
    <s v="Administration of Justice : WC Teaching"/>
    <n v="295.73"/>
  </r>
  <r>
    <x v="2"/>
    <s v="11-120-02-210500-55630"/>
    <x v="0"/>
    <n v="120"/>
    <n v="2"/>
    <x v="25"/>
    <n v="55630"/>
    <x v="1"/>
    <s v="55"/>
    <s v="556"/>
    <x v="197"/>
    <s v="Administration of Justice : Printing &amp; Duplicating - Inhouse"/>
    <n v="0"/>
  </r>
  <r>
    <x v="2"/>
    <s v="11-120-02-220200-51311"/>
    <x v="0"/>
    <n v="120"/>
    <n v="2"/>
    <x v="26"/>
    <n v="51311"/>
    <x v="1"/>
    <s v="51"/>
    <s v="513"/>
    <x v="198"/>
    <s v="Anthropology : Academic Teaching PT"/>
    <n v="8424"/>
  </r>
  <r>
    <x v="2"/>
    <s v="11-120-02-220200-53110"/>
    <x v="0"/>
    <n v="120"/>
    <n v="2"/>
    <x v="26"/>
    <n v="53110"/>
    <x v="1"/>
    <s v="53"/>
    <s v="531"/>
    <x v="199"/>
    <s v="Anthropology : STRS Teaching"/>
    <n v="0"/>
  </r>
  <r>
    <x v="2"/>
    <s v="11-120-02-220200-53330"/>
    <x v="0"/>
    <n v="120"/>
    <n v="2"/>
    <x v="26"/>
    <n v="53330"/>
    <x v="1"/>
    <s v="53"/>
    <s v="533"/>
    <x v="200"/>
    <s v="Anthropology : Medicare Teaching"/>
    <n v="122.16"/>
  </r>
  <r>
    <x v="2"/>
    <s v="11-120-02-220200-53510"/>
    <x v="0"/>
    <n v="120"/>
    <n v="2"/>
    <x v="26"/>
    <n v="53510"/>
    <x v="1"/>
    <s v="53"/>
    <s v="535"/>
    <x v="201"/>
    <s v="Anthropology : SUI Teaching"/>
    <n v="4.21"/>
  </r>
  <r>
    <x v="2"/>
    <s v="11-120-02-220200-53610"/>
    <x v="0"/>
    <n v="120"/>
    <n v="2"/>
    <x v="26"/>
    <n v="53610"/>
    <x v="1"/>
    <s v="53"/>
    <s v="536"/>
    <x v="202"/>
    <s v="Anthropology : WC Teaching"/>
    <n v="159.29"/>
  </r>
  <r>
    <x v="2"/>
    <s v="11-120-02-220200-55630"/>
    <x v="0"/>
    <n v="120"/>
    <n v="2"/>
    <x v="26"/>
    <n v="55630"/>
    <x v="1"/>
    <s v="55"/>
    <s v="556"/>
    <x v="203"/>
    <s v="Anthropology : Printing &amp; Duplicating - Inhouse"/>
    <n v="0"/>
  </r>
  <r>
    <x v="2"/>
    <s v="11-120-02-220210-51311"/>
    <x v="0"/>
    <n v="120"/>
    <n v="2"/>
    <x v="27"/>
    <n v="51311"/>
    <x v="1"/>
    <s v="51"/>
    <s v="513"/>
    <x v="204"/>
    <s v="Ethnic Studies : Academic Teaching PT"/>
    <n v="6922.44"/>
  </r>
  <r>
    <x v="2"/>
    <s v="11-120-02-220210-53110"/>
    <x v="0"/>
    <n v="120"/>
    <n v="2"/>
    <x v="27"/>
    <n v="53110"/>
    <x v="1"/>
    <s v="53"/>
    <s v="531"/>
    <x v="205"/>
    <s v="Ethnic Studies : STRS Teaching"/>
    <n v="1117.97"/>
  </r>
  <r>
    <x v="2"/>
    <s v="11-120-02-220210-53330"/>
    <x v="0"/>
    <n v="120"/>
    <n v="2"/>
    <x v="27"/>
    <n v="53330"/>
    <x v="1"/>
    <s v="53"/>
    <s v="533"/>
    <x v="206"/>
    <s v="Ethnic Studies : Medicare Teaching"/>
    <n v="100.37"/>
  </r>
  <r>
    <x v="2"/>
    <s v="11-120-02-220210-53510"/>
    <x v="0"/>
    <n v="120"/>
    <n v="2"/>
    <x v="27"/>
    <n v="53510"/>
    <x v="1"/>
    <s v="53"/>
    <s v="535"/>
    <x v="207"/>
    <s v="Ethnic Studies : SUI Teaching"/>
    <n v="3.46"/>
  </r>
  <r>
    <x v="2"/>
    <s v="11-120-02-220210-53610"/>
    <x v="0"/>
    <n v="120"/>
    <n v="2"/>
    <x v="27"/>
    <n v="53610"/>
    <x v="1"/>
    <s v="53"/>
    <s v="536"/>
    <x v="208"/>
    <s v="Ethnic Studies : WC Teaching"/>
    <n v="130.88"/>
  </r>
  <r>
    <x v="2"/>
    <s v="11-120-02-220500-51311"/>
    <x v="0"/>
    <n v="120"/>
    <n v="2"/>
    <x v="28"/>
    <n v="51311"/>
    <x v="1"/>
    <s v="51"/>
    <s v="513"/>
    <x v="209"/>
    <s v="History : Academic Teaching PT"/>
    <n v="16800.88"/>
  </r>
  <r>
    <x v="2"/>
    <s v="11-120-02-220500-53110"/>
    <x v="0"/>
    <n v="120"/>
    <n v="2"/>
    <x v="28"/>
    <n v="53110"/>
    <x v="1"/>
    <s v="53"/>
    <s v="531"/>
    <x v="210"/>
    <s v="History : STRS Teaching"/>
    <n v="2713.38"/>
  </r>
  <r>
    <x v="2"/>
    <s v="11-120-02-220500-53330"/>
    <x v="0"/>
    <n v="120"/>
    <n v="2"/>
    <x v="28"/>
    <n v="53330"/>
    <x v="1"/>
    <s v="53"/>
    <s v="533"/>
    <x v="211"/>
    <s v="History : Medicare Teaching"/>
    <n v="243.64"/>
  </r>
  <r>
    <x v="2"/>
    <s v="11-120-02-220500-53510"/>
    <x v="0"/>
    <n v="120"/>
    <n v="2"/>
    <x v="28"/>
    <n v="53510"/>
    <x v="1"/>
    <s v="53"/>
    <s v="535"/>
    <x v="212"/>
    <s v="History : SUI Teaching"/>
    <n v="8.3699999999999992"/>
  </r>
  <r>
    <x v="2"/>
    <s v="11-120-02-220500-53610"/>
    <x v="0"/>
    <n v="120"/>
    <n v="2"/>
    <x v="28"/>
    <n v="53610"/>
    <x v="1"/>
    <s v="53"/>
    <s v="536"/>
    <x v="213"/>
    <s v="History : WC Teaching"/>
    <n v="317.66000000000003"/>
  </r>
  <r>
    <x v="2"/>
    <s v="11-120-02-220500-55630"/>
    <x v="0"/>
    <n v="120"/>
    <n v="2"/>
    <x v="28"/>
    <n v="55630"/>
    <x v="1"/>
    <s v="55"/>
    <s v="556"/>
    <x v="214"/>
    <s v="History : Printing &amp; Duplicating - Inhouse"/>
    <n v="0"/>
  </r>
  <r>
    <x v="2"/>
    <s v="11-120-02-220600-51311"/>
    <x v="0"/>
    <n v="120"/>
    <n v="2"/>
    <x v="29"/>
    <n v="51311"/>
    <x v="1"/>
    <s v="51"/>
    <s v="513"/>
    <x v="215"/>
    <s v="Geography : Academic Teaching PT"/>
    <n v="0"/>
  </r>
  <r>
    <x v="2"/>
    <s v="11-120-02-220600-53110"/>
    <x v="0"/>
    <n v="120"/>
    <n v="2"/>
    <x v="29"/>
    <n v="53110"/>
    <x v="1"/>
    <s v="53"/>
    <s v="531"/>
    <x v="216"/>
    <s v="Geography : STRS Teaching"/>
    <n v="0"/>
  </r>
  <r>
    <x v="2"/>
    <s v="11-120-02-220600-53330"/>
    <x v="0"/>
    <n v="120"/>
    <n v="2"/>
    <x v="29"/>
    <n v="53330"/>
    <x v="1"/>
    <s v="53"/>
    <s v="533"/>
    <x v="217"/>
    <s v="Geography : Medicare Teaching"/>
    <n v="0"/>
  </r>
  <r>
    <x v="2"/>
    <s v="11-120-02-220600-53510"/>
    <x v="0"/>
    <n v="120"/>
    <n v="2"/>
    <x v="29"/>
    <n v="53510"/>
    <x v="1"/>
    <s v="53"/>
    <s v="535"/>
    <x v="218"/>
    <s v="Geography : SUI Teaching"/>
    <n v="0"/>
  </r>
  <r>
    <x v="2"/>
    <s v="11-120-02-220600-53610"/>
    <x v="0"/>
    <n v="120"/>
    <n v="2"/>
    <x v="29"/>
    <n v="53610"/>
    <x v="1"/>
    <s v="53"/>
    <s v="536"/>
    <x v="219"/>
    <s v="Geography : WC Teaching"/>
    <n v="0"/>
  </r>
  <r>
    <x v="2"/>
    <s v="11-120-02-220700-51311"/>
    <x v="0"/>
    <n v="120"/>
    <n v="2"/>
    <x v="30"/>
    <n v="51311"/>
    <x v="1"/>
    <s v="51"/>
    <s v="513"/>
    <x v="220"/>
    <s v="Political Science : Academic Teaching PT"/>
    <n v="5054.3999999999996"/>
  </r>
  <r>
    <x v="2"/>
    <s v="11-120-02-220700-53110"/>
    <x v="0"/>
    <n v="120"/>
    <n v="2"/>
    <x v="30"/>
    <n v="53110"/>
    <x v="1"/>
    <s v="53"/>
    <s v="531"/>
    <x v="221"/>
    <s v="Political Science : STRS Teaching"/>
    <n v="0"/>
  </r>
  <r>
    <x v="2"/>
    <s v="11-120-02-220700-53330"/>
    <x v="0"/>
    <n v="120"/>
    <n v="2"/>
    <x v="30"/>
    <n v="53330"/>
    <x v="1"/>
    <s v="53"/>
    <s v="533"/>
    <x v="222"/>
    <s v="Political Science : Medicare Teaching"/>
    <n v="73.27"/>
  </r>
  <r>
    <x v="2"/>
    <s v="11-120-02-220700-53510"/>
    <x v="0"/>
    <n v="120"/>
    <n v="2"/>
    <x v="30"/>
    <n v="53510"/>
    <x v="1"/>
    <s v="53"/>
    <s v="535"/>
    <x v="223"/>
    <s v="Political Science : SUI Teaching"/>
    <n v="2.52"/>
  </r>
  <r>
    <x v="2"/>
    <s v="11-120-02-220700-53610"/>
    <x v="0"/>
    <n v="120"/>
    <n v="2"/>
    <x v="30"/>
    <n v="53610"/>
    <x v="1"/>
    <s v="53"/>
    <s v="536"/>
    <x v="224"/>
    <s v="Political Science : WC Teaching"/>
    <n v="95.58"/>
  </r>
  <r>
    <x v="2"/>
    <s v="11-120-02-220700-55630"/>
    <x v="0"/>
    <n v="120"/>
    <n v="2"/>
    <x v="30"/>
    <n v="55630"/>
    <x v="1"/>
    <s v="55"/>
    <s v="556"/>
    <x v="225"/>
    <s v="Political Science : Printing &amp; Duplicating - Inhouse"/>
    <n v="0"/>
  </r>
  <r>
    <x v="2"/>
    <s v="11-120-02-220800-51311"/>
    <x v="0"/>
    <n v="120"/>
    <n v="2"/>
    <x v="31"/>
    <n v="51311"/>
    <x v="1"/>
    <s v="51"/>
    <s v="513"/>
    <x v="226"/>
    <s v="Sociology : Academic Teaching PT"/>
    <n v="9735.31"/>
  </r>
  <r>
    <x v="2"/>
    <s v="11-120-02-220800-53110"/>
    <x v="0"/>
    <n v="120"/>
    <n v="2"/>
    <x v="31"/>
    <n v="53110"/>
    <x v="1"/>
    <s v="53"/>
    <s v="531"/>
    <x v="227"/>
    <s v="Sociology : STRS Teaching"/>
    <n v="1572.23"/>
  </r>
  <r>
    <x v="2"/>
    <s v="11-120-02-220800-53330"/>
    <x v="0"/>
    <n v="120"/>
    <n v="2"/>
    <x v="31"/>
    <n v="53330"/>
    <x v="1"/>
    <s v="53"/>
    <s v="533"/>
    <x v="228"/>
    <s v="Sociology : Medicare Teaching"/>
    <n v="141.18"/>
  </r>
  <r>
    <x v="2"/>
    <s v="11-120-02-220800-53510"/>
    <x v="0"/>
    <n v="120"/>
    <n v="2"/>
    <x v="31"/>
    <n v="53510"/>
    <x v="1"/>
    <s v="53"/>
    <s v="535"/>
    <x v="229"/>
    <s v="Sociology : SUI Teaching"/>
    <n v="4.82"/>
  </r>
  <r>
    <x v="2"/>
    <s v="11-120-02-220800-53610"/>
    <x v="0"/>
    <n v="120"/>
    <n v="2"/>
    <x v="31"/>
    <n v="53610"/>
    <x v="1"/>
    <s v="53"/>
    <s v="536"/>
    <x v="230"/>
    <s v="Sociology : WC Teaching"/>
    <n v="184.08"/>
  </r>
  <r>
    <x v="2"/>
    <s v="11-120-02-220800-55630"/>
    <x v="0"/>
    <n v="120"/>
    <n v="2"/>
    <x v="31"/>
    <n v="55630"/>
    <x v="1"/>
    <s v="55"/>
    <s v="556"/>
    <x v="231"/>
    <s v="Sociology : Printing &amp; Duplicating - Inhouse"/>
    <n v="4.09"/>
  </r>
  <r>
    <x v="2"/>
    <s v="11-120-02-493010-51311"/>
    <x v="0"/>
    <n v="120"/>
    <n v="2"/>
    <x v="32"/>
    <n v="51311"/>
    <x v="1"/>
    <s v="51"/>
    <s v="513"/>
    <x v="232"/>
    <s v="Counseling Instruction : Academic Teaching PT"/>
    <n v="0"/>
  </r>
  <r>
    <x v="2"/>
    <s v="11-120-02-493010-53110"/>
    <x v="0"/>
    <n v="120"/>
    <n v="2"/>
    <x v="32"/>
    <n v="53110"/>
    <x v="1"/>
    <s v="53"/>
    <s v="531"/>
    <x v="233"/>
    <s v="Counseling Instruction : STRS Teaching"/>
    <n v="0"/>
  </r>
  <r>
    <x v="2"/>
    <s v="11-120-02-493010-53330"/>
    <x v="0"/>
    <n v="120"/>
    <n v="2"/>
    <x v="32"/>
    <n v="53330"/>
    <x v="1"/>
    <s v="53"/>
    <s v="533"/>
    <x v="234"/>
    <s v="Counseling Instruction : Medicare Teaching"/>
    <n v="0"/>
  </r>
  <r>
    <x v="2"/>
    <s v="11-120-02-493010-53510"/>
    <x v="0"/>
    <n v="120"/>
    <n v="2"/>
    <x v="32"/>
    <n v="53510"/>
    <x v="1"/>
    <s v="53"/>
    <s v="535"/>
    <x v="235"/>
    <s v="Counseling Instruction : SUI Teaching"/>
    <n v="0"/>
  </r>
  <r>
    <x v="2"/>
    <s v="11-120-02-493010-53610"/>
    <x v="0"/>
    <n v="120"/>
    <n v="2"/>
    <x v="32"/>
    <n v="53610"/>
    <x v="1"/>
    <s v="53"/>
    <s v="536"/>
    <x v="236"/>
    <s v="Counseling Instruction : WC Teaching"/>
    <n v="0"/>
  </r>
  <r>
    <x v="2"/>
    <s v="11-120-02-493080-51311"/>
    <x v="0"/>
    <n v="120"/>
    <n v="2"/>
    <x v="33"/>
    <n v="51311"/>
    <x v="1"/>
    <s v="51"/>
    <s v="513"/>
    <x v="237"/>
    <s v="ESL : Academic Teaching PT"/>
    <n v="17022.8"/>
  </r>
  <r>
    <x v="2"/>
    <s v="11-120-02-493080-53110"/>
    <x v="0"/>
    <n v="120"/>
    <n v="2"/>
    <x v="33"/>
    <n v="53110"/>
    <x v="1"/>
    <s v="53"/>
    <s v="531"/>
    <x v="238"/>
    <s v="ESL : STRS Teaching"/>
    <n v="2749.19"/>
  </r>
  <r>
    <x v="2"/>
    <s v="11-120-02-493080-53330"/>
    <x v="0"/>
    <n v="120"/>
    <n v="2"/>
    <x v="33"/>
    <n v="53330"/>
    <x v="1"/>
    <s v="53"/>
    <s v="533"/>
    <x v="239"/>
    <s v="ESL : Medicare Teaching"/>
    <n v="246.85"/>
  </r>
  <r>
    <x v="2"/>
    <s v="11-120-02-493080-53510"/>
    <x v="0"/>
    <n v="120"/>
    <n v="2"/>
    <x v="33"/>
    <n v="53510"/>
    <x v="1"/>
    <s v="53"/>
    <s v="535"/>
    <x v="240"/>
    <s v="ESL : SUI Teaching"/>
    <n v="8.5299999999999994"/>
  </r>
  <r>
    <x v="2"/>
    <s v="11-120-02-493080-53610"/>
    <x v="0"/>
    <n v="120"/>
    <n v="2"/>
    <x v="33"/>
    <n v="53610"/>
    <x v="1"/>
    <s v="53"/>
    <s v="536"/>
    <x v="241"/>
    <s v="ESL : WC Teaching"/>
    <n v="321.85000000000002"/>
  </r>
  <r>
    <x v="2"/>
    <s v="11-120-02-601000-51210"/>
    <x v="0"/>
    <n v="120"/>
    <n v="2"/>
    <x v="34"/>
    <n v="51210"/>
    <x v="1"/>
    <s v="51"/>
    <s v="512"/>
    <x v="242"/>
    <s v="Academic Administration : Academic Nonteaching Management"/>
    <n v="119334.2"/>
  </r>
  <r>
    <x v="2"/>
    <s v="11-120-02-601000-51412"/>
    <x v="0"/>
    <n v="120"/>
    <n v="2"/>
    <x v="34"/>
    <n v="51412"/>
    <x v="1"/>
    <s v="51"/>
    <s v="514"/>
    <x v="243"/>
    <s v="Academic Administration : Acad Nonteach Special Projects"/>
    <n v="0"/>
  </r>
  <r>
    <x v="2"/>
    <s v="11-120-02-601000-52105"/>
    <x v="0"/>
    <n v="120"/>
    <n v="2"/>
    <x v="34"/>
    <n v="52105"/>
    <x v="1"/>
    <s v="52"/>
    <s v="521"/>
    <x v="244"/>
    <s v="Academic Administration : Classified CSEA"/>
    <n v="102285.75"/>
  </r>
  <r>
    <x v="2"/>
    <s v="11-120-02-601000-52300"/>
    <x v="0"/>
    <n v="120"/>
    <n v="2"/>
    <x v="34"/>
    <n v="52300"/>
    <x v="1"/>
    <s v="52"/>
    <s v="523"/>
    <x v="245"/>
    <s v="Academic Administration : Classified Overtime"/>
    <n v="429.97"/>
  </r>
  <r>
    <x v="2"/>
    <s v="11-120-02-601000-53120"/>
    <x v="0"/>
    <n v="120"/>
    <n v="2"/>
    <x v="34"/>
    <n v="53120"/>
    <x v="1"/>
    <s v="53"/>
    <s v="531"/>
    <x v="246"/>
    <s v="Academic Administration : STRS Nonteaching"/>
    <n v="0"/>
  </r>
  <r>
    <x v="2"/>
    <s v="11-120-02-601000-53220"/>
    <x v="0"/>
    <n v="120"/>
    <n v="2"/>
    <x v="34"/>
    <n v="53220"/>
    <x v="1"/>
    <s v="53"/>
    <s v="532"/>
    <x v="247"/>
    <s v="Academic Administration : PERS Nonteaching"/>
    <n v="45767.39"/>
  </r>
  <r>
    <x v="2"/>
    <s v="11-120-02-601000-53320"/>
    <x v="0"/>
    <n v="120"/>
    <n v="2"/>
    <x v="34"/>
    <n v="53320"/>
    <x v="1"/>
    <s v="53"/>
    <s v="533"/>
    <x v="248"/>
    <s v="Academic Administration : OASDHI (FICA) Nonteaching"/>
    <n v="13345.44"/>
  </r>
  <r>
    <x v="2"/>
    <s v="11-120-02-601000-53340"/>
    <x v="0"/>
    <n v="120"/>
    <n v="2"/>
    <x v="34"/>
    <n v="53340"/>
    <x v="1"/>
    <s v="53"/>
    <s v="533"/>
    <x v="249"/>
    <s v="Academic Administration : Medicare Nonteaching"/>
    <n v="3198.45"/>
  </r>
  <r>
    <x v="2"/>
    <s v="11-120-02-601000-53420"/>
    <x v="0"/>
    <n v="120"/>
    <n v="2"/>
    <x v="34"/>
    <n v="53420"/>
    <x v="1"/>
    <s v="53"/>
    <s v="534"/>
    <x v="250"/>
    <s v="Academic Administration : H &amp; W Nonteaching"/>
    <n v="68467.33"/>
  </r>
  <r>
    <x v="2"/>
    <s v="11-120-02-601000-53520"/>
    <x v="0"/>
    <n v="120"/>
    <n v="2"/>
    <x v="34"/>
    <n v="53520"/>
    <x v="1"/>
    <s v="53"/>
    <s v="535"/>
    <x v="251"/>
    <s v="Academic Administration : SUI Nonteaching"/>
    <n v="111.06"/>
  </r>
  <r>
    <x v="2"/>
    <s v="11-120-02-601000-53620"/>
    <x v="0"/>
    <n v="120"/>
    <n v="2"/>
    <x v="34"/>
    <n v="53620"/>
    <x v="1"/>
    <s v="53"/>
    <s v="536"/>
    <x v="252"/>
    <s v="Academic Administration : WC Nonteaching"/>
    <n v="4203.25"/>
  </r>
  <r>
    <x v="2"/>
    <s v="11-120-02-601000-53920"/>
    <x v="0"/>
    <n v="120"/>
    <n v="2"/>
    <x v="34"/>
    <n v="53920"/>
    <x v="1"/>
    <s v="53"/>
    <s v="539"/>
    <x v="253"/>
    <s v="Academic Administration : Other Benefit-Non Teaching"/>
    <n v="1800"/>
  </r>
  <r>
    <x v="2"/>
    <s v="11-120-02-601000-54300"/>
    <x v="0"/>
    <n v="120"/>
    <n v="2"/>
    <x v="34"/>
    <n v="54300"/>
    <x v="1"/>
    <s v="54"/>
    <s v="543"/>
    <x v="254"/>
    <s v="Academic Administration : Supplies &amp; Materials"/>
    <n v="9762.58"/>
  </r>
  <r>
    <x v="2"/>
    <s v="11-120-02-601000-55125"/>
    <x v="0"/>
    <n v="120"/>
    <n v="2"/>
    <x v="34"/>
    <n v="55125"/>
    <x v="1"/>
    <s v="55"/>
    <s v="551"/>
    <x v="255"/>
    <s v="Academic Administration : Training &amp; Seminars"/>
    <n v="0"/>
  </r>
  <r>
    <x v="2"/>
    <s v="11-120-02-601000-55200"/>
    <x v="0"/>
    <n v="120"/>
    <n v="2"/>
    <x v="34"/>
    <n v="55200"/>
    <x v="1"/>
    <s v="55"/>
    <s v="552"/>
    <x v="256"/>
    <s v="Academic Administration : Travel &amp; Conference"/>
    <n v="50"/>
  </r>
  <r>
    <x v="2"/>
    <s v="11-120-02-601000-55210"/>
    <x v="0"/>
    <n v="120"/>
    <n v="2"/>
    <x v="34"/>
    <n v="55210"/>
    <x v="1"/>
    <s v="55"/>
    <s v="552"/>
    <x v="257"/>
    <s v="Academic Administration : Instructional Mileage"/>
    <n v="0"/>
  </r>
  <r>
    <x v="2"/>
    <s v="11-120-02-601000-55630"/>
    <x v="0"/>
    <n v="120"/>
    <n v="2"/>
    <x v="34"/>
    <n v="55630"/>
    <x v="1"/>
    <s v="55"/>
    <s v="556"/>
    <x v="258"/>
    <s v="Academic Administration : Printing &amp; Duplicating - Inhouse"/>
    <n v="271.44"/>
  </r>
  <r>
    <x v="2"/>
    <s v="11-120-02-601000-55650"/>
    <x v="0"/>
    <n v="120"/>
    <n v="2"/>
    <x v="34"/>
    <n v="55650"/>
    <x v="1"/>
    <s v="55"/>
    <s v="556"/>
    <x v="259"/>
    <s v="Academic Administration : Maintenance Agreement"/>
    <n v="19903.080000000002"/>
  </r>
  <r>
    <x v="2"/>
    <s v="11-120-02-601000-55830"/>
    <x v="0"/>
    <n v="120"/>
    <n v="2"/>
    <x v="34"/>
    <n v="55830"/>
    <x v="1"/>
    <s v="55"/>
    <s v="558"/>
    <x v="260"/>
    <s v="Academic Administration : Advertising Expense"/>
    <n v="0"/>
  </r>
  <r>
    <x v="2"/>
    <s v="11-120-02-601000-56400"/>
    <x v="0"/>
    <n v="120"/>
    <n v="2"/>
    <x v="34"/>
    <n v="56400"/>
    <x v="1"/>
    <s v="56"/>
    <s v="564"/>
    <x v="261"/>
    <s v="Academic Administration : Cap Equip - $200 to $4,999"/>
    <n v="2977.87"/>
  </r>
  <r>
    <x v="2"/>
    <s v="11-120-02-612000-51411"/>
    <x v="0"/>
    <n v="120"/>
    <n v="2"/>
    <x v="35"/>
    <n v="51411"/>
    <x v="1"/>
    <s v="51"/>
    <s v="514"/>
    <x v="262"/>
    <s v="Library Services : Academic Nonteaching PT"/>
    <n v="0"/>
  </r>
  <r>
    <x v="2"/>
    <s v="11-120-02-612000-53120"/>
    <x v="0"/>
    <n v="120"/>
    <n v="2"/>
    <x v="35"/>
    <n v="53120"/>
    <x v="1"/>
    <s v="53"/>
    <s v="531"/>
    <x v="263"/>
    <s v="Library Services : STRS Nonteaching"/>
    <n v="0"/>
  </r>
  <r>
    <x v="2"/>
    <s v="11-120-02-612000-53340"/>
    <x v="0"/>
    <n v="120"/>
    <n v="2"/>
    <x v="35"/>
    <n v="53340"/>
    <x v="1"/>
    <s v="53"/>
    <s v="533"/>
    <x v="264"/>
    <s v="Library Services : Medicare Nonteaching"/>
    <n v="0"/>
  </r>
  <r>
    <x v="2"/>
    <s v="11-120-02-612000-53520"/>
    <x v="0"/>
    <n v="120"/>
    <n v="2"/>
    <x v="35"/>
    <n v="53520"/>
    <x v="1"/>
    <s v="53"/>
    <s v="535"/>
    <x v="265"/>
    <s v="Library Services : SUI Nonteaching"/>
    <n v="0"/>
  </r>
  <r>
    <x v="2"/>
    <s v="11-120-02-612000-53620"/>
    <x v="0"/>
    <n v="120"/>
    <n v="2"/>
    <x v="35"/>
    <n v="53620"/>
    <x v="1"/>
    <s v="53"/>
    <s v="536"/>
    <x v="266"/>
    <s v="Library Services : WC Nonteaching"/>
    <n v="0"/>
  </r>
  <r>
    <x v="2"/>
    <s v="11-120-02-612000-55630"/>
    <x v="0"/>
    <n v="120"/>
    <n v="2"/>
    <x v="35"/>
    <n v="55630"/>
    <x v="1"/>
    <s v="55"/>
    <s v="556"/>
    <x v="267"/>
    <s v="Library Services : Printing &amp; Duplicating - Inhouse"/>
    <n v="0"/>
  </r>
  <r>
    <x v="2"/>
    <s v="11-120-02-631000-51311"/>
    <x v="0"/>
    <n v="120"/>
    <n v="2"/>
    <x v="36"/>
    <n v="51311"/>
    <x v="1"/>
    <s v="51"/>
    <s v="513"/>
    <x v="268"/>
    <s v="Counseling &amp; Guidance : Academic Teaching PT"/>
    <n v="18135.75"/>
  </r>
  <r>
    <x v="2"/>
    <s v="11-120-02-631000-51411"/>
    <x v="0"/>
    <n v="120"/>
    <n v="2"/>
    <x v="36"/>
    <n v="51411"/>
    <x v="1"/>
    <s v="51"/>
    <s v="514"/>
    <x v="269"/>
    <s v="Counseling &amp; Guidance : Academic Nonteaching PT"/>
    <n v="1930.6"/>
  </r>
  <r>
    <x v="2"/>
    <s v="11-120-02-631000-53110"/>
    <x v="0"/>
    <n v="120"/>
    <n v="2"/>
    <x v="36"/>
    <n v="53110"/>
    <x v="1"/>
    <s v="53"/>
    <s v="531"/>
    <x v="270"/>
    <s v="Counseling &amp; Guidance : STRS Teaching"/>
    <n v="2928.95"/>
  </r>
  <r>
    <x v="2"/>
    <s v="11-120-02-631000-53120"/>
    <x v="0"/>
    <n v="120"/>
    <n v="2"/>
    <x v="36"/>
    <n v="53120"/>
    <x v="1"/>
    <s v="53"/>
    <s v="531"/>
    <x v="271"/>
    <s v="Counseling &amp; Guidance : STRS Nonteaching"/>
    <n v="311.79000000000002"/>
  </r>
  <r>
    <x v="2"/>
    <s v="11-120-02-631000-53330"/>
    <x v="0"/>
    <n v="120"/>
    <n v="2"/>
    <x v="36"/>
    <n v="53330"/>
    <x v="1"/>
    <s v="53"/>
    <s v="533"/>
    <x v="272"/>
    <s v="Counseling &amp; Guidance : Medicare Teaching"/>
    <n v="263"/>
  </r>
  <r>
    <x v="2"/>
    <s v="11-120-02-631000-53340"/>
    <x v="0"/>
    <n v="120"/>
    <n v="2"/>
    <x v="36"/>
    <n v="53340"/>
    <x v="1"/>
    <s v="53"/>
    <s v="533"/>
    <x v="273"/>
    <s v="Counseling &amp; Guidance : Medicare Nonteaching"/>
    <n v="28"/>
  </r>
  <r>
    <x v="2"/>
    <s v="11-120-02-631000-53510"/>
    <x v="0"/>
    <n v="120"/>
    <n v="2"/>
    <x v="36"/>
    <n v="53510"/>
    <x v="1"/>
    <s v="53"/>
    <s v="535"/>
    <x v="274"/>
    <s v="Counseling &amp; Guidance : SUI Teaching"/>
    <n v="9.02"/>
  </r>
  <r>
    <x v="2"/>
    <s v="11-120-02-631000-53520"/>
    <x v="0"/>
    <n v="120"/>
    <n v="2"/>
    <x v="36"/>
    <n v="53520"/>
    <x v="1"/>
    <s v="53"/>
    <s v="535"/>
    <x v="275"/>
    <s v="Counseling &amp; Guidance : SUI Nonteaching"/>
    <n v="0.97"/>
  </r>
  <r>
    <x v="2"/>
    <s v="11-120-02-631000-53610"/>
    <x v="0"/>
    <n v="120"/>
    <n v="2"/>
    <x v="36"/>
    <n v="53610"/>
    <x v="1"/>
    <s v="53"/>
    <s v="536"/>
    <x v="276"/>
    <s v="Counseling &amp; Guidance : WC Teaching"/>
    <n v="342.92"/>
  </r>
  <r>
    <x v="2"/>
    <s v="11-120-02-631000-53620"/>
    <x v="0"/>
    <n v="120"/>
    <n v="2"/>
    <x v="36"/>
    <n v="53620"/>
    <x v="1"/>
    <s v="53"/>
    <s v="536"/>
    <x v="277"/>
    <s v="Counseling &amp; Guidance : WC Nonteaching"/>
    <n v="36.5"/>
  </r>
  <r>
    <x v="2"/>
    <s v="11-120-02-631000-55630"/>
    <x v="0"/>
    <n v="120"/>
    <n v="2"/>
    <x v="36"/>
    <n v="55630"/>
    <x v="1"/>
    <s v="55"/>
    <s v="556"/>
    <x v="278"/>
    <s v="Counseling &amp; Guidance : Printing &amp; Duplicating - Inhouse"/>
    <n v="159.51"/>
  </r>
  <r>
    <x v="2"/>
    <s v="11-120-02-657000-55530"/>
    <x v="0"/>
    <n v="120"/>
    <n v="2"/>
    <x v="37"/>
    <n v="55530"/>
    <x v="1"/>
    <s v="55"/>
    <s v="555"/>
    <x v="279"/>
    <s v="Utilities : Electric Utility"/>
    <n v="15322.51"/>
  </r>
  <r>
    <x v="2"/>
    <s v="11-120-02-657000-55540"/>
    <x v="0"/>
    <n v="120"/>
    <n v="2"/>
    <x v="37"/>
    <n v="55540"/>
    <x v="1"/>
    <s v="55"/>
    <s v="555"/>
    <x v="280"/>
    <s v="Utilities : Gas Utility"/>
    <n v="1542.55"/>
  </r>
  <r>
    <x v="2"/>
    <s v="11-120-02-657000-55560"/>
    <x v="0"/>
    <n v="120"/>
    <n v="2"/>
    <x v="37"/>
    <n v="55560"/>
    <x v="1"/>
    <s v="55"/>
    <s v="555"/>
    <x v="281"/>
    <s v="Utilities : Water Service"/>
    <n v="6676.18"/>
  </r>
  <r>
    <x v="2"/>
    <s v="11-120-02-657000-55580"/>
    <x v="0"/>
    <n v="120"/>
    <n v="2"/>
    <x v="37"/>
    <n v="55580"/>
    <x v="1"/>
    <s v="55"/>
    <s v="555"/>
    <x v="282"/>
    <s v="Utilities : Trash Collection Service"/>
    <n v="4562.04"/>
  </r>
  <r>
    <x v="2"/>
    <s v="11-120-02-700400-55630"/>
    <x v="0"/>
    <n v="120"/>
    <n v="2"/>
    <x v="38"/>
    <n v="55630"/>
    <x v="1"/>
    <s v="55"/>
    <s v="556"/>
    <x v="283"/>
    <s v="SSSP : Printing &amp; Duplicating - Inhouse"/>
    <n v="159.51"/>
  </r>
  <r>
    <x v="2"/>
    <s v="11-140-00-602003-51412"/>
    <x v="0"/>
    <n v="140"/>
    <n v="0"/>
    <x v="39"/>
    <n v="51412"/>
    <x v="1"/>
    <s v="51"/>
    <s v="514"/>
    <x v="284"/>
    <s v="Cultural Curriculum Audit : Acad Nonteach Special Projects"/>
    <n v="0"/>
  </r>
  <r>
    <x v="2"/>
    <s v="11-140-00-602003-53120"/>
    <x v="0"/>
    <n v="140"/>
    <n v="0"/>
    <x v="39"/>
    <n v="53120"/>
    <x v="1"/>
    <s v="53"/>
    <s v="531"/>
    <x v="285"/>
    <s v="Cultural Curriculum Audit : STRS Nonteaching"/>
    <n v="0"/>
  </r>
  <r>
    <x v="2"/>
    <s v="11-140-00-602003-53340"/>
    <x v="0"/>
    <n v="140"/>
    <n v="0"/>
    <x v="39"/>
    <n v="53340"/>
    <x v="1"/>
    <s v="53"/>
    <s v="533"/>
    <x v="286"/>
    <s v="Cultural Curriculum Audit : Medicare Nonteaching"/>
    <n v="0"/>
  </r>
  <r>
    <x v="2"/>
    <s v="11-140-00-602003-53520"/>
    <x v="0"/>
    <n v="140"/>
    <n v="0"/>
    <x v="39"/>
    <n v="53520"/>
    <x v="1"/>
    <s v="53"/>
    <s v="535"/>
    <x v="287"/>
    <s v="Cultural Curriculum Audit : SUI Nonteaching"/>
    <n v="0"/>
  </r>
  <r>
    <x v="2"/>
    <s v="11-140-00-602003-53620"/>
    <x v="0"/>
    <n v="140"/>
    <n v="0"/>
    <x v="39"/>
    <n v="53620"/>
    <x v="1"/>
    <s v="53"/>
    <s v="536"/>
    <x v="288"/>
    <s v="Cultural Curriculum Audit : WC Nonteaching"/>
    <n v="0"/>
  </r>
  <r>
    <x v="2"/>
    <s v="11-140-00-602003-55200"/>
    <x v="0"/>
    <n v="140"/>
    <n v="0"/>
    <x v="39"/>
    <n v="55200"/>
    <x v="1"/>
    <s v="55"/>
    <s v="552"/>
    <x v="289"/>
    <s v="Cultural Curriculum Audit : Travel &amp; Conference"/>
    <n v="0"/>
  </r>
  <r>
    <x v="2"/>
    <s v="11-140-00-671020-55630"/>
    <x v="0"/>
    <n v="140"/>
    <n v="0"/>
    <x v="5"/>
    <n v="55630"/>
    <x v="1"/>
    <s v="55"/>
    <s v="556"/>
    <x v="290"/>
    <s v="Institutional Advancement : Printing &amp; Duplicating - Inhouse"/>
    <n v="18.78"/>
  </r>
  <r>
    <x v="2"/>
    <s v="11-140-00-684000-52120"/>
    <x v="0"/>
    <n v="140"/>
    <n v="0"/>
    <x v="9"/>
    <n v="52120"/>
    <x v="1"/>
    <s v="52"/>
    <s v="521"/>
    <x v="291"/>
    <s v="Community Relations &amp; Develop. : Classified Confidential"/>
    <n v="83266.7"/>
  </r>
  <r>
    <x v="2"/>
    <s v="11-140-00-684000-52130"/>
    <x v="0"/>
    <n v="140"/>
    <n v="0"/>
    <x v="9"/>
    <n v="52130"/>
    <x v="1"/>
    <s v="52"/>
    <s v="521"/>
    <x v="292"/>
    <s v="Community Relations &amp; Develop. : Classified Management"/>
    <n v="358801.1"/>
  </r>
  <r>
    <x v="2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0"/>
  </r>
  <r>
    <x v="2"/>
    <s v="11-140-00-684000-53220"/>
    <x v="0"/>
    <n v="140"/>
    <n v="0"/>
    <x v="9"/>
    <n v="53220"/>
    <x v="1"/>
    <s v="53"/>
    <s v="532"/>
    <x v="294"/>
    <s v="Community Relations &amp; Develop. : PERS Nonteaching"/>
    <n v="89197.38"/>
  </r>
  <r>
    <x v="2"/>
    <s v="11-140-00-684000-53320"/>
    <x v="0"/>
    <n v="140"/>
    <n v="0"/>
    <x v="9"/>
    <n v="53320"/>
    <x v="1"/>
    <s v="53"/>
    <s v="533"/>
    <x v="295"/>
    <s v="Community Relations &amp; Develop. : OASDHI (FICA) Nonteaching"/>
    <n v="25038.32"/>
  </r>
  <r>
    <x v="2"/>
    <s v="11-140-00-684000-53340"/>
    <x v="0"/>
    <n v="140"/>
    <n v="0"/>
    <x v="9"/>
    <n v="53340"/>
    <x v="1"/>
    <s v="53"/>
    <s v="533"/>
    <x v="296"/>
    <s v="Community Relations &amp; Develop. : Medicare Nonteaching"/>
    <n v="6354.83"/>
  </r>
  <r>
    <x v="2"/>
    <s v="11-140-00-684000-53420"/>
    <x v="0"/>
    <n v="140"/>
    <n v="0"/>
    <x v="9"/>
    <n v="53420"/>
    <x v="1"/>
    <s v="53"/>
    <s v="534"/>
    <x v="297"/>
    <s v="Community Relations &amp; Develop. : H &amp; W Nonteaching"/>
    <n v="110720.62"/>
  </r>
  <r>
    <x v="2"/>
    <s v="11-140-00-684000-53520"/>
    <x v="0"/>
    <n v="140"/>
    <n v="0"/>
    <x v="9"/>
    <n v="53520"/>
    <x v="1"/>
    <s v="53"/>
    <s v="535"/>
    <x v="298"/>
    <s v="Community Relations &amp; Develop. : SUI Nonteaching"/>
    <n v="220.81"/>
  </r>
  <r>
    <x v="2"/>
    <s v="11-140-00-684000-53620"/>
    <x v="0"/>
    <n v="140"/>
    <n v="0"/>
    <x v="9"/>
    <n v="53620"/>
    <x v="1"/>
    <s v="53"/>
    <s v="536"/>
    <x v="299"/>
    <s v="Community Relations &amp; Develop. : WC Nonteaching"/>
    <n v="8358.67"/>
  </r>
  <r>
    <x v="2"/>
    <s v="11-140-00-684000-54300"/>
    <x v="0"/>
    <n v="140"/>
    <n v="0"/>
    <x v="9"/>
    <n v="54300"/>
    <x v="1"/>
    <s v="54"/>
    <s v="543"/>
    <x v="300"/>
    <s v="Community Relations &amp; Develop. : Supplies &amp; Materials"/>
    <n v="824.04000000000008"/>
  </r>
  <r>
    <x v="2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2"/>
    <s v="11-140-00-684000-55105"/>
    <x v="0"/>
    <n v="140"/>
    <n v="0"/>
    <x v="9"/>
    <n v="55105"/>
    <x v="1"/>
    <s v="55"/>
    <s v="551"/>
    <x v="302"/>
    <s v="Community Relations &amp; Develop. : Contract Services"/>
    <n v="25839.1"/>
  </r>
  <r>
    <x v="2"/>
    <s v="11-140-00-684000-55200"/>
    <x v="0"/>
    <n v="140"/>
    <n v="0"/>
    <x v="9"/>
    <n v="55200"/>
    <x v="1"/>
    <s v="55"/>
    <s v="552"/>
    <x v="303"/>
    <s v="Community Relations &amp; Develop. : Travel &amp; Conference"/>
    <n v="421.55"/>
  </r>
  <r>
    <x v="2"/>
    <s v="11-140-00-684000-55300"/>
    <x v="0"/>
    <n v="140"/>
    <n v="0"/>
    <x v="9"/>
    <n v="55300"/>
    <x v="1"/>
    <s v="55"/>
    <s v="553"/>
    <x v="304"/>
    <s v="Community Relations &amp; Develop. : Memberships"/>
    <n v="395"/>
  </r>
  <r>
    <x v="2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58.31"/>
  </r>
  <r>
    <x v="2"/>
    <s v="11-140-00-684000-55635"/>
    <x v="0"/>
    <n v="140"/>
    <n v="0"/>
    <x v="9"/>
    <n v="55635"/>
    <x v="1"/>
    <s v="55"/>
    <s v="556"/>
    <x v="306"/>
    <s v="Community Relations &amp; Develop. : Printing Services - Vendor"/>
    <n v="0"/>
  </r>
  <r>
    <x v="2"/>
    <s v="11-140-00-684000-55810"/>
    <x v="0"/>
    <n v="140"/>
    <n v="0"/>
    <x v="9"/>
    <n v="55810"/>
    <x v="1"/>
    <s v="55"/>
    <s v="558"/>
    <x v="307"/>
    <s v="Community Relations &amp; Develop. : Bulk Mail"/>
    <n v="0"/>
  </r>
  <r>
    <x v="2"/>
    <s v="11-140-00-684000-55820"/>
    <x v="0"/>
    <n v="140"/>
    <n v="0"/>
    <x v="9"/>
    <n v="55820"/>
    <x v="1"/>
    <s v="55"/>
    <s v="558"/>
    <x v="308"/>
    <s v="Community Relations &amp; Develop. : US Postage"/>
    <n v="741.59"/>
  </r>
  <r>
    <x v="2"/>
    <s v="11-140-00-684000-55830"/>
    <x v="0"/>
    <n v="140"/>
    <n v="0"/>
    <x v="9"/>
    <n v="55830"/>
    <x v="1"/>
    <s v="55"/>
    <s v="558"/>
    <x v="309"/>
    <s v="Community Relations &amp; Develop. : Advertising Expense"/>
    <n v="210717.68"/>
  </r>
  <r>
    <x v="2"/>
    <s v="11-140-00-684000-56400"/>
    <x v="0"/>
    <n v="140"/>
    <n v="0"/>
    <x v="9"/>
    <n v="56400"/>
    <x v="1"/>
    <s v="56"/>
    <s v="564"/>
    <x v="310"/>
    <s v="Community Relations &amp; Develop. : Cap Equip - $200 to $4,999"/>
    <n v="0"/>
  </r>
  <r>
    <x v="2"/>
    <s v="11-150-00-663000-51210"/>
    <x v="0"/>
    <n v="150"/>
    <n v="0"/>
    <x v="40"/>
    <n v="51210"/>
    <x v="1"/>
    <s v="51"/>
    <s v="512"/>
    <x v="311"/>
    <s v="Research Office : Academic Nonteaching Management"/>
    <n v="123910.43"/>
  </r>
  <r>
    <x v="2"/>
    <s v="11-150-00-663000-51412"/>
    <x v="0"/>
    <n v="150"/>
    <n v="0"/>
    <x v="40"/>
    <n v="51412"/>
    <x v="1"/>
    <s v="51"/>
    <s v="514"/>
    <x v="312"/>
    <s v="Research Office : Acad Nonteach Special Projects"/>
    <n v="0"/>
  </r>
  <r>
    <x v="2"/>
    <s v="11-150-00-663000-52105"/>
    <x v="0"/>
    <n v="150"/>
    <n v="0"/>
    <x v="40"/>
    <n v="52105"/>
    <x v="1"/>
    <s v="52"/>
    <s v="521"/>
    <x v="313"/>
    <s v="Research Office : Classified CSEA"/>
    <n v="71979.92"/>
  </r>
  <r>
    <x v="2"/>
    <s v="11-150-00-663000-52130"/>
    <x v="0"/>
    <n v="150"/>
    <n v="0"/>
    <x v="40"/>
    <n v="52130"/>
    <x v="1"/>
    <s v="52"/>
    <s v="521"/>
    <x v="314"/>
    <s v="Research Office : Classified Management"/>
    <n v="66394.92"/>
  </r>
  <r>
    <x v="2"/>
    <s v="11-150-00-663000-53120"/>
    <x v="0"/>
    <n v="150"/>
    <n v="0"/>
    <x v="40"/>
    <n v="53120"/>
    <x v="1"/>
    <s v="53"/>
    <s v="531"/>
    <x v="315"/>
    <s v="Research Office : STRS Nonteaching"/>
    <n v="20040.400000000001"/>
  </r>
  <r>
    <x v="2"/>
    <s v="11-150-00-663000-53220"/>
    <x v="0"/>
    <n v="150"/>
    <n v="0"/>
    <x v="40"/>
    <n v="53220"/>
    <x v="1"/>
    <s v="53"/>
    <s v="532"/>
    <x v="316"/>
    <s v="Research Office : PERS Nonteaching"/>
    <n v="28499.97"/>
  </r>
  <r>
    <x v="2"/>
    <s v="11-150-00-663000-53320"/>
    <x v="0"/>
    <n v="150"/>
    <n v="0"/>
    <x v="40"/>
    <n v="53320"/>
    <x v="1"/>
    <s v="53"/>
    <s v="533"/>
    <x v="317"/>
    <s v="Research Office : OASDHI (FICA) Nonteaching"/>
    <n v="8549.57"/>
  </r>
  <r>
    <x v="2"/>
    <s v="11-150-00-663000-53340"/>
    <x v="0"/>
    <n v="150"/>
    <n v="0"/>
    <x v="40"/>
    <n v="53340"/>
    <x v="1"/>
    <s v="53"/>
    <s v="533"/>
    <x v="318"/>
    <s v="Research Office : Medicare Nonteaching"/>
    <n v="3796.22"/>
  </r>
  <r>
    <x v="2"/>
    <s v="11-150-00-663000-53420"/>
    <x v="0"/>
    <n v="150"/>
    <n v="0"/>
    <x v="40"/>
    <n v="53420"/>
    <x v="1"/>
    <s v="53"/>
    <s v="534"/>
    <x v="319"/>
    <s v="Research Office : H &amp; W Nonteaching"/>
    <n v="37169.379999999997"/>
  </r>
  <r>
    <x v="2"/>
    <s v="11-150-00-663000-53520"/>
    <x v="0"/>
    <n v="150"/>
    <n v="0"/>
    <x v="40"/>
    <n v="53520"/>
    <x v="1"/>
    <s v="53"/>
    <s v="535"/>
    <x v="320"/>
    <s v="Research Office : SUI Nonteaching"/>
    <n v="131.07"/>
  </r>
  <r>
    <x v="2"/>
    <s v="11-150-00-663000-53620"/>
    <x v="0"/>
    <n v="150"/>
    <n v="0"/>
    <x v="40"/>
    <n v="53620"/>
    <x v="1"/>
    <s v="53"/>
    <s v="536"/>
    <x v="321"/>
    <s v="Research Office : WC Nonteaching"/>
    <n v="4966.03"/>
  </r>
  <r>
    <x v="2"/>
    <s v="11-150-00-663000-53920"/>
    <x v="0"/>
    <n v="150"/>
    <n v="0"/>
    <x v="40"/>
    <n v="53920"/>
    <x v="1"/>
    <s v="53"/>
    <s v="539"/>
    <x v="322"/>
    <s v="Research Office : Other Benefit-Non Teaching"/>
    <n v="1800"/>
  </r>
  <r>
    <x v="2"/>
    <s v="11-150-00-663000-54300"/>
    <x v="0"/>
    <n v="150"/>
    <n v="0"/>
    <x v="40"/>
    <n v="54300"/>
    <x v="1"/>
    <s v="54"/>
    <s v="543"/>
    <x v="323"/>
    <s v="Research Office : Supplies &amp; Materials"/>
    <n v="0"/>
  </r>
  <r>
    <x v="2"/>
    <s v="11-150-00-663000-55200"/>
    <x v="0"/>
    <n v="150"/>
    <n v="0"/>
    <x v="40"/>
    <n v="55200"/>
    <x v="1"/>
    <s v="55"/>
    <s v="552"/>
    <x v="324"/>
    <s v="Research Office : Travel &amp; Conference"/>
    <n v="0"/>
  </r>
  <r>
    <x v="2"/>
    <s v="11-150-00-663000-55300"/>
    <x v="0"/>
    <n v="150"/>
    <n v="0"/>
    <x v="40"/>
    <n v="55300"/>
    <x v="1"/>
    <s v="55"/>
    <s v="553"/>
    <x v="325"/>
    <s v="Research Office : Memberships"/>
    <n v="0"/>
  </r>
  <r>
    <x v="2"/>
    <s v="11-150-00-663000-55309"/>
    <x v="0"/>
    <n v="150"/>
    <n v="0"/>
    <x v="40"/>
    <n v="55309"/>
    <x v="1"/>
    <s v="55"/>
    <s v="553"/>
    <x v="326"/>
    <s v="Research Office : Subscriptions"/>
    <n v="10400"/>
  </r>
  <r>
    <x v="2"/>
    <s v="11-150-00-663000-55610"/>
    <x v="0"/>
    <n v="150"/>
    <n v="0"/>
    <x v="40"/>
    <n v="55610"/>
    <x v="1"/>
    <s v="55"/>
    <s v="556"/>
    <x v="327"/>
    <s v="Research Office : Software licensing"/>
    <n v="6717.17"/>
  </r>
  <r>
    <x v="2"/>
    <s v="11-150-00-663000-55630"/>
    <x v="0"/>
    <n v="150"/>
    <n v="0"/>
    <x v="40"/>
    <n v="55630"/>
    <x v="1"/>
    <s v="55"/>
    <s v="556"/>
    <x v="328"/>
    <s v="Research Office : Printing &amp; Duplicating - Inhouse"/>
    <n v="10.55"/>
  </r>
  <r>
    <x v="2"/>
    <s v="11-200-00-590000-53410"/>
    <x v="0"/>
    <n v="200"/>
    <n v="0"/>
    <x v="41"/>
    <n v="53410"/>
    <x v="1"/>
    <s v="53"/>
    <s v="534"/>
    <x v="329"/>
    <s v="Retired Staff - Instructional : H &amp; W Teaching"/>
    <n v="0"/>
  </r>
  <r>
    <x v="2"/>
    <s v="11-200-00-590000-53411"/>
    <x v="0"/>
    <n v="200"/>
    <n v="0"/>
    <x v="41"/>
    <n v="53411"/>
    <x v="1"/>
    <s v="53"/>
    <s v="534"/>
    <x v="330"/>
    <s v="Retired Staff - Instructional : Medical Benefits Teaching Retirees"/>
    <n v="69849.759999999995"/>
  </r>
  <r>
    <x v="2"/>
    <s v="11-200-00-672020-53420"/>
    <x v="0"/>
    <n v="200"/>
    <n v="0"/>
    <x v="42"/>
    <n v="53420"/>
    <x v="1"/>
    <s v="53"/>
    <s v="534"/>
    <x v="331"/>
    <s v="Fiscal Operations : H &amp; W Nonteaching"/>
    <n v="0"/>
  </r>
  <r>
    <x v="2"/>
    <s v="11-200-00-674000-53420"/>
    <x v="0"/>
    <n v="200"/>
    <n v="0"/>
    <x v="43"/>
    <n v="53420"/>
    <x v="1"/>
    <s v="53"/>
    <s v="534"/>
    <x v="332"/>
    <s v="Retired Staff - Noninstructional : H &amp; W Nonteaching"/>
    <n v="0"/>
  </r>
  <r>
    <x v="2"/>
    <s v="11-200-00-674000-53421"/>
    <x v="0"/>
    <n v="200"/>
    <n v="0"/>
    <x v="43"/>
    <n v="53421"/>
    <x v="1"/>
    <s v="53"/>
    <s v="534"/>
    <x v="333"/>
    <s v="Retired Staff - Noninstructional : Medical Benefits Nonteaching Retirees"/>
    <n v="123393.23"/>
  </r>
  <r>
    <x v="2"/>
    <s v="11-200-00-675000-55125"/>
    <x v="0"/>
    <n v="200"/>
    <n v="0"/>
    <x v="44"/>
    <n v="55125"/>
    <x v="1"/>
    <s v="55"/>
    <s v="551"/>
    <x v="334"/>
    <s v="Staff Development : Training &amp; Seminars"/>
    <n v="9747.2900000000009"/>
  </r>
  <r>
    <x v="2"/>
    <s v="11-200-00-677000-55821"/>
    <x v="0"/>
    <n v="200"/>
    <n v="0"/>
    <x v="45"/>
    <n v="55821"/>
    <x v="1"/>
    <s v="55"/>
    <s v="558"/>
    <x v="335"/>
    <s v="Purchasing/Receiving : Commercial Parcel Service"/>
    <n v="4598.68"/>
  </r>
  <r>
    <x v="2"/>
    <s v="11-200-00-677010-55555"/>
    <x v="0"/>
    <n v="200"/>
    <n v="0"/>
    <x v="1"/>
    <n v="55555"/>
    <x v="1"/>
    <s v="55"/>
    <s v="555"/>
    <x v="336"/>
    <s v="COVID-19 : Hotspot Service"/>
    <n v="55970.54"/>
  </r>
  <r>
    <x v="2"/>
    <s v="11-200-00-677100-54300"/>
    <x v="0"/>
    <n v="200"/>
    <n v="0"/>
    <x v="46"/>
    <n v="54300"/>
    <x v="1"/>
    <s v="54"/>
    <s v="543"/>
    <x v="337"/>
    <s v="Campus Security : Supplies &amp; Materials"/>
    <n v="0"/>
  </r>
  <r>
    <x v="2"/>
    <s v="11-200-00-677100-55105"/>
    <x v="0"/>
    <n v="200"/>
    <n v="0"/>
    <x v="46"/>
    <n v="55105"/>
    <x v="1"/>
    <s v="55"/>
    <s v="551"/>
    <x v="338"/>
    <s v="Campus Security : Contract Services"/>
    <n v="335178.78000000003"/>
  </r>
  <r>
    <x v="2"/>
    <s v="11-200-00-677100-55630"/>
    <x v="0"/>
    <n v="200"/>
    <n v="0"/>
    <x v="46"/>
    <n v="55630"/>
    <x v="1"/>
    <s v="55"/>
    <s v="556"/>
    <x v="339"/>
    <s v="Campus Security : Printing &amp; Duplicating - Inhouse"/>
    <n v="0"/>
  </r>
  <r>
    <x v="2"/>
    <s v="11-200-00-695000-55800"/>
    <x v="0"/>
    <n v="200"/>
    <n v="0"/>
    <x v="47"/>
    <n v="55800"/>
    <x v="1"/>
    <s v="55"/>
    <s v="558"/>
    <x v="340"/>
    <s v="Parking Services : Other Costs"/>
    <n v="0"/>
  </r>
  <r>
    <x v="2"/>
    <s v="11-200-04-657000-55530"/>
    <x v="0"/>
    <n v="200"/>
    <n v="4"/>
    <x v="37"/>
    <n v="55530"/>
    <x v="1"/>
    <s v="55"/>
    <s v="555"/>
    <x v="341"/>
    <s v="Utilities : Electric Utility"/>
    <n v="1444.98"/>
  </r>
  <r>
    <x v="2"/>
    <s v="11-200-04-657000-55540"/>
    <x v="0"/>
    <n v="200"/>
    <n v="4"/>
    <x v="37"/>
    <n v="55540"/>
    <x v="1"/>
    <s v="55"/>
    <s v="555"/>
    <x v="342"/>
    <s v="Utilities : Gas Utility"/>
    <n v="0"/>
  </r>
  <r>
    <x v="2"/>
    <s v="11-210-00-657000-55530"/>
    <x v="0"/>
    <n v="210"/>
    <n v="0"/>
    <x v="37"/>
    <n v="55530"/>
    <x v="1"/>
    <s v="55"/>
    <s v="555"/>
    <x v="343"/>
    <s v="Utilities : Electric Utility"/>
    <n v="313341.62"/>
  </r>
  <r>
    <x v="2"/>
    <s v="11-210-00-657000-55540"/>
    <x v="0"/>
    <n v="210"/>
    <n v="0"/>
    <x v="37"/>
    <n v="55540"/>
    <x v="1"/>
    <s v="55"/>
    <s v="555"/>
    <x v="344"/>
    <s v="Utilities : Gas Utility"/>
    <n v="204158.39"/>
  </r>
  <r>
    <x v="2"/>
    <s v="11-210-00-657000-55560"/>
    <x v="0"/>
    <n v="210"/>
    <n v="0"/>
    <x v="37"/>
    <n v="55560"/>
    <x v="1"/>
    <s v="55"/>
    <s v="555"/>
    <x v="345"/>
    <s v="Utilities : Water Service"/>
    <n v="39594.160000000003"/>
  </r>
  <r>
    <x v="2"/>
    <s v="11-210-00-657000-55570"/>
    <x v="0"/>
    <n v="210"/>
    <n v="0"/>
    <x v="37"/>
    <n v="55570"/>
    <x v="1"/>
    <s v="55"/>
    <s v="555"/>
    <x v="346"/>
    <s v="Utilities : Sewer Service"/>
    <n v="26418.52"/>
  </r>
  <r>
    <x v="2"/>
    <s v="11-210-00-657000-55575"/>
    <x v="0"/>
    <n v="210"/>
    <n v="0"/>
    <x v="37"/>
    <n v="55575"/>
    <x v="1"/>
    <s v="55"/>
    <s v="555"/>
    <x v="347"/>
    <s v="Utilities : Hazardous Waste Disposal"/>
    <n v="0"/>
  </r>
  <r>
    <x v="2"/>
    <s v="11-210-00-657000-55580"/>
    <x v="0"/>
    <n v="210"/>
    <n v="0"/>
    <x v="37"/>
    <n v="55580"/>
    <x v="1"/>
    <s v="55"/>
    <s v="555"/>
    <x v="348"/>
    <s v="Utilities : Trash Collection Service"/>
    <n v="22479.200000000001"/>
  </r>
  <r>
    <x v="2"/>
    <s v="11-210-00-672010-52105"/>
    <x v="0"/>
    <n v="210"/>
    <n v="0"/>
    <x v="48"/>
    <n v="52105"/>
    <x v="1"/>
    <s v="52"/>
    <s v="521"/>
    <x v="349"/>
    <s v="Business Office : Classified CSEA"/>
    <n v="365651.08"/>
  </r>
  <r>
    <x v="2"/>
    <s v="11-210-00-672010-52115"/>
    <x v="0"/>
    <n v="210"/>
    <n v="0"/>
    <x v="48"/>
    <n v="52115"/>
    <x v="1"/>
    <s v="52"/>
    <s v="521"/>
    <x v="350"/>
    <s v="Business Office : Classified Supervisory"/>
    <n v="79084.100000000006"/>
  </r>
  <r>
    <x v="2"/>
    <s v="11-210-00-672010-52120"/>
    <x v="0"/>
    <n v="210"/>
    <n v="0"/>
    <x v="48"/>
    <n v="52120"/>
    <x v="1"/>
    <s v="52"/>
    <s v="521"/>
    <x v="351"/>
    <s v="Business Office : Classified Confidential"/>
    <n v="113235.5"/>
  </r>
  <r>
    <x v="2"/>
    <s v="11-210-00-672010-52130"/>
    <x v="0"/>
    <n v="210"/>
    <n v="0"/>
    <x v="48"/>
    <n v="52130"/>
    <x v="1"/>
    <s v="52"/>
    <s v="521"/>
    <x v="352"/>
    <s v="Business Office : Classified Management"/>
    <n v="230570.64"/>
  </r>
  <r>
    <x v="2"/>
    <s v="11-210-00-672010-52300"/>
    <x v="0"/>
    <n v="210"/>
    <n v="0"/>
    <x v="48"/>
    <n v="52300"/>
    <x v="1"/>
    <s v="52"/>
    <s v="523"/>
    <x v="353"/>
    <s v="Business Office : Classified Overtime"/>
    <n v="5818.8"/>
  </r>
  <r>
    <x v="2"/>
    <s v="11-210-00-672010-52350"/>
    <x v="0"/>
    <n v="210"/>
    <n v="0"/>
    <x v="48"/>
    <n v="52350"/>
    <x v="1"/>
    <s v="52"/>
    <s v="523"/>
    <x v="354"/>
    <s v="Business Office : Classified Student Dist Non-IA PT"/>
    <n v="0"/>
  </r>
  <r>
    <x v="2"/>
    <s v="11-210-00-672010-52360"/>
    <x v="0"/>
    <n v="210"/>
    <n v="0"/>
    <x v="48"/>
    <n v="52360"/>
    <x v="1"/>
    <s v="52"/>
    <s v="523"/>
    <x v="355"/>
    <s v="Business Office : Class Nonstu NonIA PT Prof Exp"/>
    <n v="0"/>
  </r>
  <r>
    <x v="2"/>
    <s v="11-210-00-672010-53220"/>
    <x v="0"/>
    <n v="210"/>
    <n v="0"/>
    <x v="48"/>
    <n v="53220"/>
    <x v="1"/>
    <s v="53"/>
    <s v="532"/>
    <x v="356"/>
    <s v="Business Office : PERS Nonteaching"/>
    <n v="155365.09"/>
  </r>
  <r>
    <x v="2"/>
    <s v="11-210-00-672010-53320"/>
    <x v="0"/>
    <n v="210"/>
    <n v="0"/>
    <x v="48"/>
    <n v="53320"/>
    <x v="1"/>
    <s v="53"/>
    <s v="533"/>
    <x v="357"/>
    <s v="Business Office : OASDHI (FICA) Nonteaching"/>
    <n v="47129.9"/>
  </r>
  <r>
    <x v="2"/>
    <s v="11-210-00-672010-53340"/>
    <x v="0"/>
    <n v="210"/>
    <n v="0"/>
    <x v="48"/>
    <n v="53340"/>
    <x v="1"/>
    <s v="53"/>
    <s v="533"/>
    <x v="358"/>
    <s v="Business Office : Medicare Nonteaching"/>
    <n v="11356.49"/>
  </r>
  <r>
    <x v="2"/>
    <s v="11-210-00-672010-53420"/>
    <x v="0"/>
    <n v="210"/>
    <n v="0"/>
    <x v="48"/>
    <n v="53420"/>
    <x v="1"/>
    <s v="53"/>
    <s v="534"/>
    <x v="359"/>
    <s v="Business Office : H &amp; W Nonteaching"/>
    <n v="264560.03000000003"/>
  </r>
  <r>
    <x v="2"/>
    <s v="11-210-00-672010-53520"/>
    <x v="0"/>
    <n v="210"/>
    <n v="0"/>
    <x v="48"/>
    <n v="53520"/>
    <x v="1"/>
    <s v="53"/>
    <s v="535"/>
    <x v="360"/>
    <s v="Business Office : SUI Nonteaching"/>
    <n v="394.75"/>
  </r>
  <r>
    <x v="2"/>
    <s v="11-210-00-672010-53620"/>
    <x v="0"/>
    <n v="210"/>
    <n v="0"/>
    <x v="48"/>
    <n v="53620"/>
    <x v="1"/>
    <s v="53"/>
    <s v="536"/>
    <x v="361"/>
    <s v="Business Office : WC Nonteaching"/>
    <n v="15033.59"/>
  </r>
  <r>
    <x v="2"/>
    <s v="11-210-00-672010-53904"/>
    <x v="0"/>
    <n v="210"/>
    <n v="0"/>
    <x v="48"/>
    <n v="53904"/>
    <x v="1"/>
    <s v="53"/>
    <s v="539"/>
    <x v="362"/>
    <s v="Business Office : Benefits Clearing Account"/>
    <n v="-9.7200000000000006"/>
  </r>
  <r>
    <x v="2"/>
    <s v="11-210-00-672010-53920"/>
    <x v="0"/>
    <n v="210"/>
    <n v="0"/>
    <x v="48"/>
    <n v="53920"/>
    <x v="1"/>
    <s v="53"/>
    <s v="539"/>
    <x v="363"/>
    <s v="Business Office : Other Benefit-Non Teaching"/>
    <n v="3546"/>
  </r>
  <r>
    <x v="2"/>
    <s v="11-210-00-672010-54300"/>
    <x v="0"/>
    <n v="210"/>
    <n v="0"/>
    <x v="48"/>
    <n v="54300"/>
    <x v="1"/>
    <s v="54"/>
    <s v="543"/>
    <x v="364"/>
    <s v="Business Office : Supplies &amp; Materials"/>
    <n v="6977.9"/>
  </r>
  <r>
    <x v="2"/>
    <s v="11-210-00-672010-55105"/>
    <x v="0"/>
    <n v="210"/>
    <n v="0"/>
    <x v="48"/>
    <n v="55105"/>
    <x v="1"/>
    <s v="55"/>
    <s v="551"/>
    <x v="365"/>
    <s v="Business Office : Contract Services"/>
    <n v="10774.6"/>
  </r>
  <r>
    <x v="2"/>
    <s v="11-210-00-672010-55200"/>
    <x v="0"/>
    <n v="210"/>
    <n v="0"/>
    <x v="48"/>
    <n v="55200"/>
    <x v="1"/>
    <s v="55"/>
    <s v="552"/>
    <x v="366"/>
    <s v="Business Office : Travel &amp; Conference"/>
    <n v="906.33"/>
  </r>
  <r>
    <x v="2"/>
    <s v="11-210-00-672010-55309"/>
    <x v="0"/>
    <n v="210"/>
    <n v="0"/>
    <x v="48"/>
    <n v="55309"/>
    <x v="1"/>
    <s v="55"/>
    <s v="553"/>
    <x v="367"/>
    <s v="Business Office : Subscriptions"/>
    <n v="199"/>
  </r>
  <r>
    <x v="2"/>
    <s v="11-210-00-672010-55630"/>
    <x v="0"/>
    <n v="210"/>
    <n v="0"/>
    <x v="48"/>
    <n v="55630"/>
    <x v="1"/>
    <s v="55"/>
    <s v="556"/>
    <x v="368"/>
    <s v="Business Office : Printing &amp; Duplicating - Inhouse"/>
    <n v="4057.3"/>
  </r>
  <r>
    <x v="2"/>
    <s v="11-210-00-672010-55800"/>
    <x v="0"/>
    <n v="210"/>
    <n v="0"/>
    <x v="48"/>
    <n v="55800"/>
    <x v="1"/>
    <s v="55"/>
    <s v="558"/>
    <x v="369"/>
    <s v="Business Office : Other Costs"/>
    <n v="-5873.57"/>
  </r>
  <r>
    <x v="2"/>
    <s v="11-210-00-672010-56400"/>
    <x v="0"/>
    <n v="210"/>
    <n v="0"/>
    <x v="48"/>
    <n v="56400"/>
    <x v="1"/>
    <s v="56"/>
    <s v="564"/>
    <x v="370"/>
    <s v="Business Office : Cap Equip - $200 to $4,999"/>
    <n v="0"/>
  </r>
  <r>
    <x v="2"/>
    <s v="11-210-00-672020-52130"/>
    <x v="0"/>
    <n v="210"/>
    <n v="0"/>
    <x v="42"/>
    <n v="52130"/>
    <x v="1"/>
    <s v="52"/>
    <s v="521"/>
    <x v="371"/>
    <s v="Fiscal Operations : Classified Management"/>
    <n v="100184.75"/>
  </r>
  <r>
    <x v="2"/>
    <s v="11-210-00-672020-53220"/>
    <x v="0"/>
    <n v="210"/>
    <n v="0"/>
    <x v="42"/>
    <n v="53220"/>
    <x v="1"/>
    <s v="53"/>
    <s v="532"/>
    <x v="372"/>
    <s v="Fiscal Operations : PERS Nonteaching"/>
    <n v="20738.240000000002"/>
  </r>
  <r>
    <x v="2"/>
    <s v="11-210-00-672020-53320"/>
    <x v="0"/>
    <n v="210"/>
    <n v="0"/>
    <x v="42"/>
    <n v="53320"/>
    <x v="1"/>
    <s v="53"/>
    <s v="533"/>
    <x v="373"/>
    <s v="Fiscal Operations : OASDHI (FICA) Nonteaching"/>
    <n v="6160.25"/>
  </r>
  <r>
    <x v="2"/>
    <s v="11-210-00-672020-53340"/>
    <x v="0"/>
    <n v="210"/>
    <n v="0"/>
    <x v="42"/>
    <n v="53340"/>
    <x v="1"/>
    <s v="53"/>
    <s v="533"/>
    <x v="374"/>
    <s v="Fiscal Operations : Medicare Nonteaching"/>
    <n v="1440.72"/>
  </r>
  <r>
    <x v="2"/>
    <s v="11-210-00-672020-53420"/>
    <x v="0"/>
    <n v="210"/>
    <n v="0"/>
    <x v="42"/>
    <n v="53420"/>
    <x v="1"/>
    <s v="53"/>
    <s v="534"/>
    <x v="375"/>
    <s v="Fiscal Operations : H &amp; W Nonteaching"/>
    <n v="27056.86"/>
  </r>
  <r>
    <x v="2"/>
    <s v="11-210-00-672020-53501"/>
    <x v="0"/>
    <n v="210"/>
    <n v="0"/>
    <x v="42"/>
    <n v="53501"/>
    <x v="1"/>
    <s v="53"/>
    <s v="535"/>
    <x v="376"/>
    <s v="Fiscal Operations : Unemployment Insurance Local Experience Charge"/>
    <n v="998.14"/>
  </r>
  <r>
    <x v="2"/>
    <s v="11-210-00-672020-53520"/>
    <x v="0"/>
    <n v="210"/>
    <n v="0"/>
    <x v="42"/>
    <n v="53520"/>
    <x v="1"/>
    <s v="53"/>
    <s v="535"/>
    <x v="377"/>
    <s v="Fiscal Operations : SUI Nonteaching"/>
    <n v="50.11"/>
  </r>
  <r>
    <x v="2"/>
    <s v="11-210-00-672020-53620"/>
    <x v="0"/>
    <n v="210"/>
    <n v="0"/>
    <x v="42"/>
    <n v="53620"/>
    <x v="1"/>
    <s v="53"/>
    <s v="536"/>
    <x v="378"/>
    <s v="Fiscal Operations : WC Nonteaching"/>
    <n v="1894.3"/>
  </r>
  <r>
    <x v="2"/>
    <s v="11-210-00-672020-53900"/>
    <x v="0"/>
    <n v="210"/>
    <n v="0"/>
    <x v="42"/>
    <n v="53900"/>
    <x v="1"/>
    <s v="53"/>
    <s v="539"/>
    <x v="379"/>
    <s v="Fiscal Operations : Retiree Benefits Other"/>
    <n v="0"/>
  </r>
  <r>
    <x v="2"/>
    <s v="11-210-00-672020-53904"/>
    <x v="0"/>
    <n v="210"/>
    <n v="0"/>
    <x v="42"/>
    <n v="53904"/>
    <x v="1"/>
    <s v="53"/>
    <s v="539"/>
    <x v="380"/>
    <s v="Fiscal Operations : Benefits Clearing Account"/>
    <n v="-182214"/>
  </r>
  <r>
    <x v="2"/>
    <s v="11-210-00-672020-54300"/>
    <x v="0"/>
    <n v="210"/>
    <n v="0"/>
    <x v="42"/>
    <n v="54300"/>
    <x v="1"/>
    <s v="54"/>
    <s v="543"/>
    <x v="381"/>
    <s v="Fiscal Operations : Supplies &amp; Materials"/>
    <n v="124.53"/>
  </r>
  <r>
    <x v="2"/>
    <s v="11-210-00-672020-55105"/>
    <x v="0"/>
    <n v="210"/>
    <n v="0"/>
    <x v="42"/>
    <n v="55105"/>
    <x v="1"/>
    <s v="55"/>
    <s v="551"/>
    <x v="382"/>
    <s v="Fiscal Operations : Contract Services"/>
    <n v="4611"/>
  </r>
  <r>
    <x v="2"/>
    <s v="11-210-00-672020-55125"/>
    <x v="0"/>
    <n v="210"/>
    <n v="0"/>
    <x v="42"/>
    <n v="55125"/>
    <x v="1"/>
    <s v="55"/>
    <s v="551"/>
    <x v="383"/>
    <s v="Fiscal Operations : Training &amp; Seminars"/>
    <n v="550"/>
  </r>
  <r>
    <x v="2"/>
    <s v="11-210-00-672020-55300"/>
    <x v="0"/>
    <n v="210"/>
    <n v="0"/>
    <x v="42"/>
    <n v="55300"/>
    <x v="1"/>
    <s v="55"/>
    <s v="553"/>
    <x v="384"/>
    <s v="Fiscal Operations : Memberships"/>
    <n v="8542.67"/>
  </r>
  <r>
    <x v="2"/>
    <s v="11-210-00-672020-55400"/>
    <x v="0"/>
    <n v="210"/>
    <n v="0"/>
    <x v="42"/>
    <n v="55400"/>
    <x v="1"/>
    <s v="55"/>
    <s v="554"/>
    <x v="385"/>
    <s v="Fiscal Operations : Insurance"/>
    <n v="341507.23"/>
  </r>
  <r>
    <x v="2"/>
    <s v="11-210-00-672020-55550"/>
    <x v="0"/>
    <n v="210"/>
    <n v="0"/>
    <x v="42"/>
    <n v="55550"/>
    <x v="1"/>
    <s v="55"/>
    <s v="555"/>
    <x v="386"/>
    <s v="Fiscal Operations : Telephone Service"/>
    <n v="138.38999999999999"/>
  </r>
  <r>
    <x v="2"/>
    <s v="11-210-00-672020-55600"/>
    <x v="0"/>
    <n v="210"/>
    <n v="0"/>
    <x v="42"/>
    <n v="55600"/>
    <x v="1"/>
    <s v="55"/>
    <s v="556"/>
    <x v="387"/>
    <s v="Fiscal Operations : Rents &amp; Leases"/>
    <n v="41396.97"/>
  </r>
  <r>
    <x v="2"/>
    <s v="11-210-00-672020-55635"/>
    <x v="0"/>
    <n v="210"/>
    <n v="0"/>
    <x v="42"/>
    <n v="55635"/>
    <x v="1"/>
    <s v="55"/>
    <s v="556"/>
    <x v="388"/>
    <s v="Fiscal Operations : Printing Services - Vendor"/>
    <n v="30839.98"/>
  </r>
  <r>
    <x v="2"/>
    <s v="11-210-00-672020-55650"/>
    <x v="0"/>
    <n v="210"/>
    <n v="0"/>
    <x v="42"/>
    <n v="55650"/>
    <x v="1"/>
    <s v="55"/>
    <s v="556"/>
    <x v="389"/>
    <s v="Fiscal Operations : Maintenance Agreement"/>
    <n v="2847.73"/>
  </r>
  <r>
    <x v="2"/>
    <s v="11-210-00-672020-55663"/>
    <x v="0"/>
    <n v="210"/>
    <n v="0"/>
    <x v="42"/>
    <n v="55663"/>
    <x v="1"/>
    <s v="55"/>
    <s v="556"/>
    <x v="390"/>
    <s v="Fiscal Operations : Bank Fees"/>
    <n v="10249.82"/>
  </r>
  <r>
    <x v="2"/>
    <s v="11-210-00-672020-55700"/>
    <x v="0"/>
    <n v="210"/>
    <n v="0"/>
    <x v="42"/>
    <n v="55700"/>
    <x v="1"/>
    <s v="55"/>
    <s v="557"/>
    <x v="391"/>
    <s v="Fiscal Operations : Legal &amp; Audit Expenses"/>
    <n v="212666.25"/>
  </r>
  <r>
    <x v="2"/>
    <s v="11-210-00-672020-55800"/>
    <x v="0"/>
    <n v="210"/>
    <n v="0"/>
    <x v="42"/>
    <n v="55800"/>
    <x v="1"/>
    <s v="55"/>
    <s v="558"/>
    <x v="392"/>
    <s v="Fiscal Operations : Other Costs"/>
    <n v="7443.49"/>
  </r>
  <r>
    <x v="2"/>
    <s v="11-210-00-672020-55820"/>
    <x v="0"/>
    <n v="210"/>
    <n v="0"/>
    <x v="42"/>
    <n v="55820"/>
    <x v="1"/>
    <s v="55"/>
    <s v="558"/>
    <x v="393"/>
    <s v="Fiscal Operations : US Postage"/>
    <n v="18761.7"/>
  </r>
  <r>
    <x v="2"/>
    <s v="11-210-00-672020-55835"/>
    <x v="0"/>
    <n v="210"/>
    <n v="0"/>
    <x v="42"/>
    <n v="55835"/>
    <x v="1"/>
    <s v="55"/>
    <s v="558"/>
    <x v="394"/>
    <s v="Fiscal Operations : Classified Newspaper Ads"/>
    <n v="98.2"/>
  </r>
  <r>
    <x v="2"/>
    <s v="11-210-00-672020-55861"/>
    <x v="0"/>
    <n v="210"/>
    <n v="0"/>
    <x v="42"/>
    <n v="55861"/>
    <x v="1"/>
    <s v="55"/>
    <s v="558"/>
    <x v="395"/>
    <s v="Fiscal Operations : Credit Card Fees "/>
    <n v="38209.199999999997"/>
  </r>
  <r>
    <x v="2"/>
    <s v="11-210-00-672020-55862"/>
    <x v="0"/>
    <n v="210"/>
    <n v="0"/>
    <x v="42"/>
    <n v="55862"/>
    <x v="1"/>
    <s v="55"/>
    <s v="558"/>
    <x v="396"/>
    <s v="Fiscal Operations : Credit Card Holding"/>
    <n v="0"/>
  </r>
  <r>
    <x v="2"/>
    <s v="11-210-00-672020-57300"/>
    <x v="0"/>
    <n v="210"/>
    <n v="0"/>
    <x v="42"/>
    <n v="57300"/>
    <x v="1"/>
    <s v="57"/>
    <s v="573"/>
    <x v="397"/>
    <s v="Fiscal Operations : Interfund Transfer"/>
    <n v="0"/>
  </r>
  <r>
    <x v="2"/>
    <s v="11-210-00-672020-57350"/>
    <x v="0"/>
    <n v="210"/>
    <n v="0"/>
    <x v="42"/>
    <n v="57350"/>
    <x v="1"/>
    <s v="57"/>
    <s v="573"/>
    <x v="398"/>
    <s v="Fiscal Operations : Tsf Indirect Costs-Interfund"/>
    <n v="-311367.73"/>
  </r>
  <r>
    <x v="2"/>
    <s v="11-210-00-672020-57351"/>
    <x v="0"/>
    <n v="210"/>
    <n v="0"/>
    <x v="42"/>
    <n v="57351"/>
    <x v="1"/>
    <s v="57"/>
    <s v="573"/>
    <x v="399"/>
    <s v="Fiscal Operations : Other Admin Costs"/>
    <n v="-1765"/>
  </r>
  <r>
    <x v="2"/>
    <s v="11-210-00-672040-52105"/>
    <x v="0"/>
    <n v="210"/>
    <n v="0"/>
    <x v="49"/>
    <n v="52105"/>
    <x v="1"/>
    <s v="52"/>
    <s v="521"/>
    <x v="400"/>
    <s v="Grants Administration : Classified CSEA"/>
    <n v="103906.2"/>
  </r>
  <r>
    <x v="2"/>
    <s v="11-210-00-672040-52130"/>
    <x v="0"/>
    <n v="210"/>
    <n v="0"/>
    <x v="49"/>
    <n v="52130"/>
    <x v="1"/>
    <s v="52"/>
    <s v="521"/>
    <x v="401"/>
    <s v="Grants Administration : Classified Management"/>
    <n v="10777.1"/>
  </r>
  <r>
    <x v="2"/>
    <s v="11-210-00-672040-52300"/>
    <x v="0"/>
    <n v="210"/>
    <n v="0"/>
    <x v="49"/>
    <n v="52300"/>
    <x v="1"/>
    <s v="52"/>
    <s v="523"/>
    <x v="402"/>
    <s v="Grants Administration : Classified Overtime"/>
    <n v="395.08"/>
  </r>
  <r>
    <x v="2"/>
    <s v="11-210-00-672040-53220"/>
    <x v="0"/>
    <n v="210"/>
    <n v="0"/>
    <x v="49"/>
    <n v="53220"/>
    <x v="1"/>
    <s v="53"/>
    <s v="532"/>
    <x v="403"/>
    <s v="Grants Administration : PERS Nonteaching"/>
    <n v="23650.17"/>
  </r>
  <r>
    <x v="2"/>
    <s v="11-210-00-672040-53320"/>
    <x v="0"/>
    <n v="210"/>
    <n v="0"/>
    <x v="49"/>
    <n v="53320"/>
    <x v="1"/>
    <s v="53"/>
    <s v="533"/>
    <x v="404"/>
    <s v="Grants Administration : OASDHI (FICA) Nonteaching"/>
    <n v="7106.97"/>
  </r>
  <r>
    <x v="2"/>
    <s v="11-210-00-672040-53340"/>
    <x v="0"/>
    <n v="210"/>
    <n v="0"/>
    <x v="49"/>
    <n v="53340"/>
    <x v="1"/>
    <s v="53"/>
    <s v="533"/>
    <x v="405"/>
    <s v="Grants Administration : Medicare Nonteaching"/>
    <n v="1662.17"/>
  </r>
  <r>
    <x v="2"/>
    <s v="11-210-00-672040-53420"/>
    <x v="0"/>
    <n v="210"/>
    <n v="0"/>
    <x v="49"/>
    <n v="53420"/>
    <x v="1"/>
    <s v="53"/>
    <s v="534"/>
    <x v="406"/>
    <s v="Grants Administration : H &amp; W Nonteaching"/>
    <n v="38308.300000000003"/>
  </r>
  <r>
    <x v="2"/>
    <s v="11-210-00-672040-53520"/>
    <x v="0"/>
    <n v="210"/>
    <n v="0"/>
    <x v="49"/>
    <n v="53520"/>
    <x v="1"/>
    <s v="53"/>
    <s v="535"/>
    <x v="407"/>
    <s v="Grants Administration : SUI Nonteaching"/>
    <n v="57.5"/>
  </r>
  <r>
    <x v="2"/>
    <s v="11-210-00-672040-53620"/>
    <x v="0"/>
    <n v="210"/>
    <n v="0"/>
    <x v="49"/>
    <n v="53620"/>
    <x v="1"/>
    <s v="53"/>
    <s v="536"/>
    <x v="408"/>
    <s v="Grants Administration : WC Nonteaching"/>
    <n v="2180.88"/>
  </r>
  <r>
    <x v="2"/>
    <s v="11-210-00-672040-53920"/>
    <x v="0"/>
    <n v="210"/>
    <n v="0"/>
    <x v="49"/>
    <n v="53920"/>
    <x v="1"/>
    <s v="53"/>
    <s v="539"/>
    <x v="409"/>
    <s v="Grants Administration : Other Benefit-Non Teaching"/>
    <n v="1800"/>
  </r>
  <r>
    <x v="2"/>
    <s v="11-210-00-672040-55630"/>
    <x v="0"/>
    <n v="210"/>
    <n v="0"/>
    <x v="49"/>
    <n v="55630"/>
    <x v="1"/>
    <s v="55"/>
    <s v="556"/>
    <x v="410"/>
    <s v="Grants Administration : Printing &amp; Duplicating - Inhouse"/>
    <n v="305.66000000000003"/>
  </r>
  <r>
    <x v="2"/>
    <s v="11-210-00-677000-52105"/>
    <x v="0"/>
    <n v="210"/>
    <n v="0"/>
    <x v="45"/>
    <n v="52105"/>
    <x v="1"/>
    <s v="52"/>
    <s v="521"/>
    <x v="411"/>
    <s v="Purchasing/Receiving : Classified CSEA"/>
    <n v="49429.8"/>
  </r>
  <r>
    <x v="2"/>
    <s v="11-210-00-677000-53220"/>
    <x v="0"/>
    <n v="210"/>
    <n v="0"/>
    <x v="45"/>
    <n v="53220"/>
    <x v="1"/>
    <s v="53"/>
    <s v="532"/>
    <x v="412"/>
    <s v="Purchasing/Receiving : PERS Nonteaching"/>
    <n v="10232.5"/>
  </r>
  <r>
    <x v="2"/>
    <s v="11-210-00-677000-53320"/>
    <x v="0"/>
    <n v="210"/>
    <n v="0"/>
    <x v="45"/>
    <n v="53320"/>
    <x v="1"/>
    <s v="53"/>
    <s v="533"/>
    <x v="413"/>
    <s v="Purchasing/Receiving : OASDHI (FICA) Nonteaching"/>
    <n v="3032.73"/>
  </r>
  <r>
    <x v="2"/>
    <s v="11-210-00-677000-53340"/>
    <x v="0"/>
    <n v="210"/>
    <n v="0"/>
    <x v="45"/>
    <n v="53340"/>
    <x v="1"/>
    <s v="53"/>
    <s v="533"/>
    <x v="414"/>
    <s v="Purchasing/Receiving : Medicare Nonteaching"/>
    <n v="709.28"/>
  </r>
  <r>
    <x v="2"/>
    <s v="11-210-00-677000-53420"/>
    <x v="0"/>
    <n v="210"/>
    <n v="0"/>
    <x v="45"/>
    <n v="53420"/>
    <x v="1"/>
    <s v="53"/>
    <s v="534"/>
    <x v="415"/>
    <s v="Purchasing/Receiving : H &amp; W Nonteaching"/>
    <n v="20615.86"/>
  </r>
  <r>
    <x v="2"/>
    <s v="11-210-00-677000-53520"/>
    <x v="0"/>
    <n v="210"/>
    <n v="0"/>
    <x v="45"/>
    <n v="53520"/>
    <x v="1"/>
    <s v="53"/>
    <s v="535"/>
    <x v="416"/>
    <s v="Purchasing/Receiving : SUI Nonteaching"/>
    <n v="24.71"/>
  </r>
  <r>
    <x v="2"/>
    <s v="11-210-00-677000-53620"/>
    <x v="0"/>
    <n v="210"/>
    <n v="0"/>
    <x v="45"/>
    <n v="53620"/>
    <x v="1"/>
    <s v="53"/>
    <s v="536"/>
    <x v="417"/>
    <s v="Purchasing/Receiving : WC Nonteaching"/>
    <n v="936.96"/>
  </r>
  <r>
    <x v="2"/>
    <s v="11-210-00-677000-55650"/>
    <x v="0"/>
    <n v="210"/>
    <n v="0"/>
    <x v="45"/>
    <n v="55650"/>
    <x v="1"/>
    <s v="55"/>
    <s v="556"/>
    <x v="418"/>
    <s v="Purchasing/Receiving : Maintenance Agreement"/>
    <n v="36597.43"/>
  </r>
  <r>
    <x v="2"/>
    <s v="11-210-00-677020-54300"/>
    <x v="0"/>
    <n v="210"/>
    <n v="0"/>
    <x v="50"/>
    <n v="54300"/>
    <x v="1"/>
    <s v="54"/>
    <s v="543"/>
    <x v="419"/>
    <s v="Emergency Management : Supplies &amp; Materials"/>
    <n v="3404.27"/>
  </r>
  <r>
    <x v="2"/>
    <s v="11-210-00-677020-55200"/>
    <x v="0"/>
    <n v="210"/>
    <n v="0"/>
    <x v="50"/>
    <n v="55200"/>
    <x v="1"/>
    <s v="55"/>
    <s v="552"/>
    <x v="420"/>
    <s v="Emergency Management : Travel &amp; Conference"/>
    <n v="269.5"/>
  </r>
  <r>
    <x v="2"/>
    <s v="11-210-00-677020-55300"/>
    <x v="0"/>
    <n v="210"/>
    <n v="0"/>
    <x v="50"/>
    <n v="55300"/>
    <x v="1"/>
    <s v="55"/>
    <s v="553"/>
    <x v="421"/>
    <s v="Emergency Management : Memberships"/>
    <n v="245"/>
  </r>
  <r>
    <x v="2"/>
    <s v="11-210-00-677020-55550"/>
    <x v="0"/>
    <n v="210"/>
    <n v="0"/>
    <x v="50"/>
    <n v="55550"/>
    <x v="1"/>
    <s v="55"/>
    <s v="555"/>
    <x v="422"/>
    <s v="Emergency Management : Telephone Service"/>
    <n v="748.75"/>
  </r>
  <r>
    <x v="2"/>
    <s v="11-210-00-677020-55650"/>
    <x v="0"/>
    <n v="210"/>
    <n v="0"/>
    <x v="50"/>
    <n v="55650"/>
    <x v="1"/>
    <s v="55"/>
    <s v="556"/>
    <x v="423"/>
    <s v="Emergency Management : Maintenance Agreement"/>
    <n v="1337"/>
  </r>
  <r>
    <x v="2"/>
    <s v="11-210-00-695000-55105"/>
    <x v="0"/>
    <n v="210"/>
    <n v="0"/>
    <x v="47"/>
    <n v="55105"/>
    <x v="1"/>
    <s v="55"/>
    <s v="551"/>
    <x v="424"/>
    <s v="Parking Services : Contract Services"/>
    <n v="1994.5"/>
  </r>
  <r>
    <x v="2"/>
    <s v="11-210-00-732000-57510"/>
    <x v="0"/>
    <n v="210"/>
    <n v="0"/>
    <x v="51"/>
    <n v="57510"/>
    <x v="1"/>
    <s v="57"/>
    <s v="575"/>
    <x v="425"/>
    <s v="Student Aid : Student Internship"/>
    <n v="1000"/>
  </r>
  <r>
    <x v="2"/>
    <s v="11-210-05-657000-55530"/>
    <x v="0"/>
    <n v="210"/>
    <n v="5"/>
    <x v="37"/>
    <n v="55530"/>
    <x v="1"/>
    <s v="55"/>
    <s v="555"/>
    <x v="426"/>
    <s v="Utilities : Electric Utility"/>
    <n v="0"/>
  </r>
  <r>
    <x v="2"/>
    <s v="11-215-00-677000-55630"/>
    <x v="0"/>
    <n v="215"/>
    <n v="0"/>
    <x v="45"/>
    <n v="55630"/>
    <x v="1"/>
    <s v="55"/>
    <s v="556"/>
    <x v="427"/>
    <s v="Purchasing/Receiving : Printing &amp; Duplicating - Inhouse"/>
    <n v="209.55"/>
  </r>
  <r>
    <x v="2"/>
    <s v="11-220-00-651000-52125"/>
    <x v="0"/>
    <n v="220"/>
    <n v="0"/>
    <x v="52"/>
    <n v="52125"/>
    <x v="1"/>
    <s v="52"/>
    <s v="521"/>
    <x v="428"/>
    <s v="Building Maintenance &amp; Repairs : Classified L-39"/>
    <n v="380995.81"/>
  </r>
  <r>
    <x v="2"/>
    <s v="11-220-00-651000-52300"/>
    <x v="0"/>
    <n v="220"/>
    <n v="0"/>
    <x v="52"/>
    <n v="52300"/>
    <x v="1"/>
    <s v="52"/>
    <s v="523"/>
    <x v="429"/>
    <s v="Building Maintenance &amp; Repairs : Classified Overtime"/>
    <n v="1533.45"/>
  </r>
  <r>
    <x v="2"/>
    <s v="11-220-00-651000-53220"/>
    <x v="0"/>
    <n v="220"/>
    <n v="0"/>
    <x v="52"/>
    <n v="53220"/>
    <x v="1"/>
    <s v="53"/>
    <s v="532"/>
    <x v="430"/>
    <s v="Building Maintenance &amp; Repairs : PERS Nonteaching"/>
    <n v="79146.070000000007"/>
  </r>
  <r>
    <x v="2"/>
    <s v="11-220-00-651000-53320"/>
    <x v="0"/>
    <n v="220"/>
    <n v="0"/>
    <x v="52"/>
    <n v="53320"/>
    <x v="1"/>
    <s v="53"/>
    <s v="533"/>
    <x v="431"/>
    <s v="Building Maintenance &amp; Repairs : OASDHI (FICA) Nonteaching"/>
    <n v="23618.92"/>
  </r>
  <r>
    <x v="2"/>
    <s v="11-220-00-651000-53340"/>
    <x v="0"/>
    <n v="220"/>
    <n v="0"/>
    <x v="52"/>
    <n v="53340"/>
    <x v="1"/>
    <s v="53"/>
    <s v="533"/>
    <x v="432"/>
    <s v="Building Maintenance &amp; Repairs : Medicare Nonteaching"/>
    <n v="5523.85"/>
  </r>
  <r>
    <x v="2"/>
    <s v="11-220-00-651000-53420"/>
    <x v="0"/>
    <n v="220"/>
    <n v="0"/>
    <x v="52"/>
    <n v="53420"/>
    <x v="1"/>
    <s v="53"/>
    <s v="534"/>
    <x v="433"/>
    <s v="Building Maintenance &amp; Repairs : H &amp; W Nonteaching"/>
    <n v="148998.18"/>
  </r>
  <r>
    <x v="2"/>
    <s v="11-220-00-651000-53520"/>
    <x v="0"/>
    <n v="220"/>
    <n v="0"/>
    <x v="52"/>
    <n v="53520"/>
    <x v="1"/>
    <s v="53"/>
    <s v="535"/>
    <x v="434"/>
    <s v="Building Maintenance &amp; Repairs : SUI Nonteaching"/>
    <n v="192.47"/>
  </r>
  <r>
    <x v="2"/>
    <s v="11-220-00-651000-53620"/>
    <x v="0"/>
    <n v="220"/>
    <n v="0"/>
    <x v="52"/>
    <n v="53620"/>
    <x v="1"/>
    <s v="53"/>
    <s v="536"/>
    <x v="435"/>
    <s v="Building Maintenance &amp; Repairs : WC Nonteaching"/>
    <n v="7277.39"/>
  </r>
  <r>
    <x v="2"/>
    <s v="11-220-00-651000-53920"/>
    <x v="0"/>
    <n v="220"/>
    <n v="0"/>
    <x v="52"/>
    <n v="53920"/>
    <x v="1"/>
    <s v="53"/>
    <s v="539"/>
    <x v="436"/>
    <s v="Building Maintenance &amp; Repairs : Other Benefit-Non Teaching"/>
    <n v="3600"/>
  </r>
  <r>
    <x v="2"/>
    <s v="11-220-00-651000-54330"/>
    <x v="0"/>
    <n v="220"/>
    <n v="0"/>
    <x v="52"/>
    <n v="54330"/>
    <x v="1"/>
    <s v="54"/>
    <s v="543"/>
    <x v="437"/>
    <s v="Building Maintenance &amp; Repairs : M &amp; O General Supplies"/>
    <n v="13934.5"/>
  </r>
  <r>
    <x v="2"/>
    <s v="11-220-00-651000-54335"/>
    <x v="0"/>
    <n v="220"/>
    <n v="0"/>
    <x v="52"/>
    <n v="54335"/>
    <x v="1"/>
    <s v="54"/>
    <s v="543"/>
    <x v="438"/>
    <s v="Building Maintenance &amp; Repairs : M &amp; O Stnry Equipment Parts"/>
    <n v="13774.19"/>
  </r>
  <r>
    <x v="2"/>
    <s v="11-220-00-651000-54337"/>
    <x v="0"/>
    <n v="220"/>
    <n v="0"/>
    <x v="52"/>
    <n v="54337"/>
    <x v="1"/>
    <s v="54"/>
    <s v="543"/>
    <x v="439"/>
    <s v="Building Maintenance &amp; Repairs : M &amp; O Electrical Supplies"/>
    <n v="13187.84"/>
  </r>
  <r>
    <x v="2"/>
    <s v="11-220-00-651000-54338"/>
    <x v="0"/>
    <n v="220"/>
    <n v="0"/>
    <x v="52"/>
    <n v="54338"/>
    <x v="1"/>
    <s v="54"/>
    <s v="543"/>
    <x v="440"/>
    <s v="Building Maintenance &amp; Repairs : M &amp; O Plumbing Supplies"/>
    <n v="6320.86"/>
  </r>
  <r>
    <x v="2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9.32"/>
  </r>
  <r>
    <x v="2"/>
    <s v="11-220-00-651000-55650"/>
    <x v="0"/>
    <n v="220"/>
    <n v="0"/>
    <x v="52"/>
    <n v="55650"/>
    <x v="1"/>
    <s v="55"/>
    <s v="556"/>
    <x v="442"/>
    <s v="Building Maintenance &amp; Repairs : Maintenance Agreement"/>
    <n v="62375.829999999994"/>
  </r>
  <r>
    <x v="2"/>
    <s v="11-220-00-651000-55651"/>
    <x v="0"/>
    <n v="220"/>
    <n v="0"/>
    <x v="52"/>
    <n v="55651"/>
    <x v="1"/>
    <s v="55"/>
    <s v="556"/>
    <x v="443"/>
    <s v="Building Maintenance &amp; Repairs : Equipment Repairs"/>
    <n v="70126.59"/>
  </r>
  <r>
    <x v="2"/>
    <s v="11-220-00-651000-56400"/>
    <x v="0"/>
    <n v="220"/>
    <n v="0"/>
    <x v="52"/>
    <n v="56400"/>
    <x v="1"/>
    <s v="56"/>
    <s v="564"/>
    <x v="444"/>
    <s v="Building Maintenance &amp; Repairs : Cap Equip - $200 to $4,999"/>
    <n v="0"/>
  </r>
  <r>
    <x v="2"/>
    <s v="11-220-00-651000-56405"/>
    <x v="0"/>
    <n v="220"/>
    <n v="0"/>
    <x v="52"/>
    <n v="56405"/>
    <x v="1"/>
    <s v="56"/>
    <s v="564"/>
    <x v="445"/>
    <s v="Building Maintenance &amp; Repairs : Cap Equip - $5,000 and Over"/>
    <n v="5809.92"/>
  </r>
  <r>
    <x v="2"/>
    <s v="11-220-00-653000-52115"/>
    <x v="0"/>
    <n v="220"/>
    <n v="0"/>
    <x v="53"/>
    <n v="52115"/>
    <x v="1"/>
    <s v="52"/>
    <s v="521"/>
    <x v="446"/>
    <s v="Custodial Services : Classified Supervisory"/>
    <n v="41761.5"/>
  </r>
  <r>
    <x v="2"/>
    <s v="11-220-00-653000-52125"/>
    <x v="0"/>
    <n v="220"/>
    <n v="0"/>
    <x v="53"/>
    <n v="52125"/>
    <x v="1"/>
    <s v="52"/>
    <s v="521"/>
    <x v="447"/>
    <s v="Custodial Services : Classified L-39"/>
    <n v="685134.74"/>
  </r>
  <r>
    <x v="2"/>
    <s v="11-220-00-653000-52300"/>
    <x v="0"/>
    <n v="220"/>
    <n v="0"/>
    <x v="53"/>
    <n v="52300"/>
    <x v="1"/>
    <s v="52"/>
    <s v="523"/>
    <x v="448"/>
    <s v="Custodial Services : Classified Overtime"/>
    <n v="0"/>
  </r>
  <r>
    <x v="2"/>
    <s v="11-220-00-653000-53220"/>
    <x v="0"/>
    <n v="220"/>
    <n v="0"/>
    <x v="53"/>
    <n v="53220"/>
    <x v="1"/>
    <s v="53"/>
    <s v="532"/>
    <x v="449"/>
    <s v="Custodial Services : PERS Nonteaching"/>
    <n v="150075.38"/>
  </r>
  <r>
    <x v="2"/>
    <s v="11-220-00-653000-53320"/>
    <x v="0"/>
    <n v="220"/>
    <n v="0"/>
    <x v="53"/>
    <n v="53320"/>
    <x v="1"/>
    <s v="53"/>
    <s v="533"/>
    <x v="450"/>
    <s v="Custodial Services : OASDHI (FICA) Nonteaching"/>
    <n v="44483.72"/>
  </r>
  <r>
    <x v="2"/>
    <s v="11-220-00-653000-53340"/>
    <x v="0"/>
    <n v="220"/>
    <n v="0"/>
    <x v="53"/>
    <n v="53340"/>
    <x v="1"/>
    <s v="53"/>
    <s v="533"/>
    <x v="451"/>
    <s v="Custodial Services : Medicare Nonteaching"/>
    <n v="10403.4"/>
  </r>
  <r>
    <x v="2"/>
    <s v="11-220-00-653000-53420"/>
    <x v="0"/>
    <n v="220"/>
    <n v="0"/>
    <x v="53"/>
    <n v="53420"/>
    <x v="1"/>
    <s v="53"/>
    <s v="534"/>
    <x v="452"/>
    <s v="Custodial Services : H &amp; W Nonteaching"/>
    <n v="353176.62"/>
  </r>
  <r>
    <x v="2"/>
    <s v="11-220-00-653000-53520"/>
    <x v="0"/>
    <n v="220"/>
    <n v="0"/>
    <x v="53"/>
    <n v="53520"/>
    <x v="1"/>
    <s v="53"/>
    <s v="535"/>
    <x v="453"/>
    <s v="Custodial Services : SUI Nonteaching"/>
    <n v="363.4"/>
  </r>
  <r>
    <x v="2"/>
    <s v="11-220-00-653000-53620"/>
    <x v="0"/>
    <n v="220"/>
    <n v="0"/>
    <x v="53"/>
    <n v="53620"/>
    <x v="1"/>
    <s v="53"/>
    <s v="536"/>
    <x v="454"/>
    <s v="Custodial Services : WC Nonteaching"/>
    <n v="13735.97"/>
  </r>
  <r>
    <x v="2"/>
    <s v="11-220-00-653000-53920"/>
    <x v="0"/>
    <n v="220"/>
    <n v="0"/>
    <x v="53"/>
    <n v="53920"/>
    <x v="1"/>
    <s v="53"/>
    <s v="539"/>
    <x v="455"/>
    <s v="Custodial Services : Other Benefit-Non Teaching"/>
    <n v="3150"/>
  </r>
  <r>
    <x v="2"/>
    <s v="11-220-00-653000-54300"/>
    <x v="0"/>
    <n v="220"/>
    <n v="0"/>
    <x v="53"/>
    <n v="54300"/>
    <x v="1"/>
    <s v="54"/>
    <s v="543"/>
    <x v="456"/>
    <s v="Custodial Services : Supplies &amp; Materials"/>
    <n v="46583.649999999994"/>
  </r>
  <r>
    <x v="2"/>
    <s v="11-220-00-653000-55630"/>
    <x v="0"/>
    <n v="220"/>
    <n v="0"/>
    <x v="53"/>
    <n v="55630"/>
    <x v="1"/>
    <s v="55"/>
    <s v="556"/>
    <x v="457"/>
    <s v="Custodial Services : Printing &amp; Duplicating - Inhouse"/>
    <n v="335.86"/>
  </r>
  <r>
    <x v="2"/>
    <s v="11-220-00-653000-55650"/>
    <x v="0"/>
    <n v="220"/>
    <n v="0"/>
    <x v="53"/>
    <n v="55650"/>
    <x v="1"/>
    <s v="55"/>
    <s v="556"/>
    <x v="458"/>
    <s v="Custodial Services : Maintenance Agreement"/>
    <n v="11232.2"/>
  </r>
  <r>
    <x v="2"/>
    <s v="11-220-00-655000-52125"/>
    <x v="0"/>
    <n v="220"/>
    <n v="0"/>
    <x v="54"/>
    <n v="52125"/>
    <x v="1"/>
    <s v="52"/>
    <s v="521"/>
    <x v="459"/>
    <s v="Grounds Maintenance &amp; Repairs : Classified L-39"/>
    <n v="145450.87"/>
  </r>
  <r>
    <x v="2"/>
    <s v="11-220-00-655000-52300"/>
    <x v="0"/>
    <n v="220"/>
    <n v="0"/>
    <x v="54"/>
    <n v="52300"/>
    <x v="1"/>
    <s v="52"/>
    <s v="523"/>
    <x v="460"/>
    <s v="Grounds Maintenance &amp; Repairs : Classified Overtime"/>
    <n v="0"/>
  </r>
  <r>
    <x v="2"/>
    <s v="11-220-00-655000-53220"/>
    <x v="0"/>
    <n v="220"/>
    <n v="0"/>
    <x v="54"/>
    <n v="53220"/>
    <x v="1"/>
    <s v="53"/>
    <s v="532"/>
    <x v="461"/>
    <s v="Grounds Maintenance &amp; Repairs : PERS Nonteaching"/>
    <n v="29994.44"/>
  </r>
  <r>
    <x v="2"/>
    <s v="11-220-00-655000-53320"/>
    <x v="0"/>
    <n v="220"/>
    <n v="0"/>
    <x v="54"/>
    <n v="53320"/>
    <x v="1"/>
    <s v="53"/>
    <s v="533"/>
    <x v="462"/>
    <s v="Grounds Maintenance &amp; Repairs : OASDHI (FICA) Nonteaching"/>
    <n v="8971.16"/>
  </r>
  <r>
    <x v="2"/>
    <s v="11-220-00-655000-53340"/>
    <x v="0"/>
    <n v="220"/>
    <n v="0"/>
    <x v="54"/>
    <n v="53340"/>
    <x v="1"/>
    <s v="53"/>
    <s v="533"/>
    <x v="463"/>
    <s v="Grounds Maintenance &amp; Repairs : Medicare Nonteaching"/>
    <n v="2098.04"/>
  </r>
  <r>
    <x v="2"/>
    <s v="11-220-00-655000-53420"/>
    <x v="0"/>
    <n v="220"/>
    <n v="0"/>
    <x v="54"/>
    <n v="53420"/>
    <x v="1"/>
    <s v="53"/>
    <s v="534"/>
    <x v="464"/>
    <s v="Grounds Maintenance &amp; Repairs : H &amp; W Nonteaching"/>
    <n v="48896.35"/>
  </r>
  <r>
    <x v="2"/>
    <s v="11-220-00-655000-53520"/>
    <x v="0"/>
    <n v="220"/>
    <n v="0"/>
    <x v="54"/>
    <n v="53520"/>
    <x v="1"/>
    <s v="53"/>
    <s v="535"/>
    <x v="465"/>
    <s v="Grounds Maintenance &amp; Repairs : SUI Nonteaching"/>
    <n v="72.680000000000007"/>
  </r>
  <r>
    <x v="2"/>
    <s v="11-220-00-655000-53620"/>
    <x v="0"/>
    <n v="220"/>
    <n v="0"/>
    <x v="54"/>
    <n v="53620"/>
    <x v="1"/>
    <s v="53"/>
    <s v="536"/>
    <x v="466"/>
    <s v="Grounds Maintenance &amp; Repairs : WC Nonteaching"/>
    <n v="2750.14"/>
  </r>
  <r>
    <x v="2"/>
    <s v="11-220-00-655000-53920"/>
    <x v="0"/>
    <n v="220"/>
    <n v="0"/>
    <x v="54"/>
    <n v="53920"/>
    <x v="1"/>
    <s v="53"/>
    <s v="539"/>
    <x v="467"/>
    <s v="Grounds Maintenance &amp; Repairs : Other Benefit-Non Teaching"/>
    <n v="1800"/>
  </r>
  <r>
    <x v="2"/>
    <s v="11-220-00-655000-54300"/>
    <x v="0"/>
    <n v="220"/>
    <n v="0"/>
    <x v="54"/>
    <n v="54300"/>
    <x v="1"/>
    <s v="54"/>
    <s v="543"/>
    <x v="468"/>
    <s v="Grounds Maintenance &amp; Repairs : Supplies &amp; Materials"/>
    <n v="1527.98"/>
  </r>
  <r>
    <x v="2"/>
    <s v="11-220-00-655000-54330"/>
    <x v="0"/>
    <n v="220"/>
    <n v="0"/>
    <x v="54"/>
    <n v="54330"/>
    <x v="1"/>
    <s v="54"/>
    <s v="543"/>
    <x v="469"/>
    <s v="Grounds Maintenance &amp; Repairs : M &amp; O General Supplies"/>
    <n v="26607.059999999998"/>
  </r>
  <r>
    <x v="2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0.01"/>
  </r>
  <r>
    <x v="2"/>
    <s v="11-220-00-655000-55650"/>
    <x v="0"/>
    <n v="220"/>
    <n v="0"/>
    <x v="54"/>
    <n v="55650"/>
    <x v="1"/>
    <s v="55"/>
    <s v="556"/>
    <x v="471"/>
    <s v="Grounds Maintenance &amp; Repairs : Maintenance Agreement"/>
    <n v="4770.3999999999996"/>
  </r>
  <r>
    <x v="2"/>
    <s v="11-220-00-655000-55651"/>
    <x v="0"/>
    <n v="220"/>
    <n v="0"/>
    <x v="54"/>
    <n v="55651"/>
    <x v="1"/>
    <s v="55"/>
    <s v="556"/>
    <x v="472"/>
    <s v="Grounds Maintenance &amp; Repairs : Equipment Repairs"/>
    <n v="12741.88"/>
  </r>
  <r>
    <x v="2"/>
    <s v="11-220-00-659010-52105"/>
    <x v="0"/>
    <n v="220"/>
    <n v="0"/>
    <x v="55"/>
    <n v="52105"/>
    <x v="1"/>
    <s v="52"/>
    <s v="521"/>
    <x v="473"/>
    <s v="Maintenance &amp; Operations : Classified CSEA"/>
    <n v="32953.24"/>
  </r>
  <r>
    <x v="2"/>
    <s v="11-220-00-659010-52125"/>
    <x v="0"/>
    <n v="220"/>
    <n v="0"/>
    <x v="55"/>
    <n v="52125"/>
    <x v="1"/>
    <s v="52"/>
    <s v="521"/>
    <x v="474"/>
    <s v="Maintenance &amp; Operations : Classified L-39"/>
    <n v="9310.08"/>
  </r>
  <r>
    <x v="2"/>
    <s v="11-220-00-659010-52130"/>
    <x v="0"/>
    <n v="220"/>
    <n v="0"/>
    <x v="55"/>
    <n v="52130"/>
    <x v="1"/>
    <s v="52"/>
    <s v="521"/>
    <x v="475"/>
    <s v="Maintenance &amp; Operations : Classified Management"/>
    <n v="115292.8"/>
  </r>
  <r>
    <x v="2"/>
    <s v="11-220-00-659010-52360"/>
    <x v="0"/>
    <n v="220"/>
    <n v="0"/>
    <x v="55"/>
    <n v="52360"/>
    <x v="1"/>
    <s v="52"/>
    <s v="523"/>
    <x v="476"/>
    <s v="Maintenance &amp; Operations : Class Nonstu NonIA PT Prof Exp"/>
    <n v="0"/>
  </r>
  <r>
    <x v="2"/>
    <s v="11-220-00-659010-53220"/>
    <x v="0"/>
    <n v="220"/>
    <n v="0"/>
    <x v="55"/>
    <n v="53220"/>
    <x v="1"/>
    <s v="53"/>
    <s v="532"/>
    <x v="477"/>
    <s v="Maintenance &amp; Operations : PERS Nonteaching"/>
    <n v="32591.72"/>
  </r>
  <r>
    <x v="2"/>
    <s v="11-220-00-659010-53320"/>
    <x v="0"/>
    <n v="220"/>
    <n v="0"/>
    <x v="55"/>
    <n v="53320"/>
    <x v="1"/>
    <s v="53"/>
    <s v="533"/>
    <x v="478"/>
    <s v="Maintenance &amp; Operations : OASDHI (FICA) Nonteaching"/>
    <n v="9623.27"/>
  </r>
  <r>
    <x v="2"/>
    <s v="11-220-00-659010-53340"/>
    <x v="0"/>
    <n v="220"/>
    <n v="0"/>
    <x v="55"/>
    <n v="53340"/>
    <x v="1"/>
    <s v="53"/>
    <s v="533"/>
    <x v="479"/>
    <s v="Maintenance &amp; Operations : Medicare Nonteaching"/>
    <n v="2275.0500000000002"/>
  </r>
  <r>
    <x v="2"/>
    <s v="11-220-00-659010-53420"/>
    <x v="0"/>
    <n v="220"/>
    <n v="0"/>
    <x v="55"/>
    <n v="53420"/>
    <x v="1"/>
    <s v="53"/>
    <s v="534"/>
    <x v="480"/>
    <s v="Maintenance &amp; Operations : H &amp; W Nonteaching"/>
    <n v="32055.05"/>
  </r>
  <r>
    <x v="2"/>
    <s v="11-220-00-659010-53520"/>
    <x v="0"/>
    <n v="220"/>
    <n v="0"/>
    <x v="55"/>
    <n v="53520"/>
    <x v="1"/>
    <s v="53"/>
    <s v="535"/>
    <x v="481"/>
    <s v="Maintenance &amp; Operations : SUI Nonteaching"/>
    <n v="78.819999999999993"/>
  </r>
  <r>
    <x v="2"/>
    <s v="11-220-00-659010-53620"/>
    <x v="0"/>
    <n v="220"/>
    <n v="0"/>
    <x v="55"/>
    <n v="53620"/>
    <x v="1"/>
    <s v="53"/>
    <s v="536"/>
    <x v="482"/>
    <s v="Maintenance &amp; Operations : WC Nonteaching"/>
    <n v="2980.7"/>
  </r>
  <r>
    <x v="2"/>
    <s v="11-220-00-659010-53920"/>
    <x v="0"/>
    <n v="220"/>
    <n v="0"/>
    <x v="55"/>
    <n v="53920"/>
    <x v="1"/>
    <s v="53"/>
    <s v="539"/>
    <x v="483"/>
    <s v="Maintenance &amp; Operations : Other Benefit-Non Teaching"/>
    <n v="1440"/>
  </r>
  <r>
    <x v="2"/>
    <s v="11-220-00-659010-54300"/>
    <x v="0"/>
    <n v="220"/>
    <n v="0"/>
    <x v="55"/>
    <n v="54300"/>
    <x v="1"/>
    <s v="54"/>
    <s v="543"/>
    <x v="484"/>
    <s v="Maintenance &amp; Operations : Supplies &amp; Materials"/>
    <n v="29075.22"/>
  </r>
  <r>
    <x v="2"/>
    <s v="11-220-00-659010-55105"/>
    <x v="0"/>
    <n v="220"/>
    <n v="0"/>
    <x v="55"/>
    <n v="55105"/>
    <x v="1"/>
    <s v="55"/>
    <s v="551"/>
    <x v="485"/>
    <s v="Maintenance &amp; Operations : Contract Services"/>
    <n v="9388.35"/>
  </r>
  <r>
    <x v="2"/>
    <s v="11-220-00-659010-55550"/>
    <x v="0"/>
    <n v="220"/>
    <n v="0"/>
    <x v="55"/>
    <n v="55550"/>
    <x v="1"/>
    <s v="55"/>
    <s v="555"/>
    <x v="486"/>
    <s v="Maintenance &amp; Operations : Telephone Service"/>
    <n v="436.99"/>
  </r>
  <r>
    <x v="2"/>
    <s v="11-220-00-659010-55600"/>
    <x v="0"/>
    <n v="220"/>
    <n v="0"/>
    <x v="55"/>
    <n v="55600"/>
    <x v="1"/>
    <s v="55"/>
    <s v="556"/>
    <x v="487"/>
    <s v="Maintenance &amp; Operations : Rents &amp; Leases"/>
    <n v="0"/>
  </r>
  <r>
    <x v="2"/>
    <s v="11-220-00-659010-55630"/>
    <x v="0"/>
    <n v="220"/>
    <n v="0"/>
    <x v="55"/>
    <n v="55630"/>
    <x v="1"/>
    <s v="55"/>
    <s v="556"/>
    <x v="488"/>
    <s v="Maintenance &amp; Operations : Printing &amp; Duplicating - Inhouse"/>
    <n v="286.27999999999997"/>
  </r>
  <r>
    <x v="2"/>
    <s v="11-220-00-659010-55650"/>
    <x v="0"/>
    <n v="220"/>
    <n v="0"/>
    <x v="55"/>
    <n v="55650"/>
    <x v="1"/>
    <s v="55"/>
    <s v="556"/>
    <x v="489"/>
    <s v="Maintenance &amp; Operations : Maintenance Agreement"/>
    <n v="19617.3"/>
  </r>
  <r>
    <x v="2"/>
    <s v="11-220-00-659010-55651"/>
    <x v="0"/>
    <n v="220"/>
    <n v="0"/>
    <x v="55"/>
    <n v="55651"/>
    <x v="1"/>
    <s v="55"/>
    <s v="556"/>
    <x v="490"/>
    <s v="Maintenance &amp; Operations : Equipment Repairs"/>
    <n v="0"/>
  </r>
  <r>
    <x v="2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2"/>
    <s v="11-220-00-659010-56216"/>
    <x v="0"/>
    <n v="220"/>
    <n v="0"/>
    <x v="55"/>
    <n v="56216"/>
    <x v="1"/>
    <s v="56"/>
    <s v="562"/>
    <x v="492"/>
    <s v="Maintenance &amp; Operations : Other Costs"/>
    <n v="424.79"/>
  </r>
  <r>
    <x v="2"/>
    <s v="11-220-00-659020-54300"/>
    <x v="0"/>
    <n v="220"/>
    <n v="0"/>
    <x v="56"/>
    <n v="54300"/>
    <x v="1"/>
    <s v="54"/>
    <s v="543"/>
    <x v="493"/>
    <s v="Safety &amp; Hazardous Materials : Supplies &amp; Materials"/>
    <n v="0"/>
  </r>
  <r>
    <x v="2"/>
    <s v="11-220-00-659020-55105"/>
    <x v="0"/>
    <n v="220"/>
    <n v="0"/>
    <x v="56"/>
    <n v="55105"/>
    <x v="1"/>
    <s v="55"/>
    <s v="551"/>
    <x v="494"/>
    <s v="Safety &amp; Hazardous Materials : Contract Services"/>
    <n v="0"/>
  </r>
  <r>
    <x v="2"/>
    <s v="11-220-00-659020-55575"/>
    <x v="0"/>
    <n v="220"/>
    <n v="0"/>
    <x v="56"/>
    <n v="55575"/>
    <x v="1"/>
    <s v="55"/>
    <s v="555"/>
    <x v="495"/>
    <s v="Safety &amp; Hazardous Materials : Hazardous Waste Disposal"/>
    <n v="10659.9"/>
  </r>
  <r>
    <x v="2"/>
    <s v="11-220-00-659020-56217"/>
    <x v="0"/>
    <n v="220"/>
    <n v="0"/>
    <x v="56"/>
    <n v="56217"/>
    <x v="1"/>
    <s v="56"/>
    <s v="562"/>
    <x v="496"/>
    <s v="Safety &amp; Hazardous Materials : Permits and Fees"/>
    <n v="3059"/>
  </r>
  <r>
    <x v="2"/>
    <s v="11-220-00-677000-52105"/>
    <x v="0"/>
    <n v="220"/>
    <n v="0"/>
    <x v="45"/>
    <n v="52105"/>
    <x v="1"/>
    <s v="52"/>
    <s v="521"/>
    <x v="497"/>
    <s v="Purchasing/Receiving : Classified CSEA"/>
    <n v="43455.040000000001"/>
  </r>
  <r>
    <x v="2"/>
    <s v="11-220-00-677000-52300"/>
    <x v="0"/>
    <n v="220"/>
    <n v="0"/>
    <x v="45"/>
    <n v="52300"/>
    <x v="1"/>
    <s v="52"/>
    <s v="523"/>
    <x v="498"/>
    <s v="Purchasing/Receiving : Classified Overtime"/>
    <n v="60.15"/>
  </r>
  <r>
    <x v="2"/>
    <s v="11-220-00-677000-53220"/>
    <x v="0"/>
    <n v="220"/>
    <n v="0"/>
    <x v="45"/>
    <n v="53220"/>
    <x v="1"/>
    <s v="53"/>
    <s v="532"/>
    <x v="499"/>
    <s v="Purchasing/Receiving : PERS Nonteaching"/>
    <n v="8892.83"/>
  </r>
  <r>
    <x v="2"/>
    <s v="11-220-00-677000-53320"/>
    <x v="0"/>
    <n v="220"/>
    <n v="0"/>
    <x v="45"/>
    <n v="53320"/>
    <x v="1"/>
    <s v="53"/>
    <s v="533"/>
    <x v="500"/>
    <s v="Purchasing/Receiving : OASDHI (FICA) Nonteaching"/>
    <n v="2620.37"/>
  </r>
  <r>
    <x v="2"/>
    <s v="11-220-00-677000-53340"/>
    <x v="0"/>
    <n v="220"/>
    <n v="0"/>
    <x v="45"/>
    <n v="53340"/>
    <x v="1"/>
    <s v="53"/>
    <s v="533"/>
    <x v="501"/>
    <s v="Purchasing/Receiving : Medicare Nonteaching"/>
    <n v="612.84"/>
  </r>
  <r>
    <x v="2"/>
    <s v="11-220-00-677000-53420"/>
    <x v="0"/>
    <n v="220"/>
    <n v="0"/>
    <x v="45"/>
    <n v="53420"/>
    <x v="1"/>
    <s v="53"/>
    <s v="534"/>
    <x v="502"/>
    <s v="Purchasing/Receiving : H &amp; W Nonteaching"/>
    <n v="28432.36"/>
  </r>
  <r>
    <x v="2"/>
    <s v="11-220-00-677000-53520"/>
    <x v="0"/>
    <n v="220"/>
    <n v="0"/>
    <x v="45"/>
    <n v="53520"/>
    <x v="1"/>
    <s v="53"/>
    <s v="535"/>
    <x v="503"/>
    <s v="Purchasing/Receiving : SUI Nonteaching"/>
    <n v="21.54"/>
  </r>
  <r>
    <x v="2"/>
    <s v="11-220-00-677000-53620"/>
    <x v="0"/>
    <n v="220"/>
    <n v="0"/>
    <x v="45"/>
    <n v="53620"/>
    <x v="1"/>
    <s v="53"/>
    <s v="536"/>
    <x v="504"/>
    <s v="Purchasing/Receiving : WC Nonteaching"/>
    <n v="824.83"/>
  </r>
  <r>
    <x v="2"/>
    <s v="11-220-00-677000-55630"/>
    <x v="0"/>
    <n v="220"/>
    <n v="0"/>
    <x v="45"/>
    <n v="55630"/>
    <x v="1"/>
    <s v="55"/>
    <s v="556"/>
    <x v="505"/>
    <s v="Purchasing/Receiving : Printing &amp; Duplicating - Inhouse"/>
    <n v="55.85"/>
  </r>
  <r>
    <x v="2"/>
    <s v="11-220-00-677300-54349"/>
    <x v="0"/>
    <n v="220"/>
    <n v="0"/>
    <x v="57"/>
    <n v="54349"/>
    <x v="1"/>
    <s v="54"/>
    <s v="543"/>
    <x v="506"/>
    <s v="Vehicle Maintenance : M&amp;O Fuel and Oil Expense"/>
    <n v="6461.32"/>
  </r>
  <r>
    <x v="2"/>
    <s v="11-220-00-677300-55651"/>
    <x v="0"/>
    <n v="220"/>
    <n v="0"/>
    <x v="57"/>
    <n v="55651"/>
    <x v="1"/>
    <s v="55"/>
    <s v="556"/>
    <x v="507"/>
    <s v="Vehicle Maintenance : Equipment Repairs"/>
    <n v="1755.6"/>
  </r>
  <r>
    <x v="2"/>
    <s v="11-220-00-683000-52105"/>
    <x v="0"/>
    <n v="220"/>
    <n v="0"/>
    <x v="58"/>
    <n v="52105"/>
    <x v="1"/>
    <s v="52"/>
    <s v="521"/>
    <x v="508"/>
    <s v="Community Use of Facilities : Classified CSEA"/>
    <n v="62880.86"/>
  </r>
  <r>
    <x v="2"/>
    <s v="11-220-00-683000-52115"/>
    <x v="0"/>
    <n v="220"/>
    <n v="0"/>
    <x v="58"/>
    <n v="52115"/>
    <x v="1"/>
    <s v="52"/>
    <s v="521"/>
    <x v="509"/>
    <s v="Community Use of Facilities : Classified Supervisory"/>
    <n v="13920.5"/>
  </r>
  <r>
    <x v="2"/>
    <s v="11-220-00-683000-52125"/>
    <x v="0"/>
    <n v="220"/>
    <n v="0"/>
    <x v="58"/>
    <n v="52125"/>
    <x v="1"/>
    <s v="52"/>
    <s v="521"/>
    <x v="510"/>
    <s v="Community Use of Facilities : Classified L-39"/>
    <n v="34376.17"/>
  </r>
  <r>
    <x v="2"/>
    <s v="11-220-00-683000-52300"/>
    <x v="0"/>
    <n v="220"/>
    <n v="0"/>
    <x v="58"/>
    <n v="52300"/>
    <x v="1"/>
    <s v="52"/>
    <s v="523"/>
    <x v="511"/>
    <s v="Community Use of Facilities : Classified Overtime"/>
    <n v="8.68"/>
  </r>
  <r>
    <x v="2"/>
    <s v="11-220-00-683000-53220"/>
    <x v="0"/>
    <n v="220"/>
    <n v="0"/>
    <x v="58"/>
    <n v="53220"/>
    <x v="1"/>
    <s v="53"/>
    <s v="532"/>
    <x v="512"/>
    <s v="Community Use of Facilities : PERS Nonteaching"/>
    <n v="22910.38"/>
  </r>
  <r>
    <x v="2"/>
    <s v="11-220-00-683000-53320"/>
    <x v="0"/>
    <n v="220"/>
    <n v="0"/>
    <x v="58"/>
    <n v="53320"/>
    <x v="1"/>
    <s v="53"/>
    <s v="533"/>
    <x v="513"/>
    <s v="Community Use of Facilities : OASDHI (FICA) Nonteaching"/>
    <n v="6864.8"/>
  </r>
  <r>
    <x v="2"/>
    <s v="11-220-00-683000-53340"/>
    <x v="0"/>
    <n v="220"/>
    <n v="0"/>
    <x v="58"/>
    <n v="53340"/>
    <x v="1"/>
    <s v="53"/>
    <s v="533"/>
    <x v="514"/>
    <s v="Community Use of Facilities : Medicare Nonteaching"/>
    <n v="1605.51"/>
  </r>
  <r>
    <x v="2"/>
    <s v="11-220-00-683000-53420"/>
    <x v="0"/>
    <n v="220"/>
    <n v="0"/>
    <x v="58"/>
    <n v="53420"/>
    <x v="1"/>
    <s v="53"/>
    <s v="534"/>
    <x v="515"/>
    <s v="Community Use of Facilities : H &amp; W Nonteaching"/>
    <n v="32533.57"/>
  </r>
  <r>
    <x v="2"/>
    <s v="11-220-00-683000-53520"/>
    <x v="0"/>
    <n v="220"/>
    <n v="0"/>
    <x v="58"/>
    <n v="53520"/>
    <x v="1"/>
    <s v="53"/>
    <s v="535"/>
    <x v="516"/>
    <s v="Community Use of Facilities : SUI Nonteaching"/>
    <n v="55.55"/>
  </r>
  <r>
    <x v="2"/>
    <s v="11-220-00-683000-53620"/>
    <x v="0"/>
    <n v="220"/>
    <n v="0"/>
    <x v="58"/>
    <n v="53620"/>
    <x v="1"/>
    <s v="53"/>
    <s v="536"/>
    <x v="517"/>
    <s v="Community Use of Facilities : WC Nonteaching"/>
    <n v="2105.16"/>
  </r>
  <r>
    <x v="2"/>
    <s v="11-220-00-683000-53920"/>
    <x v="0"/>
    <n v="220"/>
    <n v="0"/>
    <x v="58"/>
    <n v="53920"/>
    <x v="1"/>
    <s v="53"/>
    <s v="539"/>
    <x v="518"/>
    <s v="Community Use of Facilities : Other Benefit-Non Teaching"/>
    <n v="2610"/>
  </r>
  <r>
    <x v="2"/>
    <s v="11-220-00-683000-54340"/>
    <x v="0"/>
    <n v="220"/>
    <n v="0"/>
    <x v="58"/>
    <n v="54340"/>
    <x v="1"/>
    <s v="54"/>
    <s v="543"/>
    <x v="519"/>
    <s v="Community Use of Facilities : M &amp; O Pool Chemicals"/>
    <n v="21890"/>
  </r>
  <r>
    <x v="2"/>
    <s v="11-220-00-683000-55630"/>
    <x v="0"/>
    <n v="220"/>
    <n v="0"/>
    <x v="58"/>
    <n v="55630"/>
    <x v="1"/>
    <s v="55"/>
    <s v="556"/>
    <x v="520"/>
    <s v="Community Use of Facilities : Printing &amp; Duplicating - Inhouse"/>
    <n v="192.41"/>
  </r>
  <r>
    <x v="2"/>
    <s v="11-220-04-657000-55530"/>
    <x v="0"/>
    <n v="220"/>
    <n v="4"/>
    <x v="37"/>
    <n v="55530"/>
    <x v="1"/>
    <s v="55"/>
    <s v="555"/>
    <x v="521"/>
    <s v="Utilities : Electric Utility"/>
    <n v="1331.78"/>
  </r>
  <r>
    <x v="2"/>
    <s v="11-300-00-490000-54300"/>
    <x v="0"/>
    <n v="300"/>
    <n v="0"/>
    <x v="59"/>
    <n v="54300"/>
    <x v="1"/>
    <s v="54"/>
    <s v="543"/>
    <x v="522"/>
    <s v="Interdisiplinary Studies : Supplies &amp; Materials"/>
    <n v="0"/>
  </r>
  <r>
    <x v="2"/>
    <s v="11-300-00-490000-55610"/>
    <x v="0"/>
    <n v="300"/>
    <n v="0"/>
    <x v="59"/>
    <n v="55610"/>
    <x v="1"/>
    <s v="55"/>
    <s v="556"/>
    <x v="523"/>
    <s v="Interdisiplinary Studies : Software licensing"/>
    <n v="0"/>
  </r>
  <r>
    <x v="2"/>
    <s v="11-300-00-490000-56400"/>
    <x v="0"/>
    <n v="300"/>
    <n v="0"/>
    <x v="59"/>
    <n v="56400"/>
    <x v="1"/>
    <s v="56"/>
    <s v="564"/>
    <x v="524"/>
    <s v="Interdisiplinary Studies : Cap Equip - $200 to $4,999"/>
    <n v="1.1200000000000001"/>
  </r>
  <r>
    <x v="2"/>
    <s v="11-300-00-490000-56405"/>
    <x v="0"/>
    <n v="300"/>
    <n v="0"/>
    <x v="59"/>
    <n v="56405"/>
    <x v="1"/>
    <s v="56"/>
    <s v="564"/>
    <x v="525"/>
    <s v="Interdisiplinary Studies : Cap Equip - $5,000 and Over"/>
    <n v="0"/>
  </r>
  <r>
    <x v="2"/>
    <s v="11-300-00-601000-51200"/>
    <x v="0"/>
    <n v="300"/>
    <n v="0"/>
    <x v="34"/>
    <n v="51200"/>
    <x v="1"/>
    <s v="51"/>
    <s v="512"/>
    <x v="526"/>
    <s v="Academic Administration : Academic Nonteaching Full-time"/>
    <n v="27328.05"/>
  </r>
  <r>
    <x v="2"/>
    <s v="11-300-00-601000-51210"/>
    <x v="0"/>
    <n v="300"/>
    <n v="0"/>
    <x v="34"/>
    <n v="51210"/>
    <x v="1"/>
    <s v="51"/>
    <s v="512"/>
    <x v="527"/>
    <s v="Academic Administration : Academic Nonteaching Management"/>
    <n v="154583.82999999999"/>
  </r>
  <r>
    <x v="2"/>
    <s v="11-300-00-601000-51412"/>
    <x v="0"/>
    <n v="300"/>
    <n v="0"/>
    <x v="34"/>
    <n v="51412"/>
    <x v="1"/>
    <s v="51"/>
    <s v="514"/>
    <x v="528"/>
    <s v="Academic Administration : Acad Nonteach Special Projects"/>
    <n v="133341.46"/>
  </r>
  <r>
    <x v="2"/>
    <s v="11-300-00-601000-52105"/>
    <x v="0"/>
    <n v="300"/>
    <n v="0"/>
    <x v="34"/>
    <n v="52105"/>
    <x v="1"/>
    <s v="52"/>
    <s v="521"/>
    <x v="529"/>
    <s v="Academic Administration : Classified CSEA"/>
    <n v="229971.82"/>
  </r>
  <r>
    <x v="2"/>
    <s v="11-300-00-601000-52120"/>
    <x v="0"/>
    <n v="300"/>
    <n v="0"/>
    <x v="34"/>
    <n v="52120"/>
    <x v="1"/>
    <s v="52"/>
    <s v="521"/>
    <x v="530"/>
    <s v="Academic Administration : Classified Confidential"/>
    <n v="59400"/>
  </r>
  <r>
    <x v="2"/>
    <s v="11-300-00-601000-52300"/>
    <x v="0"/>
    <n v="300"/>
    <n v="0"/>
    <x v="34"/>
    <n v="52300"/>
    <x v="1"/>
    <s v="52"/>
    <s v="523"/>
    <x v="531"/>
    <s v="Academic Administration : Classified Overtime"/>
    <n v="174.59"/>
  </r>
  <r>
    <x v="2"/>
    <s v="11-300-00-601000-52350"/>
    <x v="0"/>
    <n v="300"/>
    <n v="0"/>
    <x v="34"/>
    <n v="52350"/>
    <x v="1"/>
    <s v="52"/>
    <s v="523"/>
    <x v="532"/>
    <s v="Academic Administration : Classified Student Dist Non-IA PT"/>
    <n v="5040.5"/>
  </r>
  <r>
    <x v="2"/>
    <s v="11-300-00-601000-52360"/>
    <x v="0"/>
    <n v="300"/>
    <n v="0"/>
    <x v="34"/>
    <n v="52360"/>
    <x v="1"/>
    <s v="52"/>
    <s v="523"/>
    <x v="533"/>
    <s v="Academic Administration : Class Nonstu NonIA PT Prof Exp"/>
    <n v="0"/>
  </r>
  <r>
    <x v="2"/>
    <s v="11-300-00-601000-53120"/>
    <x v="0"/>
    <n v="300"/>
    <n v="0"/>
    <x v="34"/>
    <n v="53120"/>
    <x v="1"/>
    <s v="53"/>
    <s v="531"/>
    <x v="534"/>
    <s v="Academic Administration : STRS Nonteaching"/>
    <n v="43613.93"/>
  </r>
  <r>
    <x v="2"/>
    <s v="11-300-00-601000-53220"/>
    <x v="0"/>
    <n v="300"/>
    <n v="0"/>
    <x v="34"/>
    <n v="53220"/>
    <x v="1"/>
    <s v="53"/>
    <s v="532"/>
    <x v="535"/>
    <s v="Academic Administration : PERS Nonteaching"/>
    <n v="59858.19"/>
  </r>
  <r>
    <x v="2"/>
    <s v="11-300-00-601000-53320"/>
    <x v="0"/>
    <n v="300"/>
    <n v="0"/>
    <x v="34"/>
    <n v="53320"/>
    <x v="1"/>
    <s v="53"/>
    <s v="533"/>
    <x v="536"/>
    <s v="Academic Administration : OASDHI (FICA) Nonteaching"/>
    <n v="19753.7"/>
  </r>
  <r>
    <x v="2"/>
    <s v="11-300-00-601000-53340"/>
    <x v="0"/>
    <n v="300"/>
    <n v="0"/>
    <x v="34"/>
    <n v="53340"/>
    <x v="1"/>
    <s v="53"/>
    <s v="533"/>
    <x v="537"/>
    <s v="Academic Administration : Medicare Nonteaching"/>
    <n v="8745.25"/>
  </r>
  <r>
    <x v="2"/>
    <s v="11-300-00-601000-53420"/>
    <x v="0"/>
    <n v="300"/>
    <n v="0"/>
    <x v="34"/>
    <n v="53420"/>
    <x v="1"/>
    <s v="53"/>
    <s v="534"/>
    <x v="538"/>
    <s v="Academic Administration : H &amp; W Nonteaching"/>
    <n v="110090.31"/>
  </r>
  <r>
    <x v="2"/>
    <s v="11-300-00-601000-53520"/>
    <x v="0"/>
    <n v="300"/>
    <n v="0"/>
    <x v="34"/>
    <n v="53520"/>
    <x v="1"/>
    <s v="53"/>
    <s v="535"/>
    <x v="539"/>
    <s v="Academic Administration : SUI Nonteaching"/>
    <n v="302.5"/>
  </r>
  <r>
    <x v="2"/>
    <s v="11-300-00-601000-53620"/>
    <x v="0"/>
    <n v="300"/>
    <n v="0"/>
    <x v="34"/>
    <n v="53620"/>
    <x v="1"/>
    <s v="53"/>
    <s v="536"/>
    <x v="540"/>
    <s v="Academic Administration : WC Nonteaching"/>
    <n v="11541.05"/>
  </r>
  <r>
    <x v="2"/>
    <s v="11-300-00-601000-53920"/>
    <x v="0"/>
    <n v="300"/>
    <n v="0"/>
    <x v="34"/>
    <n v="53920"/>
    <x v="1"/>
    <s v="53"/>
    <s v="539"/>
    <x v="541"/>
    <s v="Academic Administration : Other Benefit-Non Teaching"/>
    <n v="3378.26"/>
  </r>
  <r>
    <x v="2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2"/>
    <s v="11-300-00-601000-54300"/>
    <x v="0"/>
    <n v="300"/>
    <n v="0"/>
    <x v="34"/>
    <n v="54300"/>
    <x v="1"/>
    <s v="54"/>
    <s v="543"/>
    <x v="543"/>
    <s v="Academic Administration : Supplies &amp; Materials"/>
    <n v="80.12"/>
  </r>
  <r>
    <x v="2"/>
    <s v="11-300-00-601000-55105"/>
    <x v="0"/>
    <n v="300"/>
    <n v="0"/>
    <x v="34"/>
    <n v="55105"/>
    <x v="1"/>
    <s v="55"/>
    <s v="551"/>
    <x v="544"/>
    <s v="Academic Administration : Contract Services"/>
    <n v="513152"/>
  </r>
  <r>
    <x v="2"/>
    <s v="11-300-00-601000-55200"/>
    <x v="0"/>
    <n v="300"/>
    <n v="0"/>
    <x v="34"/>
    <n v="55200"/>
    <x v="1"/>
    <s v="55"/>
    <s v="552"/>
    <x v="545"/>
    <s v="Academic Administration : Travel &amp; Conference"/>
    <n v="3250"/>
  </r>
  <r>
    <x v="2"/>
    <s v="11-300-00-601000-55300"/>
    <x v="0"/>
    <n v="300"/>
    <n v="0"/>
    <x v="34"/>
    <n v="55300"/>
    <x v="1"/>
    <s v="55"/>
    <s v="553"/>
    <x v="546"/>
    <s v="Academic Administration : Memberships"/>
    <n v="300"/>
  </r>
  <r>
    <x v="2"/>
    <s v="11-300-00-601000-55630"/>
    <x v="0"/>
    <n v="300"/>
    <n v="0"/>
    <x v="34"/>
    <n v="55630"/>
    <x v="1"/>
    <s v="55"/>
    <s v="556"/>
    <x v="547"/>
    <s v="Academic Administration : Printing &amp; Duplicating - Inhouse"/>
    <n v="5.4"/>
  </r>
  <r>
    <x v="2"/>
    <s v="11-300-00-601000-55635"/>
    <x v="0"/>
    <n v="300"/>
    <n v="0"/>
    <x v="34"/>
    <n v="55635"/>
    <x v="1"/>
    <s v="55"/>
    <s v="556"/>
    <x v="548"/>
    <s v="Academic Administration : Printing Services - Vendor"/>
    <n v="0"/>
  </r>
  <r>
    <x v="2"/>
    <s v="11-300-00-601000-55650"/>
    <x v="0"/>
    <n v="300"/>
    <n v="0"/>
    <x v="34"/>
    <n v="55650"/>
    <x v="1"/>
    <s v="55"/>
    <s v="556"/>
    <x v="549"/>
    <s v="Academic Administration : Maintenance Agreement"/>
    <n v="0"/>
  </r>
  <r>
    <x v="2"/>
    <s v="11-300-00-612000-56310"/>
    <x v="0"/>
    <n v="300"/>
    <n v="0"/>
    <x v="35"/>
    <n v="56310"/>
    <x v="1"/>
    <s v="56"/>
    <s v="563"/>
    <x v="550"/>
    <s v="Library Services : Periodicals &amp; Newspapers"/>
    <n v="129.47999999999999"/>
  </r>
  <r>
    <x v="2"/>
    <s v="11-300-00-675020-51200"/>
    <x v="0"/>
    <n v="300"/>
    <n v="0"/>
    <x v="6"/>
    <n v="51200"/>
    <x v="1"/>
    <s v="51"/>
    <s v="512"/>
    <x v="551"/>
    <s v="Academic Senate : Academic Nonteaching Full-time"/>
    <n v="109666.91"/>
  </r>
  <r>
    <x v="2"/>
    <s v="11-300-00-675020-53120"/>
    <x v="0"/>
    <n v="300"/>
    <n v="0"/>
    <x v="6"/>
    <n v="53120"/>
    <x v="1"/>
    <s v="53"/>
    <s v="531"/>
    <x v="552"/>
    <s v="Academic Senate : STRS Nonteaching"/>
    <n v="17711.22"/>
  </r>
  <r>
    <x v="2"/>
    <s v="11-300-00-675020-53340"/>
    <x v="0"/>
    <n v="300"/>
    <n v="0"/>
    <x v="6"/>
    <n v="53340"/>
    <x v="1"/>
    <s v="53"/>
    <s v="533"/>
    <x v="553"/>
    <s v="Academic Senate : Medicare Nonteaching"/>
    <n v="1581.34"/>
  </r>
  <r>
    <x v="2"/>
    <s v="11-300-00-675020-53420"/>
    <x v="0"/>
    <n v="300"/>
    <n v="0"/>
    <x v="6"/>
    <n v="53420"/>
    <x v="1"/>
    <s v="53"/>
    <s v="534"/>
    <x v="554"/>
    <s v="Academic Senate : H &amp; W Nonteaching"/>
    <n v="24103.23"/>
  </r>
  <r>
    <x v="2"/>
    <s v="11-300-00-675020-53520"/>
    <x v="0"/>
    <n v="300"/>
    <n v="0"/>
    <x v="6"/>
    <n v="53520"/>
    <x v="1"/>
    <s v="53"/>
    <s v="535"/>
    <x v="555"/>
    <s v="Academic Senate : SUI Nonteaching"/>
    <n v="54.85"/>
  </r>
  <r>
    <x v="2"/>
    <s v="11-300-00-675020-53620"/>
    <x v="0"/>
    <n v="300"/>
    <n v="0"/>
    <x v="6"/>
    <n v="53620"/>
    <x v="1"/>
    <s v="53"/>
    <s v="536"/>
    <x v="556"/>
    <s v="Academic Senate : WC Nonteaching"/>
    <n v="2073.61"/>
  </r>
  <r>
    <x v="2"/>
    <s v="11-300-00-675020-55630"/>
    <x v="0"/>
    <n v="300"/>
    <n v="0"/>
    <x v="6"/>
    <n v="55630"/>
    <x v="1"/>
    <s v="55"/>
    <s v="556"/>
    <x v="557"/>
    <s v="Academic Senate : Printing &amp; Duplicating - Inhouse"/>
    <n v="1.63"/>
  </r>
  <r>
    <x v="2"/>
    <s v="11-300-04-490000-51311"/>
    <x v="0"/>
    <n v="300"/>
    <n v="4"/>
    <x v="59"/>
    <n v="51311"/>
    <x v="1"/>
    <s v="51"/>
    <s v="513"/>
    <x v="558"/>
    <s v="Interdisiplinary Studies : Academic Teaching PT"/>
    <n v="0"/>
  </r>
  <r>
    <x v="2"/>
    <s v="11-300-04-490000-53110"/>
    <x v="0"/>
    <n v="300"/>
    <n v="4"/>
    <x v="59"/>
    <n v="53110"/>
    <x v="1"/>
    <s v="53"/>
    <s v="531"/>
    <x v="559"/>
    <s v="Interdisiplinary Studies : STRS Teaching"/>
    <n v="0"/>
  </r>
  <r>
    <x v="2"/>
    <s v="11-300-04-490000-53330"/>
    <x v="0"/>
    <n v="300"/>
    <n v="4"/>
    <x v="59"/>
    <n v="53330"/>
    <x v="1"/>
    <s v="53"/>
    <s v="533"/>
    <x v="560"/>
    <s v="Interdisiplinary Studies : Medicare Teaching"/>
    <n v="0"/>
  </r>
  <r>
    <x v="2"/>
    <s v="11-300-04-490000-53510"/>
    <x v="0"/>
    <n v="300"/>
    <n v="4"/>
    <x v="59"/>
    <n v="53510"/>
    <x v="1"/>
    <s v="53"/>
    <s v="535"/>
    <x v="561"/>
    <s v="Interdisiplinary Studies : SUI Teaching"/>
    <n v="0"/>
  </r>
  <r>
    <x v="2"/>
    <s v="11-300-04-490000-53610"/>
    <x v="0"/>
    <n v="300"/>
    <n v="4"/>
    <x v="59"/>
    <n v="53610"/>
    <x v="1"/>
    <s v="53"/>
    <s v="536"/>
    <x v="562"/>
    <s v="Interdisiplinary Studies : WC Teaching"/>
    <n v="0"/>
  </r>
  <r>
    <x v="2"/>
    <s v="11-300-04-601000-55650"/>
    <x v="0"/>
    <n v="300"/>
    <n v="4"/>
    <x v="34"/>
    <n v="55650"/>
    <x v="1"/>
    <s v="55"/>
    <s v="556"/>
    <x v="563"/>
    <s v="Academic Administration : Maintenance Agreement"/>
    <n v="0"/>
  </r>
  <r>
    <x v="2"/>
    <s v="11-301-00-601000-51210"/>
    <x v="0"/>
    <n v="301"/>
    <n v="0"/>
    <x v="34"/>
    <n v="51210"/>
    <x v="1"/>
    <s v="51"/>
    <s v="512"/>
    <x v="564"/>
    <s v="Academic Administration : Academic Nonteaching Management"/>
    <n v="109336.7"/>
  </r>
  <r>
    <x v="2"/>
    <s v="11-301-00-601000-51412"/>
    <x v="0"/>
    <n v="301"/>
    <n v="0"/>
    <x v="34"/>
    <n v="51412"/>
    <x v="1"/>
    <s v="51"/>
    <s v="514"/>
    <x v="565"/>
    <s v="Academic Administration : Acad Nonteach Special Projects"/>
    <n v="0"/>
  </r>
  <r>
    <x v="2"/>
    <s v="11-301-00-601000-52105"/>
    <x v="0"/>
    <n v="301"/>
    <n v="0"/>
    <x v="34"/>
    <n v="52105"/>
    <x v="1"/>
    <s v="52"/>
    <s v="521"/>
    <x v="566"/>
    <s v="Academic Administration : Classified CSEA"/>
    <n v="53079.19"/>
  </r>
  <r>
    <x v="2"/>
    <s v="11-301-00-601000-52300"/>
    <x v="0"/>
    <n v="301"/>
    <n v="0"/>
    <x v="34"/>
    <n v="52300"/>
    <x v="1"/>
    <s v="52"/>
    <s v="523"/>
    <x v="567"/>
    <s v="Academic Administration : Classified Overtime"/>
    <n v="0"/>
  </r>
  <r>
    <x v="2"/>
    <s v="11-301-00-601000-52360"/>
    <x v="0"/>
    <n v="301"/>
    <n v="0"/>
    <x v="34"/>
    <n v="52360"/>
    <x v="1"/>
    <s v="52"/>
    <s v="523"/>
    <x v="568"/>
    <s v="Academic Administration : Class Nonstu NonIA PT Prof Exp"/>
    <n v="3551.39"/>
  </r>
  <r>
    <x v="2"/>
    <s v="11-301-00-601000-53120"/>
    <x v="0"/>
    <n v="301"/>
    <n v="0"/>
    <x v="34"/>
    <n v="53120"/>
    <x v="1"/>
    <s v="53"/>
    <s v="531"/>
    <x v="569"/>
    <s v="Academic Administration : STRS Nonteaching"/>
    <n v="0"/>
  </r>
  <r>
    <x v="2"/>
    <s v="11-301-00-601000-53220"/>
    <x v="0"/>
    <n v="301"/>
    <n v="0"/>
    <x v="34"/>
    <n v="53220"/>
    <x v="1"/>
    <s v="53"/>
    <s v="532"/>
    <x v="570"/>
    <s v="Academic Administration : PERS Nonteaching"/>
    <n v="34115.68"/>
  </r>
  <r>
    <x v="2"/>
    <s v="11-301-00-601000-53320"/>
    <x v="0"/>
    <n v="301"/>
    <n v="0"/>
    <x v="34"/>
    <n v="53320"/>
    <x v="1"/>
    <s v="53"/>
    <s v="533"/>
    <x v="571"/>
    <s v="Academic Administration : OASDHI (FICA) Nonteaching"/>
    <n v="10163.08"/>
  </r>
  <r>
    <x v="2"/>
    <s v="11-301-00-601000-53340"/>
    <x v="0"/>
    <n v="301"/>
    <n v="0"/>
    <x v="34"/>
    <n v="53340"/>
    <x v="1"/>
    <s v="53"/>
    <s v="533"/>
    <x v="572"/>
    <s v="Academic Administration : Medicare Nonteaching"/>
    <n v="2376.84"/>
  </r>
  <r>
    <x v="2"/>
    <s v="11-301-00-601000-53420"/>
    <x v="0"/>
    <n v="301"/>
    <n v="0"/>
    <x v="34"/>
    <n v="53420"/>
    <x v="1"/>
    <s v="53"/>
    <s v="534"/>
    <x v="573"/>
    <s v="Academic Administration : H &amp; W Nonteaching"/>
    <n v="45923.22"/>
  </r>
  <r>
    <x v="2"/>
    <s v="11-301-00-601000-53520"/>
    <x v="0"/>
    <n v="301"/>
    <n v="0"/>
    <x v="34"/>
    <n v="53520"/>
    <x v="1"/>
    <s v="53"/>
    <s v="535"/>
    <x v="574"/>
    <s v="Academic Administration : SUI Nonteaching"/>
    <n v="82.46"/>
  </r>
  <r>
    <x v="2"/>
    <s v="11-301-00-601000-53620"/>
    <x v="0"/>
    <n v="301"/>
    <n v="0"/>
    <x v="34"/>
    <n v="53620"/>
    <x v="1"/>
    <s v="53"/>
    <s v="536"/>
    <x v="575"/>
    <s v="Academic Administration : WC Nonteaching"/>
    <n v="3140.49"/>
  </r>
  <r>
    <x v="2"/>
    <s v="11-301-00-601000-53920"/>
    <x v="0"/>
    <n v="301"/>
    <n v="0"/>
    <x v="34"/>
    <n v="53920"/>
    <x v="1"/>
    <s v="53"/>
    <s v="539"/>
    <x v="576"/>
    <s v="Academic Administration : Other Benefit-Non Teaching"/>
    <n v="1800"/>
  </r>
  <r>
    <x v="2"/>
    <s v="11-301-00-601000-54300"/>
    <x v="0"/>
    <n v="301"/>
    <n v="0"/>
    <x v="34"/>
    <n v="54300"/>
    <x v="1"/>
    <s v="54"/>
    <s v="543"/>
    <x v="577"/>
    <s v="Academic Administration : Supplies &amp; Materials"/>
    <n v="60.08"/>
  </r>
  <r>
    <x v="2"/>
    <s v="11-301-00-601000-55200"/>
    <x v="0"/>
    <n v="301"/>
    <n v="0"/>
    <x v="34"/>
    <n v="55200"/>
    <x v="1"/>
    <s v="55"/>
    <s v="552"/>
    <x v="578"/>
    <s v="Academic Administration : Travel &amp; Conference"/>
    <n v="950"/>
  </r>
  <r>
    <x v="2"/>
    <s v="11-301-00-601000-55630"/>
    <x v="0"/>
    <n v="301"/>
    <n v="0"/>
    <x v="34"/>
    <n v="55630"/>
    <x v="1"/>
    <s v="55"/>
    <s v="556"/>
    <x v="579"/>
    <s v="Academic Administration : Printing &amp; Duplicating - Inhouse"/>
    <n v="30.84"/>
  </r>
  <r>
    <x v="2"/>
    <s v="11-304-00-601000-51210"/>
    <x v="0"/>
    <n v="304"/>
    <n v="0"/>
    <x v="34"/>
    <n v="51210"/>
    <x v="1"/>
    <s v="51"/>
    <s v="512"/>
    <x v="580"/>
    <s v="Academic Administration : Academic Nonteaching Management"/>
    <n v="129917.25"/>
  </r>
  <r>
    <x v="2"/>
    <s v="11-304-00-601000-52105"/>
    <x v="0"/>
    <n v="304"/>
    <n v="0"/>
    <x v="34"/>
    <n v="52105"/>
    <x v="1"/>
    <s v="52"/>
    <s v="521"/>
    <x v="581"/>
    <s v="Academic Administration : Classified CSEA"/>
    <n v="50485.120000000003"/>
  </r>
  <r>
    <x v="2"/>
    <s v="11-304-00-601000-53120"/>
    <x v="0"/>
    <n v="304"/>
    <n v="0"/>
    <x v="34"/>
    <n v="53120"/>
    <x v="1"/>
    <s v="53"/>
    <s v="531"/>
    <x v="582"/>
    <s v="Academic Administration : STRS Nonteaching"/>
    <n v="20386.46"/>
  </r>
  <r>
    <x v="2"/>
    <s v="11-304-00-601000-53220"/>
    <x v="0"/>
    <n v="304"/>
    <n v="0"/>
    <x v="34"/>
    <n v="53220"/>
    <x v="1"/>
    <s v="53"/>
    <s v="532"/>
    <x v="583"/>
    <s v="Academic Administration : PERS Nonteaching"/>
    <n v="10449.74"/>
  </r>
  <r>
    <x v="2"/>
    <s v="11-304-00-601000-53320"/>
    <x v="0"/>
    <n v="304"/>
    <n v="0"/>
    <x v="34"/>
    <n v="53320"/>
    <x v="1"/>
    <s v="53"/>
    <s v="533"/>
    <x v="584"/>
    <s v="Academic Administration : OASDHI (FICA) Nonteaching"/>
    <n v="3133.45"/>
  </r>
  <r>
    <x v="2"/>
    <s v="11-304-00-601000-53340"/>
    <x v="0"/>
    <n v="304"/>
    <n v="0"/>
    <x v="34"/>
    <n v="53340"/>
    <x v="1"/>
    <s v="53"/>
    <s v="533"/>
    <x v="585"/>
    <s v="Academic Administration : Medicare Nonteaching"/>
    <n v="2616.7800000000002"/>
  </r>
  <r>
    <x v="2"/>
    <s v="11-304-00-601000-53420"/>
    <x v="0"/>
    <n v="304"/>
    <n v="0"/>
    <x v="34"/>
    <n v="53420"/>
    <x v="1"/>
    <s v="53"/>
    <s v="534"/>
    <x v="586"/>
    <s v="Academic Administration : H &amp; W Nonteaching"/>
    <n v="16572.32"/>
  </r>
  <r>
    <x v="2"/>
    <s v="11-304-00-601000-53520"/>
    <x v="0"/>
    <n v="304"/>
    <n v="0"/>
    <x v="34"/>
    <n v="53520"/>
    <x v="1"/>
    <s v="53"/>
    <s v="535"/>
    <x v="587"/>
    <s v="Academic Administration : SUI Nonteaching"/>
    <n v="90.19"/>
  </r>
  <r>
    <x v="2"/>
    <s v="11-304-00-601000-53620"/>
    <x v="0"/>
    <n v="304"/>
    <n v="0"/>
    <x v="34"/>
    <n v="53620"/>
    <x v="1"/>
    <s v="53"/>
    <s v="536"/>
    <x v="588"/>
    <s v="Academic Administration : WC Nonteaching"/>
    <n v="3413.27"/>
  </r>
  <r>
    <x v="2"/>
    <s v="11-304-00-601000-53920"/>
    <x v="0"/>
    <n v="304"/>
    <n v="0"/>
    <x v="34"/>
    <n v="53920"/>
    <x v="1"/>
    <s v="53"/>
    <s v="539"/>
    <x v="589"/>
    <s v="Academic Administration : Other Benefit-Non Teaching"/>
    <n v="2145.44"/>
  </r>
  <r>
    <x v="2"/>
    <s v="11-304-00-601000-54300"/>
    <x v="0"/>
    <n v="304"/>
    <n v="0"/>
    <x v="34"/>
    <n v="54300"/>
    <x v="1"/>
    <s v="54"/>
    <s v="543"/>
    <x v="590"/>
    <s v="Academic Administration : Supplies &amp; Materials"/>
    <n v="100.65"/>
  </r>
  <r>
    <x v="2"/>
    <s v="11-304-00-601000-55200"/>
    <x v="0"/>
    <n v="304"/>
    <n v="0"/>
    <x v="34"/>
    <n v="55200"/>
    <x v="1"/>
    <s v="55"/>
    <s v="552"/>
    <x v="591"/>
    <s v="Academic Administration : Travel &amp; Conference"/>
    <n v="0"/>
  </r>
  <r>
    <x v="2"/>
    <s v="11-304-00-601000-55630"/>
    <x v="0"/>
    <n v="304"/>
    <n v="0"/>
    <x v="34"/>
    <n v="55630"/>
    <x v="1"/>
    <s v="55"/>
    <s v="556"/>
    <x v="592"/>
    <s v="Academic Administration : Printing &amp; Duplicating - Inhouse"/>
    <n v="0"/>
  </r>
  <r>
    <x v="2"/>
    <s v="11-304-00-601000-55650"/>
    <x v="0"/>
    <n v="304"/>
    <n v="0"/>
    <x v="34"/>
    <n v="55650"/>
    <x v="1"/>
    <s v="55"/>
    <s v="556"/>
    <x v="593"/>
    <s v="Academic Administration : Maintenance Agreement"/>
    <n v="684.15"/>
  </r>
  <r>
    <x v="2"/>
    <s v="11-304-00-682100-53320"/>
    <x v="0"/>
    <n v="304"/>
    <n v="0"/>
    <x v="60"/>
    <n v="53320"/>
    <x v="1"/>
    <s v="53"/>
    <s v="533"/>
    <x v="594"/>
    <s v="Planetarium : OASDHI (FICA) Nonteaching"/>
    <n v="1"/>
  </r>
  <r>
    <x v="2"/>
    <s v="11-304-00-682100-53340"/>
    <x v="0"/>
    <n v="304"/>
    <n v="0"/>
    <x v="60"/>
    <n v="53340"/>
    <x v="1"/>
    <s v="53"/>
    <s v="533"/>
    <x v="595"/>
    <s v="Planetarium : Medicare Nonteaching"/>
    <n v="0.23"/>
  </r>
  <r>
    <x v="2"/>
    <s v="11-304-00-682100-53420"/>
    <x v="0"/>
    <n v="304"/>
    <n v="0"/>
    <x v="60"/>
    <n v="53420"/>
    <x v="1"/>
    <s v="53"/>
    <s v="534"/>
    <x v="596"/>
    <s v="Planetarium : H &amp; W Nonteaching"/>
    <n v="-2038"/>
  </r>
  <r>
    <x v="2"/>
    <s v="11-304-00-682100-54300"/>
    <x v="0"/>
    <n v="304"/>
    <n v="0"/>
    <x v="60"/>
    <n v="54300"/>
    <x v="1"/>
    <s v="54"/>
    <s v="543"/>
    <x v="597"/>
    <s v="Planetarium : Supplies &amp; Materials"/>
    <n v="0"/>
  </r>
  <r>
    <x v="2"/>
    <s v="11-304-00-682100-55630"/>
    <x v="0"/>
    <n v="304"/>
    <n v="0"/>
    <x v="60"/>
    <n v="55630"/>
    <x v="1"/>
    <s v="55"/>
    <s v="556"/>
    <x v="598"/>
    <s v="Planetarium : Printing &amp; Duplicating - Inhouse"/>
    <n v="0"/>
  </r>
  <r>
    <x v="2"/>
    <s v="11-304-00-703800-52105"/>
    <x v="0"/>
    <n v="304"/>
    <n v="0"/>
    <x v="61"/>
    <n v="52105"/>
    <x v="1"/>
    <s v="52"/>
    <s v="521"/>
    <x v="599"/>
    <s v="MESA Grant : Classified CSEA"/>
    <n v="1832"/>
  </r>
  <r>
    <x v="2"/>
    <s v="11-304-00-703800-52130"/>
    <x v="0"/>
    <n v="304"/>
    <n v="0"/>
    <x v="61"/>
    <n v="52130"/>
    <x v="1"/>
    <s v="52"/>
    <s v="521"/>
    <x v="600"/>
    <s v="MESA Grant : Classified Management"/>
    <n v="27858.15"/>
  </r>
  <r>
    <x v="2"/>
    <s v="11-304-00-703800-52350"/>
    <x v="0"/>
    <n v="304"/>
    <n v="0"/>
    <x v="61"/>
    <n v="52350"/>
    <x v="1"/>
    <s v="52"/>
    <s v="523"/>
    <x v="601"/>
    <s v="MESA Grant : Classified Student Dist Non-IA PT"/>
    <n v="1859.34"/>
  </r>
  <r>
    <x v="2"/>
    <s v="11-304-00-703800-52360"/>
    <x v="0"/>
    <n v="304"/>
    <n v="0"/>
    <x v="61"/>
    <n v="52360"/>
    <x v="1"/>
    <s v="52"/>
    <s v="523"/>
    <x v="602"/>
    <s v="MESA Grant : Class Nonstu NonIA PT Prof Exp"/>
    <n v="6550"/>
  </r>
  <r>
    <x v="2"/>
    <s v="11-304-00-703800-53120"/>
    <x v="0"/>
    <n v="304"/>
    <n v="0"/>
    <x v="61"/>
    <n v="53120"/>
    <x v="1"/>
    <s v="53"/>
    <s v="531"/>
    <x v="603"/>
    <s v="MESA Grant : STRS Nonteaching"/>
    <n v="323"/>
  </r>
  <r>
    <x v="2"/>
    <s v="11-304-00-703800-53220"/>
    <x v="0"/>
    <n v="304"/>
    <n v="0"/>
    <x v="61"/>
    <n v="53220"/>
    <x v="1"/>
    <s v="53"/>
    <s v="532"/>
    <x v="604"/>
    <s v="MESA Grant : PERS Nonteaching"/>
    <n v="6322.09"/>
  </r>
  <r>
    <x v="2"/>
    <s v="11-304-00-703800-53320"/>
    <x v="0"/>
    <n v="304"/>
    <n v="0"/>
    <x v="61"/>
    <n v="53320"/>
    <x v="1"/>
    <s v="53"/>
    <s v="533"/>
    <x v="605"/>
    <s v="MESA Grant : OASDHI (FICA) Nonteaching"/>
    <n v="1829.31"/>
  </r>
  <r>
    <x v="2"/>
    <s v="11-304-00-703800-53340"/>
    <x v="0"/>
    <n v="304"/>
    <n v="0"/>
    <x v="61"/>
    <n v="53340"/>
    <x v="1"/>
    <s v="53"/>
    <s v="533"/>
    <x v="606"/>
    <s v="MESA Grant : Medicare Nonteaching"/>
    <n v="522.80999999999995"/>
  </r>
  <r>
    <x v="2"/>
    <s v="11-304-00-703800-53420"/>
    <x v="0"/>
    <n v="304"/>
    <n v="0"/>
    <x v="61"/>
    <n v="53420"/>
    <x v="1"/>
    <s v="53"/>
    <s v="534"/>
    <x v="607"/>
    <s v="MESA Grant : H &amp; W Nonteaching"/>
    <n v="12225.16"/>
  </r>
  <r>
    <x v="2"/>
    <s v="11-304-00-703800-53520"/>
    <x v="0"/>
    <n v="304"/>
    <n v="0"/>
    <x v="61"/>
    <n v="53520"/>
    <x v="1"/>
    <s v="53"/>
    <s v="535"/>
    <x v="608"/>
    <s v="MESA Grant : SUI Nonteaching"/>
    <n v="18.13"/>
  </r>
  <r>
    <x v="2"/>
    <s v="11-304-00-703800-53620"/>
    <x v="0"/>
    <n v="304"/>
    <n v="0"/>
    <x v="61"/>
    <n v="53620"/>
    <x v="1"/>
    <s v="53"/>
    <s v="536"/>
    <x v="609"/>
    <s v="MESA Grant : WC Nonteaching"/>
    <n v="720.4"/>
  </r>
  <r>
    <x v="2"/>
    <s v="11-304-00-703800-53920"/>
    <x v="0"/>
    <n v="304"/>
    <n v="0"/>
    <x v="61"/>
    <n v="53920"/>
    <x v="1"/>
    <s v="53"/>
    <s v="539"/>
    <x v="610"/>
    <s v="MESA Grant : Other Benefit-Non Teaching"/>
    <n v="0"/>
  </r>
  <r>
    <x v="2"/>
    <s v="11-304-00-703800-55630"/>
    <x v="0"/>
    <n v="304"/>
    <n v="0"/>
    <x v="61"/>
    <n v="55630"/>
    <x v="1"/>
    <s v="55"/>
    <s v="556"/>
    <x v="611"/>
    <s v="MESA Grant : Printing &amp; Duplicating - Inhouse"/>
    <n v="0"/>
  </r>
  <r>
    <x v="2"/>
    <s v="11-310-00-050000-51310"/>
    <x v="0"/>
    <n v="310"/>
    <n v="0"/>
    <x v="12"/>
    <n v="51310"/>
    <x v="1"/>
    <s v="51"/>
    <s v="513"/>
    <x v="612"/>
    <s v="Business Education : Academic Teaching NIC"/>
    <n v="14123.08"/>
  </r>
  <r>
    <x v="2"/>
    <s v="11-310-00-050000-51311"/>
    <x v="0"/>
    <n v="310"/>
    <n v="0"/>
    <x v="12"/>
    <n v="51311"/>
    <x v="1"/>
    <s v="51"/>
    <s v="513"/>
    <x v="613"/>
    <s v="Business Education : Academic Teaching PT"/>
    <n v="26949.360000000001"/>
  </r>
  <r>
    <x v="2"/>
    <s v="11-310-00-050000-53110"/>
    <x v="0"/>
    <n v="310"/>
    <n v="0"/>
    <x v="12"/>
    <n v="53110"/>
    <x v="1"/>
    <s v="53"/>
    <s v="531"/>
    <x v="614"/>
    <s v="Business Education : STRS Teaching"/>
    <n v="2280.84"/>
  </r>
  <r>
    <x v="2"/>
    <s v="11-310-00-050000-53310"/>
    <x v="0"/>
    <n v="310"/>
    <n v="0"/>
    <x v="12"/>
    <n v="53310"/>
    <x v="1"/>
    <s v="53"/>
    <s v="533"/>
    <x v="615"/>
    <s v="Business Education : OASDHI (FICA) Teaching"/>
    <n v="807.33"/>
  </r>
  <r>
    <x v="2"/>
    <s v="11-310-00-050000-53330"/>
    <x v="0"/>
    <n v="310"/>
    <n v="0"/>
    <x v="12"/>
    <n v="53330"/>
    <x v="1"/>
    <s v="53"/>
    <s v="533"/>
    <x v="616"/>
    <s v="Business Education : Medicare Teaching"/>
    <n v="595.55999999999995"/>
  </r>
  <r>
    <x v="2"/>
    <s v="11-310-00-050000-53510"/>
    <x v="0"/>
    <n v="310"/>
    <n v="0"/>
    <x v="12"/>
    <n v="53510"/>
    <x v="1"/>
    <s v="53"/>
    <s v="535"/>
    <x v="617"/>
    <s v="Business Education : SUI Teaching"/>
    <n v="20.53"/>
  </r>
  <r>
    <x v="2"/>
    <s v="11-310-00-050000-53610"/>
    <x v="0"/>
    <n v="310"/>
    <n v="0"/>
    <x v="12"/>
    <n v="53610"/>
    <x v="1"/>
    <s v="53"/>
    <s v="536"/>
    <x v="618"/>
    <s v="Business Education : WC Teaching"/>
    <n v="776.58"/>
  </r>
  <r>
    <x v="2"/>
    <s v="11-310-00-080100-51311"/>
    <x v="0"/>
    <n v="310"/>
    <n v="0"/>
    <x v="62"/>
    <n v="51311"/>
    <x v="1"/>
    <s v="51"/>
    <s v="513"/>
    <x v="619"/>
    <s v="EDU (Education) Adjunct Exps. : Academic Teaching PT"/>
    <n v="2160.42"/>
  </r>
  <r>
    <x v="2"/>
    <s v="11-310-00-080100-53110"/>
    <x v="0"/>
    <n v="310"/>
    <n v="0"/>
    <x v="62"/>
    <n v="53110"/>
    <x v="1"/>
    <s v="53"/>
    <s v="531"/>
    <x v="620"/>
    <s v="EDU (Education) Adjunct Exps. : STRS Teaching"/>
    <n v="348.9"/>
  </r>
  <r>
    <x v="2"/>
    <s v="11-310-00-080100-53330"/>
    <x v="0"/>
    <n v="310"/>
    <n v="0"/>
    <x v="62"/>
    <n v="53330"/>
    <x v="1"/>
    <s v="53"/>
    <s v="533"/>
    <x v="621"/>
    <s v="EDU (Education) Adjunct Exps. : Medicare Teaching"/>
    <n v="31.32"/>
  </r>
  <r>
    <x v="2"/>
    <s v="11-310-00-080100-53510"/>
    <x v="0"/>
    <n v="310"/>
    <n v="0"/>
    <x v="62"/>
    <n v="53510"/>
    <x v="1"/>
    <s v="53"/>
    <s v="535"/>
    <x v="622"/>
    <s v="EDU (Education) Adjunct Exps. : SUI Teaching"/>
    <n v="1.08"/>
  </r>
  <r>
    <x v="2"/>
    <s v="11-310-00-080100-53610"/>
    <x v="0"/>
    <n v="310"/>
    <n v="0"/>
    <x v="62"/>
    <n v="53610"/>
    <x v="1"/>
    <s v="53"/>
    <s v="536"/>
    <x v="623"/>
    <s v="EDU (Education) Adjunct Exps. : WC Teaching"/>
    <n v="40.86"/>
  </r>
  <r>
    <x v="2"/>
    <s v="11-310-00-100200-51100"/>
    <x v="0"/>
    <n v="310"/>
    <n v="0"/>
    <x v="14"/>
    <n v="51100"/>
    <x v="1"/>
    <s v="51"/>
    <s v="511"/>
    <x v="624"/>
    <s v="Art : Academic Teaching Full-time"/>
    <n v="71655.570000000007"/>
  </r>
  <r>
    <x v="2"/>
    <s v="11-310-00-100200-51310"/>
    <x v="0"/>
    <n v="310"/>
    <n v="0"/>
    <x v="14"/>
    <n v="51310"/>
    <x v="1"/>
    <s v="51"/>
    <s v="513"/>
    <x v="625"/>
    <s v="Art : Academic Teaching NIC"/>
    <n v="2864.5"/>
  </r>
  <r>
    <x v="2"/>
    <s v="11-310-00-100200-51311"/>
    <x v="0"/>
    <n v="310"/>
    <n v="0"/>
    <x v="14"/>
    <n v="51311"/>
    <x v="1"/>
    <s v="51"/>
    <s v="513"/>
    <x v="626"/>
    <s v="Art : Academic Teaching PT"/>
    <n v="132043.07999999999"/>
  </r>
  <r>
    <x v="2"/>
    <s v="11-310-00-100200-52200"/>
    <x v="0"/>
    <n v="310"/>
    <n v="0"/>
    <x v="14"/>
    <n v="52200"/>
    <x v="1"/>
    <s v="52"/>
    <s v="522"/>
    <x v="627"/>
    <s v="Art : Classified Permanent Instructional Aides"/>
    <n v="23424.93"/>
  </r>
  <r>
    <x v="2"/>
    <s v="11-310-00-100200-52360"/>
    <x v="0"/>
    <n v="310"/>
    <n v="0"/>
    <x v="14"/>
    <n v="52360"/>
    <x v="1"/>
    <s v="52"/>
    <s v="523"/>
    <x v="628"/>
    <s v="Art : Class Nonstu NonIA PT Prof Exp"/>
    <n v="0"/>
  </r>
  <r>
    <x v="2"/>
    <s v="11-310-00-100200-53110"/>
    <x v="0"/>
    <n v="310"/>
    <n v="0"/>
    <x v="14"/>
    <n v="53110"/>
    <x v="1"/>
    <s v="53"/>
    <s v="531"/>
    <x v="629"/>
    <s v="Art : STRS Teaching"/>
    <n v="28180.81"/>
  </r>
  <r>
    <x v="2"/>
    <s v="11-310-00-100200-53210"/>
    <x v="0"/>
    <n v="310"/>
    <n v="0"/>
    <x v="14"/>
    <n v="53210"/>
    <x v="1"/>
    <s v="53"/>
    <s v="532"/>
    <x v="630"/>
    <s v="Art : PERS Teaching"/>
    <n v="4797.29"/>
  </r>
  <r>
    <x v="2"/>
    <s v="11-310-00-100200-53310"/>
    <x v="0"/>
    <n v="310"/>
    <n v="0"/>
    <x v="14"/>
    <n v="53310"/>
    <x v="1"/>
    <s v="53"/>
    <s v="533"/>
    <x v="631"/>
    <s v="Art : OASDHI (FICA) Teaching"/>
    <n v="3442.16"/>
  </r>
  <r>
    <x v="2"/>
    <s v="11-310-00-100200-53320"/>
    <x v="0"/>
    <n v="310"/>
    <n v="0"/>
    <x v="14"/>
    <n v="53320"/>
    <x v="1"/>
    <s v="53"/>
    <s v="533"/>
    <x v="632"/>
    <s v="Art : OASDHI (FICA) Nonteaching"/>
    <n v="0"/>
  </r>
  <r>
    <x v="2"/>
    <s v="11-310-00-100200-53330"/>
    <x v="0"/>
    <n v="310"/>
    <n v="0"/>
    <x v="14"/>
    <n v="53330"/>
    <x v="1"/>
    <s v="53"/>
    <s v="533"/>
    <x v="633"/>
    <s v="Art : Medicare Teaching"/>
    <n v="3334.89"/>
  </r>
  <r>
    <x v="2"/>
    <s v="11-310-00-100200-53340"/>
    <x v="0"/>
    <n v="310"/>
    <n v="0"/>
    <x v="14"/>
    <n v="53340"/>
    <x v="1"/>
    <s v="53"/>
    <s v="533"/>
    <x v="634"/>
    <s v="Art : Medicare Nonteaching"/>
    <n v="0"/>
  </r>
  <r>
    <x v="2"/>
    <s v="11-310-00-100200-53410"/>
    <x v="0"/>
    <n v="310"/>
    <n v="0"/>
    <x v="14"/>
    <n v="53410"/>
    <x v="1"/>
    <s v="53"/>
    <s v="534"/>
    <x v="635"/>
    <s v="Art : H &amp; W Teaching"/>
    <n v="19305.849999999999"/>
  </r>
  <r>
    <x v="2"/>
    <s v="11-310-00-100200-53510"/>
    <x v="0"/>
    <n v="310"/>
    <n v="0"/>
    <x v="14"/>
    <n v="53510"/>
    <x v="1"/>
    <s v="53"/>
    <s v="535"/>
    <x v="636"/>
    <s v="Art : SUI Teaching"/>
    <n v="115.01"/>
  </r>
  <r>
    <x v="2"/>
    <s v="11-310-00-100200-53520"/>
    <x v="0"/>
    <n v="310"/>
    <n v="0"/>
    <x v="14"/>
    <n v="53520"/>
    <x v="1"/>
    <s v="53"/>
    <s v="535"/>
    <x v="637"/>
    <s v="Art : SUI Nonteaching"/>
    <n v="0"/>
  </r>
  <r>
    <x v="2"/>
    <s v="11-310-00-100200-53610"/>
    <x v="0"/>
    <n v="310"/>
    <n v="0"/>
    <x v="14"/>
    <n v="53610"/>
    <x v="1"/>
    <s v="53"/>
    <s v="536"/>
    <x v="638"/>
    <s v="Art : WC Teaching"/>
    <n v="4349.78"/>
  </r>
  <r>
    <x v="2"/>
    <s v="11-310-00-100200-53620"/>
    <x v="0"/>
    <n v="310"/>
    <n v="0"/>
    <x v="14"/>
    <n v="53620"/>
    <x v="1"/>
    <s v="53"/>
    <s v="536"/>
    <x v="639"/>
    <s v="Art : WC Nonteaching"/>
    <n v="0"/>
  </r>
  <r>
    <x v="2"/>
    <s v="11-310-00-100200-53910"/>
    <x v="0"/>
    <n v="310"/>
    <n v="0"/>
    <x v="14"/>
    <n v="53910"/>
    <x v="1"/>
    <s v="53"/>
    <s v="539"/>
    <x v="640"/>
    <s v="Art : Other Benefit-Teaching"/>
    <n v="1745.44"/>
  </r>
  <r>
    <x v="2"/>
    <s v="11-310-00-100200-54300"/>
    <x v="0"/>
    <n v="310"/>
    <n v="0"/>
    <x v="14"/>
    <n v="54300"/>
    <x v="1"/>
    <s v="54"/>
    <s v="543"/>
    <x v="641"/>
    <s v="Art : Supplies &amp; Materials"/>
    <n v="-1.49"/>
  </r>
  <r>
    <x v="2"/>
    <s v="11-310-00-100200-55630"/>
    <x v="0"/>
    <n v="310"/>
    <n v="0"/>
    <x v="14"/>
    <n v="55630"/>
    <x v="1"/>
    <s v="55"/>
    <s v="556"/>
    <x v="642"/>
    <s v="Art : Printing &amp; Duplicating - Inhouse"/>
    <n v="0"/>
  </r>
  <r>
    <x v="2"/>
    <s v="11-310-00-100200-55651"/>
    <x v="0"/>
    <n v="310"/>
    <n v="0"/>
    <x v="14"/>
    <n v="55651"/>
    <x v="1"/>
    <s v="55"/>
    <s v="556"/>
    <x v="643"/>
    <s v="Art : Equipment Repairs"/>
    <n v="0"/>
  </r>
  <r>
    <x v="2"/>
    <s v="11-310-00-100200-56400"/>
    <x v="0"/>
    <n v="310"/>
    <n v="0"/>
    <x v="14"/>
    <n v="56400"/>
    <x v="1"/>
    <s v="56"/>
    <s v="564"/>
    <x v="644"/>
    <s v="Art : Cap Equip - $200 to $4,999"/>
    <n v="0"/>
  </r>
  <r>
    <x v="2"/>
    <s v="11-310-00-100400-51100"/>
    <x v="0"/>
    <n v="310"/>
    <n v="0"/>
    <x v="15"/>
    <n v="51100"/>
    <x v="1"/>
    <s v="51"/>
    <s v="511"/>
    <x v="645"/>
    <s v="Music : Academic Teaching Full-time"/>
    <n v="86278.14"/>
  </r>
  <r>
    <x v="2"/>
    <s v="11-310-00-100400-51310"/>
    <x v="0"/>
    <n v="310"/>
    <n v="0"/>
    <x v="15"/>
    <n v="51310"/>
    <x v="1"/>
    <s v="51"/>
    <s v="513"/>
    <x v="646"/>
    <s v="Music : Academic Teaching NIC"/>
    <n v="1289.04"/>
  </r>
  <r>
    <x v="2"/>
    <s v="11-310-00-100400-51311"/>
    <x v="0"/>
    <n v="310"/>
    <n v="0"/>
    <x v="15"/>
    <n v="51311"/>
    <x v="1"/>
    <s v="51"/>
    <s v="513"/>
    <x v="647"/>
    <s v="Music : Academic Teaching PT"/>
    <n v="124742.43"/>
  </r>
  <r>
    <x v="2"/>
    <s v="11-310-00-100400-52400"/>
    <x v="0"/>
    <n v="310"/>
    <n v="0"/>
    <x v="15"/>
    <n v="52400"/>
    <x v="1"/>
    <s v="52"/>
    <s v="524"/>
    <x v="648"/>
    <s v="Music : Classified Nonstudent Instructional Aides PT"/>
    <n v="5009.13"/>
  </r>
  <r>
    <x v="2"/>
    <s v="11-310-00-100400-53110"/>
    <x v="0"/>
    <n v="310"/>
    <n v="0"/>
    <x v="15"/>
    <n v="53110"/>
    <x v="1"/>
    <s v="53"/>
    <s v="531"/>
    <x v="649"/>
    <s v="Music : STRS Teaching"/>
    <n v="28165.57"/>
  </r>
  <r>
    <x v="2"/>
    <s v="11-310-00-100400-53310"/>
    <x v="0"/>
    <n v="310"/>
    <n v="0"/>
    <x v="15"/>
    <n v="53310"/>
    <x v="1"/>
    <s v="53"/>
    <s v="533"/>
    <x v="650"/>
    <s v="Music : OASDHI (FICA) Teaching"/>
    <n v="2660.95"/>
  </r>
  <r>
    <x v="2"/>
    <s v="11-310-00-100400-53330"/>
    <x v="0"/>
    <n v="310"/>
    <n v="0"/>
    <x v="15"/>
    <n v="53330"/>
    <x v="1"/>
    <s v="53"/>
    <s v="533"/>
    <x v="651"/>
    <s v="Music : Medicare Teaching"/>
    <n v="3138.96"/>
  </r>
  <r>
    <x v="2"/>
    <s v="11-310-00-100400-53410"/>
    <x v="0"/>
    <n v="310"/>
    <n v="0"/>
    <x v="15"/>
    <n v="53410"/>
    <x v="1"/>
    <s v="53"/>
    <s v="534"/>
    <x v="652"/>
    <s v="Music : H &amp; W Teaching"/>
    <n v="26666.240000000002"/>
  </r>
  <r>
    <x v="2"/>
    <s v="11-310-00-100400-53510"/>
    <x v="0"/>
    <n v="310"/>
    <n v="0"/>
    <x v="15"/>
    <n v="53510"/>
    <x v="1"/>
    <s v="53"/>
    <s v="535"/>
    <x v="653"/>
    <s v="Music : SUI Teaching"/>
    <n v="108.69"/>
  </r>
  <r>
    <x v="2"/>
    <s v="11-310-00-100400-53610"/>
    <x v="0"/>
    <n v="310"/>
    <n v="0"/>
    <x v="15"/>
    <n v="53610"/>
    <x v="1"/>
    <s v="53"/>
    <s v="536"/>
    <x v="654"/>
    <s v="Music : WC Teaching"/>
    <n v="4109.08"/>
  </r>
  <r>
    <x v="2"/>
    <s v="11-310-00-100400-54300"/>
    <x v="0"/>
    <n v="310"/>
    <n v="0"/>
    <x v="15"/>
    <n v="54300"/>
    <x v="1"/>
    <s v="54"/>
    <s v="543"/>
    <x v="655"/>
    <s v="Music : Supplies &amp; Materials"/>
    <n v="1738.5900000000001"/>
  </r>
  <r>
    <x v="2"/>
    <s v="11-310-00-100400-55630"/>
    <x v="0"/>
    <n v="310"/>
    <n v="0"/>
    <x v="15"/>
    <n v="55630"/>
    <x v="1"/>
    <s v="55"/>
    <s v="556"/>
    <x v="656"/>
    <s v="Music : Printing &amp; Duplicating - Inhouse"/>
    <n v="1.1599999999999999"/>
  </r>
  <r>
    <x v="2"/>
    <s v="11-310-00-100400-55651"/>
    <x v="0"/>
    <n v="310"/>
    <n v="0"/>
    <x v="15"/>
    <n v="55651"/>
    <x v="1"/>
    <s v="55"/>
    <s v="556"/>
    <x v="657"/>
    <s v="Music : Equipment Repairs"/>
    <n v="0"/>
  </r>
  <r>
    <x v="2"/>
    <s v="11-310-00-100700-51100"/>
    <x v="0"/>
    <n v="310"/>
    <n v="0"/>
    <x v="63"/>
    <n v="51100"/>
    <x v="1"/>
    <s v="51"/>
    <s v="511"/>
    <x v="658"/>
    <s v="Theater Arts : Academic Teaching Full-time"/>
    <n v="9352.73"/>
  </r>
  <r>
    <x v="2"/>
    <s v="11-310-00-100700-51310"/>
    <x v="0"/>
    <n v="310"/>
    <n v="0"/>
    <x v="63"/>
    <n v="51310"/>
    <x v="1"/>
    <s v="51"/>
    <s v="513"/>
    <x v="659"/>
    <s v="Theater Arts : Academic Teaching NIC"/>
    <n v="11574.27"/>
  </r>
  <r>
    <x v="2"/>
    <s v="11-310-00-100700-51311"/>
    <x v="0"/>
    <n v="310"/>
    <n v="0"/>
    <x v="63"/>
    <n v="51311"/>
    <x v="1"/>
    <s v="51"/>
    <s v="513"/>
    <x v="660"/>
    <s v="Theater Arts : Academic Teaching PT"/>
    <n v="70953.039999999994"/>
  </r>
  <r>
    <x v="2"/>
    <s v="11-310-00-100700-52350"/>
    <x v="0"/>
    <n v="310"/>
    <n v="0"/>
    <x v="63"/>
    <n v="52350"/>
    <x v="1"/>
    <s v="52"/>
    <s v="523"/>
    <x v="661"/>
    <s v="Theater Arts : Classified Student Dist Non-IA PT"/>
    <n v="0"/>
  </r>
  <r>
    <x v="2"/>
    <s v="11-310-00-100700-52360"/>
    <x v="0"/>
    <n v="310"/>
    <n v="0"/>
    <x v="63"/>
    <n v="52360"/>
    <x v="1"/>
    <s v="52"/>
    <s v="523"/>
    <x v="662"/>
    <s v="Theater Arts : Class Nonstu NonIA PT Prof Exp"/>
    <n v="0"/>
  </r>
  <r>
    <x v="2"/>
    <s v="11-310-00-100700-53110"/>
    <x v="0"/>
    <n v="310"/>
    <n v="0"/>
    <x v="63"/>
    <n v="53110"/>
    <x v="1"/>
    <s v="53"/>
    <s v="531"/>
    <x v="663"/>
    <s v="Theater Arts : STRS Teaching"/>
    <n v="13471.46"/>
  </r>
  <r>
    <x v="2"/>
    <s v="11-310-00-100700-53310"/>
    <x v="0"/>
    <n v="310"/>
    <n v="0"/>
    <x v="63"/>
    <n v="53310"/>
    <x v="1"/>
    <s v="53"/>
    <s v="533"/>
    <x v="664"/>
    <s v="Theater Arts : OASDHI (FICA) Teaching"/>
    <n v="218.18"/>
  </r>
  <r>
    <x v="2"/>
    <s v="11-310-00-100700-53320"/>
    <x v="0"/>
    <n v="310"/>
    <n v="0"/>
    <x v="63"/>
    <n v="53320"/>
    <x v="1"/>
    <s v="53"/>
    <s v="533"/>
    <x v="665"/>
    <s v="Theater Arts : OASDHI (FICA) Nonteaching"/>
    <n v="0"/>
  </r>
  <r>
    <x v="2"/>
    <s v="11-310-00-100700-53330"/>
    <x v="0"/>
    <n v="310"/>
    <n v="0"/>
    <x v="63"/>
    <n v="53330"/>
    <x v="1"/>
    <s v="53"/>
    <s v="533"/>
    <x v="666"/>
    <s v="Theater Arts : Medicare Teaching"/>
    <n v="1330.84"/>
  </r>
  <r>
    <x v="2"/>
    <s v="11-310-00-100700-53340"/>
    <x v="0"/>
    <n v="310"/>
    <n v="0"/>
    <x v="63"/>
    <n v="53340"/>
    <x v="1"/>
    <s v="53"/>
    <s v="533"/>
    <x v="667"/>
    <s v="Theater Arts : Medicare Nonteaching"/>
    <n v="0"/>
  </r>
  <r>
    <x v="2"/>
    <s v="11-310-00-100700-53410"/>
    <x v="0"/>
    <n v="310"/>
    <n v="0"/>
    <x v="63"/>
    <n v="53410"/>
    <x v="1"/>
    <s v="53"/>
    <s v="534"/>
    <x v="668"/>
    <s v="Theater Arts : H &amp; W Teaching"/>
    <n v="3057.63"/>
  </r>
  <r>
    <x v="2"/>
    <s v="11-310-00-100700-53510"/>
    <x v="0"/>
    <n v="310"/>
    <n v="0"/>
    <x v="63"/>
    <n v="53510"/>
    <x v="1"/>
    <s v="53"/>
    <s v="535"/>
    <x v="669"/>
    <s v="Theater Arts : SUI Teaching"/>
    <n v="46"/>
  </r>
  <r>
    <x v="2"/>
    <s v="11-310-00-100700-53520"/>
    <x v="0"/>
    <n v="310"/>
    <n v="0"/>
    <x v="63"/>
    <n v="53520"/>
    <x v="1"/>
    <s v="53"/>
    <s v="535"/>
    <x v="670"/>
    <s v="Theater Arts : SUI Nonteaching"/>
    <n v="0"/>
  </r>
  <r>
    <x v="2"/>
    <s v="11-310-00-100700-53610"/>
    <x v="0"/>
    <n v="310"/>
    <n v="0"/>
    <x v="63"/>
    <n v="53610"/>
    <x v="1"/>
    <s v="53"/>
    <s v="536"/>
    <x v="671"/>
    <s v="Theater Arts : WC Teaching"/>
    <n v="1737.31"/>
  </r>
  <r>
    <x v="2"/>
    <s v="11-310-00-100700-53620"/>
    <x v="0"/>
    <n v="310"/>
    <n v="0"/>
    <x v="63"/>
    <n v="53620"/>
    <x v="1"/>
    <s v="53"/>
    <s v="536"/>
    <x v="672"/>
    <s v="Theater Arts : WC Nonteaching"/>
    <n v="0"/>
  </r>
  <r>
    <x v="2"/>
    <s v="11-310-00-100700-55105"/>
    <x v="0"/>
    <n v="310"/>
    <n v="0"/>
    <x v="63"/>
    <n v="55105"/>
    <x v="1"/>
    <s v="55"/>
    <s v="551"/>
    <x v="673"/>
    <s v="Theater Arts : Contract Services"/>
    <n v="1420"/>
  </r>
  <r>
    <x v="2"/>
    <s v="11-310-00-100700-55200"/>
    <x v="0"/>
    <n v="310"/>
    <n v="0"/>
    <x v="63"/>
    <n v="55200"/>
    <x v="1"/>
    <s v="55"/>
    <s v="552"/>
    <x v="674"/>
    <s v="Theater Arts : Travel &amp; Conference"/>
    <n v="0"/>
  </r>
  <r>
    <x v="2"/>
    <s v="11-310-00-100700-55300"/>
    <x v="0"/>
    <n v="310"/>
    <n v="0"/>
    <x v="63"/>
    <n v="55300"/>
    <x v="1"/>
    <s v="55"/>
    <s v="553"/>
    <x v="675"/>
    <s v="Theater Arts : Memberships"/>
    <n v="0"/>
  </r>
  <r>
    <x v="2"/>
    <s v="11-310-00-100700-55630"/>
    <x v="0"/>
    <n v="310"/>
    <n v="0"/>
    <x v="63"/>
    <n v="55630"/>
    <x v="1"/>
    <s v="55"/>
    <s v="556"/>
    <x v="676"/>
    <s v="Theater Arts : Printing &amp; Duplicating - Inhouse"/>
    <n v="0"/>
  </r>
  <r>
    <x v="2"/>
    <s v="11-310-00-100700-57552"/>
    <x v="0"/>
    <n v="310"/>
    <n v="0"/>
    <x v="63"/>
    <n v="57552"/>
    <x v="1"/>
    <s v="57"/>
    <s v="575"/>
    <x v="677"/>
    <s v="Theater Arts : Student Travel/Workshps/Meals"/>
    <n v="0"/>
  </r>
  <r>
    <x v="2"/>
    <s v="11-310-00-101100-51310"/>
    <x v="0"/>
    <n v="310"/>
    <n v="0"/>
    <x v="16"/>
    <n v="51310"/>
    <x v="1"/>
    <s v="51"/>
    <s v="513"/>
    <x v="678"/>
    <s v="Photography : Academic Teaching NIC"/>
    <n v="6546.65"/>
  </r>
  <r>
    <x v="2"/>
    <s v="11-310-00-101100-51311"/>
    <x v="0"/>
    <n v="310"/>
    <n v="0"/>
    <x v="16"/>
    <n v="51311"/>
    <x v="1"/>
    <s v="51"/>
    <s v="513"/>
    <x v="679"/>
    <s v="Photography : Academic Teaching PT"/>
    <n v="26648.06"/>
  </r>
  <r>
    <x v="2"/>
    <s v="11-310-00-101100-52200"/>
    <x v="0"/>
    <n v="310"/>
    <n v="0"/>
    <x v="16"/>
    <n v="52200"/>
    <x v="1"/>
    <s v="52"/>
    <s v="522"/>
    <x v="680"/>
    <s v="Photography : Classified Permanent Instructional Aides"/>
    <n v="23425.03"/>
  </r>
  <r>
    <x v="2"/>
    <s v="11-310-00-101100-53110"/>
    <x v="0"/>
    <n v="310"/>
    <n v="0"/>
    <x v="16"/>
    <n v="53110"/>
    <x v="1"/>
    <s v="53"/>
    <s v="531"/>
    <x v="681"/>
    <s v="Photography : STRS Teaching"/>
    <n v="5367.6"/>
  </r>
  <r>
    <x v="2"/>
    <s v="11-310-00-101100-53210"/>
    <x v="0"/>
    <n v="310"/>
    <n v="0"/>
    <x v="16"/>
    <n v="53210"/>
    <x v="1"/>
    <s v="53"/>
    <s v="532"/>
    <x v="682"/>
    <s v="Photography : PERS Teaching"/>
    <n v="4797.2"/>
  </r>
  <r>
    <x v="2"/>
    <s v="11-310-00-101100-53310"/>
    <x v="0"/>
    <n v="310"/>
    <n v="0"/>
    <x v="16"/>
    <n v="53310"/>
    <x v="1"/>
    <s v="53"/>
    <s v="533"/>
    <x v="683"/>
    <s v="Photography : OASDHI (FICA) Teaching"/>
    <n v="1453.86"/>
  </r>
  <r>
    <x v="2"/>
    <s v="11-310-00-101100-53330"/>
    <x v="0"/>
    <n v="310"/>
    <n v="0"/>
    <x v="16"/>
    <n v="53330"/>
    <x v="1"/>
    <s v="53"/>
    <s v="533"/>
    <x v="684"/>
    <s v="Photography : Medicare Teaching"/>
    <n v="821.34"/>
  </r>
  <r>
    <x v="2"/>
    <s v="11-310-00-101100-53410"/>
    <x v="0"/>
    <n v="310"/>
    <n v="0"/>
    <x v="16"/>
    <n v="53410"/>
    <x v="1"/>
    <s v="53"/>
    <s v="534"/>
    <x v="685"/>
    <s v="Photography : H &amp; W Teaching"/>
    <n v="5363.17"/>
  </r>
  <r>
    <x v="2"/>
    <s v="11-310-00-101100-53510"/>
    <x v="0"/>
    <n v="310"/>
    <n v="0"/>
    <x v="16"/>
    <n v="53510"/>
    <x v="1"/>
    <s v="53"/>
    <s v="535"/>
    <x v="686"/>
    <s v="Photography : SUI Teaching"/>
    <n v="28.33"/>
  </r>
  <r>
    <x v="2"/>
    <s v="11-310-00-101100-53610"/>
    <x v="0"/>
    <n v="310"/>
    <n v="0"/>
    <x v="16"/>
    <n v="53610"/>
    <x v="1"/>
    <s v="53"/>
    <s v="536"/>
    <x v="687"/>
    <s v="Photography : WC Teaching"/>
    <n v="1071.68"/>
  </r>
  <r>
    <x v="2"/>
    <s v="11-310-00-101100-54300"/>
    <x v="0"/>
    <n v="310"/>
    <n v="0"/>
    <x v="16"/>
    <n v="54300"/>
    <x v="1"/>
    <s v="54"/>
    <s v="543"/>
    <x v="688"/>
    <s v="Photography : Supplies &amp; Materials"/>
    <n v="0"/>
  </r>
  <r>
    <x v="2"/>
    <s v="11-310-00-101100-55630"/>
    <x v="0"/>
    <n v="310"/>
    <n v="0"/>
    <x v="16"/>
    <n v="55630"/>
    <x v="1"/>
    <s v="55"/>
    <s v="556"/>
    <x v="689"/>
    <s v="Photography : Printing &amp; Duplicating - Inhouse"/>
    <n v="0"/>
  </r>
  <r>
    <x v="2"/>
    <s v="11-310-00-130500-51310"/>
    <x v="0"/>
    <n v="310"/>
    <n v="0"/>
    <x v="18"/>
    <n v="51310"/>
    <x v="1"/>
    <s v="51"/>
    <s v="513"/>
    <x v="690"/>
    <s v="Early Childhood Education : Academic Teaching NIC"/>
    <n v="7734.24"/>
  </r>
  <r>
    <x v="2"/>
    <s v="11-310-00-130500-52200"/>
    <x v="0"/>
    <n v="310"/>
    <n v="0"/>
    <x v="18"/>
    <n v="52200"/>
    <x v="1"/>
    <s v="52"/>
    <s v="522"/>
    <x v="691"/>
    <s v="Early Childhood Education : Classified Permanent Instructional Aides"/>
    <n v="977.81"/>
  </r>
  <r>
    <x v="2"/>
    <s v="11-310-00-130500-53110"/>
    <x v="0"/>
    <n v="310"/>
    <n v="0"/>
    <x v="18"/>
    <n v="53110"/>
    <x v="1"/>
    <s v="53"/>
    <s v="531"/>
    <x v="692"/>
    <s v="Early Childhood Education : STRS Teaching"/>
    <n v="1249.08"/>
  </r>
  <r>
    <x v="2"/>
    <s v="11-310-00-130500-53210"/>
    <x v="0"/>
    <n v="310"/>
    <n v="0"/>
    <x v="18"/>
    <n v="53210"/>
    <x v="1"/>
    <s v="53"/>
    <s v="532"/>
    <x v="693"/>
    <s v="Early Childhood Education : PERS Teaching"/>
    <n v="192.83"/>
  </r>
  <r>
    <x v="2"/>
    <s v="11-310-00-130500-53310"/>
    <x v="0"/>
    <n v="310"/>
    <n v="0"/>
    <x v="18"/>
    <n v="53310"/>
    <x v="1"/>
    <s v="53"/>
    <s v="533"/>
    <x v="694"/>
    <s v="Early Childhood Education : OASDHI (FICA) Teaching"/>
    <n v="60.63"/>
  </r>
  <r>
    <x v="2"/>
    <s v="11-310-00-130500-53330"/>
    <x v="0"/>
    <n v="310"/>
    <n v="0"/>
    <x v="18"/>
    <n v="53330"/>
    <x v="1"/>
    <s v="53"/>
    <s v="533"/>
    <x v="695"/>
    <s v="Early Childhood Education : Medicare Teaching"/>
    <n v="126.32"/>
  </r>
  <r>
    <x v="2"/>
    <s v="11-310-00-130500-53510"/>
    <x v="0"/>
    <n v="310"/>
    <n v="0"/>
    <x v="18"/>
    <n v="53510"/>
    <x v="1"/>
    <s v="53"/>
    <s v="535"/>
    <x v="696"/>
    <s v="Early Childhood Education : SUI Teaching"/>
    <n v="4.3600000000000003"/>
  </r>
  <r>
    <x v="2"/>
    <s v="11-310-00-130500-53610"/>
    <x v="0"/>
    <n v="310"/>
    <n v="0"/>
    <x v="18"/>
    <n v="53610"/>
    <x v="1"/>
    <s v="53"/>
    <s v="536"/>
    <x v="697"/>
    <s v="Early Childhood Education : WC Teaching"/>
    <n v="164.74"/>
  </r>
  <r>
    <x v="2"/>
    <s v="11-310-00-130500-55630"/>
    <x v="0"/>
    <n v="310"/>
    <n v="0"/>
    <x v="18"/>
    <n v="55630"/>
    <x v="1"/>
    <s v="55"/>
    <s v="556"/>
    <x v="698"/>
    <s v="Early Childhood Education : Printing &amp; Duplicating - Inhouse"/>
    <n v="62.74"/>
  </r>
  <r>
    <x v="2"/>
    <s v="11-310-00-140100-55300"/>
    <x v="0"/>
    <n v="310"/>
    <n v="0"/>
    <x v="64"/>
    <n v="55300"/>
    <x v="1"/>
    <s v="55"/>
    <s v="553"/>
    <x v="699"/>
    <s v="General Law : Memberships"/>
    <n v="0"/>
  </r>
  <r>
    <x v="2"/>
    <s v="11-310-00-150900-51100"/>
    <x v="0"/>
    <n v="310"/>
    <n v="0"/>
    <x v="65"/>
    <n v="51100"/>
    <x v="1"/>
    <s v="51"/>
    <s v="511"/>
    <x v="700"/>
    <s v="Philosophy : Academic Teaching Full-time"/>
    <n v="69550.38"/>
  </r>
  <r>
    <x v="2"/>
    <s v="11-310-00-150900-51310"/>
    <x v="0"/>
    <n v="310"/>
    <n v="0"/>
    <x v="65"/>
    <n v="51310"/>
    <x v="1"/>
    <s v="51"/>
    <s v="513"/>
    <x v="701"/>
    <s v="Philosophy : Academic Teaching NIC"/>
    <n v="9858.7999999999993"/>
  </r>
  <r>
    <x v="2"/>
    <s v="11-310-00-150900-51311"/>
    <x v="0"/>
    <n v="310"/>
    <n v="0"/>
    <x v="65"/>
    <n v="51311"/>
    <x v="1"/>
    <s v="51"/>
    <s v="513"/>
    <x v="702"/>
    <s v="Philosophy : Academic Teaching PT"/>
    <n v="0"/>
  </r>
  <r>
    <x v="2"/>
    <s v="11-310-00-150900-51412"/>
    <x v="0"/>
    <n v="310"/>
    <n v="0"/>
    <x v="65"/>
    <n v="51412"/>
    <x v="1"/>
    <s v="51"/>
    <s v="514"/>
    <x v="703"/>
    <s v="Philosophy : Acad Nonteach Special Projects"/>
    <n v="0"/>
  </r>
  <r>
    <x v="2"/>
    <s v="11-310-00-150900-53110"/>
    <x v="0"/>
    <n v="310"/>
    <n v="0"/>
    <x v="65"/>
    <n v="53110"/>
    <x v="1"/>
    <s v="53"/>
    <s v="531"/>
    <x v="704"/>
    <s v="Philosophy : STRS Teaching"/>
    <n v="12824.57"/>
  </r>
  <r>
    <x v="2"/>
    <s v="11-310-00-150900-53120"/>
    <x v="0"/>
    <n v="310"/>
    <n v="0"/>
    <x v="65"/>
    <n v="53120"/>
    <x v="1"/>
    <s v="53"/>
    <s v="531"/>
    <x v="705"/>
    <s v="Philosophy : STRS Nonteaching"/>
    <n v="0"/>
  </r>
  <r>
    <x v="2"/>
    <s v="11-310-00-150900-53330"/>
    <x v="0"/>
    <n v="310"/>
    <n v="0"/>
    <x v="65"/>
    <n v="53330"/>
    <x v="1"/>
    <s v="53"/>
    <s v="533"/>
    <x v="706"/>
    <s v="Philosophy : Medicare Teaching"/>
    <n v="1144.68"/>
  </r>
  <r>
    <x v="2"/>
    <s v="11-310-00-150900-53340"/>
    <x v="0"/>
    <n v="310"/>
    <n v="0"/>
    <x v="65"/>
    <n v="53340"/>
    <x v="1"/>
    <s v="53"/>
    <s v="533"/>
    <x v="707"/>
    <s v="Philosophy : Medicare Nonteaching"/>
    <n v="0"/>
  </r>
  <r>
    <x v="2"/>
    <s v="11-310-00-150900-53410"/>
    <x v="0"/>
    <n v="310"/>
    <n v="0"/>
    <x v="65"/>
    <n v="53410"/>
    <x v="1"/>
    <s v="53"/>
    <s v="534"/>
    <x v="708"/>
    <s v="Philosophy : H &amp; W Teaching"/>
    <n v="20318.509999999998"/>
  </r>
  <r>
    <x v="2"/>
    <s v="11-310-00-150900-53510"/>
    <x v="0"/>
    <n v="310"/>
    <n v="0"/>
    <x v="65"/>
    <n v="53510"/>
    <x v="1"/>
    <s v="53"/>
    <s v="535"/>
    <x v="709"/>
    <s v="Philosophy : SUI Teaching"/>
    <n v="39.67"/>
  </r>
  <r>
    <x v="2"/>
    <s v="11-310-00-150900-53520"/>
    <x v="0"/>
    <n v="310"/>
    <n v="0"/>
    <x v="65"/>
    <n v="53520"/>
    <x v="1"/>
    <s v="53"/>
    <s v="535"/>
    <x v="710"/>
    <s v="Philosophy : SUI Nonteaching"/>
    <n v="0"/>
  </r>
  <r>
    <x v="2"/>
    <s v="11-310-00-150900-53610"/>
    <x v="0"/>
    <n v="310"/>
    <n v="0"/>
    <x v="65"/>
    <n v="53610"/>
    <x v="1"/>
    <s v="53"/>
    <s v="536"/>
    <x v="711"/>
    <s v="Philosophy : WC Teaching"/>
    <n v="1501.49"/>
  </r>
  <r>
    <x v="2"/>
    <s v="11-310-00-150900-53620"/>
    <x v="0"/>
    <n v="310"/>
    <n v="0"/>
    <x v="65"/>
    <n v="53620"/>
    <x v="1"/>
    <s v="53"/>
    <s v="536"/>
    <x v="712"/>
    <s v="Philosophy : WC Nonteaching"/>
    <n v="0"/>
  </r>
  <r>
    <x v="2"/>
    <s v="11-310-00-150900-55630"/>
    <x v="0"/>
    <n v="310"/>
    <n v="0"/>
    <x v="65"/>
    <n v="55630"/>
    <x v="1"/>
    <s v="55"/>
    <s v="556"/>
    <x v="713"/>
    <s v="Philosophy : Printing &amp; Duplicating - Inhouse"/>
    <n v="0"/>
  </r>
  <r>
    <x v="2"/>
    <s v="11-310-00-200100-51100"/>
    <x v="0"/>
    <n v="310"/>
    <n v="0"/>
    <x v="24"/>
    <n v="51100"/>
    <x v="1"/>
    <s v="51"/>
    <s v="511"/>
    <x v="714"/>
    <s v="Psychology : Academic Teaching Full-time"/>
    <n v="126434.4"/>
  </r>
  <r>
    <x v="2"/>
    <s v="11-310-00-200100-51310"/>
    <x v="0"/>
    <n v="310"/>
    <n v="0"/>
    <x v="24"/>
    <n v="51310"/>
    <x v="1"/>
    <s v="51"/>
    <s v="513"/>
    <x v="715"/>
    <s v="Psychology : Academic Teaching NIC"/>
    <n v="3819.95"/>
  </r>
  <r>
    <x v="2"/>
    <s v="11-310-00-200100-51311"/>
    <x v="0"/>
    <n v="310"/>
    <n v="0"/>
    <x v="24"/>
    <n v="51311"/>
    <x v="1"/>
    <s v="51"/>
    <s v="513"/>
    <x v="716"/>
    <s v="Psychology : Academic Teaching PT"/>
    <n v="162220.4"/>
  </r>
  <r>
    <x v="2"/>
    <s v="11-310-00-200100-51412"/>
    <x v="0"/>
    <n v="310"/>
    <n v="0"/>
    <x v="24"/>
    <n v="51412"/>
    <x v="1"/>
    <s v="51"/>
    <s v="514"/>
    <x v="717"/>
    <s v="Psychology : Acad Nonteach Special Projects"/>
    <n v="0"/>
  </r>
  <r>
    <x v="2"/>
    <s v="11-310-00-200100-53110"/>
    <x v="0"/>
    <n v="310"/>
    <n v="0"/>
    <x v="24"/>
    <n v="53110"/>
    <x v="1"/>
    <s v="53"/>
    <s v="531"/>
    <x v="718"/>
    <s v="Psychology : STRS Teaching"/>
    <n v="38538.78"/>
  </r>
  <r>
    <x v="2"/>
    <s v="11-310-00-200100-53120"/>
    <x v="0"/>
    <n v="310"/>
    <n v="0"/>
    <x v="24"/>
    <n v="53120"/>
    <x v="1"/>
    <s v="53"/>
    <s v="531"/>
    <x v="719"/>
    <s v="Psychology : STRS Nonteaching"/>
    <n v="0"/>
  </r>
  <r>
    <x v="2"/>
    <s v="11-310-00-200100-53310"/>
    <x v="0"/>
    <n v="310"/>
    <n v="0"/>
    <x v="24"/>
    <n v="53310"/>
    <x v="1"/>
    <s v="53"/>
    <s v="533"/>
    <x v="720"/>
    <s v="Psychology : OASDHI (FICA) Teaching"/>
    <n v="4156.72"/>
  </r>
  <r>
    <x v="2"/>
    <s v="11-310-00-200100-53330"/>
    <x v="0"/>
    <n v="310"/>
    <n v="0"/>
    <x v="24"/>
    <n v="53330"/>
    <x v="1"/>
    <s v="53"/>
    <s v="533"/>
    <x v="721"/>
    <s v="Psychology : Medicare Teaching"/>
    <n v="4196.59"/>
  </r>
  <r>
    <x v="2"/>
    <s v="11-310-00-200100-53340"/>
    <x v="0"/>
    <n v="310"/>
    <n v="0"/>
    <x v="24"/>
    <n v="53340"/>
    <x v="1"/>
    <s v="53"/>
    <s v="533"/>
    <x v="722"/>
    <s v="Psychology : Medicare Nonteaching"/>
    <n v="0"/>
  </r>
  <r>
    <x v="2"/>
    <s v="11-310-00-200100-53410"/>
    <x v="0"/>
    <n v="310"/>
    <n v="0"/>
    <x v="24"/>
    <n v="53410"/>
    <x v="1"/>
    <s v="53"/>
    <s v="534"/>
    <x v="723"/>
    <s v="Psychology : H &amp; W Teaching"/>
    <n v="32413.63"/>
  </r>
  <r>
    <x v="2"/>
    <s v="11-310-00-200100-53510"/>
    <x v="0"/>
    <n v="310"/>
    <n v="0"/>
    <x v="24"/>
    <n v="53510"/>
    <x v="1"/>
    <s v="53"/>
    <s v="535"/>
    <x v="724"/>
    <s v="Psychology : SUI Teaching"/>
    <n v="145.04"/>
  </r>
  <r>
    <x v="2"/>
    <s v="11-310-00-200100-53520"/>
    <x v="0"/>
    <n v="310"/>
    <n v="0"/>
    <x v="24"/>
    <n v="53520"/>
    <x v="1"/>
    <s v="53"/>
    <s v="535"/>
    <x v="725"/>
    <s v="Psychology : SUI Nonteaching"/>
    <n v="0"/>
  </r>
  <r>
    <x v="2"/>
    <s v="11-310-00-200100-53610"/>
    <x v="0"/>
    <n v="310"/>
    <n v="0"/>
    <x v="24"/>
    <n v="53610"/>
    <x v="1"/>
    <s v="53"/>
    <s v="536"/>
    <x v="726"/>
    <s v="Psychology : WC Teaching"/>
    <n v="6165.32"/>
  </r>
  <r>
    <x v="2"/>
    <s v="11-310-00-200100-53620"/>
    <x v="0"/>
    <n v="310"/>
    <n v="0"/>
    <x v="24"/>
    <n v="53620"/>
    <x v="1"/>
    <s v="53"/>
    <s v="536"/>
    <x v="727"/>
    <s v="Psychology : WC Nonteaching"/>
    <n v="0"/>
  </r>
  <r>
    <x v="2"/>
    <s v="11-310-00-200100-53910"/>
    <x v="0"/>
    <n v="310"/>
    <n v="0"/>
    <x v="24"/>
    <n v="53910"/>
    <x v="1"/>
    <s v="53"/>
    <s v="539"/>
    <x v="728"/>
    <s v="Psychology : Other Benefit-Teaching"/>
    <n v="1745.44"/>
  </r>
  <r>
    <x v="2"/>
    <s v="11-310-00-200100-55630"/>
    <x v="0"/>
    <n v="310"/>
    <n v="0"/>
    <x v="24"/>
    <n v="55630"/>
    <x v="1"/>
    <s v="55"/>
    <s v="556"/>
    <x v="729"/>
    <s v="Psychology : Printing &amp; Duplicating - Inhouse"/>
    <n v="207.9"/>
  </r>
  <r>
    <x v="2"/>
    <s v="11-310-00-210440-51100"/>
    <x v="0"/>
    <n v="310"/>
    <n v="0"/>
    <x v="66"/>
    <n v="51100"/>
    <x v="1"/>
    <s v="51"/>
    <s v="511"/>
    <x v="730"/>
    <s v="Alcohol &amp; Drug Counseling : Academic Teaching Full-time"/>
    <n v="0"/>
  </r>
  <r>
    <x v="2"/>
    <s v="11-310-00-210440-53110"/>
    <x v="0"/>
    <n v="310"/>
    <n v="0"/>
    <x v="66"/>
    <n v="53110"/>
    <x v="1"/>
    <s v="53"/>
    <s v="531"/>
    <x v="731"/>
    <s v="Alcohol &amp; Drug Counseling : STRS Teaching"/>
    <n v="0"/>
  </r>
  <r>
    <x v="2"/>
    <s v="11-310-00-210440-53330"/>
    <x v="0"/>
    <n v="310"/>
    <n v="0"/>
    <x v="66"/>
    <n v="53330"/>
    <x v="1"/>
    <s v="53"/>
    <s v="533"/>
    <x v="732"/>
    <s v="Alcohol &amp; Drug Counseling : Medicare Teaching"/>
    <n v="0"/>
  </r>
  <r>
    <x v="2"/>
    <s v="11-310-00-210440-53410"/>
    <x v="0"/>
    <n v="310"/>
    <n v="0"/>
    <x v="66"/>
    <n v="53410"/>
    <x v="1"/>
    <s v="53"/>
    <s v="534"/>
    <x v="733"/>
    <s v="Alcohol &amp; Drug Counseling : H &amp; W Teaching"/>
    <n v="0"/>
  </r>
  <r>
    <x v="2"/>
    <s v="11-310-00-210440-53510"/>
    <x v="0"/>
    <n v="310"/>
    <n v="0"/>
    <x v="66"/>
    <n v="53510"/>
    <x v="1"/>
    <s v="53"/>
    <s v="535"/>
    <x v="734"/>
    <s v="Alcohol &amp; Drug Counseling : SUI Teaching"/>
    <n v="0"/>
  </r>
  <r>
    <x v="2"/>
    <s v="11-310-00-210440-53610"/>
    <x v="0"/>
    <n v="310"/>
    <n v="0"/>
    <x v="66"/>
    <n v="53610"/>
    <x v="1"/>
    <s v="53"/>
    <s v="536"/>
    <x v="735"/>
    <s v="Alcohol &amp; Drug Counseling : WC Teaching"/>
    <n v="0"/>
  </r>
  <r>
    <x v="2"/>
    <s v="11-310-00-210440-55630"/>
    <x v="0"/>
    <n v="310"/>
    <n v="0"/>
    <x v="66"/>
    <n v="55630"/>
    <x v="1"/>
    <s v="55"/>
    <s v="556"/>
    <x v="736"/>
    <s v="Alcohol &amp; Drug Counseling : Printing &amp; Duplicating - Inhouse"/>
    <n v="1.23"/>
  </r>
  <r>
    <x v="2"/>
    <s v="11-310-00-210500-51310"/>
    <x v="0"/>
    <n v="310"/>
    <n v="0"/>
    <x v="25"/>
    <n v="51310"/>
    <x v="1"/>
    <s v="51"/>
    <s v="513"/>
    <x v="737"/>
    <s v="Administration of Justice : Academic Teaching NIC"/>
    <n v="4296.8"/>
  </r>
  <r>
    <x v="2"/>
    <s v="11-310-00-210500-51311"/>
    <x v="0"/>
    <n v="310"/>
    <n v="0"/>
    <x v="25"/>
    <n v="51311"/>
    <x v="1"/>
    <s v="51"/>
    <s v="513"/>
    <x v="738"/>
    <s v="Administration of Justice : Academic Teaching PT"/>
    <n v="1032.75"/>
  </r>
  <r>
    <x v="2"/>
    <s v="11-310-00-210500-53110"/>
    <x v="0"/>
    <n v="310"/>
    <n v="0"/>
    <x v="25"/>
    <n v="53110"/>
    <x v="1"/>
    <s v="53"/>
    <s v="531"/>
    <x v="739"/>
    <s v="Administration of Justice : STRS Teaching"/>
    <n v="860.75"/>
  </r>
  <r>
    <x v="2"/>
    <s v="11-310-00-210500-53330"/>
    <x v="0"/>
    <n v="310"/>
    <n v="0"/>
    <x v="25"/>
    <n v="53330"/>
    <x v="1"/>
    <s v="53"/>
    <s v="533"/>
    <x v="740"/>
    <s v="Administration of Justice : Medicare Teaching"/>
    <n v="77.3"/>
  </r>
  <r>
    <x v="2"/>
    <s v="11-310-00-210500-53510"/>
    <x v="0"/>
    <n v="310"/>
    <n v="0"/>
    <x v="25"/>
    <n v="53510"/>
    <x v="1"/>
    <s v="53"/>
    <s v="535"/>
    <x v="741"/>
    <s v="Administration of Justice : SUI Teaching"/>
    <n v="2.63"/>
  </r>
  <r>
    <x v="2"/>
    <s v="11-310-00-210500-53610"/>
    <x v="0"/>
    <n v="310"/>
    <n v="0"/>
    <x v="25"/>
    <n v="53610"/>
    <x v="1"/>
    <s v="53"/>
    <s v="536"/>
    <x v="742"/>
    <s v="Administration of Justice : WC Teaching"/>
    <n v="100.75"/>
  </r>
  <r>
    <x v="2"/>
    <s v="11-310-00-220200-51100"/>
    <x v="0"/>
    <n v="310"/>
    <n v="0"/>
    <x v="26"/>
    <n v="51100"/>
    <x v="1"/>
    <s v="51"/>
    <s v="511"/>
    <x v="743"/>
    <s v="Anthropology : Academic Teaching Full-time"/>
    <n v="96603.199999999997"/>
  </r>
  <r>
    <x v="2"/>
    <s v="11-310-00-220200-51310"/>
    <x v="0"/>
    <n v="310"/>
    <n v="0"/>
    <x v="26"/>
    <n v="51310"/>
    <x v="1"/>
    <s v="51"/>
    <s v="513"/>
    <x v="744"/>
    <s v="Anthropology : Academic Teaching NIC"/>
    <n v="4296.8"/>
  </r>
  <r>
    <x v="2"/>
    <s v="11-310-00-220200-51311"/>
    <x v="0"/>
    <n v="310"/>
    <n v="0"/>
    <x v="26"/>
    <n v="51311"/>
    <x v="1"/>
    <s v="51"/>
    <s v="513"/>
    <x v="745"/>
    <s v="Anthropology : Academic Teaching PT"/>
    <n v="36125.32"/>
  </r>
  <r>
    <x v="2"/>
    <s v="11-310-00-220200-53110"/>
    <x v="0"/>
    <n v="310"/>
    <n v="0"/>
    <x v="26"/>
    <n v="53110"/>
    <x v="1"/>
    <s v="53"/>
    <s v="531"/>
    <x v="746"/>
    <s v="Anthropology : STRS Teaching"/>
    <n v="16295.39"/>
  </r>
  <r>
    <x v="2"/>
    <s v="11-310-00-220200-53310"/>
    <x v="0"/>
    <n v="310"/>
    <n v="0"/>
    <x v="26"/>
    <n v="53310"/>
    <x v="1"/>
    <s v="53"/>
    <s v="533"/>
    <x v="747"/>
    <s v="Anthropology : OASDHI (FICA) Teaching"/>
    <n v="1150.5999999999999"/>
  </r>
  <r>
    <x v="2"/>
    <s v="11-310-00-220200-53330"/>
    <x v="0"/>
    <n v="310"/>
    <n v="0"/>
    <x v="26"/>
    <n v="53330"/>
    <x v="1"/>
    <s v="53"/>
    <s v="533"/>
    <x v="748"/>
    <s v="Anthropology : Medicare Teaching"/>
    <n v="1974.75"/>
  </r>
  <r>
    <x v="2"/>
    <s v="11-310-00-220200-53410"/>
    <x v="0"/>
    <n v="310"/>
    <n v="0"/>
    <x v="26"/>
    <n v="53410"/>
    <x v="1"/>
    <s v="53"/>
    <s v="534"/>
    <x v="749"/>
    <s v="Anthropology : H &amp; W Teaching"/>
    <n v="26198.92"/>
  </r>
  <r>
    <x v="2"/>
    <s v="11-310-00-220200-53510"/>
    <x v="0"/>
    <n v="310"/>
    <n v="0"/>
    <x v="26"/>
    <n v="53510"/>
    <x v="1"/>
    <s v="53"/>
    <s v="535"/>
    <x v="750"/>
    <s v="Anthropology : SUI Teaching"/>
    <n v="68.5"/>
  </r>
  <r>
    <x v="2"/>
    <s v="11-310-00-220200-53610"/>
    <x v="0"/>
    <n v="310"/>
    <n v="0"/>
    <x v="26"/>
    <n v="53610"/>
    <x v="1"/>
    <s v="53"/>
    <s v="536"/>
    <x v="751"/>
    <s v="Anthropology : WC Teaching"/>
    <n v="2590.87"/>
  </r>
  <r>
    <x v="2"/>
    <s v="11-310-00-220200-55630"/>
    <x v="0"/>
    <n v="310"/>
    <n v="0"/>
    <x v="26"/>
    <n v="55630"/>
    <x v="1"/>
    <s v="55"/>
    <s v="556"/>
    <x v="752"/>
    <s v="Anthropology : Printing &amp; Duplicating - Inhouse"/>
    <n v="0"/>
  </r>
  <r>
    <x v="2"/>
    <s v="11-310-00-220210-51100"/>
    <x v="0"/>
    <n v="310"/>
    <n v="0"/>
    <x v="27"/>
    <n v="51100"/>
    <x v="1"/>
    <s v="51"/>
    <s v="511"/>
    <x v="753"/>
    <s v="Ethnic Studies : Academic Teaching Full-time"/>
    <n v="95511.96"/>
  </r>
  <r>
    <x v="2"/>
    <s v="11-310-00-220210-51310"/>
    <x v="0"/>
    <n v="310"/>
    <n v="0"/>
    <x v="27"/>
    <n v="51310"/>
    <x v="1"/>
    <s v="51"/>
    <s v="513"/>
    <x v="754"/>
    <s v="Ethnic Studies : Academic Teaching NIC"/>
    <n v="2578.08"/>
  </r>
  <r>
    <x v="2"/>
    <s v="11-310-00-220210-51311"/>
    <x v="0"/>
    <n v="310"/>
    <n v="0"/>
    <x v="27"/>
    <n v="51311"/>
    <x v="1"/>
    <s v="51"/>
    <s v="513"/>
    <x v="755"/>
    <s v="Ethnic Studies : Academic Teaching PT"/>
    <n v="30987.99"/>
  </r>
  <r>
    <x v="2"/>
    <s v="11-310-00-220210-53110"/>
    <x v="0"/>
    <n v="310"/>
    <n v="0"/>
    <x v="27"/>
    <n v="53110"/>
    <x v="1"/>
    <s v="53"/>
    <s v="531"/>
    <x v="756"/>
    <s v="Ethnic Studies : STRS Teaching"/>
    <n v="20846.09"/>
  </r>
  <r>
    <x v="2"/>
    <s v="11-310-00-220210-53330"/>
    <x v="0"/>
    <n v="310"/>
    <n v="0"/>
    <x v="27"/>
    <n v="53330"/>
    <x v="1"/>
    <s v="53"/>
    <s v="533"/>
    <x v="757"/>
    <s v="Ethnic Studies : Medicare Teaching"/>
    <n v="1859.31"/>
  </r>
  <r>
    <x v="2"/>
    <s v="11-310-00-220210-53410"/>
    <x v="0"/>
    <n v="310"/>
    <n v="0"/>
    <x v="27"/>
    <n v="53410"/>
    <x v="1"/>
    <s v="53"/>
    <s v="534"/>
    <x v="758"/>
    <s v="Ethnic Studies : H &amp; W Teaching"/>
    <n v="26666.240000000002"/>
  </r>
  <r>
    <x v="2"/>
    <s v="11-310-00-220210-53510"/>
    <x v="0"/>
    <n v="310"/>
    <n v="0"/>
    <x v="27"/>
    <n v="53510"/>
    <x v="1"/>
    <s v="53"/>
    <s v="535"/>
    <x v="759"/>
    <s v="Ethnic Studies : SUI Teaching"/>
    <n v="64.53"/>
  </r>
  <r>
    <x v="2"/>
    <s v="11-310-00-220210-53610"/>
    <x v="0"/>
    <n v="310"/>
    <n v="0"/>
    <x v="27"/>
    <n v="53610"/>
    <x v="1"/>
    <s v="53"/>
    <s v="536"/>
    <x v="760"/>
    <s v="Ethnic Studies : WC Teaching"/>
    <n v="2440.56"/>
  </r>
  <r>
    <x v="2"/>
    <s v="11-310-00-220210-55200"/>
    <x v="0"/>
    <n v="310"/>
    <n v="0"/>
    <x v="27"/>
    <n v="55200"/>
    <x v="1"/>
    <s v="55"/>
    <s v="552"/>
    <x v="761"/>
    <s v="Ethnic Studies : Travel &amp; Conference"/>
    <n v="0"/>
  </r>
  <r>
    <x v="2"/>
    <s v="11-310-00-220210-55630"/>
    <x v="0"/>
    <n v="310"/>
    <n v="0"/>
    <x v="27"/>
    <n v="55630"/>
    <x v="1"/>
    <s v="55"/>
    <s v="556"/>
    <x v="762"/>
    <s v="Ethnic Studies : Printing &amp; Duplicating - Inhouse"/>
    <n v="0"/>
  </r>
  <r>
    <x v="2"/>
    <s v="11-310-00-220400-51100"/>
    <x v="0"/>
    <n v="310"/>
    <n v="0"/>
    <x v="67"/>
    <n v="51100"/>
    <x v="1"/>
    <s v="51"/>
    <s v="511"/>
    <x v="763"/>
    <s v="Economics : Academic Teaching Full-time"/>
    <n v="85943.52"/>
  </r>
  <r>
    <x v="2"/>
    <s v="11-310-00-220400-51310"/>
    <x v="0"/>
    <n v="310"/>
    <n v="0"/>
    <x v="67"/>
    <n v="51310"/>
    <x v="1"/>
    <s v="51"/>
    <s v="513"/>
    <x v="764"/>
    <s v="Economics : Academic Teaching NIC"/>
    <n v="0"/>
  </r>
  <r>
    <x v="2"/>
    <s v="11-310-00-220400-51311"/>
    <x v="0"/>
    <n v="310"/>
    <n v="0"/>
    <x v="67"/>
    <n v="51311"/>
    <x v="1"/>
    <s v="51"/>
    <s v="513"/>
    <x v="765"/>
    <s v="Economics : Academic Teaching PT"/>
    <n v="24451.919999999998"/>
  </r>
  <r>
    <x v="2"/>
    <s v="11-310-00-220400-53110"/>
    <x v="0"/>
    <n v="310"/>
    <n v="0"/>
    <x v="67"/>
    <n v="53110"/>
    <x v="1"/>
    <s v="53"/>
    <s v="531"/>
    <x v="766"/>
    <s v="Economics : STRS Teaching"/>
    <n v="17828.91"/>
  </r>
  <r>
    <x v="2"/>
    <s v="11-310-00-220400-53330"/>
    <x v="0"/>
    <n v="310"/>
    <n v="0"/>
    <x v="67"/>
    <n v="53330"/>
    <x v="1"/>
    <s v="53"/>
    <s v="533"/>
    <x v="767"/>
    <s v="Economics : Medicare Teaching"/>
    <n v="1588.99"/>
  </r>
  <r>
    <x v="2"/>
    <s v="11-310-00-220400-53410"/>
    <x v="0"/>
    <n v="310"/>
    <n v="0"/>
    <x v="67"/>
    <n v="53410"/>
    <x v="1"/>
    <s v="53"/>
    <s v="534"/>
    <x v="768"/>
    <s v="Economics : H &amp; W Teaching"/>
    <n v="26666.240000000002"/>
  </r>
  <r>
    <x v="2"/>
    <s v="11-310-00-220400-53510"/>
    <x v="0"/>
    <n v="310"/>
    <n v="0"/>
    <x v="67"/>
    <n v="53510"/>
    <x v="1"/>
    <s v="53"/>
    <s v="535"/>
    <x v="769"/>
    <s v="Economics : SUI Teaching"/>
    <n v="55.2"/>
  </r>
  <r>
    <x v="2"/>
    <s v="11-310-00-220400-53610"/>
    <x v="0"/>
    <n v="310"/>
    <n v="0"/>
    <x v="67"/>
    <n v="53610"/>
    <x v="1"/>
    <s v="53"/>
    <s v="536"/>
    <x v="770"/>
    <s v="Economics : WC Teaching"/>
    <n v="2087.42"/>
  </r>
  <r>
    <x v="2"/>
    <s v="11-310-00-220400-55630"/>
    <x v="0"/>
    <n v="310"/>
    <n v="0"/>
    <x v="67"/>
    <n v="55630"/>
    <x v="1"/>
    <s v="55"/>
    <s v="556"/>
    <x v="771"/>
    <s v="Economics : Printing &amp; Duplicating - Inhouse"/>
    <n v="0"/>
  </r>
  <r>
    <x v="2"/>
    <s v="11-310-00-220500-51100"/>
    <x v="0"/>
    <n v="310"/>
    <n v="0"/>
    <x v="28"/>
    <n v="51100"/>
    <x v="1"/>
    <s v="51"/>
    <s v="511"/>
    <x v="772"/>
    <s v="History : Academic Teaching Full-time"/>
    <n v="166677.57"/>
  </r>
  <r>
    <x v="2"/>
    <s v="11-310-00-220500-51310"/>
    <x v="0"/>
    <n v="310"/>
    <n v="0"/>
    <x v="28"/>
    <n v="51310"/>
    <x v="1"/>
    <s v="51"/>
    <s v="513"/>
    <x v="773"/>
    <s v="History : Academic Teaching NIC"/>
    <n v="58622.2"/>
  </r>
  <r>
    <x v="2"/>
    <s v="11-310-00-220500-51311"/>
    <x v="0"/>
    <n v="310"/>
    <n v="0"/>
    <x v="28"/>
    <n v="51311"/>
    <x v="1"/>
    <s v="51"/>
    <s v="513"/>
    <x v="774"/>
    <s v="History : Academic Teaching PT"/>
    <n v="106801.73"/>
  </r>
  <r>
    <x v="2"/>
    <s v="11-310-00-220500-53110"/>
    <x v="0"/>
    <n v="310"/>
    <n v="0"/>
    <x v="28"/>
    <n v="53110"/>
    <x v="1"/>
    <s v="53"/>
    <s v="531"/>
    <x v="775"/>
    <s v="History : STRS Teaching"/>
    <n v="47321.26"/>
  </r>
  <r>
    <x v="2"/>
    <s v="11-310-00-220500-53310"/>
    <x v="0"/>
    <n v="310"/>
    <n v="0"/>
    <x v="28"/>
    <n v="53310"/>
    <x v="1"/>
    <s v="53"/>
    <s v="533"/>
    <x v="776"/>
    <s v="History : OASDHI (FICA) Teaching"/>
    <n v="2438.8000000000002"/>
  </r>
  <r>
    <x v="2"/>
    <s v="11-310-00-220500-53330"/>
    <x v="0"/>
    <n v="310"/>
    <n v="0"/>
    <x v="28"/>
    <n v="53330"/>
    <x v="1"/>
    <s v="53"/>
    <s v="533"/>
    <x v="777"/>
    <s v="History : Medicare Teaching"/>
    <n v="4803.12"/>
  </r>
  <r>
    <x v="2"/>
    <s v="11-310-00-220500-53410"/>
    <x v="0"/>
    <n v="310"/>
    <n v="0"/>
    <x v="28"/>
    <n v="53410"/>
    <x v="1"/>
    <s v="53"/>
    <s v="534"/>
    <x v="778"/>
    <s v="History : H &amp; W Teaching"/>
    <n v="37235.760000000002"/>
  </r>
  <r>
    <x v="2"/>
    <s v="11-310-00-220500-53510"/>
    <x v="0"/>
    <n v="310"/>
    <n v="0"/>
    <x v="28"/>
    <n v="53510"/>
    <x v="1"/>
    <s v="53"/>
    <s v="535"/>
    <x v="779"/>
    <s v="History : SUI Teaching"/>
    <n v="166"/>
  </r>
  <r>
    <x v="2"/>
    <s v="11-310-00-220500-53610"/>
    <x v="0"/>
    <n v="310"/>
    <n v="0"/>
    <x v="28"/>
    <n v="53610"/>
    <x v="1"/>
    <s v="53"/>
    <s v="536"/>
    <x v="780"/>
    <s v="History : WC Teaching"/>
    <n v="6279.41"/>
  </r>
  <r>
    <x v="2"/>
    <s v="11-310-00-220500-55630"/>
    <x v="0"/>
    <n v="310"/>
    <n v="0"/>
    <x v="28"/>
    <n v="55630"/>
    <x v="1"/>
    <s v="55"/>
    <s v="556"/>
    <x v="781"/>
    <s v="History : Printing &amp; Duplicating - Inhouse"/>
    <n v="0"/>
  </r>
  <r>
    <x v="2"/>
    <s v="11-310-00-220700-51100"/>
    <x v="0"/>
    <n v="310"/>
    <n v="0"/>
    <x v="30"/>
    <n v="51100"/>
    <x v="1"/>
    <s v="51"/>
    <s v="511"/>
    <x v="782"/>
    <s v="Political Science : Academic Teaching Full-time"/>
    <n v="85251.33"/>
  </r>
  <r>
    <x v="2"/>
    <s v="11-310-00-220700-51310"/>
    <x v="0"/>
    <n v="310"/>
    <n v="0"/>
    <x v="30"/>
    <n v="51310"/>
    <x v="1"/>
    <s v="51"/>
    <s v="513"/>
    <x v="783"/>
    <s v="Political Science : Academic Teaching NIC"/>
    <n v="12233.96"/>
  </r>
  <r>
    <x v="2"/>
    <s v="11-310-00-220700-51311"/>
    <x v="0"/>
    <n v="310"/>
    <n v="0"/>
    <x v="30"/>
    <n v="51311"/>
    <x v="1"/>
    <s v="51"/>
    <s v="513"/>
    <x v="784"/>
    <s v="Political Science : Academic Teaching PT"/>
    <n v="68214.05"/>
  </r>
  <r>
    <x v="2"/>
    <s v="11-310-00-220700-53110"/>
    <x v="0"/>
    <n v="310"/>
    <n v="0"/>
    <x v="30"/>
    <n v="53110"/>
    <x v="1"/>
    <s v="53"/>
    <s v="531"/>
    <x v="785"/>
    <s v="Political Science : STRS Teaching"/>
    <n v="25413.22"/>
  </r>
  <r>
    <x v="2"/>
    <s v="11-310-00-220700-53330"/>
    <x v="0"/>
    <n v="310"/>
    <n v="0"/>
    <x v="30"/>
    <n v="53330"/>
    <x v="1"/>
    <s v="53"/>
    <s v="533"/>
    <x v="786"/>
    <s v="Political Science : Medicare Teaching"/>
    <n v="2390.29"/>
  </r>
  <r>
    <x v="2"/>
    <s v="11-310-00-220700-53410"/>
    <x v="0"/>
    <n v="310"/>
    <n v="0"/>
    <x v="30"/>
    <n v="53410"/>
    <x v="1"/>
    <s v="53"/>
    <s v="534"/>
    <x v="787"/>
    <s v="Political Science : H &amp; W Teaching"/>
    <n v="26666.240000000002"/>
  </r>
  <r>
    <x v="2"/>
    <s v="11-310-00-220700-53510"/>
    <x v="0"/>
    <n v="310"/>
    <n v="0"/>
    <x v="30"/>
    <n v="53510"/>
    <x v="1"/>
    <s v="53"/>
    <s v="535"/>
    <x v="788"/>
    <s v="Political Science : SUI Teaching"/>
    <n v="82.83"/>
  </r>
  <r>
    <x v="2"/>
    <s v="11-310-00-220700-53610"/>
    <x v="0"/>
    <n v="310"/>
    <n v="0"/>
    <x v="30"/>
    <n v="53610"/>
    <x v="1"/>
    <s v="53"/>
    <s v="536"/>
    <x v="789"/>
    <s v="Political Science : WC Teaching"/>
    <n v="3133.06"/>
  </r>
  <r>
    <x v="2"/>
    <s v="11-310-00-220700-55630"/>
    <x v="0"/>
    <n v="310"/>
    <n v="0"/>
    <x v="30"/>
    <n v="55630"/>
    <x v="1"/>
    <s v="55"/>
    <s v="556"/>
    <x v="790"/>
    <s v="Political Science : Printing &amp; Duplicating - Inhouse"/>
    <n v="0"/>
  </r>
  <r>
    <x v="2"/>
    <s v="11-310-00-220800-51100"/>
    <x v="0"/>
    <n v="310"/>
    <n v="0"/>
    <x v="31"/>
    <n v="51100"/>
    <x v="1"/>
    <s v="51"/>
    <s v="511"/>
    <x v="791"/>
    <s v="Sociology : Academic Teaching Full-time"/>
    <n v="81736.38"/>
  </r>
  <r>
    <x v="2"/>
    <s v="11-310-00-220800-51310"/>
    <x v="0"/>
    <n v="310"/>
    <n v="0"/>
    <x v="31"/>
    <n v="51310"/>
    <x v="1"/>
    <s v="51"/>
    <s v="513"/>
    <x v="792"/>
    <s v="Sociology : Academic Teaching NIC"/>
    <n v="11046.38"/>
  </r>
  <r>
    <x v="2"/>
    <s v="11-310-00-220800-51311"/>
    <x v="0"/>
    <n v="310"/>
    <n v="0"/>
    <x v="31"/>
    <n v="51311"/>
    <x v="1"/>
    <s v="51"/>
    <s v="513"/>
    <x v="793"/>
    <s v="Sociology : Academic Teaching PT"/>
    <n v="39974.29"/>
  </r>
  <r>
    <x v="2"/>
    <s v="11-310-00-220800-53110"/>
    <x v="0"/>
    <n v="310"/>
    <n v="0"/>
    <x v="31"/>
    <n v="53110"/>
    <x v="1"/>
    <s v="53"/>
    <s v="531"/>
    <x v="794"/>
    <s v="Sociology : STRS Teaching"/>
    <n v="19887.8"/>
  </r>
  <r>
    <x v="2"/>
    <s v="11-310-00-220800-53310"/>
    <x v="0"/>
    <n v="310"/>
    <n v="0"/>
    <x v="31"/>
    <n v="53310"/>
    <x v="1"/>
    <s v="53"/>
    <s v="533"/>
    <x v="795"/>
    <s v="Sociology : OASDHI (FICA) Teaching"/>
    <n v="603.59"/>
  </r>
  <r>
    <x v="2"/>
    <s v="11-310-00-220800-53330"/>
    <x v="0"/>
    <n v="310"/>
    <n v="0"/>
    <x v="31"/>
    <n v="53330"/>
    <x v="1"/>
    <s v="53"/>
    <s v="533"/>
    <x v="796"/>
    <s v="Sociology : Medicare Teaching"/>
    <n v="1913.2"/>
  </r>
  <r>
    <x v="2"/>
    <s v="11-310-00-220800-53410"/>
    <x v="0"/>
    <n v="310"/>
    <n v="0"/>
    <x v="31"/>
    <n v="53410"/>
    <x v="1"/>
    <s v="53"/>
    <s v="534"/>
    <x v="797"/>
    <s v="Sociology : H &amp; W Teaching"/>
    <n v="26666.240000000002"/>
  </r>
  <r>
    <x v="2"/>
    <s v="11-310-00-220800-53510"/>
    <x v="0"/>
    <n v="310"/>
    <n v="0"/>
    <x v="31"/>
    <n v="53510"/>
    <x v="1"/>
    <s v="53"/>
    <s v="535"/>
    <x v="798"/>
    <s v="Sociology : SUI Teaching"/>
    <n v="66.36"/>
  </r>
  <r>
    <x v="2"/>
    <s v="11-310-00-220800-53610"/>
    <x v="0"/>
    <n v="310"/>
    <n v="0"/>
    <x v="31"/>
    <n v="53610"/>
    <x v="1"/>
    <s v="53"/>
    <s v="536"/>
    <x v="799"/>
    <s v="Sociology : WC Teaching"/>
    <n v="2510.23"/>
  </r>
  <r>
    <x v="2"/>
    <s v="11-310-00-220800-55630"/>
    <x v="0"/>
    <n v="310"/>
    <n v="0"/>
    <x v="31"/>
    <n v="55630"/>
    <x v="1"/>
    <s v="55"/>
    <s v="556"/>
    <x v="800"/>
    <s v="Sociology : Printing &amp; Duplicating - Inhouse"/>
    <n v="2.04"/>
  </r>
  <r>
    <x v="2"/>
    <s v="11-320-00-083500-51100"/>
    <x v="0"/>
    <n v="320"/>
    <n v="0"/>
    <x v="68"/>
    <n v="51100"/>
    <x v="1"/>
    <s v="51"/>
    <s v="511"/>
    <x v="801"/>
    <s v="Physical Education : Academic Teaching Full-time"/>
    <n v="222093.72"/>
  </r>
  <r>
    <x v="2"/>
    <s v="11-320-00-083500-51310"/>
    <x v="0"/>
    <n v="320"/>
    <n v="0"/>
    <x v="68"/>
    <n v="51310"/>
    <x v="1"/>
    <s v="51"/>
    <s v="513"/>
    <x v="802"/>
    <s v="Physical Education : Academic Teaching NIC"/>
    <n v="41662.660000000003"/>
  </r>
  <r>
    <x v="2"/>
    <s v="11-320-00-083500-51311"/>
    <x v="0"/>
    <n v="320"/>
    <n v="0"/>
    <x v="68"/>
    <n v="51311"/>
    <x v="1"/>
    <s v="51"/>
    <s v="513"/>
    <x v="803"/>
    <s v="Physical Education : Academic Teaching PT"/>
    <n v="40113.5"/>
  </r>
  <r>
    <x v="2"/>
    <s v="11-320-00-083500-51412"/>
    <x v="0"/>
    <n v="320"/>
    <n v="0"/>
    <x v="68"/>
    <n v="51412"/>
    <x v="1"/>
    <s v="51"/>
    <s v="514"/>
    <x v="804"/>
    <s v="Physical Education : Acad Nonteach Special Projects"/>
    <n v="0"/>
  </r>
  <r>
    <x v="2"/>
    <s v="11-320-00-083500-52360"/>
    <x v="0"/>
    <n v="320"/>
    <n v="0"/>
    <x v="68"/>
    <n v="52360"/>
    <x v="1"/>
    <s v="52"/>
    <s v="523"/>
    <x v="805"/>
    <s v="Physical Education : Class Nonstu NonIA PT Prof Exp"/>
    <n v="0"/>
  </r>
  <r>
    <x v="2"/>
    <s v="11-320-00-083500-52400"/>
    <x v="0"/>
    <n v="320"/>
    <n v="0"/>
    <x v="68"/>
    <n v="52400"/>
    <x v="1"/>
    <s v="52"/>
    <s v="524"/>
    <x v="806"/>
    <s v="Physical Education : Classified Nonstudent Instructional Aides PT"/>
    <n v="0"/>
  </r>
  <r>
    <x v="2"/>
    <s v="11-320-00-083500-53110"/>
    <x v="0"/>
    <n v="320"/>
    <n v="0"/>
    <x v="68"/>
    <n v="53110"/>
    <x v="1"/>
    <s v="53"/>
    <s v="531"/>
    <x v="807"/>
    <s v="Physical Education : STRS Teaching"/>
    <n v="49075.05"/>
  </r>
  <r>
    <x v="2"/>
    <s v="11-320-00-083500-53120"/>
    <x v="0"/>
    <n v="320"/>
    <n v="0"/>
    <x v="68"/>
    <n v="53120"/>
    <x v="1"/>
    <s v="53"/>
    <s v="531"/>
    <x v="808"/>
    <s v="Physical Education : STRS Nonteaching"/>
    <n v="0"/>
  </r>
  <r>
    <x v="2"/>
    <s v="11-320-00-083500-53310"/>
    <x v="0"/>
    <n v="320"/>
    <n v="0"/>
    <x v="68"/>
    <n v="53310"/>
    <x v="1"/>
    <s v="53"/>
    <s v="533"/>
    <x v="809"/>
    <s v="Physical Education : OASDHI (FICA) Teaching"/>
    <n v="0"/>
  </r>
  <r>
    <x v="2"/>
    <s v="11-320-00-083500-53320"/>
    <x v="0"/>
    <n v="320"/>
    <n v="0"/>
    <x v="68"/>
    <n v="53320"/>
    <x v="1"/>
    <s v="53"/>
    <s v="533"/>
    <x v="810"/>
    <s v="Physical Education : OASDHI (FICA) Nonteaching"/>
    <n v="0"/>
  </r>
  <r>
    <x v="2"/>
    <s v="11-320-00-083500-53330"/>
    <x v="0"/>
    <n v="320"/>
    <n v="0"/>
    <x v="68"/>
    <n v="53330"/>
    <x v="1"/>
    <s v="53"/>
    <s v="533"/>
    <x v="811"/>
    <s v="Physical Education : Medicare Teaching"/>
    <n v="4386.88"/>
  </r>
  <r>
    <x v="2"/>
    <s v="11-320-00-083500-53340"/>
    <x v="0"/>
    <n v="320"/>
    <n v="0"/>
    <x v="68"/>
    <n v="53340"/>
    <x v="1"/>
    <s v="53"/>
    <s v="533"/>
    <x v="812"/>
    <s v="Physical Education : Medicare Nonteaching"/>
    <n v="0"/>
  </r>
  <r>
    <x v="2"/>
    <s v="11-320-00-083500-53410"/>
    <x v="0"/>
    <n v="320"/>
    <n v="0"/>
    <x v="68"/>
    <n v="53410"/>
    <x v="1"/>
    <s v="53"/>
    <s v="534"/>
    <x v="813"/>
    <s v="Physical Education : H &amp; W Teaching"/>
    <n v="57148.88"/>
  </r>
  <r>
    <x v="2"/>
    <s v="11-320-00-083500-53510"/>
    <x v="0"/>
    <n v="320"/>
    <n v="0"/>
    <x v="68"/>
    <n v="53510"/>
    <x v="1"/>
    <s v="53"/>
    <s v="535"/>
    <x v="814"/>
    <s v="Physical Education : SUI Teaching"/>
    <n v="151.91"/>
  </r>
  <r>
    <x v="2"/>
    <s v="11-320-00-083500-53520"/>
    <x v="0"/>
    <n v="320"/>
    <n v="0"/>
    <x v="68"/>
    <n v="53520"/>
    <x v="1"/>
    <s v="53"/>
    <s v="535"/>
    <x v="815"/>
    <s v="Physical Education : SUI Nonteaching"/>
    <n v="0"/>
  </r>
  <r>
    <x v="2"/>
    <s v="11-320-00-083500-53610"/>
    <x v="0"/>
    <n v="320"/>
    <n v="0"/>
    <x v="68"/>
    <n v="53610"/>
    <x v="1"/>
    <s v="53"/>
    <s v="536"/>
    <x v="816"/>
    <s v="Physical Education : WC Teaching"/>
    <n v="5745.44"/>
  </r>
  <r>
    <x v="2"/>
    <s v="11-320-00-083500-53620"/>
    <x v="0"/>
    <n v="320"/>
    <n v="0"/>
    <x v="68"/>
    <n v="53620"/>
    <x v="1"/>
    <s v="53"/>
    <s v="536"/>
    <x v="817"/>
    <s v="Physical Education : WC Nonteaching"/>
    <n v="0"/>
  </r>
  <r>
    <x v="2"/>
    <s v="11-320-00-083500-54300"/>
    <x v="0"/>
    <n v="320"/>
    <n v="0"/>
    <x v="68"/>
    <n v="54300"/>
    <x v="1"/>
    <s v="54"/>
    <s v="543"/>
    <x v="818"/>
    <s v="Physical Education : Supplies &amp; Materials"/>
    <n v="0"/>
  </r>
  <r>
    <x v="2"/>
    <s v="11-320-00-083500-55309"/>
    <x v="0"/>
    <n v="320"/>
    <n v="0"/>
    <x v="68"/>
    <n v="55309"/>
    <x v="1"/>
    <s v="55"/>
    <s v="553"/>
    <x v="819"/>
    <s v="Physical Education : Subscriptions"/>
    <n v="528.23"/>
  </r>
  <r>
    <x v="2"/>
    <s v="11-320-00-083500-55630"/>
    <x v="0"/>
    <n v="320"/>
    <n v="0"/>
    <x v="68"/>
    <n v="55630"/>
    <x v="1"/>
    <s v="55"/>
    <s v="556"/>
    <x v="820"/>
    <s v="Physical Education : Printing &amp; Duplicating - Inhouse"/>
    <n v="248.03"/>
  </r>
  <r>
    <x v="2"/>
    <s v="11-320-00-083500-55651"/>
    <x v="0"/>
    <n v="320"/>
    <n v="0"/>
    <x v="68"/>
    <n v="55651"/>
    <x v="1"/>
    <s v="55"/>
    <s v="556"/>
    <x v="821"/>
    <s v="Physical Education : Equipment Repairs"/>
    <n v="2500"/>
  </r>
  <r>
    <x v="2"/>
    <s v="11-320-00-083510-51100"/>
    <x v="0"/>
    <n v="320"/>
    <n v="0"/>
    <x v="69"/>
    <n v="51100"/>
    <x v="1"/>
    <s v="51"/>
    <s v="511"/>
    <x v="822"/>
    <s v="Adaptive Physical Education : Academic Teaching Full-time"/>
    <n v="70983.899999999994"/>
  </r>
  <r>
    <x v="2"/>
    <s v="11-320-00-083510-51310"/>
    <x v="0"/>
    <n v="320"/>
    <n v="0"/>
    <x v="69"/>
    <n v="51310"/>
    <x v="1"/>
    <s v="51"/>
    <s v="513"/>
    <x v="823"/>
    <s v="Adaptive Physical Education : Academic Teaching NIC"/>
    <n v="5133.32"/>
  </r>
  <r>
    <x v="2"/>
    <s v="11-320-00-083510-51311"/>
    <x v="0"/>
    <n v="320"/>
    <n v="0"/>
    <x v="69"/>
    <n v="51311"/>
    <x v="1"/>
    <s v="51"/>
    <s v="513"/>
    <x v="824"/>
    <s v="Adaptive Physical Education : Academic Teaching PT"/>
    <n v="0"/>
  </r>
  <r>
    <x v="2"/>
    <s v="11-320-00-083510-51412"/>
    <x v="0"/>
    <n v="320"/>
    <n v="0"/>
    <x v="69"/>
    <n v="51412"/>
    <x v="1"/>
    <s v="51"/>
    <s v="514"/>
    <x v="825"/>
    <s v="Adaptive Physical Education : Acad Nonteach Special Projects"/>
    <n v="0"/>
  </r>
  <r>
    <x v="2"/>
    <s v="11-320-00-083510-53110"/>
    <x v="0"/>
    <n v="320"/>
    <n v="0"/>
    <x v="69"/>
    <n v="53110"/>
    <x v="1"/>
    <s v="53"/>
    <s v="531"/>
    <x v="826"/>
    <s v="Adaptive Physical Education : STRS Teaching"/>
    <n v="12292.95"/>
  </r>
  <r>
    <x v="2"/>
    <s v="11-320-00-083510-53120"/>
    <x v="0"/>
    <n v="320"/>
    <n v="0"/>
    <x v="69"/>
    <n v="53120"/>
    <x v="1"/>
    <s v="53"/>
    <s v="531"/>
    <x v="827"/>
    <s v="Adaptive Physical Education : STRS Nonteaching"/>
    <n v="0"/>
  </r>
  <r>
    <x v="2"/>
    <s v="11-320-00-083510-53330"/>
    <x v="0"/>
    <n v="320"/>
    <n v="0"/>
    <x v="69"/>
    <n v="53330"/>
    <x v="1"/>
    <s v="53"/>
    <s v="533"/>
    <x v="828"/>
    <s v="Adaptive Physical Education : Medicare Teaching"/>
    <n v="1092.1300000000001"/>
  </r>
  <r>
    <x v="2"/>
    <s v="11-320-00-083510-53340"/>
    <x v="0"/>
    <n v="320"/>
    <n v="0"/>
    <x v="69"/>
    <n v="53340"/>
    <x v="1"/>
    <s v="53"/>
    <s v="533"/>
    <x v="829"/>
    <s v="Adaptive Physical Education : Medicare Nonteaching"/>
    <n v="0"/>
  </r>
  <r>
    <x v="2"/>
    <s v="11-320-00-083510-53410"/>
    <x v="0"/>
    <n v="320"/>
    <n v="0"/>
    <x v="69"/>
    <n v="53410"/>
    <x v="1"/>
    <s v="53"/>
    <s v="534"/>
    <x v="830"/>
    <s v="Adaptive Physical Education : H &amp; W Teaching"/>
    <n v="26666.240000000002"/>
  </r>
  <r>
    <x v="2"/>
    <s v="11-320-00-083510-53510"/>
    <x v="0"/>
    <n v="320"/>
    <n v="0"/>
    <x v="69"/>
    <n v="53510"/>
    <x v="1"/>
    <s v="53"/>
    <s v="535"/>
    <x v="831"/>
    <s v="Adaptive Physical Education : SUI Teaching"/>
    <n v="38.06"/>
  </r>
  <r>
    <x v="2"/>
    <s v="11-320-00-083510-53520"/>
    <x v="0"/>
    <n v="320"/>
    <n v="0"/>
    <x v="69"/>
    <n v="53520"/>
    <x v="1"/>
    <s v="53"/>
    <s v="535"/>
    <x v="832"/>
    <s v="Adaptive Physical Education : SUI Nonteaching"/>
    <n v="0"/>
  </r>
  <r>
    <x v="2"/>
    <s v="11-320-00-083510-53610"/>
    <x v="0"/>
    <n v="320"/>
    <n v="0"/>
    <x v="69"/>
    <n v="53610"/>
    <x v="1"/>
    <s v="53"/>
    <s v="536"/>
    <x v="833"/>
    <s v="Adaptive Physical Education : WC Teaching"/>
    <n v="1439.21"/>
  </r>
  <r>
    <x v="2"/>
    <s v="11-320-00-083510-53620"/>
    <x v="0"/>
    <n v="320"/>
    <n v="0"/>
    <x v="69"/>
    <n v="53620"/>
    <x v="1"/>
    <s v="53"/>
    <s v="536"/>
    <x v="834"/>
    <s v="Adaptive Physical Education : WC Nonteaching"/>
    <n v="0"/>
  </r>
  <r>
    <x v="2"/>
    <s v="11-320-00-083510-55630"/>
    <x v="0"/>
    <n v="320"/>
    <n v="0"/>
    <x v="69"/>
    <n v="55630"/>
    <x v="1"/>
    <s v="55"/>
    <s v="556"/>
    <x v="835"/>
    <s v="Adaptive Physical Education : Printing &amp; Duplicating - Inhouse"/>
    <n v="0"/>
  </r>
  <r>
    <x v="2"/>
    <s v="11-320-00-083550-51100"/>
    <x v="0"/>
    <n v="320"/>
    <n v="0"/>
    <x v="70"/>
    <n v="51100"/>
    <x v="1"/>
    <s v="51"/>
    <s v="511"/>
    <x v="836"/>
    <s v="Athletics - Instruction : Academic Teaching Full-time"/>
    <n v="441391.5"/>
  </r>
  <r>
    <x v="2"/>
    <s v="11-320-00-083550-51310"/>
    <x v="0"/>
    <n v="320"/>
    <n v="0"/>
    <x v="70"/>
    <n v="51310"/>
    <x v="1"/>
    <s v="51"/>
    <s v="513"/>
    <x v="837"/>
    <s v="Athletics - Instruction : Academic Teaching NIC"/>
    <n v="60715.06"/>
  </r>
  <r>
    <x v="2"/>
    <s v="11-320-00-083550-51311"/>
    <x v="0"/>
    <n v="320"/>
    <n v="0"/>
    <x v="70"/>
    <n v="51311"/>
    <x v="1"/>
    <s v="51"/>
    <s v="513"/>
    <x v="838"/>
    <s v="Athletics - Instruction : Academic Teaching PT"/>
    <n v="51253.7"/>
  </r>
  <r>
    <x v="2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2000"/>
  </r>
  <r>
    <x v="2"/>
    <s v="11-320-00-083550-53110"/>
    <x v="0"/>
    <n v="320"/>
    <n v="0"/>
    <x v="70"/>
    <n v="53110"/>
    <x v="1"/>
    <s v="53"/>
    <s v="531"/>
    <x v="840"/>
    <s v="Athletics - Instruction : STRS Teaching"/>
    <n v="87625.04"/>
  </r>
  <r>
    <x v="2"/>
    <s v="11-320-00-083550-53310"/>
    <x v="0"/>
    <n v="320"/>
    <n v="0"/>
    <x v="70"/>
    <n v="53310"/>
    <x v="1"/>
    <s v="53"/>
    <s v="533"/>
    <x v="841"/>
    <s v="Athletics - Instruction : OASDHI (FICA) Teaching"/>
    <n v="792.99"/>
  </r>
  <r>
    <x v="2"/>
    <s v="11-320-00-083550-53330"/>
    <x v="0"/>
    <n v="320"/>
    <n v="0"/>
    <x v="70"/>
    <n v="53330"/>
    <x v="1"/>
    <s v="53"/>
    <s v="533"/>
    <x v="842"/>
    <s v="Athletics - Instruction : Medicare Teaching"/>
    <n v="8009.01"/>
  </r>
  <r>
    <x v="2"/>
    <s v="11-320-00-083550-53410"/>
    <x v="0"/>
    <n v="320"/>
    <n v="0"/>
    <x v="70"/>
    <n v="53410"/>
    <x v="1"/>
    <s v="53"/>
    <s v="534"/>
    <x v="843"/>
    <s v="Athletics - Instruction : H &amp; W Teaching"/>
    <n v="114979.31"/>
  </r>
  <r>
    <x v="2"/>
    <s v="11-320-00-083550-53510"/>
    <x v="0"/>
    <n v="320"/>
    <n v="0"/>
    <x v="70"/>
    <n v="53510"/>
    <x v="1"/>
    <s v="53"/>
    <s v="535"/>
    <x v="844"/>
    <s v="Athletics - Instruction : SUI Teaching"/>
    <n v="277.67"/>
  </r>
  <r>
    <x v="2"/>
    <s v="11-320-00-083550-53610"/>
    <x v="0"/>
    <n v="320"/>
    <n v="0"/>
    <x v="70"/>
    <n v="53610"/>
    <x v="1"/>
    <s v="53"/>
    <s v="536"/>
    <x v="845"/>
    <s v="Athletics - Instruction : WC Teaching"/>
    <n v="10500.88"/>
  </r>
  <r>
    <x v="2"/>
    <s v="11-320-00-083550-55630"/>
    <x v="0"/>
    <n v="320"/>
    <n v="0"/>
    <x v="70"/>
    <n v="55630"/>
    <x v="1"/>
    <s v="55"/>
    <s v="556"/>
    <x v="846"/>
    <s v="Athletics - Instruction : Printing &amp; Duplicating - Inhouse"/>
    <n v="64.44"/>
  </r>
  <r>
    <x v="2"/>
    <s v="11-320-00-083700-51310"/>
    <x v="0"/>
    <n v="320"/>
    <n v="0"/>
    <x v="71"/>
    <n v="51310"/>
    <x v="1"/>
    <s v="51"/>
    <s v="513"/>
    <x v="847"/>
    <s v="Health Education : Academic Teaching NIC"/>
    <n v="0"/>
  </r>
  <r>
    <x v="2"/>
    <s v="11-320-00-083700-51311"/>
    <x v="0"/>
    <n v="320"/>
    <n v="0"/>
    <x v="71"/>
    <n v="51311"/>
    <x v="1"/>
    <s v="51"/>
    <s v="513"/>
    <x v="848"/>
    <s v="Health Education : Academic Teaching PT"/>
    <n v="10660.7"/>
  </r>
  <r>
    <x v="2"/>
    <s v="11-320-00-083700-53110"/>
    <x v="0"/>
    <n v="320"/>
    <n v="0"/>
    <x v="71"/>
    <n v="53110"/>
    <x v="1"/>
    <s v="53"/>
    <s v="531"/>
    <x v="849"/>
    <s v="Health Education : STRS Teaching"/>
    <n v="1721.69"/>
  </r>
  <r>
    <x v="2"/>
    <s v="11-320-00-083700-53330"/>
    <x v="0"/>
    <n v="320"/>
    <n v="0"/>
    <x v="71"/>
    <n v="53330"/>
    <x v="1"/>
    <s v="53"/>
    <s v="533"/>
    <x v="850"/>
    <s v="Health Education : Medicare Teaching"/>
    <n v="154.56"/>
  </r>
  <r>
    <x v="2"/>
    <s v="11-320-00-083700-53510"/>
    <x v="0"/>
    <n v="320"/>
    <n v="0"/>
    <x v="71"/>
    <n v="53510"/>
    <x v="1"/>
    <s v="53"/>
    <s v="535"/>
    <x v="851"/>
    <s v="Health Education : SUI Teaching"/>
    <n v="5.33"/>
  </r>
  <r>
    <x v="2"/>
    <s v="11-320-00-083700-53610"/>
    <x v="0"/>
    <n v="320"/>
    <n v="0"/>
    <x v="71"/>
    <n v="53610"/>
    <x v="1"/>
    <s v="53"/>
    <s v="536"/>
    <x v="852"/>
    <s v="Health Education : WC Teaching"/>
    <n v="201.58"/>
  </r>
  <r>
    <x v="2"/>
    <s v="11-320-00-083700-55630"/>
    <x v="0"/>
    <n v="320"/>
    <n v="0"/>
    <x v="71"/>
    <n v="55630"/>
    <x v="1"/>
    <s v="55"/>
    <s v="556"/>
    <x v="853"/>
    <s v="Health Education : Printing &amp; Duplicating - Inhouse"/>
    <n v="0.52"/>
  </r>
  <r>
    <x v="2"/>
    <s v="11-320-00-130600-51311"/>
    <x v="0"/>
    <n v="320"/>
    <n v="0"/>
    <x v="72"/>
    <n v="51311"/>
    <x v="1"/>
    <s v="51"/>
    <s v="513"/>
    <x v="854"/>
    <s v="Food Service Management : Academic Teaching PT"/>
    <n v="29901.66"/>
  </r>
  <r>
    <x v="2"/>
    <s v="11-320-00-130600-53110"/>
    <x v="0"/>
    <n v="320"/>
    <n v="0"/>
    <x v="72"/>
    <n v="53110"/>
    <x v="1"/>
    <s v="53"/>
    <s v="531"/>
    <x v="855"/>
    <s v="Food Service Management : STRS Teaching"/>
    <n v="4829.17"/>
  </r>
  <r>
    <x v="2"/>
    <s v="11-320-00-130600-53330"/>
    <x v="0"/>
    <n v="320"/>
    <n v="0"/>
    <x v="72"/>
    <n v="53330"/>
    <x v="1"/>
    <s v="53"/>
    <s v="533"/>
    <x v="856"/>
    <s v="Food Service Management : Medicare Teaching"/>
    <n v="433.6"/>
  </r>
  <r>
    <x v="2"/>
    <s v="11-320-00-130600-53510"/>
    <x v="0"/>
    <n v="320"/>
    <n v="0"/>
    <x v="72"/>
    <n v="53510"/>
    <x v="1"/>
    <s v="53"/>
    <s v="535"/>
    <x v="857"/>
    <s v="Food Service Management : SUI Teaching"/>
    <n v="14.88"/>
  </r>
  <r>
    <x v="2"/>
    <s v="11-320-00-130600-53610"/>
    <x v="0"/>
    <n v="320"/>
    <n v="0"/>
    <x v="72"/>
    <n v="53610"/>
    <x v="1"/>
    <s v="53"/>
    <s v="536"/>
    <x v="858"/>
    <s v="Food Service Management : WC Teaching"/>
    <n v="565.42999999999995"/>
  </r>
  <r>
    <x v="2"/>
    <s v="11-320-00-130600-55630"/>
    <x v="0"/>
    <n v="320"/>
    <n v="0"/>
    <x v="72"/>
    <n v="55630"/>
    <x v="1"/>
    <s v="55"/>
    <s v="556"/>
    <x v="859"/>
    <s v="Food Service Management : Printing &amp; Duplicating - Inhouse"/>
    <n v="0"/>
  </r>
  <r>
    <x v="2"/>
    <s v="11-320-00-601000-51210"/>
    <x v="0"/>
    <n v="320"/>
    <n v="0"/>
    <x v="34"/>
    <n v="51210"/>
    <x v="1"/>
    <s v="51"/>
    <s v="512"/>
    <x v="860"/>
    <s v="Academic Administration : Academic Nonteaching Management"/>
    <n v="30709.8"/>
  </r>
  <r>
    <x v="2"/>
    <s v="11-320-00-601000-52105"/>
    <x v="0"/>
    <n v="320"/>
    <n v="0"/>
    <x v="34"/>
    <n v="52105"/>
    <x v="1"/>
    <s v="52"/>
    <s v="521"/>
    <x v="861"/>
    <s v="Academic Administration : Classified CSEA"/>
    <n v="72898.86"/>
  </r>
  <r>
    <x v="2"/>
    <s v="11-320-00-601000-52300"/>
    <x v="0"/>
    <n v="320"/>
    <n v="0"/>
    <x v="34"/>
    <n v="52300"/>
    <x v="1"/>
    <s v="52"/>
    <s v="523"/>
    <x v="862"/>
    <s v="Academic Administration : Classified Overtime"/>
    <n v="377.76"/>
  </r>
  <r>
    <x v="2"/>
    <s v="11-320-00-601000-53120"/>
    <x v="0"/>
    <n v="320"/>
    <n v="0"/>
    <x v="34"/>
    <n v="53120"/>
    <x v="1"/>
    <s v="53"/>
    <s v="531"/>
    <x v="863"/>
    <s v="Academic Administration : STRS Nonteaching"/>
    <n v="4959.6000000000004"/>
  </r>
  <r>
    <x v="2"/>
    <s v="11-320-00-601000-53220"/>
    <x v="0"/>
    <n v="320"/>
    <n v="0"/>
    <x v="34"/>
    <n v="53220"/>
    <x v="1"/>
    <s v="53"/>
    <s v="532"/>
    <x v="864"/>
    <s v="Academic Administration : PERS Nonteaching"/>
    <n v="15093.42"/>
  </r>
  <r>
    <x v="2"/>
    <s v="11-320-00-601000-53320"/>
    <x v="0"/>
    <n v="320"/>
    <n v="0"/>
    <x v="34"/>
    <n v="53320"/>
    <x v="1"/>
    <s v="53"/>
    <s v="533"/>
    <x v="865"/>
    <s v="Academic Administration : OASDHI (FICA) Nonteaching"/>
    <n v="4518.87"/>
  </r>
  <r>
    <x v="2"/>
    <s v="11-320-00-601000-53340"/>
    <x v="0"/>
    <n v="320"/>
    <n v="0"/>
    <x v="34"/>
    <n v="53340"/>
    <x v="1"/>
    <s v="53"/>
    <s v="533"/>
    <x v="866"/>
    <s v="Academic Administration : Medicare Nonteaching"/>
    <n v="1501.31"/>
  </r>
  <r>
    <x v="2"/>
    <s v="11-320-00-601000-53420"/>
    <x v="0"/>
    <n v="320"/>
    <n v="0"/>
    <x v="34"/>
    <n v="53420"/>
    <x v="1"/>
    <s v="53"/>
    <s v="534"/>
    <x v="867"/>
    <s v="Academic Administration : H &amp; W Nonteaching"/>
    <n v="33083.800000000003"/>
  </r>
  <r>
    <x v="2"/>
    <s v="11-320-00-601000-53520"/>
    <x v="0"/>
    <n v="320"/>
    <n v="0"/>
    <x v="34"/>
    <n v="53520"/>
    <x v="1"/>
    <s v="53"/>
    <s v="535"/>
    <x v="868"/>
    <s v="Academic Administration : SUI Nonteaching"/>
    <n v="52.02"/>
  </r>
  <r>
    <x v="2"/>
    <s v="11-320-00-601000-53620"/>
    <x v="0"/>
    <n v="320"/>
    <n v="0"/>
    <x v="34"/>
    <n v="53620"/>
    <x v="1"/>
    <s v="53"/>
    <s v="536"/>
    <x v="869"/>
    <s v="Academic Administration : WC Nonteaching"/>
    <n v="1969.67"/>
  </r>
  <r>
    <x v="2"/>
    <s v="11-320-00-601000-53920"/>
    <x v="0"/>
    <n v="320"/>
    <n v="0"/>
    <x v="34"/>
    <n v="53920"/>
    <x v="1"/>
    <s v="53"/>
    <s v="539"/>
    <x v="870"/>
    <s v="Academic Administration : Other Benefit-Non Teaching"/>
    <n v="1500"/>
  </r>
  <r>
    <x v="2"/>
    <s v="11-320-00-601000-55630"/>
    <x v="0"/>
    <n v="320"/>
    <n v="0"/>
    <x v="34"/>
    <n v="55630"/>
    <x v="1"/>
    <s v="55"/>
    <s v="556"/>
    <x v="871"/>
    <s v="Academic Administration : Printing &amp; Duplicating - Inhouse"/>
    <n v="664.83"/>
  </r>
  <r>
    <x v="2"/>
    <s v="11-320-00-696500-51210"/>
    <x v="0"/>
    <n v="320"/>
    <n v="0"/>
    <x v="73"/>
    <n v="51210"/>
    <x v="1"/>
    <s v="51"/>
    <s v="512"/>
    <x v="872"/>
    <s v="Athletic Activities : Academic Nonteaching Management"/>
    <n v="92129.4"/>
  </r>
  <r>
    <x v="2"/>
    <s v="11-320-00-696500-51412"/>
    <x v="0"/>
    <n v="320"/>
    <n v="0"/>
    <x v="73"/>
    <n v="51412"/>
    <x v="1"/>
    <s v="51"/>
    <s v="514"/>
    <x v="873"/>
    <s v="Athletic Activities : Acad Nonteach Special Projects"/>
    <n v="68315.039999999994"/>
  </r>
  <r>
    <x v="2"/>
    <s v="11-320-00-696500-52105"/>
    <x v="0"/>
    <n v="320"/>
    <n v="0"/>
    <x v="73"/>
    <n v="52105"/>
    <x v="1"/>
    <s v="52"/>
    <s v="521"/>
    <x v="874"/>
    <s v="Athletic Activities : Classified CSEA"/>
    <n v="127443.46"/>
  </r>
  <r>
    <x v="2"/>
    <s v="11-320-00-696500-52300"/>
    <x v="0"/>
    <n v="320"/>
    <n v="0"/>
    <x v="73"/>
    <n v="52300"/>
    <x v="1"/>
    <s v="52"/>
    <s v="523"/>
    <x v="875"/>
    <s v="Athletic Activities : Classified Overtime"/>
    <n v="152.16"/>
  </r>
  <r>
    <x v="2"/>
    <s v="11-320-00-696500-52360"/>
    <x v="0"/>
    <n v="320"/>
    <n v="0"/>
    <x v="73"/>
    <n v="52360"/>
    <x v="1"/>
    <s v="52"/>
    <s v="523"/>
    <x v="876"/>
    <s v="Athletic Activities : Class Nonstu NonIA PT Prof Exp"/>
    <n v="15666.8"/>
  </r>
  <r>
    <x v="2"/>
    <s v="11-320-00-696500-53120"/>
    <x v="0"/>
    <n v="320"/>
    <n v="0"/>
    <x v="73"/>
    <n v="53120"/>
    <x v="1"/>
    <s v="53"/>
    <s v="531"/>
    <x v="877"/>
    <s v="Athletic Activities : STRS Nonteaching"/>
    <n v="21247.71"/>
  </r>
  <r>
    <x v="2"/>
    <s v="11-320-00-696500-53220"/>
    <x v="0"/>
    <n v="320"/>
    <n v="0"/>
    <x v="73"/>
    <n v="53220"/>
    <x v="1"/>
    <s v="53"/>
    <s v="532"/>
    <x v="878"/>
    <s v="Athletic Activities : PERS Nonteaching"/>
    <n v="26382.49"/>
  </r>
  <r>
    <x v="2"/>
    <s v="11-320-00-696500-53320"/>
    <x v="0"/>
    <n v="320"/>
    <n v="0"/>
    <x v="73"/>
    <n v="53320"/>
    <x v="1"/>
    <s v="53"/>
    <s v="533"/>
    <x v="879"/>
    <s v="Athletic Activities : OASDHI (FICA) Nonteaching"/>
    <n v="10295.120000000001"/>
  </r>
  <r>
    <x v="2"/>
    <s v="11-320-00-696500-53340"/>
    <x v="0"/>
    <n v="320"/>
    <n v="0"/>
    <x v="73"/>
    <n v="53340"/>
    <x v="1"/>
    <s v="53"/>
    <s v="533"/>
    <x v="880"/>
    <s v="Athletic Activities : Medicare Nonteaching"/>
    <n v="4394.83"/>
  </r>
  <r>
    <x v="2"/>
    <s v="11-320-00-696500-53420"/>
    <x v="0"/>
    <n v="320"/>
    <n v="0"/>
    <x v="73"/>
    <n v="53420"/>
    <x v="1"/>
    <s v="53"/>
    <s v="534"/>
    <x v="881"/>
    <s v="Athletic Activities : H &amp; W Nonteaching"/>
    <n v="49935"/>
  </r>
  <r>
    <x v="2"/>
    <s v="11-320-00-696500-53520"/>
    <x v="0"/>
    <n v="320"/>
    <n v="0"/>
    <x v="73"/>
    <n v="53520"/>
    <x v="1"/>
    <s v="53"/>
    <s v="535"/>
    <x v="882"/>
    <s v="Athletic Activities : SUI Nonteaching"/>
    <n v="151.87"/>
  </r>
  <r>
    <x v="2"/>
    <s v="11-320-00-696500-53620"/>
    <x v="0"/>
    <n v="320"/>
    <n v="0"/>
    <x v="73"/>
    <n v="53620"/>
    <x v="1"/>
    <s v="53"/>
    <s v="536"/>
    <x v="883"/>
    <s v="Athletic Activities : WC Nonteaching"/>
    <n v="5748.32"/>
  </r>
  <r>
    <x v="2"/>
    <s v="11-320-00-696500-53920"/>
    <x v="0"/>
    <n v="320"/>
    <n v="0"/>
    <x v="73"/>
    <n v="53920"/>
    <x v="1"/>
    <s v="53"/>
    <s v="539"/>
    <x v="884"/>
    <s v="Athletic Activities : Other Benefit-Non Teaching"/>
    <n v="900"/>
  </r>
  <r>
    <x v="2"/>
    <s v="11-320-00-696500-54300"/>
    <x v="0"/>
    <n v="320"/>
    <n v="0"/>
    <x v="73"/>
    <n v="54300"/>
    <x v="1"/>
    <s v="54"/>
    <s v="543"/>
    <x v="885"/>
    <s v="Athletic Activities : Supplies &amp; Materials"/>
    <n v="59549.21"/>
  </r>
  <r>
    <x v="2"/>
    <s v="11-320-00-696500-55100"/>
    <x v="0"/>
    <n v="320"/>
    <n v="0"/>
    <x v="73"/>
    <n v="55100"/>
    <x v="1"/>
    <s v="55"/>
    <s v="551"/>
    <x v="886"/>
    <s v="Athletic Activities : Personal Service Contract - 1099"/>
    <n v="0"/>
  </r>
  <r>
    <x v="2"/>
    <s v="11-320-00-696500-55105"/>
    <x v="0"/>
    <n v="320"/>
    <n v="0"/>
    <x v="73"/>
    <n v="55105"/>
    <x v="1"/>
    <s v="55"/>
    <s v="551"/>
    <x v="887"/>
    <s v="Athletic Activities : Contract Services"/>
    <n v="10050"/>
  </r>
  <r>
    <x v="2"/>
    <s v="11-320-00-696500-55110"/>
    <x v="0"/>
    <n v="320"/>
    <n v="0"/>
    <x v="73"/>
    <n v="55110"/>
    <x v="1"/>
    <s v="55"/>
    <s v="551"/>
    <x v="888"/>
    <s v="Athletic Activities : Athletic Officials"/>
    <n v="167.11"/>
  </r>
  <r>
    <x v="2"/>
    <s v="11-320-00-696500-55125"/>
    <x v="0"/>
    <n v="320"/>
    <n v="0"/>
    <x v="73"/>
    <n v="55125"/>
    <x v="1"/>
    <s v="55"/>
    <s v="551"/>
    <x v="889"/>
    <s v="Athletic Activities : Training &amp; Seminars"/>
    <n v="290"/>
  </r>
  <r>
    <x v="2"/>
    <s v="11-320-00-696500-55200"/>
    <x v="0"/>
    <n v="320"/>
    <n v="0"/>
    <x v="73"/>
    <n v="55200"/>
    <x v="1"/>
    <s v="55"/>
    <s v="552"/>
    <x v="890"/>
    <s v="Athletic Activities : Travel &amp; Conference"/>
    <n v="0"/>
  </r>
  <r>
    <x v="2"/>
    <s v="11-320-00-696500-55240"/>
    <x v="0"/>
    <n v="320"/>
    <n v="0"/>
    <x v="73"/>
    <n v="55240"/>
    <x v="1"/>
    <s v="55"/>
    <s v="552"/>
    <x v="891"/>
    <s v="Athletic Activities : Field Trips"/>
    <n v="86500"/>
  </r>
  <r>
    <x v="2"/>
    <s v="11-320-00-696500-55264"/>
    <x v="0"/>
    <n v="320"/>
    <n v="0"/>
    <x v="73"/>
    <n v="55264"/>
    <x v="1"/>
    <s v="55"/>
    <s v="552"/>
    <x v="892"/>
    <s v="Athletic Activities : Entry Fees"/>
    <n v="0"/>
  </r>
  <r>
    <x v="2"/>
    <s v="11-320-00-696500-55300"/>
    <x v="0"/>
    <n v="320"/>
    <n v="0"/>
    <x v="73"/>
    <n v="55300"/>
    <x v="1"/>
    <s v="55"/>
    <s v="553"/>
    <x v="893"/>
    <s v="Athletic Activities : Memberships"/>
    <n v="19170"/>
  </r>
  <r>
    <x v="2"/>
    <s v="11-320-00-696500-55309"/>
    <x v="0"/>
    <n v="320"/>
    <n v="0"/>
    <x v="73"/>
    <n v="55309"/>
    <x v="1"/>
    <s v="55"/>
    <s v="553"/>
    <x v="894"/>
    <s v="Athletic Activities : Subscriptions"/>
    <n v="800"/>
  </r>
  <r>
    <x v="2"/>
    <s v="11-320-00-696500-55400"/>
    <x v="0"/>
    <n v="320"/>
    <n v="0"/>
    <x v="73"/>
    <n v="55400"/>
    <x v="1"/>
    <s v="55"/>
    <s v="554"/>
    <x v="895"/>
    <s v="Athletic Activities : Insurance"/>
    <n v="0"/>
  </r>
  <r>
    <x v="2"/>
    <s v="11-320-00-696500-55600"/>
    <x v="0"/>
    <n v="320"/>
    <n v="0"/>
    <x v="73"/>
    <n v="55600"/>
    <x v="1"/>
    <s v="55"/>
    <s v="556"/>
    <x v="896"/>
    <s v="Athletic Activities : Rents &amp; Leases"/>
    <n v="0"/>
  </r>
  <r>
    <x v="2"/>
    <s v="11-320-00-696500-55630"/>
    <x v="0"/>
    <n v="320"/>
    <n v="0"/>
    <x v="73"/>
    <n v="55630"/>
    <x v="1"/>
    <s v="55"/>
    <s v="556"/>
    <x v="897"/>
    <s v="Athletic Activities : Printing &amp; Duplicating - Inhouse"/>
    <n v="163.79"/>
  </r>
  <r>
    <x v="2"/>
    <s v="11-320-00-696500-55651"/>
    <x v="0"/>
    <n v="320"/>
    <n v="0"/>
    <x v="73"/>
    <n v="55651"/>
    <x v="1"/>
    <s v="55"/>
    <s v="556"/>
    <x v="898"/>
    <s v="Athletic Activities : Equipment Repairs"/>
    <n v="4047.19"/>
  </r>
  <r>
    <x v="2"/>
    <s v="11-320-00-696500-56400"/>
    <x v="0"/>
    <n v="320"/>
    <n v="0"/>
    <x v="73"/>
    <n v="56400"/>
    <x v="1"/>
    <s v="56"/>
    <s v="564"/>
    <x v="899"/>
    <s v="Athletic Activities : Cap Equip - $200 to $4,999"/>
    <n v="8917.3799999999992"/>
  </r>
  <r>
    <x v="2"/>
    <s v="11-320-00-696500-57552"/>
    <x v="0"/>
    <n v="320"/>
    <n v="0"/>
    <x v="73"/>
    <n v="57552"/>
    <x v="1"/>
    <s v="57"/>
    <s v="575"/>
    <x v="900"/>
    <s v="Athletic Activities : Student Travel/Workshps/Meals"/>
    <n v="9126.5"/>
  </r>
  <r>
    <x v="2"/>
    <s v="11-330-00-040110-51100"/>
    <x v="0"/>
    <n v="330"/>
    <n v="0"/>
    <x v="11"/>
    <n v="51100"/>
    <x v="1"/>
    <s v="51"/>
    <s v="511"/>
    <x v="901"/>
    <s v="Biology : Academic Teaching Full-time"/>
    <n v="522272.6"/>
  </r>
  <r>
    <x v="2"/>
    <s v="11-330-00-040110-51310"/>
    <x v="0"/>
    <n v="330"/>
    <n v="0"/>
    <x v="11"/>
    <n v="51310"/>
    <x v="1"/>
    <s v="51"/>
    <s v="513"/>
    <x v="902"/>
    <s v="Biology : Academic Teaching NIC"/>
    <n v="43958.01"/>
  </r>
  <r>
    <x v="2"/>
    <s v="11-330-00-040110-51311"/>
    <x v="0"/>
    <n v="330"/>
    <n v="0"/>
    <x v="11"/>
    <n v="51311"/>
    <x v="1"/>
    <s v="51"/>
    <s v="513"/>
    <x v="903"/>
    <s v="Biology : Academic Teaching PT"/>
    <n v="193029.25"/>
  </r>
  <r>
    <x v="2"/>
    <s v="11-330-00-040110-52200"/>
    <x v="0"/>
    <n v="330"/>
    <n v="0"/>
    <x v="11"/>
    <n v="52200"/>
    <x v="1"/>
    <s v="52"/>
    <s v="522"/>
    <x v="904"/>
    <s v="Biology : Classified Permanent Instructional Aides"/>
    <n v="110550.64"/>
  </r>
  <r>
    <x v="2"/>
    <s v="11-330-00-040110-52300"/>
    <x v="0"/>
    <n v="330"/>
    <n v="0"/>
    <x v="11"/>
    <n v="52300"/>
    <x v="1"/>
    <s v="52"/>
    <s v="523"/>
    <x v="905"/>
    <s v="Biology : Classified Overtime"/>
    <n v="17.899999999999999"/>
  </r>
  <r>
    <x v="2"/>
    <s v="11-330-00-040110-53110"/>
    <x v="0"/>
    <n v="330"/>
    <n v="0"/>
    <x v="11"/>
    <n v="53110"/>
    <x v="1"/>
    <s v="53"/>
    <s v="531"/>
    <x v="906"/>
    <s v="Biology : STRS Teaching"/>
    <n v="107536.62"/>
  </r>
  <r>
    <x v="2"/>
    <s v="11-330-00-040110-53210"/>
    <x v="0"/>
    <n v="330"/>
    <n v="0"/>
    <x v="11"/>
    <n v="53210"/>
    <x v="1"/>
    <s v="53"/>
    <s v="532"/>
    <x v="907"/>
    <s v="Biology : PERS Teaching"/>
    <n v="22894.97"/>
  </r>
  <r>
    <x v="2"/>
    <s v="11-330-00-040110-53310"/>
    <x v="0"/>
    <n v="330"/>
    <n v="0"/>
    <x v="11"/>
    <n v="53310"/>
    <x v="1"/>
    <s v="53"/>
    <s v="533"/>
    <x v="908"/>
    <s v="Biology : OASDHI (FICA) Teaching"/>
    <n v="12823.06"/>
  </r>
  <r>
    <x v="2"/>
    <s v="11-330-00-040110-53320"/>
    <x v="0"/>
    <n v="330"/>
    <n v="0"/>
    <x v="11"/>
    <n v="53320"/>
    <x v="1"/>
    <s v="53"/>
    <s v="533"/>
    <x v="909"/>
    <s v="Biology : OASDHI (FICA) Nonteaching"/>
    <n v="1.1100000000000001"/>
  </r>
  <r>
    <x v="2"/>
    <s v="11-330-00-040110-53330"/>
    <x v="0"/>
    <n v="330"/>
    <n v="0"/>
    <x v="11"/>
    <n v="53330"/>
    <x v="1"/>
    <s v="53"/>
    <s v="533"/>
    <x v="910"/>
    <s v="Biology : Medicare Teaching"/>
    <n v="12582.14"/>
  </r>
  <r>
    <x v="2"/>
    <s v="11-330-00-040110-53340"/>
    <x v="0"/>
    <n v="330"/>
    <n v="0"/>
    <x v="11"/>
    <n v="53340"/>
    <x v="1"/>
    <s v="53"/>
    <s v="533"/>
    <x v="911"/>
    <s v="Biology : Medicare Nonteaching"/>
    <n v="0.26"/>
  </r>
  <r>
    <x v="2"/>
    <s v="11-330-00-040110-53410"/>
    <x v="0"/>
    <n v="330"/>
    <n v="0"/>
    <x v="11"/>
    <n v="53410"/>
    <x v="1"/>
    <s v="53"/>
    <s v="534"/>
    <x v="912"/>
    <s v="Biology : H &amp; W Teaching"/>
    <n v="145593.53"/>
  </r>
  <r>
    <x v="2"/>
    <s v="11-330-00-040110-53510"/>
    <x v="0"/>
    <n v="330"/>
    <n v="0"/>
    <x v="11"/>
    <n v="53510"/>
    <x v="1"/>
    <s v="53"/>
    <s v="535"/>
    <x v="913"/>
    <s v="Biology : SUI Teaching"/>
    <n v="434.84"/>
  </r>
  <r>
    <x v="2"/>
    <s v="11-330-00-040110-53610"/>
    <x v="0"/>
    <n v="330"/>
    <n v="0"/>
    <x v="11"/>
    <n v="53610"/>
    <x v="1"/>
    <s v="53"/>
    <s v="536"/>
    <x v="914"/>
    <s v="Biology : WC Teaching"/>
    <n v="16451.830000000002"/>
  </r>
  <r>
    <x v="2"/>
    <s v="11-330-00-040110-53620"/>
    <x v="0"/>
    <n v="330"/>
    <n v="0"/>
    <x v="11"/>
    <n v="53620"/>
    <x v="1"/>
    <s v="53"/>
    <s v="536"/>
    <x v="915"/>
    <s v="Biology : WC Nonteaching"/>
    <n v="0.35"/>
  </r>
  <r>
    <x v="2"/>
    <s v="11-330-00-040110-53910"/>
    <x v="0"/>
    <n v="330"/>
    <n v="0"/>
    <x v="11"/>
    <n v="53910"/>
    <x v="1"/>
    <s v="53"/>
    <s v="539"/>
    <x v="916"/>
    <s v="Biology : Other Benefit-Teaching"/>
    <n v="5740.88"/>
  </r>
  <r>
    <x v="2"/>
    <s v="11-330-00-040110-54300"/>
    <x v="0"/>
    <n v="330"/>
    <n v="0"/>
    <x v="11"/>
    <n v="54300"/>
    <x v="1"/>
    <s v="54"/>
    <s v="543"/>
    <x v="917"/>
    <s v="Biology : Supplies &amp; Materials"/>
    <n v="18474.169999999998"/>
  </r>
  <r>
    <x v="2"/>
    <s v="11-330-00-040110-55630"/>
    <x v="0"/>
    <n v="330"/>
    <n v="0"/>
    <x v="11"/>
    <n v="55630"/>
    <x v="1"/>
    <s v="55"/>
    <s v="556"/>
    <x v="918"/>
    <s v="Biology : Printing &amp; Duplicating - Inhouse"/>
    <n v="35.92"/>
  </r>
  <r>
    <x v="2"/>
    <s v="11-330-00-040110-55650"/>
    <x v="0"/>
    <n v="330"/>
    <n v="0"/>
    <x v="11"/>
    <n v="55650"/>
    <x v="1"/>
    <s v="55"/>
    <s v="556"/>
    <x v="919"/>
    <s v="Biology : Maintenance Agreement"/>
    <n v="4000"/>
  </r>
  <r>
    <x v="2"/>
    <s v="11-330-00-070710-54300"/>
    <x v="0"/>
    <n v="330"/>
    <n v="0"/>
    <x v="74"/>
    <n v="54300"/>
    <x v="1"/>
    <s v="54"/>
    <s v="543"/>
    <x v="920"/>
    <s v="Computer Programming : Supplies &amp; Materials"/>
    <n v="0"/>
  </r>
  <r>
    <x v="2"/>
    <s v="11-330-00-070710-55630"/>
    <x v="0"/>
    <n v="330"/>
    <n v="0"/>
    <x v="74"/>
    <n v="55630"/>
    <x v="1"/>
    <s v="55"/>
    <s v="556"/>
    <x v="921"/>
    <s v="Computer Programming : Printing &amp; Duplicating - Inhouse"/>
    <n v="0"/>
  </r>
  <r>
    <x v="2"/>
    <s v="11-330-00-090100-51100"/>
    <x v="0"/>
    <n v="330"/>
    <n v="0"/>
    <x v="75"/>
    <n v="51100"/>
    <x v="1"/>
    <s v="51"/>
    <s v="511"/>
    <x v="922"/>
    <s v="Engineering : Academic Teaching Full-time"/>
    <n v="98798.76"/>
  </r>
  <r>
    <x v="2"/>
    <s v="11-330-00-090100-51310"/>
    <x v="0"/>
    <n v="330"/>
    <n v="0"/>
    <x v="75"/>
    <n v="51310"/>
    <x v="1"/>
    <s v="51"/>
    <s v="513"/>
    <x v="923"/>
    <s v="Engineering : Academic Teaching NIC"/>
    <n v="5729.98"/>
  </r>
  <r>
    <x v="2"/>
    <s v="11-330-00-090100-51311"/>
    <x v="0"/>
    <n v="330"/>
    <n v="0"/>
    <x v="75"/>
    <n v="51311"/>
    <x v="1"/>
    <s v="51"/>
    <s v="513"/>
    <x v="924"/>
    <s v="Engineering : Academic Teaching PT"/>
    <n v="0"/>
  </r>
  <r>
    <x v="2"/>
    <s v="11-330-00-090100-51412"/>
    <x v="0"/>
    <n v="330"/>
    <n v="0"/>
    <x v="75"/>
    <n v="51412"/>
    <x v="1"/>
    <s v="51"/>
    <s v="514"/>
    <x v="925"/>
    <s v="Engineering : Acad Nonteach Special Projects"/>
    <n v="300"/>
  </r>
  <r>
    <x v="2"/>
    <s v="11-330-00-090100-52200"/>
    <x v="0"/>
    <n v="330"/>
    <n v="0"/>
    <x v="75"/>
    <n v="52200"/>
    <x v="1"/>
    <s v="52"/>
    <s v="522"/>
    <x v="926"/>
    <s v="Engineering : Classified Permanent Instructional Aides"/>
    <n v="10843.59"/>
  </r>
  <r>
    <x v="2"/>
    <s v="11-330-00-090100-52300"/>
    <x v="0"/>
    <n v="330"/>
    <n v="0"/>
    <x v="75"/>
    <n v="52300"/>
    <x v="1"/>
    <s v="52"/>
    <s v="523"/>
    <x v="927"/>
    <s v="Engineering : Classified Overtime"/>
    <n v="430.75"/>
  </r>
  <r>
    <x v="2"/>
    <s v="11-330-00-090100-53110"/>
    <x v="0"/>
    <n v="330"/>
    <n v="0"/>
    <x v="75"/>
    <n v="53110"/>
    <x v="1"/>
    <s v="53"/>
    <s v="531"/>
    <x v="928"/>
    <s v="Engineering : STRS Teaching"/>
    <n v="16881.419999999998"/>
  </r>
  <r>
    <x v="2"/>
    <s v="11-330-00-090100-53120"/>
    <x v="0"/>
    <n v="330"/>
    <n v="0"/>
    <x v="75"/>
    <n v="53120"/>
    <x v="1"/>
    <s v="53"/>
    <s v="531"/>
    <x v="929"/>
    <s v="Engineering : STRS Nonteaching"/>
    <n v="48.45"/>
  </r>
  <r>
    <x v="2"/>
    <s v="11-330-00-090100-53210"/>
    <x v="0"/>
    <n v="330"/>
    <n v="0"/>
    <x v="75"/>
    <n v="53210"/>
    <x v="1"/>
    <s v="53"/>
    <s v="532"/>
    <x v="930"/>
    <s v="Engineering : PERS Teaching"/>
    <n v="2244.6"/>
  </r>
  <r>
    <x v="2"/>
    <s v="11-330-00-090100-53310"/>
    <x v="0"/>
    <n v="330"/>
    <n v="0"/>
    <x v="75"/>
    <n v="53310"/>
    <x v="1"/>
    <s v="53"/>
    <s v="533"/>
    <x v="931"/>
    <s v="Engineering : OASDHI (FICA) Teaching"/>
    <n v="672.25"/>
  </r>
  <r>
    <x v="2"/>
    <s v="11-330-00-090100-53320"/>
    <x v="0"/>
    <n v="330"/>
    <n v="0"/>
    <x v="75"/>
    <n v="53320"/>
    <x v="1"/>
    <s v="53"/>
    <s v="533"/>
    <x v="932"/>
    <s v="Engineering : OASDHI (FICA) Nonteaching"/>
    <n v="26.7"/>
  </r>
  <r>
    <x v="2"/>
    <s v="11-330-00-090100-53330"/>
    <x v="0"/>
    <n v="330"/>
    <n v="0"/>
    <x v="75"/>
    <n v="53330"/>
    <x v="1"/>
    <s v="53"/>
    <s v="533"/>
    <x v="933"/>
    <s v="Engineering : Medicare Teaching"/>
    <n v="1661.06"/>
  </r>
  <r>
    <x v="2"/>
    <s v="11-330-00-090100-53340"/>
    <x v="0"/>
    <n v="330"/>
    <n v="0"/>
    <x v="75"/>
    <n v="53340"/>
    <x v="1"/>
    <s v="53"/>
    <s v="533"/>
    <x v="934"/>
    <s v="Engineering : Medicare Nonteaching"/>
    <n v="10.59"/>
  </r>
  <r>
    <x v="2"/>
    <s v="11-330-00-090100-53410"/>
    <x v="0"/>
    <n v="330"/>
    <n v="0"/>
    <x v="75"/>
    <n v="53410"/>
    <x v="1"/>
    <s v="53"/>
    <s v="534"/>
    <x v="935"/>
    <s v="Engineering : H &amp; W Teaching"/>
    <n v="30439.48"/>
  </r>
  <r>
    <x v="2"/>
    <s v="11-330-00-090100-53510"/>
    <x v="0"/>
    <n v="330"/>
    <n v="0"/>
    <x v="75"/>
    <n v="53510"/>
    <x v="1"/>
    <s v="53"/>
    <s v="535"/>
    <x v="936"/>
    <s v="Engineering : SUI Teaching"/>
    <n v="57.72"/>
  </r>
  <r>
    <x v="2"/>
    <s v="11-330-00-090100-53520"/>
    <x v="0"/>
    <n v="330"/>
    <n v="0"/>
    <x v="75"/>
    <n v="53520"/>
    <x v="1"/>
    <s v="53"/>
    <s v="535"/>
    <x v="937"/>
    <s v="Engineering : SUI Nonteaching"/>
    <n v="0.37"/>
  </r>
  <r>
    <x v="2"/>
    <s v="11-330-00-090100-53610"/>
    <x v="0"/>
    <n v="330"/>
    <n v="0"/>
    <x v="75"/>
    <n v="53610"/>
    <x v="1"/>
    <s v="53"/>
    <s v="536"/>
    <x v="938"/>
    <s v="Engineering : WC Teaching"/>
    <n v="2181.96"/>
  </r>
  <r>
    <x v="2"/>
    <s v="11-330-00-090100-53620"/>
    <x v="0"/>
    <n v="330"/>
    <n v="0"/>
    <x v="75"/>
    <n v="53620"/>
    <x v="1"/>
    <s v="53"/>
    <s v="536"/>
    <x v="939"/>
    <s v="Engineering : WC Nonteaching"/>
    <n v="13.81"/>
  </r>
  <r>
    <x v="2"/>
    <s v="11-330-00-090100-53910"/>
    <x v="0"/>
    <n v="330"/>
    <n v="0"/>
    <x v="75"/>
    <n v="53910"/>
    <x v="1"/>
    <s v="53"/>
    <s v="539"/>
    <x v="940"/>
    <s v="Engineering : Other Benefit-Teaching"/>
    <n v="360"/>
  </r>
  <r>
    <x v="2"/>
    <s v="11-330-00-090100-54300"/>
    <x v="0"/>
    <n v="330"/>
    <n v="0"/>
    <x v="75"/>
    <n v="54300"/>
    <x v="1"/>
    <s v="54"/>
    <s v="543"/>
    <x v="941"/>
    <s v="Engineering : Supplies &amp; Materials"/>
    <n v="1072.99"/>
  </r>
  <r>
    <x v="2"/>
    <s v="11-330-00-090100-55630"/>
    <x v="0"/>
    <n v="330"/>
    <n v="0"/>
    <x v="75"/>
    <n v="55630"/>
    <x v="1"/>
    <s v="55"/>
    <s v="556"/>
    <x v="942"/>
    <s v="Engineering : Printing &amp; Duplicating - Inhouse"/>
    <n v="0"/>
  </r>
  <r>
    <x v="2"/>
    <s v="11-330-00-170100-51100"/>
    <x v="0"/>
    <n v="330"/>
    <n v="0"/>
    <x v="21"/>
    <n v="51100"/>
    <x v="1"/>
    <s v="51"/>
    <s v="511"/>
    <x v="943"/>
    <s v="Mathematics : Academic Teaching Full-time"/>
    <n v="1224889.49"/>
  </r>
  <r>
    <x v="2"/>
    <s v="11-330-00-170100-51310"/>
    <x v="0"/>
    <n v="330"/>
    <n v="0"/>
    <x v="21"/>
    <n v="51310"/>
    <x v="1"/>
    <s v="51"/>
    <s v="513"/>
    <x v="944"/>
    <s v="Mathematics : Academic Teaching NIC"/>
    <n v="165308.10999999999"/>
  </r>
  <r>
    <x v="2"/>
    <s v="11-330-00-170100-51311"/>
    <x v="0"/>
    <n v="330"/>
    <n v="0"/>
    <x v="21"/>
    <n v="51311"/>
    <x v="1"/>
    <s v="51"/>
    <s v="513"/>
    <x v="945"/>
    <s v="Mathematics : Academic Teaching PT"/>
    <n v="77003.59"/>
  </r>
  <r>
    <x v="2"/>
    <s v="11-330-00-170100-51412"/>
    <x v="0"/>
    <n v="330"/>
    <n v="0"/>
    <x v="21"/>
    <n v="51412"/>
    <x v="1"/>
    <s v="51"/>
    <s v="514"/>
    <x v="946"/>
    <s v="Mathematics : Acad Nonteach Special Projects"/>
    <n v="300"/>
  </r>
  <r>
    <x v="2"/>
    <s v="11-330-00-170100-53110"/>
    <x v="0"/>
    <n v="330"/>
    <n v="0"/>
    <x v="21"/>
    <n v="53110"/>
    <x v="1"/>
    <s v="53"/>
    <s v="531"/>
    <x v="947"/>
    <s v="Mathematics : STRS Teaching"/>
    <n v="238031.44"/>
  </r>
  <r>
    <x v="2"/>
    <s v="11-330-00-170100-53120"/>
    <x v="0"/>
    <n v="330"/>
    <n v="0"/>
    <x v="21"/>
    <n v="53120"/>
    <x v="1"/>
    <s v="53"/>
    <s v="531"/>
    <x v="948"/>
    <s v="Mathematics : STRS Nonteaching"/>
    <n v="48.45"/>
  </r>
  <r>
    <x v="2"/>
    <s v="11-330-00-170100-53310"/>
    <x v="0"/>
    <n v="330"/>
    <n v="0"/>
    <x v="21"/>
    <n v="53310"/>
    <x v="1"/>
    <s v="53"/>
    <s v="533"/>
    <x v="949"/>
    <s v="Mathematics : OASDHI (FICA) Teaching"/>
    <n v="1536.68"/>
  </r>
  <r>
    <x v="2"/>
    <s v="11-330-00-170100-53330"/>
    <x v="0"/>
    <n v="330"/>
    <n v="0"/>
    <x v="21"/>
    <n v="53330"/>
    <x v="1"/>
    <s v="53"/>
    <s v="533"/>
    <x v="950"/>
    <s v="Mathematics : Medicare Teaching"/>
    <n v="20887.990000000002"/>
  </r>
  <r>
    <x v="2"/>
    <s v="11-330-00-170100-53340"/>
    <x v="0"/>
    <n v="330"/>
    <n v="0"/>
    <x v="21"/>
    <n v="53340"/>
    <x v="1"/>
    <s v="53"/>
    <s v="533"/>
    <x v="951"/>
    <s v="Mathematics : Medicare Nonteaching"/>
    <n v="4.3499999999999996"/>
  </r>
  <r>
    <x v="2"/>
    <s v="11-330-00-170100-53410"/>
    <x v="0"/>
    <n v="330"/>
    <n v="0"/>
    <x v="21"/>
    <n v="53410"/>
    <x v="1"/>
    <s v="53"/>
    <s v="534"/>
    <x v="952"/>
    <s v="Mathematics : H &amp; W Teaching"/>
    <n v="311311.71999999997"/>
  </r>
  <r>
    <x v="2"/>
    <s v="11-330-00-170100-53510"/>
    <x v="0"/>
    <n v="330"/>
    <n v="0"/>
    <x v="21"/>
    <n v="53510"/>
    <x v="1"/>
    <s v="53"/>
    <s v="535"/>
    <x v="953"/>
    <s v="Mathematics : SUI Teaching"/>
    <n v="723.99"/>
  </r>
  <r>
    <x v="2"/>
    <s v="11-330-00-170100-53520"/>
    <x v="0"/>
    <n v="330"/>
    <n v="0"/>
    <x v="21"/>
    <n v="53520"/>
    <x v="1"/>
    <s v="53"/>
    <s v="535"/>
    <x v="954"/>
    <s v="Mathematics : SUI Nonteaching"/>
    <n v="0.15"/>
  </r>
  <r>
    <x v="2"/>
    <s v="11-330-00-170100-53610"/>
    <x v="0"/>
    <n v="330"/>
    <n v="0"/>
    <x v="21"/>
    <n v="53610"/>
    <x v="1"/>
    <s v="53"/>
    <s v="536"/>
    <x v="955"/>
    <s v="Mathematics : WC Teaching"/>
    <n v="27741.71"/>
  </r>
  <r>
    <x v="2"/>
    <s v="11-330-00-170100-53620"/>
    <x v="0"/>
    <n v="330"/>
    <n v="0"/>
    <x v="21"/>
    <n v="53620"/>
    <x v="1"/>
    <s v="53"/>
    <s v="536"/>
    <x v="956"/>
    <s v="Mathematics : WC Nonteaching"/>
    <n v="5.67"/>
  </r>
  <r>
    <x v="2"/>
    <s v="11-330-00-170100-53910"/>
    <x v="0"/>
    <n v="330"/>
    <n v="0"/>
    <x v="21"/>
    <n v="53910"/>
    <x v="1"/>
    <s v="53"/>
    <s v="539"/>
    <x v="957"/>
    <s v="Mathematics : Other Benefit-Teaching"/>
    <n v="5236.32"/>
  </r>
  <r>
    <x v="2"/>
    <s v="11-330-00-170100-54300"/>
    <x v="0"/>
    <n v="330"/>
    <n v="0"/>
    <x v="21"/>
    <n v="54300"/>
    <x v="1"/>
    <s v="54"/>
    <s v="543"/>
    <x v="958"/>
    <s v="Mathematics : Supplies &amp; Materials"/>
    <n v="0"/>
  </r>
  <r>
    <x v="2"/>
    <s v="11-330-00-170100-55630"/>
    <x v="0"/>
    <n v="330"/>
    <n v="0"/>
    <x v="21"/>
    <n v="55630"/>
    <x v="1"/>
    <s v="55"/>
    <s v="556"/>
    <x v="959"/>
    <s v="Mathematics : Printing &amp; Duplicating - Inhouse"/>
    <n v="0"/>
  </r>
  <r>
    <x v="2"/>
    <s v="11-330-00-170100-55650"/>
    <x v="0"/>
    <n v="330"/>
    <n v="0"/>
    <x v="21"/>
    <n v="55650"/>
    <x v="1"/>
    <s v="55"/>
    <s v="556"/>
    <x v="960"/>
    <s v="Mathematics : Maintenance Agreement"/>
    <n v="0"/>
  </r>
  <r>
    <x v="2"/>
    <s v="11-330-00-190200-51100"/>
    <x v="0"/>
    <n v="330"/>
    <n v="0"/>
    <x v="22"/>
    <n v="51100"/>
    <x v="1"/>
    <s v="51"/>
    <s v="511"/>
    <x v="961"/>
    <s v="Physics : Academic Teaching Full-time"/>
    <n v="78296.759999999995"/>
  </r>
  <r>
    <x v="2"/>
    <s v="11-330-00-190200-51310"/>
    <x v="0"/>
    <n v="330"/>
    <n v="0"/>
    <x v="22"/>
    <n v="51310"/>
    <x v="1"/>
    <s v="51"/>
    <s v="513"/>
    <x v="962"/>
    <s v="Physics : Academic Teaching NIC"/>
    <n v="8785.91"/>
  </r>
  <r>
    <x v="2"/>
    <s v="11-330-00-190200-51311"/>
    <x v="0"/>
    <n v="330"/>
    <n v="0"/>
    <x v="22"/>
    <n v="51311"/>
    <x v="1"/>
    <s v="51"/>
    <s v="513"/>
    <x v="963"/>
    <s v="Physics : Academic Teaching PT"/>
    <n v="46242.34"/>
  </r>
  <r>
    <x v="2"/>
    <s v="11-330-00-190200-52200"/>
    <x v="0"/>
    <n v="330"/>
    <n v="0"/>
    <x v="22"/>
    <n v="52200"/>
    <x v="1"/>
    <s v="52"/>
    <s v="522"/>
    <x v="964"/>
    <s v="Physics : Classified Permanent Instructional Aides"/>
    <n v="40663.47"/>
  </r>
  <r>
    <x v="2"/>
    <s v="11-330-00-190200-52300"/>
    <x v="0"/>
    <n v="330"/>
    <n v="0"/>
    <x v="22"/>
    <n v="52300"/>
    <x v="1"/>
    <s v="52"/>
    <s v="523"/>
    <x v="965"/>
    <s v="Physics : Classified Overtime"/>
    <n v="1615.3"/>
  </r>
  <r>
    <x v="2"/>
    <s v="11-330-00-190200-53110"/>
    <x v="0"/>
    <n v="330"/>
    <n v="0"/>
    <x v="22"/>
    <n v="53110"/>
    <x v="1"/>
    <s v="53"/>
    <s v="531"/>
    <x v="966"/>
    <s v="Physics : STRS Teaching"/>
    <n v="21532.01"/>
  </r>
  <r>
    <x v="2"/>
    <s v="11-330-00-190200-53210"/>
    <x v="0"/>
    <n v="330"/>
    <n v="0"/>
    <x v="22"/>
    <n v="53210"/>
    <x v="1"/>
    <s v="53"/>
    <s v="532"/>
    <x v="967"/>
    <s v="Physics : PERS Teaching"/>
    <n v="8417.2900000000009"/>
  </r>
  <r>
    <x v="2"/>
    <s v="11-330-00-190200-53310"/>
    <x v="0"/>
    <n v="330"/>
    <n v="0"/>
    <x v="22"/>
    <n v="53310"/>
    <x v="1"/>
    <s v="53"/>
    <s v="533"/>
    <x v="968"/>
    <s v="Physics : OASDHI (FICA) Teaching"/>
    <n v="2521.15"/>
  </r>
  <r>
    <x v="2"/>
    <s v="11-330-00-190200-53320"/>
    <x v="0"/>
    <n v="330"/>
    <n v="0"/>
    <x v="22"/>
    <n v="53320"/>
    <x v="1"/>
    <s v="53"/>
    <s v="533"/>
    <x v="969"/>
    <s v="Physics : OASDHI (FICA) Nonteaching"/>
    <n v="100.16"/>
  </r>
  <r>
    <x v="2"/>
    <s v="11-330-00-190200-53330"/>
    <x v="0"/>
    <n v="330"/>
    <n v="0"/>
    <x v="22"/>
    <n v="53330"/>
    <x v="1"/>
    <s v="53"/>
    <s v="533"/>
    <x v="970"/>
    <s v="Physics : Medicare Teaching"/>
    <n v="2522.7800000000002"/>
  </r>
  <r>
    <x v="2"/>
    <s v="11-330-00-190200-53340"/>
    <x v="0"/>
    <n v="330"/>
    <n v="0"/>
    <x v="22"/>
    <n v="53340"/>
    <x v="1"/>
    <s v="53"/>
    <s v="533"/>
    <x v="971"/>
    <s v="Physics : Medicare Nonteaching"/>
    <n v="23.42"/>
  </r>
  <r>
    <x v="2"/>
    <s v="11-330-00-190200-53410"/>
    <x v="0"/>
    <n v="330"/>
    <n v="0"/>
    <x v="22"/>
    <n v="53410"/>
    <x v="1"/>
    <s v="53"/>
    <s v="534"/>
    <x v="972"/>
    <s v="Physics : H &amp; W Teaching"/>
    <n v="15452.99"/>
  </r>
  <r>
    <x v="2"/>
    <s v="11-330-00-190200-53510"/>
    <x v="0"/>
    <n v="330"/>
    <n v="0"/>
    <x v="22"/>
    <n v="53510"/>
    <x v="1"/>
    <s v="53"/>
    <s v="535"/>
    <x v="973"/>
    <s v="Physics : SUI Teaching"/>
    <n v="87.12"/>
  </r>
  <r>
    <x v="2"/>
    <s v="11-330-00-190200-53520"/>
    <x v="0"/>
    <n v="330"/>
    <n v="0"/>
    <x v="22"/>
    <n v="53520"/>
    <x v="1"/>
    <s v="53"/>
    <s v="535"/>
    <x v="974"/>
    <s v="Physics : SUI Nonteaching"/>
    <n v="0.8"/>
  </r>
  <r>
    <x v="2"/>
    <s v="11-330-00-190200-53610"/>
    <x v="0"/>
    <n v="330"/>
    <n v="0"/>
    <x v="22"/>
    <n v="53610"/>
    <x v="1"/>
    <s v="53"/>
    <s v="536"/>
    <x v="975"/>
    <s v="Physics : WC Teaching"/>
    <n v="3291.7"/>
  </r>
  <r>
    <x v="2"/>
    <s v="11-330-00-190200-53620"/>
    <x v="0"/>
    <n v="330"/>
    <n v="0"/>
    <x v="22"/>
    <n v="53620"/>
    <x v="1"/>
    <s v="53"/>
    <s v="536"/>
    <x v="976"/>
    <s v="Physics : WC Nonteaching"/>
    <n v="30.54"/>
  </r>
  <r>
    <x v="2"/>
    <s v="11-330-00-190200-53910"/>
    <x v="0"/>
    <n v="330"/>
    <n v="0"/>
    <x v="22"/>
    <n v="53910"/>
    <x v="1"/>
    <s v="53"/>
    <s v="539"/>
    <x v="977"/>
    <s v="Physics : Other Benefit-Teaching"/>
    <n v="3313.62"/>
  </r>
  <r>
    <x v="2"/>
    <s v="11-330-00-190200-54300"/>
    <x v="0"/>
    <n v="330"/>
    <n v="0"/>
    <x v="22"/>
    <n v="54300"/>
    <x v="1"/>
    <s v="54"/>
    <s v="543"/>
    <x v="978"/>
    <s v="Physics : Supplies &amp; Materials"/>
    <n v="1666.06"/>
  </r>
  <r>
    <x v="2"/>
    <s v="11-330-00-190200-55630"/>
    <x v="0"/>
    <n v="330"/>
    <n v="0"/>
    <x v="22"/>
    <n v="55630"/>
    <x v="1"/>
    <s v="55"/>
    <s v="556"/>
    <x v="979"/>
    <s v="Physics : Printing &amp; Duplicating - Inhouse"/>
    <n v="0"/>
  </r>
  <r>
    <x v="2"/>
    <s v="11-330-00-190500-51100"/>
    <x v="0"/>
    <n v="330"/>
    <n v="0"/>
    <x v="76"/>
    <n v="51100"/>
    <x v="1"/>
    <s v="51"/>
    <s v="511"/>
    <x v="980"/>
    <s v="Chemistry : Academic Teaching Full-time"/>
    <n v="234794.52"/>
  </r>
  <r>
    <x v="2"/>
    <s v="11-330-00-190500-51310"/>
    <x v="0"/>
    <n v="330"/>
    <n v="0"/>
    <x v="76"/>
    <n v="51310"/>
    <x v="1"/>
    <s v="51"/>
    <s v="513"/>
    <x v="981"/>
    <s v="Chemistry : Academic Teaching NIC"/>
    <n v="48175.55"/>
  </r>
  <r>
    <x v="2"/>
    <s v="11-330-00-190500-51311"/>
    <x v="0"/>
    <n v="330"/>
    <n v="0"/>
    <x v="76"/>
    <n v="51311"/>
    <x v="1"/>
    <s v="51"/>
    <s v="513"/>
    <x v="982"/>
    <s v="Chemistry : Academic Teaching PT"/>
    <n v="51212.27"/>
  </r>
  <r>
    <x v="2"/>
    <s v="11-330-00-190500-52200"/>
    <x v="0"/>
    <n v="330"/>
    <n v="0"/>
    <x v="76"/>
    <n v="52200"/>
    <x v="1"/>
    <s v="52"/>
    <s v="522"/>
    <x v="983"/>
    <s v="Chemistry : Classified Permanent Instructional Aides"/>
    <n v="99369.05"/>
  </r>
  <r>
    <x v="2"/>
    <s v="11-330-00-190500-52300"/>
    <x v="0"/>
    <n v="330"/>
    <n v="0"/>
    <x v="76"/>
    <n v="52300"/>
    <x v="1"/>
    <s v="52"/>
    <s v="523"/>
    <x v="984"/>
    <s v="Chemistry : Classified Overtime"/>
    <n v="1466.27"/>
  </r>
  <r>
    <x v="2"/>
    <s v="11-330-00-190500-53110"/>
    <x v="0"/>
    <n v="330"/>
    <n v="0"/>
    <x v="76"/>
    <n v="53110"/>
    <x v="1"/>
    <s v="53"/>
    <s v="531"/>
    <x v="985"/>
    <s v="Chemistry : STRS Teaching"/>
    <n v="53970.47"/>
  </r>
  <r>
    <x v="2"/>
    <s v="11-330-00-190500-53210"/>
    <x v="0"/>
    <n v="330"/>
    <n v="0"/>
    <x v="76"/>
    <n v="53210"/>
    <x v="1"/>
    <s v="53"/>
    <s v="532"/>
    <x v="986"/>
    <s v="Chemistry : PERS Teaching"/>
    <n v="20551.66"/>
  </r>
  <r>
    <x v="2"/>
    <s v="11-330-00-190500-53310"/>
    <x v="0"/>
    <n v="330"/>
    <n v="0"/>
    <x v="76"/>
    <n v="53310"/>
    <x v="1"/>
    <s v="53"/>
    <s v="533"/>
    <x v="987"/>
    <s v="Chemistry : OASDHI (FICA) Teaching"/>
    <n v="6063.87"/>
  </r>
  <r>
    <x v="2"/>
    <s v="11-330-00-190500-53320"/>
    <x v="0"/>
    <n v="330"/>
    <n v="0"/>
    <x v="76"/>
    <n v="53320"/>
    <x v="1"/>
    <s v="53"/>
    <s v="533"/>
    <x v="988"/>
    <s v="Chemistry : OASDHI (FICA) Nonteaching"/>
    <n v="90.93"/>
  </r>
  <r>
    <x v="2"/>
    <s v="11-330-00-190500-53330"/>
    <x v="0"/>
    <n v="330"/>
    <n v="0"/>
    <x v="76"/>
    <n v="53330"/>
    <x v="1"/>
    <s v="53"/>
    <s v="533"/>
    <x v="989"/>
    <s v="Chemistry : Medicare Teaching"/>
    <n v="6263.85"/>
  </r>
  <r>
    <x v="2"/>
    <s v="11-330-00-190500-53340"/>
    <x v="0"/>
    <n v="330"/>
    <n v="0"/>
    <x v="76"/>
    <n v="53340"/>
    <x v="1"/>
    <s v="53"/>
    <s v="533"/>
    <x v="990"/>
    <s v="Chemistry : Medicare Nonteaching"/>
    <n v="21.24"/>
  </r>
  <r>
    <x v="2"/>
    <s v="11-330-00-190500-53410"/>
    <x v="0"/>
    <n v="330"/>
    <n v="0"/>
    <x v="76"/>
    <n v="53410"/>
    <x v="1"/>
    <s v="53"/>
    <s v="534"/>
    <x v="991"/>
    <s v="Chemistry : H &amp; W Teaching"/>
    <n v="56823.92"/>
  </r>
  <r>
    <x v="2"/>
    <s v="11-330-00-190500-53510"/>
    <x v="0"/>
    <n v="330"/>
    <n v="0"/>
    <x v="76"/>
    <n v="53510"/>
    <x v="1"/>
    <s v="53"/>
    <s v="535"/>
    <x v="992"/>
    <s v="Chemistry : SUI Teaching"/>
    <n v="216.72"/>
  </r>
  <r>
    <x v="2"/>
    <s v="11-330-00-190500-53520"/>
    <x v="0"/>
    <n v="330"/>
    <n v="0"/>
    <x v="76"/>
    <n v="53520"/>
    <x v="1"/>
    <s v="53"/>
    <s v="535"/>
    <x v="993"/>
    <s v="Chemistry : SUI Nonteaching"/>
    <n v="0.76"/>
  </r>
  <r>
    <x v="2"/>
    <s v="11-330-00-190500-53610"/>
    <x v="0"/>
    <n v="330"/>
    <n v="0"/>
    <x v="76"/>
    <n v="53610"/>
    <x v="1"/>
    <s v="53"/>
    <s v="536"/>
    <x v="994"/>
    <s v="Chemistry : WC Teaching"/>
    <n v="8202.1299999999992"/>
  </r>
  <r>
    <x v="2"/>
    <s v="11-330-00-190500-53620"/>
    <x v="0"/>
    <n v="330"/>
    <n v="0"/>
    <x v="76"/>
    <n v="53620"/>
    <x v="1"/>
    <s v="53"/>
    <s v="536"/>
    <x v="995"/>
    <s v="Chemistry : WC Nonteaching"/>
    <n v="27.73"/>
  </r>
  <r>
    <x v="2"/>
    <s v="11-330-00-190500-53910"/>
    <x v="0"/>
    <n v="330"/>
    <n v="0"/>
    <x v="76"/>
    <n v="53910"/>
    <x v="1"/>
    <s v="53"/>
    <s v="539"/>
    <x v="996"/>
    <s v="Chemistry : Other Benefit-Teaching"/>
    <n v="3095.44"/>
  </r>
  <r>
    <x v="2"/>
    <s v="11-330-00-190500-54300"/>
    <x v="0"/>
    <n v="330"/>
    <n v="0"/>
    <x v="76"/>
    <n v="54300"/>
    <x v="1"/>
    <s v="54"/>
    <s v="543"/>
    <x v="997"/>
    <s v="Chemistry : Supplies &amp; Materials"/>
    <n v="9957.26"/>
  </r>
  <r>
    <x v="2"/>
    <s v="11-330-00-190500-55630"/>
    <x v="0"/>
    <n v="330"/>
    <n v="0"/>
    <x v="76"/>
    <n v="55630"/>
    <x v="1"/>
    <s v="55"/>
    <s v="556"/>
    <x v="998"/>
    <s v="Chemistry : Printing &amp; Duplicating - Inhouse"/>
    <n v="99.81"/>
  </r>
  <r>
    <x v="2"/>
    <s v="11-330-00-190500-55650"/>
    <x v="0"/>
    <n v="330"/>
    <n v="0"/>
    <x v="76"/>
    <n v="55650"/>
    <x v="1"/>
    <s v="55"/>
    <s v="556"/>
    <x v="999"/>
    <s v="Chemistry : Maintenance Agreement"/>
    <n v="606.07000000000005"/>
  </r>
  <r>
    <x v="2"/>
    <s v="11-330-00-191100-51100"/>
    <x v="0"/>
    <n v="330"/>
    <n v="0"/>
    <x v="77"/>
    <n v="51100"/>
    <x v="1"/>
    <s v="51"/>
    <s v="511"/>
    <x v="1000"/>
    <s v="Astronomy : Academic Teaching Full-time"/>
    <n v="96360.57"/>
  </r>
  <r>
    <x v="2"/>
    <s v="11-330-00-191100-51310"/>
    <x v="0"/>
    <n v="330"/>
    <n v="0"/>
    <x v="77"/>
    <n v="51310"/>
    <x v="1"/>
    <s v="51"/>
    <s v="513"/>
    <x v="1001"/>
    <s v="Astronomy : Academic Teaching NIC"/>
    <n v="2781"/>
  </r>
  <r>
    <x v="2"/>
    <s v="11-330-00-191100-51311"/>
    <x v="0"/>
    <n v="330"/>
    <n v="0"/>
    <x v="77"/>
    <n v="51311"/>
    <x v="1"/>
    <s v="51"/>
    <s v="513"/>
    <x v="1002"/>
    <s v="Astronomy : Academic Teaching PT"/>
    <n v="36071.589999999997"/>
  </r>
  <r>
    <x v="2"/>
    <s v="11-330-00-191100-53110"/>
    <x v="0"/>
    <n v="330"/>
    <n v="0"/>
    <x v="77"/>
    <n v="53110"/>
    <x v="1"/>
    <s v="53"/>
    <s v="531"/>
    <x v="1003"/>
    <s v="Astronomy : STRS Teaching"/>
    <n v="21836.97"/>
  </r>
  <r>
    <x v="2"/>
    <s v="11-330-00-191100-53330"/>
    <x v="0"/>
    <n v="330"/>
    <n v="0"/>
    <x v="77"/>
    <n v="53330"/>
    <x v="1"/>
    <s v="53"/>
    <s v="533"/>
    <x v="1004"/>
    <s v="Astronomy : Medicare Teaching"/>
    <n v="1948.78"/>
  </r>
  <r>
    <x v="2"/>
    <s v="11-330-00-191100-53410"/>
    <x v="0"/>
    <n v="330"/>
    <n v="0"/>
    <x v="77"/>
    <n v="53410"/>
    <x v="1"/>
    <s v="53"/>
    <s v="534"/>
    <x v="1005"/>
    <s v="Astronomy : H &amp; W Teaching"/>
    <n v="26666.240000000002"/>
  </r>
  <r>
    <x v="2"/>
    <s v="11-330-00-191100-53510"/>
    <x v="0"/>
    <n v="330"/>
    <n v="0"/>
    <x v="77"/>
    <n v="53510"/>
    <x v="1"/>
    <s v="53"/>
    <s v="535"/>
    <x v="1006"/>
    <s v="Astronomy : SUI Teaching"/>
    <n v="67.58"/>
  </r>
  <r>
    <x v="2"/>
    <s v="11-330-00-191100-53610"/>
    <x v="0"/>
    <n v="330"/>
    <n v="0"/>
    <x v="77"/>
    <n v="53610"/>
    <x v="1"/>
    <s v="53"/>
    <s v="536"/>
    <x v="1007"/>
    <s v="Astronomy : WC Teaching"/>
    <n v="2556.5500000000002"/>
  </r>
  <r>
    <x v="2"/>
    <s v="11-330-00-191100-54300"/>
    <x v="0"/>
    <n v="330"/>
    <n v="0"/>
    <x v="77"/>
    <n v="54300"/>
    <x v="1"/>
    <s v="54"/>
    <s v="543"/>
    <x v="1008"/>
    <s v="Astronomy : Supplies &amp; Materials"/>
    <n v="1204.45"/>
  </r>
  <r>
    <x v="2"/>
    <s v="11-330-00-191100-55630"/>
    <x v="0"/>
    <n v="330"/>
    <n v="0"/>
    <x v="77"/>
    <n v="55630"/>
    <x v="1"/>
    <s v="55"/>
    <s v="556"/>
    <x v="1009"/>
    <s v="Astronomy : Printing &amp; Duplicating - Inhouse"/>
    <n v="1.94"/>
  </r>
  <r>
    <x v="2"/>
    <s v="11-330-00-191400-51100"/>
    <x v="0"/>
    <n v="330"/>
    <n v="0"/>
    <x v="78"/>
    <n v="51100"/>
    <x v="1"/>
    <s v="51"/>
    <s v="511"/>
    <x v="1010"/>
    <s v="Geology : Academic Teaching Full-time"/>
    <n v="68201.100000000006"/>
  </r>
  <r>
    <x v="2"/>
    <s v="11-330-00-191400-51311"/>
    <x v="0"/>
    <n v="330"/>
    <n v="0"/>
    <x v="78"/>
    <n v="51311"/>
    <x v="1"/>
    <s v="51"/>
    <s v="513"/>
    <x v="1011"/>
    <s v="Geology : Academic Teaching PT"/>
    <n v="0"/>
  </r>
  <r>
    <x v="2"/>
    <s v="11-330-00-191400-52200"/>
    <x v="0"/>
    <n v="330"/>
    <n v="0"/>
    <x v="78"/>
    <n v="52200"/>
    <x v="1"/>
    <s v="52"/>
    <s v="522"/>
    <x v="1012"/>
    <s v="Geology : Classified Permanent Instructional Aides"/>
    <n v="2710.9"/>
  </r>
  <r>
    <x v="2"/>
    <s v="11-330-00-191400-52300"/>
    <x v="0"/>
    <n v="330"/>
    <n v="0"/>
    <x v="78"/>
    <n v="52300"/>
    <x v="1"/>
    <s v="52"/>
    <s v="523"/>
    <x v="1013"/>
    <s v="Geology : Classified Overtime"/>
    <n v="107.69"/>
  </r>
  <r>
    <x v="2"/>
    <s v="11-330-00-191400-53110"/>
    <x v="0"/>
    <n v="330"/>
    <n v="0"/>
    <x v="78"/>
    <n v="53110"/>
    <x v="1"/>
    <s v="53"/>
    <s v="531"/>
    <x v="1014"/>
    <s v="Geology : STRS Teaching"/>
    <n v="11014.47"/>
  </r>
  <r>
    <x v="2"/>
    <s v="11-330-00-191400-53210"/>
    <x v="0"/>
    <n v="330"/>
    <n v="0"/>
    <x v="78"/>
    <n v="53210"/>
    <x v="1"/>
    <s v="53"/>
    <s v="532"/>
    <x v="1015"/>
    <s v="Geology : PERS Teaching"/>
    <n v="561.20000000000005"/>
  </r>
  <r>
    <x v="2"/>
    <s v="11-330-00-191400-53310"/>
    <x v="0"/>
    <n v="330"/>
    <n v="0"/>
    <x v="78"/>
    <n v="53310"/>
    <x v="1"/>
    <s v="53"/>
    <s v="533"/>
    <x v="1016"/>
    <s v="Geology : OASDHI (FICA) Teaching"/>
    <n v="175.25"/>
  </r>
  <r>
    <x v="2"/>
    <s v="11-330-00-191400-53320"/>
    <x v="0"/>
    <n v="330"/>
    <n v="0"/>
    <x v="78"/>
    <n v="53320"/>
    <x v="1"/>
    <s v="53"/>
    <s v="533"/>
    <x v="1017"/>
    <s v="Geology : OASDHI (FICA) Nonteaching"/>
    <n v="6.66"/>
  </r>
  <r>
    <x v="2"/>
    <s v="11-330-00-191400-53330"/>
    <x v="0"/>
    <n v="330"/>
    <n v="0"/>
    <x v="78"/>
    <n v="53330"/>
    <x v="1"/>
    <s v="53"/>
    <s v="533"/>
    <x v="1018"/>
    <s v="Geology : Medicare Teaching"/>
    <n v="1015.2"/>
  </r>
  <r>
    <x v="2"/>
    <s v="11-330-00-191400-53340"/>
    <x v="0"/>
    <n v="330"/>
    <n v="0"/>
    <x v="78"/>
    <n v="53340"/>
    <x v="1"/>
    <s v="53"/>
    <s v="533"/>
    <x v="1019"/>
    <s v="Geology : Medicare Nonteaching"/>
    <n v="1.6"/>
  </r>
  <r>
    <x v="2"/>
    <s v="11-330-00-191400-53410"/>
    <x v="0"/>
    <n v="330"/>
    <n v="0"/>
    <x v="78"/>
    <n v="53410"/>
    <x v="1"/>
    <s v="53"/>
    <s v="534"/>
    <x v="1020"/>
    <s v="Geology : H &amp; W Teaching"/>
    <n v="17198.18"/>
  </r>
  <r>
    <x v="2"/>
    <s v="11-330-00-191400-53510"/>
    <x v="0"/>
    <n v="330"/>
    <n v="0"/>
    <x v="78"/>
    <n v="53510"/>
    <x v="1"/>
    <s v="53"/>
    <s v="535"/>
    <x v="1021"/>
    <s v="Geology : SUI Teaching"/>
    <n v="35.39"/>
  </r>
  <r>
    <x v="2"/>
    <s v="11-330-00-191400-53520"/>
    <x v="0"/>
    <n v="330"/>
    <n v="0"/>
    <x v="78"/>
    <n v="53520"/>
    <x v="1"/>
    <s v="53"/>
    <s v="535"/>
    <x v="1022"/>
    <s v="Geology : SUI Nonteaching"/>
    <n v="0.05"/>
  </r>
  <r>
    <x v="2"/>
    <s v="11-330-00-191400-53610"/>
    <x v="0"/>
    <n v="330"/>
    <n v="0"/>
    <x v="78"/>
    <n v="53610"/>
    <x v="1"/>
    <s v="53"/>
    <s v="536"/>
    <x v="1023"/>
    <s v="Geology : WC Teaching"/>
    <n v="1340.96"/>
  </r>
  <r>
    <x v="2"/>
    <s v="11-330-00-191400-53620"/>
    <x v="0"/>
    <n v="330"/>
    <n v="0"/>
    <x v="78"/>
    <n v="53620"/>
    <x v="1"/>
    <s v="53"/>
    <s v="536"/>
    <x v="1024"/>
    <s v="Geology : WC Nonteaching"/>
    <n v="2.0299999999999998"/>
  </r>
  <r>
    <x v="2"/>
    <s v="11-330-00-191400-53910"/>
    <x v="0"/>
    <n v="330"/>
    <n v="0"/>
    <x v="78"/>
    <n v="53910"/>
    <x v="1"/>
    <s v="53"/>
    <s v="539"/>
    <x v="1025"/>
    <s v="Geology : Other Benefit-Teaching"/>
    <n v="90"/>
  </r>
  <r>
    <x v="2"/>
    <s v="11-330-00-191400-54300"/>
    <x v="0"/>
    <n v="330"/>
    <n v="0"/>
    <x v="78"/>
    <n v="54300"/>
    <x v="1"/>
    <s v="54"/>
    <s v="543"/>
    <x v="1026"/>
    <s v="Geology : Supplies &amp; Materials"/>
    <n v="537.79"/>
  </r>
  <r>
    <x v="2"/>
    <s v="11-330-00-191400-55630"/>
    <x v="0"/>
    <n v="330"/>
    <n v="0"/>
    <x v="78"/>
    <n v="55630"/>
    <x v="1"/>
    <s v="55"/>
    <s v="556"/>
    <x v="1027"/>
    <s v="Geology : Printing &amp; Duplicating - Inhouse"/>
    <n v="0"/>
  </r>
  <r>
    <x v="2"/>
    <s v="11-330-00-191900-51100"/>
    <x v="0"/>
    <n v="330"/>
    <n v="0"/>
    <x v="23"/>
    <n v="51100"/>
    <x v="1"/>
    <s v="51"/>
    <s v="511"/>
    <x v="1028"/>
    <s v="Oceanography : Academic Teaching Full-time"/>
    <n v="17050.23"/>
  </r>
  <r>
    <x v="2"/>
    <s v="11-330-00-191900-51311"/>
    <x v="0"/>
    <n v="330"/>
    <n v="0"/>
    <x v="23"/>
    <n v="51311"/>
    <x v="1"/>
    <s v="51"/>
    <s v="513"/>
    <x v="1029"/>
    <s v="Oceanography : Academic Teaching PT"/>
    <n v="0"/>
  </r>
  <r>
    <x v="2"/>
    <s v="11-330-00-191900-53110"/>
    <x v="0"/>
    <n v="330"/>
    <n v="0"/>
    <x v="23"/>
    <n v="53110"/>
    <x v="1"/>
    <s v="53"/>
    <s v="531"/>
    <x v="1030"/>
    <s v="Oceanography : STRS Teaching"/>
    <n v="2753.64"/>
  </r>
  <r>
    <x v="2"/>
    <s v="11-330-00-191900-53330"/>
    <x v="0"/>
    <n v="330"/>
    <n v="0"/>
    <x v="23"/>
    <n v="53330"/>
    <x v="1"/>
    <s v="53"/>
    <s v="533"/>
    <x v="1031"/>
    <s v="Oceanography : Medicare Teaching"/>
    <n v="245.78"/>
  </r>
  <r>
    <x v="2"/>
    <s v="11-330-00-191900-53410"/>
    <x v="0"/>
    <n v="330"/>
    <n v="0"/>
    <x v="23"/>
    <n v="53410"/>
    <x v="1"/>
    <s v="53"/>
    <s v="534"/>
    <x v="1032"/>
    <s v="Oceanography : H &amp; W Teaching"/>
    <n v="4063.7"/>
  </r>
  <r>
    <x v="2"/>
    <s v="11-330-00-191900-53510"/>
    <x v="0"/>
    <n v="330"/>
    <n v="0"/>
    <x v="23"/>
    <n v="53510"/>
    <x v="1"/>
    <s v="53"/>
    <s v="535"/>
    <x v="1033"/>
    <s v="Oceanography : SUI Teaching"/>
    <n v="8.5500000000000007"/>
  </r>
  <r>
    <x v="2"/>
    <s v="11-330-00-191900-53610"/>
    <x v="0"/>
    <n v="330"/>
    <n v="0"/>
    <x v="23"/>
    <n v="53610"/>
    <x v="1"/>
    <s v="53"/>
    <s v="536"/>
    <x v="1034"/>
    <s v="Oceanography : WC Teaching"/>
    <n v="322.38"/>
  </r>
  <r>
    <x v="2"/>
    <s v="11-330-00-191900-55630"/>
    <x v="0"/>
    <n v="330"/>
    <n v="0"/>
    <x v="23"/>
    <n v="55630"/>
    <x v="1"/>
    <s v="55"/>
    <s v="556"/>
    <x v="1035"/>
    <s v="Oceanography : Printing &amp; Duplicating - Inhouse"/>
    <n v="0"/>
  </r>
  <r>
    <x v="2"/>
    <s v="11-330-00-220600-51311"/>
    <x v="0"/>
    <n v="330"/>
    <n v="0"/>
    <x v="29"/>
    <n v="51311"/>
    <x v="1"/>
    <s v="51"/>
    <s v="513"/>
    <x v="1036"/>
    <s v="Geography : Academic Teaching PT"/>
    <n v="2336.6999999999998"/>
  </r>
  <r>
    <x v="2"/>
    <s v="11-330-00-220600-53110"/>
    <x v="0"/>
    <n v="330"/>
    <n v="0"/>
    <x v="29"/>
    <n v="53110"/>
    <x v="1"/>
    <s v="53"/>
    <s v="531"/>
    <x v="1037"/>
    <s v="Geography : STRS Teaching"/>
    <n v="0"/>
  </r>
  <r>
    <x v="2"/>
    <s v="11-330-00-220600-53310"/>
    <x v="0"/>
    <n v="330"/>
    <n v="0"/>
    <x v="29"/>
    <n v="53310"/>
    <x v="1"/>
    <s v="53"/>
    <s v="533"/>
    <x v="1038"/>
    <s v="Geography : OASDHI (FICA) Teaching"/>
    <n v="144.87"/>
  </r>
  <r>
    <x v="2"/>
    <s v="11-330-00-220600-53330"/>
    <x v="0"/>
    <n v="330"/>
    <n v="0"/>
    <x v="29"/>
    <n v="53330"/>
    <x v="1"/>
    <s v="53"/>
    <s v="533"/>
    <x v="1039"/>
    <s v="Geography : Medicare Teaching"/>
    <n v="33.869999999999997"/>
  </r>
  <r>
    <x v="2"/>
    <s v="11-330-00-220600-53510"/>
    <x v="0"/>
    <n v="330"/>
    <n v="0"/>
    <x v="29"/>
    <n v="53510"/>
    <x v="1"/>
    <s v="53"/>
    <s v="535"/>
    <x v="1040"/>
    <s v="Geography : SUI Teaching"/>
    <n v="1.17"/>
  </r>
  <r>
    <x v="2"/>
    <s v="11-330-00-220600-53610"/>
    <x v="0"/>
    <n v="330"/>
    <n v="0"/>
    <x v="29"/>
    <n v="53610"/>
    <x v="1"/>
    <s v="53"/>
    <s v="536"/>
    <x v="1041"/>
    <s v="Geography : WC Teaching"/>
    <n v="44.19"/>
  </r>
  <r>
    <x v="2"/>
    <s v="11-330-00-220600-55630"/>
    <x v="0"/>
    <n v="330"/>
    <n v="0"/>
    <x v="29"/>
    <n v="55630"/>
    <x v="1"/>
    <s v="55"/>
    <s v="556"/>
    <x v="1042"/>
    <s v="Geography : Printing &amp; Duplicating - Inhouse"/>
    <n v="0"/>
  </r>
  <r>
    <x v="2"/>
    <s v="11-330-00-601000-52130"/>
    <x v="0"/>
    <n v="330"/>
    <n v="0"/>
    <x v="34"/>
    <n v="52130"/>
    <x v="1"/>
    <s v="52"/>
    <s v="521"/>
    <x v="1043"/>
    <s v="Academic Administration : Classified Management"/>
    <n v="10251.799999999999"/>
  </r>
  <r>
    <x v="2"/>
    <s v="11-330-00-601000-53220"/>
    <x v="0"/>
    <n v="330"/>
    <n v="0"/>
    <x v="34"/>
    <n v="53220"/>
    <x v="1"/>
    <s v="53"/>
    <s v="532"/>
    <x v="1044"/>
    <s v="Academic Administration : PERS Nonteaching"/>
    <n v="2122.1"/>
  </r>
  <r>
    <x v="2"/>
    <s v="11-330-00-601000-53320"/>
    <x v="0"/>
    <n v="330"/>
    <n v="0"/>
    <x v="34"/>
    <n v="53320"/>
    <x v="1"/>
    <s v="53"/>
    <s v="533"/>
    <x v="1045"/>
    <s v="Academic Administration : OASDHI (FICA) Nonteaching"/>
    <n v="635.63"/>
  </r>
  <r>
    <x v="2"/>
    <s v="11-330-00-601000-53340"/>
    <x v="0"/>
    <n v="330"/>
    <n v="0"/>
    <x v="34"/>
    <n v="53340"/>
    <x v="1"/>
    <s v="53"/>
    <s v="533"/>
    <x v="1046"/>
    <s v="Academic Administration : Medicare Nonteaching"/>
    <n v="148.71"/>
  </r>
  <r>
    <x v="2"/>
    <s v="11-330-00-601000-53420"/>
    <x v="0"/>
    <n v="330"/>
    <n v="0"/>
    <x v="34"/>
    <n v="53420"/>
    <x v="1"/>
    <s v="53"/>
    <s v="534"/>
    <x v="1047"/>
    <s v="Academic Administration : H &amp; W Nonteaching"/>
    <n v="1072.6600000000001"/>
  </r>
  <r>
    <x v="2"/>
    <s v="11-330-00-601000-53520"/>
    <x v="0"/>
    <n v="330"/>
    <n v="0"/>
    <x v="34"/>
    <n v="53520"/>
    <x v="1"/>
    <s v="53"/>
    <s v="535"/>
    <x v="1048"/>
    <s v="Academic Administration : SUI Nonteaching"/>
    <n v="5.0999999999999996"/>
  </r>
  <r>
    <x v="2"/>
    <s v="11-330-00-601000-53620"/>
    <x v="0"/>
    <n v="330"/>
    <n v="0"/>
    <x v="34"/>
    <n v="53620"/>
    <x v="1"/>
    <s v="53"/>
    <s v="536"/>
    <x v="1049"/>
    <s v="Academic Administration : WC Nonteaching"/>
    <n v="193.8"/>
  </r>
  <r>
    <x v="2"/>
    <s v="11-330-00-601000-55630"/>
    <x v="0"/>
    <n v="330"/>
    <n v="0"/>
    <x v="34"/>
    <n v="55630"/>
    <x v="1"/>
    <s v="55"/>
    <s v="556"/>
    <x v="1050"/>
    <s v="Academic Administration : Printing &amp; Duplicating - Inhouse"/>
    <n v="0"/>
  </r>
  <r>
    <x v="2"/>
    <s v="11-330-00-703800-52105"/>
    <x v="0"/>
    <n v="330"/>
    <n v="0"/>
    <x v="61"/>
    <n v="52105"/>
    <x v="1"/>
    <s v="52"/>
    <s v="521"/>
    <x v="1051"/>
    <s v="MESA Grant : Classified CSEA"/>
    <n v="3388.57"/>
  </r>
  <r>
    <x v="2"/>
    <s v="11-330-00-703800-53220"/>
    <x v="0"/>
    <n v="330"/>
    <n v="0"/>
    <x v="61"/>
    <n v="53220"/>
    <x v="1"/>
    <s v="53"/>
    <s v="532"/>
    <x v="1052"/>
    <s v="MESA Grant : PERS Nonteaching"/>
    <n v="693.23"/>
  </r>
  <r>
    <x v="2"/>
    <s v="11-330-00-703800-53320"/>
    <x v="0"/>
    <n v="330"/>
    <n v="0"/>
    <x v="61"/>
    <n v="53320"/>
    <x v="1"/>
    <s v="53"/>
    <s v="533"/>
    <x v="1053"/>
    <s v="MESA Grant : OASDHI (FICA) Nonteaching"/>
    <n v="207.62"/>
  </r>
  <r>
    <x v="2"/>
    <s v="11-330-00-703800-53340"/>
    <x v="0"/>
    <n v="330"/>
    <n v="0"/>
    <x v="61"/>
    <n v="53340"/>
    <x v="1"/>
    <s v="53"/>
    <s v="533"/>
    <x v="1054"/>
    <s v="MESA Grant : Medicare Nonteaching"/>
    <n v="48.56"/>
  </r>
  <r>
    <x v="2"/>
    <s v="11-330-00-703800-53420"/>
    <x v="0"/>
    <n v="330"/>
    <n v="0"/>
    <x v="61"/>
    <n v="53420"/>
    <x v="1"/>
    <s v="53"/>
    <s v="534"/>
    <x v="1055"/>
    <s v="MESA Grant : H &amp; W Nonteaching"/>
    <n v="1571.54"/>
  </r>
  <r>
    <x v="2"/>
    <s v="11-330-00-703800-53520"/>
    <x v="0"/>
    <n v="330"/>
    <n v="0"/>
    <x v="61"/>
    <n v="53520"/>
    <x v="1"/>
    <s v="53"/>
    <s v="535"/>
    <x v="1056"/>
    <s v="MESA Grant : SUI Nonteaching"/>
    <n v="1.7"/>
  </r>
  <r>
    <x v="2"/>
    <s v="11-330-00-703800-53620"/>
    <x v="0"/>
    <n v="330"/>
    <n v="0"/>
    <x v="61"/>
    <n v="53620"/>
    <x v="1"/>
    <s v="53"/>
    <s v="536"/>
    <x v="1057"/>
    <s v="MESA Grant : WC Nonteaching"/>
    <n v="64.069999999999993"/>
  </r>
  <r>
    <x v="2"/>
    <s v="11-330-01-070100-51100"/>
    <x v="0"/>
    <n v="330"/>
    <n v="1"/>
    <x v="13"/>
    <n v="51100"/>
    <x v="1"/>
    <s v="51"/>
    <s v="511"/>
    <x v="1058"/>
    <s v="Computer &amp; Information Science : Academic Teaching Full-time"/>
    <n v="211518.99"/>
  </r>
  <r>
    <x v="2"/>
    <s v="11-330-01-070100-51310"/>
    <x v="0"/>
    <n v="330"/>
    <n v="1"/>
    <x v="13"/>
    <n v="51310"/>
    <x v="1"/>
    <s v="51"/>
    <s v="513"/>
    <x v="1059"/>
    <s v="Computer &amp; Information Science : Academic Teaching NIC"/>
    <n v="29606.76"/>
  </r>
  <r>
    <x v="2"/>
    <s v="11-330-01-070100-53110"/>
    <x v="0"/>
    <n v="330"/>
    <n v="1"/>
    <x v="13"/>
    <n v="53110"/>
    <x v="1"/>
    <s v="53"/>
    <s v="531"/>
    <x v="1060"/>
    <s v="Computer &amp; Information Science : STRS Teaching"/>
    <n v="38941.879999999997"/>
  </r>
  <r>
    <x v="2"/>
    <s v="11-330-01-070100-53330"/>
    <x v="0"/>
    <n v="330"/>
    <n v="1"/>
    <x v="13"/>
    <n v="53330"/>
    <x v="1"/>
    <s v="53"/>
    <s v="533"/>
    <x v="1061"/>
    <s v="Computer &amp; Information Science : Medicare Teaching"/>
    <n v="3491"/>
  </r>
  <r>
    <x v="2"/>
    <s v="11-330-01-070100-53410"/>
    <x v="0"/>
    <n v="330"/>
    <n v="1"/>
    <x v="13"/>
    <n v="53410"/>
    <x v="1"/>
    <s v="53"/>
    <s v="534"/>
    <x v="1062"/>
    <s v="Computer &amp; Information Science : H &amp; W Teaching"/>
    <n v="49477.91"/>
  </r>
  <r>
    <x v="2"/>
    <s v="11-330-01-070100-53510"/>
    <x v="0"/>
    <n v="330"/>
    <n v="1"/>
    <x v="13"/>
    <n v="53510"/>
    <x v="1"/>
    <s v="53"/>
    <s v="535"/>
    <x v="1063"/>
    <s v="Computer &amp; Information Science : SUI Teaching"/>
    <n v="120.56"/>
  </r>
  <r>
    <x v="2"/>
    <s v="11-330-01-070100-53610"/>
    <x v="0"/>
    <n v="330"/>
    <n v="1"/>
    <x v="13"/>
    <n v="53610"/>
    <x v="1"/>
    <s v="53"/>
    <s v="536"/>
    <x v="1064"/>
    <s v="Computer &amp; Information Science : WC Teaching"/>
    <n v="4559.2299999999996"/>
  </r>
  <r>
    <x v="2"/>
    <s v="11-330-01-070100-53910"/>
    <x v="0"/>
    <n v="330"/>
    <n v="1"/>
    <x v="13"/>
    <n v="53910"/>
    <x v="1"/>
    <s v="53"/>
    <s v="539"/>
    <x v="1065"/>
    <s v="Computer &amp; Information Science : Other Benefit-Teaching"/>
    <n v="1745.44"/>
  </r>
  <r>
    <x v="2"/>
    <s v="11-330-01-070100-54300"/>
    <x v="0"/>
    <n v="330"/>
    <n v="1"/>
    <x v="13"/>
    <n v="54300"/>
    <x v="1"/>
    <s v="54"/>
    <s v="543"/>
    <x v="1066"/>
    <s v="Computer &amp; Information Science : Supplies &amp; Materials"/>
    <n v="0"/>
  </r>
  <r>
    <x v="2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0"/>
  </r>
  <r>
    <x v="2"/>
    <s v="11-330-01-070100-55650"/>
    <x v="0"/>
    <n v="330"/>
    <n v="1"/>
    <x v="13"/>
    <n v="55650"/>
    <x v="1"/>
    <s v="55"/>
    <s v="556"/>
    <x v="1068"/>
    <s v="Computer &amp; Information Science : Maintenance Agreement"/>
    <n v="0"/>
  </r>
  <r>
    <x v="2"/>
    <s v="11-330-01-090100-51100"/>
    <x v="0"/>
    <n v="330"/>
    <n v="1"/>
    <x v="75"/>
    <n v="51100"/>
    <x v="1"/>
    <s v="51"/>
    <s v="511"/>
    <x v="1069"/>
    <s v="Engineering : Academic Teaching Full-time"/>
    <n v="17050.23"/>
  </r>
  <r>
    <x v="2"/>
    <s v="11-330-01-090100-53110"/>
    <x v="0"/>
    <n v="330"/>
    <n v="1"/>
    <x v="75"/>
    <n v="53110"/>
    <x v="1"/>
    <s v="53"/>
    <s v="531"/>
    <x v="1070"/>
    <s v="Engineering : STRS Teaching"/>
    <n v="2753.64"/>
  </r>
  <r>
    <x v="2"/>
    <s v="11-330-01-090100-53330"/>
    <x v="0"/>
    <n v="330"/>
    <n v="1"/>
    <x v="75"/>
    <n v="53330"/>
    <x v="1"/>
    <s v="53"/>
    <s v="533"/>
    <x v="1071"/>
    <s v="Engineering : Medicare Teaching"/>
    <n v="244.79"/>
  </r>
  <r>
    <x v="2"/>
    <s v="11-330-01-090100-53410"/>
    <x v="0"/>
    <n v="330"/>
    <n v="1"/>
    <x v="75"/>
    <n v="53410"/>
    <x v="1"/>
    <s v="53"/>
    <s v="534"/>
    <x v="1072"/>
    <s v="Engineering : H &amp; W Teaching"/>
    <n v="5333.19"/>
  </r>
  <r>
    <x v="2"/>
    <s v="11-330-01-090100-53510"/>
    <x v="0"/>
    <n v="330"/>
    <n v="1"/>
    <x v="75"/>
    <n v="53510"/>
    <x v="1"/>
    <s v="53"/>
    <s v="535"/>
    <x v="1073"/>
    <s v="Engineering : SUI Teaching"/>
    <n v="8.5500000000000007"/>
  </r>
  <r>
    <x v="2"/>
    <s v="11-330-01-090100-53610"/>
    <x v="0"/>
    <n v="330"/>
    <n v="1"/>
    <x v="75"/>
    <n v="53610"/>
    <x v="1"/>
    <s v="53"/>
    <s v="536"/>
    <x v="1074"/>
    <s v="Engineering : WC Teaching"/>
    <n v="322.38"/>
  </r>
  <r>
    <x v="2"/>
    <s v="11-330-01-090100-55630"/>
    <x v="0"/>
    <n v="330"/>
    <n v="1"/>
    <x v="75"/>
    <n v="55630"/>
    <x v="1"/>
    <s v="55"/>
    <s v="556"/>
    <x v="1075"/>
    <s v="Engineering : Printing &amp; Duplicating - Inhouse"/>
    <n v="0"/>
  </r>
  <r>
    <x v="2"/>
    <s v="11-335-00-120300-51100"/>
    <x v="0"/>
    <n v="335"/>
    <n v="0"/>
    <x v="79"/>
    <n v="51100"/>
    <x v="1"/>
    <s v="51"/>
    <s v="511"/>
    <x v="1076"/>
    <s v="Nursing - RN : Academic Teaching Full-time"/>
    <n v="534102.39"/>
  </r>
  <r>
    <x v="2"/>
    <s v="11-335-00-120300-51310"/>
    <x v="0"/>
    <n v="335"/>
    <n v="0"/>
    <x v="79"/>
    <n v="51310"/>
    <x v="1"/>
    <s v="51"/>
    <s v="513"/>
    <x v="1077"/>
    <s v="Nursing - RN : Academic Teaching NIC"/>
    <n v="5365.62"/>
  </r>
  <r>
    <x v="2"/>
    <s v="11-335-00-120300-51311"/>
    <x v="0"/>
    <n v="335"/>
    <n v="0"/>
    <x v="79"/>
    <n v="51311"/>
    <x v="1"/>
    <s v="51"/>
    <s v="513"/>
    <x v="1078"/>
    <s v="Nursing - RN : Academic Teaching PT"/>
    <n v="76968.210000000006"/>
  </r>
  <r>
    <x v="2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2"/>
    <s v="11-335-00-120300-52360"/>
    <x v="0"/>
    <n v="335"/>
    <n v="0"/>
    <x v="79"/>
    <n v="52360"/>
    <x v="1"/>
    <s v="52"/>
    <s v="523"/>
    <x v="1080"/>
    <s v="Nursing - RN : Class Nonstu NonIA PT Prof Exp"/>
    <n v="0"/>
  </r>
  <r>
    <x v="2"/>
    <s v="11-335-00-120300-53110"/>
    <x v="0"/>
    <n v="335"/>
    <n v="0"/>
    <x v="79"/>
    <n v="53110"/>
    <x v="1"/>
    <s v="53"/>
    <s v="531"/>
    <x v="1081"/>
    <s v="Nursing - RN : STRS Teaching"/>
    <n v="91693.63"/>
  </r>
  <r>
    <x v="2"/>
    <s v="11-335-00-120300-53120"/>
    <x v="0"/>
    <n v="335"/>
    <n v="0"/>
    <x v="79"/>
    <n v="53120"/>
    <x v="1"/>
    <s v="53"/>
    <s v="531"/>
    <x v="1082"/>
    <s v="Nursing - RN : STRS Nonteaching"/>
    <n v="0"/>
  </r>
  <r>
    <x v="2"/>
    <s v="11-335-00-120300-53310"/>
    <x v="0"/>
    <n v="335"/>
    <n v="0"/>
    <x v="79"/>
    <n v="53310"/>
    <x v="1"/>
    <s v="53"/>
    <s v="533"/>
    <x v="1083"/>
    <s v="Nursing - RN : OASDHI (FICA) Teaching"/>
    <n v="3017.83"/>
  </r>
  <r>
    <x v="2"/>
    <s v="11-335-00-120300-53320"/>
    <x v="0"/>
    <n v="335"/>
    <n v="0"/>
    <x v="79"/>
    <n v="53320"/>
    <x v="1"/>
    <s v="53"/>
    <s v="533"/>
    <x v="1084"/>
    <s v="Nursing - RN : OASDHI (FICA) Nonteaching"/>
    <n v="111.6"/>
  </r>
  <r>
    <x v="2"/>
    <s v="11-335-00-120300-53330"/>
    <x v="0"/>
    <n v="335"/>
    <n v="0"/>
    <x v="79"/>
    <n v="53330"/>
    <x v="1"/>
    <s v="53"/>
    <s v="533"/>
    <x v="1085"/>
    <s v="Nursing - RN : Medicare Teaching"/>
    <n v="8860.56"/>
  </r>
  <r>
    <x v="2"/>
    <s v="11-335-00-120300-53340"/>
    <x v="0"/>
    <n v="335"/>
    <n v="0"/>
    <x v="79"/>
    <n v="53340"/>
    <x v="1"/>
    <s v="53"/>
    <s v="533"/>
    <x v="1086"/>
    <s v="Nursing - RN : Medicare Nonteaching"/>
    <n v="26.1"/>
  </r>
  <r>
    <x v="2"/>
    <s v="11-335-00-120300-53410"/>
    <x v="0"/>
    <n v="335"/>
    <n v="0"/>
    <x v="79"/>
    <n v="53410"/>
    <x v="1"/>
    <s v="53"/>
    <s v="534"/>
    <x v="1087"/>
    <s v="Nursing - RN : H &amp; W Teaching"/>
    <n v="111524.54"/>
  </r>
  <r>
    <x v="2"/>
    <s v="11-335-00-120300-53420"/>
    <x v="0"/>
    <n v="335"/>
    <n v="0"/>
    <x v="79"/>
    <n v="53420"/>
    <x v="1"/>
    <s v="53"/>
    <s v="534"/>
    <x v="1088"/>
    <s v="Nursing - RN : H &amp; W Nonteaching"/>
    <n v="-714.54"/>
  </r>
  <r>
    <x v="2"/>
    <s v="11-335-00-120300-53510"/>
    <x v="0"/>
    <n v="335"/>
    <n v="0"/>
    <x v="79"/>
    <n v="53510"/>
    <x v="1"/>
    <s v="53"/>
    <s v="535"/>
    <x v="1089"/>
    <s v="Nursing - RN : SUI Teaching"/>
    <n v="307.14999999999998"/>
  </r>
  <r>
    <x v="2"/>
    <s v="11-335-00-120300-53520"/>
    <x v="0"/>
    <n v="335"/>
    <n v="0"/>
    <x v="79"/>
    <n v="53520"/>
    <x v="1"/>
    <s v="53"/>
    <s v="535"/>
    <x v="1090"/>
    <s v="Nursing - RN : SUI Nonteaching"/>
    <n v="0.9"/>
  </r>
  <r>
    <x v="2"/>
    <s v="11-335-00-120300-53610"/>
    <x v="0"/>
    <n v="335"/>
    <n v="0"/>
    <x v="79"/>
    <n v="53610"/>
    <x v="1"/>
    <s v="53"/>
    <s v="536"/>
    <x v="1091"/>
    <s v="Nursing - RN : WC Teaching"/>
    <n v="11655.68"/>
  </r>
  <r>
    <x v="2"/>
    <s v="11-335-00-120300-53620"/>
    <x v="0"/>
    <n v="335"/>
    <n v="0"/>
    <x v="79"/>
    <n v="53620"/>
    <x v="1"/>
    <s v="53"/>
    <s v="536"/>
    <x v="1092"/>
    <s v="Nursing - RN : WC Nonteaching"/>
    <n v="34.03"/>
  </r>
  <r>
    <x v="2"/>
    <s v="11-335-00-120300-54300"/>
    <x v="0"/>
    <n v="335"/>
    <n v="0"/>
    <x v="79"/>
    <n v="54300"/>
    <x v="1"/>
    <s v="54"/>
    <s v="543"/>
    <x v="1093"/>
    <s v="Nursing - RN : Supplies &amp; Materials"/>
    <n v="2007.4499999999998"/>
  </r>
  <r>
    <x v="2"/>
    <s v="11-335-00-120300-55200"/>
    <x v="0"/>
    <n v="335"/>
    <n v="0"/>
    <x v="79"/>
    <n v="55200"/>
    <x v="1"/>
    <s v="55"/>
    <s v="552"/>
    <x v="1094"/>
    <s v="Nursing - RN : Travel &amp; Conference"/>
    <n v="0"/>
  </r>
  <r>
    <x v="2"/>
    <s v="11-335-00-120300-55300"/>
    <x v="0"/>
    <n v="335"/>
    <n v="0"/>
    <x v="79"/>
    <n v="55300"/>
    <x v="1"/>
    <s v="55"/>
    <s v="553"/>
    <x v="1095"/>
    <s v="Nursing - RN : Memberships"/>
    <n v="10591.96"/>
  </r>
  <r>
    <x v="2"/>
    <s v="11-335-00-120300-55625"/>
    <x v="0"/>
    <n v="335"/>
    <n v="0"/>
    <x v="79"/>
    <n v="55625"/>
    <x v="1"/>
    <s v="55"/>
    <s v="556"/>
    <x v="1096"/>
    <s v="Nursing - RN : Inprocessing Costs"/>
    <n v="38.5"/>
  </r>
  <r>
    <x v="2"/>
    <s v="11-335-00-120300-55630"/>
    <x v="0"/>
    <n v="335"/>
    <n v="0"/>
    <x v="79"/>
    <n v="55630"/>
    <x v="1"/>
    <s v="55"/>
    <s v="556"/>
    <x v="1097"/>
    <s v="Nursing - RN : Printing &amp; Duplicating - Inhouse"/>
    <n v="123.59"/>
  </r>
  <r>
    <x v="2"/>
    <s v="11-335-00-120300-55650"/>
    <x v="0"/>
    <n v="335"/>
    <n v="0"/>
    <x v="79"/>
    <n v="55650"/>
    <x v="1"/>
    <s v="55"/>
    <s v="556"/>
    <x v="1098"/>
    <s v="Nursing - RN : Maintenance Agreement"/>
    <n v="10299.99"/>
  </r>
  <r>
    <x v="2"/>
    <s v="11-335-00-120320-51100"/>
    <x v="0"/>
    <n v="335"/>
    <n v="0"/>
    <x v="80"/>
    <n v="51100"/>
    <x v="1"/>
    <s v="51"/>
    <s v="511"/>
    <x v="1099"/>
    <s v="Nursing - LVN : Academic Teaching Full-time"/>
    <n v="142492.5"/>
  </r>
  <r>
    <x v="2"/>
    <s v="11-335-00-120320-51310"/>
    <x v="0"/>
    <n v="335"/>
    <n v="0"/>
    <x v="80"/>
    <n v="51310"/>
    <x v="1"/>
    <s v="51"/>
    <s v="513"/>
    <x v="1100"/>
    <s v="Nursing - LVN : Academic Teaching NIC"/>
    <n v="3746.15"/>
  </r>
  <r>
    <x v="2"/>
    <s v="11-335-00-120320-51311"/>
    <x v="0"/>
    <n v="335"/>
    <n v="0"/>
    <x v="80"/>
    <n v="51311"/>
    <x v="1"/>
    <s v="51"/>
    <s v="513"/>
    <x v="1101"/>
    <s v="Nursing - LVN : Academic Teaching PT"/>
    <n v="71994.87"/>
  </r>
  <r>
    <x v="2"/>
    <s v="11-335-00-120320-53110"/>
    <x v="0"/>
    <n v="335"/>
    <n v="0"/>
    <x v="80"/>
    <n v="53110"/>
    <x v="1"/>
    <s v="53"/>
    <s v="531"/>
    <x v="1102"/>
    <s v="Nursing - LVN : STRS Teaching"/>
    <n v="32231.49"/>
  </r>
  <r>
    <x v="2"/>
    <s v="11-335-00-120320-53310"/>
    <x v="0"/>
    <n v="335"/>
    <n v="0"/>
    <x v="80"/>
    <n v="53310"/>
    <x v="1"/>
    <s v="53"/>
    <s v="533"/>
    <x v="1103"/>
    <s v="Nursing - LVN : OASDHI (FICA) Teaching"/>
    <n v="1161.27"/>
  </r>
  <r>
    <x v="2"/>
    <s v="11-335-00-120320-53330"/>
    <x v="0"/>
    <n v="335"/>
    <n v="0"/>
    <x v="80"/>
    <n v="53330"/>
    <x v="1"/>
    <s v="53"/>
    <s v="533"/>
    <x v="1104"/>
    <s v="Nursing - LVN : Medicare Teaching"/>
    <n v="3146.01"/>
  </r>
  <r>
    <x v="2"/>
    <s v="11-335-00-120320-53410"/>
    <x v="0"/>
    <n v="335"/>
    <n v="0"/>
    <x v="80"/>
    <n v="53410"/>
    <x v="1"/>
    <s v="53"/>
    <s v="534"/>
    <x v="1105"/>
    <s v="Nursing - LVN : H &amp; W Teaching"/>
    <n v="39999.230000000003"/>
  </r>
  <r>
    <x v="2"/>
    <s v="11-335-00-120320-53510"/>
    <x v="0"/>
    <n v="335"/>
    <n v="0"/>
    <x v="80"/>
    <n v="53510"/>
    <x v="1"/>
    <s v="53"/>
    <s v="535"/>
    <x v="1106"/>
    <s v="Nursing - LVN : SUI Teaching"/>
    <n v="109.14"/>
  </r>
  <r>
    <x v="2"/>
    <s v="11-335-00-120320-53610"/>
    <x v="0"/>
    <n v="335"/>
    <n v="0"/>
    <x v="80"/>
    <n v="53610"/>
    <x v="1"/>
    <s v="53"/>
    <s v="536"/>
    <x v="1107"/>
    <s v="Nursing - LVN : WC Teaching"/>
    <n v="4126.3100000000004"/>
  </r>
  <r>
    <x v="2"/>
    <s v="11-335-00-120320-55200"/>
    <x v="0"/>
    <n v="335"/>
    <n v="0"/>
    <x v="80"/>
    <n v="55200"/>
    <x v="1"/>
    <s v="55"/>
    <s v="552"/>
    <x v="1108"/>
    <s v="Nursing - LVN : Travel &amp; Conference"/>
    <n v="0"/>
  </r>
  <r>
    <x v="2"/>
    <s v="11-335-00-120320-55630"/>
    <x v="0"/>
    <n v="335"/>
    <n v="0"/>
    <x v="80"/>
    <n v="55630"/>
    <x v="1"/>
    <s v="55"/>
    <s v="556"/>
    <x v="1109"/>
    <s v="Nursing - LVN : Printing &amp; Duplicating - Inhouse"/>
    <n v="11.88"/>
  </r>
  <r>
    <x v="2"/>
    <s v="11-335-00-120400-51100"/>
    <x v="0"/>
    <n v="335"/>
    <n v="0"/>
    <x v="81"/>
    <n v="51100"/>
    <x v="1"/>
    <s v="51"/>
    <s v="511"/>
    <x v="1110"/>
    <s v="Respiratory Care Program : Academic Teaching Full-time"/>
    <n v="154859.04"/>
  </r>
  <r>
    <x v="2"/>
    <s v="11-335-00-120400-51310"/>
    <x v="0"/>
    <n v="335"/>
    <n v="0"/>
    <x v="81"/>
    <n v="51310"/>
    <x v="1"/>
    <s v="51"/>
    <s v="513"/>
    <x v="1111"/>
    <s v="Respiratory Care Program : Academic Teaching NIC"/>
    <n v="5986.44"/>
  </r>
  <r>
    <x v="2"/>
    <s v="11-335-00-120400-51311"/>
    <x v="0"/>
    <n v="335"/>
    <n v="0"/>
    <x v="81"/>
    <n v="51311"/>
    <x v="1"/>
    <s v="51"/>
    <s v="513"/>
    <x v="1112"/>
    <s v="Respiratory Care Program : Academic Teaching PT"/>
    <n v="72719.850000000006"/>
  </r>
  <r>
    <x v="2"/>
    <s v="11-335-00-120400-53110"/>
    <x v="0"/>
    <n v="335"/>
    <n v="0"/>
    <x v="81"/>
    <n v="53110"/>
    <x v="1"/>
    <s v="53"/>
    <s v="531"/>
    <x v="1113"/>
    <s v="Respiratory Care Program : STRS Teaching"/>
    <n v="35859.050000000003"/>
  </r>
  <r>
    <x v="2"/>
    <s v="11-335-00-120400-53310"/>
    <x v="0"/>
    <n v="335"/>
    <n v="0"/>
    <x v="81"/>
    <n v="53310"/>
    <x v="1"/>
    <s v="53"/>
    <s v="533"/>
    <x v="1114"/>
    <s v="Respiratory Care Program : OASDHI (FICA) Teaching"/>
    <n v="714.76"/>
  </r>
  <r>
    <x v="2"/>
    <s v="11-335-00-120400-53330"/>
    <x v="0"/>
    <n v="335"/>
    <n v="0"/>
    <x v="81"/>
    <n v="53330"/>
    <x v="1"/>
    <s v="53"/>
    <s v="533"/>
    <x v="1115"/>
    <s v="Respiratory Care Program : Medicare Teaching"/>
    <n v="3374.88"/>
  </r>
  <r>
    <x v="2"/>
    <s v="11-335-00-120400-53410"/>
    <x v="0"/>
    <n v="335"/>
    <n v="0"/>
    <x v="81"/>
    <n v="53410"/>
    <x v="1"/>
    <s v="53"/>
    <s v="534"/>
    <x v="1116"/>
    <s v="Respiratory Care Program : H &amp; W Teaching"/>
    <n v="34541.339999999997"/>
  </r>
  <r>
    <x v="2"/>
    <s v="11-335-00-120400-53510"/>
    <x v="0"/>
    <n v="335"/>
    <n v="0"/>
    <x v="81"/>
    <n v="53510"/>
    <x v="1"/>
    <s v="53"/>
    <s v="535"/>
    <x v="1117"/>
    <s v="Respiratory Care Program : SUI Teaching"/>
    <n v="116.79"/>
  </r>
  <r>
    <x v="2"/>
    <s v="11-335-00-120400-53610"/>
    <x v="0"/>
    <n v="335"/>
    <n v="0"/>
    <x v="81"/>
    <n v="53610"/>
    <x v="1"/>
    <s v="53"/>
    <s v="536"/>
    <x v="1118"/>
    <s v="Respiratory Care Program : WC Teaching"/>
    <n v="4416.25"/>
  </r>
  <r>
    <x v="2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2"/>
    <s v="11-335-00-120400-54300"/>
    <x v="0"/>
    <n v="335"/>
    <n v="0"/>
    <x v="81"/>
    <n v="54300"/>
    <x v="1"/>
    <s v="54"/>
    <s v="543"/>
    <x v="1120"/>
    <s v="Respiratory Care Program : Supplies &amp; Materials"/>
    <n v="2599.92"/>
  </r>
  <r>
    <x v="2"/>
    <s v="11-335-00-120400-55309"/>
    <x v="0"/>
    <n v="335"/>
    <n v="0"/>
    <x v="81"/>
    <n v="55309"/>
    <x v="1"/>
    <s v="55"/>
    <s v="553"/>
    <x v="1121"/>
    <s v="Respiratory Care Program : Subscriptions"/>
    <n v="1275"/>
  </r>
  <r>
    <x v="2"/>
    <s v="11-335-00-120400-55630"/>
    <x v="0"/>
    <n v="335"/>
    <n v="0"/>
    <x v="81"/>
    <n v="55630"/>
    <x v="1"/>
    <s v="55"/>
    <s v="556"/>
    <x v="1122"/>
    <s v="Respiratory Care Program : Printing &amp; Duplicating - Inhouse"/>
    <n v="0"/>
  </r>
  <r>
    <x v="2"/>
    <s v="11-335-00-120400-55650"/>
    <x v="0"/>
    <n v="335"/>
    <n v="0"/>
    <x v="81"/>
    <n v="55650"/>
    <x v="1"/>
    <s v="55"/>
    <s v="556"/>
    <x v="1123"/>
    <s v="Respiratory Care Program : Maintenance Agreement"/>
    <n v="2500.0100000000002"/>
  </r>
  <r>
    <x v="2"/>
    <s v="11-335-00-125000-51310"/>
    <x v="0"/>
    <n v="335"/>
    <n v="0"/>
    <x v="82"/>
    <n v="51310"/>
    <x v="1"/>
    <s v="51"/>
    <s v="513"/>
    <x v="1124"/>
    <s v="Mobile Intensive Care Paramedic : Academic Teaching NIC"/>
    <n v="1113.98"/>
  </r>
  <r>
    <x v="2"/>
    <s v="11-335-00-125000-51311"/>
    <x v="0"/>
    <n v="335"/>
    <n v="0"/>
    <x v="82"/>
    <n v="51311"/>
    <x v="1"/>
    <s v="51"/>
    <s v="513"/>
    <x v="1125"/>
    <s v="Mobile Intensive Care Paramedic : Academic Teaching PT"/>
    <n v="4635.96"/>
  </r>
  <r>
    <x v="2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7050.3"/>
  </r>
  <r>
    <x v="2"/>
    <s v="11-335-00-125000-53110"/>
    <x v="0"/>
    <n v="335"/>
    <n v="0"/>
    <x v="82"/>
    <n v="53110"/>
    <x v="1"/>
    <s v="53"/>
    <s v="531"/>
    <x v="1127"/>
    <s v="Mobile Intensive Care Paramedic : STRS Teaching"/>
    <n v="781"/>
  </r>
  <r>
    <x v="2"/>
    <s v="11-335-00-125000-53310"/>
    <x v="0"/>
    <n v="335"/>
    <n v="0"/>
    <x v="82"/>
    <n v="53310"/>
    <x v="1"/>
    <s v="53"/>
    <s v="533"/>
    <x v="1128"/>
    <s v="Mobile Intensive Care Paramedic : OASDHI (FICA) Teaching"/>
    <n v="464.67"/>
  </r>
  <r>
    <x v="2"/>
    <s v="11-335-00-125000-53330"/>
    <x v="0"/>
    <n v="335"/>
    <n v="0"/>
    <x v="82"/>
    <n v="53330"/>
    <x v="1"/>
    <s v="53"/>
    <s v="533"/>
    <x v="1129"/>
    <s v="Mobile Intensive Care Paramedic : Medicare Teaching"/>
    <n v="178.83"/>
  </r>
  <r>
    <x v="2"/>
    <s v="11-335-00-125000-53410"/>
    <x v="0"/>
    <n v="335"/>
    <n v="0"/>
    <x v="82"/>
    <n v="53410"/>
    <x v="1"/>
    <s v="53"/>
    <s v="534"/>
    <x v="1130"/>
    <s v="Mobile Intensive Care Paramedic : H &amp; W Teaching"/>
    <n v="220.9"/>
  </r>
  <r>
    <x v="2"/>
    <s v="11-335-00-125000-53510"/>
    <x v="0"/>
    <n v="335"/>
    <n v="0"/>
    <x v="82"/>
    <n v="53510"/>
    <x v="1"/>
    <s v="53"/>
    <s v="535"/>
    <x v="1131"/>
    <s v="Mobile Intensive Care Paramedic : SUI Teaching"/>
    <n v="6.15"/>
  </r>
  <r>
    <x v="2"/>
    <s v="11-335-00-125000-53610"/>
    <x v="0"/>
    <n v="335"/>
    <n v="0"/>
    <x v="82"/>
    <n v="53610"/>
    <x v="1"/>
    <s v="53"/>
    <s v="536"/>
    <x v="1132"/>
    <s v="Mobile Intensive Care Paramedic : WC Teaching"/>
    <n v="242.06"/>
  </r>
  <r>
    <x v="2"/>
    <s v="11-335-00-125000-53910"/>
    <x v="0"/>
    <n v="335"/>
    <n v="0"/>
    <x v="82"/>
    <n v="53910"/>
    <x v="1"/>
    <s v="53"/>
    <s v="539"/>
    <x v="1133"/>
    <s v="Mobile Intensive Care Paramedic : Other Benefit-Teaching"/>
    <n v="22.64"/>
  </r>
  <r>
    <x v="2"/>
    <s v="11-335-00-125000-54300"/>
    <x v="0"/>
    <n v="335"/>
    <n v="0"/>
    <x v="82"/>
    <n v="54300"/>
    <x v="1"/>
    <s v="54"/>
    <s v="543"/>
    <x v="1134"/>
    <s v="Mobile Intensive Care Paramedic : Supplies &amp; Materials"/>
    <n v="2715.03"/>
  </r>
  <r>
    <x v="2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33.409999999999997"/>
  </r>
  <r>
    <x v="2"/>
    <s v="11-335-00-126000-51310"/>
    <x v="0"/>
    <n v="335"/>
    <n v="0"/>
    <x v="83"/>
    <n v="51310"/>
    <x v="1"/>
    <s v="51"/>
    <s v="513"/>
    <x v="1136"/>
    <s v="Health Professions : Academic Teaching NIC"/>
    <n v="3425.52"/>
  </r>
  <r>
    <x v="2"/>
    <s v="11-335-00-126000-51311"/>
    <x v="0"/>
    <n v="335"/>
    <n v="0"/>
    <x v="83"/>
    <n v="51311"/>
    <x v="1"/>
    <s v="51"/>
    <s v="513"/>
    <x v="1137"/>
    <s v="Health Professions : Academic Teaching PT"/>
    <n v="16801.400000000001"/>
  </r>
  <r>
    <x v="2"/>
    <s v="11-335-00-126000-52400"/>
    <x v="0"/>
    <n v="335"/>
    <n v="0"/>
    <x v="83"/>
    <n v="52400"/>
    <x v="1"/>
    <s v="52"/>
    <s v="524"/>
    <x v="1138"/>
    <s v="Health Professions : Classified Nonstudent Instructional Aides PT"/>
    <n v="0"/>
  </r>
  <r>
    <x v="2"/>
    <s v="11-335-00-126000-53110"/>
    <x v="0"/>
    <n v="335"/>
    <n v="0"/>
    <x v="83"/>
    <n v="53110"/>
    <x v="1"/>
    <s v="53"/>
    <s v="531"/>
    <x v="1139"/>
    <s v="Health Professions : STRS Teaching"/>
    <n v="104.1"/>
  </r>
  <r>
    <x v="2"/>
    <s v="11-335-00-126000-53310"/>
    <x v="0"/>
    <n v="335"/>
    <n v="0"/>
    <x v="83"/>
    <n v="53310"/>
    <x v="1"/>
    <s v="53"/>
    <s v="533"/>
    <x v="1140"/>
    <s v="Health Professions : OASDHI (FICA) Teaching"/>
    <n v="467.49"/>
  </r>
  <r>
    <x v="2"/>
    <s v="11-335-00-126000-53330"/>
    <x v="0"/>
    <n v="335"/>
    <n v="0"/>
    <x v="83"/>
    <n v="53330"/>
    <x v="1"/>
    <s v="53"/>
    <s v="533"/>
    <x v="1141"/>
    <s v="Health Professions : Medicare Teaching"/>
    <n v="293.3"/>
  </r>
  <r>
    <x v="2"/>
    <s v="11-335-00-126000-53410"/>
    <x v="0"/>
    <n v="335"/>
    <n v="0"/>
    <x v="83"/>
    <n v="53410"/>
    <x v="1"/>
    <s v="53"/>
    <s v="534"/>
    <x v="1142"/>
    <s v="Health Professions : H &amp; W Teaching"/>
    <n v="172.85"/>
  </r>
  <r>
    <x v="2"/>
    <s v="11-335-00-126000-53510"/>
    <x v="0"/>
    <n v="335"/>
    <n v="0"/>
    <x v="83"/>
    <n v="53510"/>
    <x v="1"/>
    <s v="53"/>
    <s v="535"/>
    <x v="1143"/>
    <s v="Health Professions : SUI Teaching"/>
    <n v="10.09"/>
  </r>
  <r>
    <x v="2"/>
    <s v="11-335-00-126000-53610"/>
    <x v="0"/>
    <n v="335"/>
    <n v="0"/>
    <x v="83"/>
    <n v="53610"/>
    <x v="1"/>
    <s v="53"/>
    <s v="536"/>
    <x v="1144"/>
    <s v="Health Professions : WC Teaching"/>
    <n v="382.47"/>
  </r>
  <r>
    <x v="2"/>
    <s v="11-335-00-126000-53910"/>
    <x v="0"/>
    <n v="335"/>
    <n v="0"/>
    <x v="83"/>
    <n v="53910"/>
    <x v="1"/>
    <s v="53"/>
    <s v="539"/>
    <x v="1145"/>
    <s v="Health Professions : Other Benefit-Teaching"/>
    <n v="19.07"/>
  </r>
  <r>
    <x v="2"/>
    <s v="11-335-00-126000-54300"/>
    <x v="0"/>
    <n v="335"/>
    <n v="0"/>
    <x v="83"/>
    <n v="54300"/>
    <x v="1"/>
    <s v="54"/>
    <s v="543"/>
    <x v="1146"/>
    <s v="Health Professions : Supplies &amp; Materials"/>
    <n v="465.17"/>
  </r>
  <r>
    <x v="2"/>
    <s v="11-335-00-601000-51210"/>
    <x v="0"/>
    <n v="335"/>
    <n v="0"/>
    <x v="34"/>
    <n v="51210"/>
    <x v="1"/>
    <s v="51"/>
    <s v="512"/>
    <x v="1147"/>
    <s v="Academic Administration : Academic Nonteaching Management"/>
    <n v="120274.24000000001"/>
  </r>
  <r>
    <x v="2"/>
    <s v="11-335-00-601000-52105"/>
    <x v="0"/>
    <n v="335"/>
    <n v="0"/>
    <x v="34"/>
    <n v="52105"/>
    <x v="1"/>
    <s v="52"/>
    <s v="521"/>
    <x v="1148"/>
    <s v="Academic Administration : Classified CSEA"/>
    <n v="85954.25"/>
  </r>
  <r>
    <x v="2"/>
    <s v="11-335-00-601000-53120"/>
    <x v="0"/>
    <n v="335"/>
    <n v="0"/>
    <x v="34"/>
    <n v="53120"/>
    <x v="1"/>
    <s v="53"/>
    <s v="531"/>
    <x v="1149"/>
    <s v="Academic Administration : STRS Nonteaching"/>
    <n v="19425.21"/>
  </r>
  <r>
    <x v="2"/>
    <s v="11-335-00-601000-53220"/>
    <x v="0"/>
    <n v="335"/>
    <n v="0"/>
    <x v="34"/>
    <n v="53220"/>
    <x v="1"/>
    <s v="53"/>
    <s v="532"/>
    <x v="1150"/>
    <s v="Academic Administration : PERS Nonteaching"/>
    <n v="17793.75"/>
  </r>
  <r>
    <x v="2"/>
    <s v="11-335-00-601000-53320"/>
    <x v="0"/>
    <n v="335"/>
    <n v="0"/>
    <x v="34"/>
    <n v="53320"/>
    <x v="1"/>
    <s v="53"/>
    <s v="533"/>
    <x v="1151"/>
    <s v="Academic Administration : OASDHI (FICA) Nonteaching"/>
    <n v="5265.36"/>
  </r>
  <r>
    <x v="2"/>
    <s v="11-335-00-601000-53340"/>
    <x v="0"/>
    <n v="335"/>
    <n v="0"/>
    <x v="34"/>
    <n v="53340"/>
    <x v="1"/>
    <s v="53"/>
    <s v="533"/>
    <x v="1152"/>
    <s v="Academic Administration : Medicare Nonteaching"/>
    <n v="2975.34"/>
  </r>
  <r>
    <x v="2"/>
    <s v="11-335-00-601000-53420"/>
    <x v="0"/>
    <n v="335"/>
    <n v="0"/>
    <x v="34"/>
    <n v="53420"/>
    <x v="1"/>
    <s v="53"/>
    <s v="534"/>
    <x v="1153"/>
    <s v="Academic Administration : H &amp; W Nonteaching"/>
    <n v="44774.38"/>
  </r>
  <r>
    <x v="2"/>
    <s v="11-335-00-601000-53520"/>
    <x v="0"/>
    <n v="335"/>
    <n v="0"/>
    <x v="34"/>
    <n v="53520"/>
    <x v="1"/>
    <s v="53"/>
    <s v="535"/>
    <x v="1154"/>
    <s v="Academic Administration : SUI Nonteaching"/>
    <n v="103.13"/>
  </r>
  <r>
    <x v="2"/>
    <s v="11-335-00-601000-53620"/>
    <x v="0"/>
    <n v="335"/>
    <n v="0"/>
    <x v="34"/>
    <n v="53620"/>
    <x v="1"/>
    <s v="53"/>
    <s v="536"/>
    <x v="1155"/>
    <s v="Academic Administration : WC Nonteaching"/>
    <n v="3903.52"/>
  </r>
  <r>
    <x v="2"/>
    <s v="11-335-00-601000-53920"/>
    <x v="0"/>
    <n v="335"/>
    <n v="0"/>
    <x v="34"/>
    <n v="53920"/>
    <x v="1"/>
    <s v="53"/>
    <s v="539"/>
    <x v="1156"/>
    <s v="Academic Administration : Other Benefit-Non Teaching"/>
    <n v="1738.51"/>
  </r>
  <r>
    <x v="2"/>
    <s v="11-335-00-601000-55630"/>
    <x v="0"/>
    <n v="335"/>
    <n v="0"/>
    <x v="34"/>
    <n v="55630"/>
    <x v="1"/>
    <s v="55"/>
    <s v="556"/>
    <x v="1157"/>
    <s v="Academic Administration : Printing &amp; Duplicating - Inhouse"/>
    <n v="147.91"/>
  </r>
  <r>
    <x v="2"/>
    <s v="11-340-00-682500-51210"/>
    <x v="0"/>
    <n v="340"/>
    <n v="0"/>
    <x v="84"/>
    <n v="51210"/>
    <x v="1"/>
    <s v="51"/>
    <s v="512"/>
    <x v="1158"/>
    <s v="Western Stage : Academic Nonteaching Management"/>
    <n v="140325.31"/>
  </r>
  <r>
    <x v="2"/>
    <s v="11-340-00-682500-52360"/>
    <x v="0"/>
    <n v="340"/>
    <n v="0"/>
    <x v="84"/>
    <n v="52360"/>
    <x v="1"/>
    <s v="52"/>
    <s v="523"/>
    <x v="1159"/>
    <s v="Western Stage : Class Nonstu NonIA PT Prof Exp"/>
    <n v="188188.5"/>
  </r>
  <r>
    <x v="2"/>
    <s v="11-340-00-682500-53120"/>
    <x v="0"/>
    <n v="340"/>
    <n v="0"/>
    <x v="84"/>
    <n v="53120"/>
    <x v="1"/>
    <s v="53"/>
    <s v="531"/>
    <x v="1160"/>
    <s v="Western Stage : STRS Nonteaching"/>
    <n v="20800.75"/>
  </r>
  <r>
    <x v="2"/>
    <s v="11-340-00-682500-53220"/>
    <x v="0"/>
    <n v="340"/>
    <n v="0"/>
    <x v="84"/>
    <n v="53220"/>
    <x v="1"/>
    <s v="53"/>
    <s v="532"/>
    <x v="1161"/>
    <s v="Western Stage : PERS Nonteaching"/>
    <n v="5317.32"/>
  </r>
  <r>
    <x v="2"/>
    <s v="11-340-00-682500-53320"/>
    <x v="0"/>
    <n v="340"/>
    <n v="0"/>
    <x v="84"/>
    <n v="53320"/>
    <x v="1"/>
    <s v="53"/>
    <s v="533"/>
    <x v="1162"/>
    <s v="Western Stage : OASDHI (FICA) Nonteaching"/>
    <n v="10590.59"/>
  </r>
  <r>
    <x v="2"/>
    <s v="11-340-00-682500-53340"/>
    <x v="0"/>
    <n v="340"/>
    <n v="0"/>
    <x v="84"/>
    <n v="53340"/>
    <x v="1"/>
    <s v="53"/>
    <s v="533"/>
    <x v="1163"/>
    <s v="Western Stage : Medicare Nonteaching"/>
    <n v="4756.01"/>
  </r>
  <r>
    <x v="2"/>
    <s v="11-340-00-682500-53420"/>
    <x v="0"/>
    <n v="340"/>
    <n v="0"/>
    <x v="84"/>
    <n v="53420"/>
    <x v="1"/>
    <s v="53"/>
    <s v="534"/>
    <x v="1164"/>
    <s v="Western Stage : H &amp; W Nonteaching"/>
    <n v="26092.87"/>
  </r>
  <r>
    <x v="2"/>
    <s v="11-340-00-682500-53520"/>
    <x v="0"/>
    <n v="340"/>
    <n v="0"/>
    <x v="84"/>
    <n v="53520"/>
    <x v="1"/>
    <s v="53"/>
    <s v="535"/>
    <x v="1165"/>
    <s v="Western Stage : SUI Nonteaching"/>
    <n v="164.45"/>
  </r>
  <r>
    <x v="2"/>
    <s v="11-340-00-682500-53620"/>
    <x v="0"/>
    <n v="340"/>
    <n v="0"/>
    <x v="84"/>
    <n v="53620"/>
    <x v="1"/>
    <s v="53"/>
    <s v="536"/>
    <x v="1166"/>
    <s v="Western Stage : WC Nonteaching"/>
    <n v="6211.63"/>
  </r>
  <r>
    <x v="2"/>
    <s v="11-340-00-682500-53920"/>
    <x v="0"/>
    <n v="340"/>
    <n v="0"/>
    <x v="84"/>
    <n v="53920"/>
    <x v="1"/>
    <s v="53"/>
    <s v="539"/>
    <x v="1167"/>
    <s v="Western Stage : Other Benefit-Non Teaching"/>
    <n v="1200"/>
  </r>
  <r>
    <x v="2"/>
    <s v="11-340-00-682500-54300"/>
    <x v="0"/>
    <n v="340"/>
    <n v="0"/>
    <x v="84"/>
    <n v="54300"/>
    <x v="1"/>
    <s v="54"/>
    <s v="543"/>
    <x v="1168"/>
    <s v="Western Stage : Supplies &amp; Materials"/>
    <n v="0"/>
  </r>
  <r>
    <x v="2"/>
    <s v="11-340-00-682500-54320"/>
    <x v="0"/>
    <n v="340"/>
    <n v="0"/>
    <x v="84"/>
    <n v="54320"/>
    <x v="1"/>
    <s v="54"/>
    <s v="543"/>
    <x v="1169"/>
    <s v="Western Stage : Laundry"/>
    <n v="0"/>
  </r>
  <r>
    <x v="2"/>
    <s v="11-340-00-682500-55105"/>
    <x v="0"/>
    <n v="340"/>
    <n v="0"/>
    <x v="84"/>
    <n v="55105"/>
    <x v="1"/>
    <s v="55"/>
    <s v="551"/>
    <x v="1170"/>
    <s v="Western Stage : Contract Services"/>
    <n v="5874.2300000000005"/>
  </r>
  <r>
    <x v="2"/>
    <s v="11-340-00-682500-55200"/>
    <x v="0"/>
    <n v="340"/>
    <n v="0"/>
    <x v="84"/>
    <n v="55200"/>
    <x v="1"/>
    <s v="55"/>
    <s v="552"/>
    <x v="1171"/>
    <s v="Western Stage : Travel &amp; Conference"/>
    <n v="0"/>
  </r>
  <r>
    <x v="2"/>
    <s v="11-340-00-682500-55600"/>
    <x v="0"/>
    <n v="340"/>
    <n v="0"/>
    <x v="84"/>
    <n v="55600"/>
    <x v="1"/>
    <s v="55"/>
    <s v="556"/>
    <x v="1172"/>
    <s v="Western Stage : Rents &amp; Leases"/>
    <n v="1637.28"/>
  </r>
  <r>
    <x v="2"/>
    <s v="11-340-00-682500-55630"/>
    <x v="0"/>
    <n v="340"/>
    <n v="0"/>
    <x v="84"/>
    <n v="55630"/>
    <x v="1"/>
    <s v="55"/>
    <s v="556"/>
    <x v="1173"/>
    <s v="Western Stage : Printing &amp; Duplicating - Inhouse"/>
    <n v="0"/>
  </r>
  <r>
    <x v="2"/>
    <s v="11-340-00-682500-55635"/>
    <x v="0"/>
    <n v="340"/>
    <n v="0"/>
    <x v="84"/>
    <n v="55635"/>
    <x v="1"/>
    <s v="55"/>
    <s v="556"/>
    <x v="1174"/>
    <s v="Western Stage : Printing Services - Vendor"/>
    <n v="0"/>
  </r>
  <r>
    <x v="2"/>
    <s v="11-340-00-682500-55650"/>
    <x v="0"/>
    <n v="340"/>
    <n v="0"/>
    <x v="84"/>
    <n v="55650"/>
    <x v="1"/>
    <s v="55"/>
    <s v="556"/>
    <x v="1175"/>
    <s v="Western Stage : Maintenance Agreement"/>
    <n v="0"/>
  </r>
  <r>
    <x v="2"/>
    <s v="11-340-00-682500-55651"/>
    <x v="0"/>
    <n v="340"/>
    <n v="0"/>
    <x v="84"/>
    <n v="55651"/>
    <x v="1"/>
    <s v="55"/>
    <s v="556"/>
    <x v="1176"/>
    <s v="Western Stage : Equipment Repairs"/>
    <n v="0"/>
  </r>
  <r>
    <x v="2"/>
    <s v="11-340-00-682500-55810"/>
    <x v="0"/>
    <n v="340"/>
    <n v="0"/>
    <x v="84"/>
    <n v="55810"/>
    <x v="1"/>
    <s v="55"/>
    <s v="558"/>
    <x v="1177"/>
    <s v="Western Stage : Bulk Mail"/>
    <n v="0"/>
  </r>
  <r>
    <x v="2"/>
    <s v="11-340-00-682500-55820"/>
    <x v="0"/>
    <n v="340"/>
    <n v="0"/>
    <x v="84"/>
    <n v="55820"/>
    <x v="1"/>
    <s v="55"/>
    <s v="558"/>
    <x v="1178"/>
    <s v="Western Stage : US Postage"/>
    <n v="0"/>
  </r>
  <r>
    <x v="2"/>
    <s v="11-340-00-682500-55830"/>
    <x v="0"/>
    <n v="340"/>
    <n v="0"/>
    <x v="84"/>
    <n v="55830"/>
    <x v="1"/>
    <s v="55"/>
    <s v="558"/>
    <x v="1179"/>
    <s v="Western Stage : Advertising Expense"/>
    <n v="0"/>
  </r>
  <r>
    <x v="2"/>
    <s v="11-350-00-050000-51100"/>
    <x v="0"/>
    <n v="350"/>
    <n v="0"/>
    <x v="12"/>
    <n v="51100"/>
    <x v="1"/>
    <s v="51"/>
    <s v="511"/>
    <x v="1180"/>
    <s v="Business Education : Academic Teaching Full-time"/>
    <n v="211794.6"/>
  </r>
  <r>
    <x v="2"/>
    <s v="11-350-00-050000-51310"/>
    <x v="0"/>
    <n v="350"/>
    <n v="0"/>
    <x v="12"/>
    <n v="51310"/>
    <x v="1"/>
    <s v="51"/>
    <s v="513"/>
    <x v="1181"/>
    <s v="Business Education : Academic Teaching NIC"/>
    <n v="63391.98"/>
  </r>
  <r>
    <x v="2"/>
    <s v="11-350-00-050000-51311"/>
    <x v="0"/>
    <n v="350"/>
    <n v="0"/>
    <x v="12"/>
    <n v="51311"/>
    <x v="1"/>
    <s v="51"/>
    <s v="513"/>
    <x v="1182"/>
    <s v="Business Education : Academic Teaching PT"/>
    <n v="51298.74"/>
  </r>
  <r>
    <x v="2"/>
    <s v="11-350-00-050000-53110"/>
    <x v="0"/>
    <n v="350"/>
    <n v="0"/>
    <x v="12"/>
    <n v="53110"/>
    <x v="1"/>
    <s v="53"/>
    <s v="531"/>
    <x v="1183"/>
    <s v="Business Education : STRS Teaching"/>
    <n v="46690.52"/>
  </r>
  <r>
    <x v="2"/>
    <s v="11-350-00-050000-53310"/>
    <x v="0"/>
    <n v="350"/>
    <n v="0"/>
    <x v="12"/>
    <n v="53310"/>
    <x v="1"/>
    <s v="53"/>
    <s v="533"/>
    <x v="1184"/>
    <s v="Business Education : OASDHI (FICA) Teaching"/>
    <n v="1898.18"/>
  </r>
  <r>
    <x v="2"/>
    <s v="11-350-00-050000-53330"/>
    <x v="0"/>
    <n v="350"/>
    <n v="0"/>
    <x v="12"/>
    <n v="53330"/>
    <x v="1"/>
    <s v="53"/>
    <s v="533"/>
    <x v="1185"/>
    <s v="Business Education : Medicare Teaching"/>
    <n v="4718.74"/>
  </r>
  <r>
    <x v="2"/>
    <s v="11-350-00-050000-53410"/>
    <x v="0"/>
    <n v="350"/>
    <n v="0"/>
    <x v="12"/>
    <n v="53410"/>
    <x v="1"/>
    <s v="53"/>
    <s v="534"/>
    <x v="1186"/>
    <s v="Business Education : H &amp; W Teaching"/>
    <n v="36169.64"/>
  </r>
  <r>
    <x v="2"/>
    <s v="11-350-00-050000-53510"/>
    <x v="0"/>
    <n v="350"/>
    <n v="0"/>
    <x v="12"/>
    <n v="53510"/>
    <x v="1"/>
    <s v="53"/>
    <s v="535"/>
    <x v="1187"/>
    <s v="Business Education : SUI Teaching"/>
    <n v="162.74"/>
  </r>
  <r>
    <x v="2"/>
    <s v="11-350-00-050000-53610"/>
    <x v="0"/>
    <n v="350"/>
    <n v="0"/>
    <x v="12"/>
    <n v="53610"/>
    <x v="1"/>
    <s v="53"/>
    <s v="536"/>
    <x v="1188"/>
    <s v="Business Education : WC Teaching"/>
    <n v="6182.18"/>
  </r>
  <r>
    <x v="2"/>
    <s v="11-350-00-050000-53910"/>
    <x v="0"/>
    <n v="350"/>
    <n v="0"/>
    <x v="12"/>
    <n v="53910"/>
    <x v="1"/>
    <s v="53"/>
    <s v="539"/>
    <x v="1189"/>
    <s v="Business Education : Other Benefit-Teaching"/>
    <n v="1745.44"/>
  </r>
  <r>
    <x v="2"/>
    <s v="11-350-00-050000-54300"/>
    <x v="0"/>
    <n v="350"/>
    <n v="0"/>
    <x v="12"/>
    <n v="54300"/>
    <x v="1"/>
    <s v="54"/>
    <s v="543"/>
    <x v="1190"/>
    <s v="Business Education : Supplies &amp; Materials"/>
    <n v="120.51"/>
  </r>
  <r>
    <x v="2"/>
    <s v="11-350-00-050000-55630"/>
    <x v="0"/>
    <n v="350"/>
    <n v="0"/>
    <x v="12"/>
    <n v="55630"/>
    <x v="1"/>
    <s v="55"/>
    <s v="556"/>
    <x v="1191"/>
    <s v="Business Education : Printing &amp; Duplicating - Inhouse"/>
    <n v="0"/>
  </r>
  <r>
    <x v="2"/>
    <s v="11-350-00-050000-56400"/>
    <x v="0"/>
    <n v="350"/>
    <n v="0"/>
    <x v="12"/>
    <n v="56400"/>
    <x v="1"/>
    <s v="56"/>
    <s v="564"/>
    <x v="1192"/>
    <s v="Business Education : Cap Equip - $200 to $4,999"/>
    <n v="2359.98"/>
  </r>
  <r>
    <x v="2"/>
    <s v="11-350-00-094800-55630"/>
    <x v="0"/>
    <n v="350"/>
    <n v="0"/>
    <x v="85"/>
    <n v="55630"/>
    <x v="1"/>
    <s v="55"/>
    <s v="556"/>
    <x v="1193"/>
    <s v="Automotive Technology : Printing &amp; Duplicating - Inhouse"/>
    <n v="0"/>
  </r>
  <r>
    <x v="2"/>
    <s v="11-350-00-130500-51100"/>
    <x v="0"/>
    <n v="350"/>
    <n v="0"/>
    <x v="18"/>
    <n v="51100"/>
    <x v="1"/>
    <s v="51"/>
    <s v="511"/>
    <x v="1194"/>
    <s v="Early Childhood Education : Academic Teaching Full-time"/>
    <n v="244061.7"/>
  </r>
  <r>
    <x v="2"/>
    <s v="11-350-00-130500-51310"/>
    <x v="0"/>
    <n v="350"/>
    <n v="0"/>
    <x v="18"/>
    <n v="51310"/>
    <x v="1"/>
    <s v="51"/>
    <s v="513"/>
    <x v="1195"/>
    <s v="Early Childhood Education : Academic Teaching NIC"/>
    <n v="4171.5"/>
  </r>
  <r>
    <x v="2"/>
    <s v="11-350-00-130500-51311"/>
    <x v="0"/>
    <n v="350"/>
    <n v="0"/>
    <x v="18"/>
    <n v="51311"/>
    <x v="1"/>
    <s v="51"/>
    <s v="513"/>
    <x v="1196"/>
    <s v="Early Childhood Education : Academic Teaching PT"/>
    <n v="2077.17"/>
  </r>
  <r>
    <x v="2"/>
    <s v="11-350-00-130500-52200"/>
    <x v="0"/>
    <n v="350"/>
    <n v="0"/>
    <x v="18"/>
    <n v="52200"/>
    <x v="1"/>
    <s v="52"/>
    <s v="522"/>
    <x v="1197"/>
    <s v="Early Childhood Education : Classified Permanent Instructional Aides"/>
    <n v="17023.37"/>
  </r>
  <r>
    <x v="2"/>
    <s v="11-350-00-130500-53110"/>
    <x v="0"/>
    <n v="350"/>
    <n v="0"/>
    <x v="18"/>
    <n v="53110"/>
    <x v="1"/>
    <s v="53"/>
    <s v="531"/>
    <x v="1198"/>
    <s v="Early Childhood Education : STRS Teaching"/>
    <n v="40102.92"/>
  </r>
  <r>
    <x v="2"/>
    <s v="11-350-00-130500-53210"/>
    <x v="0"/>
    <n v="350"/>
    <n v="0"/>
    <x v="18"/>
    <n v="53210"/>
    <x v="1"/>
    <s v="53"/>
    <s v="532"/>
    <x v="1199"/>
    <s v="Early Childhood Education : PERS Teaching"/>
    <n v="3532.95"/>
  </r>
  <r>
    <x v="2"/>
    <s v="11-350-00-130500-53310"/>
    <x v="0"/>
    <n v="350"/>
    <n v="0"/>
    <x v="18"/>
    <n v="53310"/>
    <x v="1"/>
    <s v="53"/>
    <s v="533"/>
    <x v="1200"/>
    <s v="Early Childhood Education : OASDHI (FICA) Teaching"/>
    <n v="1168.06"/>
  </r>
  <r>
    <x v="2"/>
    <s v="11-350-00-130500-53330"/>
    <x v="0"/>
    <n v="350"/>
    <n v="0"/>
    <x v="18"/>
    <n v="53330"/>
    <x v="1"/>
    <s v="53"/>
    <s v="533"/>
    <x v="1201"/>
    <s v="Early Childhood Education : Medicare Teaching"/>
    <n v="3855.12"/>
  </r>
  <r>
    <x v="2"/>
    <s v="11-350-00-130500-53410"/>
    <x v="0"/>
    <n v="350"/>
    <n v="0"/>
    <x v="18"/>
    <n v="53410"/>
    <x v="1"/>
    <s v="53"/>
    <s v="534"/>
    <x v="1202"/>
    <s v="Early Childhood Education : H &amp; W Teaching"/>
    <n v="53266.52"/>
  </r>
  <r>
    <x v="2"/>
    <s v="11-350-00-130500-53510"/>
    <x v="0"/>
    <n v="350"/>
    <n v="0"/>
    <x v="18"/>
    <n v="53510"/>
    <x v="1"/>
    <s v="53"/>
    <s v="535"/>
    <x v="1203"/>
    <s v="Early Childhood Education : SUI Teaching"/>
    <n v="133.52000000000001"/>
  </r>
  <r>
    <x v="2"/>
    <s v="11-350-00-130500-53610"/>
    <x v="0"/>
    <n v="350"/>
    <n v="0"/>
    <x v="18"/>
    <n v="53610"/>
    <x v="1"/>
    <s v="53"/>
    <s v="536"/>
    <x v="1204"/>
    <s v="Early Childhood Education : WC Teaching"/>
    <n v="5055.53"/>
  </r>
  <r>
    <x v="2"/>
    <s v="11-350-00-130500-55630"/>
    <x v="0"/>
    <n v="350"/>
    <n v="0"/>
    <x v="18"/>
    <n v="55630"/>
    <x v="1"/>
    <s v="55"/>
    <s v="556"/>
    <x v="1205"/>
    <s v="Early Childhood Education : Printing &amp; Duplicating - Inhouse"/>
    <n v="0"/>
  </r>
  <r>
    <x v="2"/>
    <s v="11-350-00-210440-51100"/>
    <x v="0"/>
    <n v="350"/>
    <n v="0"/>
    <x v="66"/>
    <n v="51100"/>
    <x v="1"/>
    <s v="51"/>
    <s v="511"/>
    <x v="1206"/>
    <s v="Alcohol &amp; Drug Counseling : Academic Teaching Full-time"/>
    <n v="69454.83"/>
  </r>
  <r>
    <x v="2"/>
    <s v="11-350-00-210440-51310"/>
    <x v="0"/>
    <n v="350"/>
    <n v="0"/>
    <x v="66"/>
    <n v="51310"/>
    <x v="1"/>
    <s v="51"/>
    <s v="513"/>
    <x v="1207"/>
    <s v="Alcohol &amp; Drug Counseling : Academic Teaching NIC"/>
    <n v="2291.62"/>
  </r>
  <r>
    <x v="2"/>
    <s v="11-350-00-210440-51311"/>
    <x v="0"/>
    <n v="350"/>
    <n v="0"/>
    <x v="66"/>
    <n v="51311"/>
    <x v="1"/>
    <s v="51"/>
    <s v="513"/>
    <x v="1208"/>
    <s v="Alcohol &amp; Drug Counseling : Academic Teaching PT"/>
    <n v="0"/>
  </r>
  <r>
    <x v="2"/>
    <s v="11-350-00-210440-51412"/>
    <x v="0"/>
    <n v="350"/>
    <n v="0"/>
    <x v="66"/>
    <n v="51412"/>
    <x v="1"/>
    <s v="51"/>
    <s v="514"/>
    <x v="1209"/>
    <s v="Alcohol &amp; Drug Counseling : Acad Nonteach Special Projects"/>
    <n v="0"/>
  </r>
  <r>
    <x v="2"/>
    <s v="11-350-00-210440-53110"/>
    <x v="0"/>
    <n v="350"/>
    <n v="0"/>
    <x v="66"/>
    <n v="53110"/>
    <x v="1"/>
    <s v="53"/>
    <s v="531"/>
    <x v="1210"/>
    <s v="Alcohol &amp; Drug Counseling : STRS Teaching"/>
    <n v="11587.07"/>
  </r>
  <r>
    <x v="2"/>
    <s v="11-350-00-210440-53120"/>
    <x v="0"/>
    <n v="350"/>
    <n v="0"/>
    <x v="66"/>
    <n v="53120"/>
    <x v="1"/>
    <s v="53"/>
    <s v="531"/>
    <x v="1211"/>
    <s v="Alcohol &amp; Drug Counseling : STRS Nonteaching"/>
    <n v="0"/>
  </r>
  <r>
    <x v="2"/>
    <s v="11-350-00-210440-53330"/>
    <x v="0"/>
    <n v="350"/>
    <n v="0"/>
    <x v="66"/>
    <n v="53330"/>
    <x v="1"/>
    <s v="53"/>
    <s v="533"/>
    <x v="1212"/>
    <s v="Alcohol &amp; Drug Counseling : Medicare Teaching"/>
    <n v="1041.07"/>
  </r>
  <r>
    <x v="2"/>
    <s v="11-350-00-210440-53340"/>
    <x v="0"/>
    <n v="350"/>
    <n v="0"/>
    <x v="66"/>
    <n v="53340"/>
    <x v="1"/>
    <s v="53"/>
    <s v="533"/>
    <x v="1213"/>
    <s v="Alcohol &amp; Drug Counseling : Medicare Nonteaching"/>
    <n v="0"/>
  </r>
  <r>
    <x v="2"/>
    <s v="11-350-00-210440-53410"/>
    <x v="0"/>
    <n v="350"/>
    <n v="0"/>
    <x v="66"/>
    <n v="53410"/>
    <x v="1"/>
    <s v="53"/>
    <s v="534"/>
    <x v="1214"/>
    <s v="Alcohol &amp; Drug Counseling : H &amp; W Teaching"/>
    <n v="10424.84"/>
  </r>
  <r>
    <x v="2"/>
    <s v="11-350-00-210440-53510"/>
    <x v="0"/>
    <n v="350"/>
    <n v="0"/>
    <x v="66"/>
    <n v="53510"/>
    <x v="1"/>
    <s v="53"/>
    <s v="535"/>
    <x v="1215"/>
    <s v="Alcohol &amp; Drug Counseling : SUI Teaching"/>
    <n v="35.9"/>
  </r>
  <r>
    <x v="2"/>
    <s v="11-350-00-210440-53520"/>
    <x v="0"/>
    <n v="350"/>
    <n v="0"/>
    <x v="66"/>
    <n v="53520"/>
    <x v="1"/>
    <s v="53"/>
    <s v="535"/>
    <x v="1216"/>
    <s v="Alcohol &amp; Drug Counseling : SUI Nonteaching"/>
    <n v="0"/>
  </r>
  <r>
    <x v="2"/>
    <s v="11-350-00-210440-53610"/>
    <x v="0"/>
    <n v="350"/>
    <n v="0"/>
    <x v="66"/>
    <n v="53610"/>
    <x v="1"/>
    <s v="53"/>
    <s v="536"/>
    <x v="1217"/>
    <s v="Alcohol &amp; Drug Counseling : WC Teaching"/>
    <n v="1356.56"/>
  </r>
  <r>
    <x v="2"/>
    <s v="11-350-00-210440-53620"/>
    <x v="0"/>
    <n v="350"/>
    <n v="0"/>
    <x v="66"/>
    <n v="53620"/>
    <x v="1"/>
    <s v="53"/>
    <s v="536"/>
    <x v="1218"/>
    <s v="Alcohol &amp; Drug Counseling : WC Nonteaching"/>
    <n v="0"/>
  </r>
  <r>
    <x v="2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0"/>
  </r>
  <r>
    <x v="2"/>
    <s v="11-350-00-210500-51100"/>
    <x v="0"/>
    <n v="350"/>
    <n v="0"/>
    <x v="25"/>
    <n v="51100"/>
    <x v="1"/>
    <s v="51"/>
    <s v="511"/>
    <x v="1220"/>
    <s v="Administration of Justice : Academic Teaching Full-time"/>
    <n v="184050.09"/>
  </r>
  <r>
    <x v="2"/>
    <s v="11-350-00-210500-51310"/>
    <x v="0"/>
    <n v="350"/>
    <n v="0"/>
    <x v="25"/>
    <n v="51310"/>
    <x v="1"/>
    <s v="51"/>
    <s v="513"/>
    <x v="1221"/>
    <s v="Administration of Justice : Academic Teaching NIC"/>
    <n v="8510.0400000000009"/>
  </r>
  <r>
    <x v="2"/>
    <s v="11-350-00-210500-51311"/>
    <x v="0"/>
    <n v="350"/>
    <n v="0"/>
    <x v="25"/>
    <n v="51311"/>
    <x v="1"/>
    <s v="51"/>
    <s v="513"/>
    <x v="1222"/>
    <s v="Administration of Justice : Academic Teaching PT"/>
    <n v="104802.85"/>
  </r>
  <r>
    <x v="2"/>
    <s v="11-350-00-210500-51412"/>
    <x v="0"/>
    <n v="350"/>
    <n v="0"/>
    <x v="25"/>
    <n v="51412"/>
    <x v="1"/>
    <s v="51"/>
    <s v="514"/>
    <x v="1223"/>
    <s v="Administration of Justice : Acad Nonteach Special Projects"/>
    <n v="0"/>
  </r>
  <r>
    <x v="2"/>
    <s v="11-350-00-210500-52360"/>
    <x v="0"/>
    <n v="350"/>
    <n v="0"/>
    <x v="25"/>
    <n v="52360"/>
    <x v="1"/>
    <s v="52"/>
    <s v="523"/>
    <x v="1224"/>
    <s v="Administration of Justice : Class Nonstu NonIA PT Prof Exp"/>
    <n v="0"/>
  </r>
  <r>
    <x v="2"/>
    <s v="11-350-00-210500-53110"/>
    <x v="0"/>
    <n v="350"/>
    <n v="0"/>
    <x v="25"/>
    <n v="53110"/>
    <x v="1"/>
    <s v="53"/>
    <s v="531"/>
    <x v="1225"/>
    <s v="Administration of Justice : STRS Teaching"/>
    <n v="38586.35"/>
  </r>
  <r>
    <x v="2"/>
    <s v="11-350-00-210500-53120"/>
    <x v="0"/>
    <n v="350"/>
    <n v="0"/>
    <x v="25"/>
    <n v="53120"/>
    <x v="1"/>
    <s v="53"/>
    <s v="531"/>
    <x v="1226"/>
    <s v="Administration of Justice : STRS Nonteaching"/>
    <n v="0"/>
  </r>
  <r>
    <x v="2"/>
    <s v="11-350-00-210500-53310"/>
    <x v="0"/>
    <n v="350"/>
    <n v="0"/>
    <x v="25"/>
    <n v="53310"/>
    <x v="1"/>
    <s v="53"/>
    <s v="533"/>
    <x v="1227"/>
    <s v="Administration of Justice : OASDHI (FICA) Teaching"/>
    <n v="3623.21"/>
  </r>
  <r>
    <x v="2"/>
    <s v="11-350-00-210500-53320"/>
    <x v="0"/>
    <n v="350"/>
    <n v="0"/>
    <x v="25"/>
    <n v="53320"/>
    <x v="1"/>
    <s v="53"/>
    <s v="533"/>
    <x v="1228"/>
    <s v="Administration of Justice : OASDHI (FICA) Nonteaching"/>
    <n v="0"/>
  </r>
  <r>
    <x v="2"/>
    <s v="11-350-00-210500-53330"/>
    <x v="0"/>
    <n v="350"/>
    <n v="0"/>
    <x v="25"/>
    <n v="53330"/>
    <x v="1"/>
    <s v="53"/>
    <s v="533"/>
    <x v="1229"/>
    <s v="Administration of Justice : Medicare Teaching"/>
    <n v="4292.01"/>
  </r>
  <r>
    <x v="2"/>
    <s v="11-350-00-210500-53340"/>
    <x v="0"/>
    <n v="350"/>
    <n v="0"/>
    <x v="25"/>
    <n v="53340"/>
    <x v="1"/>
    <s v="53"/>
    <s v="533"/>
    <x v="1230"/>
    <s v="Administration of Justice : Medicare Nonteaching"/>
    <n v="0"/>
  </r>
  <r>
    <x v="2"/>
    <s v="11-350-00-210500-53410"/>
    <x v="0"/>
    <n v="350"/>
    <n v="0"/>
    <x v="25"/>
    <n v="53410"/>
    <x v="1"/>
    <s v="53"/>
    <s v="534"/>
    <x v="1231"/>
    <s v="Administration of Justice : H &amp; W Teaching"/>
    <n v="46984.75"/>
  </r>
  <r>
    <x v="2"/>
    <s v="11-350-00-210500-53510"/>
    <x v="0"/>
    <n v="350"/>
    <n v="0"/>
    <x v="25"/>
    <n v="53510"/>
    <x v="1"/>
    <s v="53"/>
    <s v="535"/>
    <x v="1232"/>
    <s v="Administration of Justice : SUI Teaching"/>
    <n v="148.69"/>
  </r>
  <r>
    <x v="2"/>
    <s v="11-350-00-210500-53520"/>
    <x v="0"/>
    <n v="350"/>
    <n v="0"/>
    <x v="25"/>
    <n v="53520"/>
    <x v="1"/>
    <s v="53"/>
    <s v="535"/>
    <x v="1233"/>
    <s v="Administration of Justice : SUI Nonteaching"/>
    <n v="0"/>
  </r>
  <r>
    <x v="2"/>
    <s v="11-350-00-210500-53610"/>
    <x v="0"/>
    <n v="350"/>
    <n v="0"/>
    <x v="25"/>
    <n v="53610"/>
    <x v="1"/>
    <s v="53"/>
    <s v="536"/>
    <x v="1234"/>
    <s v="Administration of Justice : WC Teaching"/>
    <n v="5622.68"/>
  </r>
  <r>
    <x v="2"/>
    <s v="11-350-00-210500-53620"/>
    <x v="0"/>
    <n v="350"/>
    <n v="0"/>
    <x v="25"/>
    <n v="53620"/>
    <x v="1"/>
    <s v="53"/>
    <s v="536"/>
    <x v="1235"/>
    <s v="Administration of Justice : WC Nonteaching"/>
    <n v="0"/>
  </r>
  <r>
    <x v="2"/>
    <s v="11-350-00-210500-55309"/>
    <x v="0"/>
    <n v="350"/>
    <n v="0"/>
    <x v="25"/>
    <n v="55309"/>
    <x v="1"/>
    <s v="55"/>
    <s v="553"/>
    <x v="1236"/>
    <s v="Administration of Justice : Subscriptions"/>
    <n v="0"/>
  </r>
  <r>
    <x v="2"/>
    <s v="11-350-00-210500-55630"/>
    <x v="0"/>
    <n v="350"/>
    <n v="0"/>
    <x v="25"/>
    <n v="55630"/>
    <x v="1"/>
    <s v="55"/>
    <s v="556"/>
    <x v="1237"/>
    <s v="Administration of Justice : Printing &amp; Duplicating - Inhouse"/>
    <n v="0"/>
  </r>
  <r>
    <x v="2"/>
    <s v="11-350-00-601000-51210"/>
    <x v="0"/>
    <n v="350"/>
    <n v="0"/>
    <x v="34"/>
    <n v="51210"/>
    <x v="1"/>
    <s v="51"/>
    <s v="512"/>
    <x v="1238"/>
    <s v="Academic Administration : Academic Nonteaching Management"/>
    <n v="18105.18"/>
  </r>
  <r>
    <x v="2"/>
    <s v="11-350-00-601000-52105"/>
    <x v="0"/>
    <n v="350"/>
    <n v="0"/>
    <x v="34"/>
    <n v="52105"/>
    <x v="1"/>
    <s v="52"/>
    <s v="521"/>
    <x v="1239"/>
    <s v="Academic Administration : Classified CSEA"/>
    <n v="4507.13"/>
  </r>
  <r>
    <x v="2"/>
    <s v="11-350-00-601000-52360"/>
    <x v="0"/>
    <n v="350"/>
    <n v="0"/>
    <x v="34"/>
    <n v="52360"/>
    <x v="1"/>
    <s v="52"/>
    <s v="523"/>
    <x v="1240"/>
    <s v="Academic Administration : Class Nonstu NonIA PT Prof Exp"/>
    <n v="0"/>
  </r>
  <r>
    <x v="2"/>
    <s v="11-350-00-601000-53120"/>
    <x v="0"/>
    <n v="350"/>
    <n v="0"/>
    <x v="34"/>
    <n v="53120"/>
    <x v="1"/>
    <s v="53"/>
    <s v="531"/>
    <x v="1241"/>
    <s v="Academic Administration : STRS Nonteaching"/>
    <n v="2923.98"/>
  </r>
  <r>
    <x v="2"/>
    <s v="11-350-00-601000-53220"/>
    <x v="0"/>
    <n v="350"/>
    <n v="0"/>
    <x v="34"/>
    <n v="53220"/>
    <x v="1"/>
    <s v="53"/>
    <s v="532"/>
    <x v="1242"/>
    <s v="Academic Administration : PERS Nonteaching"/>
    <n v="932.46"/>
  </r>
  <r>
    <x v="2"/>
    <s v="11-350-00-601000-53320"/>
    <x v="0"/>
    <n v="350"/>
    <n v="0"/>
    <x v="34"/>
    <n v="53320"/>
    <x v="1"/>
    <s v="53"/>
    <s v="533"/>
    <x v="1243"/>
    <s v="Academic Administration : OASDHI (FICA) Nonteaching"/>
    <n v="268.39"/>
  </r>
  <r>
    <x v="2"/>
    <s v="11-350-00-601000-53340"/>
    <x v="0"/>
    <n v="350"/>
    <n v="0"/>
    <x v="34"/>
    <n v="53340"/>
    <x v="1"/>
    <s v="53"/>
    <s v="533"/>
    <x v="1244"/>
    <s v="Academic Administration : Medicare Nonteaching"/>
    <n v="325.26"/>
  </r>
  <r>
    <x v="2"/>
    <s v="11-350-00-601000-53420"/>
    <x v="0"/>
    <n v="350"/>
    <n v="0"/>
    <x v="34"/>
    <n v="53420"/>
    <x v="1"/>
    <s v="53"/>
    <s v="534"/>
    <x v="1245"/>
    <s v="Academic Administration : H &amp; W Nonteaching"/>
    <n v="4850.8999999999996"/>
  </r>
  <r>
    <x v="2"/>
    <s v="11-350-00-601000-53520"/>
    <x v="0"/>
    <n v="350"/>
    <n v="0"/>
    <x v="34"/>
    <n v="53520"/>
    <x v="1"/>
    <s v="53"/>
    <s v="535"/>
    <x v="1246"/>
    <s v="Academic Administration : SUI Nonteaching"/>
    <n v="11.23"/>
  </r>
  <r>
    <x v="2"/>
    <s v="11-350-00-601000-53620"/>
    <x v="0"/>
    <n v="350"/>
    <n v="0"/>
    <x v="34"/>
    <n v="53620"/>
    <x v="1"/>
    <s v="53"/>
    <s v="536"/>
    <x v="1247"/>
    <s v="Academic Administration : WC Nonteaching"/>
    <n v="427.75"/>
  </r>
  <r>
    <x v="2"/>
    <s v="11-350-00-601000-54349"/>
    <x v="0"/>
    <n v="350"/>
    <n v="0"/>
    <x v="34"/>
    <n v="54349"/>
    <x v="1"/>
    <s v="54"/>
    <s v="543"/>
    <x v="1248"/>
    <s v="Academic Administration : M&amp;O Fuel and Oil Expense"/>
    <n v="0"/>
  </r>
  <r>
    <x v="2"/>
    <s v="11-350-00-601000-55630"/>
    <x v="0"/>
    <n v="350"/>
    <n v="0"/>
    <x v="34"/>
    <n v="55630"/>
    <x v="1"/>
    <s v="55"/>
    <s v="556"/>
    <x v="1249"/>
    <s v="Academic Administration : Printing &amp; Duplicating - Inhouse"/>
    <n v="0"/>
  </r>
  <r>
    <x v="2"/>
    <s v="11-350-00-703800-51412"/>
    <x v="0"/>
    <n v="350"/>
    <n v="0"/>
    <x v="61"/>
    <n v="51412"/>
    <x v="1"/>
    <s v="51"/>
    <s v="514"/>
    <x v="1250"/>
    <s v="MESA Grant : Acad Nonteach Special Projects"/>
    <n v="3500"/>
  </r>
  <r>
    <x v="2"/>
    <s v="11-350-00-703800-52105"/>
    <x v="0"/>
    <n v="350"/>
    <n v="0"/>
    <x v="61"/>
    <n v="52105"/>
    <x v="1"/>
    <s v="52"/>
    <s v="521"/>
    <x v="1251"/>
    <s v="MESA Grant : Classified CSEA"/>
    <n v="1832"/>
  </r>
  <r>
    <x v="2"/>
    <s v="11-350-00-703800-53120"/>
    <x v="0"/>
    <n v="350"/>
    <n v="0"/>
    <x v="61"/>
    <n v="53120"/>
    <x v="1"/>
    <s v="53"/>
    <s v="531"/>
    <x v="1252"/>
    <s v="MESA Grant : STRS Nonteaching"/>
    <n v="565.25"/>
  </r>
  <r>
    <x v="2"/>
    <s v="11-350-00-703800-53220"/>
    <x v="0"/>
    <n v="350"/>
    <n v="0"/>
    <x v="61"/>
    <n v="53220"/>
    <x v="1"/>
    <s v="53"/>
    <s v="532"/>
    <x v="1253"/>
    <s v="MESA Grant : PERS Nonteaching"/>
    <n v="375.08"/>
  </r>
  <r>
    <x v="2"/>
    <s v="11-350-00-703800-53320"/>
    <x v="0"/>
    <n v="350"/>
    <n v="0"/>
    <x v="61"/>
    <n v="53320"/>
    <x v="1"/>
    <s v="53"/>
    <s v="533"/>
    <x v="1254"/>
    <s v="MESA Grant : OASDHI (FICA) Nonteaching"/>
    <n v="112.25"/>
  </r>
  <r>
    <x v="2"/>
    <s v="11-350-00-703800-53340"/>
    <x v="0"/>
    <n v="350"/>
    <n v="0"/>
    <x v="61"/>
    <n v="53340"/>
    <x v="1"/>
    <s v="53"/>
    <s v="533"/>
    <x v="1255"/>
    <s v="MESA Grant : Medicare Nonteaching"/>
    <n v="77"/>
  </r>
  <r>
    <x v="2"/>
    <s v="11-350-00-703800-53420"/>
    <x v="0"/>
    <n v="350"/>
    <n v="0"/>
    <x v="61"/>
    <n v="53420"/>
    <x v="1"/>
    <s v="53"/>
    <s v="534"/>
    <x v="1256"/>
    <s v="MESA Grant : H &amp; W Nonteaching"/>
    <n v="855.33"/>
  </r>
  <r>
    <x v="2"/>
    <s v="11-350-00-703800-53520"/>
    <x v="0"/>
    <n v="350"/>
    <n v="0"/>
    <x v="61"/>
    <n v="53520"/>
    <x v="1"/>
    <s v="53"/>
    <s v="535"/>
    <x v="1257"/>
    <s v="MESA Grant : SUI Nonteaching"/>
    <n v="2.67"/>
  </r>
  <r>
    <x v="2"/>
    <s v="11-350-00-703800-53620"/>
    <x v="0"/>
    <n v="350"/>
    <n v="0"/>
    <x v="61"/>
    <n v="53620"/>
    <x v="1"/>
    <s v="53"/>
    <s v="536"/>
    <x v="1258"/>
    <s v="MESA Grant : WC Nonteaching"/>
    <n v="100.82"/>
  </r>
  <r>
    <x v="2"/>
    <s v="11-350-01-010100-51100"/>
    <x v="0"/>
    <n v="350"/>
    <n v="1"/>
    <x v="10"/>
    <n v="51100"/>
    <x v="1"/>
    <s v="51"/>
    <s v="511"/>
    <x v="1259"/>
    <s v="Agriculture Technology : Academic Teaching Full-time"/>
    <n v="153723.42000000001"/>
  </r>
  <r>
    <x v="2"/>
    <s v="11-350-01-010100-51310"/>
    <x v="0"/>
    <n v="350"/>
    <n v="1"/>
    <x v="10"/>
    <n v="51310"/>
    <x v="1"/>
    <s v="51"/>
    <s v="513"/>
    <x v="1260"/>
    <s v="Agriculture Technology : Academic Teaching NIC"/>
    <n v="13978.39"/>
  </r>
  <r>
    <x v="2"/>
    <s v="11-350-01-010100-51311"/>
    <x v="0"/>
    <n v="350"/>
    <n v="1"/>
    <x v="10"/>
    <n v="51311"/>
    <x v="1"/>
    <s v="51"/>
    <s v="513"/>
    <x v="1261"/>
    <s v="Agriculture Technology : Academic Teaching PT"/>
    <n v="80362.960000000006"/>
  </r>
  <r>
    <x v="2"/>
    <s v="11-350-01-010100-51412"/>
    <x v="0"/>
    <n v="350"/>
    <n v="1"/>
    <x v="10"/>
    <n v="51412"/>
    <x v="1"/>
    <s v="51"/>
    <s v="514"/>
    <x v="1262"/>
    <s v="Agriculture Technology : Acad Nonteach Special Projects"/>
    <n v="0"/>
  </r>
  <r>
    <x v="2"/>
    <s v="11-350-01-010100-52200"/>
    <x v="0"/>
    <n v="350"/>
    <n v="1"/>
    <x v="10"/>
    <n v="52200"/>
    <x v="1"/>
    <s v="52"/>
    <s v="522"/>
    <x v="1263"/>
    <s v="Agriculture Technology : Classified Permanent Instructional Aides"/>
    <n v="46839.57"/>
  </r>
  <r>
    <x v="2"/>
    <s v="11-350-01-010100-52300"/>
    <x v="0"/>
    <n v="350"/>
    <n v="1"/>
    <x v="10"/>
    <n v="52300"/>
    <x v="1"/>
    <s v="52"/>
    <s v="523"/>
    <x v="1264"/>
    <s v="Agriculture Technology : Classified Overtime"/>
    <n v="14.96"/>
  </r>
  <r>
    <x v="2"/>
    <s v="11-350-01-010100-53110"/>
    <x v="0"/>
    <n v="350"/>
    <n v="1"/>
    <x v="10"/>
    <n v="53110"/>
    <x v="1"/>
    <s v="53"/>
    <s v="531"/>
    <x v="1265"/>
    <s v="Agriculture Technology : STRS Teaching"/>
    <n v="33751.24"/>
  </r>
  <r>
    <x v="2"/>
    <s v="11-350-01-010100-53120"/>
    <x v="0"/>
    <n v="350"/>
    <n v="1"/>
    <x v="10"/>
    <n v="53120"/>
    <x v="1"/>
    <s v="53"/>
    <s v="531"/>
    <x v="1266"/>
    <s v="Agriculture Technology : STRS Nonteaching"/>
    <n v="0"/>
  </r>
  <r>
    <x v="2"/>
    <s v="11-350-01-010100-53210"/>
    <x v="0"/>
    <n v="350"/>
    <n v="1"/>
    <x v="10"/>
    <n v="53210"/>
    <x v="1"/>
    <s v="53"/>
    <s v="532"/>
    <x v="1267"/>
    <s v="Agriculture Technology : PERS Teaching"/>
    <n v="9606.6200000000008"/>
  </r>
  <r>
    <x v="2"/>
    <s v="11-350-01-010100-53310"/>
    <x v="0"/>
    <n v="350"/>
    <n v="1"/>
    <x v="10"/>
    <n v="53310"/>
    <x v="1"/>
    <s v="53"/>
    <s v="533"/>
    <x v="1268"/>
    <s v="Agriculture Technology : OASDHI (FICA) Teaching"/>
    <n v="5335.41"/>
  </r>
  <r>
    <x v="2"/>
    <s v="11-350-01-010100-53320"/>
    <x v="0"/>
    <n v="350"/>
    <n v="1"/>
    <x v="10"/>
    <n v="53320"/>
    <x v="1"/>
    <s v="53"/>
    <s v="533"/>
    <x v="1269"/>
    <s v="Agriculture Technology : OASDHI (FICA) Nonteaching"/>
    <n v="0.92"/>
  </r>
  <r>
    <x v="2"/>
    <s v="11-350-01-010100-53330"/>
    <x v="0"/>
    <n v="350"/>
    <n v="1"/>
    <x v="10"/>
    <n v="53330"/>
    <x v="1"/>
    <s v="53"/>
    <s v="533"/>
    <x v="1270"/>
    <s v="Agriculture Technology : Medicare Teaching"/>
    <n v="4265.29"/>
  </r>
  <r>
    <x v="2"/>
    <s v="11-350-01-010100-53340"/>
    <x v="0"/>
    <n v="350"/>
    <n v="1"/>
    <x v="10"/>
    <n v="53340"/>
    <x v="1"/>
    <s v="53"/>
    <s v="533"/>
    <x v="1271"/>
    <s v="Agriculture Technology : Medicare Nonteaching"/>
    <n v="0.21"/>
  </r>
  <r>
    <x v="2"/>
    <s v="11-350-01-010100-53410"/>
    <x v="0"/>
    <n v="350"/>
    <n v="1"/>
    <x v="10"/>
    <n v="53410"/>
    <x v="1"/>
    <s v="53"/>
    <s v="534"/>
    <x v="1272"/>
    <s v="Agriculture Technology : H &amp; W Teaching"/>
    <n v="51412.12"/>
  </r>
  <r>
    <x v="2"/>
    <s v="11-350-01-010100-53510"/>
    <x v="0"/>
    <n v="350"/>
    <n v="1"/>
    <x v="10"/>
    <n v="53510"/>
    <x v="1"/>
    <s v="53"/>
    <s v="535"/>
    <x v="1273"/>
    <s v="Agriculture Technology : SUI Teaching"/>
    <n v="147.41999999999999"/>
  </r>
  <r>
    <x v="2"/>
    <s v="11-350-01-010100-53520"/>
    <x v="0"/>
    <n v="350"/>
    <n v="1"/>
    <x v="10"/>
    <n v="53520"/>
    <x v="1"/>
    <s v="53"/>
    <s v="535"/>
    <x v="1274"/>
    <s v="Agriculture Technology : SUI Nonteaching"/>
    <n v="0.03"/>
  </r>
  <r>
    <x v="2"/>
    <s v="11-350-01-010100-53610"/>
    <x v="0"/>
    <n v="350"/>
    <n v="1"/>
    <x v="10"/>
    <n v="53610"/>
    <x v="1"/>
    <s v="53"/>
    <s v="536"/>
    <x v="1275"/>
    <s v="Agriculture Technology : WC Teaching"/>
    <n v="5576.69"/>
  </r>
  <r>
    <x v="2"/>
    <s v="11-350-01-010100-53620"/>
    <x v="0"/>
    <n v="350"/>
    <n v="1"/>
    <x v="10"/>
    <n v="53620"/>
    <x v="1"/>
    <s v="53"/>
    <s v="536"/>
    <x v="1276"/>
    <s v="Agriculture Technology : WC Nonteaching"/>
    <n v="0.26"/>
  </r>
  <r>
    <x v="2"/>
    <s v="11-350-01-010100-53910"/>
    <x v="0"/>
    <n v="350"/>
    <n v="1"/>
    <x v="10"/>
    <n v="53910"/>
    <x v="1"/>
    <s v="53"/>
    <s v="539"/>
    <x v="1277"/>
    <s v="Agriculture Technology : Other Benefit-Teaching"/>
    <n v="1800"/>
  </r>
  <r>
    <x v="2"/>
    <s v="11-350-01-010100-54300"/>
    <x v="0"/>
    <n v="350"/>
    <n v="1"/>
    <x v="10"/>
    <n v="54300"/>
    <x v="1"/>
    <s v="54"/>
    <s v="543"/>
    <x v="1278"/>
    <s v="Agriculture Technology : Supplies &amp; Materials"/>
    <n v="0.01"/>
  </r>
  <r>
    <x v="2"/>
    <s v="11-350-01-010100-55200"/>
    <x v="0"/>
    <n v="350"/>
    <n v="1"/>
    <x v="10"/>
    <n v="55200"/>
    <x v="1"/>
    <s v="55"/>
    <s v="552"/>
    <x v="1279"/>
    <s v="Agriculture Technology : Travel &amp; Conference"/>
    <n v="0"/>
  </r>
  <r>
    <x v="2"/>
    <s v="11-350-01-010100-55300"/>
    <x v="0"/>
    <n v="350"/>
    <n v="1"/>
    <x v="10"/>
    <n v="55300"/>
    <x v="1"/>
    <s v="55"/>
    <s v="553"/>
    <x v="1280"/>
    <s v="Agriculture Technology : Memberships"/>
    <n v="0"/>
  </r>
  <r>
    <x v="2"/>
    <s v="11-350-01-010100-55560"/>
    <x v="0"/>
    <n v="350"/>
    <n v="1"/>
    <x v="10"/>
    <n v="55560"/>
    <x v="1"/>
    <s v="55"/>
    <s v="555"/>
    <x v="1281"/>
    <s v="Agriculture Technology : Water Service"/>
    <n v="0"/>
  </r>
  <r>
    <x v="2"/>
    <s v="11-350-01-010100-55630"/>
    <x v="0"/>
    <n v="350"/>
    <n v="1"/>
    <x v="10"/>
    <n v="55630"/>
    <x v="1"/>
    <s v="55"/>
    <s v="556"/>
    <x v="1282"/>
    <s v="Agriculture Technology : Printing &amp; Duplicating - Inhouse"/>
    <n v="0"/>
  </r>
  <r>
    <x v="2"/>
    <s v="11-350-01-010100-55635"/>
    <x v="0"/>
    <n v="350"/>
    <n v="1"/>
    <x v="10"/>
    <n v="55635"/>
    <x v="1"/>
    <s v="55"/>
    <s v="556"/>
    <x v="1283"/>
    <s v="Agriculture Technology : Printing Services - Vendor"/>
    <n v="0"/>
  </r>
  <r>
    <x v="2"/>
    <s v="11-350-01-010100-55650"/>
    <x v="0"/>
    <n v="350"/>
    <n v="1"/>
    <x v="10"/>
    <n v="55650"/>
    <x v="1"/>
    <s v="55"/>
    <s v="556"/>
    <x v="1284"/>
    <s v="Agriculture Technology : Maintenance Agreement"/>
    <n v="0"/>
  </r>
  <r>
    <x v="2"/>
    <s v="11-350-01-070100-51100"/>
    <x v="0"/>
    <n v="350"/>
    <n v="1"/>
    <x v="13"/>
    <n v="51100"/>
    <x v="1"/>
    <s v="51"/>
    <s v="511"/>
    <x v="1285"/>
    <s v="Computer &amp; Information Science : Academic Teaching Full-time"/>
    <n v="63938.52"/>
  </r>
  <r>
    <x v="2"/>
    <s v="11-350-01-070100-51200"/>
    <x v="0"/>
    <n v="350"/>
    <n v="1"/>
    <x v="13"/>
    <n v="51200"/>
    <x v="1"/>
    <s v="51"/>
    <s v="512"/>
    <x v="1286"/>
    <s v="Computer &amp; Information Science : Academic Nonteaching Full-time"/>
    <n v="21312.81"/>
  </r>
  <r>
    <x v="2"/>
    <s v="11-350-01-070100-51311"/>
    <x v="0"/>
    <n v="350"/>
    <n v="1"/>
    <x v="13"/>
    <n v="51311"/>
    <x v="1"/>
    <s v="51"/>
    <s v="513"/>
    <x v="1287"/>
    <s v="Computer &amp; Information Science : Academic Teaching PT"/>
    <n v="25561.02"/>
  </r>
  <r>
    <x v="2"/>
    <s v="11-350-01-070100-53110"/>
    <x v="0"/>
    <n v="350"/>
    <n v="1"/>
    <x v="13"/>
    <n v="53110"/>
    <x v="1"/>
    <s v="53"/>
    <s v="531"/>
    <x v="1288"/>
    <s v="Computer &amp; Information Science : STRS Teaching"/>
    <n v="10915.56"/>
  </r>
  <r>
    <x v="2"/>
    <s v="11-350-01-070100-53120"/>
    <x v="0"/>
    <n v="350"/>
    <n v="1"/>
    <x v="13"/>
    <n v="53120"/>
    <x v="1"/>
    <s v="53"/>
    <s v="531"/>
    <x v="1289"/>
    <s v="Computer &amp; Information Science : STRS Nonteaching"/>
    <n v="3442.05"/>
  </r>
  <r>
    <x v="2"/>
    <s v="11-350-01-070100-53330"/>
    <x v="0"/>
    <n v="350"/>
    <n v="1"/>
    <x v="13"/>
    <n v="53330"/>
    <x v="1"/>
    <s v="53"/>
    <s v="533"/>
    <x v="1290"/>
    <s v="Computer &amp; Information Science : Medicare Teaching"/>
    <n v="1292.1500000000001"/>
  </r>
  <r>
    <x v="2"/>
    <s v="11-350-01-070100-53340"/>
    <x v="0"/>
    <n v="350"/>
    <n v="1"/>
    <x v="13"/>
    <n v="53340"/>
    <x v="1"/>
    <s v="53"/>
    <s v="533"/>
    <x v="1291"/>
    <s v="Computer &amp; Information Science : Medicare Nonteaching"/>
    <n v="307.19"/>
  </r>
  <r>
    <x v="2"/>
    <s v="11-350-01-070100-53410"/>
    <x v="0"/>
    <n v="350"/>
    <n v="1"/>
    <x v="13"/>
    <n v="53410"/>
    <x v="1"/>
    <s v="53"/>
    <s v="534"/>
    <x v="1292"/>
    <s v="Computer &amp; Information Science : H &amp; W Teaching"/>
    <n v="15238.92"/>
  </r>
  <r>
    <x v="2"/>
    <s v="11-350-01-070100-53420"/>
    <x v="0"/>
    <n v="350"/>
    <n v="1"/>
    <x v="13"/>
    <n v="53420"/>
    <x v="1"/>
    <s v="53"/>
    <s v="534"/>
    <x v="1293"/>
    <s v="Computer &amp; Information Science : H &amp; W Nonteaching"/>
    <n v="5079.59"/>
  </r>
  <r>
    <x v="2"/>
    <s v="11-350-01-070100-53510"/>
    <x v="0"/>
    <n v="350"/>
    <n v="1"/>
    <x v="13"/>
    <n v="53510"/>
    <x v="1"/>
    <s v="53"/>
    <s v="535"/>
    <x v="1294"/>
    <s v="Computer &amp; Information Science : SUI Teaching"/>
    <n v="44.71"/>
  </r>
  <r>
    <x v="2"/>
    <s v="11-350-01-070100-53520"/>
    <x v="0"/>
    <n v="350"/>
    <n v="1"/>
    <x v="13"/>
    <n v="53520"/>
    <x v="1"/>
    <s v="53"/>
    <s v="535"/>
    <x v="1295"/>
    <s v="Computer &amp; Information Science : SUI Nonteaching"/>
    <n v="10.68"/>
  </r>
  <r>
    <x v="2"/>
    <s v="11-350-01-070100-53610"/>
    <x v="0"/>
    <n v="350"/>
    <n v="1"/>
    <x v="13"/>
    <n v="53610"/>
    <x v="1"/>
    <s v="53"/>
    <s v="536"/>
    <x v="1296"/>
    <s v="Computer &amp; Information Science : WC Teaching"/>
    <n v="1692.28"/>
  </r>
  <r>
    <x v="2"/>
    <s v="11-350-01-070100-53620"/>
    <x v="0"/>
    <n v="350"/>
    <n v="1"/>
    <x v="13"/>
    <n v="53620"/>
    <x v="1"/>
    <s v="53"/>
    <s v="536"/>
    <x v="1297"/>
    <s v="Computer &amp; Information Science : WC Nonteaching"/>
    <n v="402.96"/>
  </r>
  <r>
    <x v="2"/>
    <s v="11-350-01-094500-52200"/>
    <x v="0"/>
    <n v="350"/>
    <n v="1"/>
    <x v="86"/>
    <n v="52200"/>
    <x v="1"/>
    <s v="52"/>
    <s v="522"/>
    <x v="1298"/>
    <s v="Agriculture &amp; Industrial Tech. : Classified Permanent Instructional Aides"/>
    <n v="24913.1"/>
  </r>
  <r>
    <x v="2"/>
    <s v="11-350-01-094500-53210"/>
    <x v="0"/>
    <n v="350"/>
    <n v="1"/>
    <x v="86"/>
    <n v="53210"/>
    <x v="1"/>
    <s v="53"/>
    <s v="532"/>
    <x v="1299"/>
    <s v="Agriculture &amp; Industrial Tech. : PERS Teaching"/>
    <n v="5157.13"/>
  </r>
  <r>
    <x v="2"/>
    <s v="11-350-01-094500-53310"/>
    <x v="0"/>
    <n v="350"/>
    <n v="1"/>
    <x v="86"/>
    <n v="53310"/>
    <x v="1"/>
    <s v="53"/>
    <s v="533"/>
    <x v="1300"/>
    <s v="Agriculture &amp; Industrial Tech. : OASDHI (FICA) Teaching"/>
    <n v="1544.6"/>
  </r>
  <r>
    <x v="2"/>
    <s v="11-350-01-094500-53330"/>
    <x v="0"/>
    <n v="350"/>
    <n v="1"/>
    <x v="86"/>
    <n v="53330"/>
    <x v="1"/>
    <s v="53"/>
    <s v="533"/>
    <x v="1301"/>
    <s v="Agriculture &amp; Industrial Tech. : Medicare Teaching"/>
    <n v="361.29"/>
  </r>
  <r>
    <x v="2"/>
    <s v="11-350-01-094500-53410"/>
    <x v="0"/>
    <n v="350"/>
    <n v="1"/>
    <x v="86"/>
    <n v="53410"/>
    <x v="1"/>
    <s v="53"/>
    <s v="534"/>
    <x v="1302"/>
    <s v="Agriculture &amp; Industrial Tech. : H &amp; W Teaching"/>
    <n v="5363.14"/>
  </r>
  <r>
    <x v="2"/>
    <s v="11-350-01-094500-53510"/>
    <x v="0"/>
    <n v="350"/>
    <n v="1"/>
    <x v="86"/>
    <n v="53510"/>
    <x v="1"/>
    <s v="53"/>
    <s v="535"/>
    <x v="1303"/>
    <s v="Agriculture &amp; Industrial Tech. : SUI Teaching"/>
    <n v="12.45"/>
  </r>
  <r>
    <x v="2"/>
    <s v="11-350-01-094500-53610"/>
    <x v="0"/>
    <n v="350"/>
    <n v="1"/>
    <x v="86"/>
    <n v="53610"/>
    <x v="1"/>
    <s v="53"/>
    <s v="536"/>
    <x v="1304"/>
    <s v="Agriculture &amp; Industrial Tech. : WC Teaching"/>
    <n v="472.28"/>
  </r>
  <r>
    <x v="2"/>
    <s v="11-350-01-094500-54300"/>
    <x v="0"/>
    <n v="350"/>
    <n v="1"/>
    <x v="86"/>
    <n v="54300"/>
    <x v="1"/>
    <s v="54"/>
    <s v="543"/>
    <x v="1305"/>
    <s v="Agriculture &amp; Industrial Tech. : Supplies &amp; Materials"/>
    <n v="1575.14"/>
  </r>
  <r>
    <x v="2"/>
    <s v="11-350-01-094500-55200"/>
    <x v="0"/>
    <n v="350"/>
    <n v="1"/>
    <x v="86"/>
    <n v="55200"/>
    <x v="1"/>
    <s v="55"/>
    <s v="552"/>
    <x v="1306"/>
    <s v="Agriculture &amp; Industrial Tech. : Travel &amp; Conference"/>
    <n v="250"/>
  </r>
  <r>
    <x v="2"/>
    <s v="11-350-01-094500-55300"/>
    <x v="0"/>
    <n v="350"/>
    <n v="1"/>
    <x v="86"/>
    <n v="55300"/>
    <x v="1"/>
    <s v="55"/>
    <s v="553"/>
    <x v="1307"/>
    <s v="Agriculture &amp; Industrial Tech. : Memberships"/>
    <n v="140"/>
  </r>
  <r>
    <x v="2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0"/>
  </r>
  <r>
    <x v="2"/>
    <s v="11-350-01-094500-55651"/>
    <x v="0"/>
    <n v="350"/>
    <n v="1"/>
    <x v="86"/>
    <n v="55651"/>
    <x v="1"/>
    <s v="55"/>
    <s v="556"/>
    <x v="1309"/>
    <s v="Agriculture &amp; Industrial Tech. : Equipment Repairs"/>
    <n v="0"/>
  </r>
  <r>
    <x v="2"/>
    <s v="11-350-01-094700-51100"/>
    <x v="0"/>
    <n v="350"/>
    <n v="1"/>
    <x v="87"/>
    <n v="51100"/>
    <x v="1"/>
    <s v="51"/>
    <s v="511"/>
    <x v="1310"/>
    <s v="Diesel Mechanics : Academic Teaching Full-time"/>
    <n v="151719.39000000001"/>
  </r>
  <r>
    <x v="2"/>
    <s v="11-350-01-094700-51310"/>
    <x v="0"/>
    <n v="350"/>
    <n v="1"/>
    <x v="87"/>
    <n v="51310"/>
    <x v="1"/>
    <s v="51"/>
    <s v="513"/>
    <x v="1311"/>
    <s v="Diesel Mechanics : Academic Teaching NIC"/>
    <n v="15661.66"/>
  </r>
  <r>
    <x v="2"/>
    <s v="11-350-01-094700-51311"/>
    <x v="0"/>
    <n v="350"/>
    <n v="1"/>
    <x v="87"/>
    <n v="51311"/>
    <x v="1"/>
    <s v="51"/>
    <s v="513"/>
    <x v="1312"/>
    <s v="Diesel Mechanics : Academic Teaching PT"/>
    <n v="8419.7000000000007"/>
  </r>
  <r>
    <x v="2"/>
    <s v="11-350-01-094700-51412"/>
    <x v="0"/>
    <n v="350"/>
    <n v="1"/>
    <x v="87"/>
    <n v="51412"/>
    <x v="1"/>
    <s v="51"/>
    <s v="514"/>
    <x v="1313"/>
    <s v="Diesel Mechanics : Acad Nonteach Special Projects"/>
    <n v="0"/>
  </r>
  <r>
    <x v="2"/>
    <s v="11-350-01-094700-52200"/>
    <x v="0"/>
    <n v="350"/>
    <n v="1"/>
    <x v="87"/>
    <n v="52200"/>
    <x v="1"/>
    <s v="52"/>
    <s v="522"/>
    <x v="1314"/>
    <s v="Diesel Mechanics : Classified Permanent Instructional Aides"/>
    <n v="0"/>
  </r>
  <r>
    <x v="2"/>
    <s v="11-350-01-094700-52360"/>
    <x v="0"/>
    <n v="350"/>
    <n v="1"/>
    <x v="87"/>
    <n v="52360"/>
    <x v="1"/>
    <s v="52"/>
    <s v="523"/>
    <x v="1315"/>
    <s v="Diesel Mechanics : Class Nonstu NonIA PT Prof Exp"/>
    <n v="0"/>
  </r>
  <r>
    <x v="2"/>
    <s v="11-350-01-094700-53110"/>
    <x v="0"/>
    <n v="350"/>
    <n v="1"/>
    <x v="87"/>
    <n v="53110"/>
    <x v="1"/>
    <s v="53"/>
    <s v="531"/>
    <x v="1316"/>
    <s v="Diesel Mechanics : STRS Teaching"/>
    <n v="28391.86"/>
  </r>
  <r>
    <x v="2"/>
    <s v="11-350-01-094700-53120"/>
    <x v="0"/>
    <n v="350"/>
    <n v="1"/>
    <x v="87"/>
    <n v="53120"/>
    <x v="1"/>
    <s v="53"/>
    <s v="531"/>
    <x v="1317"/>
    <s v="Diesel Mechanics : STRS Nonteaching"/>
    <n v="0"/>
  </r>
  <r>
    <x v="2"/>
    <s v="11-350-01-094700-53210"/>
    <x v="0"/>
    <n v="350"/>
    <n v="1"/>
    <x v="87"/>
    <n v="53210"/>
    <x v="1"/>
    <s v="53"/>
    <s v="532"/>
    <x v="1318"/>
    <s v="Diesel Mechanics : PERS Teaching"/>
    <n v="0"/>
  </r>
  <r>
    <x v="2"/>
    <s v="11-350-01-094700-53310"/>
    <x v="0"/>
    <n v="350"/>
    <n v="1"/>
    <x v="87"/>
    <n v="53310"/>
    <x v="1"/>
    <s v="53"/>
    <s v="533"/>
    <x v="1319"/>
    <s v="Diesel Mechanics : OASDHI (FICA) Teaching"/>
    <n v="0"/>
  </r>
  <r>
    <x v="2"/>
    <s v="11-350-01-094700-53320"/>
    <x v="0"/>
    <n v="350"/>
    <n v="1"/>
    <x v="87"/>
    <n v="53320"/>
    <x v="1"/>
    <s v="53"/>
    <s v="533"/>
    <x v="1320"/>
    <s v="Diesel Mechanics : OASDHI (FICA) Nonteaching"/>
    <n v="0"/>
  </r>
  <r>
    <x v="2"/>
    <s v="11-350-01-094700-53330"/>
    <x v="0"/>
    <n v="350"/>
    <n v="1"/>
    <x v="87"/>
    <n v="53330"/>
    <x v="1"/>
    <s v="53"/>
    <s v="533"/>
    <x v="1321"/>
    <s v="Diesel Mechanics : Medicare Teaching"/>
    <n v="2537.6799999999998"/>
  </r>
  <r>
    <x v="2"/>
    <s v="11-350-01-094700-53340"/>
    <x v="0"/>
    <n v="350"/>
    <n v="1"/>
    <x v="87"/>
    <n v="53340"/>
    <x v="1"/>
    <s v="53"/>
    <s v="533"/>
    <x v="1322"/>
    <s v="Diesel Mechanics : Medicare Nonteaching"/>
    <n v="0"/>
  </r>
  <r>
    <x v="2"/>
    <s v="11-350-01-094700-53410"/>
    <x v="0"/>
    <n v="350"/>
    <n v="1"/>
    <x v="87"/>
    <n v="53410"/>
    <x v="1"/>
    <s v="53"/>
    <s v="534"/>
    <x v="1323"/>
    <s v="Diesel Mechanics : H &amp; W Teaching"/>
    <n v="27449.19"/>
  </r>
  <r>
    <x v="2"/>
    <s v="11-350-01-094700-53510"/>
    <x v="0"/>
    <n v="350"/>
    <n v="1"/>
    <x v="87"/>
    <n v="53510"/>
    <x v="1"/>
    <s v="53"/>
    <s v="535"/>
    <x v="1324"/>
    <s v="Diesel Mechanics : SUI Teaching"/>
    <n v="87.97"/>
  </r>
  <r>
    <x v="2"/>
    <s v="11-350-01-094700-53520"/>
    <x v="0"/>
    <n v="350"/>
    <n v="1"/>
    <x v="87"/>
    <n v="53520"/>
    <x v="1"/>
    <s v="53"/>
    <s v="535"/>
    <x v="1325"/>
    <s v="Diesel Mechanics : SUI Nonteaching"/>
    <n v="0"/>
  </r>
  <r>
    <x v="2"/>
    <s v="11-350-01-094700-53610"/>
    <x v="0"/>
    <n v="350"/>
    <n v="1"/>
    <x v="87"/>
    <n v="53610"/>
    <x v="1"/>
    <s v="53"/>
    <s v="536"/>
    <x v="1326"/>
    <s v="Diesel Mechanics : WC Teaching"/>
    <n v="3326"/>
  </r>
  <r>
    <x v="2"/>
    <s v="11-350-01-094700-53620"/>
    <x v="0"/>
    <n v="350"/>
    <n v="1"/>
    <x v="87"/>
    <n v="53620"/>
    <x v="1"/>
    <s v="53"/>
    <s v="536"/>
    <x v="1327"/>
    <s v="Diesel Mechanics : WC Nonteaching"/>
    <n v="0"/>
  </r>
  <r>
    <x v="2"/>
    <s v="11-350-01-094700-53910"/>
    <x v="0"/>
    <n v="350"/>
    <n v="1"/>
    <x v="87"/>
    <n v="53910"/>
    <x v="1"/>
    <s v="53"/>
    <s v="539"/>
    <x v="1328"/>
    <s v="Diesel Mechanics : Other Benefit-Teaching"/>
    <n v="1963.62"/>
  </r>
  <r>
    <x v="2"/>
    <s v="11-350-01-094700-54300"/>
    <x v="0"/>
    <n v="350"/>
    <n v="1"/>
    <x v="87"/>
    <n v="54300"/>
    <x v="1"/>
    <s v="54"/>
    <s v="543"/>
    <x v="1329"/>
    <s v="Diesel Mechanics : Supplies &amp; Materials"/>
    <n v="-492.54999999999995"/>
  </r>
  <r>
    <x v="2"/>
    <s v="11-350-01-094700-55125"/>
    <x v="0"/>
    <n v="350"/>
    <n v="1"/>
    <x v="87"/>
    <n v="55125"/>
    <x v="1"/>
    <s v="55"/>
    <s v="551"/>
    <x v="1330"/>
    <s v="Diesel Mechanics : Training &amp; Seminars"/>
    <n v="0"/>
  </r>
  <r>
    <x v="2"/>
    <s v="11-350-01-094700-55575"/>
    <x v="0"/>
    <n v="350"/>
    <n v="1"/>
    <x v="87"/>
    <n v="55575"/>
    <x v="1"/>
    <s v="55"/>
    <s v="555"/>
    <x v="1331"/>
    <s v="Diesel Mechanics : Hazardous Waste Disposal"/>
    <n v="0"/>
  </r>
  <r>
    <x v="2"/>
    <s v="11-350-01-094700-55630"/>
    <x v="0"/>
    <n v="350"/>
    <n v="1"/>
    <x v="87"/>
    <n v="55630"/>
    <x v="1"/>
    <s v="55"/>
    <s v="556"/>
    <x v="1332"/>
    <s v="Diesel Mechanics : Printing &amp; Duplicating - Inhouse"/>
    <n v="0"/>
  </r>
  <r>
    <x v="2"/>
    <s v="11-350-01-094700-55650"/>
    <x v="0"/>
    <n v="350"/>
    <n v="1"/>
    <x v="87"/>
    <n v="55650"/>
    <x v="1"/>
    <s v="55"/>
    <s v="556"/>
    <x v="1333"/>
    <s v="Diesel Mechanics : Maintenance Agreement"/>
    <n v="3397.14"/>
  </r>
  <r>
    <x v="2"/>
    <s v="11-350-01-094700-55651"/>
    <x v="0"/>
    <n v="350"/>
    <n v="1"/>
    <x v="87"/>
    <n v="55651"/>
    <x v="1"/>
    <s v="55"/>
    <s v="556"/>
    <x v="1334"/>
    <s v="Diesel Mechanics : Equipment Repairs"/>
    <n v="0"/>
  </r>
  <r>
    <x v="2"/>
    <s v="11-350-01-094700-55800"/>
    <x v="0"/>
    <n v="350"/>
    <n v="1"/>
    <x v="87"/>
    <n v="55800"/>
    <x v="1"/>
    <s v="55"/>
    <s v="558"/>
    <x v="1335"/>
    <s v="Diesel Mechanics : Other Costs"/>
    <n v="0"/>
  </r>
  <r>
    <x v="2"/>
    <s v="11-350-01-094700-56400"/>
    <x v="0"/>
    <n v="350"/>
    <n v="1"/>
    <x v="87"/>
    <n v="56400"/>
    <x v="1"/>
    <s v="56"/>
    <s v="564"/>
    <x v="1336"/>
    <s v="Diesel Mechanics : Cap Equip - $200 to $4,999"/>
    <n v="0"/>
  </r>
  <r>
    <x v="2"/>
    <s v="11-350-01-094800-51310"/>
    <x v="0"/>
    <n v="350"/>
    <n v="1"/>
    <x v="85"/>
    <n v="51310"/>
    <x v="1"/>
    <s v="51"/>
    <s v="513"/>
    <x v="1337"/>
    <s v="Automotive Technology : Academic Teaching NIC"/>
    <n v="18771.22"/>
  </r>
  <r>
    <x v="2"/>
    <s v="11-350-01-094800-51311"/>
    <x v="0"/>
    <n v="350"/>
    <n v="1"/>
    <x v="85"/>
    <n v="51311"/>
    <x v="1"/>
    <s v="51"/>
    <s v="513"/>
    <x v="1338"/>
    <s v="Automotive Technology : Academic Teaching PT"/>
    <n v="24624.21"/>
  </r>
  <r>
    <x v="2"/>
    <s v="11-350-01-094800-51412"/>
    <x v="0"/>
    <n v="350"/>
    <n v="1"/>
    <x v="85"/>
    <n v="51412"/>
    <x v="1"/>
    <s v="51"/>
    <s v="514"/>
    <x v="1339"/>
    <s v="Automotive Technology : Acad Nonteach Special Projects"/>
    <n v="1417.4"/>
  </r>
  <r>
    <x v="2"/>
    <s v="11-350-01-094800-53110"/>
    <x v="0"/>
    <n v="350"/>
    <n v="1"/>
    <x v="85"/>
    <n v="53110"/>
    <x v="1"/>
    <s v="53"/>
    <s v="531"/>
    <x v="1340"/>
    <s v="Automotive Technology : STRS Teaching"/>
    <n v="4675.72"/>
  </r>
  <r>
    <x v="2"/>
    <s v="11-350-01-094800-53120"/>
    <x v="0"/>
    <n v="350"/>
    <n v="1"/>
    <x v="85"/>
    <n v="53120"/>
    <x v="1"/>
    <s v="53"/>
    <s v="531"/>
    <x v="1341"/>
    <s v="Automotive Technology : STRS Nonteaching"/>
    <n v="114.25"/>
  </r>
  <r>
    <x v="2"/>
    <s v="11-350-01-094800-53310"/>
    <x v="0"/>
    <n v="350"/>
    <n v="1"/>
    <x v="85"/>
    <n v="53310"/>
    <x v="1"/>
    <s v="53"/>
    <s v="533"/>
    <x v="1342"/>
    <s v="Automotive Technology : OASDHI (FICA) Teaching"/>
    <n v="939.52"/>
  </r>
  <r>
    <x v="2"/>
    <s v="11-350-01-094800-53330"/>
    <x v="0"/>
    <n v="350"/>
    <n v="1"/>
    <x v="85"/>
    <n v="53330"/>
    <x v="1"/>
    <s v="53"/>
    <s v="533"/>
    <x v="1343"/>
    <s v="Automotive Technology : Medicare Teaching"/>
    <n v="639.59"/>
  </r>
  <r>
    <x v="2"/>
    <s v="11-350-01-094800-53340"/>
    <x v="0"/>
    <n v="350"/>
    <n v="1"/>
    <x v="85"/>
    <n v="53340"/>
    <x v="1"/>
    <s v="53"/>
    <s v="533"/>
    <x v="1344"/>
    <s v="Automotive Technology : Medicare Nonteaching"/>
    <n v="10.26"/>
  </r>
  <r>
    <x v="2"/>
    <s v="11-350-01-094800-53510"/>
    <x v="0"/>
    <n v="350"/>
    <n v="1"/>
    <x v="85"/>
    <n v="53510"/>
    <x v="1"/>
    <s v="53"/>
    <s v="535"/>
    <x v="1345"/>
    <s v="Automotive Technology : SUI Teaching"/>
    <n v="22.13"/>
  </r>
  <r>
    <x v="2"/>
    <s v="11-350-01-094800-53520"/>
    <x v="0"/>
    <n v="350"/>
    <n v="1"/>
    <x v="85"/>
    <n v="53520"/>
    <x v="1"/>
    <s v="53"/>
    <s v="535"/>
    <x v="1346"/>
    <s v="Automotive Technology : SUI Nonteaching"/>
    <n v="0.35"/>
  </r>
  <r>
    <x v="2"/>
    <s v="11-350-01-094800-53610"/>
    <x v="0"/>
    <n v="350"/>
    <n v="1"/>
    <x v="85"/>
    <n v="53610"/>
    <x v="1"/>
    <s v="53"/>
    <s v="536"/>
    <x v="1347"/>
    <s v="Automotive Technology : WC Teaching"/>
    <n v="833.99"/>
  </r>
  <r>
    <x v="2"/>
    <s v="11-350-01-094800-53620"/>
    <x v="0"/>
    <n v="350"/>
    <n v="1"/>
    <x v="85"/>
    <n v="53620"/>
    <x v="1"/>
    <s v="53"/>
    <s v="536"/>
    <x v="1348"/>
    <s v="Automotive Technology : WC Nonteaching"/>
    <n v="13.38"/>
  </r>
  <r>
    <x v="2"/>
    <s v="11-350-01-094800-54300"/>
    <x v="0"/>
    <n v="350"/>
    <n v="1"/>
    <x v="85"/>
    <n v="54300"/>
    <x v="1"/>
    <s v="54"/>
    <s v="543"/>
    <x v="1349"/>
    <s v="Automotive Technology : Supplies &amp; Materials"/>
    <n v="2956.28"/>
  </r>
  <r>
    <x v="2"/>
    <s v="11-350-01-094800-55630"/>
    <x v="0"/>
    <n v="350"/>
    <n v="1"/>
    <x v="85"/>
    <n v="55630"/>
    <x v="1"/>
    <s v="55"/>
    <s v="556"/>
    <x v="1350"/>
    <s v="Automotive Technology : Printing &amp; Duplicating - Inhouse"/>
    <n v="0"/>
  </r>
  <r>
    <x v="2"/>
    <s v="11-350-01-094800-55650"/>
    <x v="0"/>
    <n v="350"/>
    <n v="1"/>
    <x v="85"/>
    <n v="55650"/>
    <x v="1"/>
    <s v="55"/>
    <s v="556"/>
    <x v="1351"/>
    <s v="Automotive Technology : Maintenance Agreement"/>
    <n v="1800"/>
  </r>
  <r>
    <x v="2"/>
    <s v="11-350-01-094800-55651"/>
    <x v="0"/>
    <n v="350"/>
    <n v="1"/>
    <x v="85"/>
    <n v="55651"/>
    <x v="1"/>
    <s v="55"/>
    <s v="556"/>
    <x v="1352"/>
    <s v="Automotive Technology : Equipment Repairs"/>
    <n v="0"/>
  </r>
  <r>
    <x v="2"/>
    <s v="11-350-01-094800-56341"/>
    <x v="0"/>
    <n v="350"/>
    <n v="1"/>
    <x v="85"/>
    <n v="56341"/>
    <x v="1"/>
    <s v="56"/>
    <s v="563"/>
    <x v="1353"/>
    <s v="Automotive Technology : On-line Database Services"/>
    <n v="975"/>
  </r>
  <r>
    <x v="2"/>
    <s v="11-350-01-095200-51100"/>
    <x v="0"/>
    <n v="350"/>
    <n v="1"/>
    <x v="88"/>
    <n v="51100"/>
    <x v="1"/>
    <s v="51"/>
    <s v="511"/>
    <x v="1354"/>
    <s v="Construction Technology : Academic Teaching Full-time"/>
    <n v="84174.57"/>
  </r>
  <r>
    <x v="2"/>
    <s v="11-350-01-095200-51310"/>
    <x v="0"/>
    <n v="350"/>
    <n v="1"/>
    <x v="88"/>
    <n v="51310"/>
    <x v="1"/>
    <s v="51"/>
    <s v="513"/>
    <x v="1355"/>
    <s v="Construction Technology : Academic Teaching NIC"/>
    <n v="0"/>
  </r>
  <r>
    <x v="2"/>
    <s v="11-350-01-095200-51311"/>
    <x v="0"/>
    <n v="350"/>
    <n v="1"/>
    <x v="88"/>
    <n v="51311"/>
    <x v="1"/>
    <s v="51"/>
    <s v="513"/>
    <x v="1356"/>
    <s v="Construction Technology : Academic Teaching PT"/>
    <n v="3288.6"/>
  </r>
  <r>
    <x v="2"/>
    <s v="11-350-01-095200-53110"/>
    <x v="0"/>
    <n v="350"/>
    <n v="1"/>
    <x v="88"/>
    <n v="53110"/>
    <x v="1"/>
    <s v="53"/>
    <s v="531"/>
    <x v="1357"/>
    <s v="Construction Technology : STRS Teaching"/>
    <n v="14125.33"/>
  </r>
  <r>
    <x v="2"/>
    <s v="11-350-01-095200-53330"/>
    <x v="0"/>
    <n v="350"/>
    <n v="1"/>
    <x v="88"/>
    <n v="53330"/>
    <x v="1"/>
    <s v="53"/>
    <s v="533"/>
    <x v="1358"/>
    <s v="Construction Technology : Medicare Teaching"/>
    <n v="1268.19"/>
  </r>
  <r>
    <x v="2"/>
    <s v="11-350-01-095200-53410"/>
    <x v="0"/>
    <n v="350"/>
    <n v="1"/>
    <x v="88"/>
    <n v="53410"/>
    <x v="1"/>
    <s v="53"/>
    <s v="534"/>
    <x v="1359"/>
    <s v="Construction Technology : H &amp; W Teaching"/>
    <n v="144.76"/>
  </r>
  <r>
    <x v="2"/>
    <s v="11-350-01-095200-53510"/>
    <x v="0"/>
    <n v="350"/>
    <n v="1"/>
    <x v="88"/>
    <n v="53510"/>
    <x v="1"/>
    <s v="53"/>
    <s v="535"/>
    <x v="1360"/>
    <s v="Construction Technology : SUI Teaching"/>
    <n v="43.77"/>
  </r>
  <r>
    <x v="2"/>
    <s v="11-350-01-095200-53610"/>
    <x v="0"/>
    <n v="350"/>
    <n v="1"/>
    <x v="88"/>
    <n v="53610"/>
    <x v="1"/>
    <s v="53"/>
    <s v="536"/>
    <x v="1361"/>
    <s v="Construction Technology : WC Teaching"/>
    <n v="1653.75"/>
  </r>
  <r>
    <x v="2"/>
    <s v="11-350-01-095200-53910"/>
    <x v="0"/>
    <n v="350"/>
    <n v="1"/>
    <x v="88"/>
    <n v="53910"/>
    <x v="1"/>
    <s v="53"/>
    <s v="539"/>
    <x v="1362"/>
    <s v="Construction Technology : Other Benefit-Teaching"/>
    <n v="1963.62"/>
  </r>
  <r>
    <x v="2"/>
    <s v="11-350-01-095200-54300"/>
    <x v="0"/>
    <n v="350"/>
    <n v="1"/>
    <x v="88"/>
    <n v="54300"/>
    <x v="1"/>
    <s v="54"/>
    <s v="543"/>
    <x v="1363"/>
    <s v="Construction Technology : Supplies &amp; Materials"/>
    <n v="0"/>
  </r>
  <r>
    <x v="2"/>
    <s v="11-350-01-095200-55300"/>
    <x v="0"/>
    <n v="350"/>
    <n v="1"/>
    <x v="88"/>
    <n v="55300"/>
    <x v="1"/>
    <s v="55"/>
    <s v="553"/>
    <x v="1364"/>
    <s v="Construction Technology : Memberships"/>
    <n v="0"/>
  </r>
  <r>
    <x v="2"/>
    <s v="11-350-01-095200-55309"/>
    <x v="0"/>
    <n v="350"/>
    <n v="1"/>
    <x v="88"/>
    <n v="55309"/>
    <x v="1"/>
    <s v="55"/>
    <s v="553"/>
    <x v="1365"/>
    <s v="Construction Technology : Subscriptions"/>
    <n v="0"/>
  </r>
  <r>
    <x v="2"/>
    <s v="11-350-01-095200-55630"/>
    <x v="0"/>
    <n v="350"/>
    <n v="1"/>
    <x v="88"/>
    <n v="55630"/>
    <x v="1"/>
    <s v="55"/>
    <s v="556"/>
    <x v="1366"/>
    <s v="Construction Technology : Printing &amp; Duplicating - Inhouse"/>
    <n v="0"/>
  </r>
  <r>
    <x v="2"/>
    <s v="11-350-01-095200-56400"/>
    <x v="0"/>
    <n v="350"/>
    <n v="1"/>
    <x v="88"/>
    <n v="56400"/>
    <x v="1"/>
    <s v="56"/>
    <s v="564"/>
    <x v="1367"/>
    <s v="Construction Technology : Cap Equip - $200 to $4,999"/>
    <n v="0"/>
  </r>
  <r>
    <x v="2"/>
    <s v="11-350-01-095220-55105"/>
    <x v="0"/>
    <n v="350"/>
    <n v="1"/>
    <x v="89"/>
    <n v="55105"/>
    <x v="1"/>
    <s v="55"/>
    <s v="551"/>
    <x v="1368"/>
    <s v="Electrical Apprentice : Contract Services"/>
    <n v="0"/>
  </r>
  <r>
    <x v="2"/>
    <s v="11-350-01-095300-51100"/>
    <x v="0"/>
    <n v="350"/>
    <n v="1"/>
    <x v="90"/>
    <n v="51100"/>
    <x v="1"/>
    <s v="51"/>
    <s v="511"/>
    <x v="1369"/>
    <s v="Drafting Technology : Academic Teaching Full-time"/>
    <n v="68201.100000000006"/>
  </r>
  <r>
    <x v="2"/>
    <s v="11-350-01-095300-53110"/>
    <x v="0"/>
    <n v="350"/>
    <n v="1"/>
    <x v="90"/>
    <n v="53110"/>
    <x v="1"/>
    <s v="53"/>
    <s v="531"/>
    <x v="1370"/>
    <s v="Drafting Technology : STRS Teaching"/>
    <n v="11014.47"/>
  </r>
  <r>
    <x v="2"/>
    <s v="11-350-01-095300-53330"/>
    <x v="0"/>
    <n v="350"/>
    <n v="1"/>
    <x v="90"/>
    <n v="53330"/>
    <x v="1"/>
    <s v="53"/>
    <s v="533"/>
    <x v="1371"/>
    <s v="Drafting Technology : Medicare Teaching"/>
    <n v="979.07"/>
  </r>
  <r>
    <x v="2"/>
    <s v="11-350-01-095300-53410"/>
    <x v="0"/>
    <n v="350"/>
    <n v="1"/>
    <x v="90"/>
    <n v="53410"/>
    <x v="1"/>
    <s v="53"/>
    <s v="534"/>
    <x v="1372"/>
    <s v="Drafting Technology : H &amp; W Teaching"/>
    <n v="21333.05"/>
  </r>
  <r>
    <x v="2"/>
    <s v="11-350-01-095300-53510"/>
    <x v="0"/>
    <n v="350"/>
    <n v="1"/>
    <x v="90"/>
    <n v="53510"/>
    <x v="1"/>
    <s v="53"/>
    <s v="535"/>
    <x v="1373"/>
    <s v="Drafting Technology : SUI Teaching"/>
    <n v="34.11"/>
  </r>
  <r>
    <x v="2"/>
    <s v="11-350-01-095300-53610"/>
    <x v="0"/>
    <n v="350"/>
    <n v="1"/>
    <x v="90"/>
    <n v="53610"/>
    <x v="1"/>
    <s v="53"/>
    <s v="536"/>
    <x v="1374"/>
    <s v="Drafting Technology : WC Teaching"/>
    <n v="1289.52"/>
  </r>
  <r>
    <x v="2"/>
    <s v="11-350-01-095300-54300"/>
    <x v="0"/>
    <n v="350"/>
    <n v="1"/>
    <x v="90"/>
    <n v="54300"/>
    <x v="1"/>
    <s v="54"/>
    <s v="543"/>
    <x v="1375"/>
    <s v="Drafting Technology : Supplies &amp; Materials"/>
    <n v="0"/>
  </r>
  <r>
    <x v="2"/>
    <s v="11-350-01-095300-55630"/>
    <x v="0"/>
    <n v="350"/>
    <n v="1"/>
    <x v="90"/>
    <n v="55630"/>
    <x v="1"/>
    <s v="55"/>
    <s v="556"/>
    <x v="1376"/>
    <s v="Drafting Technology : Printing &amp; Duplicating - Inhouse"/>
    <n v="0"/>
  </r>
  <r>
    <x v="2"/>
    <s v="11-350-01-095300-55651"/>
    <x v="0"/>
    <n v="350"/>
    <n v="1"/>
    <x v="90"/>
    <n v="55651"/>
    <x v="1"/>
    <s v="55"/>
    <s v="556"/>
    <x v="1377"/>
    <s v="Drafting Technology : Equipment Repairs"/>
    <n v="0"/>
  </r>
  <r>
    <x v="2"/>
    <s v="11-350-01-095300-56300"/>
    <x v="0"/>
    <n v="350"/>
    <n v="1"/>
    <x v="90"/>
    <n v="56300"/>
    <x v="1"/>
    <s v="56"/>
    <s v="563"/>
    <x v="1378"/>
    <s v="Drafting Technology : Capital Books &amp; Software"/>
    <n v="2000"/>
  </r>
  <r>
    <x v="2"/>
    <s v="11-350-01-095650-51100"/>
    <x v="0"/>
    <n v="350"/>
    <n v="1"/>
    <x v="91"/>
    <n v="51100"/>
    <x v="1"/>
    <s v="51"/>
    <s v="511"/>
    <x v="1379"/>
    <s v="Welding Technology : Academic Teaching Full-time"/>
    <n v="75526.38"/>
  </r>
  <r>
    <x v="2"/>
    <s v="11-350-01-095650-51310"/>
    <x v="0"/>
    <n v="350"/>
    <n v="1"/>
    <x v="91"/>
    <n v="51310"/>
    <x v="1"/>
    <s v="51"/>
    <s v="513"/>
    <x v="1380"/>
    <s v="Welding Technology : Academic Teaching NIC"/>
    <n v="0"/>
  </r>
  <r>
    <x v="2"/>
    <s v="11-350-01-095650-51311"/>
    <x v="0"/>
    <n v="350"/>
    <n v="1"/>
    <x v="91"/>
    <n v="51311"/>
    <x v="1"/>
    <s v="51"/>
    <s v="513"/>
    <x v="1381"/>
    <s v="Welding Technology : Academic Teaching PT"/>
    <n v="2525.91"/>
  </r>
  <r>
    <x v="2"/>
    <s v="11-350-01-095650-52200"/>
    <x v="0"/>
    <n v="350"/>
    <n v="1"/>
    <x v="91"/>
    <n v="52200"/>
    <x v="1"/>
    <s v="52"/>
    <s v="522"/>
    <x v="1382"/>
    <s v="Welding Technology : Classified Permanent Instructional Aides"/>
    <n v="25010.48"/>
  </r>
  <r>
    <x v="2"/>
    <s v="11-350-01-095650-53110"/>
    <x v="0"/>
    <n v="350"/>
    <n v="1"/>
    <x v="91"/>
    <n v="53110"/>
    <x v="1"/>
    <s v="53"/>
    <s v="531"/>
    <x v="1383"/>
    <s v="Welding Technology : STRS Teaching"/>
    <n v="12605.43"/>
  </r>
  <r>
    <x v="2"/>
    <s v="11-350-01-095650-53210"/>
    <x v="0"/>
    <n v="350"/>
    <n v="1"/>
    <x v="91"/>
    <n v="53210"/>
    <x v="1"/>
    <s v="53"/>
    <s v="532"/>
    <x v="1384"/>
    <s v="Welding Technology : PERS Teaching"/>
    <n v="5176.1499999999996"/>
  </r>
  <r>
    <x v="2"/>
    <s v="11-350-01-095650-53310"/>
    <x v="0"/>
    <n v="350"/>
    <n v="1"/>
    <x v="91"/>
    <n v="53310"/>
    <x v="1"/>
    <s v="53"/>
    <s v="533"/>
    <x v="1385"/>
    <s v="Welding Technology : OASDHI (FICA) Teaching"/>
    <n v="1550.65"/>
  </r>
  <r>
    <x v="2"/>
    <s v="11-350-01-095650-53330"/>
    <x v="0"/>
    <n v="350"/>
    <n v="1"/>
    <x v="91"/>
    <n v="53330"/>
    <x v="1"/>
    <s v="53"/>
    <s v="533"/>
    <x v="1386"/>
    <s v="Welding Technology : Medicare Teaching"/>
    <n v="1487"/>
  </r>
  <r>
    <x v="2"/>
    <s v="11-350-01-095650-53410"/>
    <x v="0"/>
    <n v="350"/>
    <n v="1"/>
    <x v="91"/>
    <n v="53410"/>
    <x v="1"/>
    <s v="53"/>
    <s v="534"/>
    <x v="1387"/>
    <s v="Welding Technology : H &amp; W Teaching"/>
    <n v="25681.73"/>
  </r>
  <r>
    <x v="2"/>
    <s v="11-350-01-095650-53510"/>
    <x v="0"/>
    <n v="350"/>
    <n v="1"/>
    <x v="91"/>
    <n v="53510"/>
    <x v="1"/>
    <s v="53"/>
    <s v="535"/>
    <x v="1388"/>
    <s v="Welding Technology : SUI Teaching"/>
    <n v="51.58"/>
  </r>
  <r>
    <x v="2"/>
    <s v="11-350-01-095650-53610"/>
    <x v="0"/>
    <n v="350"/>
    <n v="1"/>
    <x v="91"/>
    <n v="53610"/>
    <x v="1"/>
    <s v="53"/>
    <s v="536"/>
    <x v="1389"/>
    <s v="Welding Technology : WC Teaching"/>
    <n v="1949.7"/>
  </r>
  <r>
    <x v="2"/>
    <s v="11-350-01-095650-54300"/>
    <x v="0"/>
    <n v="350"/>
    <n v="1"/>
    <x v="91"/>
    <n v="54300"/>
    <x v="1"/>
    <s v="54"/>
    <s v="543"/>
    <x v="1390"/>
    <s v="Welding Technology : Supplies &amp; Materials"/>
    <n v="273.3"/>
  </r>
  <r>
    <x v="2"/>
    <s v="11-350-01-095650-55630"/>
    <x v="0"/>
    <n v="350"/>
    <n v="1"/>
    <x v="91"/>
    <n v="55630"/>
    <x v="1"/>
    <s v="55"/>
    <s v="556"/>
    <x v="1391"/>
    <s v="Welding Technology : Printing &amp; Duplicating - Inhouse"/>
    <n v="0"/>
  </r>
  <r>
    <x v="2"/>
    <s v="11-350-01-095650-55651"/>
    <x v="0"/>
    <n v="350"/>
    <n v="1"/>
    <x v="91"/>
    <n v="55651"/>
    <x v="1"/>
    <s v="55"/>
    <s v="556"/>
    <x v="1392"/>
    <s v="Welding Technology : Equipment Repairs"/>
    <n v="2800"/>
  </r>
  <r>
    <x v="2"/>
    <s v="11-350-01-095650-56400"/>
    <x v="0"/>
    <n v="350"/>
    <n v="1"/>
    <x v="91"/>
    <n v="56400"/>
    <x v="1"/>
    <s v="56"/>
    <s v="564"/>
    <x v="1393"/>
    <s v="Welding Technology : Cap Equip - $200 to $4,999"/>
    <n v="0"/>
  </r>
  <r>
    <x v="2"/>
    <s v="11-350-01-601000-51210"/>
    <x v="0"/>
    <n v="350"/>
    <n v="1"/>
    <x v="34"/>
    <n v="51210"/>
    <x v="1"/>
    <s v="51"/>
    <s v="512"/>
    <x v="1394"/>
    <s v="Academic Administration : Academic Nonteaching Management"/>
    <n v="122839.2"/>
  </r>
  <r>
    <x v="2"/>
    <s v="11-350-01-601000-52105"/>
    <x v="0"/>
    <n v="350"/>
    <n v="1"/>
    <x v="34"/>
    <n v="52105"/>
    <x v="1"/>
    <s v="52"/>
    <s v="521"/>
    <x v="1395"/>
    <s v="Academic Administration : Classified CSEA"/>
    <n v="52930.42"/>
  </r>
  <r>
    <x v="2"/>
    <s v="11-350-01-601000-52300"/>
    <x v="0"/>
    <n v="350"/>
    <n v="1"/>
    <x v="34"/>
    <n v="52300"/>
    <x v="1"/>
    <s v="52"/>
    <s v="523"/>
    <x v="1396"/>
    <s v="Academic Administration : Classified Overtime"/>
    <n v="0.56999999999999995"/>
  </r>
  <r>
    <x v="2"/>
    <s v="11-350-01-601000-52350"/>
    <x v="0"/>
    <n v="350"/>
    <n v="1"/>
    <x v="34"/>
    <n v="52350"/>
    <x v="1"/>
    <s v="52"/>
    <s v="523"/>
    <x v="1397"/>
    <s v="Academic Administration : Classified Student Dist Non-IA PT"/>
    <n v="8986"/>
  </r>
  <r>
    <x v="2"/>
    <s v="11-350-01-601000-53120"/>
    <x v="0"/>
    <n v="350"/>
    <n v="1"/>
    <x v="34"/>
    <n v="53120"/>
    <x v="1"/>
    <s v="53"/>
    <s v="531"/>
    <x v="1398"/>
    <s v="Academic Administration : STRS Nonteaching"/>
    <n v="19838.5"/>
  </r>
  <r>
    <x v="2"/>
    <s v="11-350-01-601000-53220"/>
    <x v="0"/>
    <n v="350"/>
    <n v="1"/>
    <x v="34"/>
    <n v="53220"/>
    <x v="1"/>
    <s v="53"/>
    <s v="532"/>
    <x v="1399"/>
    <s v="Academic Administration : PERS Nonteaching"/>
    <n v="10954.48"/>
  </r>
  <r>
    <x v="2"/>
    <s v="11-350-01-601000-53320"/>
    <x v="0"/>
    <n v="350"/>
    <n v="1"/>
    <x v="34"/>
    <n v="53320"/>
    <x v="1"/>
    <s v="53"/>
    <s v="533"/>
    <x v="1400"/>
    <s v="Academic Administration : OASDHI (FICA) Nonteaching"/>
    <n v="3281.74"/>
  </r>
  <r>
    <x v="2"/>
    <s v="11-350-01-601000-53340"/>
    <x v="0"/>
    <n v="350"/>
    <n v="1"/>
    <x v="34"/>
    <n v="53340"/>
    <x v="1"/>
    <s v="53"/>
    <s v="533"/>
    <x v="1401"/>
    <s v="Academic Administration : Medicare Nonteaching"/>
    <n v="2549.15"/>
  </r>
  <r>
    <x v="2"/>
    <s v="11-350-01-601000-53420"/>
    <x v="0"/>
    <n v="350"/>
    <n v="1"/>
    <x v="34"/>
    <n v="53420"/>
    <x v="1"/>
    <s v="53"/>
    <s v="534"/>
    <x v="1402"/>
    <s v="Academic Administration : H &amp; W Nonteaching"/>
    <n v="29592.720000000001"/>
  </r>
  <r>
    <x v="2"/>
    <s v="11-350-01-601000-53520"/>
    <x v="0"/>
    <n v="350"/>
    <n v="1"/>
    <x v="34"/>
    <n v="53520"/>
    <x v="1"/>
    <s v="53"/>
    <s v="535"/>
    <x v="1403"/>
    <s v="Academic Administration : SUI Nonteaching"/>
    <n v="87.86"/>
  </r>
  <r>
    <x v="2"/>
    <s v="11-350-01-601000-53620"/>
    <x v="0"/>
    <n v="350"/>
    <n v="1"/>
    <x v="34"/>
    <n v="53620"/>
    <x v="1"/>
    <s v="53"/>
    <s v="536"/>
    <x v="1404"/>
    <s v="Academic Administration : WC Nonteaching"/>
    <n v="3495.71"/>
  </r>
  <r>
    <x v="2"/>
    <s v="11-350-01-601000-53920"/>
    <x v="0"/>
    <n v="350"/>
    <n v="1"/>
    <x v="34"/>
    <n v="53920"/>
    <x v="1"/>
    <s v="53"/>
    <s v="539"/>
    <x v="1405"/>
    <s v="Academic Administration : Other Benefit-Non Teaching"/>
    <n v="1800"/>
  </r>
  <r>
    <x v="2"/>
    <s v="11-350-01-601000-54300"/>
    <x v="0"/>
    <n v="350"/>
    <n v="1"/>
    <x v="34"/>
    <n v="54300"/>
    <x v="1"/>
    <s v="54"/>
    <s v="543"/>
    <x v="1406"/>
    <s v="Academic Administration : Supplies &amp; Materials"/>
    <n v="68.150000000000006"/>
  </r>
  <r>
    <x v="2"/>
    <s v="11-350-01-601000-54349"/>
    <x v="0"/>
    <n v="350"/>
    <n v="1"/>
    <x v="34"/>
    <n v="54349"/>
    <x v="1"/>
    <s v="54"/>
    <s v="543"/>
    <x v="1407"/>
    <s v="Academic Administration : M&amp;O Fuel and Oil Expense"/>
    <n v="0"/>
  </r>
  <r>
    <x v="2"/>
    <s v="11-350-01-601000-55125"/>
    <x v="0"/>
    <n v="350"/>
    <n v="1"/>
    <x v="34"/>
    <n v="55125"/>
    <x v="1"/>
    <s v="55"/>
    <s v="551"/>
    <x v="1408"/>
    <s v="Academic Administration : Training &amp; Seminars"/>
    <n v="0"/>
  </r>
  <r>
    <x v="2"/>
    <s v="11-350-01-601000-55200"/>
    <x v="0"/>
    <n v="350"/>
    <n v="1"/>
    <x v="34"/>
    <n v="55200"/>
    <x v="1"/>
    <s v="55"/>
    <s v="552"/>
    <x v="1409"/>
    <s v="Academic Administration : Travel &amp; Conference"/>
    <n v="0"/>
  </r>
  <r>
    <x v="2"/>
    <s v="11-350-01-601000-55300"/>
    <x v="0"/>
    <n v="350"/>
    <n v="1"/>
    <x v="34"/>
    <n v="55300"/>
    <x v="1"/>
    <s v="55"/>
    <s v="553"/>
    <x v="1410"/>
    <s v="Academic Administration : Memberships"/>
    <n v="915"/>
  </r>
  <r>
    <x v="2"/>
    <s v="11-350-01-601000-55309"/>
    <x v="0"/>
    <n v="350"/>
    <n v="1"/>
    <x v="34"/>
    <n v="55309"/>
    <x v="1"/>
    <s v="55"/>
    <s v="553"/>
    <x v="1411"/>
    <s v="Academic Administration : Subscriptions"/>
    <n v="0"/>
  </r>
  <r>
    <x v="2"/>
    <s v="11-350-01-601000-55600"/>
    <x v="0"/>
    <n v="350"/>
    <n v="1"/>
    <x v="34"/>
    <n v="55600"/>
    <x v="1"/>
    <s v="55"/>
    <s v="556"/>
    <x v="1412"/>
    <s v="Academic Administration : Rents &amp; Leases"/>
    <n v="694.51"/>
  </r>
  <r>
    <x v="2"/>
    <s v="11-350-01-601000-55630"/>
    <x v="0"/>
    <n v="350"/>
    <n v="1"/>
    <x v="34"/>
    <n v="55630"/>
    <x v="1"/>
    <s v="55"/>
    <s v="556"/>
    <x v="1413"/>
    <s v="Academic Administration : Printing &amp; Duplicating - Inhouse"/>
    <n v="0"/>
  </r>
  <r>
    <x v="2"/>
    <s v="11-350-01-601000-55635"/>
    <x v="0"/>
    <n v="350"/>
    <n v="1"/>
    <x v="34"/>
    <n v="55635"/>
    <x v="1"/>
    <s v="55"/>
    <s v="556"/>
    <x v="1414"/>
    <s v="Academic Administration : Printing Services - Vendor"/>
    <n v="0"/>
  </r>
  <r>
    <x v="2"/>
    <s v="11-350-01-601000-55650"/>
    <x v="0"/>
    <n v="350"/>
    <n v="1"/>
    <x v="34"/>
    <n v="55650"/>
    <x v="1"/>
    <s v="55"/>
    <s v="556"/>
    <x v="1415"/>
    <s v="Academic Administration : Maintenance Agreement"/>
    <n v="0"/>
  </r>
  <r>
    <x v="2"/>
    <s v="11-350-01-601000-55800"/>
    <x v="0"/>
    <n v="350"/>
    <n v="1"/>
    <x v="34"/>
    <n v="55800"/>
    <x v="1"/>
    <s v="55"/>
    <s v="558"/>
    <x v="1416"/>
    <s v="Academic Administration : Other Costs"/>
    <n v="0"/>
  </r>
  <r>
    <x v="2"/>
    <s v="11-350-01-601000-55830"/>
    <x v="0"/>
    <n v="350"/>
    <n v="1"/>
    <x v="34"/>
    <n v="55830"/>
    <x v="1"/>
    <s v="55"/>
    <s v="558"/>
    <x v="1417"/>
    <s v="Academic Administration : Advertising Expense"/>
    <n v="1433.75"/>
  </r>
  <r>
    <x v="2"/>
    <s v="11-350-01-601000-56300"/>
    <x v="0"/>
    <n v="350"/>
    <n v="1"/>
    <x v="34"/>
    <n v="56300"/>
    <x v="1"/>
    <s v="56"/>
    <s v="563"/>
    <x v="1418"/>
    <s v="Academic Administration : Capital Books &amp; Software"/>
    <n v="0"/>
  </r>
  <r>
    <x v="2"/>
    <s v="11-360-00-160100-51100"/>
    <x v="0"/>
    <n v="360"/>
    <n v="0"/>
    <x v="92"/>
    <n v="51100"/>
    <x v="1"/>
    <s v="51"/>
    <s v="511"/>
    <x v="1419"/>
    <s v="Library Science : Academic Teaching Full-time"/>
    <n v="96370.38"/>
  </r>
  <r>
    <x v="2"/>
    <s v="11-360-00-160100-51310"/>
    <x v="0"/>
    <n v="360"/>
    <n v="0"/>
    <x v="92"/>
    <n v="51310"/>
    <x v="1"/>
    <s v="51"/>
    <s v="513"/>
    <x v="1420"/>
    <s v="Library Science : Academic Teaching NIC"/>
    <n v="0"/>
  </r>
  <r>
    <x v="2"/>
    <s v="11-360-00-160100-51311"/>
    <x v="0"/>
    <n v="360"/>
    <n v="0"/>
    <x v="92"/>
    <n v="51311"/>
    <x v="1"/>
    <s v="51"/>
    <s v="513"/>
    <x v="1421"/>
    <s v="Library Science : Academic Teaching PT"/>
    <n v="4297.68"/>
  </r>
  <r>
    <x v="2"/>
    <s v="11-360-00-160100-53110"/>
    <x v="0"/>
    <n v="360"/>
    <n v="0"/>
    <x v="92"/>
    <n v="53110"/>
    <x v="1"/>
    <s v="53"/>
    <s v="531"/>
    <x v="1422"/>
    <s v="Library Science : STRS Teaching"/>
    <n v="12212.02"/>
  </r>
  <r>
    <x v="2"/>
    <s v="11-360-00-160100-53210"/>
    <x v="0"/>
    <n v="360"/>
    <n v="0"/>
    <x v="92"/>
    <n v="53210"/>
    <x v="1"/>
    <s v="53"/>
    <s v="532"/>
    <x v="1423"/>
    <s v="Library Science : PERS Teaching"/>
    <n v="5185.71"/>
  </r>
  <r>
    <x v="2"/>
    <s v="11-360-00-160100-53310"/>
    <x v="0"/>
    <n v="360"/>
    <n v="0"/>
    <x v="92"/>
    <n v="53310"/>
    <x v="1"/>
    <s v="53"/>
    <s v="533"/>
    <x v="1424"/>
    <s v="Library Science : OASDHI (FICA) Teaching"/>
    <n v="1543.64"/>
  </r>
  <r>
    <x v="2"/>
    <s v="11-360-00-160100-53330"/>
    <x v="0"/>
    <n v="360"/>
    <n v="0"/>
    <x v="92"/>
    <n v="53330"/>
    <x v="1"/>
    <s v="53"/>
    <s v="533"/>
    <x v="1425"/>
    <s v="Library Science : Medicare Teaching"/>
    <n v="1450.01"/>
  </r>
  <r>
    <x v="2"/>
    <s v="11-360-00-160100-53410"/>
    <x v="0"/>
    <n v="360"/>
    <n v="0"/>
    <x v="92"/>
    <n v="53410"/>
    <x v="1"/>
    <s v="53"/>
    <s v="534"/>
    <x v="1426"/>
    <s v="Library Science : H &amp; W Teaching"/>
    <n v="26414.05"/>
  </r>
  <r>
    <x v="2"/>
    <s v="11-360-00-160100-53510"/>
    <x v="0"/>
    <n v="360"/>
    <n v="0"/>
    <x v="92"/>
    <n v="53510"/>
    <x v="1"/>
    <s v="53"/>
    <s v="535"/>
    <x v="1427"/>
    <s v="Library Science : SUI Teaching"/>
    <n v="50.29"/>
  </r>
  <r>
    <x v="2"/>
    <s v="11-360-00-160100-53610"/>
    <x v="0"/>
    <n v="360"/>
    <n v="0"/>
    <x v="92"/>
    <n v="53610"/>
    <x v="1"/>
    <s v="53"/>
    <s v="536"/>
    <x v="1428"/>
    <s v="Library Science : WC Teaching"/>
    <n v="1903.42"/>
  </r>
  <r>
    <x v="2"/>
    <s v="11-360-00-160100-54300"/>
    <x v="0"/>
    <n v="360"/>
    <n v="0"/>
    <x v="92"/>
    <n v="54300"/>
    <x v="1"/>
    <s v="54"/>
    <s v="543"/>
    <x v="1429"/>
    <s v="Library Science : Supplies &amp; Materials"/>
    <n v="-14"/>
  </r>
  <r>
    <x v="2"/>
    <s v="11-360-00-160100-55200"/>
    <x v="0"/>
    <n v="360"/>
    <n v="0"/>
    <x v="92"/>
    <n v="55200"/>
    <x v="1"/>
    <s v="55"/>
    <s v="552"/>
    <x v="1430"/>
    <s v="Library Science : Travel &amp; Conference"/>
    <n v="0"/>
  </r>
  <r>
    <x v="2"/>
    <s v="11-360-00-160100-55630"/>
    <x v="0"/>
    <n v="360"/>
    <n v="0"/>
    <x v="92"/>
    <n v="55630"/>
    <x v="1"/>
    <s v="55"/>
    <s v="556"/>
    <x v="1431"/>
    <s v="Library Science : Printing &amp; Duplicating - Inhouse"/>
    <n v="0"/>
  </r>
  <r>
    <x v="2"/>
    <s v="11-360-00-490110-54300"/>
    <x v="0"/>
    <n v="360"/>
    <n v="0"/>
    <x v="93"/>
    <n v="54300"/>
    <x v="1"/>
    <s v="54"/>
    <s v="543"/>
    <x v="1432"/>
    <s v="Interdisciplinary Studies : Supplies &amp; Materials"/>
    <n v="0"/>
  </r>
  <r>
    <x v="2"/>
    <s v="11-360-00-490110-55200"/>
    <x v="0"/>
    <n v="360"/>
    <n v="0"/>
    <x v="93"/>
    <n v="55200"/>
    <x v="1"/>
    <s v="55"/>
    <s v="552"/>
    <x v="1433"/>
    <s v="Interdisciplinary Studies : Travel &amp; Conference"/>
    <n v="0"/>
  </r>
  <r>
    <x v="2"/>
    <s v="11-360-00-490110-56300"/>
    <x v="0"/>
    <n v="360"/>
    <n v="0"/>
    <x v="93"/>
    <n v="56300"/>
    <x v="1"/>
    <s v="56"/>
    <s v="563"/>
    <x v="1434"/>
    <s v="Interdisciplinary Studies : Capital Books &amp; Software"/>
    <n v="92.86"/>
  </r>
  <r>
    <x v="2"/>
    <s v="11-360-00-601000-51210"/>
    <x v="0"/>
    <n v="360"/>
    <n v="0"/>
    <x v="34"/>
    <n v="51210"/>
    <x v="1"/>
    <s v="51"/>
    <s v="512"/>
    <x v="1435"/>
    <s v="Academic Administration : Academic Nonteaching Management"/>
    <n v="117924.2"/>
  </r>
  <r>
    <x v="2"/>
    <s v="11-360-00-601000-52105"/>
    <x v="0"/>
    <n v="360"/>
    <n v="0"/>
    <x v="34"/>
    <n v="52105"/>
    <x v="1"/>
    <s v="52"/>
    <s v="521"/>
    <x v="1436"/>
    <s v="Academic Administration : Classified CSEA"/>
    <n v="107633.63"/>
  </r>
  <r>
    <x v="2"/>
    <s v="11-360-00-601000-52300"/>
    <x v="0"/>
    <n v="360"/>
    <n v="0"/>
    <x v="34"/>
    <n v="52300"/>
    <x v="1"/>
    <s v="52"/>
    <s v="523"/>
    <x v="1437"/>
    <s v="Academic Administration : Classified Overtime"/>
    <n v="3.17"/>
  </r>
  <r>
    <x v="2"/>
    <s v="11-360-00-601000-52360"/>
    <x v="0"/>
    <n v="360"/>
    <n v="0"/>
    <x v="34"/>
    <n v="52360"/>
    <x v="1"/>
    <s v="52"/>
    <s v="523"/>
    <x v="1438"/>
    <s v="Academic Administration : Class Nonstu NonIA PT Prof Exp"/>
    <n v="282.88"/>
  </r>
  <r>
    <x v="2"/>
    <s v="11-360-00-601000-53120"/>
    <x v="0"/>
    <n v="360"/>
    <n v="0"/>
    <x v="34"/>
    <n v="53120"/>
    <x v="1"/>
    <s v="53"/>
    <s v="531"/>
    <x v="1439"/>
    <s v="Academic Administration : STRS Nonteaching"/>
    <n v="19044.8"/>
  </r>
  <r>
    <x v="2"/>
    <s v="11-360-00-601000-53220"/>
    <x v="0"/>
    <n v="360"/>
    <n v="0"/>
    <x v="34"/>
    <n v="53220"/>
    <x v="1"/>
    <s v="53"/>
    <s v="532"/>
    <x v="1440"/>
    <s v="Academic Administration : PERS Nonteaching"/>
    <n v="22272.38"/>
  </r>
  <r>
    <x v="2"/>
    <s v="11-360-00-601000-53320"/>
    <x v="0"/>
    <n v="360"/>
    <n v="0"/>
    <x v="34"/>
    <n v="53320"/>
    <x v="1"/>
    <s v="53"/>
    <s v="533"/>
    <x v="1441"/>
    <s v="Academic Administration : OASDHI (FICA) Nonteaching"/>
    <n v="6609.58"/>
  </r>
  <r>
    <x v="2"/>
    <s v="11-360-00-601000-53340"/>
    <x v="0"/>
    <n v="360"/>
    <n v="0"/>
    <x v="34"/>
    <n v="53340"/>
    <x v="1"/>
    <s v="53"/>
    <s v="533"/>
    <x v="1442"/>
    <s v="Academic Administration : Medicare Nonteaching"/>
    <n v="3255.74"/>
  </r>
  <r>
    <x v="2"/>
    <s v="11-360-00-601000-53420"/>
    <x v="0"/>
    <n v="360"/>
    <n v="0"/>
    <x v="34"/>
    <n v="53420"/>
    <x v="1"/>
    <s v="53"/>
    <s v="534"/>
    <x v="1443"/>
    <s v="Academic Administration : H &amp; W Nonteaching"/>
    <n v="47824.08"/>
  </r>
  <r>
    <x v="2"/>
    <s v="11-360-00-601000-53520"/>
    <x v="0"/>
    <n v="360"/>
    <n v="0"/>
    <x v="34"/>
    <n v="53520"/>
    <x v="1"/>
    <s v="53"/>
    <s v="535"/>
    <x v="1444"/>
    <s v="Academic Administration : SUI Nonteaching"/>
    <n v="112.9"/>
  </r>
  <r>
    <x v="2"/>
    <s v="11-360-00-601000-53620"/>
    <x v="0"/>
    <n v="360"/>
    <n v="0"/>
    <x v="34"/>
    <n v="53620"/>
    <x v="1"/>
    <s v="53"/>
    <s v="536"/>
    <x v="1445"/>
    <s v="Academic Administration : WC Nonteaching"/>
    <n v="4275.16"/>
  </r>
  <r>
    <x v="2"/>
    <s v="11-360-00-601000-53920"/>
    <x v="0"/>
    <n v="360"/>
    <n v="0"/>
    <x v="34"/>
    <n v="53920"/>
    <x v="1"/>
    <s v="53"/>
    <s v="539"/>
    <x v="1446"/>
    <s v="Academic Administration : Other Benefit-Non Teaching"/>
    <n v="1800"/>
  </r>
  <r>
    <x v="2"/>
    <s v="11-360-00-601000-54300"/>
    <x v="0"/>
    <n v="360"/>
    <n v="0"/>
    <x v="34"/>
    <n v="54300"/>
    <x v="1"/>
    <s v="54"/>
    <s v="543"/>
    <x v="1447"/>
    <s v="Academic Administration : Supplies &amp; Materials"/>
    <n v="0"/>
  </r>
  <r>
    <x v="2"/>
    <s v="11-360-00-601000-55630"/>
    <x v="0"/>
    <n v="360"/>
    <n v="0"/>
    <x v="34"/>
    <n v="55630"/>
    <x v="1"/>
    <s v="55"/>
    <s v="556"/>
    <x v="1448"/>
    <s v="Academic Administration : Printing &amp; Duplicating - Inhouse"/>
    <n v="4.22"/>
  </r>
  <r>
    <x v="2"/>
    <s v="11-360-00-612000-51200"/>
    <x v="0"/>
    <n v="360"/>
    <n v="0"/>
    <x v="35"/>
    <n v="51200"/>
    <x v="1"/>
    <s v="51"/>
    <s v="512"/>
    <x v="1449"/>
    <s v="Library Services : Academic Nonteaching Full-time"/>
    <n v="58454.28"/>
  </r>
  <r>
    <x v="2"/>
    <s v="11-360-00-612000-51411"/>
    <x v="0"/>
    <n v="360"/>
    <n v="0"/>
    <x v="35"/>
    <n v="51411"/>
    <x v="1"/>
    <s v="51"/>
    <s v="514"/>
    <x v="1450"/>
    <s v="Library Services : Academic Nonteaching PT"/>
    <n v="82894.94"/>
  </r>
  <r>
    <x v="2"/>
    <s v="11-360-00-612000-51412"/>
    <x v="0"/>
    <n v="360"/>
    <n v="0"/>
    <x v="35"/>
    <n v="51412"/>
    <x v="1"/>
    <s v="51"/>
    <s v="514"/>
    <x v="1451"/>
    <s v="Library Services : Acad Nonteach Special Projects"/>
    <n v="0"/>
  </r>
  <r>
    <x v="2"/>
    <s v="11-360-00-612000-52105"/>
    <x v="0"/>
    <n v="360"/>
    <n v="0"/>
    <x v="35"/>
    <n v="52105"/>
    <x v="1"/>
    <s v="52"/>
    <s v="521"/>
    <x v="1452"/>
    <s v="Library Services : Classified CSEA"/>
    <n v="147001.14000000001"/>
  </r>
  <r>
    <x v="2"/>
    <s v="11-360-00-612000-52300"/>
    <x v="0"/>
    <n v="360"/>
    <n v="0"/>
    <x v="35"/>
    <n v="52300"/>
    <x v="1"/>
    <s v="52"/>
    <s v="523"/>
    <x v="1453"/>
    <s v="Library Services : Classified Overtime"/>
    <n v="90.31"/>
  </r>
  <r>
    <x v="2"/>
    <s v="11-360-00-612000-52350"/>
    <x v="0"/>
    <n v="360"/>
    <n v="0"/>
    <x v="35"/>
    <n v="52350"/>
    <x v="1"/>
    <s v="52"/>
    <s v="523"/>
    <x v="1454"/>
    <s v="Library Services : Classified Student Dist Non-IA PT"/>
    <n v="0"/>
  </r>
  <r>
    <x v="2"/>
    <s v="11-360-00-612000-53120"/>
    <x v="0"/>
    <n v="360"/>
    <n v="0"/>
    <x v="35"/>
    <n v="53120"/>
    <x v="1"/>
    <s v="53"/>
    <s v="531"/>
    <x v="1455"/>
    <s v="Library Services : STRS Nonteaching"/>
    <n v="12096.32"/>
  </r>
  <r>
    <x v="2"/>
    <s v="11-360-00-612000-53220"/>
    <x v="0"/>
    <n v="360"/>
    <n v="0"/>
    <x v="35"/>
    <n v="53220"/>
    <x v="1"/>
    <s v="53"/>
    <s v="532"/>
    <x v="1456"/>
    <s v="Library Services : PERS Nonteaching"/>
    <n v="42533.25"/>
  </r>
  <r>
    <x v="2"/>
    <s v="11-360-00-612000-53320"/>
    <x v="0"/>
    <n v="360"/>
    <n v="0"/>
    <x v="35"/>
    <n v="53320"/>
    <x v="1"/>
    <s v="53"/>
    <s v="533"/>
    <x v="1457"/>
    <s v="Library Services : OASDHI (FICA) Nonteaching"/>
    <n v="13087.2"/>
  </r>
  <r>
    <x v="2"/>
    <s v="11-360-00-612000-53340"/>
    <x v="0"/>
    <n v="360"/>
    <n v="0"/>
    <x v="35"/>
    <n v="53340"/>
    <x v="1"/>
    <s v="53"/>
    <s v="533"/>
    <x v="1458"/>
    <s v="Library Services : Medicare Nonteaching"/>
    <n v="4156.4399999999996"/>
  </r>
  <r>
    <x v="2"/>
    <s v="11-360-00-612000-53420"/>
    <x v="0"/>
    <n v="360"/>
    <n v="0"/>
    <x v="35"/>
    <n v="53420"/>
    <x v="1"/>
    <s v="53"/>
    <s v="534"/>
    <x v="1459"/>
    <s v="Library Services : H &amp; W Nonteaching"/>
    <n v="52873.72"/>
  </r>
  <r>
    <x v="2"/>
    <s v="11-360-00-612000-53520"/>
    <x v="0"/>
    <n v="360"/>
    <n v="0"/>
    <x v="35"/>
    <n v="53520"/>
    <x v="1"/>
    <s v="53"/>
    <s v="535"/>
    <x v="1460"/>
    <s v="Library Services : SUI Nonteaching"/>
    <n v="143.86000000000001"/>
  </r>
  <r>
    <x v="2"/>
    <s v="11-360-00-612000-53620"/>
    <x v="0"/>
    <n v="360"/>
    <n v="0"/>
    <x v="35"/>
    <n v="53620"/>
    <x v="1"/>
    <s v="53"/>
    <s v="536"/>
    <x v="1461"/>
    <s v="Library Services : WC Nonteaching"/>
    <n v="5460.97"/>
  </r>
  <r>
    <x v="2"/>
    <s v="11-360-00-612000-54300"/>
    <x v="0"/>
    <n v="360"/>
    <n v="0"/>
    <x v="35"/>
    <n v="54300"/>
    <x v="1"/>
    <s v="54"/>
    <s v="543"/>
    <x v="1462"/>
    <s v="Library Services : Supplies &amp; Materials"/>
    <n v="542.21"/>
  </r>
  <r>
    <x v="2"/>
    <s v="11-360-00-612000-55200"/>
    <x v="0"/>
    <n v="360"/>
    <n v="0"/>
    <x v="35"/>
    <n v="55200"/>
    <x v="1"/>
    <s v="55"/>
    <s v="552"/>
    <x v="1463"/>
    <s v="Library Services : Travel &amp; Conference"/>
    <n v="0"/>
  </r>
  <r>
    <x v="2"/>
    <s v="11-360-00-612000-55300"/>
    <x v="0"/>
    <n v="360"/>
    <n v="0"/>
    <x v="35"/>
    <n v="55300"/>
    <x v="1"/>
    <s v="55"/>
    <s v="553"/>
    <x v="1464"/>
    <s v="Library Services : Memberships"/>
    <n v="1650"/>
  </r>
  <r>
    <x v="2"/>
    <s v="11-360-00-612000-55630"/>
    <x v="0"/>
    <n v="360"/>
    <n v="0"/>
    <x v="35"/>
    <n v="55630"/>
    <x v="1"/>
    <s v="55"/>
    <s v="556"/>
    <x v="1465"/>
    <s v="Library Services : Printing &amp; Duplicating - Inhouse"/>
    <n v="44.7"/>
  </r>
  <r>
    <x v="2"/>
    <s v="11-360-00-612000-55650"/>
    <x v="0"/>
    <n v="360"/>
    <n v="0"/>
    <x v="35"/>
    <n v="55650"/>
    <x v="1"/>
    <s v="55"/>
    <s v="556"/>
    <x v="1466"/>
    <s v="Library Services : Maintenance Agreement"/>
    <n v="0"/>
  </r>
  <r>
    <x v="2"/>
    <s v="11-360-00-612000-56300"/>
    <x v="0"/>
    <n v="360"/>
    <n v="0"/>
    <x v="35"/>
    <n v="56300"/>
    <x v="1"/>
    <s v="56"/>
    <s v="563"/>
    <x v="1467"/>
    <s v="Library Services : Capital Books &amp; Software"/>
    <n v="17747.429999999997"/>
  </r>
  <r>
    <x v="2"/>
    <s v="11-360-00-612000-56310"/>
    <x v="0"/>
    <n v="360"/>
    <n v="0"/>
    <x v="35"/>
    <n v="56310"/>
    <x v="1"/>
    <s v="56"/>
    <s v="563"/>
    <x v="1468"/>
    <s v="Library Services : Periodicals &amp; Newspapers"/>
    <n v="17859.849999999999"/>
  </r>
  <r>
    <x v="2"/>
    <s v="11-360-00-612000-56340"/>
    <x v="0"/>
    <n v="360"/>
    <n v="0"/>
    <x v="35"/>
    <n v="56340"/>
    <x v="1"/>
    <s v="56"/>
    <s v="563"/>
    <x v="1469"/>
    <s v="Library Services : Bibliographic Utilities"/>
    <n v="7350"/>
  </r>
  <r>
    <x v="2"/>
    <s v="11-360-00-612000-56341"/>
    <x v="0"/>
    <n v="360"/>
    <n v="0"/>
    <x v="35"/>
    <n v="56341"/>
    <x v="1"/>
    <s v="56"/>
    <s v="563"/>
    <x v="1470"/>
    <s v="Library Services : On-line Database Services"/>
    <n v="2239.98"/>
  </r>
  <r>
    <x v="2"/>
    <s v="11-360-00-613000-52105"/>
    <x v="0"/>
    <n v="360"/>
    <n v="0"/>
    <x v="94"/>
    <n v="52105"/>
    <x v="1"/>
    <s v="52"/>
    <s v="521"/>
    <x v="1471"/>
    <s v="Instructional Media : Classified CSEA"/>
    <n v="104509.48"/>
  </r>
  <r>
    <x v="2"/>
    <s v="11-360-00-613000-52300"/>
    <x v="0"/>
    <n v="360"/>
    <n v="0"/>
    <x v="94"/>
    <n v="52300"/>
    <x v="1"/>
    <s v="52"/>
    <s v="523"/>
    <x v="1472"/>
    <s v="Instructional Media : Classified Overtime"/>
    <n v="0"/>
  </r>
  <r>
    <x v="2"/>
    <s v="11-360-00-613000-53220"/>
    <x v="0"/>
    <n v="360"/>
    <n v="0"/>
    <x v="94"/>
    <n v="53220"/>
    <x v="1"/>
    <s v="53"/>
    <s v="532"/>
    <x v="1473"/>
    <s v="Instructional Media : PERS Nonteaching"/>
    <n v="21631.96"/>
  </r>
  <r>
    <x v="2"/>
    <s v="11-360-00-613000-53320"/>
    <x v="0"/>
    <n v="360"/>
    <n v="0"/>
    <x v="94"/>
    <n v="53320"/>
    <x v="1"/>
    <s v="53"/>
    <s v="533"/>
    <x v="1474"/>
    <s v="Instructional Media : OASDHI (FICA) Nonteaching"/>
    <n v="6442.51"/>
  </r>
  <r>
    <x v="2"/>
    <s v="11-360-00-613000-53340"/>
    <x v="0"/>
    <n v="360"/>
    <n v="0"/>
    <x v="94"/>
    <n v="53340"/>
    <x v="1"/>
    <s v="53"/>
    <s v="533"/>
    <x v="1475"/>
    <s v="Instructional Media : Medicare Nonteaching"/>
    <n v="1506.67"/>
  </r>
  <r>
    <x v="2"/>
    <s v="11-360-00-613000-53420"/>
    <x v="0"/>
    <n v="360"/>
    <n v="0"/>
    <x v="94"/>
    <n v="53420"/>
    <x v="1"/>
    <s v="53"/>
    <s v="534"/>
    <x v="1476"/>
    <s v="Instructional Media : H &amp; W Nonteaching"/>
    <n v="20604.55"/>
  </r>
  <r>
    <x v="2"/>
    <s v="11-360-00-613000-53520"/>
    <x v="0"/>
    <n v="360"/>
    <n v="0"/>
    <x v="94"/>
    <n v="53520"/>
    <x v="1"/>
    <s v="53"/>
    <s v="535"/>
    <x v="1477"/>
    <s v="Instructional Media : SUI Nonteaching"/>
    <n v="52.03"/>
  </r>
  <r>
    <x v="2"/>
    <s v="11-360-00-613000-53620"/>
    <x v="0"/>
    <n v="360"/>
    <n v="0"/>
    <x v="94"/>
    <n v="53620"/>
    <x v="1"/>
    <s v="53"/>
    <s v="536"/>
    <x v="1478"/>
    <s v="Instructional Media : WC Nonteaching"/>
    <n v="1980.76"/>
  </r>
  <r>
    <x v="2"/>
    <s v="11-360-00-613000-54300"/>
    <x v="0"/>
    <n v="360"/>
    <n v="0"/>
    <x v="94"/>
    <n v="54300"/>
    <x v="1"/>
    <s v="54"/>
    <s v="543"/>
    <x v="1479"/>
    <s v="Instructional Media : Supplies &amp; Materials"/>
    <n v="0"/>
  </r>
  <r>
    <x v="2"/>
    <s v="11-360-00-613000-55630"/>
    <x v="0"/>
    <n v="360"/>
    <n v="0"/>
    <x v="94"/>
    <n v="55630"/>
    <x v="1"/>
    <s v="55"/>
    <s v="556"/>
    <x v="1480"/>
    <s v="Instructional Media : Printing &amp; Duplicating - Inhouse"/>
    <n v="11.94"/>
  </r>
  <r>
    <x v="2"/>
    <s v="11-360-00-613000-56300"/>
    <x v="0"/>
    <n v="360"/>
    <n v="0"/>
    <x v="94"/>
    <n v="56300"/>
    <x v="1"/>
    <s v="56"/>
    <s v="563"/>
    <x v="1481"/>
    <s v="Instructional Media : Capital Books &amp; Software"/>
    <n v="0"/>
  </r>
  <r>
    <x v="2"/>
    <s v="11-360-00-613000-56400"/>
    <x v="0"/>
    <n v="360"/>
    <n v="0"/>
    <x v="94"/>
    <n v="56400"/>
    <x v="1"/>
    <s v="56"/>
    <s v="564"/>
    <x v="1482"/>
    <s v="Instructional Media : Cap Equip - $200 to $4,999"/>
    <n v="0"/>
  </r>
  <r>
    <x v="2"/>
    <s v="11-365-00-493034-51311"/>
    <x v="0"/>
    <n v="365"/>
    <n v="0"/>
    <x v="95"/>
    <n v="51311"/>
    <x v="1"/>
    <s v="51"/>
    <s v="513"/>
    <x v="1483"/>
    <s v="Learning Skills Center : Academic Teaching PT"/>
    <n v="28.44"/>
  </r>
  <r>
    <x v="2"/>
    <s v="11-365-00-493034-52350"/>
    <x v="0"/>
    <n v="365"/>
    <n v="0"/>
    <x v="95"/>
    <n v="52350"/>
    <x v="1"/>
    <s v="52"/>
    <s v="523"/>
    <x v="1484"/>
    <s v="Learning Skills Center : Classified Student Dist Non-IA PT"/>
    <n v="10760.63"/>
  </r>
  <r>
    <x v="2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2"/>
    <s v="11-365-00-493034-53110"/>
    <x v="0"/>
    <n v="365"/>
    <n v="0"/>
    <x v="95"/>
    <n v="53110"/>
    <x v="1"/>
    <s v="53"/>
    <s v="531"/>
    <x v="1486"/>
    <s v="Learning Skills Center : STRS Teaching"/>
    <n v="0"/>
  </r>
  <r>
    <x v="2"/>
    <s v="11-365-00-493034-53310"/>
    <x v="0"/>
    <n v="365"/>
    <n v="0"/>
    <x v="95"/>
    <n v="53310"/>
    <x v="1"/>
    <s v="53"/>
    <s v="533"/>
    <x v="1487"/>
    <s v="Learning Skills Center : OASDHI (FICA) Teaching"/>
    <n v="1.76"/>
  </r>
  <r>
    <x v="2"/>
    <s v="11-365-00-493034-53330"/>
    <x v="0"/>
    <n v="365"/>
    <n v="0"/>
    <x v="95"/>
    <n v="53330"/>
    <x v="1"/>
    <s v="53"/>
    <s v="533"/>
    <x v="1488"/>
    <s v="Learning Skills Center : Medicare Teaching"/>
    <n v="0.41"/>
  </r>
  <r>
    <x v="2"/>
    <s v="11-365-00-493034-53510"/>
    <x v="0"/>
    <n v="365"/>
    <n v="0"/>
    <x v="95"/>
    <n v="53510"/>
    <x v="1"/>
    <s v="53"/>
    <s v="535"/>
    <x v="1489"/>
    <s v="Learning Skills Center : SUI Teaching"/>
    <n v="0"/>
  </r>
  <r>
    <x v="2"/>
    <s v="11-365-00-493034-53610"/>
    <x v="0"/>
    <n v="365"/>
    <n v="0"/>
    <x v="95"/>
    <n v="53610"/>
    <x v="1"/>
    <s v="53"/>
    <s v="536"/>
    <x v="1490"/>
    <s v="Learning Skills Center : WC Teaching"/>
    <n v="0.54"/>
  </r>
  <r>
    <x v="2"/>
    <s v="11-365-00-493034-53620"/>
    <x v="0"/>
    <n v="365"/>
    <n v="0"/>
    <x v="95"/>
    <n v="53620"/>
    <x v="1"/>
    <s v="53"/>
    <s v="536"/>
    <x v="1491"/>
    <s v="Learning Skills Center : WC Nonteaching"/>
    <n v="203.45"/>
  </r>
  <r>
    <x v="2"/>
    <s v="11-365-00-493034-55630"/>
    <x v="0"/>
    <n v="365"/>
    <n v="0"/>
    <x v="95"/>
    <n v="55630"/>
    <x v="1"/>
    <s v="55"/>
    <s v="556"/>
    <x v="1492"/>
    <s v="Learning Skills Center : Printing &amp; Duplicating - Inhouse"/>
    <n v="0"/>
  </r>
  <r>
    <x v="2"/>
    <s v="11-365-00-493035-52105"/>
    <x v="0"/>
    <n v="365"/>
    <n v="0"/>
    <x v="96"/>
    <n v="52105"/>
    <x v="1"/>
    <s v="52"/>
    <s v="521"/>
    <x v="1493"/>
    <s v="Tutorial Center : Classified CSEA"/>
    <n v="61918.74"/>
  </r>
  <r>
    <x v="2"/>
    <s v="11-365-00-493035-52350"/>
    <x v="0"/>
    <n v="365"/>
    <n v="0"/>
    <x v="96"/>
    <n v="52350"/>
    <x v="1"/>
    <s v="52"/>
    <s v="523"/>
    <x v="1494"/>
    <s v="Tutorial Center : Classified Student Dist Non-IA PT"/>
    <n v="3482"/>
  </r>
  <r>
    <x v="2"/>
    <s v="11-365-00-493035-52360"/>
    <x v="0"/>
    <n v="365"/>
    <n v="0"/>
    <x v="96"/>
    <n v="52360"/>
    <x v="1"/>
    <s v="52"/>
    <s v="523"/>
    <x v="1495"/>
    <s v="Tutorial Center : Class Nonstu NonIA PT Prof Exp"/>
    <n v="0"/>
  </r>
  <r>
    <x v="2"/>
    <s v="11-365-00-493035-53220"/>
    <x v="0"/>
    <n v="365"/>
    <n v="0"/>
    <x v="96"/>
    <n v="53220"/>
    <x v="1"/>
    <s v="53"/>
    <s v="532"/>
    <x v="1496"/>
    <s v="Tutorial Center : PERS Nonteaching"/>
    <n v="12814.19"/>
  </r>
  <r>
    <x v="2"/>
    <s v="11-365-00-493035-53320"/>
    <x v="0"/>
    <n v="365"/>
    <n v="0"/>
    <x v="96"/>
    <n v="53320"/>
    <x v="1"/>
    <s v="53"/>
    <s v="533"/>
    <x v="1497"/>
    <s v="Tutorial Center : OASDHI (FICA) Nonteaching"/>
    <n v="3806.69"/>
  </r>
  <r>
    <x v="2"/>
    <s v="11-365-00-493035-53340"/>
    <x v="0"/>
    <n v="365"/>
    <n v="0"/>
    <x v="96"/>
    <n v="53340"/>
    <x v="1"/>
    <s v="53"/>
    <s v="533"/>
    <x v="1498"/>
    <s v="Tutorial Center : Medicare Nonteaching"/>
    <n v="890.24"/>
  </r>
  <r>
    <x v="2"/>
    <s v="11-365-00-493035-53420"/>
    <x v="0"/>
    <n v="365"/>
    <n v="0"/>
    <x v="96"/>
    <n v="53420"/>
    <x v="1"/>
    <s v="53"/>
    <s v="534"/>
    <x v="1499"/>
    <s v="Tutorial Center : H &amp; W Nonteaching"/>
    <n v="20615.86"/>
  </r>
  <r>
    <x v="2"/>
    <s v="11-365-00-493035-53520"/>
    <x v="0"/>
    <n v="365"/>
    <n v="0"/>
    <x v="96"/>
    <n v="53520"/>
    <x v="1"/>
    <s v="53"/>
    <s v="535"/>
    <x v="1500"/>
    <s v="Tutorial Center : SUI Nonteaching"/>
    <n v="30.97"/>
  </r>
  <r>
    <x v="2"/>
    <s v="11-365-00-493035-53620"/>
    <x v="0"/>
    <n v="365"/>
    <n v="0"/>
    <x v="96"/>
    <n v="53620"/>
    <x v="1"/>
    <s v="53"/>
    <s v="536"/>
    <x v="1501"/>
    <s v="Tutorial Center : WC Nonteaching"/>
    <n v="1239.22"/>
  </r>
  <r>
    <x v="2"/>
    <s v="11-365-00-493035-54300"/>
    <x v="0"/>
    <n v="365"/>
    <n v="0"/>
    <x v="96"/>
    <n v="54300"/>
    <x v="1"/>
    <s v="54"/>
    <s v="543"/>
    <x v="1502"/>
    <s v="Tutorial Center : Supplies &amp; Materials"/>
    <n v="18.48"/>
  </r>
  <r>
    <x v="2"/>
    <s v="11-365-00-493035-55300"/>
    <x v="0"/>
    <n v="365"/>
    <n v="0"/>
    <x v="96"/>
    <n v="55300"/>
    <x v="1"/>
    <s v="55"/>
    <s v="553"/>
    <x v="1503"/>
    <s v="Tutorial Center : Memberships"/>
    <n v="75"/>
  </r>
  <r>
    <x v="2"/>
    <s v="11-370-00-708300-52105"/>
    <x v="0"/>
    <n v="370"/>
    <n v="0"/>
    <x v="97"/>
    <n v="52105"/>
    <x v="1"/>
    <s v="52"/>
    <s v="521"/>
    <x v="1504"/>
    <s v="Dept of Social &amp; Employ Svs : Classified CSEA"/>
    <n v="13504.16"/>
  </r>
  <r>
    <x v="2"/>
    <s v="11-370-00-708300-52130"/>
    <x v="0"/>
    <n v="370"/>
    <n v="0"/>
    <x v="97"/>
    <n v="52130"/>
    <x v="1"/>
    <s v="52"/>
    <s v="521"/>
    <x v="1505"/>
    <s v="Dept of Social &amp; Employ Svs : Classified Management"/>
    <n v="13899.24"/>
  </r>
  <r>
    <x v="2"/>
    <s v="11-370-00-708300-52300"/>
    <x v="0"/>
    <n v="370"/>
    <n v="0"/>
    <x v="97"/>
    <n v="52300"/>
    <x v="1"/>
    <s v="52"/>
    <s v="523"/>
    <x v="1506"/>
    <s v="Dept of Social &amp; Employ Svs : Classified Overtime"/>
    <n v="1.27"/>
  </r>
  <r>
    <x v="2"/>
    <s v="11-370-00-708300-52360"/>
    <x v="0"/>
    <n v="370"/>
    <n v="0"/>
    <x v="97"/>
    <n v="52360"/>
    <x v="1"/>
    <s v="52"/>
    <s v="523"/>
    <x v="1507"/>
    <s v="Dept of Social &amp; Employ Svs : Class Nonstu NonIA PT Prof Exp"/>
    <n v="7109.49"/>
  </r>
  <r>
    <x v="2"/>
    <s v="11-370-00-708300-53220"/>
    <x v="0"/>
    <n v="370"/>
    <n v="0"/>
    <x v="97"/>
    <n v="53220"/>
    <x v="1"/>
    <s v="53"/>
    <s v="532"/>
    <x v="1508"/>
    <s v="Dept of Social &amp; Employ Svs : PERS Nonteaching"/>
    <n v="6298.88"/>
  </r>
  <r>
    <x v="2"/>
    <s v="11-370-00-708300-53320"/>
    <x v="0"/>
    <n v="370"/>
    <n v="0"/>
    <x v="97"/>
    <n v="53320"/>
    <x v="1"/>
    <s v="53"/>
    <s v="533"/>
    <x v="1509"/>
    <s v="Dept of Social &amp; Employ Svs : OASDHI (FICA) Nonteaching"/>
    <n v="2130.62"/>
  </r>
  <r>
    <x v="2"/>
    <s v="11-370-00-708300-53340"/>
    <x v="0"/>
    <n v="370"/>
    <n v="0"/>
    <x v="97"/>
    <n v="53340"/>
    <x v="1"/>
    <s v="53"/>
    <s v="533"/>
    <x v="1510"/>
    <s v="Dept of Social &amp; Employ Svs : Medicare Nonteaching"/>
    <n v="498.28"/>
  </r>
  <r>
    <x v="2"/>
    <s v="11-370-00-708300-53420"/>
    <x v="0"/>
    <n v="370"/>
    <n v="0"/>
    <x v="97"/>
    <n v="53420"/>
    <x v="1"/>
    <s v="53"/>
    <s v="534"/>
    <x v="1511"/>
    <s v="Dept of Social &amp; Employ Svs : H &amp; W Nonteaching"/>
    <n v="7638.7"/>
  </r>
  <r>
    <x v="2"/>
    <s v="11-370-00-708300-53520"/>
    <x v="0"/>
    <n v="370"/>
    <n v="0"/>
    <x v="97"/>
    <n v="53520"/>
    <x v="1"/>
    <s v="53"/>
    <s v="535"/>
    <x v="1512"/>
    <s v="Dept of Social &amp; Employ Svs : SUI Nonteaching"/>
    <n v="17.25"/>
  </r>
  <r>
    <x v="2"/>
    <s v="11-370-00-708300-53620"/>
    <x v="0"/>
    <n v="370"/>
    <n v="0"/>
    <x v="97"/>
    <n v="53620"/>
    <x v="1"/>
    <s v="53"/>
    <s v="536"/>
    <x v="1513"/>
    <s v="Dept of Social &amp; Employ Svs : WC Nonteaching"/>
    <n v="664.96"/>
  </r>
  <r>
    <x v="2"/>
    <s v="11-370-00-708300-54210"/>
    <x v="0"/>
    <n v="370"/>
    <n v="0"/>
    <x v="97"/>
    <n v="54210"/>
    <x v="1"/>
    <s v="54"/>
    <s v="542"/>
    <x v="1514"/>
    <s v="Dept of Social &amp; Employ Svs : Purchases - Food"/>
    <n v="0"/>
  </r>
  <r>
    <x v="2"/>
    <s v="11-370-00-708300-54300"/>
    <x v="0"/>
    <n v="370"/>
    <n v="0"/>
    <x v="97"/>
    <n v="54300"/>
    <x v="1"/>
    <s v="54"/>
    <s v="543"/>
    <x v="1515"/>
    <s v="Dept of Social &amp; Employ Svs : Supplies &amp; Materials"/>
    <n v="2509.27"/>
  </r>
  <r>
    <x v="2"/>
    <s v="11-370-00-708300-55100"/>
    <x v="0"/>
    <n v="370"/>
    <n v="0"/>
    <x v="97"/>
    <n v="55100"/>
    <x v="1"/>
    <s v="55"/>
    <s v="551"/>
    <x v="1516"/>
    <s v="Dept of Social &amp; Employ Svs : Personal Service Contract - 1099"/>
    <n v="1050"/>
  </r>
  <r>
    <x v="2"/>
    <s v="11-370-00-708300-55105"/>
    <x v="0"/>
    <n v="370"/>
    <n v="0"/>
    <x v="97"/>
    <n v="55105"/>
    <x v="1"/>
    <s v="55"/>
    <s v="551"/>
    <x v="1517"/>
    <s v="Dept of Social &amp; Employ Svs : Contract Services"/>
    <n v="105451.07"/>
  </r>
  <r>
    <x v="2"/>
    <s v="11-370-00-708300-55200"/>
    <x v="0"/>
    <n v="370"/>
    <n v="0"/>
    <x v="97"/>
    <n v="55200"/>
    <x v="1"/>
    <s v="55"/>
    <s v="552"/>
    <x v="1518"/>
    <s v="Dept of Social &amp; Employ Svs : Travel &amp; Conference"/>
    <n v="185.79"/>
  </r>
  <r>
    <x v="2"/>
    <s v="11-370-00-708300-55600"/>
    <x v="0"/>
    <n v="370"/>
    <n v="0"/>
    <x v="97"/>
    <n v="55600"/>
    <x v="1"/>
    <s v="55"/>
    <s v="556"/>
    <x v="1519"/>
    <s v="Dept of Social &amp; Employ Svs : Rents &amp; Leases"/>
    <n v="4147.6499999999996"/>
  </r>
  <r>
    <x v="2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75.99"/>
  </r>
  <r>
    <x v="2"/>
    <s v="11-370-00-708300-55635"/>
    <x v="0"/>
    <n v="370"/>
    <n v="0"/>
    <x v="97"/>
    <n v="55635"/>
    <x v="1"/>
    <s v="55"/>
    <s v="556"/>
    <x v="1521"/>
    <s v="Dept of Social &amp; Employ Svs : Printing Services - Vendor"/>
    <n v="50.26"/>
  </r>
  <r>
    <x v="2"/>
    <s v="11-370-00-708300-55820"/>
    <x v="0"/>
    <n v="370"/>
    <n v="0"/>
    <x v="97"/>
    <n v="55820"/>
    <x v="1"/>
    <s v="55"/>
    <s v="558"/>
    <x v="1522"/>
    <s v="Dept of Social &amp; Employ Svs : US Postage"/>
    <n v="124.18"/>
  </r>
  <r>
    <x v="2"/>
    <s v="11-370-00-708300-57350"/>
    <x v="0"/>
    <n v="370"/>
    <n v="0"/>
    <x v="97"/>
    <n v="57350"/>
    <x v="1"/>
    <s v="57"/>
    <s v="573"/>
    <x v="1523"/>
    <s v="Dept of Social &amp; Employ Svs : Tsf Indirect Costs-Interfund"/>
    <n v="28383.66"/>
  </r>
  <r>
    <x v="2"/>
    <s v="11-372-00-601000-51412"/>
    <x v="0"/>
    <n v="372"/>
    <n v="0"/>
    <x v="34"/>
    <n v="51412"/>
    <x v="1"/>
    <s v="51"/>
    <s v="514"/>
    <x v="1524"/>
    <s v="Academic Administration : Acad Nonteach Special Projects"/>
    <n v="0"/>
  </r>
  <r>
    <x v="2"/>
    <s v="11-372-00-601000-53120"/>
    <x v="0"/>
    <n v="372"/>
    <n v="0"/>
    <x v="34"/>
    <n v="53120"/>
    <x v="1"/>
    <s v="53"/>
    <s v="531"/>
    <x v="1525"/>
    <s v="Academic Administration : STRS Nonteaching"/>
    <n v="0"/>
  </r>
  <r>
    <x v="2"/>
    <s v="11-372-00-601000-53340"/>
    <x v="0"/>
    <n v="372"/>
    <n v="0"/>
    <x v="34"/>
    <n v="53340"/>
    <x v="1"/>
    <s v="53"/>
    <s v="533"/>
    <x v="1526"/>
    <s v="Academic Administration : Medicare Nonteaching"/>
    <n v="0"/>
  </r>
  <r>
    <x v="2"/>
    <s v="11-372-00-601000-53520"/>
    <x v="0"/>
    <n v="372"/>
    <n v="0"/>
    <x v="34"/>
    <n v="53520"/>
    <x v="1"/>
    <s v="53"/>
    <s v="535"/>
    <x v="1527"/>
    <s v="Academic Administration : SUI Nonteaching"/>
    <n v="0"/>
  </r>
  <r>
    <x v="2"/>
    <s v="11-372-00-601000-53620"/>
    <x v="0"/>
    <n v="372"/>
    <n v="0"/>
    <x v="34"/>
    <n v="53620"/>
    <x v="1"/>
    <s v="53"/>
    <s v="536"/>
    <x v="1528"/>
    <s v="Academic Administration : WC Nonteaching"/>
    <n v="0"/>
  </r>
  <r>
    <x v="2"/>
    <s v="11-372-00-601000-54300"/>
    <x v="0"/>
    <n v="372"/>
    <n v="0"/>
    <x v="34"/>
    <n v="54300"/>
    <x v="1"/>
    <s v="54"/>
    <s v="543"/>
    <x v="1529"/>
    <s v="Academic Administration : Supplies &amp; Materials"/>
    <n v="2387.29"/>
  </r>
  <r>
    <x v="2"/>
    <s v="11-372-00-601000-55200"/>
    <x v="0"/>
    <n v="372"/>
    <n v="0"/>
    <x v="34"/>
    <n v="55200"/>
    <x v="1"/>
    <s v="55"/>
    <s v="552"/>
    <x v="1530"/>
    <s v="Academic Administration : Travel &amp; Conference"/>
    <n v="1296"/>
  </r>
  <r>
    <x v="2"/>
    <s v="11-372-00-601000-55821"/>
    <x v="0"/>
    <n v="372"/>
    <n v="0"/>
    <x v="34"/>
    <n v="55821"/>
    <x v="1"/>
    <s v="55"/>
    <s v="558"/>
    <x v="1531"/>
    <s v="Academic Administration : Commercial Parcel Service"/>
    <n v="439.91"/>
  </r>
  <r>
    <x v="2"/>
    <s v="11-372-00-601000-56400"/>
    <x v="0"/>
    <n v="372"/>
    <n v="0"/>
    <x v="34"/>
    <n v="56400"/>
    <x v="1"/>
    <s v="56"/>
    <s v="564"/>
    <x v="1532"/>
    <s v="Academic Administration : Cap Equip - $200 to $4,999"/>
    <n v="367.94"/>
  </r>
  <r>
    <x v="2"/>
    <s v="11-373-00-601000-51210"/>
    <x v="0"/>
    <n v="373"/>
    <n v="0"/>
    <x v="34"/>
    <n v="51210"/>
    <x v="1"/>
    <s v="51"/>
    <s v="512"/>
    <x v="1533"/>
    <s v="Academic Administration : Academic Nonteaching Management"/>
    <n v="0"/>
  </r>
  <r>
    <x v="2"/>
    <s v="11-373-00-601000-52105"/>
    <x v="0"/>
    <n v="373"/>
    <n v="0"/>
    <x v="34"/>
    <n v="52105"/>
    <x v="1"/>
    <s v="52"/>
    <s v="521"/>
    <x v="1534"/>
    <s v="Academic Administration : Classified CSEA"/>
    <n v="0"/>
  </r>
  <r>
    <x v="2"/>
    <s v="11-373-00-601000-53120"/>
    <x v="0"/>
    <n v="373"/>
    <n v="0"/>
    <x v="34"/>
    <n v="53120"/>
    <x v="1"/>
    <s v="53"/>
    <s v="531"/>
    <x v="1535"/>
    <s v="Academic Administration : STRS Nonteaching"/>
    <n v="0"/>
  </r>
  <r>
    <x v="2"/>
    <s v="11-373-00-601000-53220"/>
    <x v="0"/>
    <n v="373"/>
    <n v="0"/>
    <x v="34"/>
    <n v="53220"/>
    <x v="1"/>
    <s v="53"/>
    <s v="532"/>
    <x v="1536"/>
    <s v="Academic Administration : PERS Nonteaching"/>
    <n v="0"/>
  </r>
  <r>
    <x v="2"/>
    <s v="11-373-00-601000-53320"/>
    <x v="0"/>
    <n v="373"/>
    <n v="0"/>
    <x v="34"/>
    <n v="53320"/>
    <x v="1"/>
    <s v="53"/>
    <s v="533"/>
    <x v="1537"/>
    <s v="Academic Administration : OASDHI (FICA) Nonteaching"/>
    <n v="0"/>
  </r>
  <r>
    <x v="2"/>
    <s v="11-373-00-601000-53340"/>
    <x v="0"/>
    <n v="373"/>
    <n v="0"/>
    <x v="34"/>
    <n v="53340"/>
    <x v="1"/>
    <s v="53"/>
    <s v="533"/>
    <x v="1538"/>
    <s v="Academic Administration : Medicare Nonteaching"/>
    <n v="0"/>
  </r>
  <r>
    <x v="2"/>
    <s v="11-373-00-601000-53420"/>
    <x v="0"/>
    <n v="373"/>
    <n v="0"/>
    <x v="34"/>
    <n v="53420"/>
    <x v="1"/>
    <s v="53"/>
    <s v="534"/>
    <x v="1539"/>
    <s v="Academic Administration : H &amp; W Nonteaching"/>
    <n v="0"/>
  </r>
  <r>
    <x v="2"/>
    <s v="11-373-00-601000-53520"/>
    <x v="0"/>
    <n v="373"/>
    <n v="0"/>
    <x v="34"/>
    <n v="53520"/>
    <x v="1"/>
    <s v="53"/>
    <s v="535"/>
    <x v="1540"/>
    <s v="Academic Administration : SUI Nonteaching"/>
    <n v="0"/>
  </r>
  <r>
    <x v="2"/>
    <s v="11-373-00-601000-53620"/>
    <x v="0"/>
    <n v="373"/>
    <n v="0"/>
    <x v="34"/>
    <n v="53620"/>
    <x v="1"/>
    <s v="53"/>
    <s v="536"/>
    <x v="1541"/>
    <s v="Academic Administration : WC Nonteaching"/>
    <n v="0"/>
  </r>
  <r>
    <x v="2"/>
    <s v="11-373-00-601000-53920"/>
    <x v="0"/>
    <n v="373"/>
    <n v="0"/>
    <x v="34"/>
    <n v="53920"/>
    <x v="1"/>
    <s v="53"/>
    <s v="539"/>
    <x v="1542"/>
    <s v="Academic Administration : Other Benefit-Non Teaching"/>
    <n v="0"/>
  </r>
  <r>
    <x v="2"/>
    <s v="11-375-00-085000-51311"/>
    <x v="0"/>
    <n v="375"/>
    <n v="0"/>
    <x v="98"/>
    <n v="51311"/>
    <x v="1"/>
    <s v="51"/>
    <s v="513"/>
    <x v="1543"/>
    <s v="American Sign Language : Academic Teaching PT"/>
    <n v="31184.81"/>
  </r>
  <r>
    <x v="2"/>
    <s v="11-375-00-085000-51412"/>
    <x v="0"/>
    <n v="375"/>
    <n v="0"/>
    <x v="98"/>
    <n v="51412"/>
    <x v="1"/>
    <s v="51"/>
    <s v="514"/>
    <x v="1544"/>
    <s v="American Sign Language : Acad Nonteach Special Projects"/>
    <n v="63.35"/>
  </r>
  <r>
    <x v="2"/>
    <s v="11-375-00-085000-53110"/>
    <x v="0"/>
    <n v="375"/>
    <n v="0"/>
    <x v="98"/>
    <n v="53110"/>
    <x v="1"/>
    <s v="53"/>
    <s v="531"/>
    <x v="1545"/>
    <s v="American Sign Language : STRS Teaching"/>
    <n v="5036.3999999999996"/>
  </r>
  <r>
    <x v="2"/>
    <s v="11-375-00-085000-53120"/>
    <x v="0"/>
    <n v="375"/>
    <n v="0"/>
    <x v="98"/>
    <n v="53120"/>
    <x v="1"/>
    <s v="53"/>
    <s v="531"/>
    <x v="1546"/>
    <s v="American Sign Language : STRS Nonteaching"/>
    <n v="10.23"/>
  </r>
  <r>
    <x v="2"/>
    <s v="11-375-00-085000-53330"/>
    <x v="0"/>
    <n v="375"/>
    <n v="0"/>
    <x v="98"/>
    <n v="53330"/>
    <x v="1"/>
    <s v="53"/>
    <s v="533"/>
    <x v="1547"/>
    <s v="American Sign Language : Medicare Teaching"/>
    <n v="452.19"/>
  </r>
  <r>
    <x v="2"/>
    <s v="11-375-00-085000-53340"/>
    <x v="0"/>
    <n v="375"/>
    <n v="0"/>
    <x v="98"/>
    <n v="53340"/>
    <x v="1"/>
    <s v="53"/>
    <s v="533"/>
    <x v="1548"/>
    <s v="American Sign Language : Medicare Nonteaching"/>
    <n v="0.92"/>
  </r>
  <r>
    <x v="2"/>
    <s v="11-375-00-085000-53510"/>
    <x v="0"/>
    <n v="375"/>
    <n v="0"/>
    <x v="98"/>
    <n v="53510"/>
    <x v="1"/>
    <s v="53"/>
    <s v="535"/>
    <x v="1549"/>
    <s v="American Sign Language : SUI Teaching"/>
    <n v="15.56"/>
  </r>
  <r>
    <x v="2"/>
    <s v="11-375-00-085000-53520"/>
    <x v="0"/>
    <n v="375"/>
    <n v="0"/>
    <x v="98"/>
    <n v="53520"/>
    <x v="1"/>
    <s v="53"/>
    <s v="535"/>
    <x v="1550"/>
    <s v="American Sign Language : SUI Nonteaching"/>
    <n v="0.03"/>
  </r>
  <r>
    <x v="2"/>
    <s v="11-375-00-085000-53610"/>
    <x v="0"/>
    <n v="375"/>
    <n v="0"/>
    <x v="98"/>
    <n v="53610"/>
    <x v="1"/>
    <s v="53"/>
    <s v="536"/>
    <x v="1551"/>
    <s v="American Sign Language : WC Teaching"/>
    <n v="589.62"/>
  </r>
  <r>
    <x v="2"/>
    <s v="11-375-00-085000-53620"/>
    <x v="0"/>
    <n v="375"/>
    <n v="0"/>
    <x v="98"/>
    <n v="53620"/>
    <x v="1"/>
    <s v="53"/>
    <s v="536"/>
    <x v="1552"/>
    <s v="American Sign Language : WC Nonteaching"/>
    <n v="1.2"/>
  </r>
  <r>
    <x v="2"/>
    <s v="11-375-00-085000-55105"/>
    <x v="0"/>
    <n v="375"/>
    <n v="0"/>
    <x v="98"/>
    <n v="55105"/>
    <x v="1"/>
    <s v="55"/>
    <s v="551"/>
    <x v="1553"/>
    <s v="American Sign Language : Contract Services"/>
    <n v="0"/>
  </r>
  <r>
    <x v="2"/>
    <s v="11-375-00-110500-51100"/>
    <x v="0"/>
    <n v="375"/>
    <n v="0"/>
    <x v="17"/>
    <n v="51100"/>
    <x v="1"/>
    <s v="51"/>
    <s v="511"/>
    <x v="1554"/>
    <s v="Spanish : Academic Teaching Full-time"/>
    <n v="152329.76999999999"/>
  </r>
  <r>
    <x v="2"/>
    <s v="11-375-00-110500-51310"/>
    <x v="0"/>
    <n v="375"/>
    <n v="0"/>
    <x v="17"/>
    <n v="51310"/>
    <x v="1"/>
    <s v="51"/>
    <s v="513"/>
    <x v="1555"/>
    <s v="Spanish : Academic Teaching NIC"/>
    <n v="1432.26"/>
  </r>
  <r>
    <x v="2"/>
    <s v="11-375-00-110500-51311"/>
    <x v="0"/>
    <n v="375"/>
    <n v="0"/>
    <x v="17"/>
    <n v="51311"/>
    <x v="1"/>
    <s v="51"/>
    <s v="513"/>
    <x v="1556"/>
    <s v="Spanish : Academic Teaching PT"/>
    <n v="155405.46"/>
  </r>
  <r>
    <x v="2"/>
    <s v="11-375-00-110500-53110"/>
    <x v="0"/>
    <n v="375"/>
    <n v="0"/>
    <x v="17"/>
    <n v="53110"/>
    <x v="1"/>
    <s v="53"/>
    <s v="531"/>
    <x v="1557"/>
    <s v="Spanish : STRS Teaching"/>
    <n v="43400.54"/>
  </r>
  <r>
    <x v="2"/>
    <s v="11-375-00-110500-53310"/>
    <x v="0"/>
    <n v="375"/>
    <n v="0"/>
    <x v="17"/>
    <n v="53310"/>
    <x v="1"/>
    <s v="53"/>
    <s v="533"/>
    <x v="1558"/>
    <s v="Spanish : OASDHI (FICA) Teaching"/>
    <n v="1955.85"/>
  </r>
  <r>
    <x v="2"/>
    <s v="11-375-00-110500-53330"/>
    <x v="0"/>
    <n v="375"/>
    <n v="0"/>
    <x v="17"/>
    <n v="53330"/>
    <x v="1"/>
    <s v="53"/>
    <s v="533"/>
    <x v="1559"/>
    <s v="Spanish : Medicare Teaching"/>
    <n v="4471.95"/>
  </r>
  <r>
    <x v="2"/>
    <s v="11-375-00-110500-53410"/>
    <x v="0"/>
    <n v="375"/>
    <n v="0"/>
    <x v="17"/>
    <n v="53410"/>
    <x v="1"/>
    <s v="53"/>
    <s v="534"/>
    <x v="1560"/>
    <s v="Spanish : H &amp; W Teaching"/>
    <n v="37235.760000000002"/>
  </r>
  <r>
    <x v="2"/>
    <s v="11-375-00-110500-53510"/>
    <x v="0"/>
    <n v="375"/>
    <n v="0"/>
    <x v="17"/>
    <n v="53510"/>
    <x v="1"/>
    <s v="53"/>
    <s v="535"/>
    <x v="1561"/>
    <s v="Spanish : SUI Teaching"/>
    <n v="154.52000000000001"/>
  </r>
  <r>
    <x v="2"/>
    <s v="11-375-00-110500-53610"/>
    <x v="0"/>
    <n v="375"/>
    <n v="0"/>
    <x v="17"/>
    <n v="53610"/>
    <x v="1"/>
    <s v="53"/>
    <s v="536"/>
    <x v="1562"/>
    <s v="Spanish : WC Teaching"/>
    <n v="5845.75"/>
  </r>
  <r>
    <x v="2"/>
    <s v="11-375-00-110500-54300"/>
    <x v="0"/>
    <n v="375"/>
    <n v="0"/>
    <x v="17"/>
    <n v="54300"/>
    <x v="1"/>
    <s v="54"/>
    <s v="543"/>
    <x v="1563"/>
    <s v="Spanish : Supplies &amp; Materials"/>
    <n v="0"/>
  </r>
  <r>
    <x v="2"/>
    <s v="11-375-00-110500-55630"/>
    <x v="0"/>
    <n v="375"/>
    <n v="0"/>
    <x v="17"/>
    <n v="55630"/>
    <x v="1"/>
    <s v="55"/>
    <s v="556"/>
    <x v="1564"/>
    <s v="Spanish : Printing &amp; Duplicating - Inhouse"/>
    <n v="0"/>
  </r>
  <r>
    <x v="2"/>
    <s v="11-375-00-150100-51100"/>
    <x v="0"/>
    <n v="375"/>
    <n v="0"/>
    <x v="19"/>
    <n v="51100"/>
    <x v="1"/>
    <s v="51"/>
    <s v="511"/>
    <x v="1565"/>
    <s v="English : Academic Teaching Full-time"/>
    <n v="1038998.91"/>
  </r>
  <r>
    <x v="2"/>
    <s v="11-375-00-150100-51310"/>
    <x v="0"/>
    <n v="375"/>
    <n v="0"/>
    <x v="19"/>
    <n v="51310"/>
    <x v="1"/>
    <s v="51"/>
    <s v="513"/>
    <x v="1566"/>
    <s v="English : Academic Teaching NIC"/>
    <n v="50980.49"/>
  </r>
  <r>
    <x v="2"/>
    <s v="11-375-00-150100-51311"/>
    <x v="0"/>
    <n v="375"/>
    <n v="0"/>
    <x v="19"/>
    <n v="51311"/>
    <x v="1"/>
    <s v="51"/>
    <s v="513"/>
    <x v="1567"/>
    <s v="English : Academic Teaching PT"/>
    <n v="148597.1"/>
  </r>
  <r>
    <x v="2"/>
    <s v="11-375-00-150100-53110"/>
    <x v="0"/>
    <n v="375"/>
    <n v="0"/>
    <x v="19"/>
    <n v="53110"/>
    <x v="1"/>
    <s v="53"/>
    <s v="531"/>
    <x v="1568"/>
    <s v="English : STRS Teaching"/>
    <n v="198103.66"/>
  </r>
  <r>
    <x v="2"/>
    <s v="11-375-00-150100-53310"/>
    <x v="0"/>
    <n v="375"/>
    <n v="0"/>
    <x v="19"/>
    <n v="53310"/>
    <x v="1"/>
    <s v="53"/>
    <s v="533"/>
    <x v="1569"/>
    <s v="English : OASDHI (FICA) Teaching"/>
    <n v="2653.09"/>
  </r>
  <r>
    <x v="2"/>
    <s v="11-375-00-150100-53330"/>
    <x v="0"/>
    <n v="375"/>
    <n v="0"/>
    <x v="19"/>
    <n v="53330"/>
    <x v="1"/>
    <s v="53"/>
    <s v="533"/>
    <x v="1570"/>
    <s v="English : Medicare Teaching"/>
    <n v="17775.650000000001"/>
  </r>
  <r>
    <x v="2"/>
    <s v="11-375-00-150100-53410"/>
    <x v="0"/>
    <n v="375"/>
    <n v="0"/>
    <x v="19"/>
    <n v="53410"/>
    <x v="1"/>
    <s v="53"/>
    <s v="534"/>
    <x v="1571"/>
    <s v="English : H &amp; W Teaching"/>
    <n v="263562.84999999998"/>
  </r>
  <r>
    <x v="2"/>
    <s v="11-375-00-150100-53510"/>
    <x v="0"/>
    <n v="375"/>
    <n v="0"/>
    <x v="19"/>
    <n v="53510"/>
    <x v="1"/>
    <s v="53"/>
    <s v="535"/>
    <x v="1572"/>
    <s v="English : SUI Teaching"/>
    <n v="616.44000000000005"/>
  </r>
  <r>
    <x v="2"/>
    <s v="11-375-00-150100-53610"/>
    <x v="0"/>
    <n v="375"/>
    <n v="0"/>
    <x v="19"/>
    <n v="53610"/>
    <x v="1"/>
    <s v="53"/>
    <s v="536"/>
    <x v="1573"/>
    <s v="English : WC Teaching"/>
    <n v="23419.11"/>
  </r>
  <r>
    <x v="2"/>
    <s v="11-375-00-150100-53910"/>
    <x v="0"/>
    <n v="375"/>
    <n v="0"/>
    <x v="19"/>
    <n v="53910"/>
    <x v="1"/>
    <s v="53"/>
    <s v="539"/>
    <x v="1574"/>
    <s v="English : Other Benefit-Teaching"/>
    <n v="3490.88"/>
  </r>
  <r>
    <x v="2"/>
    <s v="11-375-00-150100-54300"/>
    <x v="0"/>
    <n v="375"/>
    <n v="0"/>
    <x v="19"/>
    <n v="54300"/>
    <x v="1"/>
    <s v="54"/>
    <s v="543"/>
    <x v="1575"/>
    <s v="English : Supplies &amp; Materials"/>
    <n v="0"/>
  </r>
  <r>
    <x v="2"/>
    <s v="11-375-00-150100-55300"/>
    <x v="0"/>
    <n v="375"/>
    <n v="0"/>
    <x v="19"/>
    <n v="55300"/>
    <x v="1"/>
    <s v="55"/>
    <s v="553"/>
    <x v="1576"/>
    <s v="English : Memberships"/>
    <n v="0"/>
  </r>
  <r>
    <x v="2"/>
    <s v="11-375-00-150100-55630"/>
    <x v="0"/>
    <n v="375"/>
    <n v="0"/>
    <x v="19"/>
    <n v="55630"/>
    <x v="1"/>
    <s v="55"/>
    <s v="556"/>
    <x v="1577"/>
    <s v="English : Printing &amp; Duplicating - Inhouse"/>
    <n v="0"/>
  </r>
  <r>
    <x v="2"/>
    <s v="11-375-00-150600-51100"/>
    <x v="0"/>
    <n v="375"/>
    <n v="0"/>
    <x v="20"/>
    <n v="51100"/>
    <x v="1"/>
    <s v="51"/>
    <s v="511"/>
    <x v="1578"/>
    <s v="Speech : Academic Teaching Full-time"/>
    <n v="234855.07"/>
  </r>
  <r>
    <x v="2"/>
    <s v="11-375-00-150600-51310"/>
    <x v="0"/>
    <n v="375"/>
    <n v="0"/>
    <x v="20"/>
    <n v="51310"/>
    <x v="1"/>
    <s v="51"/>
    <s v="513"/>
    <x v="1579"/>
    <s v="Speech : Academic Teaching NIC"/>
    <n v="26138.93"/>
  </r>
  <r>
    <x v="2"/>
    <s v="11-375-00-150600-51311"/>
    <x v="0"/>
    <n v="375"/>
    <n v="0"/>
    <x v="20"/>
    <n v="51311"/>
    <x v="1"/>
    <s v="51"/>
    <s v="513"/>
    <x v="1580"/>
    <s v="Speech : Academic Teaching PT"/>
    <n v="113968.04"/>
  </r>
  <r>
    <x v="2"/>
    <s v="11-375-00-150600-53110"/>
    <x v="0"/>
    <n v="375"/>
    <n v="0"/>
    <x v="20"/>
    <n v="53110"/>
    <x v="1"/>
    <s v="53"/>
    <s v="531"/>
    <x v="1581"/>
    <s v="Speech : STRS Teaching"/>
    <n v="53934.69"/>
  </r>
  <r>
    <x v="2"/>
    <s v="11-375-00-150600-53310"/>
    <x v="0"/>
    <n v="375"/>
    <n v="0"/>
    <x v="20"/>
    <n v="53310"/>
    <x v="1"/>
    <s v="53"/>
    <s v="533"/>
    <x v="1582"/>
    <s v="Speech : OASDHI (FICA) Teaching"/>
    <n v="2542.1"/>
  </r>
  <r>
    <x v="2"/>
    <s v="11-375-00-150600-53330"/>
    <x v="0"/>
    <n v="375"/>
    <n v="0"/>
    <x v="20"/>
    <n v="53330"/>
    <x v="1"/>
    <s v="53"/>
    <s v="533"/>
    <x v="1583"/>
    <s v="Speech : Medicare Teaching"/>
    <n v="5407.81"/>
  </r>
  <r>
    <x v="2"/>
    <s v="11-375-00-150600-53410"/>
    <x v="0"/>
    <n v="375"/>
    <n v="0"/>
    <x v="20"/>
    <n v="53410"/>
    <x v="1"/>
    <s v="53"/>
    <s v="534"/>
    <x v="1584"/>
    <s v="Speech : H &amp; W Teaching"/>
    <n v="70593.36"/>
  </r>
  <r>
    <x v="2"/>
    <s v="11-375-00-150600-53510"/>
    <x v="0"/>
    <n v="375"/>
    <n v="0"/>
    <x v="20"/>
    <n v="53510"/>
    <x v="1"/>
    <s v="53"/>
    <s v="535"/>
    <x v="1585"/>
    <s v="Speech : SUI Teaching"/>
    <n v="187.51"/>
  </r>
  <r>
    <x v="2"/>
    <s v="11-375-00-150600-53610"/>
    <x v="0"/>
    <n v="375"/>
    <n v="0"/>
    <x v="20"/>
    <n v="53610"/>
    <x v="1"/>
    <s v="53"/>
    <s v="536"/>
    <x v="1586"/>
    <s v="Speech : WC Teaching"/>
    <n v="7089.84"/>
  </r>
  <r>
    <x v="2"/>
    <s v="11-375-00-150600-54300"/>
    <x v="0"/>
    <n v="375"/>
    <n v="0"/>
    <x v="20"/>
    <n v="54300"/>
    <x v="1"/>
    <s v="54"/>
    <s v="543"/>
    <x v="1587"/>
    <s v="Speech : Supplies &amp; Materials"/>
    <n v="0"/>
  </r>
  <r>
    <x v="2"/>
    <s v="11-375-00-150600-55200"/>
    <x v="0"/>
    <n v="375"/>
    <n v="0"/>
    <x v="20"/>
    <n v="55200"/>
    <x v="1"/>
    <s v="55"/>
    <s v="552"/>
    <x v="1588"/>
    <s v="Speech : Travel &amp; Conference"/>
    <n v="0"/>
  </r>
  <r>
    <x v="2"/>
    <s v="11-375-00-150600-55630"/>
    <x v="0"/>
    <n v="375"/>
    <n v="0"/>
    <x v="20"/>
    <n v="55630"/>
    <x v="1"/>
    <s v="55"/>
    <s v="556"/>
    <x v="1589"/>
    <s v="Speech : Printing &amp; Duplicating - Inhouse"/>
    <n v="2.44"/>
  </r>
  <r>
    <x v="2"/>
    <s v="11-375-00-493080-51100"/>
    <x v="0"/>
    <n v="375"/>
    <n v="0"/>
    <x v="33"/>
    <n v="51100"/>
    <x v="1"/>
    <s v="51"/>
    <s v="511"/>
    <x v="1590"/>
    <s v="ESL : Academic Teaching Full-time"/>
    <n v="263015.28000000003"/>
  </r>
  <r>
    <x v="2"/>
    <s v="11-375-00-493080-51310"/>
    <x v="0"/>
    <n v="375"/>
    <n v="0"/>
    <x v="33"/>
    <n v="51310"/>
    <x v="1"/>
    <s v="51"/>
    <s v="513"/>
    <x v="1591"/>
    <s v="ESL : Academic Teaching NIC"/>
    <n v="6352.64"/>
  </r>
  <r>
    <x v="2"/>
    <s v="11-375-00-493080-51311"/>
    <x v="0"/>
    <n v="375"/>
    <n v="0"/>
    <x v="33"/>
    <n v="51311"/>
    <x v="1"/>
    <s v="51"/>
    <s v="513"/>
    <x v="1592"/>
    <s v="ESL : Academic Teaching PT"/>
    <n v="81713.87"/>
  </r>
  <r>
    <x v="2"/>
    <s v="11-375-00-493080-53110"/>
    <x v="0"/>
    <n v="375"/>
    <n v="0"/>
    <x v="33"/>
    <n v="53110"/>
    <x v="1"/>
    <s v="53"/>
    <s v="531"/>
    <x v="1593"/>
    <s v="ESL : STRS Teaching"/>
    <n v="55653.2"/>
  </r>
  <r>
    <x v="2"/>
    <s v="11-375-00-493080-53330"/>
    <x v="0"/>
    <n v="375"/>
    <n v="0"/>
    <x v="33"/>
    <n v="53330"/>
    <x v="1"/>
    <s v="53"/>
    <s v="533"/>
    <x v="1594"/>
    <s v="ESL : Medicare Teaching"/>
    <n v="3762.44"/>
  </r>
  <r>
    <x v="2"/>
    <s v="11-375-00-493080-53410"/>
    <x v="0"/>
    <n v="375"/>
    <n v="0"/>
    <x v="33"/>
    <n v="53410"/>
    <x v="1"/>
    <s v="53"/>
    <s v="534"/>
    <x v="1595"/>
    <s v="ESL : H &amp; W Teaching"/>
    <n v="31708.560000000001"/>
  </r>
  <r>
    <x v="2"/>
    <s v="11-375-00-493080-53510"/>
    <x v="0"/>
    <n v="375"/>
    <n v="0"/>
    <x v="33"/>
    <n v="53510"/>
    <x v="1"/>
    <s v="53"/>
    <s v="535"/>
    <x v="1596"/>
    <s v="ESL : SUI Teaching"/>
    <n v="175.61"/>
  </r>
  <r>
    <x v="2"/>
    <s v="11-375-00-493080-53610"/>
    <x v="0"/>
    <n v="375"/>
    <n v="0"/>
    <x v="33"/>
    <n v="53610"/>
    <x v="1"/>
    <s v="53"/>
    <s v="536"/>
    <x v="1597"/>
    <s v="ESL : WC Teaching"/>
    <n v="6638.29"/>
  </r>
  <r>
    <x v="2"/>
    <s v="11-375-00-493080-54300"/>
    <x v="0"/>
    <n v="375"/>
    <n v="0"/>
    <x v="33"/>
    <n v="54300"/>
    <x v="1"/>
    <s v="54"/>
    <s v="543"/>
    <x v="1598"/>
    <s v="ESL : Supplies &amp; Materials"/>
    <n v="0"/>
  </r>
  <r>
    <x v="2"/>
    <s v="11-375-00-493080-55630"/>
    <x v="0"/>
    <n v="375"/>
    <n v="0"/>
    <x v="33"/>
    <n v="55630"/>
    <x v="1"/>
    <s v="55"/>
    <s v="556"/>
    <x v="1599"/>
    <s v="ESL : Printing &amp; Duplicating - Inhouse"/>
    <n v="0"/>
  </r>
  <r>
    <x v="2"/>
    <s v="11-395-00-635050-51412"/>
    <x v="0"/>
    <n v="395"/>
    <n v="0"/>
    <x v="99"/>
    <n v="51412"/>
    <x v="1"/>
    <s v="51"/>
    <s v="514"/>
    <x v="1600"/>
    <s v="ACE Program : Acad Nonteach Special Projects"/>
    <n v="2036.19"/>
  </r>
  <r>
    <x v="2"/>
    <s v="11-395-00-635050-52105"/>
    <x v="0"/>
    <n v="395"/>
    <n v="0"/>
    <x v="99"/>
    <n v="52105"/>
    <x v="1"/>
    <s v="52"/>
    <s v="521"/>
    <x v="1601"/>
    <s v="ACE Program : Classified CSEA"/>
    <n v="59892.62"/>
  </r>
  <r>
    <x v="2"/>
    <s v="11-395-00-635050-52350"/>
    <x v="0"/>
    <n v="395"/>
    <n v="0"/>
    <x v="99"/>
    <n v="52350"/>
    <x v="1"/>
    <s v="52"/>
    <s v="523"/>
    <x v="1602"/>
    <s v="ACE Program : Classified Student Dist Non-IA PT"/>
    <n v="17631.5"/>
  </r>
  <r>
    <x v="2"/>
    <s v="11-395-00-635050-52360"/>
    <x v="0"/>
    <n v="395"/>
    <n v="0"/>
    <x v="99"/>
    <n v="52360"/>
    <x v="1"/>
    <s v="52"/>
    <s v="523"/>
    <x v="1603"/>
    <s v="ACE Program : Class Nonstu NonIA PT Prof Exp"/>
    <n v="12188.16"/>
  </r>
  <r>
    <x v="2"/>
    <s v="11-395-00-635050-53120"/>
    <x v="0"/>
    <n v="395"/>
    <n v="0"/>
    <x v="99"/>
    <n v="53120"/>
    <x v="1"/>
    <s v="53"/>
    <s v="531"/>
    <x v="1604"/>
    <s v="ACE Program : STRS Nonteaching"/>
    <n v="328.84"/>
  </r>
  <r>
    <x v="2"/>
    <s v="11-395-00-635050-53220"/>
    <x v="0"/>
    <n v="395"/>
    <n v="0"/>
    <x v="99"/>
    <n v="53220"/>
    <x v="1"/>
    <s v="53"/>
    <s v="532"/>
    <x v="1605"/>
    <s v="ACE Program : PERS Nonteaching"/>
    <n v="14235.82"/>
  </r>
  <r>
    <x v="2"/>
    <s v="11-395-00-635050-53320"/>
    <x v="0"/>
    <n v="395"/>
    <n v="0"/>
    <x v="99"/>
    <n v="53320"/>
    <x v="1"/>
    <s v="53"/>
    <s v="533"/>
    <x v="1606"/>
    <s v="ACE Program : OASDHI (FICA) Nonteaching"/>
    <n v="4310.8599999999997"/>
  </r>
  <r>
    <x v="2"/>
    <s v="11-395-00-635050-53340"/>
    <x v="0"/>
    <n v="395"/>
    <n v="0"/>
    <x v="99"/>
    <n v="53340"/>
    <x v="1"/>
    <s v="53"/>
    <s v="533"/>
    <x v="1607"/>
    <s v="ACE Program : Medicare Nonteaching"/>
    <n v="1037.6600000000001"/>
  </r>
  <r>
    <x v="2"/>
    <s v="11-395-00-635050-53420"/>
    <x v="0"/>
    <n v="395"/>
    <n v="0"/>
    <x v="99"/>
    <n v="53420"/>
    <x v="1"/>
    <s v="53"/>
    <s v="534"/>
    <x v="1608"/>
    <s v="ACE Program : H &amp; W Nonteaching"/>
    <n v="26446.560000000001"/>
  </r>
  <r>
    <x v="2"/>
    <s v="11-395-00-635050-53520"/>
    <x v="0"/>
    <n v="395"/>
    <n v="0"/>
    <x v="99"/>
    <n v="53520"/>
    <x v="1"/>
    <s v="53"/>
    <s v="535"/>
    <x v="1609"/>
    <s v="ACE Program : SUI Nonteaching"/>
    <n v="36.130000000000003"/>
  </r>
  <r>
    <x v="2"/>
    <s v="11-395-00-635050-53620"/>
    <x v="0"/>
    <n v="395"/>
    <n v="0"/>
    <x v="99"/>
    <n v="53620"/>
    <x v="1"/>
    <s v="53"/>
    <s v="536"/>
    <x v="1610"/>
    <s v="ACE Program : WC Nonteaching"/>
    <n v="1736.16"/>
  </r>
  <r>
    <x v="2"/>
    <s v="11-395-00-635050-54210"/>
    <x v="0"/>
    <n v="395"/>
    <n v="0"/>
    <x v="99"/>
    <n v="54210"/>
    <x v="1"/>
    <s v="54"/>
    <s v="542"/>
    <x v="1611"/>
    <s v="ACE Program : Purchases - Food"/>
    <n v="0"/>
  </r>
  <r>
    <x v="2"/>
    <s v="11-395-00-635050-54300"/>
    <x v="0"/>
    <n v="395"/>
    <n v="0"/>
    <x v="99"/>
    <n v="54300"/>
    <x v="1"/>
    <s v="54"/>
    <s v="543"/>
    <x v="1612"/>
    <s v="ACE Program : Supplies &amp; Materials"/>
    <n v="2052.56"/>
  </r>
  <r>
    <x v="2"/>
    <s v="11-395-00-635050-55105"/>
    <x v="0"/>
    <n v="395"/>
    <n v="0"/>
    <x v="99"/>
    <n v="55105"/>
    <x v="1"/>
    <s v="55"/>
    <s v="551"/>
    <x v="1613"/>
    <s v="ACE Program : Contract Services"/>
    <n v="0"/>
  </r>
  <r>
    <x v="2"/>
    <s v="11-395-00-635050-55125"/>
    <x v="0"/>
    <n v="395"/>
    <n v="0"/>
    <x v="99"/>
    <n v="55125"/>
    <x v="1"/>
    <s v="55"/>
    <s v="551"/>
    <x v="1614"/>
    <s v="ACE Program : Training &amp; Seminars"/>
    <n v="0"/>
  </r>
  <r>
    <x v="2"/>
    <s v="11-395-00-635050-55200"/>
    <x v="0"/>
    <n v="395"/>
    <n v="0"/>
    <x v="99"/>
    <n v="55200"/>
    <x v="1"/>
    <s v="55"/>
    <s v="552"/>
    <x v="1615"/>
    <s v="ACE Program : Travel &amp; Conference"/>
    <n v="100"/>
  </r>
  <r>
    <x v="2"/>
    <s v="11-395-00-635050-55630"/>
    <x v="0"/>
    <n v="395"/>
    <n v="0"/>
    <x v="99"/>
    <n v="55630"/>
    <x v="1"/>
    <s v="55"/>
    <s v="556"/>
    <x v="1616"/>
    <s v="ACE Program : Printing &amp; Duplicating - Inhouse"/>
    <n v="14.66"/>
  </r>
  <r>
    <x v="2"/>
    <s v="11-395-00-635050-55650"/>
    <x v="0"/>
    <n v="395"/>
    <n v="0"/>
    <x v="99"/>
    <n v="55650"/>
    <x v="1"/>
    <s v="55"/>
    <s v="556"/>
    <x v="1617"/>
    <s v="ACE Program : Maintenance Agreement"/>
    <n v="21.5"/>
  </r>
  <r>
    <x v="2"/>
    <s v="11-395-00-635050-56400"/>
    <x v="0"/>
    <n v="395"/>
    <n v="0"/>
    <x v="99"/>
    <n v="56400"/>
    <x v="1"/>
    <s v="56"/>
    <s v="564"/>
    <x v="1618"/>
    <s v="ACE Program : Cap Equip - $200 to $4,999"/>
    <n v="2176.2600000000002"/>
  </r>
  <r>
    <x v="2"/>
    <s v="11-395-00-696000-52130"/>
    <x v="0"/>
    <n v="395"/>
    <n v="0"/>
    <x v="100"/>
    <n v="52130"/>
    <x v="1"/>
    <s v="52"/>
    <s v="521"/>
    <x v="1619"/>
    <s v="Student Activities : Classified Management"/>
    <n v="92518.399999999994"/>
  </r>
  <r>
    <x v="2"/>
    <s v="11-395-00-696000-53220"/>
    <x v="0"/>
    <n v="395"/>
    <n v="0"/>
    <x v="100"/>
    <n v="53220"/>
    <x v="1"/>
    <s v="53"/>
    <s v="532"/>
    <x v="1620"/>
    <s v="Student Activities : PERS Nonteaching"/>
    <n v="19151.3"/>
  </r>
  <r>
    <x v="2"/>
    <s v="11-395-00-696000-53320"/>
    <x v="0"/>
    <n v="395"/>
    <n v="0"/>
    <x v="100"/>
    <n v="53320"/>
    <x v="1"/>
    <s v="53"/>
    <s v="533"/>
    <x v="1621"/>
    <s v="Student Activities : OASDHI (FICA) Nonteaching"/>
    <n v="5738.37"/>
  </r>
  <r>
    <x v="2"/>
    <s v="11-395-00-696000-53340"/>
    <x v="0"/>
    <n v="395"/>
    <n v="0"/>
    <x v="100"/>
    <n v="53340"/>
    <x v="1"/>
    <s v="53"/>
    <s v="533"/>
    <x v="1622"/>
    <s v="Student Activities : Medicare Nonteaching"/>
    <n v="1342.03"/>
  </r>
  <r>
    <x v="2"/>
    <s v="11-395-00-696000-53420"/>
    <x v="0"/>
    <n v="395"/>
    <n v="0"/>
    <x v="100"/>
    <n v="53420"/>
    <x v="1"/>
    <s v="53"/>
    <s v="534"/>
    <x v="1623"/>
    <s v="Student Activities : H &amp; W Nonteaching"/>
    <n v="18866.36"/>
  </r>
  <r>
    <x v="2"/>
    <s v="11-395-00-696000-53520"/>
    <x v="0"/>
    <n v="395"/>
    <n v="0"/>
    <x v="100"/>
    <n v="53520"/>
    <x v="1"/>
    <s v="53"/>
    <s v="535"/>
    <x v="1624"/>
    <s v="Student Activities : SUI Nonteaching"/>
    <n v="46.3"/>
  </r>
  <r>
    <x v="2"/>
    <s v="11-395-00-696000-53620"/>
    <x v="0"/>
    <n v="395"/>
    <n v="0"/>
    <x v="100"/>
    <n v="53620"/>
    <x v="1"/>
    <s v="53"/>
    <s v="536"/>
    <x v="1625"/>
    <s v="Student Activities : WC Nonteaching"/>
    <n v="1749.3"/>
  </r>
  <r>
    <x v="2"/>
    <s v="11-395-00-696000-53920"/>
    <x v="0"/>
    <n v="395"/>
    <n v="0"/>
    <x v="100"/>
    <n v="53920"/>
    <x v="1"/>
    <s v="53"/>
    <s v="539"/>
    <x v="1626"/>
    <s v="Student Activities : Other Benefit-Non Teaching"/>
    <n v="1800"/>
  </r>
  <r>
    <x v="2"/>
    <s v="11-395-00-696000-55630"/>
    <x v="0"/>
    <n v="395"/>
    <n v="0"/>
    <x v="100"/>
    <n v="55630"/>
    <x v="1"/>
    <s v="55"/>
    <s v="556"/>
    <x v="1627"/>
    <s v="Student Activities : Printing &amp; Duplicating - Inhouse"/>
    <n v="0"/>
  </r>
  <r>
    <x v="2"/>
    <s v="11-398-00-000000-48630"/>
    <x v="0"/>
    <n v="398"/>
    <n v="0"/>
    <x v="0"/>
    <n v="48630"/>
    <x v="0"/>
    <s v="48"/>
    <s v="486"/>
    <x v="1628"/>
    <s v="General Use - Nonprogram : Prop 30-EPA Funds"/>
    <n v="-6044209"/>
  </r>
  <r>
    <x v="2"/>
    <s v="11-399-00-000000-48680"/>
    <x v="0"/>
    <n v="399"/>
    <n v="0"/>
    <x v="0"/>
    <n v="48680"/>
    <x v="0"/>
    <s v="48"/>
    <s v="486"/>
    <x v="1629"/>
    <s v="General Use - Nonprogram : State Lottery"/>
    <n v="-981066.41"/>
  </r>
  <r>
    <x v="2"/>
    <s v="11-400-00-493010-51310"/>
    <x v="0"/>
    <n v="400"/>
    <n v="0"/>
    <x v="32"/>
    <n v="51310"/>
    <x v="1"/>
    <s v="51"/>
    <s v="513"/>
    <x v="1630"/>
    <s v="Counseling Instruction : Academic Teaching NIC"/>
    <n v="1373.6"/>
  </r>
  <r>
    <x v="2"/>
    <s v="11-400-00-493010-53110"/>
    <x v="0"/>
    <n v="400"/>
    <n v="0"/>
    <x v="32"/>
    <n v="53110"/>
    <x v="1"/>
    <s v="53"/>
    <s v="531"/>
    <x v="1631"/>
    <s v="Counseling Instruction : STRS Teaching"/>
    <n v="221.84"/>
  </r>
  <r>
    <x v="2"/>
    <s v="11-400-00-493010-53330"/>
    <x v="0"/>
    <n v="400"/>
    <n v="0"/>
    <x v="32"/>
    <n v="53330"/>
    <x v="1"/>
    <s v="53"/>
    <s v="533"/>
    <x v="1632"/>
    <s v="Counseling Instruction : Medicare Teaching"/>
    <n v="19.920000000000002"/>
  </r>
  <r>
    <x v="2"/>
    <s v="11-400-00-493010-53510"/>
    <x v="0"/>
    <n v="400"/>
    <n v="0"/>
    <x v="32"/>
    <n v="53510"/>
    <x v="1"/>
    <s v="53"/>
    <s v="535"/>
    <x v="1633"/>
    <s v="Counseling Instruction : SUI Teaching"/>
    <n v="0.69"/>
  </r>
  <r>
    <x v="2"/>
    <s v="11-400-00-493010-53610"/>
    <x v="0"/>
    <n v="400"/>
    <n v="0"/>
    <x v="32"/>
    <n v="53610"/>
    <x v="1"/>
    <s v="53"/>
    <s v="536"/>
    <x v="1634"/>
    <s v="Counseling Instruction : WC Teaching"/>
    <n v="25.97"/>
  </r>
  <r>
    <x v="2"/>
    <s v="11-400-00-620020-52300"/>
    <x v="0"/>
    <n v="400"/>
    <n v="0"/>
    <x v="101"/>
    <n v="52300"/>
    <x v="1"/>
    <s v="52"/>
    <s v="523"/>
    <x v="1635"/>
    <s v="Graduation Program : Classified Overtime"/>
    <n v="0"/>
  </r>
  <r>
    <x v="2"/>
    <s v="11-400-00-620020-53320"/>
    <x v="0"/>
    <n v="400"/>
    <n v="0"/>
    <x v="101"/>
    <n v="53320"/>
    <x v="1"/>
    <s v="53"/>
    <s v="533"/>
    <x v="1636"/>
    <s v="Graduation Program : OASDHI (FICA) Nonteaching"/>
    <n v="0"/>
  </r>
  <r>
    <x v="2"/>
    <s v="11-400-00-620020-53340"/>
    <x v="0"/>
    <n v="400"/>
    <n v="0"/>
    <x v="101"/>
    <n v="53340"/>
    <x v="1"/>
    <s v="53"/>
    <s v="533"/>
    <x v="1637"/>
    <s v="Graduation Program : Medicare Nonteaching"/>
    <n v="0"/>
  </r>
  <r>
    <x v="2"/>
    <s v="11-400-00-620020-53520"/>
    <x v="0"/>
    <n v="400"/>
    <n v="0"/>
    <x v="101"/>
    <n v="53520"/>
    <x v="1"/>
    <s v="53"/>
    <s v="535"/>
    <x v="1638"/>
    <s v="Graduation Program : SUI Nonteaching"/>
    <n v="0"/>
  </r>
  <r>
    <x v="2"/>
    <s v="11-400-00-620020-53620"/>
    <x v="0"/>
    <n v="400"/>
    <n v="0"/>
    <x v="101"/>
    <n v="53620"/>
    <x v="1"/>
    <s v="53"/>
    <s v="536"/>
    <x v="1639"/>
    <s v="Graduation Program : WC Nonteaching"/>
    <n v="0"/>
  </r>
  <r>
    <x v="2"/>
    <s v="11-400-00-620020-54300"/>
    <x v="0"/>
    <n v="400"/>
    <n v="0"/>
    <x v="101"/>
    <n v="54300"/>
    <x v="1"/>
    <s v="54"/>
    <s v="543"/>
    <x v="1640"/>
    <s v="Graduation Program : Supplies &amp; Materials"/>
    <n v="0"/>
  </r>
  <r>
    <x v="2"/>
    <s v="11-400-00-620020-55100"/>
    <x v="0"/>
    <n v="400"/>
    <n v="0"/>
    <x v="101"/>
    <n v="55100"/>
    <x v="1"/>
    <s v="55"/>
    <s v="551"/>
    <x v="1641"/>
    <s v="Graduation Program : Personal Service Contract - 1099"/>
    <n v="0"/>
  </r>
  <r>
    <x v="2"/>
    <s v="11-400-00-620020-55635"/>
    <x v="0"/>
    <n v="400"/>
    <n v="0"/>
    <x v="101"/>
    <n v="55635"/>
    <x v="1"/>
    <s v="55"/>
    <s v="556"/>
    <x v="1642"/>
    <s v="Graduation Program : Printing Services - Vendor"/>
    <n v="0"/>
  </r>
  <r>
    <x v="2"/>
    <s v="11-400-00-631000-51200"/>
    <x v="0"/>
    <n v="400"/>
    <n v="0"/>
    <x v="36"/>
    <n v="51200"/>
    <x v="1"/>
    <s v="51"/>
    <s v="512"/>
    <x v="1643"/>
    <s v="Counseling &amp; Guidance : Academic Nonteaching Full-time"/>
    <n v="505940.04"/>
  </r>
  <r>
    <x v="2"/>
    <s v="11-400-00-631000-51210"/>
    <x v="0"/>
    <n v="400"/>
    <n v="0"/>
    <x v="36"/>
    <n v="51210"/>
    <x v="1"/>
    <s v="51"/>
    <s v="512"/>
    <x v="1644"/>
    <s v="Counseling &amp; Guidance : Academic Nonteaching Management"/>
    <n v="114005.68"/>
  </r>
  <r>
    <x v="2"/>
    <s v="11-400-00-631000-51310"/>
    <x v="0"/>
    <n v="400"/>
    <n v="0"/>
    <x v="36"/>
    <n v="51310"/>
    <x v="1"/>
    <s v="51"/>
    <s v="513"/>
    <x v="1645"/>
    <s v="Counseling &amp; Guidance : Academic Teaching NIC"/>
    <n v="69534.53"/>
  </r>
  <r>
    <x v="2"/>
    <s v="11-400-00-631000-51311"/>
    <x v="0"/>
    <n v="400"/>
    <n v="0"/>
    <x v="36"/>
    <n v="51311"/>
    <x v="1"/>
    <s v="51"/>
    <s v="513"/>
    <x v="1646"/>
    <s v="Counseling &amp; Guidance : Academic Teaching PT"/>
    <n v="36751.64"/>
  </r>
  <r>
    <x v="2"/>
    <s v="11-400-00-631000-51410"/>
    <x v="0"/>
    <n v="400"/>
    <n v="0"/>
    <x v="36"/>
    <n v="51410"/>
    <x v="1"/>
    <s v="51"/>
    <s v="514"/>
    <x v="1647"/>
    <s v="Counseling &amp; Guidance : Academic Nonteaching NIC"/>
    <n v="33734.42"/>
  </r>
  <r>
    <x v="2"/>
    <s v="11-400-00-631000-51411"/>
    <x v="0"/>
    <n v="400"/>
    <n v="0"/>
    <x v="36"/>
    <n v="51411"/>
    <x v="1"/>
    <s v="51"/>
    <s v="514"/>
    <x v="1648"/>
    <s v="Counseling &amp; Guidance : Academic Nonteaching PT"/>
    <n v="60426.97"/>
  </r>
  <r>
    <x v="2"/>
    <s v="11-400-00-631000-52105"/>
    <x v="0"/>
    <n v="400"/>
    <n v="0"/>
    <x v="36"/>
    <n v="52105"/>
    <x v="1"/>
    <s v="52"/>
    <s v="521"/>
    <x v="1649"/>
    <s v="Counseling &amp; Guidance : Classified CSEA"/>
    <n v="46739.13"/>
  </r>
  <r>
    <x v="2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2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2"/>
    <s v="11-400-00-631000-53110"/>
    <x v="0"/>
    <n v="400"/>
    <n v="0"/>
    <x v="36"/>
    <n v="53110"/>
    <x v="1"/>
    <s v="53"/>
    <s v="531"/>
    <x v="1652"/>
    <s v="Counseling &amp; Guidance : STRS Teaching"/>
    <n v="14462.95"/>
  </r>
  <r>
    <x v="2"/>
    <s v="11-400-00-631000-53120"/>
    <x v="0"/>
    <n v="400"/>
    <n v="0"/>
    <x v="36"/>
    <n v="53120"/>
    <x v="1"/>
    <s v="53"/>
    <s v="531"/>
    <x v="1653"/>
    <s v="Counseling &amp; Guidance : STRS Nonteaching"/>
    <n v="83491.679999999993"/>
  </r>
  <r>
    <x v="2"/>
    <s v="11-400-00-631000-53220"/>
    <x v="0"/>
    <n v="400"/>
    <n v="0"/>
    <x v="36"/>
    <n v="53220"/>
    <x v="1"/>
    <s v="53"/>
    <s v="532"/>
    <x v="1654"/>
    <s v="Counseling &amp; Guidance : PERS Nonteaching"/>
    <n v="50471.93"/>
  </r>
  <r>
    <x v="2"/>
    <s v="11-400-00-631000-53310"/>
    <x v="0"/>
    <n v="400"/>
    <n v="0"/>
    <x v="36"/>
    <n v="53310"/>
    <x v="1"/>
    <s v="53"/>
    <s v="533"/>
    <x v="1655"/>
    <s v="Counseling &amp; Guidance : OASDHI (FICA) Teaching"/>
    <n v="1037.48"/>
  </r>
  <r>
    <x v="2"/>
    <s v="11-400-00-631000-53320"/>
    <x v="0"/>
    <n v="400"/>
    <n v="0"/>
    <x v="36"/>
    <n v="53320"/>
    <x v="1"/>
    <s v="53"/>
    <s v="533"/>
    <x v="1656"/>
    <s v="Counseling &amp; Guidance : OASDHI (FICA) Nonteaching"/>
    <n v="15249.59"/>
  </r>
  <r>
    <x v="2"/>
    <s v="11-400-00-631000-53330"/>
    <x v="0"/>
    <n v="400"/>
    <n v="0"/>
    <x v="36"/>
    <n v="53330"/>
    <x v="1"/>
    <s v="53"/>
    <s v="533"/>
    <x v="1657"/>
    <s v="Counseling &amp; Guidance : Medicare Teaching"/>
    <n v="1541.19"/>
  </r>
  <r>
    <x v="2"/>
    <s v="11-400-00-631000-53340"/>
    <x v="0"/>
    <n v="400"/>
    <n v="0"/>
    <x v="36"/>
    <n v="53340"/>
    <x v="1"/>
    <s v="53"/>
    <s v="533"/>
    <x v="1658"/>
    <s v="Counseling &amp; Guidance : Medicare Nonteaching"/>
    <n v="11044.51"/>
  </r>
  <r>
    <x v="2"/>
    <s v="11-400-00-631000-53410"/>
    <x v="0"/>
    <n v="400"/>
    <n v="0"/>
    <x v="36"/>
    <n v="53410"/>
    <x v="1"/>
    <s v="53"/>
    <s v="534"/>
    <x v="1659"/>
    <s v="Counseling &amp; Guidance : H &amp; W Teaching"/>
    <n v="941.28"/>
  </r>
  <r>
    <x v="2"/>
    <s v="11-400-00-631000-53420"/>
    <x v="0"/>
    <n v="400"/>
    <n v="0"/>
    <x v="36"/>
    <n v="53420"/>
    <x v="1"/>
    <s v="53"/>
    <s v="534"/>
    <x v="1660"/>
    <s v="Counseling &amp; Guidance : H &amp; W Nonteaching"/>
    <n v="120142.95"/>
  </r>
  <r>
    <x v="2"/>
    <s v="11-400-00-631000-53510"/>
    <x v="0"/>
    <n v="400"/>
    <n v="0"/>
    <x v="36"/>
    <n v="53510"/>
    <x v="1"/>
    <s v="53"/>
    <s v="535"/>
    <x v="1661"/>
    <s v="Counseling &amp; Guidance : SUI Teaching"/>
    <n v="53.05"/>
  </r>
  <r>
    <x v="2"/>
    <s v="11-400-00-631000-53520"/>
    <x v="0"/>
    <n v="400"/>
    <n v="0"/>
    <x v="36"/>
    <n v="53520"/>
    <x v="1"/>
    <s v="53"/>
    <s v="535"/>
    <x v="1662"/>
    <s v="Counseling &amp; Guidance : SUI Nonteaching"/>
    <n v="381.9"/>
  </r>
  <r>
    <x v="2"/>
    <s v="11-400-00-631000-53610"/>
    <x v="0"/>
    <n v="400"/>
    <n v="0"/>
    <x v="36"/>
    <n v="53610"/>
    <x v="1"/>
    <s v="53"/>
    <s v="536"/>
    <x v="1663"/>
    <s v="Counseling &amp; Guidance : WC Teaching"/>
    <n v="2009.31"/>
  </r>
  <r>
    <x v="2"/>
    <s v="11-400-00-631000-53620"/>
    <x v="0"/>
    <n v="400"/>
    <n v="0"/>
    <x v="36"/>
    <n v="53620"/>
    <x v="1"/>
    <s v="53"/>
    <s v="536"/>
    <x v="1664"/>
    <s v="Counseling &amp; Guidance : WC Nonteaching"/>
    <n v="14463.53"/>
  </r>
  <r>
    <x v="2"/>
    <s v="11-400-00-631000-53920"/>
    <x v="0"/>
    <n v="400"/>
    <n v="0"/>
    <x v="36"/>
    <n v="53920"/>
    <x v="1"/>
    <s v="53"/>
    <s v="539"/>
    <x v="1665"/>
    <s v="Counseling &amp; Guidance : Other Benefit-Non Teaching"/>
    <n v="4723.54"/>
  </r>
  <r>
    <x v="2"/>
    <s v="11-400-00-631000-54300"/>
    <x v="0"/>
    <n v="400"/>
    <n v="0"/>
    <x v="36"/>
    <n v="54300"/>
    <x v="1"/>
    <s v="54"/>
    <s v="543"/>
    <x v="1666"/>
    <s v="Counseling &amp; Guidance : Supplies &amp; Materials"/>
    <n v="0"/>
  </r>
  <r>
    <x v="2"/>
    <s v="11-400-00-631000-55630"/>
    <x v="0"/>
    <n v="400"/>
    <n v="0"/>
    <x v="36"/>
    <n v="55630"/>
    <x v="1"/>
    <s v="55"/>
    <s v="556"/>
    <x v="1667"/>
    <s v="Counseling &amp; Guidance : Printing &amp; Duplicating - Inhouse"/>
    <n v="282.23"/>
  </r>
  <r>
    <x v="2"/>
    <s v="11-400-00-631020-52360"/>
    <x v="0"/>
    <n v="400"/>
    <n v="0"/>
    <x v="102"/>
    <n v="52360"/>
    <x v="1"/>
    <s v="52"/>
    <s v="523"/>
    <x v="1668"/>
    <s v="Crisis Counseling : Class Nonstu NonIA PT Prof Exp"/>
    <n v="119337.5"/>
  </r>
  <r>
    <x v="2"/>
    <s v="11-400-00-631020-53120"/>
    <x v="0"/>
    <n v="400"/>
    <n v="0"/>
    <x v="102"/>
    <n v="53120"/>
    <x v="1"/>
    <s v="53"/>
    <s v="531"/>
    <x v="1669"/>
    <s v="Crisis Counseling : STRS Nonteaching"/>
    <n v="254.37"/>
  </r>
  <r>
    <x v="2"/>
    <s v="11-400-00-631020-53220"/>
    <x v="0"/>
    <n v="400"/>
    <n v="0"/>
    <x v="102"/>
    <n v="53220"/>
    <x v="1"/>
    <s v="53"/>
    <s v="532"/>
    <x v="1670"/>
    <s v="Crisis Counseling : PERS Nonteaching"/>
    <n v="8306.14"/>
  </r>
  <r>
    <x v="2"/>
    <s v="11-400-00-631020-53320"/>
    <x v="0"/>
    <n v="400"/>
    <n v="0"/>
    <x v="102"/>
    <n v="53320"/>
    <x v="1"/>
    <s v="53"/>
    <s v="533"/>
    <x v="1671"/>
    <s v="Crisis Counseling : OASDHI (FICA) Nonteaching"/>
    <n v="6840.95"/>
  </r>
  <r>
    <x v="2"/>
    <s v="11-400-00-631020-53340"/>
    <x v="0"/>
    <n v="400"/>
    <n v="0"/>
    <x v="102"/>
    <n v="53340"/>
    <x v="1"/>
    <s v="53"/>
    <s v="533"/>
    <x v="1672"/>
    <s v="Crisis Counseling : Medicare Nonteaching"/>
    <n v="1730.45"/>
  </r>
  <r>
    <x v="2"/>
    <s v="11-400-00-631020-53420"/>
    <x v="0"/>
    <n v="400"/>
    <n v="0"/>
    <x v="102"/>
    <n v="53420"/>
    <x v="1"/>
    <s v="53"/>
    <s v="534"/>
    <x v="1673"/>
    <s v="Crisis Counseling : H &amp; W Nonteaching"/>
    <n v="144.68"/>
  </r>
  <r>
    <x v="2"/>
    <s v="11-400-00-631020-53520"/>
    <x v="0"/>
    <n v="400"/>
    <n v="0"/>
    <x v="102"/>
    <n v="53520"/>
    <x v="1"/>
    <s v="53"/>
    <s v="535"/>
    <x v="1674"/>
    <s v="Crisis Counseling : SUI Nonteaching"/>
    <n v="59.75"/>
  </r>
  <r>
    <x v="2"/>
    <s v="11-400-00-631020-53620"/>
    <x v="0"/>
    <n v="400"/>
    <n v="0"/>
    <x v="102"/>
    <n v="53620"/>
    <x v="1"/>
    <s v="53"/>
    <s v="536"/>
    <x v="1675"/>
    <s v="Crisis Counseling : WC Nonteaching"/>
    <n v="2256.4499999999998"/>
  </r>
  <r>
    <x v="2"/>
    <s v="11-400-00-631020-55630"/>
    <x v="0"/>
    <n v="400"/>
    <n v="0"/>
    <x v="102"/>
    <n v="55630"/>
    <x v="1"/>
    <s v="55"/>
    <s v="556"/>
    <x v="1676"/>
    <s v="Crisis Counseling : Printing &amp; Duplicating - Inhouse"/>
    <n v="53.14"/>
  </r>
  <r>
    <x v="2"/>
    <s v="11-400-00-633050-52310"/>
    <x v="0"/>
    <n v="400"/>
    <n v="0"/>
    <x v="103"/>
    <n v="52310"/>
    <x v="1"/>
    <s v="52"/>
    <s v="523"/>
    <x v="1677"/>
    <s v="Transfer Center : Classified Student FWS Non-IA"/>
    <n v="0"/>
  </r>
  <r>
    <x v="2"/>
    <s v="11-400-00-633050-53620"/>
    <x v="0"/>
    <n v="400"/>
    <n v="0"/>
    <x v="103"/>
    <n v="53620"/>
    <x v="1"/>
    <s v="53"/>
    <s v="536"/>
    <x v="1678"/>
    <s v="Transfer Center : WC Nonteaching"/>
    <n v="0"/>
  </r>
  <r>
    <x v="2"/>
    <s v="11-400-00-634000-51200"/>
    <x v="0"/>
    <n v="400"/>
    <n v="0"/>
    <x v="104"/>
    <n v="51200"/>
    <x v="1"/>
    <s v="51"/>
    <s v="512"/>
    <x v="1679"/>
    <s v="Career Center : Academic Nonteaching Full-time"/>
    <n v="75394.710000000006"/>
  </r>
  <r>
    <x v="2"/>
    <s v="11-400-00-634000-52105"/>
    <x v="0"/>
    <n v="400"/>
    <n v="0"/>
    <x v="104"/>
    <n v="52105"/>
    <x v="1"/>
    <s v="52"/>
    <s v="521"/>
    <x v="1680"/>
    <s v="Career Center : Classified CSEA"/>
    <n v="31659.599999999999"/>
  </r>
  <r>
    <x v="2"/>
    <s v="11-400-00-634000-52300"/>
    <x v="0"/>
    <n v="400"/>
    <n v="0"/>
    <x v="104"/>
    <n v="52300"/>
    <x v="1"/>
    <s v="52"/>
    <s v="523"/>
    <x v="1681"/>
    <s v="Career Center : Classified Overtime"/>
    <n v="20.88"/>
  </r>
  <r>
    <x v="2"/>
    <s v="11-400-00-634000-53120"/>
    <x v="0"/>
    <n v="400"/>
    <n v="0"/>
    <x v="104"/>
    <n v="53120"/>
    <x v="1"/>
    <s v="53"/>
    <s v="531"/>
    <x v="1682"/>
    <s v="Career Center : STRS Nonteaching"/>
    <n v="12176.28"/>
  </r>
  <r>
    <x v="2"/>
    <s v="11-400-00-634000-53220"/>
    <x v="0"/>
    <n v="400"/>
    <n v="0"/>
    <x v="104"/>
    <n v="53220"/>
    <x v="1"/>
    <s v="53"/>
    <s v="532"/>
    <x v="1683"/>
    <s v="Career Center : PERS Nonteaching"/>
    <n v="6187.58"/>
  </r>
  <r>
    <x v="2"/>
    <s v="11-400-00-634000-53320"/>
    <x v="0"/>
    <n v="400"/>
    <n v="0"/>
    <x v="104"/>
    <n v="53320"/>
    <x v="1"/>
    <s v="53"/>
    <s v="533"/>
    <x v="1684"/>
    <s v="Career Center : OASDHI (FICA) Nonteaching"/>
    <n v="1967.04"/>
  </r>
  <r>
    <x v="2"/>
    <s v="11-400-00-634000-53340"/>
    <x v="0"/>
    <n v="400"/>
    <n v="0"/>
    <x v="104"/>
    <n v="53340"/>
    <x v="1"/>
    <s v="53"/>
    <s v="533"/>
    <x v="1685"/>
    <s v="Career Center : Medicare Nonteaching"/>
    <n v="1553.97"/>
  </r>
  <r>
    <x v="2"/>
    <s v="11-400-00-634000-53420"/>
    <x v="0"/>
    <n v="400"/>
    <n v="0"/>
    <x v="104"/>
    <n v="53420"/>
    <x v="1"/>
    <s v="53"/>
    <s v="534"/>
    <x v="1686"/>
    <s v="Career Center : H &amp; W Nonteaching"/>
    <n v="23747.01"/>
  </r>
  <r>
    <x v="2"/>
    <s v="11-400-00-634000-53520"/>
    <x v="0"/>
    <n v="400"/>
    <n v="0"/>
    <x v="104"/>
    <n v="53520"/>
    <x v="1"/>
    <s v="53"/>
    <s v="535"/>
    <x v="1687"/>
    <s v="Career Center : SUI Nonteaching"/>
    <n v="53.53"/>
  </r>
  <r>
    <x v="2"/>
    <s v="11-400-00-634000-53620"/>
    <x v="0"/>
    <n v="400"/>
    <n v="0"/>
    <x v="104"/>
    <n v="53620"/>
    <x v="1"/>
    <s v="53"/>
    <s v="536"/>
    <x v="1688"/>
    <s v="Career Center : WC Nonteaching"/>
    <n v="2026.72"/>
  </r>
  <r>
    <x v="2"/>
    <s v="11-400-00-634000-53920"/>
    <x v="0"/>
    <n v="400"/>
    <n v="0"/>
    <x v="104"/>
    <n v="53920"/>
    <x v="1"/>
    <s v="53"/>
    <s v="539"/>
    <x v="1689"/>
    <s v="Career Center : Other Benefit-Non Teaching"/>
    <n v="3145.44"/>
  </r>
  <r>
    <x v="2"/>
    <s v="11-400-00-634000-54300"/>
    <x v="0"/>
    <n v="400"/>
    <n v="0"/>
    <x v="104"/>
    <n v="54300"/>
    <x v="1"/>
    <s v="54"/>
    <s v="543"/>
    <x v="1690"/>
    <s v="Career Center : Supplies &amp; Materials"/>
    <n v="0"/>
  </r>
  <r>
    <x v="2"/>
    <s v="11-400-00-634000-55200"/>
    <x v="0"/>
    <n v="400"/>
    <n v="0"/>
    <x v="104"/>
    <n v="55200"/>
    <x v="1"/>
    <s v="55"/>
    <s v="552"/>
    <x v="1691"/>
    <s v="Career Center : Travel &amp; Conference"/>
    <n v="0"/>
  </r>
  <r>
    <x v="2"/>
    <s v="11-400-00-634000-55630"/>
    <x v="0"/>
    <n v="400"/>
    <n v="0"/>
    <x v="104"/>
    <n v="55630"/>
    <x v="1"/>
    <s v="55"/>
    <s v="556"/>
    <x v="1692"/>
    <s v="Career Center : Printing &amp; Duplicating - Inhouse"/>
    <n v="97.43"/>
  </r>
  <r>
    <x v="2"/>
    <s v="11-400-00-649000-55105"/>
    <x v="0"/>
    <n v="400"/>
    <n v="0"/>
    <x v="105"/>
    <n v="55105"/>
    <x v="1"/>
    <s v="55"/>
    <s v="551"/>
    <x v="1693"/>
    <s v="Miscellaneous Student Services : Contract Services"/>
    <n v="0"/>
  </r>
  <r>
    <x v="2"/>
    <s v="11-400-00-649000-55200"/>
    <x v="0"/>
    <n v="400"/>
    <n v="0"/>
    <x v="105"/>
    <n v="55200"/>
    <x v="1"/>
    <s v="55"/>
    <s v="552"/>
    <x v="1694"/>
    <s v="Miscellaneous Student Services : Travel &amp; Conference"/>
    <n v="0"/>
  </r>
  <r>
    <x v="2"/>
    <s v="11-400-00-665000-51210"/>
    <x v="0"/>
    <n v="400"/>
    <n v="0"/>
    <x v="106"/>
    <n v="51210"/>
    <x v="1"/>
    <s v="51"/>
    <s v="512"/>
    <x v="1695"/>
    <s v="Student Services Administration : Academic Nonteaching Management"/>
    <n v="143585.9"/>
  </r>
  <r>
    <x v="2"/>
    <s v="11-400-00-665000-52120"/>
    <x v="0"/>
    <n v="400"/>
    <n v="0"/>
    <x v="106"/>
    <n v="52120"/>
    <x v="1"/>
    <s v="52"/>
    <s v="521"/>
    <x v="1696"/>
    <s v="Student Services Administration : Classified Confidential"/>
    <n v="59900"/>
  </r>
  <r>
    <x v="2"/>
    <s v="11-400-00-665000-52300"/>
    <x v="0"/>
    <n v="400"/>
    <n v="0"/>
    <x v="106"/>
    <n v="52300"/>
    <x v="1"/>
    <s v="52"/>
    <s v="523"/>
    <x v="1697"/>
    <s v="Student Services Administration : Classified Overtime"/>
    <n v="13.02"/>
  </r>
  <r>
    <x v="2"/>
    <s v="11-400-00-665000-52360"/>
    <x v="0"/>
    <n v="400"/>
    <n v="0"/>
    <x v="106"/>
    <n v="52360"/>
    <x v="1"/>
    <s v="52"/>
    <s v="523"/>
    <x v="1698"/>
    <s v="Student Services Administration : Class Nonstu NonIA PT Prof Exp"/>
    <n v="32130"/>
  </r>
  <r>
    <x v="2"/>
    <s v="11-400-00-665000-53120"/>
    <x v="0"/>
    <n v="400"/>
    <n v="0"/>
    <x v="106"/>
    <n v="53120"/>
    <x v="1"/>
    <s v="53"/>
    <s v="531"/>
    <x v="1699"/>
    <s v="Student Services Administration : STRS Nonteaching"/>
    <n v="23189.1"/>
  </r>
  <r>
    <x v="2"/>
    <s v="11-400-00-665000-53220"/>
    <x v="0"/>
    <n v="400"/>
    <n v="0"/>
    <x v="106"/>
    <n v="53220"/>
    <x v="1"/>
    <s v="53"/>
    <s v="532"/>
    <x v="1700"/>
    <s v="Student Services Administration : PERS Nonteaching"/>
    <n v="12399.3"/>
  </r>
  <r>
    <x v="2"/>
    <s v="11-400-00-665000-53320"/>
    <x v="0"/>
    <n v="400"/>
    <n v="0"/>
    <x v="106"/>
    <n v="53320"/>
    <x v="1"/>
    <s v="53"/>
    <s v="533"/>
    <x v="1701"/>
    <s v="Student Services Administration : OASDHI (FICA) Nonteaching"/>
    <n v="3717.6"/>
  </r>
  <r>
    <x v="2"/>
    <s v="11-400-00-665000-53340"/>
    <x v="0"/>
    <n v="400"/>
    <n v="0"/>
    <x v="106"/>
    <n v="53340"/>
    <x v="1"/>
    <s v="53"/>
    <s v="533"/>
    <x v="1702"/>
    <s v="Student Services Administration : Medicare Nonteaching"/>
    <n v="3403.46"/>
  </r>
  <r>
    <x v="2"/>
    <s v="11-400-00-665000-53420"/>
    <x v="0"/>
    <n v="400"/>
    <n v="0"/>
    <x v="106"/>
    <n v="53420"/>
    <x v="1"/>
    <s v="53"/>
    <s v="534"/>
    <x v="1703"/>
    <s v="Student Services Administration : H &amp; W Nonteaching"/>
    <n v="37732.720000000001"/>
  </r>
  <r>
    <x v="2"/>
    <s v="11-400-00-665000-53520"/>
    <x v="0"/>
    <n v="400"/>
    <n v="0"/>
    <x v="106"/>
    <n v="53520"/>
    <x v="1"/>
    <s v="53"/>
    <s v="535"/>
    <x v="1704"/>
    <s v="Student Services Administration : SUI Nonteaching"/>
    <n v="117.49"/>
  </r>
  <r>
    <x v="2"/>
    <s v="11-400-00-665000-53620"/>
    <x v="0"/>
    <n v="400"/>
    <n v="0"/>
    <x v="106"/>
    <n v="53620"/>
    <x v="1"/>
    <s v="53"/>
    <s v="536"/>
    <x v="1705"/>
    <s v="Student Services Administration : WC Nonteaching"/>
    <n v="4455.25"/>
  </r>
  <r>
    <x v="2"/>
    <s v="11-400-00-665000-53920"/>
    <x v="0"/>
    <n v="400"/>
    <n v="0"/>
    <x v="106"/>
    <n v="53920"/>
    <x v="1"/>
    <s v="53"/>
    <s v="539"/>
    <x v="1706"/>
    <s v="Student Services Administration : Other Benefit-Non Teaching"/>
    <n v="3600"/>
  </r>
  <r>
    <x v="2"/>
    <s v="11-400-00-665000-54300"/>
    <x v="0"/>
    <n v="400"/>
    <n v="0"/>
    <x v="106"/>
    <n v="54300"/>
    <x v="1"/>
    <s v="54"/>
    <s v="543"/>
    <x v="1707"/>
    <s v="Student Services Administration : Supplies &amp; Materials"/>
    <n v="0"/>
  </r>
  <r>
    <x v="2"/>
    <s v="11-400-00-665000-55100"/>
    <x v="0"/>
    <n v="400"/>
    <n v="0"/>
    <x v="106"/>
    <n v="55100"/>
    <x v="1"/>
    <s v="55"/>
    <s v="551"/>
    <x v="1708"/>
    <s v="Student Services Administration : Personal Service Contract - 1099"/>
    <n v="200"/>
  </r>
  <r>
    <x v="2"/>
    <s v="11-400-00-665000-55105"/>
    <x v="0"/>
    <n v="400"/>
    <n v="0"/>
    <x v="106"/>
    <n v="55105"/>
    <x v="1"/>
    <s v="55"/>
    <s v="551"/>
    <x v="1709"/>
    <s v="Student Services Administration : Contract Services"/>
    <n v="0"/>
  </r>
  <r>
    <x v="2"/>
    <s v="11-400-00-665000-55200"/>
    <x v="0"/>
    <n v="400"/>
    <n v="0"/>
    <x v="106"/>
    <n v="55200"/>
    <x v="1"/>
    <s v="55"/>
    <s v="552"/>
    <x v="1710"/>
    <s v="Student Services Administration : Travel &amp; Conference"/>
    <n v="565"/>
  </r>
  <r>
    <x v="2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2"/>
    <s v="11-400-00-665000-55400"/>
    <x v="0"/>
    <n v="400"/>
    <n v="0"/>
    <x v="106"/>
    <n v="55400"/>
    <x v="1"/>
    <s v="55"/>
    <s v="554"/>
    <x v="1712"/>
    <s v="Student Services Administration : Insurance"/>
    <n v="117067"/>
  </r>
  <r>
    <x v="2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71.19"/>
  </r>
  <r>
    <x v="2"/>
    <s v="11-400-00-696000-52105"/>
    <x v="0"/>
    <n v="400"/>
    <n v="0"/>
    <x v="100"/>
    <n v="52105"/>
    <x v="1"/>
    <s v="52"/>
    <s v="521"/>
    <x v="1714"/>
    <s v="Student Activities : Classified CSEA"/>
    <n v="23187.040000000001"/>
  </r>
  <r>
    <x v="2"/>
    <s v="11-400-00-696000-52130"/>
    <x v="0"/>
    <n v="400"/>
    <n v="0"/>
    <x v="100"/>
    <n v="52130"/>
    <x v="1"/>
    <s v="52"/>
    <s v="521"/>
    <x v="1715"/>
    <s v="Student Activities : Classified Management"/>
    <n v="92518.399999999994"/>
  </r>
  <r>
    <x v="2"/>
    <s v="11-400-00-696000-52300"/>
    <x v="0"/>
    <n v="400"/>
    <n v="0"/>
    <x v="100"/>
    <n v="52300"/>
    <x v="1"/>
    <s v="52"/>
    <s v="523"/>
    <x v="1716"/>
    <s v="Student Activities : Classified Overtime"/>
    <n v="33.76"/>
  </r>
  <r>
    <x v="2"/>
    <s v="11-400-00-696000-53220"/>
    <x v="0"/>
    <n v="400"/>
    <n v="0"/>
    <x v="100"/>
    <n v="53220"/>
    <x v="1"/>
    <s v="53"/>
    <s v="532"/>
    <x v="1717"/>
    <s v="Student Activities : PERS Nonteaching"/>
    <n v="23905.42"/>
  </r>
  <r>
    <x v="2"/>
    <s v="11-400-00-696000-53320"/>
    <x v="0"/>
    <n v="400"/>
    <n v="0"/>
    <x v="100"/>
    <n v="53320"/>
    <x v="1"/>
    <s v="53"/>
    <s v="533"/>
    <x v="1718"/>
    <s v="Student Activities : OASDHI (FICA) Nonteaching"/>
    <n v="7064.28"/>
  </r>
  <r>
    <x v="2"/>
    <s v="11-400-00-696000-53340"/>
    <x v="0"/>
    <n v="400"/>
    <n v="0"/>
    <x v="100"/>
    <n v="53340"/>
    <x v="1"/>
    <s v="53"/>
    <s v="533"/>
    <x v="1719"/>
    <s v="Student Activities : Medicare Nonteaching"/>
    <n v="1652.11"/>
  </r>
  <r>
    <x v="2"/>
    <s v="11-400-00-696000-53420"/>
    <x v="0"/>
    <n v="400"/>
    <n v="0"/>
    <x v="100"/>
    <n v="53420"/>
    <x v="1"/>
    <s v="53"/>
    <s v="534"/>
    <x v="1720"/>
    <s v="Student Activities : H &amp; W Nonteaching"/>
    <n v="32742.28"/>
  </r>
  <r>
    <x v="2"/>
    <s v="11-400-00-696000-53520"/>
    <x v="0"/>
    <n v="400"/>
    <n v="0"/>
    <x v="100"/>
    <n v="53520"/>
    <x v="1"/>
    <s v="53"/>
    <s v="535"/>
    <x v="1721"/>
    <s v="Student Activities : SUI Nonteaching"/>
    <n v="57.38"/>
  </r>
  <r>
    <x v="2"/>
    <s v="11-400-00-696000-53620"/>
    <x v="0"/>
    <n v="400"/>
    <n v="0"/>
    <x v="100"/>
    <n v="53620"/>
    <x v="1"/>
    <s v="53"/>
    <s v="536"/>
    <x v="1722"/>
    <s v="Student Activities : WC Nonteaching"/>
    <n v="2189.58"/>
  </r>
  <r>
    <x v="2"/>
    <s v="11-400-00-696000-53920"/>
    <x v="0"/>
    <n v="400"/>
    <n v="0"/>
    <x v="100"/>
    <n v="53920"/>
    <x v="1"/>
    <s v="53"/>
    <s v="539"/>
    <x v="1723"/>
    <s v="Student Activities : Other Benefit-Non Teaching"/>
    <n v="0"/>
  </r>
  <r>
    <x v="2"/>
    <s v="11-400-00-696000-54300"/>
    <x v="0"/>
    <n v="400"/>
    <n v="0"/>
    <x v="100"/>
    <n v="54300"/>
    <x v="1"/>
    <s v="54"/>
    <s v="543"/>
    <x v="1724"/>
    <s v="Student Activities : Supplies &amp; Materials"/>
    <n v="0"/>
  </r>
  <r>
    <x v="2"/>
    <s v="11-400-00-696000-55630"/>
    <x v="0"/>
    <n v="400"/>
    <n v="0"/>
    <x v="100"/>
    <n v="55630"/>
    <x v="1"/>
    <s v="55"/>
    <s v="556"/>
    <x v="1725"/>
    <s v="Student Activities : Printing &amp; Duplicating - Inhouse"/>
    <n v="34.14"/>
  </r>
  <r>
    <x v="2"/>
    <s v="11-400-00-703602-51200"/>
    <x v="0"/>
    <n v="400"/>
    <n v="0"/>
    <x v="107"/>
    <n v="51200"/>
    <x v="1"/>
    <s v="51"/>
    <s v="512"/>
    <x v="1726"/>
    <s v="First 5 ECE Counselors : Academic Nonteaching Full-time"/>
    <n v="12047.58"/>
  </r>
  <r>
    <x v="2"/>
    <s v="11-400-00-703602-53120"/>
    <x v="0"/>
    <n v="400"/>
    <n v="0"/>
    <x v="107"/>
    <n v="53120"/>
    <x v="1"/>
    <s v="53"/>
    <s v="531"/>
    <x v="1727"/>
    <s v="First 5 ECE Counselors : STRS Nonteaching"/>
    <n v="1945.71"/>
  </r>
  <r>
    <x v="2"/>
    <s v="11-400-00-703602-53340"/>
    <x v="0"/>
    <n v="400"/>
    <n v="0"/>
    <x v="107"/>
    <n v="53340"/>
    <x v="1"/>
    <s v="53"/>
    <s v="533"/>
    <x v="1728"/>
    <s v="First 5 ECE Counselors : Medicare Nonteaching"/>
    <n v="173.07"/>
  </r>
  <r>
    <x v="2"/>
    <s v="11-400-00-703602-53420"/>
    <x v="0"/>
    <n v="400"/>
    <n v="0"/>
    <x v="107"/>
    <n v="53420"/>
    <x v="1"/>
    <s v="53"/>
    <s v="534"/>
    <x v="1729"/>
    <s v="First 5 ECE Counselors : H &amp; W Nonteaching"/>
    <n v="3733.21"/>
  </r>
  <r>
    <x v="2"/>
    <s v="11-400-00-703602-53520"/>
    <x v="0"/>
    <n v="400"/>
    <n v="0"/>
    <x v="107"/>
    <n v="53520"/>
    <x v="1"/>
    <s v="53"/>
    <s v="535"/>
    <x v="1730"/>
    <s v="First 5 ECE Counselors : SUI Nonteaching"/>
    <n v="6.03"/>
  </r>
  <r>
    <x v="2"/>
    <s v="11-400-00-703602-53620"/>
    <x v="0"/>
    <n v="400"/>
    <n v="0"/>
    <x v="107"/>
    <n v="53620"/>
    <x v="1"/>
    <s v="53"/>
    <s v="536"/>
    <x v="1731"/>
    <s v="First 5 ECE Counselors : WC Nonteaching"/>
    <n v="227.79"/>
  </r>
  <r>
    <x v="2"/>
    <s v="11-400-01-130500-52105"/>
    <x v="0"/>
    <n v="400"/>
    <n v="1"/>
    <x v="18"/>
    <n v="52105"/>
    <x v="1"/>
    <s v="52"/>
    <s v="521"/>
    <x v="1732"/>
    <s v="Early Childhood Education : Classified CSEA"/>
    <n v="7181.86"/>
  </r>
  <r>
    <x v="2"/>
    <s v="11-400-01-130500-53220"/>
    <x v="0"/>
    <n v="400"/>
    <n v="1"/>
    <x v="18"/>
    <n v="53220"/>
    <x v="1"/>
    <s v="53"/>
    <s v="532"/>
    <x v="1733"/>
    <s v="Early Childhood Education : PERS Nonteaching"/>
    <n v="1486.6"/>
  </r>
  <r>
    <x v="2"/>
    <s v="11-400-01-130500-53320"/>
    <x v="0"/>
    <n v="400"/>
    <n v="1"/>
    <x v="18"/>
    <n v="53320"/>
    <x v="1"/>
    <s v="53"/>
    <s v="533"/>
    <x v="1734"/>
    <s v="Early Childhood Education : OASDHI (FICA) Nonteaching"/>
    <n v="438.92"/>
  </r>
  <r>
    <x v="2"/>
    <s v="11-400-01-130500-53340"/>
    <x v="0"/>
    <n v="400"/>
    <n v="1"/>
    <x v="18"/>
    <n v="53340"/>
    <x v="1"/>
    <s v="53"/>
    <s v="533"/>
    <x v="1735"/>
    <s v="Early Childhood Education : Medicare Nonteaching"/>
    <n v="102.7"/>
  </r>
  <r>
    <x v="2"/>
    <s v="11-400-01-130500-53420"/>
    <x v="0"/>
    <n v="400"/>
    <n v="1"/>
    <x v="18"/>
    <n v="53420"/>
    <x v="1"/>
    <s v="53"/>
    <s v="534"/>
    <x v="1736"/>
    <s v="Early Childhood Education : H &amp; W Nonteaching"/>
    <n v="2061.77"/>
  </r>
  <r>
    <x v="2"/>
    <s v="11-400-01-130500-53520"/>
    <x v="0"/>
    <n v="400"/>
    <n v="1"/>
    <x v="18"/>
    <n v="53520"/>
    <x v="1"/>
    <s v="53"/>
    <s v="535"/>
    <x v="1737"/>
    <s v="Early Childhood Education : SUI Nonteaching"/>
    <n v="3.49"/>
  </r>
  <r>
    <x v="2"/>
    <s v="11-400-01-130500-53620"/>
    <x v="0"/>
    <n v="400"/>
    <n v="1"/>
    <x v="18"/>
    <n v="53620"/>
    <x v="1"/>
    <s v="53"/>
    <s v="536"/>
    <x v="1738"/>
    <s v="Early Childhood Education : WC Nonteaching"/>
    <n v="135.78"/>
  </r>
  <r>
    <x v="2"/>
    <s v="11-410-00-620000-48885"/>
    <x v="0"/>
    <n v="410"/>
    <n v="0"/>
    <x v="108"/>
    <n v="48885"/>
    <x v="0"/>
    <s v="48"/>
    <s v="488"/>
    <x v="1739"/>
    <s v="Admissions &amp; Records : Other Student Fees &amp; Charges"/>
    <n v="-20"/>
  </r>
  <r>
    <x v="2"/>
    <s v="11-410-00-620000-52105"/>
    <x v="0"/>
    <n v="410"/>
    <n v="0"/>
    <x v="108"/>
    <n v="52105"/>
    <x v="1"/>
    <s v="52"/>
    <s v="521"/>
    <x v="1740"/>
    <s v="Admissions &amp; Records : Classified CSEA"/>
    <n v="342236.97"/>
  </r>
  <r>
    <x v="2"/>
    <s v="11-410-00-620000-52130"/>
    <x v="0"/>
    <n v="410"/>
    <n v="0"/>
    <x v="108"/>
    <n v="52130"/>
    <x v="1"/>
    <s v="52"/>
    <s v="521"/>
    <x v="1741"/>
    <s v="Admissions &amp; Records : Classified Management"/>
    <n v="57503.73"/>
  </r>
  <r>
    <x v="2"/>
    <s v="11-410-00-620000-52300"/>
    <x v="0"/>
    <n v="410"/>
    <n v="0"/>
    <x v="108"/>
    <n v="52300"/>
    <x v="1"/>
    <s v="52"/>
    <s v="523"/>
    <x v="1742"/>
    <s v="Admissions &amp; Records : Classified Overtime"/>
    <n v="92.28"/>
  </r>
  <r>
    <x v="2"/>
    <s v="11-410-00-620000-52360"/>
    <x v="0"/>
    <n v="410"/>
    <n v="0"/>
    <x v="108"/>
    <n v="52360"/>
    <x v="1"/>
    <s v="52"/>
    <s v="523"/>
    <x v="1743"/>
    <s v="Admissions &amp; Records : Class Nonstu NonIA PT Prof Exp"/>
    <n v="12086.04"/>
  </r>
  <r>
    <x v="2"/>
    <s v="11-410-00-620000-53220"/>
    <x v="0"/>
    <n v="410"/>
    <n v="0"/>
    <x v="108"/>
    <n v="53220"/>
    <x v="1"/>
    <s v="53"/>
    <s v="532"/>
    <x v="1744"/>
    <s v="Admissions &amp; Records : PERS Nonteaching"/>
    <n v="82435.55"/>
  </r>
  <r>
    <x v="2"/>
    <s v="11-410-00-620000-53320"/>
    <x v="0"/>
    <n v="410"/>
    <n v="0"/>
    <x v="108"/>
    <n v="53320"/>
    <x v="1"/>
    <s v="53"/>
    <s v="533"/>
    <x v="1745"/>
    <s v="Admissions &amp; Records : OASDHI (FICA) Nonteaching"/>
    <n v="25208.26"/>
  </r>
  <r>
    <x v="2"/>
    <s v="11-410-00-620000-53340"/>
    <x v="0"/>
    <n v="410"/>
    <n v="0"/>
    <x v="108"/>
    <n v="53340"/>
    <x v="1"/>
    <s v="53"/>
    <s v="533"/>
    <x v="1746"/>
    <s v="Admissions &amp; Records : Medicare Nonteaching"/>
    <n v="5895.46"/>
  </r>
  <r>
    <x v="2"/>
    <s v="11-410-00-620000-53420"/>
    <x v="0"/>
    <n v="410"/>
    <n v="0"/>
    <x v="108"/>
    <n v="53420"/>
    <x v="1"/>
    <s v="53"/>
    <s v="534"/>
    <x v="1747"/>
    <s v="Admissions &amp; Records : H &amp; W Nonteaching"/>
    <n v="137046.41"/>
  </r>
  <r>
    <x v="2"/>
    <s v="11-410-00-620000-53520"/>
    <x v="0"/>
    <n v="410"/>
    <n v="0"/>
    <x v="108"/>
    <n v="53520"/>
    <x v="1"/>
    <s v="53"/>
    <s v="535"/>
    <x v="1748"/>
    <s v="Admissions &amp; Records : SUI Nonteaching"/>
    <n v="205.51"/>
  </r>
  <r>
    <x v="2"/>
    <s v="11-410-00-620000-53620"/>
    <x v="0"/>
    <n v="410"/>
    <n v="0"/>
    <x v="108"/>
    <n v="53620"/>
    <x v="1"/>
    <s v="53"/>
    <s v="536"/>
    <x v="1749"/>
    <s v="Admissions &amp; Records : WC Nonteaching"/>
    <n v="7805.23"/>
  </r>
  <r>
    <x v="2"/>
    <s v="11-410-00-620000-53920"/>
    <x v="0"/>
    <n v="410"/>
    <n v="0"/>
    <x v="108"/>
    <n v="53920"/>
    <x v="1"/>
    <s v="53"/>
    <s v="539"/>
    <x v="1750"/>
    <s v="Admissions &amp; Records : Other Benefit-Non Teaching"/>
    <n v="1799.99"/>
  </r>
  <r>
    <x v="2"/>
    <s v="11-410-00-620000-54300"/>
    <x v="0"/>
    <n v="410"/>
    <n v="0"/>
    <x v="108"/>
    <n v="54300"/>
    <x v="1"/>
    <s v="54"/>
    <s v="543"/>
    <x v="1751"/>
    <s v="Admissions &amp; Records : Supplies &amp; Materials"/>
    <n v="1539.87"/>
  </r>
  <r>
    <x v="2"/>
    <s v="11-410-00-620000-55200"/>
    <x v="0"/>
    <n v="410"/>
    <n v="0"/>
    <x v="108"/>
    <n v="55200"/>
    <x v="1"/>
    <s v="55"/>
    <s v="552"/>
    <x v="1752"/>
    <s v="Admissions &amp; Records : Travel &amp; Conference"/>
    <n v="50"/>
  </r>
  <r>
    <x v="2"/>
    <s v="11-410-00-620000-55300"/>
    <x v="0"/>
    <n v="410"/>
    <n v="0"/>
    <x v="108"/>
    <n v="55300"/>
    <x v="1"/>
    <s v="55"/>
    <s v="553"/>
    <x v="1753"/>
    <s v="Admissions &amp; Records : Memberships"/>
    <n v="300"/>
  </r>
  <r>
    <x v="2"/>
    <s v="11-410-00-620000-55630"/>
    <x v="0"/>
    <n v="410"/>
    <n v="0"/>
    <x v="108"/>
    <n v="55630"/>
    <x v="1"/>
    <s v="55"/>
    <s v="556"/>
    <x v="1754"/>
    <s v="Admissions &amp; Records : Printing &amp; Duplicating - Inhouse"/>
    <n v="3554.39"/>
  </r>
  <r>
    <x v="2"/>
    <s v="11-410-00-620000-55635"/>
    <x v="0"/>
    <n v="410"/>
    <n v="0"/>
    <x v="108"/>
    <n v="55635"/>
    <x v="1"/>
    <s v="55"/>
    <s v="556"/>
    <x v="1755"/>
    <s v="Admissions &amp; Records : Printing Services - Vendor"/>
    <n v="3288.16"/>
  </r>
  <r>
    <x v="2"/>
    <s v="11-410-00-620000-55650"/>
    <x v="0"/>
    <n v="410"/>
    <n v="0"/>
    <x v="108"/>
    <n v="55650"/>
    <x v="1"/>
    <s v="55"/>
    <s v="556"/>
    <x v="1756"/>
    <s v="Admissions &amp; Records : Maintenance Agreement"/>
    <n v="1250"/>
  </r>
  <r>
    <x v="2"/>
    <s v="11-420-00-646000-52105"/>
    <x v="0"/>
    <n v="420"/>
    <n v="0"/>
    <x v="109"/>
    <n v="52105"/>
    <x v="1"/>
    <s v="52"/>
    <s v="521"/>
    <x v="1757"/>
    <s v="Financial Aid : Classified CSEA"/>
    <n v="438523.43"/>
  </r>
  <r>
    <x v="2"/>
    <s v="11-420-00-646000-52130"/>
    <x v="0"/>
    <n v="420"/>
    <n v="0"/>
    <x v="109"/>
    <n v="52130"/>
    <x v="1"/>
    <s v="52"/>
    <s v="521"/>
    <x v="1758"/>
    <s v="Financial Aid : Classified Management"/>
    <n v="198430.17"/>
  </r>
  <r>
    <x v="2"/>
    <s v="11-420-00-646000-52300"/>
    <x v="0"/>
    <n v="420"/>
    <n v="0"/>
    <x v="109"/>
    <n v="52300"/>
    <x v="1"/>
    <s v="52"/>
    <s v="523"/>
    <x v="1759"/>
    <s v="Financial Aid : Classified Overtime"/>
    <n v="1347.36"/>
  </r>
  <r>
    <x v="2"/>
    <s v="11-420-00-646000-52310"/>
    <x v="0"/>
    <n v="420"/>
    <n v="0"/>
    <x v="109"/>
    <n v="52310"/>
    <x v="1"/>
    <s v="52"/>
    <s v="523"/>
    <x v="1760"/>
    <s v="Financial Aid : Classified Student FWS Non-IA"/>
    <n v="17628.43"/>
  </r>
  <r>
    <x v="2"/>
    <s v="11-420-00-646000-52360"/>
    <x v="0"/>
    <n v="420"/>
    <n v="0"/>
    <x v="109"/>
    <n v="52360"/>
    <x v="1"/>
    <s v="52"/>
    <s v="523"/>
    <x v="1761"/>
    <s v="Financial Aid : Class Nonstu NonIA PT Prof Exp"/>
    <n v="0"/>
  </r>
  <r>
    <x v="2"/>
    <s v="11-420-00-646000-53220"/>
    <x v="0"/>
    <n v="420"/>
    <n v="0"/>
    <x v="109"/>
    <n v="53220"/>
    <x v="1"/>
    <s v="53"/>
    <s v="532"/>
    <x v="1762"/>
    <s v="Financial Aid : PERS Nonteaching"/>
    <n v="131690.60999999999"/>
  </r>
  <r>
    <x v="2"/>
    <s v="11-420-00-646000-53320"/>
    <x v="0"/>
    <n v="420"/>
    <n v="0"/>
    <x v="109"/>
    <n v="53320"/>
    <x v="1"/>
    <s v="53"/>
    <s v="533"/>
    <x v="1763"/>
    <s v="Financial Aid : OASDHI (FICA) Nonteaching"/>
    <n v="39089.64"/>
  </r>
  <r>
    <x v="2"/>
    <s v="11-420-00-646000-53340"/>
    <x v="0"/>
    <n v="420"/>
    <n v="0"/>
    <x v="109"/>
    <n v="53340"/>
    <x v="1"/>
    <s v="53"/>
    <s v="533"/>
    <x v="1764"/>
    <s v="Financial Aid : Medicare Nonteaching"/>
    <n v="9141.99"/>
  </r>
  <r>
    <x v="2"/>
    <s v="11-420-00-646000-53420"/>
    <x v="0"/>
    <n v="420"/>
    <n v="0"/>
    <x v="109"/>
    <n v="53420"/>
    <x v="1"/>
    <s v="53"/>
    <s v="534"/>
    <x v="1765"/>
    <s v="Financial Aid : H &amp; W Nonteaching"/>
    <n v="219943.12"/>
  </r>
  <r>
    <x v="2"/>
    <s v="11-420-00-646000-53520"/>
    <x v="0"/>
    <n v="420"/>
    <n v="0"/>
    <x v="109"/>
    <n v="53520"/>
    <x v="1"/>
    <s v="53"/>
    <s v="535"/>
    <x v="1766"/>
    <s v="Financial Aid : SUI Nonteaching"/>
    <n v="318.49"/>
  </r>
  <r>
    <x v="2"/>
    <s v="11-420-00-646000-53620"/>
    <x v="0"/>
    <n v="420"/>
    <n v="0"/>
    <x v="109"/>
    <n v="53620"/>
    <x v="1"/>
    <s v="53"/>
    <s v="536"/>
    <x v="1767"/>
    <s v="Financial Aid : WC Nonteaching"/>
    <n v="13424.9"/>
  </r>
  <r>
    <x v="2"/>
    <s v="11-420-00-646000-53920"/>
    <x v="0"/>
    <n v="420"/>
    <n v="0"/>
    <x v="109"/>
    <n v="53920"/>
    <x v="1"/>
    <s v="53"/>
    <s v="539"/>
    <x v="1768"/>
    <s v="Financial Aid : Other Benefit-Non Teaching"/>
    <n v="1800.01"/>
  </r>
  <r>
    <x v="2"/>
    <s v="11-420-00-646000-54300"/>
    <x v="0"/>
    <n v="420"/>
    <n v="0"/>
    <x v="109"/>
    <n v="54300"/>
    <x v="1"/>
    <s v="54"/>
    <s v="543"/>
    <x v="1769"/>
    <s v="Financial Aid : Supplies &amp; Materials"/>
    <n v="779.93000000000006"/>
  </r>
  <r>
    <x v="2"/>
    <s v="11-420-00-646000-55105"/>
    <x v="0"/>
    <n v="420"/>
    <n v="0"/>
    <x v="109"/>
    <n v="55105"/>
    <x v="1"/>
    <s v="55"/>
    <s v="551"/>
    <x v="1770"/>
    <s v="Financial Aid : Contract Services"/>
    <n v="0"/>
  </r>
  <r>
    <x v="2"/>
    <s v="11-420-00-646000-55200"/>
    <x v="0"/>
    <n v="420"/>
    <n v="0"/>
    <x v="109"/>
    <n v="55200"/>
    <x v="1"/>
    <s v="55"/>
    <s v="552"/>
    <x v="1771"/>
    <s v="Financial Aid : Travel &amp; Conference"/>
    <n v="0"/>
  </r>
  <r>
    <x v="2"/>
    <s v="11-420-00-646000-55300"/>
    <x v="0"/>
    <n v="420"/>
    <n v="0"/>
    <x v="109"/>
    <n v="55300"/>
    <x v="1"/>
    <s v="55"/>
    <s v="553"/>
    <x v="1772"/>
    <s v="Financial Aid : Memberships"/>
    <n v="1460"/>
  </r>
  <r>
    <x v="2"/>
    <s v="11-420-00-646000-55309"/>
    <x v="0"/>
    <n v="420"/>
    <n v="0"/>
    <x v="109"/>
    <n v="55309"/>
    <x v="1"/>
    <s v="55"/>
    <s v="553"/>
    <x v="1773"/>
    <s v="Financial Aid : Subscriptions"/>
    <n v="16463.099999999999"/>
  </r>
  <r>
    <x v="2"/>
    <s v="11-420-00-646000-55630"/>
    <x v="0"/>
    <n v="420"/>
    <n v="0"/>
    <x v="109"/>
    <n v="55630"/>
    <x v="1"/>
    <s v="55"/>
    <s v="556"/>
    <x v="1774"/>
    <s v="Financial Aid : Printing &amp; Duplicating - Inhouse"/>
    <n v="1530.28"/>
  </r>
  <r>
    <x v="2"/>
    <s v="11-420-00-646021-52105"/>
    <x v="0"/>
    <n v="420"/>
    <n v="0"/>
    <x v="110"/>
    <n v="52105"/>
    <x v="1"/>
    <s v="52"/>
    <s v="521"/>
    <x v="1775"/>
    <s v="Scholarship Operations : Classified CSEA"/>
    <n v="33400.879999999997"/>
  </r>
  <r>
    <x v="2"/>
    <s v="11-420-00-646021-52300"/>
    <x v="0"/>
    <n v="420"/>
    <n v="0"/>
    <x v="110"/>
    <n v="52300"/>
    <x v="1"/>
    <s v="52"/>
    <s v="523"/>
    <x v="1776"/>
    <s v="Scholarship Operations : Classified Overtime"/>
    <n v="2.67"/>
  </r>
  <r>
    <x v="2"/>
    <s v="11-420-00-646021-53220"/>
    <x v="0"/>
    <n v="420"/>
    <n v="0"/>
    <x v="110"/>
    <n v="53220"/>
    <x v="1"/>
    <s v="53"/>
    <s v="532"/>
    <x v="1777"/>
    <s v="Scholarship Operations : PERS Nonteaching"/>
    <n v="6914.03"/>
  </r>
  <r>
    <x v="2"/>
    <s v="11-420-00-646021-53320"/>
    <x v="0"/>
    <n v="420"/>
    <n v="0"/>
    <x v="110"/>
    <n v="53320"/>
    <x v="1"/>
    <s v="53"/>
    <s v="533"/>
    <x v="1778"/>
    <s v="Scholarship Operations : OASDHI (FICA) Nonteaching"/>
    <n v="2072.77"/>
  </r>
  <r>
    <x v="2"/>
    <s v="11-420-00-646021-53340"/>
    <x v="0"/>
    <n v="420"/>
    <n v="0"/>
    <x v="110"/>
    <n v="53340"/>
    <x v="1"/>
    <s v="53"/>
    <s v="533"/>
    <x v="1779"/>
    <s v="Scholarship Operations : Medicare Nonteaching"/>
    <n v="484.7"/>
  </r>
  <r>
    <x v="2"/>
    <s v="11-420-00-646021-53420"/>
    <x v="0"/>
    <n v="420"/>
    <n v="0"/>
    <x v="110"/>
    <n v="53420"/>
    <x v="1"/>
    <s v="53"/>
    <s v="534"/>
    <x v="1780"/>
    <s v="Scholarship Operations : H &amp; W Nonteaching"/>
    <n v="8044.83"/>
  </r>
  <r>
    <x v="2"/>
    <s v="11-420-00-646021-53520"/>
    <x v="0"/>
    <n v="420"/>
    <n v="0"/>
    <x v="110"/>
    <n v="53520"/>
    <x v="1"/>
    <s v="53"/>
    <s v="535"/>
    <x v="1781"/>
    <s v="Scholarship Operations : SUI Nonteaching"/>
    <n v="16.7"/>
  </r>
  <r>
    <x v="2"/>
    <s v="11-420-00-646021-53620"/>
    <x v="0"/>
    <n v="420"/>
    <n v="0"/>
    <x v="110"/>
    <n v="53620"/>
    <x v="1"/>
    <s v="53"/>
    <s v="536"/>
    <x v="1782"/>
    <s v="Scholarship Operations : WC Nonteaching"/>
    <n v="633.20000000000005"/>
  </r>
  <r>
    <x v="2"/>
    <s v="11-420-00-646021-55630"/>
    <x v="0"/>
    <n v="420"/>
    <n v="0"/>
    <x v="110"/>
    <n v="55630"/>
    <x v="1"/>
    <s v="55"/>
    <s v="556"/>
    <x v="1783"/>
    <s v="Scholarship Operations : Printing &amp; Duplicating - Inhouse"/>
    <n v="21.56"/>
  </r>
  <r>
    <x v="2"/>
    <s v="11-420-00-648000-51200"/>
    <x v="0"/>
    <n v="420"/>
    <n v="0"/>
    <x v="111"/>
    <n v="51200"/>
    <x v="1"/>
    <s v="51"/>
    <s v="512"/>
    <x v="1784"/>
    <s v="Veterans : Academic Nonteaching Full-time"/>
    <n v="24171.3"/>
  </r>
  <r>
    <x v="2"/>
    <s v="11-420-00-648000-52105"/>
    <x v="0"/>
    <n v="420"/>
    <n v="0"/>
    <x v="111"/>
    <n v="52105"/>
    <x v="1"/>
    <s v="52"/>
    <s v="521"/>
    <x v="1785"/>
    <s v="Veterans : Classified CSEA"/>
    <n v="21974.45"/>
  </r>
  <r>
    <x v="2"/>
    <s v="11-420-00-648000-52300"/>
    <x v="0"/>
    <n v="420"/>
    <n v="0"/>
    <x v="111"/>
    <n v="52300"/>
    <x v="1"/>
    <s v="52"/>
    <s v="523"/>
    <x v="1786"/>
    <s v="Veterans : Classified Overtime"/>
    <n v="6.18"/>
  </r>
  <r>
    <x v="2"/>
    <s v="11-420-00-648000-53120"/>
    <x v="0"/>
    <n v="420"/>
    <n v="0"/>
    <x v="111"/>
    <n v="53120"/>
    <x v="1"/>
    <s v="53"/>
    <s v="531"/>
    <x v="1787"/>
    <s v="Veterans : STRS Nonteaching"/>
    <n v="3903.66"/>
  </r>
  <r>
    <x v="2"/>
    <s v="11-420-00-648000-53220"/>
    <x v="0"/>
    <n v="420"/>
    <n v="0"/>
    <x v="111"/>
    <n v="53220"/>
    <x v="1"/>
    <s v="53"/>
    <s v="532"/>
    <x v="1788"/>
    <s v="Veterans : PERS Nonteaching"/>
    <n v="4545.84"/>
  </r>
  <r>
    <x v="2"/>
    <s v="11-420-00-648000-53320"/>
    <x v="0"/>
    <n v="420"/>
    <n v="0"/>
    <x v="111"/>
    <n v="53320"/>
    <x v="1"/>
    <s v="53"/>
    <s v="533"/>
    <x v="1789"/>
    <s v="Veterans : OASDHI (FICA) Nonteaching"/>
    <n v="1357.93"/>
  </r>
  <r>
    <x v="2"/>
    <s v="11-420-00-648000-53340"/>
    <x v="0"/>
    <n v="420"/>
    <n v="0"/>
    <x v="111"/>
    <n v="53340"/>
    <x v="1"/>
    <s v="53"/>
    <s v="533"/>
    <x v="1790"/>
    <s v="Veterans : Medicare Nonteaching"/>
    <n v="664.33"/>
  </r>
  <r>
    <x v="2"/>
    <s v="11-420-00-648000-53420"/>
    <x v="0"/>
    <n v="420"/>
    <n v="0"/>
    <x v="111"/>
    <n v="53420"/>
    <x v="1"/>
    <s v="53"/>
    <s v="534"/>
    <x v="1791"/>
    <s v="Veterans : H &amp; W Nonteaching"/>
    <n v="12020.87"/>
  </r>
  <r>
    <x v="2"/>
    <s v="11-420-00-648000-53520"/>
    <x v="0"/>
    <n v="420"/>
    <n v="0"/>
    <x v="111"/>
    <n v="53520"/>
    <x v="1"/>
    <s v="53"/>
    <s v="535"/>
    <x v="1792"/>
    <s v="Veterans : SUI Nonteaching"/>
    <n v="23.05"/>
  </r>
  <r>
    <x v="2"/>
    <s v="11-420-00-648000-53620"/>
    <x v="0"/>
    <n v="420"/>
    <n v="0"/>
    <x v="111"/>
    <n v="53620"/>
    <x v="1"/>
    <s v="53"/>
    <s v="536"/>
    <x v="1793"/>
    <s v="Veterans : WC Nonteaching"/>
    <n v="873.62"/>
  </r>
  <r>
    <x v="2"/>
    <s v="11-420-00-648000-55200"/>
    <x v="0"/>
    <n v="420"/>
    <n v="0"/>
    <x v="111"/>
    <n v="55200"/>
    <x v="1"/>
    <s v="55"/>
    <s v="552"/>
    <x v="1794"/>
    <s v="Veterans : Travel &amp; Conference"/>
    <n v="0"/>
  </r>
  <r>
    <x v="2"/>
    <s v="11-420-00-648000-55300"/>
    <x v="0"/>
    <n v="420"/>
    <n v="0"/>
    <x v="111"/>
    <n v="55300"/>
    <x v="1"/>
    <s v="55"/>
    <s v="553"/>
    <x v="1795"/>
    <s v="Veterans : Memberships"/>
    <n v="0"/>
  </r>
  <r>
    <x v="2"/>
    <s v="11-420-00-648000-55630"/>
    <x v="0"/>
    <n v="420"/>
    <n v="0"/>
    <x v="111"/>
    <n v="55630"/>
    <x v="1"/>
    <s v="55"/>
    <s v="556"/>
    <x v="1796"/>
    <s v="Veterans : Printing &amp; Duplicating - Inhouse"/>
    <n v="1.57"/>
  </r>
  <r>
    <x v="2"/>
    <s v="11-430-00-643000-51210"/>
    <x v="0"/>
    <n v="430"/>
    <n v="0"/>
    <x v="112"/>
    <n v="51210"/>
    <x v="1"/>
    <s v="51"/>
    <s v="512"/>
    <x v="1797"/>
    <s v="EOPS : Academic Nonteaching Management"/>
    <n v="0"/>
  </r>
  <r>
    <x v="2"/>
    <s v="11-430-00-643000-53220"/>
    <x v="0"/>
    <n v="430"/>
    <n v="0"/>
    <x v="112"/>
    <n v="53220"/>
    <x v="1"/>
    <s v="53"/>
    <s v="532"/>
    <x v="1798"/>
    <s v="EOPS : PERS Nonteaching"/>
    <n v="0"/>
  </r>
  <r>
    <x v="2"/>
    <s v="11-430-00-643000-53320"/>
    <x v="0"/>
    <n v="430"/>
    <n v="0"/>
    <x v="112"/>
    <n v="53320"/>
    <x v="1"/>
    <s v="53"/>
    <s v="533"/>
    <x v="1799"/>
    <s v="EOPS : OASDHI (FICA) Nonteaching"/>
    <n v="0"/>
  </r>
  <r>
    <x v="2"/>
    <s v="11-430-00-643000-53340"/>
    <x v="0"/>
    <n v="430"/>
    <n v="0"/>
    <x v="112"/>
    <n v="53340"/>
    <x v="1"/>
    <s v="53"/>
    <s v="533"/>
    <x v="1800"/>
    <s v="EOPS : Medicare Nonteaching"/>
    <n v="0"/>
  </r>
  <r>
    <x v="2"/>
    <s v="11-430-00-643000-53420"/>
    <x v="0"/>
    <n v="430"/>
    <n v="0"/>
    <x v="112"/>
    <n v="53420"/>
    <x v="1"/>
    <s v="53"/>
    <s v="534"/>
    <x v="1801"/>
    <s v="EOPS : H &amp; W Nonteaching"/>
    <n v="0"/>
  </r>
  <r>
    <x v="2"/>
    <s v="11-430-00-643000-53520"/>
    <x v="0"/>
    <n v="430"/>
    <n v="0"/>
    <x v="112"/>
    <n v="53520"/>
    <x v="1"/>
    <s v="53"/>
    <s v="535"/>
    <x v="1802"/>
    <s v="EOPS : SUI Nonteaching"/>
    <n v="0"/>
  </r>
  <r>
    <x v="2"/>
    <s v="11-430-00-643000-53620"/>
    <x v="0"/>
    <n v="430"/>
    <n v="0"/>
    <x v="112"/>
    <n v="53620"/>
    <x v="1"/>
    <s v="53"/>
    <s v="536"/>
    <x v="1803"/>
    <s v="EOPS : WC Nonteaching"/>
    <n v="0"/>
  </r>
  <r>
    <x v="2"/>
    <s v="11-430-00-700500-51210"/>
    <x v="0"/>
    <n v="430"/>
    <n v="0"/>
    <x v="113"/>
    <n v="51210"/>
    <x v="1"/>
    <s v="51"/>
    <s v="512"/>
    <x v="1804"/>
    <s v="EOPS - State : Academic Nonteaching Management"/>
    <n v="102517.5"/>
  </r>
  <r>
    <x v="2"/>
    <s v="11-430-00-700500-53220"/>
    <x v="0"/>
    <n v="430"/>
    <n v="0"/>
    <x v="113"/>
    <n v="53220"/>
    <x v="1"/>
    <s v="53"/>
    <s v="532"/>
    <x v="1805"/>
    <s v="EOPS - State : PERS Nonteaching"/>
    <n v="21221.1"/>
  </r>
  <r>
    <x v="2"/>
    <s v="11-430-00-700500-53320"/>
    <x v="0"/>
    <n v="430"/>
    <n v="0"/>
    <x v="113"/>
    <n v="53320"/>
    <x v="1"/>
    <s v="53"/>
    <s v="533"/>
    <x v="1806"/>
    <s v="EOPS - State : OASDHI (FICA) Nonteaching"/>
    <n v="6356.1"/>
  </r>
  <r>
    <x v="2"/>
    <s v="11-430-00-700500-53340"/>
    <x v="0"/>
    <n v="430"/>
    <n v="0"/>
    <x v="113"/>
    <n v="53340"/>
    <x v="1"/>
    <s v="53"/>
    <s v="533"/>
    <x v="1807"/>
    <s v="EOPS - State : Medicare Nonteaching"/>
    <n v="1486.5"/>
  </r>
  <r>
    <x v="2"/>
    <s v="11-430-00-700500-53420"/>
    <x v="0"/>
    <n v="430"/>
    <n v="0"/>
    <x v="113"/>
    <n v="53420"/>
    <x v="1"/>
    <s v="53"/>
    <s v="534"/>
    <x v="1808"/>
    <s v="EOPS - State : H &amp; W Nonteaching"/>
    <n v="10726.36"/>
  </r>
  <r>
    <x v="2"/>
    <s v="11-430-00-700500-53520"/>
    <x v="0"/>
    <n v="430"/>
    <n v="0"/>
    <x v="113"/>
    <n v="53520"/>
    <x v="1"/>
    <s v="53"/>
    <s v="535"/>
    <x v="1809"/>
    <s v="EOPS - State : SUI Nonteaching"/>
    <n v="51.3"/>
  </r>
  <r>
    <x v="2"/>
    <s v="11-430-00-700500-53620"/>
    <x v="0"/>
    <n v="430"/>
    <n v="0"/>
    <x v="113"/>
    <n v="53620"/>
    <x v="1"/>
    <s v="53"/>
    <s v="536"/>
    <x v="1810"/>
    <s v="EOPS - State : WC Nonteaching"/>
    <n v="1938.4"/>
  </r>
  <r>
    <x v="2"/>
    <s v="11-430-00-700500-55630"/>
    <x v="0"/>
    <n v="430"/>
    <n v="0"/>
    <x v="113"/>
    <n v="55630"/>
    <x v="1"/>
    <s v="55"/>
    <s v="556"/>
    <x v="1811"/>
    <s v="EOPS - State : Printing &amp; Duplicating - Inhouse"/>
    <n v="66.760000000000005"/>
  </r>
  <r>
    <x v="2"/>
    <s v="11-430-00-704700-52315"/>
    <x v="0"/>
    <n v="430"/>
    <n v="0"/>
    <x v="114"/>
    <n v="52315"/>
    <x v="1"/>
    <s v="52"/>
    <s v="523"/>
    <x v="1812"/>
    <s v="CalWORKs : Classified Student SWS Non-IA"/>
    <n v="1571"/>
  </r>
  <r>
    <x v="2"/>
    <s v="11-430-00-704700-53620"/>
    <x v="0"/>
    <n v="430"/>
    <n v="0"/>
    <x v="114"/>
    <n v="53620"/>
    <x v="1"/>
    <s v="53"/>
    <s v="536"/>
    <x v="1813"/>
    <s v="CalWORKs : WC Nonteaching"/>
    <n v="29.7"/>
  </r>
  <r>
    <x v="2"/>
    <s v="11-440-00-493032-51210"/>
    <x v="0"/>
    <n v="440"/>
    <n v="0"/>
    <x v="115"/>
    <n v="51210"/>
    <x v="1"/>
    <s v="51"/>
    <s v="512"/>
    <x v="1814"/>
    <s v="DSP&amp;S Instruction : Academic Nonteaching Management"/>
    <n v="58113.45"/>
  </r>
  <r>
    <x v="2"/>
    <s v="11-440-00-493032-51311"/>
    <x v="0"/>
    <n v="440"/>
    <n v="0"/>
    <x v="115"/>
    <n v="51311"/>
    <x v="1"/>
    <s v="51"/>
    <s v="513"/>
    <x v="1815"/>
    <s v="DSP&amp;S Instruction : Academic Teaching PT"/>
    <n v="0"/>
  </r>
  <r>
    <x v="2"/>
    <s v="11-440-00-493032-51411"/>
    <x v="0"/>
    <n v="440"/>
    <n v="0"/>
    <x v="115"/>
    <n v="51411"/>
    <x v="1"/>
    <s v="51"/>
    <s v="514"/>
    <x v="1816"/>
    <s v="DSP&amp;S Instruction : Academic Nonteaching PT"/>
    <n v="0"/>
  </r>
  <r>
    <x v="2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629"/>
  </r>
  <r>
    <x v="2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0"/>
  </r>
  <r>
    <x v="2"/>
    <s v="11-440-00-493032-53110"/>
    <x v="0"/>
    <n v="440"/>
    <n v="0"/>
    <x v="115"/>
    <n v="53110"/>
    <x v="1"/>
    <s v="53"/>
    <s v="531"/>
    <x v="1819"/>
    <s v="DSP&amp;S Instruction : STRS Teaching"/>
    <n v="0"/>
  </r>
  <r>
    <x v="2"/>
    <s v="11-440-00-493032-53120"/>
    <x v="0"/>
    <n v="440"/>
    <n v="0"/>
    <x v="115"/>
    <n v="53120"/>
    <x v="1"/>
    <s v="53"/>
    <s v="531"/>
    <x v="1820"/>
    <s v="DSP&amp;S Instruction : STRS Nonteaching"/>
    <n v="9385.32"/>
  </r>
  <r>
    <x v="2"/>
    <s v="11-440-00-493032-53310"/>
    <x v="0"/>
    <n v="440"/>
    <n v="0"/>
    <x v="115"/>
    <n v="53310"/>
    <x v="1"/>
    <s v="53"/>
    <s v="533"/>
    <x v="1821"/>
    <s v="DSP&amp;S Instruction : OASDHI (FICA) Teaching"/>
    <n v="38.99"/>
  </r>
  <r>
    <x v="2"/>
    <s v="11-440-00-493032-53320"/>
    <x v="0"/>
    <n v="440"/>
    <n v="0"/>
    <x v="115"/>
    <n v="53320"/>
    <x v="1"/>
    <s v="53"/>
    <s v="533"/>
    <x v="1822"/>
    <s v="DSP&amp;S Instruction : OASDHI (FICA) Nonteaching"/>
    <n v="0"/>
  </r>
  <r>
    <x v="2"/>
    <s v="11-440-00-493032-53330"/>
    <x v="0"/>
    <n v="440"/>
    <n v="0"/>
    <x v="115"/>
    <n v="53330"/>
    <x v="1"/>
    <s v="53"/>
    <s v="533"/>
    <x v="1823"/>
    <s v="DSP&amp;S Instruction : Medicare Teaching"/>
    <n v="9.1199999999999992"/>
  </r>
  <r>
    <x v="2"/>
    <s v="11-440-00-493032-53340"/>
    <x v="0"/>
    <n v="440"/>
    <n v="0"/>
    <x v="115"/>
    <n v="53340"/>
    <x v="1"/>
    <s v="53"/>
    <s v="533"/>
    <x v="1824"/>
    <s v="DSP&amp;S Instruction : Medicare Nonteaching"/>
    <n v="822.75"/>
  </r>
  <r>
    <x v="2"/>
    <s v="11-440-00-493032-53420"/>
    <x v="0"/>
    <n v="440"/>
    <n v="0"/>
    <x v="115"/>
    <n v="53420"/>
    <x v="1"/>
    <s v="53"/>
    <s v="534"/>
    <x v="1825"/>
    <s v="DSP&amp;S Instruction : H &amp; W Nonteaching"/>
    <n v="6435.81"/>
  </r>
  <r>
    <x v="2"/>
    <s v="11-440-00-493032-53510"/>
    <x v="0"/>
    <n v="440"/>
    <n v="0"/>
    <x v="115"/>
    <n v="53510"/>
    <x v="1"/>
    <s v="53"/>
    <s v="535"/>
    <x v="1826"/>
    <s v="DSP&amp;S Instruction : SUI Teaching"/>
    <n v="0.32"/>
  </r>
  <r>
    <x v="2"/>
    <s v="11-440-00-493032-53520"/>
    <x v="0"/>
    <n v="440"/>
    <n v="0"/>
    <x v="115"/>
    <n v="53520"/>
    <x v="1"/>
    <s v="53"/>
    <s v="535"/>
    <x v="1827"/>
    <s v="DSP&amp;S Instruction : SUI Nonteaching"/>
    <n v="28.37"/>
  </r>
  <r>
    <x v="2"/>
    <s v="11-440-00-493032-53610"/>
    <x v="0"/>
    <n v="440"/>
    <n v="0"/>
    <x v="115"/>
    <n v="53610"/>
    <x v="1"/>
    <s v="53"/>
    <s v="536"/>
    <x v="1828"/>
    <s v="DSP&amp;S Instruction : WC Teaching"/>
    <n v="11.9"/>
  </r>
  <r>
    <x v="2"/>
    <s v="11-440-00-493032-53620"/>
    <x v="0"/>
    <n v="440"/>
    <n v="0"/>
    <x v="115"/>
    <n v="53620"/>
    <x v="1"/>
    <s v="53"/>
    <s v="536"/>
    <x v="1829"/>
    <s v="DSP&amp;S Instruction : WC Nonteaching"/>
    <n v="1098.81"/>
  </r>
  <r>
    <x v="2"/>
    <s v="11-440-00-493032-54300"/>
    <x v="0"/>
    <n v="440"/>
    <n v="0"/>
    <x v="115"/>
    <n v="54300"/>
    <x v="1"/>
    <s v="54"/>
    <s v="543"/>
    <x v="1830"/>
    <s v="DSP&amp;S Instruction : Supplies &amp; Materials"/>
    <n v="0"/>
  </r>
  <r>
    <x v="2"/>
    <s v="11-440-00-493032-55105"/>
    <x v="0"/>
    <n v="440"/>
    <n v="0"/>
    <x v="115"/>
    <n v="55105"/>
    <x v="1"/>
    <s v="55"/>
    <s v="551"/>
    <x v="1831"/>
    <s v="DSP&amp;S Instruction : Contract Services"/>
    <n v="0"/>
  </r>
  <r>
    <x v="2"/>
    <s v="11-440-00-493032-55200"/>
    <x v="0"/>
    <n v="440"/>
    <n v="0"/>
    <x v="115"/>
    <n v="55200"/>
    <x v="1"/>
    <s v="55"/>
    <s v="552"/>
    <x v="1832"/>
    <s v="DSP&amp;S Instruction : Travel &amp; Conference"/>
    <n v="0"/>
  </r>
  <r>
    <x v="2"/>
    <s v="11-440-00-493032-55309"/>
    <x v="0"/>
    <n v="440"/>
    <n v="0"/>
    <x v="115"/>
    <n v="55309"/>
    <x v="1"/>
    <s v="55"/>
    <s v="553"/>
    <x v="1833"/>
    <s v="DSP&amp;S Instruction : Subscriptions"/>
    <n v="0"/>
  </r>
  <r>
    <x v="2"/>
    <s v="11-440-00-493032-55630"/>
    <x v="0"/>
    <n v="440"/>
    <n v="0"/>
    <x v="115"/>
    <n v="55630"/>
    <x v="1"/>
    <s v="55"/>
    <s v="556"/>
    <x v="1834"/>
    <s v="DSP&amp;S Instruction : Printing &amp; Duplicating - Inhouse"/>
    <n v="277.11"/>
  </r>
  <r>
    <x v="2"/>
    <s v="11-440-00-701021-55105"/>
    <x v="0"/>
    <n v="440"/>
    <n v="0"/>
    <x v="116"/>
    <n v="55105"/>
    <x v="1"/>
    <s v="55"/>
    <s v="551"/>
    <x v="1835"/>
    <s v="DHH - DSPS : Contract Services"/>
    <n v="15000"/>
  </r>
  <r>
    <x v="2"/>
    <s v="11-500-00-673000-52120"/>
    <x v="0"/>
    <n v="500"/>
    <n v="0"/>
    <x v="117"/>
    <n v="52120"/>
    <x v="1"/>
    <s v="52"/>
    <s v="521"/>
    <x v="1836"/>
    <s v="Human Resources : Classified Confidential"/>
    <n v="326479.42"/>
  </r>
  <r>
    <x v="2"/>
    <s v="11-500-00-673000-52130"/>
    <x v="0"/>
    <n v="500"/>
    <n v="0"/>
    <x v="117"/>
    <n v="52130"/>
    <x v="1"/>
    <s v="52"/>
    <s v="521"/>
    <x v="1837"/>
    <s v="Human Resources : Classified Management"/>
    <n v="135542.95000000001"/>
  </r>
  <r>
    <x v="2"/>
    <s v="11-500-00-673000-52300"/>
    <x v="0"/>
    <n v="500"/>
    <n v="0"/>
    <x v="117"/>
    <n v="52300"/>
    <x v="1"/>
    <s v="52"/>
    <s v="523"/>
    <x v="1838"/>
    <s v="Human Resources : Classified Overtime"/>
    <n v="35156.04"/>
  </r>
  <r>
    <x v="2"/>
    <s v="11-500-00-673000-52360"/>
    <x v="0"/>
    <n v="500"/>
    <n v="0"/>
    <x v="117"/>
    <n v="52360"/>
    <x v="1"/>
    <s v="52"/>
    <s v="523"/>
    <x v="1839"/>
    <s v="Human Resources : Class Nonstu NonIA PT Prof Exp"/>
    <n v="25605.56"/>
  </r>
  <r>
    <x v="2"/>
    <s v="11-500-00-673000-53220"/>
    <x v="0"/>
    <n v="500"/>
    <n v="0"/>
    <x v="117"/>
    <n v="53220"/>
    <x v="1"/>
    <s v="53"/>
    <s v="532"/>
    <x v="1840"/>
    <s v="Human Resources : PERS Nonteaching"/>
    <n v="94022.46"/>
  </r>
  <r>
    <x v="2"/>
    <s v="11-500-00-673000-53320"/>
    <x v="0"/>
    <n v="500"/>
    <n v="0"/>
    <x v="117"/>
    <n v="53320"/>
    <x v="1"/>
    <s v="53"/>
    <s v="533"/>
    <x v="1841"/>
    <s v="Human Resources : OASDHI (FICA) Nonteaching"/>
    <n v="31846.15"/>
  </r>
  <r>
    <x v="2"/>
    <s v="11-500-00-673000-53340"/>
    <x v="0"/>
    <n v="500"/>
    <n v="0"/>
    <x v="117"/>
    <n v="53340"/>
    <x v="1"/>
    <s v="53"/>
    <s v="533"/>
    <x v="1842"/>
    <s v="Human Resources : Medicare Nonteaching"/>
    <n v="7542.52"/>
  </r>
  <r>
    <x v="2"/>
    <s v="11-500-00-673000-53420"/>
    <x v="0"/>
    <n v="500"/>
    <n v="0"/>
    <x v="117"/>
    <n v="53420"/>
    <x v="1"/>
    <s v="53"/>
    <s v="534"/>
    <x v="1843"/>
    <s v="Human Resources : H &amp; W Nonteaching"/>
    <n v="103662.83"/>
  </r>
  <r>
    <x v="2"/>
    <s v="11-500-00-673000-53520"/>
    <x v="0"/>
    <n v="500"/>
    <n v="0"/>
    <x v="117"/>
    <n v="53520"/>
    <x v="1"/>
    <s v="53"/>
    <s v="535"/>
    <x v="1844"/>
    <s v="Human Resources : SUI Nonteaching"/>
    <n v="260.60000000000002"/>
  </r>
  <r>
    <x v="2"/>
    <s v="11-500-00-673000-53620"/>
    <x v="0"/>
    <n v="500"/>
    <n v="0"/>
    <x v="117"/>
    <n v="53620"/>
    <x v="1"/>
    <s v="53"/>
    <s v="536"/>
    <x v="1845"/>
    <s v="Human Resources : WC Nonteaching"/>
    <n v="9884.84"/>
  </r>
  <r>
    <x v="2"/>
    <s v="11-500-00-673000-53920"/>
    <x v="0"/>
    <n v="500"/>
    <n v="0"/>
    <x v="117"/>
    <n v="53920"/>
    <x v="1"/>
    <s v="53"/>
    <s v="539"/>
    <x v="1846"/>
    <s v="Human Resources : Other Benefit-Non Teaching"/>
    <n v="7448.84"/>
  </r>
  <r>
    <x v="2"/>
    <s v="11-500-00-673000-54300"/>
    <x v="0"/>
    <n v="500"/>
    <n v="0"/>
    <x v="117"/>
    <n v="54300"/>
    <x v="1"/>
    <s v="54"/>
    <s v="543"/>
    <x v="1847"/>
    <s v="Human Resources : Supplies &amp; Materials"/>
    <n v="969.75"/>
  </r>
  <r>
    <x v="2"/>
    <s v="11-500-00-673000-55105"/>
    <x v="0"/>
    <n v="500"/>
    <n v="0"/>
    <x v="117"/>
    <n v="55105"/>
    <x v="1"/>
    <s v="55"/>
    <s v="551"/>
    <x v="1848"/>
    <s v="Human Resources : Contract Services"/>
    <n v="384"/>
  </r>
  <r>
    <x v="2"/>
    <s v="11-500-00-673000-55125"/>
    <x v="0"/>
    <n v="500"/>
    <n v="0"/>
    <x v="117"/>
    <n v="55125"/>
    <x v="1"/>
    <s v="55"/>
    <s v="551"/>
    <x v="1849"/>
    <s v="Human Resources : Training &amp; Seminars"/>
    <n v="19620"/>
  </r>
  <r>
    <x v="2"/>
    <s v="11-500-00-673000-55200"/>
    <x v="0"/>
    <n v="500"/>
    <n v="0"/>
    <x v="117"/>
    <n v="55200"/>
    <x v="1"/>
    <s v="55"/>
    <s v="552"/>
    <x v="1850"/>
    <s v="Human Resources : Travel &amp; Conference"/>
    <n v="0"/>
  </r>
  <r>
    <x v="2"/>
    <s v="11-500-00-673000-55300"/>
    <x v="0"/>
    <n v="500"/>
    <n v="0"/>
    <x v="117"/>
    <n v="55300"/>
    <x v="1"/>
    <s v="55"/>
    <s v="553"/>
    <x v="1851"/>
    <s v="Human Resources : Memberships"/>
    <n v="0"/>
  </r>
  <r>
    <x v="2"/>
    <s v="11-500-00-673000-55625"/>
    <x v="0"/>
    <n v="500"/>
    <n v="0"/>
    <x v="117"/>
    <n v="55625"/>
    <x v="1"/>
    <s v="55"/>
    <s v="556"/>
    <x v="1852"/>
    <s v="Human Resources : Inprocessing Costs"/>
    <n v="12380"/>
  </r>
  <r>
    <x v="2"/>
    <s v="11-500-00-673000-55630"/>
    <x v="0"/>
    <n v="500"/>
    <n v="0"/>
    <x v="117"/>
    <n v="55630"/>
    <x v="1"/>
    <s v="55"/>
    <s v="556"/>
    <x v="1853"/>
    <s v="Human Resources : Printing &amp; Duplicating - Inhouse"/>
    <n v="1626.08"/>
  </r>
  <r>
    <x v="2"/>
    <s v="11-500-00-673000-55635"/>
    <x v="0"/>
    <n v="500"/>
    <n v="0"/>
    <x v="117"/>
    <n v="55635"/>
    <x v="1"/>
    <s v="55"/>
    <s v="556"/>
    <x v="1854"/>
    <s v="Human Resources : Printing Services - Vendor"/>
    <n v="0"/>
  </r>
  <r>
    <x v="2"/>
    <s v="11-500-00-673000-55700"/>
    <x v="0"/>
    <n v="500"/>
    <n v="0"/>
    <x v="117"/>
    <n v="55700"/>
    <x v="1"/>
    <s v="55"/>
    <s v="557"/>
    <x v="1855"/>
    <s v="Human Resources : Legal &amp; Audit Expenses"/>
    <n v="200665.3"/>
  </r>
  <r>
    <x v="2"/>
    <s v="11-500-00-673000-55825"/>
    <x v="0"/>
    <n v="500"/>
    <n v="0"/>
    <x v="117"/>
    <n v="55825"/>
    <x v="1"/>
    <s v="55"/>
    <s v="558"/>
    <x v="1856"/>
    <s v="Human Resources : Relocation Expenses"/>
    <n v="10000.200000000001"/>
  </r>
  <r>
    <x v="2"/>
    <s v="11-500-00-673000-56400"/>
    <x v="0"/>
    <n v="500"/>
    <n v="0"/>
    <x v="117"/>
    <n v="56400"/>
    <x v="1"/>
    <s v="56"/>
    <s v="564"/>
    <x v="1857"/>
    <s v="Human Resources : Cap Equip - $200 to $4,999"/>
    <n v="0"/>
  </r>
  <r>
    <x v="2"/>
    <s v="11-600-00-678000-52105"/>
    <x v="0"/>
    <n v="600"/>
    <n v="0"/>
    <x v="118"/>
    <n v="52105"/>
    <x v="1"/>
    <s v="52"/>
    <s v="521"/>
    <x v="1858"/>
    <s v="Management Information Systems : Classified CSEA"/>
    <n v="1050225.17"/>
  </r>
  <r>
    <x v="2"/>
    <s v="11-600-00-678000-52130"/>
    <x v="0"/>
    <n v="600"/>
    <n v="0"/>
    <x v="118"/>
    <n v="52130"/>
    <x v="1"/>
    <s v="52"/>
    <s v="521"/>
    <x v="1859"/>
    <s v="Management Information Systems : Classified Management"/>
    <n v="260094.3"/>
  </r>
  <r>
    <x v="2"/>
    <s v="11-600-00-678000-52300"/>
    <x v="0"/>
    <n v="600"/>
    <n v="0"/>
    <x v="118"/>
    <n v="52300"/>
    <x v="1"/>
    <s v="52"/>
    <s v="523"/>
    <x v="1860"/>
    <s v="Management Information Systems : Classified Overtime"/>
    <n v="4666.8500000000004"/>
  </r>
  <r>
    <x v="2"/>
    <s v="11-600-00-678000-52350"/>
    <x v="0"/>
    <n v="600"/>
    <n v="0"/>
    <x v="118"/>
    <n v="52350"/>
    <x v="1"/>
    <s v="52"/>
    <s v="523"/>
    <x v="1861"/>
    <s v="Management Information Systems : Classified Student Dist Non-IA PT"/>
    <n v="986"/>
  </r>
  <r>
    <x v="2"/>
    <s v="11-600-00-678000-53220"/>
    <x v="0"/>
    <n v="600"/>
    <n v="0"/>
    <x v="118"/>
    <n v="53220"/>
    <x v="1"/>
    <s v="53"/>
    <s v="532"/>
    <x v="1862"/>
    <s v="Management Information Systems : PERS Nonteaching"/>
    <n v="266953.42"/>
  </r>
  <r>
    <x v="2"/>
    <s v="11-600-00-678000-53320"/>
    <x v="0"/>
    <n v="600"/>
    <n v="0"/>
    <x v="118"/>
    <n v="53320"/>
    <x v="1"/>
    <s v="53"/>
    <s v="533"/>
    <x v="1863"/>
    <s v="Management Information Systems : OASDHI (FICA) Nonteaching"/>
    <n v="78587.990000000005"/>
  </r>
  <r>
    <x v="2"/>
    <s v="11-600-00-678000-53340"/>
    <x v="0"/>
    <n v="600"/>
    <n v="0"/>
    <x v="118"/>
    <n v="53340"/>
    <x v="1"/>
    <s v="53"/>
    <s v="533"/>
    <x v="1864"/>
    <s v="Management Information Systems : Medicare Nonteaching"/>
    <n v="18965.86"/>
  </r>
  <r>
    <x v="2"/>
    <s v="11-600-00-678000-53420"/>
    <x v="0"/>
    <n v="600"/>
    <n v="0"/>
    <x v="118"/>
    <n v="53420"/>
    <x v="1"/>
    <s v="53"/>
    <s v="534"/>
    <x v="1865"/>
    <s v="Management Information Systems : H &amp; W Nonteaching"/>
    <n v="305419.64"/>
  </r>
  <r>
    <x v="2"/>
    <s v="11-600-00-678000-53520"/>
    <x v="0"/>
    <n v="600"/>
    <n v="0"/>
    <x v="118"/>
    <n v="53520"/>
    <x v="1"/>
    <s v="53"/>
    <s v="535"/>
    <x v="1866"/>
    <s v="Management Information Systems : SUI Nonteaching"/>
    <n v="657.03"/>
  </r>
  <r>
    <x v="2"/>
    <s v="11-600-00-678000-53620"/>
    <x v="0"/>
    <n v="600"/>
    <n v="0"/>
    <x v="118"/>
    <n v="53620"/>
    <x v="1"/>
    <s v="53"/>
    <s v="536"/>
    <x v="1867"/>
    <s v="Management Information Systems : WC Nonteaching"/>
    <n v="24930.07"/>
  </r>
  <r>
    <x v="2"/>
    <s v="11-600-00-678000-53920"/>
    <x v="0"/>
    <n v="600"/>
    <n v="0"/>
    <x v="118"/>
    <n v="53920"/>
    <x v="1"/>
    <s v="53"/>
    <s v="539"/>
    <x v="1868"/>
    <s v="Management Information Systems : Other Benefit-Non Teaching"/>
    <n v="10800"/>
  </r>
  <r>
    <x v="2"/>
    <s v="11-600-00-678000-54300"/>
    <x v="0"/>
    <n v="600"/>
    <n v="0"/>
    <x v="118"/>
    <n v="54300"/>
    <x v="1"/>
    <s v="54"/>
    <s v="543"/>
    <x v="1869"/>
    <s v="Management Information Systems : Supplies &amp; Materials"/>
    <n v="5584.36"/>
  </r>
  <r>
    <x v="2"/>
    <s v="11-600-00-678000-55105"/>
    <x v="0"/>
    <n v="600"/>
    <n v="0"/>
    <x v="118"/>
    <n v="55105"/>
    <x v="1"/>
    <s v="55"/>
    <s v="551"/>
    <x v="1870"/>
    <s v="Management Information Systems : Contract Services"/>
    <n v="48505"/>
  </r>
  <r>
    <x v="2"/>
    <s v="11-600-00-678000-55125"/>
    <x v="0"/>
    <n v="600"/>
    <n v="0"/>
    <x v="118"/>
    <n v="55125"/>
    <x v="1"/>
    <s v="55"/>
    <s v="551"/>
    <x v="1871"/>
    <s v="Management Information Systems : Training &amp; Seminars"/>
    <n v="0"/>
  </r>
  <r>
    <x v="2"/>
    <s v="11-600-00-678000-55200"/>
    <x v="0"/>
    <n v="600"/>
    <n v="0"/>
    <x v="118"/>
    <n v="55200"/>
    <x v="1"/>
    <s v="55"/>
    <s v="552"/>
    <x v="1872"/>
    <s v="Management Information Systems : Travel &amp; Conference"/>
    <n v="617.94000000000005"/>
  </r>
  <r>
    <x v="2"/>
    <s v="11-600-00-678000-55300"/>
    <x v="0"/>
    <n v="600"/>
    <n v="0"/>
    <x v="118"/>
    <n v="55300"/>
    <x v="1"/>
    <s v="55"/>
    <s v="553"/>
    <x v="1873"/>
    <s v="Management Information Systems : Memberships"/>
    <n v="1490"/>
  </r>
  <r>
    <x v="2"/>
    <s v="11-600-00-678000-55550"/>
    <x v="0"/>
    <n v="600"/>
    <n v="0"/>
    <x v="118"/>
    <n v="55550"/>
    <x v="1"/>
    <s v="55"/>
    <s v="555"/>
    <x v="1874"/>
    <s v="Management Information Systems : Telephone Service"/>
    <n v="135051.1"/>
  </r>
  <r>
    <x v="2"/>
    <s v="11-600-00-678000-55610"/>
    <x v="0"/>
    <n v="600"/>
    <n v="0"/>
    <x v="118"/>
    <n v="55610"/>
    <x v="1"/>
    <s v="55"/>
    <s v="556"/>
    <x v="1875"/>
    <s v="Management Information Systems : Software licensing"/>
    <n v="18442.5"/>
  </r>
  <r>
    <x v="2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9.07"/>
  </r>
  <r>
    <x v="2"/>
    <s v="11-600-00-678000-55650"/>
    <x v="0"/>
    <n v="600"/>
    <n v="0"/>
    <x v="118"/>
    <n v="55650"/>
    <x v="1"/>
    <s v="55"/>
    <s v="556"/>
    <x v="1877"/>
    <s v="Management Information Systems : Maintenance Agreement"/>
    <n v="1189858.49"/>
  </r>
  <r>
    <x v="2"/>
    <s v="11-600-00-678000-55653"/>
    <x v="0"/>
    <n v="600"/>
    <n v="0"/>
    <x v="118"/>
    <n v="55653"/>
    <x v="1"/>
    <s v="55"/>
    <s v="556"/>
    <x v="1878"/>
    <s v="Management Information Systems : Instructional Computer Repair"/>
    <n v="0"/>
  </r>
  <r>
    <x v="2"/>
    <s v="11-600-00-678000-56400"/>
    <x v="0"/>
    <n v="600"/>
    <n v="0"/>
    <x v="118"/>
    <n v="56400"/>
    <x v="1"/>
    <s v="56"/>
    <s v="564"/>
    <x v="1879"/>
    <s v="Management Information Systems : Cap Equip - $200 to $4,999"/>
    <n v="3095.4"/>
  </r>
  <r>
    <x v="2"/>
    <s v="11-600-00-678001-55105"/>
    <x v="0"/>
    <n v="600"/>
    <n v="0"/>
    <x v="119"/>
    <n v="55105"/>
    <x v="1"/>
    <s v="55"/>
    <s v="551"/>
    <x v="1880"/>
    <s v="Mngmnt Information Systems PPA : Contract Services"/>
    <n v="0"/>
  </r>
  <r>
    <x v="2"/>
    <s v="11-600-00-678001-56402"/>
    <x v="0"/>
    <n v="600"/>
    <n v="0"/>
    <x v="119"/>
    <n v="56402"/>
    <x v="1"/>
    <s v="56"/>
    <s v="564"/>
    <x v="1881"/>
    <s v="Mngmnt Information Systems PPA : Capital software $200-$4,999"/>
    <n v="0"/>
  </r>
  <r>
    <x v="2"/>
    <s v="13-000-00-000000-48891"/>
    <x v="1"/>
    <n v="0"/>
    <n v="0"/>
    <x v="0"/>
    <n v="48891"/>
    <x v="0"/>
    <s v="48"/>
    <s v="488"/>
    <x v="1882"/>
    <s v="General Use - Nonprogram : Parking Citations"/>
    <n v="-13576"/>
  </r>
  <r>
    <x v="2"/>
    <s v="13-000-00-695000-48881"/>
    <x v="1"/>
    <n v="0"/>
    <n v="0"/>
    <x v="47"/>
    <n v="48881"/>
    <x v="0"/>
    <s v="48"/>
    <s v="488"/>
    <x v="1883"/>
    <s v="Parking Services : Parking Fees - Restricted"/>
    <n v="-1446.18"/>
  </r>
  <r>
    <x v="2"/>
    <s v="13-210-00-695000-48881"/>
    <x v="1"/>
    <n v="210"/>
    <n v="0"/>
    <x v="47"/>
    <n v="48881"/>
    <x v="0"/>
    <s v="48"/>
    <s v="488"/>
    <x v="1884"/>
    <s v="Parking Services : Parking Fees - Restricted"/>
    <n v="0"/>
  </r>
  <r>
    <x v="2"/>
    <s v="13-210-00-695000-52350"/>
    <x v="1"/>
    <n v="210"/>
    <n v="0"/>
    <x v="47"/>
    <n v="52350"/>
    <x v="1"/>
    <s v="52"/>
    <s v="523"/>
    <x v="1885"/>
    <s v="Parking Services : Classified Student Dist Non-IA PT"/>
    <n v="0"/>
  </r>
  <r>
    <x v="2"/>
    <s v="13-210-00-695000-53620"/>
    <x v="1"/>
    <n v="210"/>
    <n v="0"/>
    <x v="47"/>
    <n v="53620"/>
    <x v="1"/>
    <s v="53"/>
    <s v="536"/>
    <x v="1886"/>
    <s v="Parking Services : WC Nonteaching"/>
    <n v="0"/>
  </r>
  <r>
    <x v="2"/>
    <s v="13-210-00-695000-55105"/>
    <x v="1"/>
    <n v="210"/>
    <n v="0"/>
    <x v="47"/>
    <n v="55105"/>
    <x v="1"/>
    <s v="55"/>
    <s v="551"/>
    <x v="1887"/>
    <s v="Parking Services : Contract Services"/>
    <n v="181303.74"/>
  </r>
  <r>
    <x v="2"/>
    <s v="13-210-00-695000-55650"/>
    <x v="1"/>
    <n v="210"/>
    <n v="0"/>
    <x v="47"/>
    <n v="55650"/>
    <x v="1"/>
    <s v="55"/>
    <s v="556"/>
    <x v="1888"/>
    <s v="Parking Services : Maintenance Agreement"/>
    <n v="4500"/>
  </r>
  <r>
    <x v="2"/>
    <s v="13-210-00-695000-55861"/>
    <x v="1"/>
    <n v="210"/>
    <n v="0"/>
    <x v="47"/>
    <n v="55861"/>
    <x v="1"/>
    <s v="55"/>
    <s v="558"/>
    <x v="1889"/>
    <s v="Parking Services : Credit Card Fees "/>
    <n v="444.74"/>
  </r>
  <r>
    <x v="2"/>
    <s v="13-210-00-702810-48682"/>
    <x v="1"/>
    <n v="210"/>
    <n v="0"/>
    <x v="120"/>
    <n v="48682"/>
    <x v="0"/>
    <s v="48"/>
    <s v="486"/>
    <x v="1890"/>
    <s v="Lottery - Prop 20 : Lottery - Prop 20"/>
    <n v="-195006.43"/>
  </r>
  <r>
    <x v="2"/>
    <s v="13-210-00-702810-54300"/>
    <x v="1"/>
    <n v="210"/>
    <n v="0"/>
    <x v="120"/>
    <n v="54300"/>
    <x v="1"/>
    <s v="54"/>
    <s v="543"/>
    <x v="1891"/>
    <s v="Lottery - Prop 20 : Supplies &amp; Materials"/>
    <n v="52915.4"/>
  </r>
  <r>
    <x v="2"/>
    <s v="13-210-00-702810-55105"/>
    <x v="1"/>
    <n v="210"/>
    <n v="0"/>
    <x v="120"/>
    <n v="55105"/>
    <x v="1"/>
    <s v="55"/>
    <s v="551"/>
    <x v="1892"/>
    <s v="Lottery - Prop 20 : Contract Services"/>
    <n v="60805.24"/>
  </r>
  <r>
    <x v="2"/>
    <s v="13-210-00-702810-56341"/>
    <x v="1"/>
    <n v="210"/>
    <n v="0"/>
    <x v="120"/>
    <n v="56341"/>
    <x v="1"/>
    <s v="56"/>
    <s v="563"/>
    <x v="1893"/>
    <s v="Lottery - Prop 20 : On-line Database Services"/>
    <n v="78904.179999999993"/>
  </r>
  <r>
    <x v="2"/>
    <s v="13-210-00-702810-56400"/>
    <x v="1"/>
    <n v="210"/>
    <n v="0"/>
    <x v="120"/>
    <n v="56400"/>
    <x v="1"/>
    <s v="56"/>
    <s v="564"/>
    <x v="1894"/>
    <s v="Lottery - Prop 20 : Cap Equip - $200 to $4,999"/>
    <n v="0"/>
  </r>
  <r>
    <x v="2"/>
    <s v="31-240-00-000000-48850"/>
    <x v="2"/>
    <n v="240"/>
    <n v="0"/>
    <x v="0"/>
    <n v="48850"/>
    <x v="0"/>
    <s v="48"/>
    <s v="488"/>
    <x v="1895"/>
    <s v="General Use - Nonprogram : Rents &amp; Leases"/>
    <n v="-41395.68"/>
  </r>
  <r>
    <x v="2"/>
    <s v="31-240-00-000000-48860"/>
    <x v="2"/>
    <n v="240"/>
    <n v="0"/>
    <x v="0"/>
    <n v="48860"/>
    <x v="0"/>
    <s v="48"/>
    <s v="488"/>
    <x v="1896"/>
    <s v="General Use - Nonprogram : Interest Income"/>
    <n v="-3673.87"/>
  </r>
  <r>
    <x v="2"/>
    <s v="31-240-00-000000-57300"/>
    <x v="2"/>
    <n v="240"/>
    <n v="0"/>
    <x v="0"/>
    <n v="57300"/>
    <x v="1"/>
    <s v="57"/>
    <s v="573"/>
    <x v="1897"/>
    <s v="General Use - Nonprogram : Interfund Transfer"/>
    <n v="0"/>
  </r>
  <r>
    <x v="2"/>
    <s v="41-200-00-000000-48816"/>
    <x v="3"/>
    <n v="200"/>
    <n v="0"/>
    <x v="0"/>
    <n v="48816"/>
    <x v="0"/>
    <s v="48"/>
    <s v="488"/>
    <x v="1898"/>
    <s v="General Use - Nonprogram : Property Tax-RDA/RPTTF"/>
    <n v="-44201"/>
  </r>
  <r>
    <x v="2"/>
    <s v="41-200-00-000000-48818"/>
    <x v="3"/>
    <n v="200"/>
    <n v="0"/>
    <x v="0"/>
    <n v="48818"/>
    <x v="0"/>
    <s v="48"/>
    <s v="488"/>
    <x v="1899"/>
    <s v="General Use - Nonprogram : RDA/RPTTF Pass-Through"/>
    <n v="-98201.94"/>
  </r>
  <r>
    <x v="2"/>
    <s v="41-200-00-000000-48860"/>
    <x v="3"/>
    <n v="200"/>
    <n v="0"/>
    <x v="0"/>
    <n v="48860"/>
    <x v="0"/>
    <s v="48"/>
    <s v="488"/>
    <x v="1900"/>
    <s v="General Use - Nonprogram : Interest Income"/>
    <n v="-9941.48"/>
  </r>
  <r>
    <x v="2"/>
    <s v="41-200-00-659010-55105"/>
    <x v="3"/>
    <n v="200"/>
    <n v="0"/>
    <x v="55"/>
    <n v="55105"/>
    <x v="1"/>
    <s v="55"/>
    <s v="551"/>
    <x v="1901"/>
    <s v="Maintenance &amp; Operations : Contract Services"/>
    <n v="0"/>
  </r>
  <r>
    <x v="2"/>
    <s v="41-200-00-659010-56400"/>
    <x v="3"/>
    <n v="200"/>
    <n v="0"/>
    <x v="55"/>
    <n v="56400"/>
    <x v="1"/>
    <s v="56"/>
    <s v="564"/>
    <x v="1902"/>
    <s v="Maintenance &amp; Operations : Cap Equip - $200 to $4,999"/>
    <n v="0"/>
  </r>
  <r>
    <x v="2"/>
    <s v="41-200-00-672020-55663"/>
    <x v="3"/>
    <n v="200"/>
    <n v="0"/>
    <x v="42"/>
    <n v="55663"/>
    <x v="1"/>
    <s v="55"/>
    <s v="556"/>
    <x v="1903"/>
    <s v="Fiscal Operations : Bank Fees"/>
    <n v="485.83"/>
  </r>
  <r>
    <x v="2"/>
    <s v="41-200-00-672020-55800"/>
    <x v="3"/>
    <n v="200"/>
    <n v="0"/>
    <x v="42"/>
    <n v="55800"/>
    <x v="1"/>
    <s v="55"/>
    <s v="558"/>
    <x v="1904"/>
    <s v="Fiscal Operations : Other Costs"/>
    <n v="467.5"/>
  </r>
  <r>
    <x v="2"/>
    <s v="41-200-00-672020-56400"/>
    <x v="3"/>
    <n v="200"/>
    <n v="0"/>
    <x v="42"/>
    <n v="56400"/>
    <x v="1"/>
    <s v="56"/>
    <s v="564"/>
    <x v="1905"/>
    <s v="Fiscal Operations : Cap Equip - $200 to $4,999"/>
    <n v="2000.01"/>
  </r>
  <r>
    <x v="2"/>
    <s v="41-210-00-672020-48890"/>
    <x v="3"/>
    <n v="210"/>
    <n v="0"/>
    <x v="42"/>
    <n v="48890"/>
    <x v="0"/>
    <s v="48"/>
    <s v="488"/>
    <x v="1906"/>
    <s v="Fiscal Operations : Other Local Income "/>
    <n v="-26318.89"/>
  </r>
  <r>
    <x v="2"/>
    <s v="41-210-00-672020-55105"/>
    <x v="3"/>
    <n v="210"/>
    <n v="0"/>
    <x v="42"/>
    <n v="55105"/>
    <x v="1"/>
    <s v="55"/>
    <s v="551"/>
    <x v="1907"/>
    <s v="Fiscal Operations : Contract Services"/>
    <n v="-37"/>
  </r>
  <r>
    <x v="2"/>
    <s v="41-210-00-672020-55600"/>
    <x v="3"/>
    <n v="210"/>
    <n v="0"/>
    <x v="42"/>
    <n v="55600"/>
    <x v="1"/>
    <s v="55"/>
    <s v="556"/>
    <x v="1908"/>
    <s v="Fiscal Operations : Rents &amp; Leases"/>
    <n v="82592.95"/>
  </r>
  <r>
    <x v="2"/>
    <s v="41-220-00-651000-55105"/>
    <x v="3"/>
    <n v="220"/>
    <n v="0"/>
    <x v="52"/>
    <n v="55105"/>
    <x v="1"/>
    <s v="55"/>
    <s v="551"/>
    <x v="1909"/>
    <s v="Building Maintenance &amp; Repairs : Contract Services"/>
    <n v="30000"/>
  </r>
  <r>
    <x v="2"/>
    <s v="41-220-00-659010-48890"/>
    <x v="3"/>
    <n v="220"/>
    <n v="0"/>
    <x v="55"/>
    <n v="48890"/>
    <x v="0"/>
    <s v="48"/>
    <s v="488"/>
    <x v="1910"/>
    <s v="Maintenance &amp; Operations : Other Local Income "/>
    <n v="0"/>
  </r>
  <r>
    <x v="2"/>
    <s v="41-220-00-659010-55105"/>
    <x v="3"/>
    <n v="220"/>
    <n v="0"/>
    <x v="55"/>
    <n v="55105"/>
    <x v="1"/>
    <s v="55"/>
    <s v="551"/>
    <x v="1911"/>
    <s v="Maintenance &amp; Operations : Contract Services"/>
    <n v="92400"/>
  </r>
  <r>
    <x v="2"/>
    <s v="41-220-00-659010-56100"/>
    <x v="3"/>
    <n v="220"/>
    <n v="0"/>
    <x v="55"/>
    <n v="56100"/>
    <x v="1"/>
    <s v="56"/>
    <s v="561"/>
    <x v="1912"/>
    <s v="Maintenance &amp; Operations : Site Improvements"/>
    <n v="0"/>
  </r>
  <r>
    <x v="2"/>
    <s v="41-220-02-651000-55105"/>
    <x v="3"/>
    <n v="220"/>
    <n v="2"/>
    <x v="52"/>
    <n v="55105"/>
    <x v="1"/>
    <s v="55"/>
    <s v="551"/>
    <x v="1913"/>
    <s v="Building Maintenance &amp; Repairs : Contract Services"/>
    <n v="0"/>
  </r>
  <r>
    <x v="2"/>
    <s v="41-304-00-190200-56400"/>
    <x v="3"/>
    <n v="304"/>
    <n v="0"/>
    <x v="22"/>
    <n v="56400"/>
    <x v="1"/>
    <s v="56"/>
    <s v="564"/>
    <x v="1914"/>
    <s v="Physics : Cap Equip - $200 to $4,999"/>
    <n v="0"/>
  </r>
  <r>
    <x v="2"/>
    <s v="41-600-00-678000-55105"/>
    <x v="3"/>
    <n v="600"/>
    <n v="0"/>
    <x v="118"/>
    <n v="55105"/>
    <x v="1"/>
    <s v="55"/>
    <s v="551"/>
    <x v="1915"/>
    <s v="Management Information Systems : Contract Services"/>
    <n v="2025"/>
  </r>
  <r>
    <x v="2"/>
    <s v="41-600-00-678000-56400"/>
    <x v="3"/>
    <n v="600"/>
    <n v="0"/>
    <x v="118"/>
    <n v="56400"/>
    <x v="1"/>
    <s v="56"/>
    <s v="564"/>
    <x v="1916"/>
    <s v="Management Information Systems : Cap Equip - $200 to $4,999"/>
    <n v="35083.85"/>
  </r>
  <r>
    <x v="2"/>
    <s v="41-600-00-678000-56405"/>
    <x v="3"/>
    <n v="600"/>
    <n v="0"/>
    <x v="118"/>
    <n v="56405"/>
    <x v="1"/>
    <s v="56"/>
    <s v="564"/>
    <x v="1917"/>
    <s v="Management Information Systems : Cap Equip - $5,000 and Over"/>
    <n v="0"/>
  </r>
  <r>
    <x v="2"/>
    <s v="44-000-00-000000-55105"/>
    <x v="4"/>
    <n v="0"/>
    <n v="0"/>
    <x v="0"/>
    <n v="55105"/>
    <x v="1"/>
    <s v="55"/>
    <s v="551"/>
    <x v="1918"/>
    <s v="General Use - Nonprogram : Contract Services"/>
    <n v="0"/>
  </r>
  <r>
    <x v="2"/>
    <s v="44-200-00-000000-48850"/>
    <x v="4"/>
    <n v="200"/>
    <n v="0"/>
    <x v="0"/>
    <n v="48850"/>
    <x v="0"/>
    <s v="48"/>
    <s v="488"/>
    <x v="1919"/>
    <s v="General Use - Nonprogram : Rents &amp; Leases"/>
    <n v="-302850.61"/>
  </r>
  <r>
    <x v="2"/>
    <s v="44-200-00-000000-48860"/>
    <x v="4"/>
    <n v="200"/>
    <n v="0"/>
    <x v="0"/>
    <n v="48860"/>
    <x v="0"/>
    <s v="48"/>
    <s v="488"/>
    <x v="1920"/>
    <s v="General Use - Nonprogram : Interest Income"/>
    <n v="-8806.3799999999992"/>
  </r>
  <r>
    <x v="2"/>
    <s v="44-200-00-000000-55105"/>
    <x v="4"/>
    <n v="200"/>
    <n v="0"/>
    <x v="0"/>
    <n v="55105"/>
    <x v="1"/>
    <s v="55"/>
    <s v="551"/>
    <x v="1921"/>
    <s v="General Use - Nonprogram : Contract Services"/>
    <n v="4319.75"/>
  </r>
  <r>
    <x v="2"/>
    <s v="44-200-00-000000-55540"/>
    <x v="4"/>
    <n v="200"/>
    <n v="0"/>
    <x v="0"/>
    <n v="55540"/>
    <x v="1"/>
    <s v="55"/>
    <s v="555"/>
    <x v="1922"/>
    <s v="General Use - Nonprogram : Gas Utility"/>
    <n v="1005.67"/>
  </r>
  <r>
    <x v="2"/>
    <s v="44-200-00-000000-55560"/>
    <x v="4"/>
    <n v="200"/>
    <n v="0"/>
    <x v="0"/>
    <n v="55560"/>
    <x v="1"/>
    <s v="55"/>
    <s v="555"/>
    <x v="1923"/>
    <s v="General Use - Nonprogram : Water Service"/>
    <n v="601.23"/>
  </r>
  <r>
    <x v="2"/>
    <s v="44-200-00-000000-55570"/>
    <x v="4"/>
    <n v="200"/>
    <n v="0"/>
    <x v="0"/>
    <n v="55570"/>
    <x v="1"/>
    <s v="55"/>
    <s v="555"/>
    <x v="1924"/>
    <s v="General Use - Nonprogram : Sewer Service"/>
    <n v="2605.5"/>
  </r>
  <r>
    <x v="2"/>
    <s v="44-200-00-000000-55580"/>
    <x v="4"/>
    <n v="200"/>
    <n v="0"/>
    <x v="0"/>
    <n v="55580"/>
    <x v="1"/>
    <s v="55"/>
    <s v="555"/>
    <x v="1925"/>
    <s v="General Use - Nonprogram : Trash Collection Service"/>
    <n v="573.57000000000005"/>
  </r>
  <r>
    <x v="2"/>
    <s v="44-200-00-000000-55600"/>
    <x v="4"/>
    <n v="200"/>
    <n v="0"/>
    <x v="0"/>
    <n v="55600"/>
    <x v="1"/>
    <s v="55"/>
    <s v="556"/>
    <x v="1926"/>
    <s v="General Use - Nonprogram : Rents &amp; Leases"/>
    <n v="0"/>
  </r>
  <r>
    <x v="2"/>
    <s v="44-200-00-000000-55642"/>
    <x v="4"/>
    <n v="200"/>
    <n v="0"/>
    <x v="0"/>
    <n v="55642"/>
    <x v="1"/>
    <s v="55"/>
    <s v="556"/>
    <x v="1927"/>
    <s v="General Use - Nonprogram : Residential Repairs (Other)"/>
    <n v="1465.5"/>
  </r>
  <r>
    <x v="2"/>
    <s v="44-200-00-000000-55650"/>
    <x v="4"/>
    <n v="200"/>
    <n v="0"/>
    <x v="0"/>
    <n v="55650"/>
    <x v="1"/>
    <s v="55"/>
    <s v="556"/>
    <x v="1928"/>
    <s v="General Use - Nonprogram : Maintenance Agreement"/>
    <n v="1099.8499999999999"/>
  </r>
  <r>
    <x v="2"/>
    <s v="44-200-00-000000-55651"/>
    <x v="4"/>
    <n v="200"/>
    <n v="0"/>
    <x v="0"/>
    <n v="55651"/>
    <x v="1"/>
    <s v="55"/>
    <s v="556"/>
    <x v="1929"/>
    <s v="General Use - Nonprogram : Equipment Repairs"/>
    <n v="298"/>
  </r>
  <r>
    <x v="2"/>
    <s v="44-200-00-000000-55800"/>
    <x v="4"/>
    <n v="200"/>
    <n v="0"/>
    <x v="0"/>
    <n v="55800"/>
    <x v="1"/>
    <s v="55"/>
    <s v="558"/>
    <x v="1930"/>
    <s v="General Use - Nonprogram : Other Costs"/>
    <n v="11797.07"/>
  </r>
  <r>
    <x v="2"/>
    <s v="44-200-00-000000-56211"/>
    <x v="4"/>
    <n v="200"/>
    <n v="0"/>
    <x v="0"/>
    <n v="56211"/>
    <x v="1"/>
    <s v="56"/>
    <s v="562"/>
    <x v="1931"/>
    <s v="General Use - Nonprogram : Arch+Engr Fees Working Drawing"/>
    <n v="0"/>
  </r>
  <r>
    <x v="2"/>
    <s v="44-200-00-000000-56400"/>
    <x v="4"/>
    <n v="200"/>
    <n v="0"/>
    <x v="0"/>
    <n v="56400"/>
    <x v="1"/>
    <s v="56"/>
    <s v="564"/>
    <x v="1932"/>
    <s v="General Use - Nonprogram : Cap Equip - $200 to $4,999"/>
    <n v="0"/>
  </r>
  <r>
    <x v="2"/>
    <s v="44-200-01-000000-55800"/>
    <x v="4"/>
    <n v="200"/>
    <n v="1"/>
    <x v="0"/>
    <n v="55800"/>
    <x v="1"/>
    <s v="55"/>
    <s v="558"/>
    <x v="1933"/>
    <s v="General Use - Nonprogram : Other Costs"/>
    <n v="7076.91"/>
  </r>
  <r>
    <x v="2"/>
    <s v="44-200-05-000000-55800"/>
    <x v="4"/>
    <n v="200"/>
    <n v="5"/>
    <x v="0"/>
    <n v="55800"/>
    <x v="1"/>
    <s v="55"/>
    <s v="558"/>
    <x v="1934"/>
    <s v="General Use - Nonprogram : Other Costs"/>
    <n v="246.94"/>
  </r>
  <r>
    <x v="2"/>
    <s v="44-220-00-000000-55105"/>
    <x v="4"/>
    <n v="220"/>
    <n v="0"/>
    <x v="0"/>
    <n v="55105"/>
    <x v="1"/>
    <s v="55"/>
    <s v="551"/>
    <x v="1935"/>
    <s v="General Use - Nonprogram : Contract Services"/>
    <n v="55146.68"/>
  </r>
  <r>
    <x v="2"/>
    <s v="44-220-00-000000-55800"/>
    <x v="4"/>
    <n v="220"/>
    <n v="0"/>
    <x v="0"/>
    <n v="55800"/>
    <x v="1"/>
    <s v="55"/>
    <s v="558"/>
    <x v="1936"/>
    <s v="General Use - Nonprogram : Other Costs"/>
    <n v="21706"/>
  </r>
  <r>
    <x v="2"/>
    <s v="44-220-00-000000-56203"/>
    <x v="4"/>
    <n v="220"/>
    <n v="0"/>
    <x v="0"/>
    <n v="56203"/>
    <x v="1"/>
    <s v="56"/>
    <s v="562"/>
    <x v="1937"/>
    <s v="General Use - Nonprogram : Inspection"/>
    <n v="30267.75"/>
  </r>
  <r>
    <x v="2"/>
    <s v="44-220-00-000000-56225"/>
    <x v="4"/>
    <n v="220"/>
    <n v="0"/>
    <x v="0"/>
    <n v="56225"/>
    <x v="1"/>
    <s v="56"/>
    <s v="562"/>
    <x v="1938"/>
    <s v="General Use - Nonprogram : New Construction"/>
    <n v="375462.3"/>
  </r>
  <r>
    <x v="2"/>
    <s v="44-220-00-000000-56400"/>
    <x v="4"/>
    <n v="220"/>
    <n v="0"/>
    <x v="0"/>
    <n v="56400"/>
    <x v="1"/>
    <s v="56"/>
    <s v="564"/>
    <x v="1939"/>
    <s v="General Use - Nonprogram : Cap Equip - $200 to $4,999"/>
    <n v="0"/>
  </r>
  <r>
    <x v="2"/>
    <s v="44-220-00-000000-56405"/>
    <x v="4"/>
    <n v="220"/>
    <n v="0"/>
    <x v="0"/>
    <n v="56405"/>
    <x v="1"/>
    <s v="56"/>
    <s v="564"/>
    <x v="1940"/>
    <s v="General Use - Nonprogram : Cap Equip - $5,000 and Over"/>
    <n v="37509.85"/>
  </r>
  <r>
    <x v="2"/>
    <s v="44-340-00-000000-56224"/>
    <x v="4"/>
    <n v="340"/>
    <n v="0"/>
    <x v="0"/>
    <n v="56224"/>
    <x v="1"/>
    <s v="56"/>
    <s v="562"/>
    <x v="1941"/>
    <s v="General Use - Nonprogram : Reconstruction"/>
    <n v="0"/>
  </r>
  <r>
    <x v="2"/>
    <s v="44-400-00-649000-56200"/>
    <x v="4"/>
    <n v="400"/>
    <n v="0"/>
    <x v="105"/>
    <n v="56200"/>
    <x v="1"/>
    <s v="56"/>
    <s v="562"/>
    <x v="1942"/>
    <s v="Miscellaneous Student Services : Building Improvements"/>
    <n v="0"/>
  </r>
  <r>
    <x v="2"/>
    <s v="46-000-00-000000-48860"/>
    <x v="5"/>
    <n v="0"/>
    <n v="0"/>
    <x v="0"/>
    <n v="48860"/>
    <x v="0"/>
    <s v="48"/>
    <s v="488"/>
    <x v="1943"/>
    <s v="General Use - Nonprogram : Interest Income"/>
    <n v="-640983.54"/>
  </r>
  <r>
    <x v="2"/>
    <s v="46-000-00-000000-56400"/>
    <x v="5"/>
    <n v="0"/>
    <n v="0"/>
    <x v="0"/>
    <n v="56400"/>
    <x v="1"/>
    <s v="56"/>
    <s v="564"/>
    <x v="1944"/>
    <s v="General Use - Nonprogram : Cap Equip - $200 to $4,999"/>
    <n v="0"/>
  </r>
  <r>
    <x v="2"/>
    <s v="46-000-00-801000-52105"/>
    <x v="5"/>
    <n v="0"/>
    <n v="0"/>
    <x v="121"/>
    <n v="52105"/>
    <x v="1"/>
    <s v="52"/>
    <s v="521"/>
    <x v="1945"/>
    <s v="Measure T Administration : Classified CSEA"/>
    <n v="110358.19"/>
  </r>
  <r>
    <x v="2"/>
    <s v="46-000-00-801000-52130"/>
    <x v="5"/>
    <n v="0"/>
    <n v="0"/>
    <x v="121"/>
    <n v="52130"/>
    <x v="1"/>
    <s v="52"/>
    <s v="521"/>
    <x v="1946"/>
    <s v="Measure T Administration : Classified Management"/>
    <n v="114978.1"/>
  </r>
  <r>
    <x v="2"/>
    <s v="46-000-00-801000-53000"/>
    <x v="5"/>
    <n v="0"/>
    <n v="0"/>
    <x v="121"/>
    <n v="53000"/>
    <x v="1"/>
    <s v="53"/>
    <s v="530"/>
    <x v="1947"/>
    <s v="Measure T Administration : Employee Benefits Control"/>
    <n v="0"/>
  </r>
  <r>
    <x v="2"/>
    <s v="46-000-00-801000-53220"/>
    <x v="5"/>
    <n v="0"/>
    <n v="0"/>
    <x v="121"/>
    <n v="53220"/>
    <x v="1"/>
    <s v="53"/>
    <s v="532"/>
    <x v="1948"/>
    <s v="Measure T Administration : PERS Nonteaching"/>
    <n v="46647.01"/>
  </r>
  <r>
    <x v="2"/>
    <s v="46-000-00-801000-53320"/>
    <x v="5"/>
    <n v="0"/>
    <n v="0"/>
    <x v="121"/>
    <n v="53320"/>
    <x v="1"/>
    <s v="53"/>
    <s v="533"/>
    <x v="1949"/>
    <s v="Measure T Administration : OASDHI (FICA) Nonteaching"/>
    <n v="12901.98"/>
  </r>
  <r>
    <x v="2"/>
    <s v="46-000-00-801000-53340"/>
    <x v="5"/>
    <n v="0"/>
    <n v="0"/>
    <x v="121"/>
    <n v="53340"/>
    <x v="1"/>
    <s v="53"/>
    <s v="533"/>
    <x v="1950"/>
    <s v="Measure T Administration : Medicare Nonteaching"/>
    <n v="3237.21"/>
  </r>
  <r>
    <x v="2"/>
    <s v="46-000-00-801000-53420"/>
    <x v="5"/>
    <n v="0"/>
    <n v="0"/>
    <x v="121"/>
    <n v="53420"/>
    <x v="1"/>
    <s v="53"/>
    <s v="534"/>
    <x v="1951"/>
    <s v="Measure T Administration : H &amp; W Nonteaching"/>
    <n v="63839.55"/>
  </r>
  <r>
    <x v="2"/>
    <s v="46-000-00-801000-53520"/>
    <x v="5"/>
    <n v="0"/>
    <n v="0"/>
    <x v="121"/>
    <n v="53520"/>
    <x v="1"/>
    <s v="53"/>
    <s v="535"/>
    <x v="1952"/>
    <s v="Measure T Administration : SUI Nonteaching"/>
    <n v="112.66"/>
  </r>
  <r>
    <x v="2"/>
    <s v="46-000-00-801000-53620"/>
    <x v="5"/>
    <n v="0"/>
    <n v="0"/>
    <x v="121"/>
    <n v="53620"/>
    <x v="1"/>
    <s v="53"/>
    <s v="536"/>
    <x v="1953"/>
    <s v="Measure T Administration : WC Nonteaching"/>
    <n v="4265.8599999999997"/>
  </r>
  <r>
    <x v="2"/>
    <s v="46-000-00-801000-55630"/>
    <x v="5"/>
    <n v="0"/>
    <n v="0"/>
    <x v="121"/>
    <n v="55630"/>
    <x v="1"/>
    <s v="55"/>
    <s v="556"/>
    <x v="1954"/>
    <s v="Measure T Administration : Printing &amp; Duplicating - Inhouse"/>
    <n v="645.26"/>
  </r>
  <r>
    <x v="2"/>
    <s v="46-000-00-801000-55700"/>
    <x v="5"/>
    <n v="0"/>
    <n v="0"/>
    <x v="121"/>
    <n v="55700"/>
    <x v="1"/>
    <s v="55"/>
    <s v="557"/>
    <x v="1955"/>
    <s v="Measure T Administration : Legal &amp; Audit Expenses"/>
    <n v="0"/>
  </r>
  <r>
    <x v="2"/>
    <s v="46-000-00-801000-55710"/>
    <x v="5"/>
    <n v="0"/>
    <n v="0"/>
    <x v="121"/>
    <n v="55710"/>
    <x v="1"/>
    <s v="55"/>
    <s v="557"/>
    <x v="1956"/>
    <s v="Measure T Administration : Elections"/>
    <n v="-341515.21"/>
  </r>
  <r>
    <x v="2"/>
    <s v="46-001-00-880000-54300"/>
    <x v="5"/>
    <n v="1"/>
    <n v="0"/>
    <x v="122"/>
    <n v="54300"/>
    <x v="1"/>
    <s v="54"/>
    <s v="543"/>
    <x v="1957"/>
    <s v="Measure T-Proj Adm : Supplies &amp; Materials"/>
    <n v="335.57"/>
  </r>
  <r>
    <x v="2"/>
    <s v="46-001-00-880000-55200"/>
    <x v="5"/>
    <n v="1"/>
    <n v="0"/>
    <x v="122"/>
    <n v="55200"/>
    <x v="1"/>
    <s v="55"/>
    <s v="552"/>
    <x v="1958"/>
    <s v="Measure T-Proj Adm : Travel &amp; Conference"/>
    <n v="761.86"/>
  </r>
  <r>
    <x v="2"/>
    <s v="46-001-00-880000-55635"/>
    <x v="5"/>
    <n v="1"/>
    <n v="0"/>
    <x v="122"/>
    <n v="55635"/>
    <x v="1"/>
    <s v="55"/>
    <s v="556"/>
    <x v="1959"/>
    <s v="Measure T-Proj Adm : Printing Services - Vendor"/>
    <n v="21.48"/>
  </r>
  <r>
    <x v="2"/>
    <s v="46-001-00-880000-55700"/>
    <x v="5"/>
    <n v="1"/>
    <n v="0"/>
    <x v="122"/>
    <n v="55700"/>
    <x v="1"/>
    <s v="55"/>
    <s v="557"/>
    <x v="1960"/>
    <s v="Measure T-Proj Adm : Legal &amp; Audit Expenses"/>
    <n v="9430.69"/>
  </r>
  <r>
    <x v="2"/>
    <s v="46-001-00-880100-55200"/>
    <x v="5"/>
    <n v="1"/>
    <n v="0"/>
    <x v="123"/>
    <n v="55200"/>
    <x v="1"/>
    <s v="55"/>
    <s v="552"/>
    <x v="1961"/>
    <s v="Soledad Education Center : Travel &amp; Conference"/>
    <n v="119.5"/>
  </r>
  <r>
    <x v="2"/>
    <s v="46-001-00-880200-56203"/>
    <x v="5"/>
    <n v="1"/>
    <n v="0"/>
    <x v="124"/>
    <n v="56203"/>
    <x v="1"/>
    <s v="56"/>
    <s v="562"/>
    <x v="1962"/>
    <s v="HC Center for Nursing &amp; Health : Inspection"/>
    <n v="274200"/>
  </r>
  <r>
    <x v="2"/>
    <s v="46-001-00-880200-56210"/>
    <x v="5"/>
    <n v="1"/>
    <n v="0"/>
    <x v="124"/>
    <n v="56210"/>
    <x v="1"/>
    <s v="56"/>
    <s v="562"/>
    <x v="1963"/>
    <s v="HC Center for Nursing &amp; Health : Arch+Engr Fees Prelim Plans"/>
    <n v="177147.44"/>
  </r>
  <r>
    <x v="2"/>
    <s v="46-001-00-880200-56220"/>
    <x v="5"/>
    <n v="1"/>
    <n v="0"/>
    <x v="124"/>
    <n v="56220"/>
    <x v="1"/>
    <s v="56"/>
    <s v="562"/>
    <x v="1964"/>
    <s v="HC Center for Nursing &amp; Health : Utility Service"/>
    <n v="21390.12"/>
  </r>
  <r>
    <x v="2"/>
    <s v="46-001-00-880200-56222"/>
    <x v="5"/>
    <n v="1"/>
    <n v="0"/>
    <x v="124"/>
    <n v="56222"/>
    <x v="1"/>
    <s v="56"/>
    <s v="562"/>
    <x v="1965"/>
    <s v="HC Center for Nursing &amp; Health : Site Development General"/>
    <n v="21390.12"/>
  </r>
  <r>
    <x v="2"/>
    <s v="46-001-00-880200-56223"/>
    <x v="5"/>
    <n v="1"/>
    <n v="0"/>
    <x v="124"/>
    <n v="56223"/>
    <x v="1"/>
    <s v="56"/>
    <s v="562"/>
    <x v="1966"/>
    <s v="HC Center for Nursing &amp; Health : Other Site Development"/>
    <n v="25620"/>
  </r>
  <r>
    <x v="2"/>
    <s v="46-001-00-880200-56225"/>
    <x v="5"/>
    <n v="1"/>
    <n v="0"/>
    <x v="124"/>
    <n v="56225"/>
    <x v="1"/>
    <s v="56"/>
    <s v="562"/>
    <x v="1967"/>
    <s v="HC Center for Nursing &amp; Health : New Construction"/>
    <n v="11144411.59"/>
  </r>
  <r>
    <x v="2"/>
    <s v="46-001-00-880200-56250"/>
    <x v="5"/>
    <n v="1"/>
    <n v="0"/>
    <x v="124"/>
    <n v="56250"/>
    <x v="1"/>
    <s v="56"/>
    <s v="562"/>
    <x v="1968"/>
    <s v="HC Center for Nursing &amp; Health : Tests and Inspections"/>
    <n v="261496.5"/>
  </r>
  <r>
    <x v="2"/>
    <s v="46-001-00-880300-56215"/>
    <x v="5"/>
    <n v="1"/>
    <n v="0"/>
    <x v="125"/>
    <n v="56215"/>
    <x v="1"/>
    <s v="56"/>
    <s v="562"/>
    <x v="1969"/>
    <s v="NM Cty Education Center : Preliminary Tests"/>
    <n v="23278.799999999999"/>
  </r>
  <r>
    <x v="2"/>
    <s v="46-001-00-880400-56203"/>
    <x v="5"/>
    <n v="1"/>
    <n v="0"/>
    <x v="126"/>
    <n v="56203"/>
    <x v="1"/>
    <s v="56"/>
    <s v="562"/>
    <x v="1970"/>
    <s v="MC Hartnell Center-Bldg D &amp; E : Inspection"/>
    <n v="141040"/>
  </r>
  <r>
    <x v="2"/>
    <s v="46-001-00-880400-56210"/>
    <x v="5"/>
    <n v="1"/>
    <n v="0"/>
    <x v="126"/>
    <n v="56210"/>
    <x v="1"/>
    <s v="56"/>
    <s v="562"/>
    <x v="1971"/>
    <s v="MC Hartnell Center-Bldg D &amp; E : Arch+Engr Fees Prelim Plans"/>
    <n v="214444.86"/>
  </r>
  <r>
    <x v="2"/>
    <s v="46-001-00-880400-56217"/>
    <x v="5"/>
    <n v="1"/>
    <n v="0"/>
    <x v="126"/>
    <n v="56217"/>
    <x v="1"/>
    <s v="56"/>
    <s v="562"/>
    <x v="1972"/>
    <s v="MC Hartnell Center-Bldg D &amp; E : Permits and Fees"/>
    <n v="553"/>
  </r>
  <r>
    <x v="2"/>
    <s v="46-001-00-880400-56218"/>
    <x v="5"/>
    <n v="1"/>
    <n v="0"/>
    <x v="126"/>
    <n v="56218"/>
    <x v="1"/>
    <s v="56"/>
    <s v="562"/>
    <x v="1973"/>
    <s v="MC Hartnell Center-Bldg D &amp; E : Fixtures, Furniture &amp; Equip."/>
    <n v="275606.09000000003"/>
  </r>
  <r>
    <x v="2"/>
    <s v="46-001-00-880400-56223"/>
    <x v="5"/>
    <n v="1"/>
    <n v="0"/>
    <x v="126"/>
    <n v="56223"/>
    <x v="1"/>
    <s v="56"/>
    <s v="562"/>
    <x v="1974"/>
    <s v="MC Hartnell Center-Bldg D &amp; E : Other Site Development"/>
    <n v="18273.75"/>
  </r>
  <r>
    <x v="2"/>
    <s v="46-001-00-880400-56224"/>
    <x v="5"/>
    <n v="1"/>
    <n v="0"/>
    <x v="126"/>
    <n v="56224"/>
    <x v="1"/>
    <s v="56"/>
    <s v="562"/>
    <x v="1975"/>
    <s v="MC Hartnell Center-Bldg D &amp; E : Reconstruction"/>
    <n v="5620339.4000000004"/>
  </r>
  <r>
    <x v="2"/>
    <s v="46-001-00-880400-56250"/>
    <x v="5"/>
    <n v="1"/>
    <n v="0"/>
    <x v="126"/>
    <n v="56250"/>
    <x v="1"/>
    <s v="56"/>
    <s v="562"/>
    <x v="1976"/>
    <s v="MC Hartnell Center-Bldg D &amp; E : Tests and Inspections"/>
    <n v="67778.28"/>
  </r>
  <r>
    <x v="2"/>
    <s v="46-001-00-881100-56226"/>
    <x v="5"/>
    <n v="1"/>
    <n v="0"/>
    <x v="127"/>
    <n v="56226"/>
    <x v="1"/>
    <s v="56"/>
    <s v="562"/>
    <x v="1977"/>
    <s v="IT/Safety/Energy Efficiency Pr : Other Costs"/>
    <n v="146321.64000000001"/>
  </r>
  <r>
    <x v="2"/>
    <s v="46-001-02-880500-56202"/>
    <x v="5"/>
    <n v="1"/>
    <n v="2"/>
    <x v="128"/>
    <n v="56202"/>
    <x v="1"/>
    <s v="56"/>
    <s v="562"/>
    <x v="1978"/>
    <s v="King City Education Center : Construction Costs"/>
    <n v="1848"/>
  </r>
  <r>
    <x v="2"/>
    <s v="46-001-02-880500-56203"/>
    <x v="5"/>
    <n v="1"/>
    <n v="2"/>
    <x v="128"/>
    <n v="56203"/>
    <x v="1"/>
    <s v="56"/>
    <s v="562"/>
    <x v="1979"/>
    <s v="King City Education Center : Inspection"/>
    <n v="93200"/>
  </r>
  <r>
    <x v="2"/>
    <s v="46-001-02-880500-56210"/>
    <x v="5"/>
    <n v="1"/>
    <n v="2"/>
    <x v="128"/>
    <n v="56210"/>
    <x v="1"/>
    <s v="56"/>
    <s v="562"/>
    <x v="1980"/>
    <s v="King City Education Center : Arch+Engr Fees Prelim Plans"/>
    <n v="215144.62"/>
  </r>
  <r>
    <x v="2"/>
    <s v="46-001-02-880500-56218"/>
    <x v="5"/>
    <n v="1"/>
    <n v="2"/>
    <x v="128"/>
    <n v="56218"/>
    <x v="1"/>
    <s v="56"/>
    <s v="562"/>
    <x v="1981"/>
    <s v="King City Education Center : Fixtures, Furniture &amp; Equip."/>
    <n v="395004.88"/>
  </r>
  <r>
    <x v="2"/>
    <s v="46-001-02-880500-56225"/>
    <x v="5"/>
    <n v="1"/>
    <n v="2"/>
    <x v="128"/>
    <n v="56225"/>
    <x v="1"/>
    <s v="56"/>
    <s v="562"/>
    <x v="1982"/>
    <s v="King City Education Center : New Construction"/>
    <n v="6394913.3499999996"/>
  </r>
  <r>
    <x v="2"/>
    <s v="46-001-02-880500-56250"/>
    <x v="5"/>
    <n v="1"/>
    <n v="2"/>
    <x v="128"/>
    <n v="56250"/>
    <x v="1"/>
    <s v="56"/>
    <s v="562"/>
    <x v="1983"/>
    <s v="King City Education Center : Tests and Inspections"/>
    <n v="79993.8"/>
  </r>
  <r>
    <x v="2"/>
    <s v="46-001-04-880100-56203"/>
    <x v="5"/>
    <n v="1"/>
    <n v="4"/>
    <x v="123"/>
    <n v="56203"/>
    <x v="1"/>
    <s v="56"/>
    <s v="562"/>
    <x v="1984"/>
    <s v="Soledad Education Center : Inspection"/>
    <n v="84900"/>
  </r>
  <r>
    <x v="2"/>
    <s v="46-001-04-880100-56210"/>
    <x v="5"/>
    <n v="1"/>
    <n v="4"/>
    <x v="123"/>
    <n v="56210"/>
    <x v="1"/>
    <s v="56"/>
    <s v="562"/>
    <x v="1985"/>
    <s v="Soledad Education Center : Arch+Engr Fees Prelim Plans"/>
    <n v="128836.88"/>
  </r>
  <r>
    <x v="2"/>
    <s v="46-001-04-880100-56217"/>
    <x v="5"/>
    <n v="1"/>
    <n v="4"/>
    <x v="123"/>
    <n v="56217"/>
    <x v="1"/>
    <s v="56"/>
    <s v="562"/>
    <x v="1986"/>
    <s v="Soledad Education Center : Permits and Fees"/>
    <n v="553"/>
  </r>
  <r>
    <x v="2"/>
    <s v="46-001-04-880100-56218"/>
    <x v="5"/>
    <n v="1"/>
    <n v="4"/>
    <x v="123"/>
    <n v="56218"/>
    <x v="1"/>
    <s v="56"/>
    <s v="562"/>
    <x v="1987"/>
    <s v="Soledad Education Center : Fixtures, Furniture &amp; Equip."/>
    <n v="523582.8"/>
  </r>
  <r>
    <x v="2"/>
    <s v="46-001-04-880100-56220"/>
    <x v="5"/>
    <n v="1"/>
    <n v="4"/>
    <x v="123"/>
    <n v="56220"/>
    <x v="1"/>
    <s v="56"/>
    <s v="562"/>
    <x v="1988"/>
    <s v="Soledad Education Center : Utility Service"/>
    <n v="1611.9"/>
  </r>
  <r>
    <x v="2"/>
    <s v="46-001-04-880100-56225"/>
    <x v="5"/>
    <n v="1"/>
    <n v="4"/>
    <x v="123"/>
    <n v="56225"/>
    <x v="1"/>
    <s v="56"/>
    <s v="562"/>
    <x v="1989"/>
    <s v="Soledad Education Center : New Construction"/>
    <n v="6926402.2700000005"/>
  </r>
  <r>
    <x v="2"/>
    <s v="46-001-04-880100-56250"/>
    <x v="5"/>
    <n v="1"/>
    <n v="4"/>
    <x v="123"/>
    <n v="56250"/>
    <x v="1"/>
    <s v="56"/>
    <s v="562"/>
    <x v="1990"/>
    <s v="Soledad Education Center : Tests and Inspections"/>
    <n v="74849.3"/>
  </r>
  <r>
    <x v="2"/>
    <s v="46-001-05-880300-56203"/>
    <x v="5"/>
    <n v="1"/>
    <n v="5"/>
    <x v="125"/>
    <n v="56203"/>
    <x v="1"/>
    <s v="56"/>
    <s v="562"/>
    <x v="1991"/>
    <s v="NM Cty Education Center : Inspection"/>
    <n v="192000"/>
  </r>
  <r>
    <x v="2"/>
    <s v="46-001-05-880300-56211"/>
    <x v="5"/>
    <n v="1"/>
    <n v="5"/>
    <x v="125"/>
    <n v="56211"/>
    <x v="1"/>
    <s v="56"/>
    <s v="562"/>
    <x v="1992"/>
    <s v="NM Cty Education Center : Arch+Engr Fees Working Drawing"/>
    <n v="59121.25"/>
  </r>
  <r>
    <x v="2"/>
    <s v="46-001-05-880300-56215"/>
    <x v="5"/>
    <n v="1"/>
    <n v="5"/>
    <x v="125"/>
    <n v="56215"/>
    <x v="1"/>
    <s v="56"/>
    <s v="562"/>
    <x v="1993"/>
    <s v="NM Cty Education Center : Preliminary Tests"/>
    <n v="6150"/>
  </r>
  <r>
    <x v="2"/>
    <s v="46-001-05-880300-56216"/>
    <x v="5"/>
    <n v="1"/>
    <n v="5"/>
    <x v="125"/>
    <n v="56216"/>
    <x v="1"/>
    <s v="56"/>
    <s v="562"/>
    <x v="1994"/>
    <s v="NM Cty Education Center : Other Costs"/>
    <n v="6954.19"/>
  </r>
  <r>
    <x v="2"/>
    <s v="46-001-05-880300-56217"/>
    <x v="5"/>
    <n v="1"/>
    <n v="5"/>
    <x v="125"/>
    <n v="56217"/>
    <x v="1"/>
    <s v="56"/>
    <s v="562"/>
    <x v="1995"/>
    <s v="NM Cty Education Center : Permits and Fees"/>
    <n v="465"/>
  </r>
  <r>
    <x v="2"/>
    <s v="46-001-05-880300-56218"/>
    <x v="5"/>
    <n v="1"/>
    <n v="5"/>
    <x v="125"/>
    <n v="56218"/>
    <x v="1"/>
    <s v="56"/>
    <s v="562"/>
    <x v="1996"/>
    <s v="NM Cty Education Center : Fixtures, Furniture &amp; Equip."/>
    <n v="32832.080000000002"/>
  </r>
  <r>
    <x v="2"/>
    <s v="46-001-05-880300-56220"/>
    <x v="5"/>
    <n v="1"/>
    <n v="5"/>
    <x v="125"/>
    <n v="56220"/>
    <x v="1"/>
    <s v="56"/>
    <s v="562"/>
    <x v="1997"/>
    <s v="NM Cty Education Center : Utility Service"/>
    <n v="28121.11"/>
  </r>
  <r>
    <x v="2"/>
    <s v="46-001-05-880300-56223"/>
    <x v="5"/>
    <n v="1"/>
    <n v="5"/>
    <x v="125"/>
    <n v="56223"/>
    <x v="1"/>
    <s v="56"/>
    <s v="562"/>
    <x v="1998"/>
    <s v="NM Cty Education Center : Other Site Development"/>
    <n v="7451.5"/>
  </r>
  <r>
    <x v="2"/>
    <s v="46-001-05-880300-56225"/>
    <x v="5"/>
    <n v="1"/>
    <n v="5"/>
    <x v="125"/>
    <n v="56225"/>
    <x v="1"/>
    <s v="56"/>
    <s v="562"/>
    <x v="1999"/>
    <s v="NM Cty Education Center : New Construction"/>
    <n v="11120065.199999999"/>
  </r>
  <r>
    <x v="2"/>
    <s v="46-001-05-880300-56250"/>
    <x v="5"/>
    <n v="1"/>
    <n v="5"/>
    <x v="125"/>
    <n v="56250"/>
    <x v="1"/>
    <s v="56"/>
    <s v="562"/>
    <x v="2000"/>
    <s v="NM Cty Education Center : Tests and Inspections"/>
    <n v="142248.5"/>
  </r>
  <r>
    <x v="2"/>
    <s v="46-002-00-000000-48940"/>
    <x v="5"/>
    <n v="2"/>
    <n v="0"/>
    <x v="0"/>
    <n v="48940"/>
    <x v="0"/>
    <s v="48"/>
    <s v="489"/>
    <x v="2001"/>
    <s v="General Use - Nonprogram : Sale of Bonds"/>
    <n v="-69420484.790000007"/>
  </r>
  <r>
    <x v="2"/>
    <s v="46-002-00-880250-56203"/>
    <x v="5"/>
    <n v="2"/>
    <n v="0"/>
    <x v="129"/>
    <n v="56203"/>
    <x v="1"/>
    <s v="56"/>
    <s v="562"/>
    <x v="2002"/>
    <s v="Bldg. B 2nd Floor Reno : Inspection"/>
    <n v="0"/>
  </r>
  <r>
    <x v="2"/>
    <s v="46-002-00-880250-56211"/>
    <x v="5"/>
    <n v="2"/>
    <n v="0"/>
    <x v="129"/>
    <n v="56211"/>
    <x v="1"/>
    <s v="56"/>
    <s v="562"/>
    <x v="2003"/>
    <s v="Bldg. B 2nd Floor Reno : Arch+Engr Fees Working Drawing"/>
    <n v="64153.24"/>
  </r>
  <r>
    <x v="2"/>
    <s v="46-002-00-880250-56224"/>
    <x v="5"/>
    <n v="2"/>
    <n v="0"/>
    <x v="129"/>
    <n v="56224"/>
    <x v="1"/>
    <s v="56"/>
    <s v="562"/>
    <x v="2004"/>
    <s v="Bldg. B 2nd Floor Reno : Reconstruction"/>
    <n v="0"/>
  </r>
  <r>
    <x v="2"/>
    <s v="46-002-00-880350-56200"/>
    <x v="5"/>
    <n v="2"/>
    <n v="0"/>
    <x v="130"/>
    <n v="56200"/>
    <x v="1"/>
    <s v="56"/>
    <s v="562"/>
    <x v="2005"/>
    <s v="Building C reroof : Building Improvements"/>
    <n v="1507426"/>
  </r>
  <r>
    <x v="2"/>
    <s v="46-002-00-880450-56216"/>
    <x v="5"/>
    <n v="2"/>
    <n v="0"/>
    <x v="131"/>
    <n v="56216"/>
    <x v="1"/>
    <s v="56"/>
    <s v="562"/>
    <x v="2006"/>
    <s v="MC Disability Access Eval. : Other Costs"/>
    <n v="21.85"/>
  </r>
  <r>
    <x v="2"/>
    <s v="46-002-00-880450-56250"/>
    <x v="5"/>
    <n v="2"/>
    <n v="0"/>
    <x v="131"/>
    <n v="56250"/>
    <x v="1"/>
    <s v="56"/>
    <s v="562"/>
    <x v="2007"/>
    <s v="MC Disability Access Eval. : Tests and Inspections"/>
    <n v="80700"/>
  </r>
  <r>
    <x v="2"/>
    <s v="46-002-00-880700-56224"/>
    <x v="5"/>
    <n v="2"/>
    <n v="0"/>
    <x v="132"/>
    <n v="56224"/>
    <x v="1"/>
    <s v="56"/>
    <s v="562"/>
    <x v="2008"/>
    <s v="Main Campus-Bldg F,G &amp; H : Reconstruction"/>
    <n v="0"/>
  </r>
  <r>
    <x v="2"/>
    <s v="46-002-00-880750-56224"/>
    <x v="5"/>
    <n v="2"/>
    <n v="0"/>
    <x v="133"/>
    <n v="56224"/>
    <x v="1"/>
    <s v="56"/>
    <s v="562"/>
    <x v="2009"/>
    <s v="PE Fields Reno : Reconstruction"/>
    <n v="0"/>
  </r>
  <r>
    <x v="2"/>
    <s v="46-002-00-880800-56211"/>
    <x v="5"/>
    <n v="2"/>
    <n v="0"/>
    <x v="134"/>
    <n v="56211"/>
    <x v="1"/>
    <s v="56"/>
    <s v="562"/>
    <x v="2010"/>
    <s v="Main Campus-Bldg K : Arch+Engr Fees Working Drawing"/>
    <n v="856500"/>
  </r>
  <r>
    <x v="2"/>
    <s v="46-002-00-880800-56215"/>
    <x v="5"/>
    <n v="2"/>
    <n v="0"/>
    <x v="134"/>
    <n v="56215"/>
    <x v="1"/>
    <s v="56"/>
    <s v="562"/>
    <x v="2011"/>
    <s v="Main Campus-Bldg K : Preliminary Tests"/>
    <n v="6530"/>
  </r>
  <r>
    <x v="2"/>
    <s v="46-002-00-880800-56223"/>
    <x v="5"/>
    <n v="2"/>
    <n v="0"/>
    <x v="134"/>
    <n v="56223"/>
    <x v="1"/>
    <s v="56"/>
    <s v="562"/>
    <x v="2012"/>
    <s v="Main Campus-Bldg K : Other Site Development"/>
    <n v="2450"/>
  </r>
  <r>
    <x v="2"/>
    <s v="46-002-00-880800-56224"/>
    <x v="5"/>
    <n v="2"/>
    <n v="0"/>
    <x v="134"/>
    <n v="56224"/>
    <x v="1"/>
    <s v="56"/>
    <s v="562"/>
    <x v="2013"/>
    <s v="Main Campus-Bldg K : Reconstruction"/>
    <n v="0"/>
  </r>
  <r>
    <x v="2"/>
    <s v="46-002-00-880800-56250"/>
    <x v="5"/>
    <n v="2"/>
    <n v="0"/>
    <x v="134"/>
    <n v="56250"/>
    <x v="1"/>
    <s v="56"/>
    <s v="562"/>
    <x v="2014"/>
    <s v="Main Campus-Bldg K : Tests and Inspections"/>
    <n v="38000"/>
  </r>
  <r>
    <x v="2"/>
    <s v="46-002-00-880900-56211"/>
    <x v="5"/>
    <n v="2"/>
    <n v="0"/>
    <x v="135"/>
    <n v="56211"/>
    <x v="1"/>
    <s v="56"/>
    <s v="562"/>
    <x v="2015"/>
    <s v="Main Campus-Bldg J : Arch+Engr Fees Working Drawing"/>
    <n v="605000"/>
  </r>
  <r>
    <x v="2"/>
    <s v="46-002-00-880900-56215"/>
    <x v="5"/>
    <n v="2"/>
    <n v="0"/>
    <x v="135"/>
    <n v="56215"/>
    <x v="1"/>
    <s v="56"/>
    <s v="562"/>
    <x v="2016"/>
    <s v="Main Campus-Bldg J : Preliminary Tests"/>
    <n v="7020"/>
  </r>
  <r>
    <x v="2"/>
    <s v="46-002-00-880900-56223"/>
    <x v="5"/>
    <n v="2"/>
    <n v="0"/>
    <x v="135"/>
    <n v="56223"/>
    <x v="1"/>
    <s v="56"/>
    <s v="562"/>
    <x v="2017"/>
    <s v="Main Campus-Bldg J : Other Site Development"/>
    <n v="0"/>
  </r>
  <r>
    <x v="2"/>
    <s v="46-002-01-880600-56211"/>
    <x v="5"/>
    <n v="2"/>
    <n v="1"/>
    <x v="136"/>
    <n v="56211"/>
    <x v="1"/>
    <s v="56"/>
    <s v="562"/>
    <x v="2018"/>
    <s v="Alisal Project : Arch+Engr Fees Working Drawing"/>
    <n v="0"/>
  </r>
  <r>
    <x v="2"/>
    <s v="46-002-02-880500-55575"/>
    <x v="5"/>
    <n v="2"/>
    <n v="2"/>
    <x v="128"/>
    <n v="55575"/>
    <x v="1"/>
    <s v="55"/>
    <s v="555"/>
    <x v="2019"/>
    <s v="King City Education Center : Hazardous Waste Disposal"/>
    <n v="0"/>
  </r>
  <r>
    <x v="2"/>
    <s v="46-002-02-880500-56203"/>
    <x v="5"/>
    <n v="2"/>
    <n v="2"/>
    <x v="128"/>
    <n v="56203"/>
    <x v="1"/>
    <s v="56"/>
    <s v="562"/>
    <x v="2020"/>
    <s v="King City Education Center : Inspection"/>
    <n v="0"/>
  </r>
  <r>
    <x v="2"/>
    <s v="46-002-02-880500-56211"/>
    <x v="5"/>
    <n v="2"/>
    <n v="2"/>
    <x v="128"/>
    <n v="56211"/>
    <x v="1"/>
    <s v="56"/>
    <s v="562"/>
    <x v="2021"/>
    <s v="King City Education Center : Arch+Engr Fees Working Drawing"/>
    <n v="0"/>
  </r>
  <r>
    <x v="2"/>
    <s v="52-230-00-000000-48844"/>
    <x v="6"/>
    <n v="230"/>
    <n v="0"/>
    <x v="0"/>
    <n v="48844"/>
    <x v="0"/>
    <s v="48"/>
    <s v="488"/>
    <x v="2022"/>
    <s v="General Use - Nonprogram : Food Service Sales"/>
    <n v="-10024.09"/>
  </r>
  <r>
    <x v="2"/>
    <s v="52-230-00-000000-48845"/>
    <x v="6"/>
    <n v="230"/>
    <n v="0"/>
    <x v="0"/>
    <n v="48845"/>
    <x v="0"/>
    <s v="48"/>
    <s v="488"/>
    <x v="2023"/>
    <s v="General Use - Nonprogram : Vending Machine Sales"/>
    <n v="-13419.01"/>
  </r>
  <r>
    <x v="2"/>
    <s v="52-230-00-000000-48849"/>
    <x v="6"/>
    <n v="230"/>
    <n v="0"/>
    <x v="0"/>
    <n v="48849"/>
    <x v="0"/>
    <s v="48"/>
    <s v="488"/>
    <x v="2024"/>
    <s v="General Use - Nonprogram : ATM Sales"/>
    <n v="0"/>
  </r>
  <r>
    <x v="2"/>
    <s v="52-230-00-000000-48860"/>
    <x v="6"/>
    <n v="230"/>
    <n v="0"/>
    <x v="0"/>
    <n v="48860"/>
    <x v="0"/>
    <s v="48"/>
    <s v="488"/>
    <x v="2025"/>
    <s v="General Use - Nonprogram : Interest Income"/>
    <n v="-709.7"/>
  </r>
  <r>
    <x v="2"/>
    <s v="52-230-00-000000-52105"/>
    <x v="6"/>
    <n v="230"/>
    <n v="0"/>
    <x v="0"/>
    <n v="52105"/>
    <x v="1"/>
    <s v="52"/>
    <s v="521"/>
    <x v="2026"/>
    <s v="General Use - Nonprogram : Classified CSEA"/>
    <n v="0"/>
  </r>
  <r>
    <x v="2"/>
    <s v="52-230-00-000000-52115"/>
    <x v="6"/>
    <n v="230"/>
    <n v="0"/>
    <x v="0"/>
    <n v="52115"/>
    <x v="1"/>
    <s v="52"/>
    <s v="521"/>
    <x v="2027"/>
    <s v="General Use - Nonprogram : Classified Supervisory"/>
    <n v="2445.9"/>
  </r>
  <r>
    <x v="2"/>
    <s v="52-230-00-000000-52120"/>
    <x v="6"/>
    <n v="230"/>
    <n v="0"/>
    <x v="0"/>
    <n v="52120"/>
    <x v="1"/>
    <s v="52"/>
    <s v="521"/>
    <x v="2028"/>
    <s v="General Use - Nonprogram : Classified Confidential"/>
    <n v="1752.5"/>
  </r>
  <r>
    <x v="2"/>
    <s v="52-230-00-000000-52125"/>
    <x v="6"/>
    <n v="230"/>
    <n v="0"/>
    <x v="0"/>
    <n v="52125"/>
    <x v="1"/>
    <s v="52"/>
    <s v="521"/>
    <x v="2029"/>
    <s v="General Use - Nonprogram : Classified L-39"/>
    <n v="0"/>
  </r>
  <r>
    <x v="2"/>
    <s v="52-230-00-000000-52130"/>
    <x v="6"/>
    <n v="230"/>
    <n v="0"/>
    <x v="0"/>
    <n v="52130"/>
    <x v="1"/>
    <s v="52"/>
    <s v="521"/>
    <x v="2030"/>
    <s v="General Use - Nonprogram : Classified Management"/>
    <n v="0"/>
  </r>
  <r>
    <x v="2"/>
    <s v="52-230-00-000000-52300"/>
    <x v="6"/>
    <n v="230"/>
    <n v="0"/>
    <x v="0"/>
    <n v="52300"/>
    <x v="1"/>
    <s v="52"/>
    <s v="523"/>
    <x v="2031"/>
    <s v="General Use - Nonprogram : Classified Overtime"/>
    <n v="535.91999999999996"/>
  </r>
  <r>
    <x v="2"/>
    <s v="52-230-00-000000-52310"/>
    <x v="6"/>
    <n v="230"/>
    <n v="0"/>
    <x v="0"/>
    <n v="52310"/>
    <x v="1"/>
    <s v="52"/>
    <s v="523"/>
    <x v="2032"/>
    <s v="General Use - Nonprogram : Classified Student FWS Non-IA"/>
    <n v="0"/>
  </r>
  <r>
    <x v="2"/>
    <s v="52-230-00-000000-52350"/>
    <x v="6"/>
    <n v="230"/>
    <n v="0"/>
    <x v="0"/>
    <n v="52350"/>
    <x v="1"/>
    <s v="52"/>
    <s v="523"/>
    <x v="2033"/>
    <s v="General Use - Nonprogram : Classified Student Dist Non-IA PT"/>
    <n v="0"/>
  </r>
  <r>
    <x v="2"/>
    <s v="52-230-00-000000-53220"/>
    <x v="6"/>
    <n v="230"/>
    <n v="0"/>
    <x v="0"/>
    <n v="53220"/>
    <x v="1"/>
    <s v="53"/>
    <s v="532"/>
    <x v="2034"/>
    <s v="General Use - Nonprogram : PERS Nonteaching"/>
    <n v="958.12"/>
  </r>
  <r>
    <x v="2"/>
    <s v="52-230-00-000000-53320"/>
    <x v="6"/>
    <n v="230"/>
    <n v="0"/>
    <x v="0"/>
    <n v="53320"/>
    <x v="1"/>
    <s v="53"/>
    <s v="533"/>
    <x v="2035"/>
    <s v="General Use - Nonprogram : OASDHI (FICA) Nonteaching"/>
    <n v="284.19"/>
  </r>
  <r>
    <x v="2"/>
    <s v="52-230-00-000000-53340"/>
    <x v="6"/>
    <n v="230"/>
    <n v="0"/>
    <x v="0"/>
    <n v="53340"/>
    <x v="1"/>
    <s v="53"/>
    <s v="533"/>
    <x v="2036"/>
    <s v="General Use - Nonprogram : Medicare Nonteaching"/>
    <n v="66.53"/>
  </r>
  <r>
    <x v="2"/>
    <s v="52-230-00-000000-53420"/>
    <x v="6"/>
    <n v="230"/>
    <n v="0"/>
    <x v="0"/>
    <n v="53420"/>
    <x v="1"/>
    <s v="53"/>
    <s v="534"/>
    <x v="2037"/>
    <s v="General Use - Nonprogram : H &amp; W Nonteaching"/>
    <n v="1279.8499999999999"/>
  </r>
  <r>
    <x v="2"/>
    <s v="52-230-00-000000-53520"/>
    <x v="6"/>
    <n v="230"/>
    <n v="0"/>
    <x v="0"/>
    <n v="53520"/>
    <x v="1"/>
    <s v="53"/>
    <s v="535"/>
    <x v="2038"/>
    <s v="General Use - Nonprogram : SUI Nonteaching"/>
    <n v="2.31"/>
  </r>
  <r>
    <x v="2"/>
    <s v="52-230-00-000000-53620"/>
    <x v="6"/>
    <n v="230"/>
    <n v="0"/>
    <x v="0"/>
    <n v="53620"/>
    <x v="1"/>
    <s v="53"/>
    <s v="536"/>
    <x v="2039"/>
    <s v="General Use - Nonprogram : WC Nonteaching"/>
    <n v="89.51"/>
  </r>
  <r>
    <x v="2"/>
    <s v="52-230-00-000000-53920"/>
    <x v="6"/>
    <n v="230"/>
    <n v="0"/>
    <x v="0"/>
    <n v="53920"/>
    <x v="1"/>
    <s v="53"/>
    <s v="539"/>
    <x v="2040"/>
    <s v="General Use - Nonprogram : Other Benefit-Non Teaching"/>
    <n v="54"/>
  </r>
  <r>
    <x v="2"/>
    <s v="52-230-00-000000-54210"/>
    <x v="6"/>
    <n v="230"/>
    <n v="0"/>
    <x v="0"/>
    <n v="54210"/>
    <x v="1"/>
    <s v="54"/>
    <s v="542"/>
    <x v="2041"/>
    <s v="General Use - Nonprogram : Purchases - Food"/>
    <n v="832.02"/>
  </r>
  <r>
    <x v="2"/>
    <s v="52-230-00-000000-54300"/>
    <x v="6"/>
    <n v="230"/>
    <n v="0"/>
    <x v="0"/>
    <n v="54300"/>
    <x v="1"/>
    <s v="54"/>
    <s v="543"/>
    <x v="2042"/>
    <s v="General Use - Nonprogram : Supplies &amp; Materials"/>
    <n v="746.85"/>
  </r>
  <r>
    <x v="2"/>
    <s v="52-230-00-000000-54320"/>
    <x v="6"/>
    <n v="230"/>
    <n v="0"/>
    <x v="0"/>
    <n v="54320"/>
    <x v="1"/>
    <s v="54"/>
    <s v="543"/>
    <x v="2043"/>
    <s v="General Use - Nonprogram : Laundry"/>
    <n v="0"/>
  </r>
  <r>
    <x v="2"/>
    <s v="52-230-00-000000-55200"/>
    <x v="6"/>
    <n v="230"/>
    <n v="0"/>
    <x v="0"/>
    <n v="55200"/>
    <x v="1"/>
    <s v="55"/>
    <s v="552"/>
    <x v="2044"/>
    <s v="General Use - Nonprogram : Travel &amp; Conference"/>
    <n v="0"/>
  </r>
  <r>
    <x v="2"/>
    <s v="52-230-00-000000-55600"/>
    <x v="6"/>
    <n v="230"/>
    <n v="0"/>
    <x v="0"/>
    <n v="55600"/>
    <x v="1"/>
    <s v="55"/>
    <s v="556"/>
    <x v="2045"/>
    <s v="General Use - Nonprogram : Rents &amp; Leases"/>
    <n v="30"/>
  </r>
  <r>
    <x v="2"/>
    <s v="52-230-00-000000-55630"/>
    <x v="6"/>
    <n v="230"/>
    <n v="0"/>
    <x v="0"/>
    <n v="55630"/>
    <x v="1"/>
    <s v="55"/>
    <s v="556"/>
    <x v="2046"/>
    <s v="General Use - Nonprogram : Printing &amp; Duplicating - Inhouse"/>
    <n v="21.12"/>
  </r>
  <r>
    <x v="2"/>
    <s v="52-230-00-000000-55651"/>
    <x v="6"/>
    <n v="230"/>
    <n v="0"/>
    <x v="0"/>
    <n v="55651"/>
    <x v="1"/>
    <s v="55"/>
    <s v="556"/>
    <x v="2047"/>
    <s v="General Use - Nonprogram : Equipment Repairs"/>
    <n v="0"/>
  </r>
  <r>
    <x v="2"/>
    <s v="52-230-00-000000-55800"/>
    <x v="6"/>
    <n v="230"/>
    <n v="0"/>
    <x v="0"/>
    <n v="55800"/>
    <x v="1"/>
    <s v="55"/>
    <s v="558"/>
    <x v="2048"/>
    <s v="General Use - Nonprogram : Other Costs"/>
    <n v="1086"/>
  </r>
  <r>
    <x v="2"/>
    <s v="52-230-00-000000-55805"/>
    <x v="6"/>
    <n v="230"/>
    <n v="0"/>
    <x v="0"/>
    <n v="55805"/>
    <x v="1"/>
    <s v="55"/>
    <s v="558"/>
    <x v="2049"/>
    <s v="General Use - Nonprogram : Cash, Over / Short"/>
    <n v="0"/>
  </r>
  <r>
    <x v="2"/>
    <s v="52-230-00-000000-55861"/>
    <x v="6"/>
    <n v="230"/>
    <n v="0"/>
    <x v="0"/>
    <n v="55861"/>
    <x v="1"/>
    <s v="55"/>
    <s v="558"/>
    <x v="2050"/>
    <s v="General Use - Nonprogram : Credit Card Fees "/>
    <n v="1350.3"/>
  </r>
  <r>
    <x v="2"/>
    <s v="52-230-00-000000-56217"/>
    <x v="6"/>
    <n v="230"/>
    <n v="0"/>
    <x v="0"/>
    <n v="56217"/>
    <x v="1"/>
    <s v="56"/>
    <s v="562"/>
    <x v="2051"/>
    <s v="General Use - Nonprogram : Permits and Fees"/>
    <n v="948"/>
  </r>
  <r>
    <x v="2"/>
    <s v="52-230-00-000000-57300"/>
    <x v="6"/>
    <n v="230"/>
    <n v="0"/>
    <x v="0"/>
    <n v="57300"/>
    <x v="1"/>
    <s v="57"/>
    <s v="573"/>
    <x v="2052"/>
    <s v="General Use - Nonprogram : Interfund Transfer"/>
    <n v="16148.92"/>
  </r>
  <r>
    <x v="2"/>
    <s v="55-230-00-000000-48844"/>
    <x v="7"/>
    <n v="230"/>
    <n v="0"/>
    <x v="0"/>
    <n v="48844"/>
    <x v="0"/>
    <s v="48"/>
    <s v="488"/>
    <x v="2053"/>
    <s v="General Use - Nonprogram : Food Service Sales"/>
    <n v="0"/>
  </r>
  <r>
    <x v="2"/>
    <s v="55-230-00-000000-48860"/>
    <x v="7"/>
    <n v="230"/>
    <n v="0"/>
    <x v="0"/>
    <n v="48860"/>
    <x v="0"/>
    <s v="48"/>
    <s v="488"/>
    <x v="2054"/>
    <s v="General Use - Nonprogram : Interest Income"/>
    <n v="1025.18"/>
  </r>
  <r>
    <x v="2"/>
    <s v="55-230-00-000000-48862"/>
    <x v="7"/>
    <n v="230"/>
    <n v="0"/>
    <x v="0"/>
    <n v="48862"/>
    <x v="0"/>
    <s v="48"/>
    <s v="488"/>
    <x v="2055"/>
    <s v="General Use - Nonprogram : Credit Card Sales"/>
    <n v="0"/>
  </r>
  <r>
    <x v="2"/>
    <s v="55-230-00-000000-48863"/>
    <x v="7"/>
    <n v="230"/>
    <n v="0"/>
    <x v="0"/>
    <n v="48863"/>
    <x v="0"/>
    <s v="48"/>
    <s v="488"/>
    <x v="2056"/>
    <s v="General Use - Nonprogram : Starbucks Pay Sales"/>
    <n v="0"/>
  </r>
  <r>
    <x v="2"/>
    <s v="55-230-00-000000-48864"/>
    <x v="7"/>
    <n v="230"/>
    <n v="0"/>
    <x v="0"/>
    <n v="48864"/>
    <x v="0"/>
    <s v="48"/>
    <s v="488"/>
    <x v="2057"/>
    <s v="General Use - Nonprogram : Cat Card Sales"/>
    <n v="0"/>
  </r>
  <r>
    <x v="2"/>
    <s v="55-230-00-000000-48980"/>
    <x v="7"/>
    <n v="230"/>
    <n v="0"/>
    <x v="0"/>
    <n v="48980"/>
    <x v="0"/>
    <s v="48"/>
    <s v="489"/>
    <x v="2058"/>
    <s v="General Use - Nonprogram : Interfund Transfer-In"/>
    <n v="-16148.92"/>
  </r>
  <r>
    <x v="2"/>
    <s v="55-230-00-000000-52105"/>
    <x v="7"/>
    <n v="230"/>
    <n v="0"/>
    <x v="0"/>
    <n v="52105"/>
    <x v="1"/>
    <s v="52"/>
    <s v="521"/>
    <x v="2059"/>
    <s v="General Use - Nonprogram : Classified CSEA"/>
    <n v="0"/>
  </r>
  <r>
    <x v="2"/>
    <s v="55-230-00-000000-52115"/>
    <x v="7"/>
    <n v="230"/>
    <n v="0"/>
    <x v="0"/>
    <n v="52115"/>
    <x v="1"/>
    <s v="52"/>
    <s v="521"/>
    <x v="2060"/>
    <s v="General Use - Nonprogram : Classified Supervisory"/>
    <n v="0"/>
  </r>
  <r>
    <x v="2"/>
    <s v="55-230-00-000000-52300"/>
    <x v="7"/>
    <n v="230"/>
    <n v="0"/>
    <x v="0"/>
    <n v="52300"/>
    <x v="1"/>
    <s v="52"/>
    <s v="523"/>
    <x v="2061"/>
    <s v="General Use - Nonprogram : Classified Overtime"/>
    <n v="430.56"/>
  </r>
  <r>
    <x v="2"/>
    <s v="55-230-00-000000-53220"/>
    <x v="7"/>
    <n v="230"/>
    <n v="0"/>
    <x v="0"/>
    <n v="53220"/>
    <x v="1"/>
    <s v="53"/>
    <s v="532"/>
    <x v="2062"/>
    <s v="General Use - Nonprogram : PERS Nonteaching"/>
    <n v="89.13"/>
  </r>
  <r>
    <x v="2"/>
    <s v="55-230-00-000000-53320"/>
    <x v="7"/>
    <n v="230"/>
    <n v="0"/>
    <x v="0"/>
    <n v="53320"/>
    <x v="1"/>
    <s v="53"/>
    <s v="533"/>
    <x v="2063"/>
    <s v="General Use - Nonprogram : OASDHI (FICA) Nonteaching"/>
    <n v="26.69"/>
  </r>
  <r>
    <x v="2"/>
    <s v="55-230-00-000000-53340"/>
    <x v="7"/>
    <n v="230"/>
    <n v="0"/>
    <x v="0"/>
    <n v="53340"/>
    <x v="1"/>
    <s v="53"/>
    <s v="533"/>
    <x v="2064"/>
    <s v="General Use - Nonprogram : Medicare Nonteaching"/>
    <n v="6.25"/>
  </r>
  <r>
    <x v="2"/>
    <s v="55-230-00-000000-53420"/>
    <x v="7"/>
    <n v="230"/>
    <n v="0"/>
    <x v="0"/>
    <n v="53420"/>
    <x v="1"/>
    <s v="53"/>
    <s v="534"/>
    <x v="2065"/>
    <s v="General Use - Nonprogram : H &amp; W Nonteaching"/>
    <n v="2.04"/>
  </r>
  <r>
    <x v="2"/>
    <s v="55-230-00-000000-53520"/>
    <x v="7"/>
    <n v="230"/>
    <n v="0"/>
    <x v="0"/>
    <n v="53520"/>
    <x v="1"/>
    <s v="53"/>
    <s v="535"/>
    <x v="2066"/>
    <s v="General Use - Nonprogram : SUI Nonteaching"/>
    <n v="0.21"/>
  </r>
  <r>
    <x v="2"/>
    <s v="55-230-00-000000-53620"/>
    <x v="7"/>
    <n v="230"/>
    <n v="0"/>
    <x v="0"/>
    <n v="53620"/>
    <x v="1"/>
    <s v="53"/>
    <s v="536"/>
    <x v="2067"/>
    <s v="General Use - Nonprogram : WC Nonteaching"/>
    <n v="8.1300000000000008"/>
  </r>
  <r>
    <x v="2"/>
    <s v="55-230-00-000000-53920"/>
    <x v="7"/>
    <n v="230"/>
    <n v="0"/>
    <x v="0"/>
    <n v="53920"/>
    <x v="1"/>
    <s v="53"/>
    <s v="539"/>
    <x v="2068"/>
    <s v="General Use - Nonprogram : Other Benefit-Non Teaching"/>
    <n v="0"/>
  </r>
  <r>
    <x v="2"/>
    <s v="55-230-00-000000-54210"/>
    <x v="7"/>
    <n v="230"/>
    <n v="0"/>
    <x v="0"/>
    <n v="54210"/>
    <x v="1"/>
    <s v="54"/>
    <s v="542"/>
    <x v="2069"/>
    <s v="General Use - Nonprogram : Purchases - Food"/>
    <n v="528.36"/>
  </r>
  <r>
    <x v="2"/>
    <s v="55-230-00-000000-54300"/>
    <x v="7"/>
    <n v="230"/>
    <n v="0"/>
    <x v="0"/>
    <n v="54300"/>
    <x v="1"/>
    <s v="54"/>
    <s v="543"/>
    <x v="2070"/>
    <s v="General Use - Nonprogram : Supplies &amp; Materials"/>
    <n v="144.29"/>
  </r>
  <r>
    <x v="2"/>
    <s v="55-230-00-000000-54320"/>
    <x v="7"/>
    <n v="230"/>
    <n v="0"/>
    <x v="0"/>
    <n v="54320"/>
    <x v="1"/>
    <s v="54"/>
    <s v="543"/>
    <x v="2071"/>
    <s v="General Use - Nonprogram : Laundry"/>
    <n v="0"/>
  </r>
  <r>
    <x v="2"/>
    <s v="55-230-00-000000-55105"/>
    <x v="7"/>
    <n v="230"/>
    <n v="0"/>
    <x v="0"/>
    <n v="55105"/>
    <x v="1"/>
    <s v="55"/>
    <s v="551"/>
    <x v="2072"/>
    <s v="General Use - Nonprogram : Contract Services"/>
    <n v="161.68"/>
  </r>
  <r>
    <x v="2"/>
    <s v="55-230-00-000000-55200"/>
    <x v="7"/>
    <n v="230"/>
    <n v="0"/>
    <x v="0"/>
    <n v="55200"/>
    <x v="1"/>
    <s v="55"/>
    <s v="552"/>
    <x v="2073"/>
    <s v="General Use - Nonprogram : Travel &amp; Conference"/>
    <n v="0"/>
  </r>
  <r>
    <x v="2"/>
    <s v="55-230-00-000000-55630"/>
    <x v="7"/>
    <n v="230"/>
    <n v="0"/>
    <x v="0"/>
    <n v="55630"/>
    <x v="1"/>
    <s v="55"/>
    <s v="556"/>
    <x v="2074"/>
    <s v="General Use - Nonprogram : Printing &amp; Duplicating - Inhouse"/>
    <n v="0"/>
  </r>
  <r>
    <x v="2"/>
    <s v="55-230-00-000000-55640"/>
    <x v="7"/>
    <n v="230"/>
    <n v="0"/>
    <x v="0"/>
    <n v="55640"/>
    <x v="1"/>
    <s v="55"/>
    <s v="556"/>
    <x v="2075"/>
    <s v="General Use - Nonprogram : Royalty Payments"/>
    <n v="0"/>
  </r>
  <r>
    <x v="2"/>
    <s v="55-230-00-000000-55650"/>
    <x v="7"/>
    <n v="230"/>
    <n v="0"/>
    <x v="0"/>
    <n v="55650"/>
    <x v="1"/>
    <s v="55"/>
    <s v="556"/>
    <x v="2076"/>
    <s v="General Use - Nonprogram : Maintenance Agreement"/>
    <n v="-4751.32"/>
  </r>
  <r>
    <x v="2"/>
    <s v="55-230-00-000000-55651"/>
    <x v="7"/>
    <n v="230"/>
    <n v="0"/>
    <x v="0"/>
    <n v="55651"/>
    <x v="1"/>
    <s v="55"/>
    <s v="556"/>
    <x v="2077"/>
    <s v="General Use - Nonprogram : Equipment Repairs"/>
    <n v="0"/>
  </r>
  <r>
    <x v="2"/>
    <s v="55-230-00-000000-55800"/>
    <x v="7"/>
    <n v="230"/>
    <n v="0"/>
    <x v="0"/>
    <n v="55800"/>
    <x v="1"/>
    <s v="55"/>
    <s v="558"/>
    <x v="2078"/>
    <s v="General Use - Nonprogram : Other Costs"/>
    <n v="107"/>
  </r>
  <r>
    <x v="2"/>
    <s v="55-230-00-000000-55861"/>
    <x v="7"/>
    <n v="230"/>
    <n v="0"/>
    <x v="0"/>
    <n v="55861"/>
    <x v="1"/>
    <s v="55"/>
    <s v="558"/>
    <x v="2079"/>
    <s v="General Use - Nonprogram : Credit Card Fees "/>
    <n v="4425.17"/>
  </r>
  <r>
    <x v="2"/>
    <s v="55-230-00-000000-56217"/>
    <x v="7"/>
    <n v="230"/>
    <n v="0"/>
    <x v="0"/>
    <n v="56217"/>
    <x v="1"/>
    <s v="56"/>
    <s v="562"/>
    <x v="2080"/>
    <s v="General Use - Nonprogram : Permits and Fees"/>
    <n v="994"/>
  </r>
  <r>
    <x v="2"/>
    <s v="55-230-00-000000-56400"/>
    <x v="7"/>
    <n v="230"/>
    <n v="0"/>
    <x v="0"/>
    <n v="56400"/>
    <x v="1"/>
    <s v="56"/>
    <s v="564"/>
    <x v="2081"/>
    <s v="General Use - Nonprogram : Cap Equip - $200 to $4,999"/>
    <n v="141.94999999999999"/>
  </r>
  <r>
    <x v="2"/>
    <s v="61-000-00-000000-53600"/>
    <x v="8"/>
    <n v="0"/>
    <n v="0"/>
    <x v="0"/>
    <n v="53600"/>
    <x v="1"/>
    <s v="53"/>
    <s v="536"/>
    <x v="2082"/>
    <s v="General Use - Nonprogram : Workers' Comp Budget"/>
    <n v="-1359.42"/>
  </r>
  <r>
    <x v="2"/>
    <s v="61-000-00-000000-55400"/>
    <x v="8"/>
    <n v="0"/>
    <n v="0"/>
    <x v="0"/>
    <n v="55400"/>
    <x v="1"/>
    <s v="55"/>
    <s v="554"/>
    <x v="2083"/>
    <s v="General Use - Nonprogram : Insurance"/>
    <n v="13651.44"/>
  </r>
  <r>
    <x v="2"/>
    <s v="61-000-00-000000-55800"/>
    <x v="8"/>
    <n v="0"/>
    <n v="0"/>
    <x v="0"/>
    <n v="55800"/>
    <x v="1"/>
    <s v="55"/>
    <s v="558"/>
    <x v="2084"/>
    <s v="General Use - Nonprogram : Other Costs"/>
    <n v="250"/>
  </r>
  <r>
    <x v="2"/>
    <s v="61-200-00-000000-48860"/>
    <x v="8"/>
    <n v="200"/>
    <n v="0"/>
    <x v="0"/>
    <n v="48860"/>
    <x v="0"/>
    <s v="48"/>
    <s v="488"/>
    <x v="2085"/>
    <s v="General Use - Nonprogram : Interest Income"/>
    <n v="4.5999999999999996"/>
  </r>
  <r>
    <x v="2"/>
    <s v="62-000-00-000000-48860"/>
    <x v="9"/>
    <n v="0"/>
    <n v="0"/>
    <x v="0"/>
    <n v="48860"/>
    <x v="0"/>
    <s v="48"/>
    <s v="488"/>
    <x v="2086"/>
    <s v="General Use - Nonprogram : Interest Income"/>
    <n v="-1078122.4099999999"/>
  </r>
  <r>
    <x v="2"/>
    <s v="62-000-00-000000-55709"/>
    <x v="9"/>
    <n v="0"/>
    <n v="0"/>
    <x v="0"/>
    <n v="55709"/>
    <x v="1"/>
    <s v="55"/>
    <s v="557"/>
    <x v="2087"/>
    <s v="General Use - Nonprogram : Administrative Expense"/>
    <n v="2249.7399999999998"/>
  </r>
  <r>
    <x v="2"/>
    <s v="62-000-00-000000-55800"/>
    <x v="9"/>
    <n v="0"/>
    <n v="0"/>
    <x v="0"/>
    <n v="55800"/>
    <x v="1"/>
    <s v="55"/>
    <s v="558"/>
    <x v="2088"/>
    <s v="General Use - Nonprogram : Other Costs"/>
    <n v="1814.85"/>
  </r>
  <r>
    <x v="2"/>
    <s v="63-000-00-000000-48860"/>
    <x v="10"/>
    <n v="0"/>
    <n v="0"/>
    <x v="0"/>
    <n v="48860"/>
    <x v="0"/>
    <s v="48"/>
    <s v="488"/>
    <x v="2089"/>
    <s v="General Use - Nonprogram : Interest Income"/>
    <n v="-391477.59"/>
  </r>
  <r>
    <x v="2"/>
    <s v="63-000-00-000000-55709"/>
    <x v="10"/>
    <n v="0"/>
    <n v="0"/>
    <x v="0"/>
    <n v="55709"/>
    <x v="1"/>
    <s v="55"/>
    <s v="557"/>
    <x v="2090"/>
    <s v="General Use - Nonprogram : Administrative Expense"/>
    <n v="5298.48"/>
  </r>
  <r>
    <x v="2"/>
    <s v="63-000-00-000000-57300"/>
    <x v="10"/>
    <n v="0"/>
    <n v="0"/>
    <x v="0"/>
    <n v="57300"/>
    <x v="1"/>
    <s v="57"/>
    <s v="573"/>
    <x v="2091"/>
    <s v="General Use - Nonprogram : Interfund Transfer"/>
    <n v="0"/>
  </r>
  <r>
    <x v="2"/>
    <s v="71-400-00-000000-48843"/>
    <x v="11"/>
    <n v="400"/>
    <n v="0"/>
    <x v="0"/>
    <n v="48843"/>
    <x v="0"/>
    <s v="48"/>
    <s v="488"/>
    <x v="2092"/>
    <s v="General Use - Nonprogram : Student I D Card Sales"/>
    <n v="-62088.07"/>
  </r>
  <r>
    <x v="2"/>
    <s v="71-400-00-000000-48860"/>
    <x v="11"/>
    <n v="400"/>
    <n v="0"/>
    <x v="0"/>
    <n v="48860"/>
    <x v="0"/>
    <s v="48"/>
    <s v="488"/>
    <x v="2093"/>
    <s v="General Use - Nonprogram : Interest Income"/>
    <n v="-1231.73"/>
  </r>
  <r>
    <x v="2"/>
    <s v="71-400-00-000000-48890"/>
    <x v="11"/>
    <n v="400"/>
    <n v="0"/>
    <x v="0"/>
    <n v="48890"/>
    <x v="0"/>
    <s v="48"/>
    <s v="488"/>
    <x v="2094"/>
    <s v="General Use - Nonprogram : Other Local Income "/>
    <n v="-3.78"/>
  </r>
  <r>
    <x v="2"/>
    <s v="71-400-00-000000-48980"/>
    <x v="11"/>
    <n v="400"/>
    <n v="0"/>
    <x v="0"/>
    <n v="48980"/>
    <x v="0"/>
    <s v="48"/>
    <s v="489"/>
    <x v="2095"/>
    <s v="General Use - Nonprogram : Interfund Transfer-In"/>
    <n v="0"/>
  </r>
  <r>
    <x v="2"/>
    <s v="71-400-00-000000-52105"/>
    <x v="11"/>
    <n v="400"/>
    <n v="0"/>
    <x v="0"/>
    <n v="52105"/>
    <x v="1"/>
    <s v="52"/>
    <s v="521"/>
    <x v="2096"/>
    <s v="General Use - Nonprogram : Classified CSEA"/>
    <n v="23186.95"/>
  </r>
  <r>
    <x v="2"/>
    <s v="71-400-00-000000-52350"/>
    <x v="11"/>
    <n v="400"/>
    <n v="0"/>
    <x v="0"/>
    <n v="52350"/>
    <x v="1"/>
    <s v="52"/>
    <s v="523"/>
    <x v="2097"/>
    <s v="General Use - Nonprogram : Classified Student Dist Non-IA PT"/>
    <n v="0"/>
  </r>
  <r>
    <x v="2"/>
    <s v="71-400-00-000000-52360"/>
    <x v="11"/>
    <n v="400"/>
    <n v="0"/>
    <x v="0"/>
    <n v="52360"/>
    <x v="1"/>
    <s v="52"/>
    <s v="523"/>
    <x v="2098"/>
    <s v="General Use - Nonprogram : Class Nonstu NonIA PT Prof Exp"/>
    <n v="425.7"/>
  </r>
  <r>
    <x v="2"/>
    <s v="71-400-00-000000-53220"/>
    <x v="11"/>
    <n v="400"/>
    <n v="0"/>
    <x v="0"/>
    <n v="53220"/>
    <x v="1"/>
    <s v="53"/>
    <s v="532"/>
    <x v="2099"/>
    <s v="General Use - Nonprogram : PERS Nonteaching"/>
    <n v="4754.0200000000004"/>
  </r>
  <r>
    <x v="2"/>
    <s v="71-400-00-000000-53320"/>
    <x v="11"/>
    <n v="400"/>
    <n v="0"/>
    <x v="0"/>
    <n v="53320"/>
    <x v="1"/>
    <s v="53"/>
    <s v="533"/>
    <x v="2100"/>
    <s v="General Use - Nonprogram : OASDHI (FICA) Nonteaching"/>
    <n v="1414.83"/>
  </r>
  <r>
    <x v="2"/>
    <s v="71-400-00-000000-53340"/>
    <x v="11"/>
    <n v="400"/>
    <n v="0"/>
    <x v="0"/>
    <n v="53340"/>
    <x v="1"/>
    <s v="53"/>
    <s v="533"/>
    <x v="2101"/>
    <s v="General Use - Nonprogram : Medicare Nonteaching"/>
    <n v="330.91"/>
  </r>
  <r>
    <x v="2"/>
    <s v="71-400-00-000000-53420"/>
    <x v="11"/>
    <n v="400"/>
    <n v="0"/>
    <x v="0"/>
    <n v="53420"/>
    <x v="1"/>
    <s v="53"/>
    <s v="534"/>
    <x v="2102"/>
    <s v="General Use - Nonprogram : H &amp; W Nonteaching"/>
    <n v="14930.44"/>
  </r>
  <r>
    <x v="2"/>
    <s v="71-400-00-000000-53520"/>
    <x v="11"/>
    <n v="400"/>
    <n v="0"/>
    <x v="0"/>
    <n v="53520"/>
    <x v="1"/>
    <s v="53"/>
    <s v="535"/>
    <x v="2103"/>
    <s v="General Use - Nonprogram : SUI Nonteaching"/>
    <n v="11.65"/>
  </r>
  <r>
    <x v="2"/>
    <s v="71-400-00-000000-53620"/>
    <x v="11"/>
    <n v="400"/>
    <n v="0"/>
    <x v="0"/>
    <n v="53620"/>
    <x v="1"/>
    <s v="53"/>
    <s v="536"/>
    <x v="2104"/>
    <s v="General Use - Nonprogram : WC Nonteaching"/>
    <n v="447.77"/>
  </r>
  <r>
    <x v="2"/>
    <s v="71-400-00-000000-54300"/>
    <x v="11"/>
    <n v="400"/>
    <n v="0"/>
    <x v="0"/>
    <n v="54300"/>
    <x v="1"/>
    <s v="54"/>
    <s v="543"/>
    <x v="2105"/>
    <s v="General Use - Nonprogram : Supplies &amp; Materials"/>
    <n v="594.19000000000005"/>
  </r>
  <r>
    <x v="2"/>
    <s v="71-400-00-000000-55200"/>
    <x v="11"/>
    <n v="400"/>
    <n v="0"/>
    <x v="0"/>
    <n v="55200"/>
    <x v="1"/>
    <s v="55"/>
    <s v="552"/>
    <x v="2106"/>
    <s v="General Use - Nonprogram : Travel &amp; Conference"/>
    <n v="1000"/>
  </r>
  <r>
    <x v="2"/>
    <s v="71-400-00-000000-55240"/>
    <x v="11"/>
    <n v="400"/>
    <n v="0"/>
    <x v="0"/>
    <n v="55240"/>
    <x v="1"/>
    <s v="55"/>
    <s v="552"/>
    <x v="2107"/>
    <s v="General Use - Nonprogram : Field Trips"/>
    <n v="0"/>
  </r>
  <r>
    <x v="2"/>
    <s v="71-400-00-000000-55243"/>
    <x v="11"/>
    <n v="400"/>
    <n v="0"/>
    <x v="0"/>
    <n v="55243"/>
    <x v="1"/>
    <s v="55"/>
    <s v="552"/>
    <x v="2108"/>
    <s v="General Use - Nonprogram : Activities &amp; Films"/>
    <n v="1450.32"/>
  </r>
  <r>
    <x v="2"/>
    <s v="71-400-00-000000-55244"/>
    <x v="11"/>
    <n v="400"/>
    <n v="0"/>
    <x v="0"/>
    <n v="55244"/>
    <x v="1"/>
    <s v="55"/>
    <s v="552"/>
    <x v="2109"/>
    <s v="General Use - Nonprogram : Cultural Activities"/>
    <n v="108.4"/>
  </r>
  <r>
    <x v="2"/>
    <s v="71-400-00-000000-55247"/>
    <x v="11"/>
    <n v="400"/>
    <n v="0"/>
    <x v="0"/>
    <n v="55247"/>
    <x v="1"/>
    <s v="55"/>
    <s v="552"/>
    <x v="2110"/>
    <s v="General Use - Nonprogram : Inter-Club Council"/>
    <n v="0"/>
  </r>
  <r>
    <x v="2"/>
    <s v="71-400-00-000000-55300"/>
    <x v="11"/>
    <n v="400"/>
    <n v="0"/>
    <x v="0"/>
    <n v="55300"/>
    <x v="1"/>
    <s v="55"/>
    <s v="553"/>
    <x v="2111"/>
    <s v="General Use - Nonprogram : Memberships"/>
    <n v="175"/>
  </r>
  <r>
    <x v="2"/>
    <s v="71-400-00-000000-55600"/>
    <x v="11"/>
    <n v="400"/>
    <n v="0"/>
    <x v="0"/>
    <n v="55600"/>
    <x v="1"/>
    <s v="55"/>
    <s v="556"/>
    <x v="2112"/>
    <s v="General Use - Nonprogram : Rents &amp; Leases"/>
    <n v="1308.6400000000001"/>
  </r>
  <r>
    <x v="2"/>
    <s v="71-400-00-000000-55635"/>
    <x v="11"/>
    <n v="400"/>
    <n v="0"/>
    <x v="0"/>
    <n v="55635"/>
    <x v="1"/>
    <s v="55"/>
    <s v="556"/>
    <x v="2113"/>
    <s v="General Use - Nonprogram : Printing Services - Vendor"/>
    <n v="0"/>
  </r>
  <r>
    <x v="2"/>
    <s v="71-400-00-000000-55650"/>
    <x v="11"/>
    <n v="400"/>
    <n v="0"/>
    <x v="0"/>
    <n v="55650"/>
    <x v="1"/>
    <s v="55"/>
    <s v="556"/>
    <x v="2114"/>
    <s v="General Use - Nonprogram : Maintenance Agreement"/>
    <n v="137.9"/>
  </r>
  <r>
    <x v="2"/>
    <s v="71-400-00-000000-57510"/>
    <x v="11"/>
    <n v="400"/>
    <n v="0"/>
    <x v="0"/>
    <n v="57510"/>
    <x v="1"/>
    <s v="57"/>
    <s v="575"/>
    <x v="2115"/>
    <s v="General Use - Nonprogram : Student Internship"/>
    <n v="3900"/>
  </r>
  <r>
    <x v="2"/>
    <s v="72-400-00-000000-48844"/>
    <x v="12"/>
    <n v="400"/>
    <n v="0"/>
    <x v="0"/>
    <n v="48844"/>
    <x v="0"/>
    <s v="48"/>
    <s v="488"/>
    <x v="2116"/>
    <s v="General Use - Nonprogram : Food Service Sales"/>
    <n v="1237.44"/>
  </r>
  <r>
    <x v="2"/>
    <s v="72-400-00-000000-48860"/>
    <x v="12"/>
    <n v="400"/>
    <n v="0"/>
    <x v="0"/>
    <n v="48860"/>
    <x v="0"/>
    <s v="48"/>
    <s v="488"/>
    <x v="2117"/>
    <s v="General Use - Nonprogram : Interest Income"/>
    <n v="-106.26"/>
  </r>
  <r>
    <x v="2"/>
    <s v="72-400-00-000000-48884"/>
    <x v="12"/>
    <n v="400"/>
    <n v="0"/>
    <x v="0"/>
    <n v="48884"/>
    <x v="0"/>
    <s v="48"/>
    <s v="488"/>
    <x v="2118"/>
    <s v="General Use - Nonprogram : Student Representation Fee"/>
    <n v="-27135.42"/>
  </r>
  <r>
    <x v="2"/>
    <s v="72-400-00-000000-55200"/>
    <x v="12"/>
    <n v="400"/>
    <n v="0"/>
    <x v="0"/>
    <n v="55200"/>
    <x v="1"/>
    <s v="55"/>
    <s v="552"/>
    <x v="2119"/>
    <s v="General Use - Nonprogram : Travel &amp; Conference"/>
    <n v="0"/>
  </r>
  <r>
    <x v="2"/>
    <s v="72-400-00-000000-55800"/>
    <x v="12"/>
    <n v="400"/>
    <n v="0"/>
    <x v="0"/>
    <n v="55800"/>
    <x v="1"/>
    <s v="55"/>
    <s v="558"/>
    <x v="2120"/>
    <s v="General Use - Nonprogram : Other Costs"/>
    <n v="908.5"/>
  </r>
  <r>
    <x v="2"/>
    <s v="72-400-00-000000-57351"/>
    <x v="12"/>
    <n v="400"/>
    <n v="0"/>
    <x v="0"/>
    <n v="57351"/>
    <x v="1"/>
    <s v="57"/>
    <s v="573"/>
    <x v="2121"/>
    <s v="General Use - Nonprogram : Other Admin Costs"/>
    <n v="1765"/>
  </r>
  <r>
    <x v="2"/>
    <s v="75-000-00-000000-48860"/>
    <x v="13"/>
    <n v="0"/>
    <n v="0"/>
    <x v="0"/>
    <n v="48860"/>
    <x v="0"/>
    <s v="48"/>
    <s v="488"/>
    <x v="2122"/>
    <s v="General Use - Nonprogram : Interest Income"/>
    <n v="-1499.17"/>
  </r>
  <r>
    <x v="2"/>
    <s v="75-000-00-000000-55800"/>
    <x v="13"/>
    <n v="0"/>
    <n v="0"/>
    <x v="0"/>
    <n v="55800"/>
    <x v="1"/>
    <s v="55"/>
    <s v="558"/>
    <x v="2123"/>
    <s v="General Use - Nonprogram : Other Costs"/>
    <n v="0"/>
  </r>
  <r>
    <x v="2"/>
    <s v="75-200-00-000000-55105"/>
    <x v="13"/>
    <n v="200"/>
    <n v="0"/>
    <x v="0"/>
    <n v="55105"/>
    <x v="1"/>
    <s v="55"/>
    <s v="551"/>
    <x v="2124"/>
    <s v="General Use - Nonprogram : Contract Services"/>
    <n v="5909.19"/>
  </r>
  <r>
    <x v="2"/>
    <s v="75-200-00-975109-48000"/>
    <x v="13"/>
    <n v="200"/>
    <n v="0"/>
    <x v="137"/>
    <n v="48000"/>
    <x v="0"/>
    <s v="48"/>
    <s v="480"/>
    <x v="2125"/>
    <s v="Hartnell Cares : Cash Receipts"/>
    <n v="-370"/>
  </r>
  <r>
    <x v="2"/>
    <s v="75-200-00-975109-55000"/>
    <x v="13"/>
    <n v="200"/>
    <n v="0"/>
    <x v="137"/>
    <n v="55000"/>
    <x v="1"/>
    <s v="55"/>
    <s v="550"/>
    <x v="2126"/>
    <s v="Hartnell Cares : Other Operating Expenses &amp; Svc"/>
    <n v="600"/>
  </r>
  <r>
    <x v="2"/>
    <s v="75-400-00-000000-48885"/>
    <x v="13"/>
    <n v="400"/>
    <n v="0"/>
    <x v="0"/>
    <n v="48885"/>
    <x v="0"/>
    <s v="48"/>
    <s v="488"/>
    <x v="2127"/>
    <s v="General Use - Nonprogram : Other Student Fees &amp; Charges"/>
    <n v="-32045.200000000001"/>
  </r>
  <r>
    <x v="2"/>
    <s v="79-320-00-000000-48840"/>
    <x v="14"/>
    <n v="320"/>
    <n v="0"/>
    <x v="0"/>
    <n v="48840"/>
    <x v="0"/>
    <s v="48"/>
    <s v="488"/>
    <x v="2128"/>
    <s v="General Use - Nonprogram : Basketball - Gate Receipts"/>
    <n v="0"/>
  </r>
  <r>
    <x v="2"/>
    <s v="79-320-00-000000-48841"/>
    <x v="14"/>
    <n v="320"/>
    <n v="0"/>
    <x v="0"/>
    <n v="48841"/>
    <x v="0"/>
    <s v="48"/>
    <s v="488"/>
    <x v="2129"/>
    <s v="General Use - Nonprogram : Football - Gate Receipts"/>
    <n v="0"/>
  </r>
  <r>
    <x v="2"/>
    <s v="79-320-00-000000-48846"/>
    <x v="14"/>
    <n v="320"/>
    <n v="0"/>
    <x v="0"/>
    <n v="48846"/>
    <x v="0"/>
    <s v="48"/>
    <s v="488"/>
    <x v="2130"/>
    <s v="General Use - Nonprogram : ASB Student Fees"/>
    <n v="-15039.18"/>
  </r>
  <r>
    <x v="2"/>
    <s v="79-320-00-000000-48847"/>
    <x v="14"/>
    <n v="320"/>
    <n v="0"/>
    <x v="0"/>
    <n v="48847"/>
    <x v="0"/>
    <s v="48"/>
    <s v="488"/>
    <x v="2131"/>
    <s v="General Use - Nonprogram : Basketball - Concession Sales"/>
    <n v="0"/>
  </r>
  <r>
    <x v="2"/>
    <s v="79-320-00-000000-48848"/>
    <x v="14"/>
    <n v="320"/>
    <n v="0"/>
    <x v="0"/>
    <n v="48848"/>
    <x v="0"/>
    <s v="48"/>
    <s v="488"/>
    <x v="2132"/>
    <s v="General Use - Nonprogram : Football - Concession Sales"/>
    <n v="0"/>
  </r>
  <r>
    <x v="2"/>
    <s v="79-320-00-000000-48860"/>
    <x v="14"/>
    <n v="320"/>
    <n v="0"/>
    <x v="0"/>
    <n v="48860"/>
    <x v="0"/>
    <s v="48"/>
    <s v="488"/>
    <x v="2133"/>
    <s v="General Use - Nonprogram : Interest Income"/>
    <n v="-245.41"/>
  </r>
  <r>
    <x v="2"/>
    <s v="79-320-00-000000-48890"/>
    <x v="14"/>
    <n v="320"/>
    <n v="0"/>
    <x v="0"/>
    <n v="48890"/>
    <x v="0"/>
    <s v="48"/>
    <s v="488"/>
    <x v="2134"/>
    <s v="General Use - Nonprogram : Other Local Income "/>
    <n v="-8000"/>
  </r>
  <r>
    <x v="2"/>
    <s v="79-320-00-000000-52360"/>
    <x v="14"/>
    <n v="320"/>
    <n v="0"/>
    <x v="0"/>
    <n v="52360"/>
    <x v="1"/>
    <s v="52"/>
    <s v="523"/>
    <x v="2135"/>
    <s v="General Use - Nonprogram : Class Nonstu NonIA PT Prof Exp"/>
    <n v="0"/>
  </r>
  <r>
    <x v="2"/>
    <s v="79-320-00-000000-53320"/>
    <x v="14"/>
    <n v="320"/>
    <n v="0"/>
    <x v="0"/>
    <n v="53320"/>
    <x v="1"/>
    <s v="53"/>
    <s v="533"/>
    <x v="2136"/>
    <s v="General Use - Nonprogram : OASDHI (FICA) Nonteaching"/>
    <n v="0"/>
  </r>
  <r>
    <x v="2"/>
    <s v="79-320-00-000000-53340"/>
    <x v="14"/>
    <n v="320"/>
    <n v="0"/>
    <x v="0"/>
    <n v="53340"/>
    <x v="1"/>
    <s v="53"/>
    <s v="533"/>
    <x v="2137"/>
    <s v="General Use - Nonprogram : Medicare Nonteaching"/>
    <n v="0"/>
  </r>
  <r>
    <x v="2"/>
    <s v="79-320-00-000000-53520"/>
    <x v="14"/>
    <n v="320"/>
    <n v="0"/>
    <x v="0"/>
    <n v="53520"/>
    <x v="1"/>
    <s v="53"/>
    <s v="535"/>
    <x v="2138"/>
    <s v="General Use - Nonprogram : SUI Nonteaching"/>
    <n v="0"/>
  </r>
  <r>
    <x v="2"/>
    <s v="79-320-00-000000-53620"/>
    <x v="14"/>
    <n v="320"/>
    <n v="0"/>
    <x v="0"/>
    <n v="53620"/>
    <x v="1"/>
    <s v="53"/>
    <s v="536"/>
    <x v="2139"/>
    <s v="General Use - Nonprogram : WC Nonteaching"/>
    <n v="0"/>
  </r>
  <r>
    <x v="2"/>
    <s v="79-320-00-000000-54210"/>
    <x v="14"/>
    <n v="320"/>
    <n v="0"/>
    <x v="0"/>
    <n v="54210"/>
    <x v="1"/>
    <s v="54"/>
    <s v="542"/>
    <x v="2140"/>
    <s v="General Use - Nonprogram : Purchases - Food"/>
    <n v="1000"/>
  </r>
  <r>
    <x v="2"/>
    <s v="79-320-00-000000-55140"/>
    <x v="14"/>
    <n v="320"/>
    <n v="0"/>
    <x v="0"/>
    <n v="55140"/>
    <x v="1"/>
    <s v="55"/>
    <s v="551"/>
    <x v="2141"/>
    <s v="General Use - Nonprogram : Game Employees"/>
    <n v="0"/>
  </r>
  <r>
    <x v="2"/>
    <s v="79-320-00-000000-55250"/>
    <x v="14"/>
    <n v="320"/>
    <n v="0"/>
    <x v="0"/>
    <n v="55250"/>
    <x v="1"/>
    <s v="55"/>
    <s v="552"/>
    <x v="2142"/>
    <s v="General Use - Nonprogram : Championship Meals"/>
    <n v="0"/>
  </r>
  <r>
    <x v="2"/>
    <s v="79-320-00-000000-55251"/>
    <x v="14"/>
    <n v="320"/>
    <n v="0"/>
    <x v="0"/>
    <n v="55251"/>
    <x v="1"/>
    <s v="55"/>
    <s v="552"/>
    <x v="2143"/>
    <s v="General Use - Nonprogram : Baseball (M) Meals"/>
    <n v="0"/>
  </r>
  <r>
    <x v="2"/>
    <s v="79-320-00-000000-55252"/>
    <x v="14"/>
    <n v="320"/>
    <n v="0"/>
    <x v="0"/>
    <n v="55252"/>
    <x v="1"/>
    <s v="55"/>
    <s v="552"/>
    <x v="2144"/>
    <s v="General Use - Nonprogram : Basketball (M) Meals"/>
    <n v="0"/>
  </r>
  <r>
    <x v="2"/>
    <s v="79-320-00-000000-55253"/>
    <x v="14"/>
    <n v="320"/>
    <n v="0"/>
    <x v="0"/>
    <n v="55253"/>
    <x v="1"/>
    <s v="55"/>
    <s v="552"/>
    <x v="2145"/>
    <s v="General Use - Nonprogram : Basketball (W) Meals"/>
    <n v="0"/>
  </r>
  <r>
    <x v="2"/>
    <s v="79-320-00-000000-55254"/>
    <x v="14"/>
    <n v="320"/>
    <n v="0"/>
    <x v="0"/>
    <n v="55254"/>
    <x v="1"/>
    <s v="55"/>
    <s v="552"/>
    <x v="2146"/>
    <s v="General Use - Nonprogram : Cross Country (M) Meals"/>
    <n v="0"/>
  </r>
  <r>
    <x v="2"/>
    <s v="79-320-00-000000-55255"/>
    <x v="14"/>
    <n v="320"/>
    <n v="0"/>
    <x v="0"/>
    <n v="55255"/>
    <x v="1"/>
    <s v="55"/>
    <s v="552"/>
    <x v="2147"/>
    <s v="General Use - Nonprogram : Football Meals"/>
    <n v="0"/>
  </r>
  <r>
    <x v="2"/>
    <s v="79-320-00-000000-55256"/>
    <x v="14"/>
    <n v="320"/>
    <n v="0"/>
    <x v="0"/>
    <n v="55256"/>
    <x v="1"/>
    <s v="55"/>
    <s v="552"/>
    <x v="2148"/>
    <s v="General Use - Nonprogram : Soccer (M) Meals"/>
    <n v="0"/>
  </r>
  <r>
    <x v="2"/>
    <s v="79-320-00-000000-55257"/>
    <x v="14"/>
    <n v="320"/>
    <n v="0"/>
    <x v="0"/>
    <n v="55257"/>
    <x v="1"/>
    <s v="55"/>
    <s v="552"/>
    <x v="2149"/>
    <s v="General Use - Nonprogram : Soccer (W) Meals "/>
    <n v="0"/>
  </r>
  <r>
    <x v="2"/>
    <s v="79-320-00-000000-55258"/>
    <x v="14"/>
    <n v="320"/>
    <n v="0"/>
    <x v="0"/>
    <n v="55258"/>
    <x v="1"/>
    <s v="55"/>
    <s v="552"/>
    <x v="2150"/>
    <s v="General Use - Nonprogram : Softball (W) Meals"/>
    <n v="0"/>
  </r>
  <r>
    <x v="2"/>
    <s v="79-320-00-000000-55261"/>
    <x v="14"/>
    <n v="320"/>
    <n v="0"/>
    <x v="0"/>
    <n v="55261"/>
    <x v="1"/>
    <s v="55"/>
    <s v="552"/>
    <x v="2151"/>
    <s v="General Use - Nonprogram : Track (M)  Meals"/>
    <n v="0"/>
  </r>
  <r>
    <x v="2"/>
    <s v="79-320-00-000000-55262"/>
    <x v="14"/>
    <n v="320"/>
    <n v="0"/>
    <x v="0"/>
    <n v="55262"/>
    <x v="1"/>
    <s v="55"/>
    <s v="552"/>
    <x v="2152"/>
    <s v="General Use - Nonprogram : Volleyball  (W) Meals"/>
    <n v="0"/>
  </r>
  <r>
    <x v="2"/>
    <s v="79-320-00-000000-55264"/>
    <x v="14"/>
    <n v="320"/>
    <n v="0"/>
    <x v="0"/>
    <n v="55264"/>
    <x v="1"/>
    <s v="55"/>
    <s v="552"/>
    <x v="2153"/>
    <s v="General Use - Nonprogram : Entry Fees"/>
    <n v="0"/>
  </r>
  <r>
    <x v="2"/>
    <s v="79-320-00-000000-55800"/>
    <x v="14"/>
    <n v="320"/>
    <n v="0"/>
    <x v="0"/>
    <n v="55800"/>
    <x v="1"/>
    <s v="55"/>
    <s v="558"/>
    <x v="2154"/>
    <s v="General Use - Nonprogram : Other Costs"/>
    <n v="27"/>
  </r>
  <r>
    <x v="2"/>
    <s v="79-320-00-000000-55861"/>
    <x v="14"/>
    <n v="320"/>
    <n v="0"/>
    <x v="0"/>
    <n v="55861"/>
    <x v="1"/>
    <s v="55"/>
    <s v="558"/>
    <x v="2155"/>
    <s v="General Use - Nonprogram : Credit Card Fees "/>
    <n v="233.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4">
  <r>
    <n v="2"/>
    <s v="CSEA"/>
    <x v="0"/>
    <s v="ASUPSP"/>
    <n v="1"/>
    <d v="2021-12-01T00:00:00"/>
    <s v=" 34"/>
    <s v="C"/>
    <n v="29265"/>
    <s v="D"/>
    <n v="43022"/>
    <n v="72287"/>
    <m/>
    <m/>
    <m/>
    <m/>
    <m/>
    <m/>
    <m/>
    <m/>
    <n v="600"/>
    <n v="72887"/>
    <n v="1"/>
    <n v="72887"/>
    <s v="12-365-00-700410-52200"/>
    <x v="0"/>
    <s v="365"/>
    <s v="00"/>
    <s v="700410"/>
    <s v="52200"/>
    <x v="0"/>
    <m/>
    <n v="16698.411700000001"/>
    <n v="4518.9939999999997"/>
    <n v="1056.8615"/>
    <n v="896.51009999999997"/>
    <n v="1378.1473960000001"/>
    <n v="140.04"/>
    <n v="140.04"/>
    <n v="79.2"/>
    <n v="79.2"/>
    <n v="13152"/>
    <n v="13680.052799999999"/>
    <n v="13680.052799999999"/>
    <n v="13899.292799999999"/>
    <m/>
    <n v="0"/>
    <n v="38448.217495999997"/>
    <n v="111335.217496"/>
    <s v="Cathryn Wilkinson"/>
    <s v="Jainesh Singh"/>
    <s v="Student Equity Program"/>
    <s v="1 - ASUPSP - Aguilar, Carlos"/>
  </r>
  <r>
    <n v="3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"/>
    <n v="0"/>
    <s v="12-350-00-700307-52105"/>
    <x v="0"/>
    <s v="350"/>
    <s v="00"/>
    <s v="700307"/>
    <s v="52105"/>
    <x v="0"/>
    <m/>
    <n v="0"/>
    <n v="0"/>
    <n v="0"/>
    <n v="0"/>
    <n v="0"/>
    <n v="140.04"/>
    <n v="0"/>
    <n v="79.2"/>
    <n v="0"/>
    <n v="17424"/>
    <n v="18123.5736"/>
    <n v="0"/>
    <n v="0"/>
    <n v="2400"/>
    <n v="0"/>
    <n v="0"/>
    <n v="0"/>
    <s v="Cathryn Wilkinson"/>
    <s v="Sharon Albert"/>
    <s v="CTE Transitions"/>
    <s v="0 - PRGASST_II - Anderson, Celia"/>
  </r>
  <r>
    <n v="4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.5"/>
    <n v="35955"/>
    <s v="12-350-00-700330-52105"/>
    <x v="0"/>
    <s v="350"/>
    <s v="00"/>
    <s v="700330"/>
    <s v="52105"/>
    <x v="0"/>
    <m/>
    <n v="8237.2904999999992"/>
    <n v="2229.21"/>
    <n v="521.34750000000008"/>
    <n v="442.24650000000003"/>
    <n v="679.83714000000009"/>
    <n v="140.04"/>
    <n v="70.02"/>
    <n v="79.2"/>
    <n v="39.6"/>
    <n v="17424"/>
    <n v="18123.5736"/>
    <n v="9061.7867999999999"/>
    <n v="9171.4068000000007"/>
    <n v="2400"/>
    <n v="1200"/>
    <n v="22481.33844"/>
    <n v="58436.33844"/>
    <s v="Cathryn Wilkinson"/>
    <s v="Sharon Albert"/>
    <s v="Strong Workforce"/>
    <s v="0.5 - PRGASST_II - Anderson, Celia"/>
  </r>
  <r>
    <n v="5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.5"/>
    <n v="35955"/>
    <s v="12-350-00-740000-52105"/>
    <x v="0"/>
    <s v="350"/>
    <s v="00"/>
    <s v="740000"/>
    <s v="52105"/>
    <x v="0"/>
    <m/>
    <n v="8237.2904999999992"/>
    <n v="2229.21"/>
    <n v="521.34750000000008"/>
    <n v="442.24650000000003"/>
    <n v="679.83714000000009"/>
    <n v="140.04"/>
    <n v="70.02"/>
    <n v="79.2"/>
    <n v="39.6"/>
    <n v="17424"/>
    <n v="18123.5736"/>
    <n v="9061.7867999999999"/>
    <n v="9171.4068000000007"/>
    <n v="2400"/>
    <n v="1200"/>
    <n v="22481.33844"/>
    <n v="58436.33844"/>
    <s v="Cathryn Wilkinson"/>
    <s v="Sharon Albert"/>
    <s v="Perkins"/>
    <s v="0.5 - PRGASST_II - Anderson, Celia"/>
  </r>
  <r>
    <n v="6"/>
    <s v="CSEA"/>
    <x v="2"/>
    <s v="PRGASST_II"/>
    <n v="1"/>
    <d v="2022-02-01T00:00:00"/>
    <s v=" 31"/>
    <s v="D"/>
    <n v="39949"/>
    <s v="E"/>
    <n v="29965"/>
    <n v="69914"/>
    <m/>
    <m/>
    <m/>
    <m/>
    <n v="2.5000000000000001E-2"/>
    <n v="1747.8500000000001"/>
    <m/>
    <n v="0"/>
    <n v="1800"/>
    <n v="73461.850000000006"/>
    <n v="1"/>
    <n v="73461.850000000006"/>
    <s v="12-400-00-700400-52105"/>
    <x v="0"/>
    <s v="400"/>
    <s v="00"/>
    <s v="700400"/>
    <s v="52105"/>
    <x v="0"/>
    <m/>
    <n v="16830.109835000003"/>
    <n v="4554.6347000000005"/>
    <n v="1065.1968250000002"/>
    <n v="903.58075500000007"/>
    <n v="1389.0166598000003"/>
    <n v="140.04"/>
    <n v="140.04"/>
    <n v="79.2"/>
    <n v="79.2"/>
    <n v="33444"/>
    <n v="34786.776599999997"/>
    <n v="34786.776599999997"/>
    <n v="35006.016599999995"/>
    <m/>
    <n v="0"/>
    <n v="59748.555374800002"/>
    <n v="133210.4053748"/>
    <s v="Romero Jalomo"/>
    <s v="Carla Johnson"/>
    <s v="Student Success &amp; Support Program (SSSP)"/>
    <s v="1 - PRGASST_II - Arreguin De Salinas, Rosa Isuara"/>
  </r>
  <r>
    <n v="7"/>
    <s v="CSEA"/>
    <x v="3"/>
    <s v="ESERV_SPEC"/>
    <n v="1"/>
    <d v="2022-03-01T00:00:00"/>
    <s v=" 26"/>
    <s v="D"/>
    <n v="40352"/>
    <s v="E"/>
    <n v="21184"/>
    <n v="61536"/>
    <m/>
    <m/>
    <m/>
    <m/>
    <m/>
    <m/>
    <m/>
    <m/>
    <n v="600"/>
    <n v="62136"/>
    <n v="0.5"/>
    <n v="31068"/>
    <s v="11-410-00-620000-52105"/>
    <x v="1"/>
    <s v="410"/>
    <s v="00"/>
    <s v="620000"/>
    <s v="52105"/>
    <x v="0"/>
    <m/>
    <n v="7117.6787999999997"/>
    <n v="1926.2159999999999"/>
    <n v="450.48600000000005"/>
    <n v="382.13639999999998"/>
    <n v="587.43374400000005"/>
    <n v="140.04"/>
    <n v="70.02"/>
    <n v="79.2"/>
    <n v="39.6"/>
    <n v="13152"/>
    <n v="13680.052799999999"/>
    <n v="6840.0263999999997"/>
    <n v="6949.6463999999996"/>
    <m/>
    <n v="0"/>
    <n v="17413.597344000002"/>
    <n v="48481.597344000002"/>
    <m/>
    <m/>
    <m/>
    <s v="0.5 - ESERV_SPEC - To be hired - VACANT (Barron, Fatima)"/>
  </r>
  <r>
    <n v="8"/>
    <s v="CSEA"/>
    <x v="3"/>
    <s v="ESERV_SPEC"/>
    <n v="1"/>
    <d v="2022-03-01T00:00:00"/>
    <s v=" 26"/>
    <s v="D"/>
    <n v="40352"/>
    <s v="E"/>
    <n v="21184"/>
    <n v="61536"/>
    <m/>
    <m/>
    <m/>
    <m/>
    <m/>
    <m/>
    <m/>
    <m/>
    <n v="600"/>
    <n v="62136"/>
    <n v="0.5"/>
    <n v="31068"/>
    <s v="11-420-00-646000-52105"/>
    <x v="1"/>
    <s v="420"/>
    <s v="00"/>
    <s v="646000"/>
    <s v="52105"/>
    <x v="0"/>
    <m/>
    <n v="7117.6787999999997"/>
    <n v="1926.2159999999999"/>
    <n v="450.48600000000005"/>
    <n v="382.13639999999998"/>
    <n v="587.43374400000005"/>
    <n v="140.04"/>
    <n v="70.02"/>
    <n v="79.2"/>
    <n v="39.6"/>
    <n v="13152"/>
    <n v="13680.052799999999"/>
    <n v="6840.0263999999997"/>
    <n v="6949.6463999999996"/>
    <m/>
    <n v="0"/>
    <n v="17413.597344000002"/>
    <n v="48481.597344000002"/>
    <m/>
    <m/>
    <m/>
    <s v="0.5 - ESERV_SPEC - To be hired - VACANT (Barron, Fatima)"/>
  </r>
  <r>
    <n v="9"/>
    <s v="CSEA"/>
    <x v="4"/>
    <s v="ASMNT_TEC"/>
    <n v="0.625"/>
    <d v="2021-09-01T00:00:00"/>
    <s v=" 15"/>
    <s v="D"/>
    <n v="4806.25"/>
    <s v="E"/>
    <n v="25231.25"/>
    <n v="30037.5"/>
    <m/>
    <m/>
    <m/>
    <m/>
    <m/>
    <m/>
    <m/>
    <m/>
    <m/>
    <n v="30037.5"/>
    <n v="1"/>
    <n v="30037.5"/>
    <s v="12-400-00-700400-52105"/>
    <x v="0"/>
    <s v="400"/>
    <s v="00"/>
    <s v="700400"/>
    <s v="52105"/>
    <x v="0"/>
    <m/>
    <n v="6881.5912499999995"/>
    <n v="1862.325"/>
    <n v="435.54375000000005"/>
    <n v="369.46125000000001"/>
    <n v="567.94905000000006"/>
    <n v="140.04"/>
    <n v="140.04"/>
    <m/>
    <n v="0"/>
    <n v="0"/>
    <n v="0"/>
    <n v="0"/>
    <n v="140.04"/>
    <m/>
    <n v="0"/>
    <n v="10256.910300000001"/>
    <n v="40294.410300000003"/>
    <s v="Romero Jalomo"/>
    <s v="Carla Johnson"/>
    <s v="Student Success &amp; Support Program (SSSP)"/>
    <s v="1 - ASMNT_TEC - Benavides-Bartholomew, Victoria"/>
  </r>
  <r>
    <n v="10"/>
    <s v="CSEA"/>
    <x v="5"/>
    <s v="PROGASST_I"/>
    <n v="1"/>
    <d v="2022-02-01T00:00:00"/>
    <s v=" 26"/>
    <s v="D"/>
    <n v="40352"/>
    <s v="E"/>
    <n v="21184"/>
    <n v="61536"/>
    <m/>
    <m/>
    <m/>
    <m/>
    <m/>
    <m/>
    <m/>
    <m/>
    <n v="600"/>
    <n v="62136"/>
    <n v="1"/>
    <n v="62136"/>
    <s v="11-400-00-634000-52105"/>
    <x v="1"/>
    <s v="400"/>
    <s v="00"/>
    <s v="634000"/>
    <s v="52105"/>
    <x v="0"/>
    <m/>
    <n v="14235.357599999999"/>
    <n v="3852.4319999999998"/>
    <n v="900.97200000000009"/>
    <n v="764.27279999999996"/>
    <n v="1174.8674880000001"/>
    <n v="140.04"/>
    <n v="140.04"/>
    <n v="79.2"/>
    <n v="79.2"/>
    <n v="25452.6"/>
    <n v="26474.521889999996"/>
    <n v="26474.521889999996"/>
    <n v="26693.761889999998"/>
    <m/>
    <n v="0"/>
    <n v="47621.663778000002"/>
    <n v="109757.663778"/>
    <m/>
    <m/>
    <m/>
    <s v="1 - PROGASST_I - Barron Vargas, Fatima"/>
  </r>
  <r>
    <n v="11"/>
    <s v="CSEA"/>
    <x v="6"/>
    <s v="SCILABTEC"/>
    <n v="1"/>
    <m/>
    <s v=" 25"/>
    <s v="E"/>
    <m/>
    <m/>
    <n v="62008"/>
    <n v="62008"/>
    <m/>
    <m/>
    <m/>
    <m/>
    <n v="0.1"/>
    <n v="6200.8"/>
    <m/>
    <m/>
    <m/>
    <n v="68208.800000000003"/>
    <n v="1"/>
    <n v="68208.800000000003"/>
    <s v="11-330-00-040110-52200"/>
    <x v="1"/>
    <s v="330"/>
    <s v="00"/>
    <s v="040110"/>
    <s v="52200"/>
    <x v="0"/>
    <m/>
    <n v="15626.63608"/>
    <n v="4228.9456"/>
    <n v="989.02760000000012"/>
    <n v="838.96824000000004"/>
    <n v="1289.6919904000001"/>
    <n v="140.04"/>
    <n v="140.04"/>
    <n v="79.2"/>
    <n v="79.2"/>
    <n v="13152"/>
    <n v="13680.052799999999"/>
    <n v="13680.052799999999"/>
    <n v="13899.292799999999"/>
    <m/>
    <n v="0"/>
    <n v="36872.562310399997"/>
    <n v="105081.3623104"/>
    <m/>
    <m/>
    <m/>
    <s v="1 - SCILABTEC - Black, Joni J"/>
  </r>
  <r>
    <n v="12"/>
    <s v="CSEA"/>
    <x v="7"/>
    <s v="COMP_TECH"/>
    <n v="1"/>
    <m/>
    <s v=" 35"/>
    <s v="E"/>
    <m/>
    <m/>
    <n v="79375"/>
    <n v="79375"/>
    <m/>
    <m/>
    <m/>
    <m/>
    <n v="0.05"/>
    <n v="3968.75"/>
    <m/>
    <m/>
    <m/>
    <n v="83343.75"/>
    <n v="1"/>
    <n v="83343.75"/>
    <s v="11-600-00-678000-52105"/>
    <x v="1"/>
    <s v="600"/>
    <s v="00"/>
    <s v="678000"/>
    <s v="52105"/>
    <x v="0"/>
    <m/>
    <n v="19094.053124999999"/>
    <n v="5167.3125"/>
    <n v="1208.484375"/>
    <n v="1025.128125"/>
    <n v="1575.8636250000002"/>
    <n v="140.04"/>
    <n v="140.04"/>
    <n v="79.2"/>
    <n v="79.2"/>
    <n v="17424"/>
    <n v="18123.5736"/>
    <n v="18123.5736"/>
    <n v="18342.813600000001"/>
    <n v="2400"/>
    <n v="2400"/>
    <n v="48813.655350000001"/>
    <n v="132157.40535000002"/>
    <m/>
    <m/>
    <m/>
    <s v="1 - COMP_TECH - Brandt, Bruce "/>
  </r>
  <r>
    <n v="13"/>
    <s v="CSEA"/>
    <x v="8"/>
    <s v="ADM_ASSTII"/>
    <n v="1"/>
    <d v="2021-10-01T00:00:00"/>
    <s v="20"/>
    <s v="A"/>
    <n v="11271"/>
    <s v="B"/>
    <n v="35505"/>
    <n v="46776"/>
    <m/>
    <m/>
    <m/>
    <m/>
    <m/>
    <m/>
    <m/>
    <m/>
    <m/>
    <n v="46776"/>
    <n v="0.5"/>
    <n v="23388"/>
    <s v="11-420-00-646000-52105"/>
    <x v="1"/>
    <s v="420"/>
    <s v="00"/>
    <s v="646000"/>
    <s v="52105"/>
    <x v="0"/>
    <m/>
    <n v="5358.1908000000003"/>
    <n v="1450.056"/>
    <n v="339.12600000000003"/>
    <n v="287.67239999999998"/>
    <n v="442.22030400000006"/>
    <n v="140.04"/>
    <n v="70.02"/>
    <n v="79.2"/>
    <n v="39.6"/>
    <n v="33444"/>
    <n v="34786.776599999997"/>
    <n v="17393.388299999999"/>
    <n v="17503.008299999998"/>
    <m/>
    <n v="0"/>
    <n v="25380.273804"/>
    <n v="48768.273803999997"/>
    <m/>
    <m/>
    <m/>
    <s v="0.5 - ADM_ASSTII - Bridges, Michaela"/>
  </r>
  <r>
    <n v="14"/>
    <s v="CSEA"/>
    <x v="8"/>
    <s v="ADM_ASSTII"/>
    <n v="1"/>
    <d v="2021-10-01T00:00:00"/>
    <s v="20"/>
    <s v="A"/>
    <n v="11271"/>
    <s v="B"/>
    <n v="35505"/>
    <n v="46776"/>
    <m/>
    <m/>
    <m/>
    <m/>
    <m/>
    <m/>
    <m/>
    <m/>
    <m/>
    <n v="46776"/>
    <n v="0.5"/>
    <n v="23388"/>
    <s v="11-410-00-620000-52105"/>
    <x v="1"/>
    <s v="410"/>
    <s v="00"/>
    <s v="620000"/>
    <s v="52105"/>
    <x v="0"/>
    <m/>
    <n v="5358.1908000000003"/>
    <n v="1450.056"/>
    <n v="339.12600000000003"/>
    <n v="287.67239999999998"/>
    <n v="442.22030400000006"/>
    <n v="140.04"/>
    <n v="70.02"/>
    <n v="79.2"/>
    <n v="39.6"/>
    <n v="33444"/>
    <n v="34786.776599999997"/>
    <n v="17393.388299999999"/>
    <n v="17503.008299999998"/>
    <m/>
    <n v="0"/>
    <n v="25380.273804"/>
    <n v="48768.273803999997"/>
    <m/>
    <m/>
    <m/>
    <s v="0.5 - ADM_ASSTII - Bridges, Michaela"/>
  </r>
  <r>
    <n v="15"/>
    <s v="CSEA"/>
    <x v="9"/>
    <s v="ADMASSTIII"/>
    <n v="1"/>
    <m/>
    <s v=" 23"/>
    <s v="E"/>
    <m/>
    <m/>
    <n v="59019"/>
    <n v="59019"/>
    <m/>
    <m/>
    <m/>
    <m/>
    <n v="0.05"/>
    <n v="2950.9500000000003"/>
    <m/>
    <m/>
    <n v="1800"/>
    <n v="63769.95"/>
    <n v="1"/>
    <n v="63769.95"/>
    <s v="12-400-00-700400-52105"/>
    <x v="0"/>
    <s v="400"/>
    <s v="00"/>
    <s v="700400"/>
    <s v="52105"/>
    <x v="0"/>
    <m/>
    <n v="14609.695544999999"/>
    <n v="3953.7368999999999"/>
    <n v="924.66427499999998"/>
    <n v="784.37038499999994"/>
    <n v="1205.7622146000001"/>
    <n v="140.04"/>
    <n v="140.04"/>
    <n v="79.2"/>
    <n v="79.2"/>
    <n v="33444"/>
    <n v="34786.776599999997"/>
    <n v="34786.776599999997"/>
    <n v="35006.016599999995"/>
    <m/>
    <n v="0"/>
    <n v="56484.245919599998"/>
    <n v="120254.1959196"/>
    <s v="Romero Jalomo"/>
    <s v="Carla Johnson"/>
    <s v="Student Success &amp; Support Program (SSSP)"/>
    <s v="1 - ADMASSTIII - Cabrera, Rosa "/>
  </r>
  <r>
    <n v="16"/>
    <s v="CSEA"/>
    <x v="10"/>
    <s v="PROGASST_I"/>
    <n v="1"/>
    <d v="2022-02-01T00:00:00"/>
    <s v=" 26"/>
    <s v="D"/>
    <n v="35308"/>
    <s v="E"/>
    <n v="26480"/>
    <n v="61788"/>
    <m/>
    <m/>
    <m/>
    <m/>
    <m/>
    <m/>
    <m/>
    <m/>
    <m/>
    <n v="61788"/>
    <n v="0.5"/>
    <n v="30894"/>
    <s v="12-430-00-700500-52105"/>
    <x v="0"/>
    <s v="430"/>
    <s v="00"/>
    <s v="700500"/>
    <s v="52105"/>
    <x v="0"/>
    <m/>
    <n v="7077.8153999999995"/>
    <n v="1915.4279999999999"/>
    <n v="447.96300000000002"/>
    <n v="379.99619999999999"/>
    <n v="584.14375200000006"/>
    <n v="140.04"/>
    <n v="70.02"/>
    <n v="79.2"/>
    <n v="39.6"/>
    <n v="17392.2"/>
    <n v="18090.49683"/>
    <n v="9045.248415"/>
    <n v="9154.8684150000008"/>
    <m/>
    <n v="0"/>
    <n v="19560.214766999998"/>
    <n v="50454.214766999998"/>
    <s v="Romero Jalomo"/>
    <s v="Paul Casey"/>
    <s v="Extended Opportunity Programs and Services (EOPS)"/>
    <s v="0.5 - PROGASST_I - Canter, Sarah "/>
  </r>
  <r>
    <n v="17"/>
    <s v="CSEA"/>
    <x v="10"/>
    <s v="PROGASST_I"/>
    <n v="1"/>
    <d v="2022-02-01T00:00:00"/>
    <s v=" 26"/>
    <s v="D"/>
    <n v="35308"/>
    <s v="E"/>
    <n v="26480"/>
    <n v="61788"/>
    <m/>
    <m/>
    <m/>
    <m/>
    <m/>
    <m/>
    <m/>
    <m/>
    <m/>
    <n v="61788"/>
    <n v="0.5"/>
    <n v="30894"/>
    <s v="12-430-00-700800-52105"/>
    <x v="0"/>
    <s v="430"/>
    <s v="00"/>
    <s v="700800"/>
    <s v="52105"/>
    <x v="0"/>
    <m/>
    <n v="7077.8153999999995"/>
    <n v="1915.4279999999999"/>
    <n v="447.96300000000002"/>
    <n v="379.99619999999999"/>
    <n v="584.14375200000006"/>
    <n v="140.04"/>
    <n v="70.02"/>
    <n v="79.2"/>
    <n v="39.6"/>
    <n v="17392.2"/>
    <n v="18090.49683"/>
    <n v="9045.248415"/>
    <n v="9154.8684150000008"/>
    <m/>
    <n v="0"/>
    <n v="19560.214766999998"/>
    <n v="50454.214766999998"/>
    <s v="Romero Jalomo"/>
    <s v="Paul Casey"/>
    <s v="Cooperative Agencies Resources for Education (CARE) Program"/>
    <s v="0.5 - PROGASST_I - Canter, Sarah "/>
  </r>
  <r>
    <n v="18"/>
    <s v="CSEA"/>
    <x v="11"/>
    <s v="AR_TECH"/>
    <n v="0.75"/>
    <m/>
    <s v=" 18"/>
    <s v="A"/>
    <m/>
    <m/>
    <n v="32587"/>
    <n v="32587"/>
    <m/>
    <m/>
    <m/>
    <m/>
    <m/>
    <m/>
    <m/>
    <m/>
    <m/>
    <n v="32587"/>
    <n v="1"/>
    <n v="32587"/>
    <s v="11-410-00-620000-52105"/>
    <x v="1"/>
    <s v="410"/>
    <s v="00"/>
    <s v="620000"/>
    <s v="52105"/>
    <x v="0"/>
    <m/>
    <n v="7465.6817000000001"/>
    <n v="2020.394"/>
    <n v="472.51150000000001"/>
    <n v="400.82010000000002"/>
    <n v="616.15499599999998"/>
    <n v="140.04"/>
    <n v="140.04"/>
    <n v="79.2"/>
    <n v="79.2"/>
    <n v="25452.6"/>
    <n v="26474.521889999996"/>
    <n v="26474.521889999996"/>
    <n v="26693.761889999998"/>
    <m/>
    <n v="0"/>
    <n v="37669.324185999998"/>
    <n v="70256.324185999998"/>
    <m/>
    <m/>
    <m/>
    <s v="1 - AR_TECH - Ramirez, Erika"/>
  </r>
  <r>
    <n v="19"/>
    <s v="CSEA"/>
    <x v="12"/>
    <s v="ADM_ASST_I"/>
    <n v="1"/>
    <m/>
    <s v=" 17"/>
    <s v="E"/>
    <m/>
    <m/>
    <n v="50892"/>
    <n v="50892"/>
    <m/>
    <m/>
    <m/>
    <m/>
    <n v="7.4999999999999997E-2"/>
    <n v="3816.8999999999996"/>
    <m/>
    <m/>
    <n v="1200"/>
    <n v="55908.9"/>
    <n v="1"/>
    <n v="55908.9"/>
    <s v="11-400-00-631000-52105"/>
    <x v="1"/>
    <s v="400"/>
    <s v="00"/>
    <s v="631000"/>
    <s v="52105"/>
    <x v="0"/>
    <m/>
    <n v="12808.72899"/>
    <n v="3466.3517999999999"/>
    <n v="810.67905000000007"/>
    <n v="687.67947000000004"/>
    <n v="1057.1254812000002"/>
    <n v="140.04"/>
    <n v="140.04"/>
    <n v="79.2"/>
    <n v="79.2"/>
    <n v="33444"/>
    <n v="34786.776599999997"/>
    <n v="34786.776599999997"/>
    <n v="35006.016599999995"/>
    <m/>
    <n v="0"/>
    <n v="53836.581391200001"/>
    <n v="109745.48139120001"/>
    <m/>
    <m/>
    <m/>
    <s v="1 - ADM_ASST_I - Carranza, Xochtil"/>
  </r>
  <r>
    <n v="20"/>
    <s v="CSEA"/>
    <x v="13"/>
    <s v="FA_SPEC"/>
    <n v="1"/>
    <m/>
    <s v=" 31"/>
    <s v="E"/>
    <m/>
    <m/>
    <n v="71910"/>
    <n v="71910"/>
    <m/>
    <m/>
    <m/>
    <m/>
    <n v="0.05"/>
    <n v="3595.5"/>
    <m/>
    <m/>
    <n v="1800"/>
    <n v="77305.5"/>
    <n v="1"/>
    <n v="77305.5"/>
    <s v="11-420-00-646000-52105"/>
    <x v="1"/>
    <s v="420"/>
    <s v="00"/>
    <s v="646000"/>
    <s v="52105"/>
    <x v="0"/>
    <m/>
    <n v="17710.690050000001"/>
    <n v="4792.9409999999998"/>
    <n v="1120.92975"/>
    <n v="950.85765000000004"/>
    <n v="1461.6923940000001"/>
    <n v="140.04"/>
    <n v="140.04"/>
    <n v="79.2"/>
    <n v="79.2"/>
    <n v="33444"/>
    <n v="34786.776599999997"/>
    <n v="34786.776599999997"/>
    <n v="35006.016599999995"/>
    <m/>
    <n v="0"/>
    <n v="61043.127443999998"/>
    <n v="138348.62744399998"/>
    <m/>
    <m/>
    <m/>
    <s v="1 - FA_SPEC - Carrasco, Monica"/>
  </r>
  <r>
    <n v="21"/>
    <s v="CSEA"/>
    <x v="14"/>
    <s v="ADMASSTIII"/>
    <n v="1"/>
    <m/>
    <s v=" 23"/>
    <s v="E"/>
    <m/>
    <m/>
    <n v="59019"/>
    <n v="59019"/>
    <m/>
    <m/>
    <m/>
    <m/>
    <n v="7.4999999999999997E-2"/>
    <n v="4426.4250000000002"/>
    <m/>
    <n v="0"/>
    <m/>
    <n v="63445.425000000003"/>
    <n v="1"/>
    <n v="63445.425000000003"/>
    <s v="11-301-00-601000-52105"/>
    <x v="1"/>
    <s v="301"/>
    <s v="00"/>
    <s v="601000"/>
    <s v="52105"/>
    <x v="0"/>
    <m/>
    <n v="14535.3468675"/>
    <n v="3933.6163500000002"/>
    <n v="919.95866250000006"/>
    <n v="780.37872750000008"/>
    <n v="1199.6260959000001"/>
    <n v="140.04"/>
    <n v="140.04"/>
    <n v="79.2"/>
    <n v="79.2"/>
    <n v="33444"/>
    <n v="34786.776599999997"/>
    <n v="34786.776599999997"/>
    <n v="35006.016599999995"/>
    <m/>
    <n v="0"/>
    <n v="56374.943303399996"/>
    <n v="119820.3683034"/>
    <m/>
    <m/>
    <m/>
    <s v="1 - ADMASSTIII - Carreon, Yvonne"/>
  </r>
  <r>
    <n v="22"/>
    <s v="CSEA"/>
    <x v="15"/>
    <s v="PRGASST_II"/>
    <n v="1"/>
    <d v="2021-11-01T00:00:00"/>
    <s v=" 31"/>
    <s v="C"/>
    <n v="21740"/>
    <s v="D"/>
    <n v="45656"/>
    <n v="67396"/>
    <m/>
    <m/>
    <m/>
    <m/>
    <m/>
    <m/>
    <m/>
    <m/>
    <n v="600"/>
    <n v="67996"/>
    <n v="1"/>
    <n v="67996"/>
    <s v="12-400-00-700400-52105"/>
    <x v="0"/>
    <s v="400"/>
    <s v="00"/>
    <s v="700400"/>
    <s v="52105"/>
    <x v="0"/>
    <m/>
    <n v="15577.883599999999"/>
    <n v="4215.7520000000004"/>
    <n v="985.94200000000001"/>
    <n v="836.35080000000005"/>
    <n v="1285.6683680000001"/>
    <n v="140.04"/>
    <n v="140.04"/>
    <n v="79.2"/>
    <n v="79.2"/>
    <n v="23232"/>
    <n v="24164.764800000001"/>
    <n v="24164.764800000001"/>
    <n v="24384.004800000002"/>
    <n v="2400"/>
    <n v="2400"/>
    <n v="49685.601567999998"/>
    <n v="117681.601568"/>
    <s v="Romero Jalomo"/>
    <s v="Carla Johnson"/>
    <s v="Student Success &amp; Support Program (SSSP)"/>
    <s v="1 - PRGASST_II - Carrillo, Alejandra"/>
  </r>
  <r>
    <n v="23"/>
    <s v="CSEA"/>
    <x v="16"/>
    <s v="FA_SPEC"/>
    <n v="1"/>
    <m/>
    <s v=" 31"/>
    <s v="E"/>
    <m/>
    <m/>
    <n v="71910"/>
    <n v="71910"/>
    <m/>
    <m/>
    <m/>
    <m/>
    <n v="7.4999999999999997E-2"/>
    <n v="5393.25"/>
    <m/>
    <m/>
    <n v="600"/>
    <n v="77903.25"/>
    <n v="1"/>
    <n v="77903.25"/>
    <s v="12-420-00-700600-52105"/>
    <x v="0"/>
    <s v="420"/>
    <s v="00"/>
    <s v="700600"/>
    <s v="52105"/>
    <x v="0"/>
    <m/>
    <n v="17847.634575"/>
    <n v="4830.0015000000003"/>
    <n v="1129.597125"/>
    <n v="958.20997499999999"/>
    <n v="1472.9946510000002"/>
    <n v="140.04"/>
    <n v="140.04"/>
    <n v="79.2"/>
    <n v="79.2"/>
    <n v="33444"/>
    <n v="34786.776599999997"/>
    <n v="34786.776599999997"/>
    <n v="35006.016599999995"/>
    <m/>
    <n v="0"/>
    <n v="61244.454426000004"/>
    <n v="139147.70442600001"/>
    <s v="Romero Jalomo"/>
    <s v="Marina Reyes"/>
    <s v="Student Financial Aid Administration (SFAA)"/>
    <s v="1 - FA_SPEC - Chavez, Lenni "/>
  </r>
  <r>
    <n v="24"/>
    <s v="CSEA"/>
    <x v="17"/>
    <s v="INFOTECHSP"/>
    <n v="1"/>
    <m/>
    <s v=" 39"/>
    <s v="E"/>
    <m/>
    <m/>
    <n v="87615"/>
    <n v="87615"/>
    <m/>
    <m/>
    <m/>
    <m/>
    <n v="7.4999999999999997E-2"/>
    <n v="6571.125"/>
    <m/>
    <m/>
    <n v="1200"/>
    <n v="95386.125"/>
    <n v="1"/>
    <n v="95386.125"/>
    <s v="11-600-00-678000-52105"/>
    <x v="1"/>
    <s v="600"/>
    <s v="00"/>
    <s v="678000"/>
    <s v="52105"/>
    <x v="0"/>
    <m/>
    <n v="21852.9612375"/>
    <n v="5913.9397499999995"/>
    <n v="1383.0988125000001"/>
    <n v="1173.2493374999999"/>
    <n v="1803.5608515000001"/>
    <n v="140.04"/>
    <n v="140.04"/>
    <n v="79.2"/>
    <n v="79.2"/>
    <n v="33444"/>
    <n v="34786.776599999997"/>
    <n v="34786.776599999997"/>
    <n v="35006.016599999995"/>
    <m/>
    <n v="0"/>
    <n v="67132.826589000004"/>
    <n v="162518.951589"/>
    <m/>
    <m/>
    <m/>
    <s v="1 - INFOTECHSP - Chen, Paul"/>
  </r>
  <r>
    <n v="25"/>
    <s v="CSEA"/>
    <x v="18"/>
    <s v="SCILABTEC"/>
    <n v="1"/>
    <m/>
    <s v=" 25"/>
    <s v="E"/>
    <m/>
    <m/>
    <n v="62008"/>
    <n v="62008"/>
    <m/>
    <m/>
    <n v="0.05"/>
    <n v="3100.4"/>
    <m/>
    <m/>
    <m/>
    <m/>
    <m/>
    <n v="65108.4"/>
    <n v="0.25"/>
    <n v="16277.1"/>
    <s v="11-330-00-040110-52200"/>
    <x v="1"/>
    <s v="330"/>
    <s v="00"/>
    <s v="040110"/>
    <s v="52200"/>
    <x v="0"/>
    <m/>
    <n v="3729.0836100000001"/>
    <n v="1009.1802"/>
    <n v="236.01795000000001"/>
    <n v="200.20833000000002"/>
    <n v="307.7674068"/>
    <n v="140.04"/>
    <n v="35.01"/>
    <n v="79.2"/>
    <n v="19.8"/>
    <n v="8820"/>
    <n v="9174.1229999999996"/>
    <n v="2293.5307499999999"/>
    <n v="2348.3407499999998"/>
    <n v="2400"/>
    <n v="600"/>
    <n v="8430.5982468000002"/>
    <n v="24707.698246799999"/>
    <m/>
    <m/>
    <m/>
    <s v="0.25 - SCILABTEC - Chhom, Tony"/>
  </r>
  <r>
    <n v="26"/>
    <s v="CSEA"/>
    <x v="18"/>
    <s v="SCILABTEC"/>
    <n v="1"/>
    <m/>
    <s v=" 25"/>
    <s v="E"/>
    <m/>
    <m/>
    <n v="62008"/>
    <n v="62008"/>
    <m/>
    <m/>
    <n v="0.05"/>
    <n v="3100.4"/>
    <m/>
    <m/>
    <m/>
    <m/>
    <m/>
    <n v="65108.4"/>
    <n v="0.75"/>
    <n v="48831.3"/>
    <s v="11-330-00-190500-52200"/>
    <x v="1"/>
    <s v="330"/>
    <s v="00"/>
    <s v="190500"/>
    <s v="52200"/>
    <x v="0"/>
    <m/>
    <n v="11187.250830000001"/>
    <n v="3027.5406000000003"/>
    <n v="708.05385000000012"/>
    <n v="600.62499000000003"/>
    <n v="923.30222040000012"/>
    <n v="140.04"/>
    <n v="105.03"/>
    <n v="79.2"/>
    <n v="59.400000000000006"/>
    <n v="8820"/>
    <n v="9174.1229999999996"/>
    <n v="6880.5922499999997"/>
    <n v="7045.02225"/>
    <n v="2400"/>
    <n v="1800"/>
    <n v="25291.794740400001"/>
    <n v="74123.094740400004"/>
    <m/>
    <m/>
    <m/>
    <s v="0.75 - SCILABTEC - Chhom, Tony"/>
  </r>
  <r>
    <n v="27"/>
    <s v="CSEA"/>
    <x v="19"/>
    <s v="TPP_COORD"/>
    <n v="1"/>
    <m/>
    <s v=" 36"/>
    <s v="E"/>
    <m/>
    <m/>
    <n v="81361"/>
    <n v="81361"/>
    <m/>
    <m/>
    <m/>
    <m/>
    <m/>
    <m/>
    <m/>
    <m/>
    <m/>
    <n v="81361"/>
    <n v="0.32"/>
    <n v="26035.52"/>
    <s v="12-301-00-703605-52105"/>
    <x v="0"/>
    <s v="301"/>
    <s v="00"/>
    <s v="703605"/>
    <s v="52105"/>
    <x v="0"/>
    <m/>
    <n v="5964.7376320000003"/>
    <n v="1614.2022400000001"/>
    <n v="377.51504"/>
    <n v="320.236896"/>
    <n v="492.27961216000006"/>
    <n v="140.04"/>
    <n v="44.812799999999996"/>
    <n v="79.2"/>
    <n v="25.344000000000001"/>
    <n v="25452.6"/>
    <n v="26474.521889999996"/>
    <n v="8471.8470047999981"/>
    <n v="8542.0038047999988"/>
    <m/>
    <n v="0"/>
    <n v="17310.975224959999"/>
    <n v="43346.495224960003"/>
    <s v="Cathryn Wilkinson"/>
    <s v="Jihan Ejan"/>
    <s v="Foundation - Giannini"/>
    <s v="0.32 - TPP_COORD - Clemente Ruiz, Jesus"/>
  </r>
  <r>
    <n v="28"/>
    <s v="CSEA"/>
    <x v="19"/>
    <s v="TPP_COORD"/>
    <n v="1"/>
    <m/>
    <s v=" 36"/>
    <s v="E"/>
    <m/>
    <m/>
    <n v="81361"/>
    <n v="81361"/>
    <m/>
    <m/>
    <m/>
    <m/>
    <m/>
    <m/>
    <m/>
    <m/>
    <m/>
    <n v="81361"/>
    <n v="0.68"/>
    <n v="55325.48"/>
    <s v="12-301-00-706260-52105"/>
    <x v="0"/>
    <s v="301"/>
    <s v="00"/>
    <s v="706260"/>
    <s v="52105"/>
    <x v="0"/>
    <m/>
    <n v="12675.067468000001"/>
    <n v="3430.17976"/>
    <n v="802.21946000000014"/>
    <n v="680.50340400000005"/>
    <n v="1046.0941758400002"/>
    <n v="140.04"/>
    <n v="95.227199999999996"/>
    <n v="79.2"/>
    <n v="53.856000000000009"/>
    <n v="25452.6"/>
    <n v="26474.521889999996"/>
    <n v="18002.674885199998"/>
    <n v="18151.758085199999"/>
    <m/>
    <n v="0"/>
    <n v="36785.822353039999"/>
    <n v="92111.302353039995"/>
    <s v="Cathryn Wilkinson"/>
    <s v="Jihan Ejan"/>
    <s v="MAESTROS Project"/>
    <s v="0.68 - TPP_COORD - Clemente Ruiz, Jesus"/>
  </r>
  <r>
    <n v="29"/>
    <s v="CSEA"/>
    <x v="20"/>
    <s v="CURR_SCH_L"/>
    <n v="1"/>
    <m/>
    <s v=" 34"/>
    <s v="E"/>
    <m/>
    <m/>
    <n v="77440"/>
    <n v="77440"/>
    <m/>
    <m/>
    <m/>
    <m/>
    <m/>
    <m/>
    <m/>
    <m/>
    <n v="600"/>
    <n v="78040"/>
    <n v="1"/>
    <n v="78040"/>
    <s v="11-300-00-601000-52105"/>
    <x v="1"/>
    <s v="300"/>
    <s v="00"/>
    <s v="601000"/>
    <s v="52105"/>
    <x v="0"/>
    <m/>
    <n v="17878.964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290.512920000001"/>
    <n v="139330.51292000001"/>
    <m/>
    <m/>
    <m/>
    <s v="1 - CURR_SCH_L - Cortez, Herbert"/>
  </r>
  <r>
    <n v="30"/>
    <s v="CSEA"/>
    <x v="21"/>
    <s v="PROGASST_I"/>
    <n v="1"/>
    <d v="2022-02-01T00:00:00"/>
    <s v=" 26"/>
    <s v="B"/>
    <n v="32025"/>
    <s v="C"/>
    <n v="24020"/>
    <n v="56045"/>
    <m/>
    <m/>
    <m/>
    <m/>
    <m/>
    <m/>
    <m/>
    <m/>
    <n v="1200"/>
    <n v="57245"/>
    <n v="0.7"/>
    <n v="40071.5"/>
    <s v="12-365-00-707733-52105"/>
    <x v="0"/>
    <s v="365"/>
    <s v="00"/>
    <s v="707733"/>
    <s v="52105"/>
    <x v="0"/>
    <m/>
    <n v="9180.3806499999992"/>
    <n v="2484.433"/>
    <n v="581.03674999999998"/>
    <n v="492.87945000000002"/>
    <n v="757.671922"/>
    <n v="140.04"/>
    <n v="98.027999999999992"/>
    <n v="79.2"/>
    <n v="55.44"/>
    <n v="33444"/>
    <n v="34786.776599999997"/>
    <n v="24350.743619999997"/>
    <n v="24504.211619999998"/>
    <m/>
    <n v="0"/>
    <n v="38000.613391999999"/>
    <n v="78072.113391999999"/>
    <s v="Cathryn Wilkinson"/>
    <s v="Ivan Pagan"/>
    <s v="Adult Education - SVAEC"/>
    <s v="0.7 - PROGASST_I - De Leon, Maria"/>
  </r>
  <r>
    <n v="31"/>
    <s v="CSEA"/>
    <x v="22"/>
    <s v="SCILABTEC"/>
    <n v="0.83329999999999993"/>
    <m/>
    <s v=" 25"/>
    <s v="E"/>
    <m/>
    <m/>
    <n v="51671.266399999993"/>
    <n v="51671.266399999993"/>
    <m/>
    <m/>
    <m/>
    <m/>
    <m/>
    <m/>
    <m/>
    <m/>
    <m/>
    <n v="51671.266399999993"/>
    <n v="1"/>
    <n v="51671.266399999993"/>
    <s v="11-330-00-040110-52200"/>
    <x v="1"/>
    <s v="330"/>
    <s v="00"/>
    <s v="040110"/>
    <s v="52200"/>
    <x v="0"/>
    <m/>
    <n v="11837.887132239999"/>
    <n v="3203.6185167999997"/>
    <n v="749.2333627999999"/>
    <n v="635.55657671999995"/>
    <n v="977.00030509119995"/>
    <n v="140.04"/>
    <n v="140.04"/>
    <n v="79.2"/>
    <n v="79.2"/>
    <n v="17424"/>
    <n v="18123.5736"/>
    <n v="18123.5736"/>
    <n v="18342.813600000001"/>
    <n v="2400"/>
    <n v="2400"/>
    <n v="38146.109493651194"/>
    <n v="89817.375893651188"/>
    <m/>
    <m/>
    <m/>
    <s v="1 - SCILABTEC - Deiss, Melanie"/>
  </r>
  <r>
    <n v="32"/>
    <s v="CSEA"/>
    <x v="23"/>
    <s v="ADMASSTIII"/>
    <n v="1"/>
    <m/>
    <s v=" 23"/>
    <s v="E"/>
    <m/>
    <m/>
    <n v="59019"/>
    <n v="59019"/>
    <m/>
    <m/>
    <m/>
    <m/>
    <m/>
    <m/>
    <m/>
    <m/>
    <n v="600"/>
    <n v="59619"/>
    <n v="1"/>
    <n v="59619"/>
    <s v="12-350-00-700330-52105"/>
    <x v="0"/>
    <s v="350"/>
    <s v="00"/>
    <s v="700330"/>
    <s v="52105"/>
    <x v="0"/>
    <m/>
    <n v="13658.7129"/>
    <n v="3696.3780000000002"/>
    <n v="864.47550000000001"/>
    <n v="733.31370000000004"/>
    <n v="1127.2760520000002"/>
    <n v="140.04"/>
    <n v="140.04"/>
    <n v="79.2"/>
    <n v="79.2"/>
    <n v="17424"/>
    <n v="18123.5736"/>
    <n v="18123.5736"/>
    <n v="18342.813600000001"/>
    <n v="2400"/>
    <n v="2400"/>
    <n v="40822.969752000005"/>
    <n v="100441.969752"/>
    <s v="Cathryn Wilkinson"/>
    <s v="Sharon Albert"/>
    <s v="Strong Workforce"/>
    <s v="1 - ADMASSTIII - Del Rio, Lluvia"/>
  </r>
  <r>
    <n v="33"/>
    <s v="CSEA"/>
    <x v="24"/>
    <s v="ADM_ASST_I"/>
    <n v="0.6"/>
    <m/>
    <s v=" 17"/>
    <s v="E"/>
    <m/>
    <m/>
    <n v="30535.199999999997"/>
    <n v="30535.199999999997"/>
    <m/>
    <m/>
    <m/>
    <m/>
    <n v="2.5000000000000001E-2"/>
    <n v="763.38"/>
    <m/>
    <n v="0"/>
    <n v="600"/>
    <n v="31898.579999999998"/>
    <n v="1"/>
    <n v="31898.579999999998"/>
    <s v="12-440-00-701020-52105"/>
    <x v="0"/>
    <s v="440"/>
    <s v="00"/>
    <s v="701020"/>
    <s v="52105"/>
    <x v="0"/>
    <m/>
    <n v="7307.9646779999994"/>
    <n v="1977.7119599999999"/>
    <n v="462.52940999999998"/>
    <n v="392.35253399999999"/>
    <n v="603.13835064"/>
    <n v="140.04"/>
    <n v="140.04"/>
    <m/>
    <n v="0"/>
    <n v="0"/>
    <n v="0"/>
    <n v="0"/>
    <n v="140.04"/>
    <m/>
    <n v="0"/>
    <n v="10883.736932639998"/>
    <n v="42782.316932639995"/>
    <s v="Romero Jalomo"/>
    <s v="Michelle Peters"/>
    <s v="Disabled Student Programs and Services (DSPS)"/>
    <s v="1 - ADM_ASST_I - Diaz, Eva"/>
  </r>
  <r>
    <n v="34"/>
    <s v="CSEA"/>
    <x v="25"/>
    <s v="ADM_ASSTII"/>
    <n v="1"/>
    <m/>
    <s v=" 20"/>
    <s v="E"/>
    <m/>
    <m/>
    <n v="54807"/>
    <n v="54807"/>
    <m/>
    <m/>
    <m/>
    <m/>
    <m/>
    <m/>
    <m/>
    <m/>
    <n v="600"/>
    <n v="55407"/>
    <n v="0.25"/>
    <n v="13851.75"/>
    <s v="12-370-00-701100-52105"/>
    <x v="0"/>
    <s v="370"/>
    <s v="00"/>
    <s v="701100"/>
    <s v="52105"/>
    <x v="0"/>
    <m/>
    <n v="3173.4359249999998"/>
    <n v="858.80849999999998"/>
    <n v="200.85037500000001"/>
    <n v="170.37652500000002"/>
    <n v="261.90888900000004"/>
    <n v="140.04"/>
    <n v="35.01"/>
    <n v="79.2"/>
    <n v="19.8"/>
    <n v="25452.6"/>
    <n v="26474.521889999996"/>
    <n v="6618.6304724999991"/>
    <n v="6673.4404724999995"/>
    <m/>
    <n v="0"/>
    <n v="11338.820686499999"/>
    <n v="25190.570686499999"/>
    <s v="Cathryn Wilkinson"/>
    <s v="Margie Wiebusch"/>
    <s v="Foster and Kinship Care Education program (FKCE)"/>
    <s v="0.25 - ADM_ASSTII - Downie, Mariana"/>
  </r>
  <r>
    <n v="35"/>
    <s v="CSEA"/>
    <x v="25"/>
    <s v="ADM_ASSTII"/>
    <n v="1"/>
    <m/>
    <s v=" 20"/>
    <s v="E"/>
    <m/>
    <m/>
    <n v="54807"/>
    <n v="54807"/>
    <m/>
    <m/>
    <m/>
    <m/>
    <m/>
    <m/>
    <m/>
    <m/>
    <n v="600"/>
    <n v="55407"/>
    <n v="0.75"/>
    <n v="41555.25"/>
    <s v="12-370-00-708300-52105"/>
    <x v="0"/>
    <s v="370"/>
    <s v="00"/>
    <s v="708300"/>
    <s v="52105"/>
    <x v="0"/>
    <m/>
    <n v="9520.3077749999993"/>
    <n v="2576.4254999999998"/>
    <n v="602.55112500000007"/>
    <n v="511.12957499999999"/>
    <n v="785.72666700000002"/>
    <n v="140.04"/>
    <n v="105.03"/>
    <n v="79.2"/>
    <n v="59.400000000000006"/>
    <n v="25452.6"/>
    <n v="26474.521889999996"/>
    <n v="19855.891417499995"/>
    <n v="20020.321417499996"/>
    <m/>
    <n v="0"/>
    <n v="34016.462059499994"/>
    <n v="75571.712059499987"/>
    <s v="Cathryn Wilkinson"/>
    <s v="Margie Wiebusch"/>
    <s v="Department of Social Services Contract (DSES)"/>
    <s v="0.75 - ADM_ASSTII - Downie, Mariana"/>
  </r>
  <r>
    <n v="36"/>
    <s v="CSEA"/>
    <x v="26"/>
    <s v="ADMASSTIII"/>
    <n v="1"/>
    <m/>
    <s v=" 23"/>
    <s v="E"/>
    <m/>
    <m/>
    <n v="59019"/>
    <n v="59019"/>
    <m/>
    <m/>
    <m/>
    <m/>
    <n v="0.05"/>
    <n v="2950.9500000000003"/>
    <m/>
    <m/>
    <n v="1800"/>
    <n v="63769.95"/>
    <n v="1"/>
    <n v="63769.95"/>
    <s v="11-360-00-601000-52105"/>
    <x v="1"/>
    <s v="360"/>
    <s v="00"/>
    <s v="601000"/>
    <s v="52105"/>
    <x v="0"/>
    <m/>
    <n v="14609.695544999999"/>
    <n v="3953.7368999999999"/>
    <n v="924.66427499999998"/>
    <n v="784.37038499999994"/>
    <n v="1205.7622146000001"/>
    <n v="140.04"/>
    <n v="140.04"/>
    <n v="79.2"/>
    <n v="79.2"/>
    <n v="33444"/>
    <n v="34786.776599999997"/>
    <n v="34786.776599999997"/>
    <n v="35006.016599999995"/>
    <m/>
    <n v="0"/>
    <n v="56484.245919599998"/>
    <n v="120254.1959196"/>
    <m/>
    <m/>
    <m/>
    <s v="1 - ADMASSTIII - Edeza, Delia S"/>
  </r>
  <r>
    <n v="37"/>
    <s v="CSEA"/>
    <x v="27"/>
    <s v="ASUPSP"/>
    <n v="1"/>
    <m/>
    <s v=" 34"/>
    <s v="E"/>
    <m/>
    <m/>
    <n v="77440"/>
    <n v="77440"/>
    <m/>
    <m/>
    <m/>
    <m/>
    <m/>
    <m/>
    <m/>
    <m/>
    <m/>
    <n v="77440"/>
    <n v="0.5"/>
    <n v="38720"/>
    <s v="12-330-00-709831-52200"/>
    <x v="0"/>
    <s v="330"/>
    <s v="00"/>
    <s v="709831"/>
    <s v="52200"/>
    <x v="0"/>
    <m/>
    <n v="8870.7520000000004"/>
    <n v="2400.64"/>
    <n v="561.44000000000005"/>
    <n v="476.25600000000003"/>
    <n v="732.11776000000009"/>
    <n v="140.04"/>
    <n v="70.02"/>
    <n v="79.2"/>
    <n v="39.6"/>
    <n v="13152"/>
    <n v="13680.052799999999"/>
    <n v="6840.0263999999997"/>
    <n v="6949.6463999999996"/>
    <m/>
    <n v="0"/>
    <n v="19990.852160000002"/>
    <n v="58710.852160000002"/>
    <s v="Raul Rodriguez"/>
    <s v="Moises Almendariz"/>
    <s v="HSI STEM GPS"/>
    <s v="0.5 - ASUPSP - Fischler, Lisa"/>
  </r>
  <r>
    <n v="38"/>
    <s v="CSEA"/>
    <x v="27"/>
    <s v="ASUPSP"/>
    <n v="1"/>
    <m/>
    <s v=" 34"/>
    <s v="E"/>
    <m/>
    <m/>
    <n v="77440"/>
    <n v="77440"/>
    <m/>
    <m/>
    <m/>
    <m/>
    <m/>
    <m/>
    <m/>
    <m/>
    <m/>
    <n v="77440"/>
    <n v="0.5"/>
    <n v="38720"/>
    <s v="12-365-00-720014-52200"/>
    <x v="0"/>
    <s v="365"/>
    <s v="00"/>
    <s v="720014"/>
    <s v="52200"/>
    <x v="0"/>
    <m/>
    <n v="8870.7520000000004"/>
    <n v="2400.64"/>
    <n v="561.44000000000005"/>
    <n v="476.25600000000003"/>
    <n v="732.11776000000009"/>
    <n v="140.04"/>
    <n v="70.02"/>
    <n v="79.2"/>
    <n v="39.6"/>
    <n v="13152"/>
    <n v="13680.052799999999"/>
    <n v="6840.0263999999997"/>
    <n v="6949.6463999999996"/>
    <m/>
    <n v="0"/>
    <n v="19990.852160000002"/>
    <n v="58710.852160000002"/>
    <s v="Cathryn Wilkinson"/>
    <s v="Sachiko Matsunaga"/>
    <s v="Basic Skills"/>
    <s v="0.5 - ASUPSP - Fischler, Lisa"/>
  </r>
  <r>
    <n v="39"/>
    <s v="CSEA"/>
    <x v="28"/>
    <s v="WEBADMIN"/>
    <n v="1"/>
    <m/>
    <s v=" 48"/>
    <s v="E"/>
    <m/>
    <m/>
    <n v="109420"/>
    <n v="109420"/>
    <m/>
    <m/>
    <m/>
    <m/>
    <n v="0.05"/>
    <n v="5471"/>
    <m/>
    <m/>
    <n v="1200"/>
    <n v="116091"/>
    <n v="1"/>
    <n v="116091"/>
    <s v="11-600-00-678000-52105"/>
    <x v="1"/>
    <s v="600"/>
    <s v="00"/>
    <s v="678000"/>
    <s v="52105"/>
    <x v="0"/>
    <m/>
    <n v="26596.448100000001"/>
    <n v="7197.6419999999998"/>
    <n v="1683.3195000000001"/>
    <n v="1427.9193"/>
    <n v="2195.048628"/>
    <n v="140.04"/>
    <n v="140.04"/>
    <n v="79.2"/>
    <n v="79.2"/>
    <n v="23232"/>
    <n v="24164.764800000001"/>
    <n v="24164.764800000001"/>
    <n v="24384.004800000002"/>
    <n v="2400"/>
    <n v="2400"/>
    <n v="65884.382327999992"/>
    <n v="181975.38232799998"/>
    <m/>
    <m/>
    <m/>
    <s v="1 - WEBADMIN - Fitch, James D"/>
  </r>
  <r>
    <n v="40"/>
    <s v="CSEA"/>
    <x v="29"/>
    <s v="BG_ACCT"/>
    <n v="1"/>
    <m/>
    <s v=" 36"/>
    <s v="E"/>
    <m/>
    <m/>
    <n v="81361"/>
    <n v="81361"/>
    <m/>
    <m/>
    <m/>
    <m/>
    <m/>
    <m/>
    <m/>
    <m/>
    <m/>
    <n v="81361"/>
    <n v="0.2"/>
    <n v="16272.2"/>
    <s v="11-210-00-672010-52105"/>
    <x v="1"/>
    <s v="210"/>
    <s v="00"/>
    <s v="672010"/>
    <s v="52105"/>
    <x v="0"/>
    <m/>
    <n v="3727.9610200000002"/>
    <n v="1008.8764"/>
    <n v="235.94690000000003"/>
    <n v="200.14806000000002"/>
    <n v="307.67475760000002"/>
    <n v="140.04"/>
    <n v="28.007999999999999"/>
    <n v="79.2"/>
    <n v="15.840000000000002"/>
    <n v="25452.6"/>
    <n v="26474.521889999996"/>
    <n v="5294.9043779999993"/>
    <n v="5338.7523779999992"/>
    <m/>
    <n v="0"/>
    <n v="10819.359515599999"/>
    <n v="27091.559515599998"/>
    <m/>
    <m/>
    <m/>
    <s v="0.2 - BG_ACCT - Flores, Elizabeth"/>
  </r>
  <r>
    <n v="41"/>
    <s v="CSEA"/>
    <x v="29"/>
    <s v="BG_ACCT"/>
    <n v="1"/>
    <m/>
    <s v=" 36"/>
    <s v="E"/>
    <m/>
    <m/>
    <n v="81361"/>
    <n v="81361"/>
    <m/>
    <m/>
    <m/>
    <m/>
    <m/>
    <m/>
    <m/>
    <m/>
    <m/>
    <n v="81361"/>
    <n v="0.8"/>
    <n v="65088.800000000003"/>
    <s v="11-210-00-672040-52105"/>
    <x v="1"/>
    <s v="210"/>
    <s v="00"/>
    <s v="672040"/>
    <s v="52105"/>
    <x v="0"/>
    <m/>
    <n v="14911.844080000001"/>
    <n v="4035.5056"/>
    <n v="943.78760000000011"/>
    <n v="800.59224000000006"/>
    <n v="1230.6990304000001"/>
    <n v="140.04"/>
    <n v="112.032"/>
    <n v="79.2"/>
    <n v="63.360000000000007"/>
    <n v="25452.6"/>
    <n v="26474.521889999996"/>
    <n v="21179.617511999997"/>
    <n v="21355.009511999997"/>
    <m/>
    <n v="0"/>
    <n v="43277.438062399997"/>
    <n v="108366.23806239999"/>
    <m/>
    <m/>
    <m/>
    <s v="0.8 - BG_ACCT - Flores, Elizabeth"/>
  </r>
  <r>
    <n v="42"/>
    <s v="CSEA"/>
    <x v="30"/>
    <s v="ADM_ASSTII"/>
    <n v="1"/>
    <m/>
    <s v=" 20"/>
    <s v="E"/>
    <m/>
    <m/>
    <n v="54807"/>
    <n v="54807"/>
    <m/>
    <m/>
    <m/>
    <m/>
    <m/>
    <m/>
    <m/>
    <m/>
    <n v="600"/>
    <n v="55407"/>
    <n v="1"/>
    <n v="55407"/>
    <s v="12-350-00-760005-52105"/>
    <x v="0"/>
    <s v="350"/>
    <s v="00"/>
    <s v="760005"/>
    <s v="52105"/>
    <x v="0"/>
    <m/>
    <n v="12693.743699999999"/>
    <n v="3435.2339999999999"/>
    <n v="803.40150000000006"/>
    <n v="681.50610000000006"/>
    <n v="1047.6355560000002"/>
    <n v="140.04"/>
    <n v="140.04"/>
    <n v="79.2"/>
    <n v="79.2"/>
    <n v="7584"/>
    <n v="7888.4975999999997"/>
    <n v="7888.4975999999997"/>
    <n v="8107.7375999999995"/>
    <n v="2400"/>
    <n v="2400"/>
    <n v="29169.258456"/>
    <n v="84576.258455999996"/>
    <s v="Jackie Cruz"/>
    <s v="Jackie Cruz"/>
    <s v="Foundation - AgTech"/>
    <s v="1 - ADM_ASSTII - Fortman, Nonita"/>
  </r>
  <r>
    <n v="44"/>
    <s v="CSEA"/>
    <x v="31"/>
    <s v="ESERV_SPEC"/>
    <n v="1"/>
    <m/>
    <s v=" 26"/>
    <s v="E"/>
    <m/>
    <m/>
    <n v="63557"/>
    <n v="63557"/>
    <m/>
    <m/>
    <m/>
    <m/>
    <n v="7.4999999999999997E-2"/>
    <n v="4766.7749999999996"/>
    <m/>
    <m/>
    <n v="1200"/>
    <n v="69523.774999999994"/>
    <n v="1"/>
    <n v="69523.774999999994"/>
    <s v="11-120-02-601000-52105"/>
    <x v="1"/>
    <s v="120"/>
    <s v="02"/>
    <s v="601000"/>
    <s v="52105"/>
    <x v="0"/>
    <m/>
    <n v="15927.896852499998"/>
    <n v="4310.4740499999998"/>
    <n v="1008.0947375"/>
    <n v="855.14243249999993"/>
    <n v="1314.5555377000001"/>
    <n v="140.04"/>
    <n v="140.04"/>
    <n v="79.2"/>
    <n v="79.2"/>
    <n v="25452.6"/>
    <n v="26474.521889999996"/>
    <n v="26474.521889999996"/>
    <n v="26693.761889999998"/>
    <m/>
    <n v="0"/>
    <n v="50109.925500199999"/>
    <n v="119633.70050019999"/>
    <m/>
    <m/>
    <m/>
    <s v="1 - ESERV_SPEC - Galvan, Olga L"/>
  </r>
  <r>
    <n v="45"/>
    <s v="CSEA"/>
    <x v="32"/>
    <s v="ACCT_ASST"/>
    <n v="1"/>
    <m/>
    <s v=" 21"/>
    <s v="E"/>
    <m/>
    <m/>
    <n v="56176"/>
    <n v="56176"/>
    <m/>
    <m/>
    <m/>
    <m/>
    <m/>
    <m/>
    <m/>
    <m/>
    <n v="1200"/>
    <n v="57376"/>
    <n v="1"/>
    <n v="57376"/>
    <s v="11-210-00-672010-52105"/>
    <x v="1"/>
    <s v="210"/>
    <s v="00"/>
    <s v="672010"/>
    <s v="52105"/>
    <x v="0"/>
    <m/>
    <n v="13144.8416"/>
    <n v="3557.3119999999999"/>
    <n v="831.952"/>
    <n v="705.72479999999996"/>
    <n v="1084.8654080000001"/>
    <n v="140.04"/>
    <n v="140.04"/>
    <n v="79.2"/>
    <n v="79.2"/>
    <n v="23232"/>
    <n v="24164.764800000001"/>
    <n v="24164.764800000001"/>
    <n v="24384.004800000002"/>
    <n v="2400"/>
    <n v="2400"/>
    <n v="46108.700607999999"/>
    <n v="103484.700608"/>
    <m/>
    <m/>
    <m/>
    <s v="1 - ACCT_ASST - Amezola Garcia, Blanca"/>
  </r>
  <r>
    <n v="46"/>
    <s v="CSEA"/>
    <x v="33"/>
    <s v="ADM_ASST_I"/>
    <n v="1"/>
    <d v="2021-09-01T00:00:00"/>
    <s v=" 17"/>
    <s v="C"/>
    <n v="7694"/>
    <s v="D"/>
    <n v="40390"/>
    <n v="48084"/>
    <m/>
    <m/>
    <m/>
    <m/>
    <m/>
    <m/>
    <m/>
    <m/>
    <n v="1200"/>
    <n v="49284"/>
    <n v="0.5"/>
    <n v="24642"/>
    <s v="12-400-00-703540-52105"/>
    <x v="0"/>
    <s v="400"/>
    <s v="00"/>
    <s v="703540"/>
    <s v="52105"/>
    <x v="0"/>
    <m/>
    <n v="5645.4822000000004"/>
    <n v="1527.8040000000001"/>
    <n v="357.30900000000003"/>
    <n v="303.09660000000002"/>
    <n v="465.93093600000003"/>
    <n v="140.04"/>
    <n v="70.02"/>
    <n v="79.2"/>
    <n v="39.6"/>
    <n v="8820"/>
    <n v="9174.1229999999996"/>
    <n v="4587.0614999999998"/>
    <n v="4696.6814999999997"/>
    <n v="2400"/>
    <n v="1200"/>
    <n v="14196.304236000002"/>
    <n v="38838.304236000004"/>
    <s v="Romero Jalomo"/>
    <s v="Manuel Bersamin"/>
    <s v="TRiO"/>
    <s v="0.5 - ADM_ASST_I - Garcia, Claudia"/>
  </r>
  <r>
    <s v="46a"/>
    <s v="CSEA"/>
    <x v="33"/>
    <s v="ADM_ASST_I"/>
    <n v="1"/>
    <d v="2021-09-01T00:00:00"/>
    <s v=" 17"/>
    <s v="C"/>
    <n v="7694"/>
    <s v="D"/>
    <n v="40390"/>
    <n v="48084"/>
    <m/>
    <m/>
    <m/>
    <m/>
    <m/>
    <m/>
    <m/>
    <m/>
    <n v="1200"/>
    <n v="49284"/>
    <n v="0.5"/>
    <n v="24642"/>
    <s v="12-400-00-703541-52105"/>
    <x v="0"/>
    <s v="400"/>
    <s v="00"/>
    <s v="703541"/>
    <s v="52105"/>
    <x v="0"/>
    <m/>
    <n v="5645.4822000000004"/>
    <n v="1527.8040000000001"/>
    <n v="357.30900000000003"/>
    <n v="303.09660000000002"/>
    <n v="465.93093600000003"/>
    <n v="140.04"/>
    <n v="70.02"/>
    <n v="79.2"/>
    <n v="39.6"/>
    <n v="8820"/>
    <n v="9174.1229999999996"/>
    <n v="4587.0614999999998"/>
    <n v="4696.6814999999997"/>
    <n v="2400"/>
    <n v="1200"/>
    <n v="14196.304236000002"/>
    <n v="38838.304236000004"/>
    <s v="Romero Jalomo"/>
    <s v="Manuel Bersamin"/>
    <s v="TRIO ESL"/>
    <s v="0.5 - ADM_ASST_I - Garcia, Claudia"/>
  </r>
  <r>
    <n v="47"/>
    <s v="CSEA"/>
    <x v="34"/>
    <s v="CURR_SCH"/>
    <n v="1"/>
    <m/>
    <s v=" 28"/>
    <s v="E"/>
    <m/>
    <m/>
    <n v="66776"/>
    <n v="66776"/>
    <m/>
    <m/>
    <m/>
    <m/>
    <n v="0.05"/>
    <n v="3338.8"/>
    <m/>
    <n v="0"/>
    <n v="600"/>
    <n v="70714.8"/>
    <n v="1"/>
    <n v="70714.8"/>
    <s v="11-300-00-601000-52105"/>
    <x v="1"/>
    <s v="300"/>
    <s v="00"/>
    <s v="601000"/>
    <s v="52105"/>
    <x v="0"/>
    <m/>
    <n v="16200.760680000001"/>
    <n v="4384.3176000000003"/>
    <n v="1025.3646000000001"/>
    <n v="869.79204000000004"/>
    <n v="1337.0754384000002"/>
    <n v="140.04"/>
    <n v="140.04"/>
    <n v="79.2"/>
    <n v="79.2"/>
    <n v="33444"/>
    <n v="34786.776599999997"/>
    <n v="34786.776599999997"/>
    <n v="35006.016599999995"/>
    <m/>
    <n v="0"/>
    <n v="58823.326958400001"/>
    <n v="129538.12695840001"/>
    <m/>
    <m/>
    <m/>
    <s v="1 - CURR_SCH - Garcia, Ruby Y"/>
  </r>
  <r>
    <n v="48"/>
    <s v="CSEA"/>
    <x v="35"/>
    <s v="DSPS_LEAD"/>
    <n v="1"/>
    <m/>
    <s v=" 34"/>
    <s v="E"/>
    <m/>
    <m/>
    <n v="77440"/>
    <n v="77440"/>
    <m/>
    <m/>
    <m/>
    <m/>
    <m/>
    <m/>
    <m/>
    <m/>
    <m/>
    <n v="77440"/>
    <n v="1"/>
    <n v="77440"/>
    <s v="12-440-00-701020-52105"/>
    <x v="0"/>
    <s v="440"/>
    <s v="00"/>
    <s v="701020"/>
    <s v="52105"/>
    <x v="0"/>
    <m/>
    <n v="17741.504000000001"/>
    <n v="4801.28"/>
    <n v="1122.8800000000001"/>
    <n v="952.51200000000006"/>
    <n v="1464.2355200000002"/>
    <n v="140.04"/>
    <n v="140.04"/>
    <n v="79.2"/>
    <n v="79.2"/>
    <n v="8820"/>
    <n v="9174.1229999999996"/>
    <n v="9174.1229999999996"/>
    <n v="9393.3629999999994"/>
    <n v="2400"/>
    <n v="2400"/>
    <n v="37875.774520000006"/>
    <n v="115315.77452000001"/>
    <s v="Romero Jalomo"/>
    <s v="Michelle Peters"/>
    <s v="Disabled Student Programs and Services (DSPS)"/>
    <s v="1 - DSPS_LEAD - Gentry, Heidi "/>
  </r>
  <r>
    <n v="49"/>
    <s v="CSEA"/>
    <x v="36"/>
    <s v="LIBTECH_I"/>
    <n v="0.58299999999999996"/>
    <m/>
    <s v=" 22"/>
    <s v="E"/>
    <m/>
    <m/>
    <n v="33569.722999999998"/>
    <n v="33569.722999999998"/>
    <m/>
    <m/>
    <m/>
    <m/>
    <m/>
    <m/>
    <m/>
    <m/>
    <m/>
    <n v="33569.722999999998"/>
    <n v="1"/>
    <n v="33569.722999999998"/>
    <s v="11-360-00-613000-52105"/>
    <x v="1"/>
    <s v="360"/>
    <s v="00"/>
    <s v="613000"/>
    <s v="52105"/>
    <x v="0"/>
    <m/>
    <n v="7690.8235392999995"/>
    <n v="2081.3228260000001"/>
    <n v="486.76098350000001"/>
    <n v="412.9075929"/>
    <n v="634.73632248399997"/>
    <n v="140.04"/>
    <n v="140.04"/>
    <m/>
    <n v="0"/>
    <n v="0"/>
    <n v="0"/>
    <n v="0"/>
    <n v="140.04"/>
    <m/>
    <n v="0"/>
    <n v="11446.591264183999"/>
    <n v="45016.314264183995"/>
    <m/>
    <m/>
    <m/>
    <s v="1 - LIBTECH_I - Ghavamian, Babak"/>
  </r>
  <r>
    <n v="50"/>
    <s v="CSEA"/>
    <x v="37"/>
    <s v="COORD_JIP"/>
    <n v="1"/>
    <m/>
    <s v=" 34"/>
    <s v="E"/>
    <m/>
    <m/>
    <n v="77440"/>
    <n v="77440"/>
    <m/>
    <m/>
    <m/>
    <m/>
    <n v="0.05"/>
    <n v="3872"/>
    <m/>
    <n v="0"/>
    <m/>
    <n v="81312"/>
    <n v="1"/>
    <n v="81312"/>
    <s v="12-350-00-700330-52105"/>
    <x v="0"/>
    <s v="350"/>
    <s v="00"/>
    <s v="700330"/>
    <s v="52105"/>
    <x v="0"/>
    <m/>
    <n v="18628.5792"/>
    <n v="5041.3440000000001"/>
    <n v="1179.0240000000001"/>
    <n v="1000.1376"/>
    <n v="1537.4472960000001"/>
    <n v="140.04"/>
    <n v="140.04"/>
    <n v="79.2"/>
    <n v="79.2"/>
    <n v="23232"/>
    <n v="24164.764800000001"/>
    <n v="24164.764800000001"/>
    <n v="24384.004800000002"/>
    <n v="2400"/>
    <n v="2400"/>
    <n v="54170.536896000005"/>
    <n v="135482.53689600001"/>
    <s v="Cathryn Wilkinson"/>
    <s v="Sharon Albert"/>
    <s v="Strong Workforce"/>
    <s v="1 - COORD_JIP - Gonzales, Belen"/>
  </r>
  <r>
    <n v="51"/>
    <s v="CSEA"/>
    <x v="38"/>
    <s v="ASUPSP"/>
    <n v="1"/>
    <m/>
    <s v=" 34"/>
    <s v="E"/>
    <m/>
    <m/>
    <n v="77440"/>
    <n v="77440"/>
    <m/>
    <m/>
    <m/>
    <m/>
    <m/>
    <m/>
    <m/>
    <m/>
    <n v="600"/>
    <n v="78040"/>
    <n v="1"/>
    <n v="78040"/>
    <s v="12-365-00-720014-52200"/>
    <x v="0"/>
    <s v="365"/>
    <s v="00"/>
    <s v="720014"/>
    <s v="52200"/>
    <x v="0"/>
    <m/>
    <n v="17878.964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290.512920000001"/>
    <n v="139330.51292000001"/>
    <s v="Cathryn Wilkinson"/>
    <s v="Sachiko Matsunaga"/>
    <s v="Basic Skills"/>
    <s v="1 - ASUPSP - Gonzalez, Carla"/>
  </r>
  <r>
    <n v="52"/>
    <s v="CSEA"/>
    <x v="39"/>
    <s v="CDTCHR"/>
    <n v="0.83330000000000004"/>
    <m/>
    <s v=" 43"/>
    <s v="E"/>
    <m/>
    <m/>
    <n v="80590.109600000011"/>
    <n v="80590.109600000011"/>
    <m/>
    <m/>
    <m/>
    <m/>
    <m/>
    <m/>
    <m/>
    <m/>
    <n v="600"/>
    <n v="81190.109600000011"/>
    <n v="0.75"/>
    <n v="60892.582200000004"/>
    <s v="33-300-00-000000-52105"/>
    <x v="2"/>
    <s v="300"/>
    <s v="00"/>
    <s v="000000"/>
    <s v="52105"/>
    <x v="0"/>
    <m/>
    <n v="13950.49058202"/>
    <n v="3775.3400964000002"/>
    <n v="882.94244190000006"/>
    <n v="748.97876106000001"/>
    <n v="1151.3569442376001"/>
    <n v="140.04"/>
    <n v="105.03"/>
    <n v="79.2"/>
    <n v="59.400000000000006"/>
    <n v="25452.6"/>
    <n v="26474.521889999996"/>
    <n v="19855.891417499995"/>
    <n v="20020.321417499996"/>
    <m/>
    <n v="0"/>
    <n v="40529.430243117589"/>
    <n v="101422.01244311759"/>
    <m/>
    <m/>
    <m/>
    <s v="0.75 - CDTCHR - Gonzalez, Maria"/>
  </r>
  <r>
    <n v="53"/>
    <s v="CSEA"/>
    <x v="39"/>
    <s v="CDTCHR"/>
    <n v="0.83330000000000004"/>
    <m/>
    <s v=" 43"/>
    <s v="E"/>
    <m/>
    <m/>
    <n v="80590.109600000011"/>
    <n v="80590.109600000011"/>
    <m/>
    <m/>
    <m/>
    <m/>
    <m/>
    <m/>
    <m/>
    <m/>
    <n v="600"/>
    <n v="81190.109600000011"/>
    <n v="0.25"/>
    <n v="20297.527400000003"/>
    <s v="11-350-00-130500-52200"/>
    <x v="1"/>
    <s v="350"/>
    <s v="00"/>
    <s v="130500"/>
    <s v="52200"/>
    <x v="0"/>
    <m/>
    <n v="4650.1635273400007"/>
    <n v="1258.4466988000001"/>
    <n v="294.31414730000006"/>
    <n v="249.65958702000003"/>
    <n v="383.78564807920009"/>
    <n v="140.04"/>
    <n v="35.01"/>
    <n v="79.2"/>
    <n v="19.8"/>
    <n v="25452.6"/>
    <n v="26474.521889999996"/>
    <n v="6618.6304724999991"/>
    <n v="6673.4404724999995"/>
    <m/>
    <n v="0"/>
    <n v="13509.810081039199"/>
    <n v="33807.337481039198"/>
    <m/>
    <m/>
    <m/>
    <s v="0.25 - CDTCHR - Gonzalez, Maria"/>
  </r>
  <r>
    <n v="54"/>
    <s v="CSEA"/>
    <x v="40"/>
    <s v="FA_SPEC"/>
    <n v="1"/>
    <m/>
    <s v=" 31"/>
    <s v="E"/>
    <m/>
    <m/>
    <n v="71910"/>
    <n v="71910"/>
    <m/>
    <m/>
    <m/>
    <m/>
    <m/>
    <m/>
    <m/>
    <m/>
    <n v="1800"/>
    <n v="73710"/>
    <n v="1"/>
    <n v="73710"/>
    <s v="11-420-00-646000-52105"/>
    <x v="1"/>
    <s v="420"/>
    <s v="00"/>
    <s v="646000"/>
    <s v="52105"/>
    <x v="0"/>
    <m/>
    <n v="16886.960999999999"/>
    <n v="4570.0199999999995"/>
    <n v="1068.7950000000001"/>
    <n v="906.63300000000004"/>
    <n v="1393.7086800000002"/>
    <n v="140.04"/>
    <n v="140.04"/>
    <n v="79.2"/>
    <n v="79.2"/>
    <n v="33444"/>
    <n v="34786.776599999997"/>
    <n v="34786.776599999997"/>
    <n v="35006.016599999995"/>
    <m/>
    <n v="0"/>
    <n v="59832.134279999998"/>
    <n v="133542.13428"/>
    <m/>
    <m/>
    <m/>
    <s v="1 - FA_SPEC - Gonzalez, Sandra"/>
  </r>
  <r>
    <n v="55"/>
    <s v="CSEA"/>
    <x v="41"/>
    <s v="ADM_ASST_I"/>
    <n v="1"/>
    <m/>
    <s v=" 17"/>
    <s v="E"/>
    <m/>
    <m/>
    <n v="50892"/>
    <n v="50892"/>
    <m/>
    <m/>
    <m/>
    <m/>
    <n v="0.05"/>
    <n v="2544.6000000000004"/>
    <m/>
    <n v="0"/>
    <n v="600"/>
    <n v="54036.6"/>
    <n v="1"/>
    <n v="54036.6"/>
    <s v="11-335-00-601000-52105"/>
    <x v="1"/>
    <s v="335"/>
    <s v="00"/>
    <s v="601000"/>
    <s v="52105"/>
    <x v="0"/>
    <m/>
    <n v="12379.78506"/>
    <n v="3350.2691999999997"/>
    <n v="783.53070000000002"/>
    <n v="664.65017999999998"/>
    <n v="1021.7240328"/>
    <n v="140.04"/>
    <n v="140.04"/>
    <n v="79.2"/>
    <n v="79.2"/>
    <n v="25452.6"/>
    <n v="26474.521889999996"/>
    <n v="26474.521889999996"/>
    <n v="26693.761889999998"/>
    <m/>
    <n v="0"/>
    <n v="44893.721062800003"/>
    <n v="98930.321062800009"/>
    <m/>
    <m/>
    <m/>
    <s v="1 - ADM_ASST_I - Gonzalez-C, Catalina"/>
  </r>
  <r>
    <n v="56"/>
    <s v="CSEA"/>
    <x v="42"/>
    <s v="PROGASST_I"/>
    <n v="1"/>
    <d v="2021-10-01T00:00:00"/>
    <s v="26"/>
    <s v="B"/>
    <n v="13725"/>
    <s v="C"/>
    <n v="43236"/>
    <n v="56961"/>
    <m/>
    <m/>
    <m/>
    <m/>
    <m/>
    <m/>
    <m/>
    <m/>
    <n v="1200"/>
    <n v="58161"/>
    <n v="1"/>
    <n v="58161"/>
    <s v="11-395-00-635050-52105"/>
    <x v="1"/>
    <s v="395"/>
    <s v="00"/>
    <s v="635050"/>
    <s v="52105"/>
    <x v="0"/>
    <m/>
    <n v="13324.685100000001"/>
    <n v="3605.982"/>
    <n v="843.33450000000005"/>
    <n v="715.38030000000003"/>
    <n v="1099.7081880000001"/>
    <n v="140.04"/>
    <n v="140.04"/>
    <n v="79.2"/>
    <n v="79.2"/>
    <n v="13152"/>
    <n v="13680.052799999999"/>
    <n v="13680.052799999999"/>
    <n v="13899.292799999999"/>
    <m/>
    <n v="0"/>
    <n v="33488.382888"/>
    <n v="91649.382887999993"/>
    <m/>
    <m/>
    <m/>
    <s v="1 - PROGASST_I - Gonzalez-Sebastian, Adriana"/>
  </r>
  <r>
    <n v="57"/>
    <s v="CSEA"/>
    <x v="43"/>
    <s v="INSTIT_DATAANLYT"/>
    <n v="1"/>
    <m/>
    <s v="38"/>
    <s v="A"/>
    <m/>
    <m/>
    <n v="70324"/>
    <n v="70324"/>
    <m/>
    <m/>
    <m/>
    <m/>
    <m/>
    <m/>
    <m/>
    <m/>
    <m/>
    <n v="70324"/>
    <n v="1"/>
    <n v="70324"/>
    <s v="11-150-00-663000-52105"/>
    <x v="1"/>
    <s v="150"/>
    <s v="00"/>
    <s v="663000"/>
    <s v="52105"/>
    <x v="0"/>
    <m/>
    <n v="16111.2284"/>
    <n v="4360.0879999999997"/>
    <n v="1019.6980000000001"/>
    <n v="864.98519999999996"/>
    <n v="1329.6861920000001"/>
    <n v="140.04"/>
    <n v="140.04"/>
    <n v="79.2"/>
    <n v="79.2"/>
    <n v="25452.6"/>
    <n v="26474.521889999996"/>
    <n v="26474.521889999996"/>
    <n v="26693.761889999998"/>
    <m/>
    <n v="0"/>
    <n v="50379.447681999998"/>
    <n v="120703.447682"/>
    <m/>
    <m/>
    <m/>
    <s v="1 - INSTIT_DATAANLYT - VACANT (Grant)"/>
  </r>
  <r>
    <n v="58"/>
    <s v="CSEA"/>
    <x v="44"/>
    <s v="NETADMIN"/>
    <n v="1"/>
    <m/>
    <s v=" 48"/>
    <s v="E"/>
    <m/>
    <m/>
    <n v="109420"/>
    <n v="109420"/>
    <m/>
    <m/>
    <m/>
    <m/>
    <n v="0.1"/>
    <n v="10942"/>
    <m/>
    <n v="0"/>
    <m/>
    <n v="120362"/>
    <n v="1"/>
    <n v="120362"/>
    <s v="11-600-00-678000-52105"/>
    <x v="1"/>
    <s v="600"/>
    <s v="00"/>
    <s v="678000"/>
    <s v="52105"/>
    <x v="0"/>
    <m/>
    <n v="27574.9342"/>
    <n v="7462.4439999999995"/>
    <n v="1745.249"/>
    <n v="1480.4526000000001"/>
    <n v="2275.8046960000001"/>
    <n v="140.04"/>
    <n v="140.04"/>
    <n v="79.2"/>
    <n v="79.2"/>
    <n v="13152"/>
    <n v="13680.052799999999"/>
    <n v="13680.052799999999"/>
    <n v="13899.292799999999"/>
    <m/>
    <n v="0"/>
    <n v="54438.177295999994"/>
    <n v="174800.17729600001"/>
    <m/>
    <m/>
    <m/>
    <s v="1 - NETADMIN - Gray, Kerry M"/>
  </r>
  <r>
    <n v="59"/>
    <s v="CSEA"/>
    <x v="45"/>
    <s v="CURR_SCH"/>
    <n v="1"/>
    <m/>
    <s v=" 28"/>
    <s v="E"/>
    <m/>
    <m/>
    <n v="66776"/>
    <n v="66776"/>
    <m/>
    <m/>
    <m/>
    <m/>
    <m/>
    <m/>
    <m/>
    <m/>
    <m/>
    <n v="66776"/>
    <n v="1"/>
    <n v="66776"/>
    <s v="11-300-00-601000-52105"/>
    <x v="1"/>
    <s v="300"/>
    <s v="00"/>
    <s v="601000"/>
    <s v="52105"/>
    <x v="0"/>
    <m/>
    <n v="15298.381600000001"/>
    <n v="4140.1120000000001"/>
    <n v="968.25200000000007"/>
    <n v="821.34479999999996"/>
    <n v="1262.6006080000002"/>
    <n v="140.04"/>
    <n v="140.04"/>
    <n v="79.2"/>
    <n v="79.2"/>
    <n v="13152"/>
    <n v="13680.052799999999"/>
    <n v="13680.052799999999"/>
    <n v="13899.292799999999"/>
    <m/>
    <n v="0"/>
    <n v="36389.983808000005"/>
    <n v="103165.983808"/>
    <m/>
    <m/>
    <m/>
    <s v="1 - CURR_SCH - Green, Jessica"/>
  </r>
  <r>
    <n v="60"/>
    <s v="CSEA"/>
    <x v="46"/>
    <s v="ADM_ASST_I"/>
    <n v="0.75"/>
    <m/>
    <s v=" 17"/>
    <s v="E"/>
    <m/>
    <m/>
    <n v="38169"/>
    <n v="38169"/>
    <m/>
    <m/>
    <m/>
    <m/>
    <m/>
    <m/>
    <m/>
    <m/>
    <n v="1200"/>
    <n v="39369"/>
    <n v="1"/>
    <n v="39369"/>
    <s v="12-400-00-703560-52105"/>
    <x v="0"/>
    <s v="400"/>
    <s v="00"/>
    <s v="703560"/>
    <s v="52105"/>
    <x v="0"/>
    <m/>
    <n v="9019.4379000000008"/>
    <n v="2440.8780000000002"/>
    <n v="570.85050000000001"/>
    <n v="484.23869999999999"/>
    <n v="744.38905199999999"/>
    <n v="140.04"/>
    <n v="140.04"/>
    <n v="79.2"/>
    <n v="79.2"/>
    <n v="25452.6"/>
    <n v="26474.521889999996"/>
    <n v="26474.521889999996"/>
    <n v="26693.761889999998"/>
    <m/>
    <n v="0"/>
    <n v="39953.556041999997"/>
    <n v="79322.556041999997"/>
    <s v="Romero Jalomo"/>
    <s v="Laura Zavala"/>
    <s v="H.S. Equivalencey Program (HEP)"/>
    <s v="1 - ADM_ASST_I - Guerrero Perez, Maria"/>
  </r>
  <r>
    <n v="61"/>
    <s v="CSEA"/>
    <x v="47"/>
    <s v="PROGASST_I"/>
    <n v="1"/>
    <m/>
    <s v=" 26"/>
    <s v="E"/>
    <m/>
    <m/>
    <n v="63557"/>
    <n v="63557"/>
    <m/>
    <m/>
    <m/>
    <m/>
    <m/>
    <m/>
    <m/>
    <m/>
    <n v="600"/>
    <n v="64157"/>
    <n v="0.4"/>
    <n v="25662.800000000003"/>
    <s v="12-370-00-701100-52105"/>
    <x v="0"/>
    <s v="370"/>
    <s v="00"/>
    <s v="701100"/>
    <s v="52105"/>
    <x v="0"/>
    <m/>
    <n v="5879.3474800000004"/>
    <n v="1591.0936000000002"/>
    <n v="372.11060000000003"/>
    <n v="315.65244000000001"/>
    <n v="485.23222240000007"/>
    <n v="140.04"/>
    <n v="56.015999999999998"/>
    <n v="79.2"/>
    <n v="31.680000000000003"/>
    <n v="25452.6"/>
    <n v="26474.521889999996"/>
    <n v="10589.808755999999"/>
    <n v="10677.504755999998"/>
    <m/>
    <n v="0"/>
    <n v="19320.941098399999"/>
    <n v="44983.741098400002"/>
    <s v="Cathryn Wilkinson"/>
    <s v="Margie Wiebusch"/>
    <s v="Foster and Kinship Care Education program (FKCE)"/>
    <s v="0.4 - PROGASST_I - Gutierrez, Frances"/>
  </r>
  <r>
    <n v="62"/>
    <s v="CSEA"/>
    <x v="47"/>
    <s v="PROGASST_I"/>
    <n v="1"/>
    <m/>
    <s v=" 26"/>
    <s v="E"/>
    <m/>
    <m/>
    <n v="63557"/>
    <n v="63557"/>
    <m/>
    <m/>
    <m/>
    <m/>
    <m/>
    <m/>
    <m/>
    <m/>
    <n v="600"/>
    <n v="64157"/>
    <n v="0.15"/>
    <n v="9623.5499999999993"/>
    <s v="11-370-00-708300-52105"/>
    <x v="1"/>
    <s v="370"/>
    <s v="00"/>
    <s v="708300"/>
    <s v="52105"/>
    <x v="0"/>
    <m/>
    <n v="2204.7553049999997"/>
    <n v="596.66009999999994"/>
    <n v="139.54147499999999"/>
    <n v="118.369665"/>
    <n v="181.96208340000001"/>
    <n v="140.04"/>
    <n v="21.005999999999997"/>
    <n v="79.2"/>
    <n v="11.88"/>
    <n v="25452.6"/>
    <n v="26474.521889999996"/>
    <n v="3971.1782834999995"/>
    <n v="4004.0642834999994"/>
    <m/>
    <n v="0"/>
    <n v="7245.3529118999995"/>
    <n v="16868.902911899997"/>
    <m/>
    <m/>
    <m/>
    <s v="0.15 - PROGASST_I - Gutierrez, Frances"/>
  </r>
  <r>
    <n v="63"/>
    <s v="CSEA"/>
    <x v="47"/>
    <s v="PROGASST_I"/>
    <n v="1"/>
    <m/>
    <s v=" 26"/>
    <s v="E"/>
    <m/>
    <m/>
    <n v="63557"/>
    <n v="63557"/>
    <m/>
    <m/>
    <m/>
    <m/>
    <m/>
    <m/>
    <m/>
    <m/>
    <m/>
    <n v="63557"/>
    <n v="0.45"/>
    <n v="28600.65"/>
    <s v="12-370-00-708300-52105"/>
    <x v="0"/>
    <s v="370"/>
    <s v="00"/>
    <s v="708300"/>
    <s v="52105"/>
    <x v="0"/>
    <m/>
    <n v="6552.408915"/>
    <n v="1773.2403000000002"/>
    <n v="414.70942500000007"/>
    <n v="351.78799500000002"/>
    <n v="540.78109020000011"/>
    <n v="140.04"/>
    <n v="63.018000000000001"/>
    <n v="79.2"/>
    <n v="35.64"/>
    <n v="25452.6"/>
    <n v="26474.521889999996"/>
    <n v="11913.534850499998"/>
    <n v="12012.192850499998"/>
    <m/>
    <n v="0"/>
    <n v="21645.120575699999"/>
    <n v="50245.7705757"/>
    <s v="Cathryn Wilkinson"/>
    <s v="Margie Wiebusch"/>
    <s v="Department of Social Services Contract (DSES)"/>
    <s v="0.45 - PROGASST_I - Gutierrez, Frances"/>
  </r>
  <r>
    <n v="64"/>
    <s v="CSEA"/>
    <x v="48"/>
    <s v="ES_LEAD"/>
    <n v="1"/>
    <m/>
    <s v=" 34"/>
    <s v="E"/>
    <m/>
    <m/>
    <n v="77440"/>
    <n v="77440"/>
    <m/>
    <m/>
    <m/>
    <m/>
    <m/>
    <m/>
    <m/>
    <m/>
    <m/>
    <n v="77440"/>
    <n v="1"/>
    <n v="77440"/>
    <s v="11-410-00-620000-52105"/>
    <x v="1"/>
    <s v="410"/>
    <s v="00"/>
    <s v="620000"/>
    <s v="52105"/>
    <x v="0"/>
    <m/>
    <n v="17741.504000000001"/>
    <n v="4801.28"/>
    <n v="1122.8800000000001"/>
    <n v="952.51200000000006"/>
    <n v="1464.2355200000002"/>
    <n v="140.04"/>
    <n v="140.04"/>
    <n v="79.2"/>
    <n v="79.2"/>
    <n v="33444"/>
    <n v="34786.776599999997"/>
    <n v="34786.776599999997"/>
    <n v="35006.016599999995"/>
    <m/>
    <n v="0"/>
    <n v="61088.428119999997"/>
    <n v="138528.42812"/>
    <m/>
    <m/>
    <m/>
    <s v="1 - ES_LEAD - Haneta, Irene "/>
  </r>
  <r>
    <n v="65"/>
    <s v="CSEA"/>
    <x v="49"/>
    <s v="O&amp;A_SPC"/>
    <n v="1"/>
    <m/>
    <s v=" 28"/>
    <s v="E"/>
    <m/>
    <m/>
    <n v="66776"/>
    <n v="66776"/>
    <m/>
    <m/>
    <m/>
    <m/>
    <m/>
    <m/>
    <m/>
    <m/>
    <m/>
    <n v="66776"/>
    <n v="1"/>
    <n v="66776"/>
    <s v="11-360-00-601000-52105"/>
    <x v="1"/>
    <s v="360"/>
    <s v="00"/>
    <s v="601000"/>
    <s v="52105"/>
    <x v="0"/>
    <m/>
    <n v="15298.381600000001"/>
    <n v="4140.1120000000001"/>
    <n v="968.25200000000007"/>
    <n v="821.34479999999996"/>
    <n v="1262.6006080000002"/>
    <n v="140.04"/>
    <n v="140.04"/>
    <n v="79.2"/>
    <n v="79.2"/>
    <n v="25452.6"/>
    <n v="26474.521889999996"/>
    <n v="26474.521889999996"/>
    <n v="26693.761889999998"/>
    <m/>
    <n v="0"/>
    <n v="49184.452898000003"/>
    <n v="115960.452898"/>
    <m/>
    <m/>
    <m/>
    <s v="1 - O&amp;A_SPC - Hanna, S. G"/>
  </r>
  <r>
    <n v="66"/>
    <s v="CSEA"/>
    <x v="50"/>
    <s v="TUTCENCOOR"/>
    <n v="1"/>
    <m/>
    <s v=" 28"/>
    <s v="E"/>
    <m/>
    <m/>
    <n v="66776"/>
    <n v="66776"/>
    <m/>
    <m/>
    <m/>
    <m/>
    <m/>
    <m/>
    <m/>
    <m/>
    <n v="1200"/>
    <n v="67976"/>
    <n v="1"/>
    <n v="67976"/>
    <s v="11-365-00-493035-52105"/>
    <x v="1"/>
    <s v="365"/>
    <s v="00"/>
    <s v="493035"/>
    <s v="52105"/>
    <x v="0"/>
    <m/>
    <n v="15573.301600000001"/>
    <n v="4214.5119999999997"/>
    <n v="985.65200000000004"/>
    <n v="836.10479999999995"/>
    <n v="1285.2902080000001"/>
    <n v="140.04"/>
    <n v="140.04"/>
    <n v="79.2"/>
    <n v="79.2"/>
    <n v="25452.6"/>
    <n v="26474.521889999996"/>
    <n v="26474.521889999996"/>
    <n v="26693.761889999998"/>
    <m/>
    <n v="0"/>
    <n v="49588.622497999997"/>
    <n v="117564.622498"/>
    <m/>
    <m/>
    <m/>
    <s v="1 - TUTCENCOOR - Henderson, Frank"/>
  </r>
  <r>
    <n v="67"/>
    <s v="CSEA"/>
    <x v="51"/>
    <s v="LDPROGCOOR"/>
    <n v="1"/>
    <d v="2022-06-01T00:00:00"/>
    <s v=" 34"/>
    <s v="D"/>
    <n v="67606"/>
    <s v="E"/>
    <n v="6453"/>
    <n v="74059"/>
    <m/>
    <m/>
    <m/>
    <m/>
    <n v="2.5000000000000001E-2"/>
    <n v="1851.4750000000001"/>
    <m/>
    <n v="0"/>
    <m/>
    <n v="75910.475000000006"/>
    <n v="1"/>
    <n v="75910.475000000006"/>
    <s v="46-000-00-801000-52105"/>
    <x v="3"/>
    <s v="000"/>
    <s v="00"/>
    <s v="801000"/>
    <s v="52105"/>
    <x v="0"/>
    <m/>
    <n v="17391.089822500002"/>
    <n v="4706.4494500000001"/>
    <n v="1100.7018875000001"/>
    <n v="933.69884250000007"/>
    <n v="1435.3152613000002"/>
    <n v="140.04"/>
    <n v="140.04"/>
    <n v="79.2"/>
    <n v="79.2"/>
    <n v="25452.6"/>
    <n v="26474.521889999996"/>
    <n v="26474.521889999996"/>
    <n v="26693.761889999998"/>
    <m/>
    <n v="0"/>
    <n v="52261.0171538"/>
    <n v="128171.49215380001"/>
    <m/>
    <m/>
    <m/>
    <s v="1 - LDPROGCOOR - Henry, Dawn D"/>
  </r>
  <r>
    <n v="68"/>
    <s v="CSEA"/>
    <x v="52"/>
    <s v="LIBTECH_I"/>
    <n v="0.91669999999999996"/>
    <m/>
    <s v=" 20"/>
    <s v="E"/>
    <m/>
    <m/>
    <n v="50241.5769"/>
    <n v="50241.5769"/>
    <m/>
    <m/>
    <m/>
    <m/>
    <m/>
    <m/>
    <m/>
    <m/>
    <m/>
    <n v="50241.5769"/>
    <n v="1"/>
    <n v="50241.5769"/>
    <s v="11-360-00-613000-52105"/>
    <x v="1"/>
    <s v="360"/>
    <s v="00"/>
    <s v="613000"/>
    <s v="52105"/>
    <x v="0"/>
    <m/>
    <n v="11510.34526779"/>
    <n v="3114.9777678"/>
    <n v="728.50286505000008"/>
    <n v="617.97139587000004"/>
    <n v="949.96773602520011"/>
    <n v="140.04"/>
    <n v="140.04"/>
    <n v="79.2"/>
    <n v="79.2"/>
    <n v="13152"/>
    <n v="13680.052799999999"/>
    <n v="13680.052799999999"/>
    <n v="13899.292799999999"/>
    <m/>
    <n v="0"/>
    <n v="30821.057832535203"/>
    <n v="81062.634732535196"/>
    <m/>
    <m/>
    <m/>
    <s v="1 - LIBTECH_I - Hernandez, Gabriel"/>
  </r>
  <r>
    <s v="69A"/>
    <s v="CSEA"/>
    <x v="53"/>
    <s v="PROG_ANLYT"/>
    <n v="1"/>
    <m/>
    <s v=" 40"/>
    <s v="E"/>
    <m/>
    <m/>
    <n v="89806"/>
    <n v="89806"/>
    <m/>
    <m/>
    <m/>
    <m/>
    <n v="0.05"/>
    <n v="4490.3"/>
    <m/>
    <m/>
    <m/>
    <n v="94296.3"/>
    <n v="1"/>
    <n v="94296.3"/>
    <s v="11-600-00-678000-52105"/>
    <x v="1"/>
    <s v="600"/>
    <s v="00"/>
    <s v="678000"/>
    <s v="52105"/>
    <x v="0"/>
    <m/>
    <n v="21603.282330000002"/>
    <n v="5846.3706000000002"/>
    <n v="1367.2963500000001"/>
    <n v="1159.84449"/>
    <n v="1782.9544404000001"/>
    <n v="140.04"/>
    <n v="140.04"/>
    <n v="79.2"/>
    <n v="79.2"/>
    <n v="33444"/>
    <n v="34786.776599999997"/>
    <n v="34786.776599999997"/>
    <n v="35006.016599999995"/>
    <m/>
    <n v="0"/>
    <n v="66765.764810399996"/>
    <n v="161062.06481040001"/>
    <m/>
    <m/>
    <m/>
    <s v="1 - PROG_ANLYT - VACANT (Programmer)"/>
  </r>
  <r>
    <n v="69"/>
    <s v="CSEA"/>
    <x v="54"/>
    <s v="PROG_ANLYT"/>
    <n v="1"/>
    <m/>
    <s v=" 40"/>
    <s v="E"/>
    <m/>
    <m/>
    <n v="89806"/>
    <n v="89806"/>
    <m/>
    <m/>
    <m/>
    <m/>
    <n v="0.05"/>
    <n v="4490.3"/>
    <m/>
    <m/>
    <m/>
    <n v="94296.3"/>
    <n v="1"/>
    <n v="94296.3"/>
    <s v="11-600-00-678000-52105"/>
    <x v="1"/>
    <s v="600"/>
    <s v="00"/>
    <s v="678000"/>
    <s v="52105"/>
    <x v="0"/>
    <m/>
    <n v="21603.282330000002"/>
    <n v="5846.3706000000002"/>
    <n v="1367.2963500000001"/>
    <n v="1159.84449"/>
    <n v="1782.9544404000001"/>
    <n v="140.04"/>
    <n v="140.04"/>
    <n v="79.2"/>
    <n v="79.2"/>
    <n v="33444"/>
    <n v="34786.776599999997"/>
    <n v="34786.776599999997"/>
    <n v="35006.016599999995"/>
    <m/>
    <n v="0"/>
    <n v="66765.764810399996"/>
    <n v="161062.06481040001"/>
    <m/>
    <m/>
    <m/>
    <s v="1 - PROG_ANLYT - Hu, Min"/>
  </r>
  <r>
    <n v="70"/>
    <s v="CSEA"/>
    <x v="55"/>
    <s v="SCILABTEC"/>
    <n v="1"/>
    <m/>
    <s v=" 25"/>
    <s v="E"/>
    <m/>
    <m/>
    <n v="62008"/>
    <n v="62008"/>
    <m/>
    <m/>
    <m/>
    <m/>
    <n v="0.1"/>
    <n v="6200.8"/>
    <m/>
    <m/>
    <n v="1200"/>
    <n v="69408.800000000003"/>
    <n v="1"/>
    <n v="69408.800000000003"/>
    <s v="11-330-00-190500-52200"/>
    <x v="1"/>
    <s v="330"/>
    <s v="00"/>
    <s v="190500"/>
    <s v="52200"/>
    <x v="0"/>
    <m/>
    <n v="15901.55608"/>
    <n v="4303.3456000000006"/>
    <n v="1006.4276000000001"/>
    <n v="853.72824000000003"/>
    <n v="1312.3815904000001"/>
    <n v="140.04"/>
    <n v="140.04"/>
    <n v="79.2"/>
    <n v="79.2"/>
    <n v="33444"/>
    <n v="34786.776599999997"/>
    <n v="34786.776599999997"/>
    <n v="35006.016599999995"/>
    <m/>
    <n v="0"/>
    <n v="58383.455710399998"/>
    <n v="127792.2557104"/>
    <m/>
    <m/>
    <m/>
    <s v="1 - SCILABTEC - Hutchins, Elizbeth"/>
  </r>
  <r>
    <n v="71"/>
    <s v="CSEA"/>
    <x v="56"/>
    <s v="SCILABTEC"/>
    <n v="1"/>
    <m/>
    <s v=" 25"/>
    <s v="A"/>
    <m/>
    <m/>
    <n v="51014"/>
    <n v="51014"/>
    <m/>
    <m/>
    <m/>
    <m/>
    <m/>
    <n v="0"/>
    <m/>
    <m/>
    <m/>
    <n v="51014"/>
    <n v="1"/>
    <n v="51014"/>
    <s v="11-330-00-040110-52200"/>
    <x v="1"/>
    <s v="330"/>
    <s v="00"/>
    <s v="040110"/>
    <s v="52200"/>
    <x v="0"/>
    <m/>
    <n v="11687.3074"/>
    <n v="3162.8679999999999"/>
    <n v="739.70300000000009"/>
    <n v="627.47220000000004"/>
    <n v="964.57271200000002"/>
    <n v="140.04"/>
    <n v="140.04"/>
    <n v="79.2"/>
    <n v="79.2"/>
    <n v="25452.6"/>
    <n v="26474.521889999996"/>
    <n v="26474.521889999996"/>
    <n v="26693.761889999998"/>
    <m/>
    <n v="0"/>
    <n v="43875.685201999993"/>
    <n v="94889.685201999993"/>
    <m/>
    <m/>
    <m/>
    <s v="1 - SCILABTEC - VACANT (Hutchins V)"/>
  </r>
  <r>
    <n v="72"/>
    <s v="CSEA"/>
    <x v="57"/>
    <s v="ATH_EQATTD"/>
    <n v="0.83330000000000004"/>
    <m/>
    <s v=" 21"/>
    <s v="E"/>
    <m/>
    <m/>
    <n v="46811.460800000001"/>
    <n v="46811.460800000001"/>
    <m/>
    <m/>
    <m/>
    <m/>
    <m/>
    <n v="0"/>
    <m/>
    <m/>
    <m/>
    <n v="46811.460800000001"/>
    <n v="1"/>
    <n v="46811.460800000001"/>
    <s v="11-320-00-696500-52105"/>
    <x v="1"/>
    <s v="320"/>
    <s v="00"/>
    <s v="696500"/>
    <s v="52105"/>
    <x v="0"/>
    <m/>
    <n v="10724.505669280001"/>
    <n v="2902.3105696000002"/>
    <n v="678.7661816000001"/>
    <n v="575.78096784000002"/>
    <n v="885.11110080640003"/>
    <n v="140.04"/>
    <n v="140.04"/>
    <n v="79.2"/>
    <n v="79.2"/>
    <n v="13152"/>
    <n v="13680.052799999999"/>
    <n v="13680.052799999999"/>
    <n v="13899.292799999999"/>
    <m/>
    <n v="0"/>
    <n v="29665.767289126401"/>
    <n v="76477.228089126409"/>
    <m/>
    <m/>
    <m/>
    <s v="1 - ATH_EQATTD - Ichikawa, Rodney"/>
  </r>
  <r>
    <n v="73"/>
    <s v="CSEA"/>
    <x v="58"/>
    <s v="COMPLABCOR"/>
    <n v="1"/>
    <m/>
    <s v=" 28"/>
    <s v="E"/>
    <m/>
    <m/>
    <n v="66776"/>
    <n v="66776"/>
    <m/>
    <m/>
    <m/>
    <m/>
    <n v="7.4999999999999997E-2"/>
    <n v="5008.2"/>
    <m/>
    <m/>
    <n v="600"/>
    <n v="72384.2"/>
    <n v="1"/>
    <n v="72384.2"/>
    <s v="11-600-00-678000-52105"/>
    <x v="1"/>
    <s v="600"/>
    <s v="00"/>
    <s v="678000"/>
    <s v="52105"/>
    <x v="0"/>
    <m/>
    <n v="16583.220219999999"/>
    <n v="4487.8203999999996"/>
    <n v="1049.5708999999999"/>
    <n v="890.32565999999997"/>
    <n v="1368.6404536"/>
    <n v="140.04"/>
    <n v="140.04"/>
    <n v="79.2"/>
    <n v="79.2"/>
    <n v="33444"/>
    <n v="34786.776599999997"/>
    <n v="34786.776599999997"/>
    <n v="35006.016599999995"/>
    <m/>
    <n v="0"/>
    <n v="59385.594233600001"/>
    <n v="131769.7942336"/>
    <m/>
    <m/>
    <m/>
    <s v="1 - COMPLABCOR - Isaias, Jorge "/>
  </r>
  <r>
    <n v="74"/>
    <s v="CSEA"/>
    <x v="59"/>
    <s v="EOPS_LEAD"/>
    <n v="1"/>
    <m/>
    <s v=" 34"/>
    <s v="E"/>
    <m/>
    <m/>
    <n v="77440"/>
    <n v="77440"/>
    <m/>
    <m/>
    <m/>
    <m/>
    <n v="0.1"/>
    <n v="7744"/>
    <m/>
    <m/>
    <n v="1800"/>
    <n v="86984"/>
    <n v="1"/>
    <n v="86984"/>
    <s v="12-430-00-700500-52105"/>
    <x v="0"/>
    <s v="430"/>
    <s v="00"/>
    <s v="700500"/>
    <s v="52105"/>
    <x v="0"/>
    <m/>
    <n v="19928.0344"/>
    <n v="5393.0079999999998"/>
    <n v="1261.268"/>
    <n v="1069.9032"/>
    <n v="1644.6934720000002"/>
    <n v="140.04"/>
    <n v="140.04"/>
    <n v="79.2"/>
    <n v="79.2"/>
    <n v="33444"/>
    <n v="34786.776599999997"/>
    <n v="34786.776599999997"/>
    <n v="35006.016599999995"/>
    <m/>
    <n v="0"/>
    <n v="64302.923671999997"/>
    <n v="151286.923672"/>
    <s v="Romero Jalomo"/>
    <s v="Paul Casey"/>
    <s v="Extended Opportunity Programs and Services (EOPS)"/>
    <s v="1 - EOPS_LEAD - Jaime, Antonia"/>
  </r>
  <r>
    <n v="75"/>
    <s v="CSEA"/>
    <x v="60"/>
    <s v="PRGASST_II"/>
    <n v="1"/>
    <d v="2021-11-01T00:00:00"/>
    <s v=" 31"/>
    <s v="C"/>
    <n v="21740"/>
    <s v="D"/>
    <n v="45656"/>
    <n v="67396"/>
    <m/>
    <m/>
    <m/>
    <m/>
    <m/>
    <m/>
    <m/>
    <m/>
    <n v="600"/>
    <n v="67996"/>
    <n v="1"/>
    <n v="67996"/>
    <s v="12-400-00-700400-52105"/>
    <x v="0"/>
    <s v="400"/>
    <s v="00"/>
    <s v="700400"/>
    <s v="52105"/>
    <x v="0"/>
    <m/>
    <n v="15577.883599999999"/>
    <n v="4215.7520000000004"/>
    <n v="985.94200000000001"/>
    <n v="836.35080000000005"/>
    <n v="1285.6683680000001"/>
    <n v="140.04"/>
    <n v="140.04"/>
    <n v="79.2"/>
    <n v="79.2"/>
    <n v="13152"/>
    <n v="13680.052799999999"/>
    <n v="13680.052799999999"/>
    <n v="13899.292799999999"/>
    <m/>
    <n v="0"/>
    <n v="36800.889567999999"/>
    <n v="104796.889568"/>
    <s v="Romero Jalomo"/>
    <s v="Carla Johnson"/>
    <s v="Student Success &amp; Support Program (SSSP)"/>
    <s v="1 - PRGASST_II - Jerezano, Maria"/>
  </r>
  <r>
    <n v="76"/>
    <s v="CSEA"/>
    <x v="61"/>
    <s v="MULTMEDSPC"/>
    <n v="1"/>
    <m/>
    <s v=" 33"/>
    <s v="E"/>
    <m/>
    <m/>
    <n v="75551"/>
    <n v="75551"/>
    <m/>
    <m/>
    <m/>
    <m/>
    <m/>
    <m/>
    <m/>
    <m/>
    <n v="600"/>
    <n v="76151"/>
    <n v="1"/>
    <n v="76151"/>
    <s v="11-600-00-678000-52105"/>
    <x v="1"/>
    <s v="600"/>
    <s v="00"/>
    <s v="678000"/>
    <s v="52105"/>
    <x v="0"/>
    <m/>
    <n v="17446.194100000001"/>
    <n v="4721.3620000000001"/>
    <n v="1104.1895"/>
    <n v="936.65729999999996"/>
    <n v="1439.863108"/>
    <n v="140.04"/>
    <n v="140.04"/>
    <n v="79.2"/>
    <n v="79.2"/>
    <n v="33444"/>
    <n v="34786.776599999997"/>
    <n v="34786.776599999997"/>
    <n v="35006.016599999995"/>
    <m/>
    <n v="0"/>
    <n v="60654.282608000001"/>
    <n v="136805.28260800001"/>
    <m/>
    <m/>
    <m/>
    <s v="1 - MULTMEDSPC - Jimmeye, Daniel"/>
  </r>
  <r>
    <n v="77"/>
    <s v="CSEA"/>
    <x v="62"/>
    <s v="CP_COORD"/>
    <n v="1"/>
    <m/>
    <s v=" 36"/>
    <s v="E"/>
    <m/>
    <m/>
    <n v="81361"/>
    <n v="81361"/>
    <m/>
    <m/>
    <m/>
    <m/>
    <n v="2.5000000000000001E-2"/>
    <n v="2034.0250000000001"/>
    <m/>
    <n v="0"/>
    <m/>
    <n v="83395.024999999994"/>
    <n v="0.5"/>
    <n v="41697.512499999997"/>
    <s v="11-373-00-601000-52105"/>
    <x v="1"/>
    <s v="373"/>
    <s v="00"/>
    <s v="601000"/>
    <s v="52105"/>
    <x v="0"/>
    <m/>
    <n v="9552.9001137499999"/>
    <n v="2585.2457749999999"/>
    <n v="604.61393124999995"/>
    <n v="512.87940374999994"/>
    <n v="788.41656635000004"/>
    <n v="140.04"/>
    <n v="70.02"/>
    <n v="79.2"/>
    <n v="39.6"/>
    <n v="7584"/>
    <n v="7888.4975999999997"/>
    <n v="3944.2487999999998"/>
    <n v="4053.8687999999997"/>
    <n v="2400"/>
    <n v="1200"/>
    <n v="19297.924590099999"/>
    <n v="60995.437090099993"/>
    <m/>
    <m/>
    <m/>
    <s v="0.5 - CP_COORD - Jones, Brenda "/>
  </r>
  <r>
    <n v="78"/>
    <s v="CSEA"/>
    <x v="62"/>
    <s v="CP_COORD"/>
    <n v="1"/>
    <m/>
    <s v=" 36"/>
    <s v="E"/>
    <m/>
    <m/>
    <n v="81361"/>
    <n v="81361"/>
    <m/>
    <m/>
    <m/>
    <m/>
    <n v="2.5000000000000001E-2"/>
    <n v="2034.0250000000001"/>
    <m/>
    <n v="0"/>
    <m/>
    <n v="83395.024999999994"/>
    <n v="0.25"/>
    <n v="20848.756249999999"/>
    <s v="12-400-00-700400-52105"/>
    <x v="0"/>
    <s v="400"/>
    <s v="00"/>
    <s v="700400"/>
    <s v="52105"/>
    <x v="0"/>
    <m/>
    <n v="4776.450056875"/>
    <n v="1292.6228874999999"/>
    <n v="302.30696562499998"/>
    <n v="256.43970187499997"/>
    <n v="394.20828317500002"/>
    <n v="140.04"/>
    <n v="35.01"/>
    <n v="79.2"/>
    <n v="19.8"/>
    <n v="7584"/>
    <n v="7888.4975999999997"/>
    <n v="1972.1243999999999"/>
    <n v="2026.9343999999999"/>
    <n v="2400"/>
    <n v="600"/>
    <n v="9648.9622950499997"/>
    <n v="30497.718545049996"/>
    <s v="Romero Jalomo"/>
    <s v="Carla Johnson"/>
    <s v="Student Success &amp; Support Program (SSSP)"/>
    <s v="0.25 - CP_COORD - Jones, Brenda "/>
  </r>
  <r>
    <n v="79"/>
    <s v="CSEA"/>
    <x v="62"/>
    <s v="CP_COORD"/>
    <n v="1"/>
    <m/>
    <s v=" 36"/>
    <s v="E"/>
    <m/>
    <m/>
    <n v="81361"/>
    <n v="81361"/>
    <m/>
    <m/>
    <m/>
    <m/>
    <m/>
    <m/>
    <m/>
    <m/>
    <m/>
    <n v="81361"/>
    <n v="0.25"/>
    <n v="20340.25"/>
    <s v="12-365-00-700410-52105"/>
    <x v="0"/>
    <s v="365"/>
    <s v="00"/>
    <s v="700410"/>
    <s v="52105"/>
    <x v="0"/>
    <m/>
    <n v="4659.9512750000004"/>
    <n v="1261.0954999999999"/>
    <n v="294.93362500000001"/>
    <n v="250.18507500000001"/>
    <n v="384.59344700000003"/>
    <n v="140.04"/>
    <n v="35.01"/>
    <n v="79.2"/>
    <n v="19.8"/>
    <n v="7584"/>
    <n v="7888.4975999999997"/>
    <n v="1972.1243999999999"/>
    <n v="2026.9343999999999"/>
    <n v="2400"/>
    <n v="600"/>
    <n v="9477.693322000001"/>
    <n v="29817.943321999999"/>
    <s v="Cathryn Wilkinson"/>
    <s v="Jainesh Singh"/>
    <s v="Student Equity Program"/>
    <s v="0.25 - CP_COORD - Jones, Brenda "/>
  </r>
  <r>
    <n v="80"/>
    <s v="CSEA"/>
    <x v="63"/>
    <s v="PROGASST_I"/>
    <n v="1"/>
    <d v="2022-03-01T00:00:00"/>
    <s v=" 26"/>
    <s v="D"/>
    <n v="40352"/>
    <s v="E"/>
    <n v="21184"/>
    <n v="61536"/>
    <m/>
    <m/>
    <m/>
    <m/>
    <m/>
    <m/>
    <m/>
    <m/>
    <n v="600"/>
    <n v="62136"/>
    <n v="1"/>
    <n v="62136"/>
    <s v="12-100-00-709650-52105"/>
    <x v="0"/>
    <s v="100"/>
    <s v="00"/>
    <s v="709650"/>
    <s v="52105"/>
    <x v="0"/>
    <m/>
    <n v="14235.357599999999"/>
    <n v="3852.4319999999998"/>
    <n v="900.97200000000009"/>
    <n v="764.27279999999996"/>
    <n v="1174.8674880000001"/>
    <n v="140.04"/>
    <n v="140.04"/>
    <n v="79.2"/>
    <n v="79.2"/>
    <n v="8820"/>
    <n v="9174.1229999999996"/>
    <n v="9174.1229999999996"/>
    <n v="9393.3629999999994"/>
    <n v="2400"/>
    <n v="2400"/>
    <n v="32721.264888000002"/>
    <n v="94857.264888000005"/>
    <s v="Raul Rodriguez"/>
    <s v="Moises Almendariz"/>
    <s v="Title V HSI Cultivamos"/>
    <s v="1 - PROGASST_I - Jose Alonzo, Yerdaliney"/>
  </r>
  <r>
    <n v="81"/>
    <s v="CSEA"/>
    <x v="64"/>
    <s v="SS_SPEC"/>
    <n v="1"/>
    <d v="2021-07-01T00:00:00"/>
    <s v=" 37"/>
    <s v="D"/>
    <n v="79422"/>
    <m/>
    <n v="0"/>
    <n v="79422"/>
    <m/>
    <m/>
    <m/>
    <m/>
    <m/>
    <m/>
    <m/>
    <m/>
    <m/>
    <n v="79422"/>
    <n v="1"/>
    <n v="79422"/>
    <s v="11-600-00-678000-52105"/>
    <x v="1"/>
    <s v="600"/>
    <s v="00"/>
    <s v="678000"/>
    <s v="52105"/>
    <x v="0"/>
    <m/>
    <n v="18195.5802"/>
    <n v="4924.1639999999998"/>
    <n v="1151.6190000000001"/>
    <n v="976.89060000000006"/>
    <n v="1501.711176"/>
    <n v="140.04"/>
    <n v="140.04"/>
    <n v="79.2"/>
    <n v="79.2"/>
    <n v="13152"/>
    <n v="13680.052799999999"/>
    <n v="13680.052799999999"/>
    <n v="13899.292799999999"/>
    <m/>
    <n v="0"/>
    <n v="40649.257775999999"/>
    <n v="120071.257776"/>
    <m/>
    <m/>
    <m/>
    <s v="1 - SS_SPEC - Kimm, Maj-Brit"/>
  </r>
  <r>
    <n v="82"/>
    <s v="CSEA"/>
    <x v="65"/>
    <s v="ASUPSP"/>
    <n v="0.7"/>
    <m/>
    <s v=" 34"/>
    <s v="E"/>
    <m/>
    <m/>
    <n v="54208"/>
    <n v="54208"/>
    <m/>
    <m/>
    <m/>
    <m/>
    <m/>
    <m/>
    <m/>
    <m/>
    <m/>
    <n v="54208"/>
    <n v="1"/>
    <n v="54208"/>
    <s v="12-365-00-720014-52200"/>
    <x v="0"/>
    <s v="365"/>
    <s v="00"/>
    <s v="720014"/>
    <s v="52200"/>
    <x v="0"/>
    <m/>
    <n v="12419.052799999999"/>
    <n v="3360.8960000000002"/>
    <n v="786.01600000000008"/>
    <n v="666.75840000000005"/>
    <n v="1024.964864"/>
    <n v="140.04"/>
    <n v="140.04"/>
    <m/>
    <n v="0"/>
    <n v="0"/>
    <n v="0"/>
    <n v="0"/>
    <n v="140.04"/>
    <m/>
    <n v="0"/>
    <n v="18397.728064000003"/>
    <n v="72605.728063999995"/>
    <s v="Cathryn Wilkinson"/>
    <s v="Sachiko Matsunaga"/>
    <s v="Basic Skills"/>
    <s v="1 - ASUPSP - Kirkland, Samuel"/>
  </r>
  <r>
    <n v="83"/>
    <s v="CSEA"/>
    <x v="66"/>
    <s v="ASUPSP"/>
    <n v="1"/>
    <m/>
    <s v=" 34"/>
    <s v="E"/>
    <m/>
    <m/>
    <n v="77440"/>
    <n v="77440"/>
    <m/>
    <m/>
    <m/>
    <m/>
    <m/>
    <m/>
    <m/>
    <m/>
    <n v="600"/>
    <n v="78040"/>
    <n v="1"/>
    <n v="78040"/>
    <s v="12-365-00-700410-52200"/>
    <x v="0"/>
    <s v="365"/>
    <s v="00"/>
    <s v="700410"/>
    <s v="52200"/>
    <x v="0"/>
    <m/>
    <n v="17878.964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290.512920000001"/>
    <n v="139330.51292000001"/>
    <s v="Cathryn Wilkinson"/>
    <s v="Jainesh Singh"/>
    <s v="Student Equity Program"/>
    <s v="1 - ASUPSP - Ledesma, Joanna"/>
  </r>
  <r>
    <n v="84"/>
    <s v="CSEA"/>
    <x v="67"/>
    <s v="WARETECH"/>
    <n v="1"/>
    <d v="2021-07-01T00:00:00"/>
    <s v=" 20"/>
    <s v="D"/>
    <n v="52197"/>
    <m/>
    <n v="0"/>
    <n v="52197"/>
    <m/>
    <m/>
    <m/>
    <m/>
    <m/>
    <m/>
    <m/>
    <m/>
    <n v="600"/>
    <n v="52797"/>
    <n v="1"/>
    <n v="52797"/>
    <s v="11-220-00-677000-52105"/>
    <x v="1"/>
    <s v="220"/>
    <s v="00"/>
    <s v="677000"/>
    <s v="52105"/>
    <x v="0"/>
    <m/>
    <n v="12095.7927"/>
    <n v="3273.4139999999998"/>
    <n v="765.55650000000003"/>
    <n v="649.40309999999999"/>
    <n v="998.28567600000008"/>
    <n v="140.04"/>
    <n v="140.04"/>
    <n v="79.2"/>
    <n v="79.2"/>
    <n v="33444"/>
    <n v="34786.776599999997"/>
    <n v="34786.776599999997"/>
    <n v="35006.016599999995"/>
    <m/>
    <n v="0"/>
    <n v="52788.468575999999"/>
    <n v="105585.468576"/>
    <m/>
    <m/>
    <m/>
    <s v="1 - WARETECH - Ledesma-Calderon, Joel"/>
  </r>
  <r>
    <n v="85"/>
    <s v="CSEA"/>
    <x v="68"/>
    <s v="ADM_ASST_I"/>
    <n v="1"/>
    <m/>
    <s v=" 17"/>
    <s v="A"/>
    <m/>
    <m/>
    <n v="41870"/>
    <n v="41870"/>
    <m/>
    <m/>
    <m/>
    <m/>
    <m/>
    <m/>
    <m/>
    <m/>
    <m/>
    <n v="41870"/>
    <n v="0.25"/>
    <n v="10467.5"/>
    <s v="12-370-00-701200-52105"/>
    <x v="0"/>
    <s v="370"/>
    <s v="00"/>
    <s v="701200"/>
    <s v="52105"/>
    <x v="0"/>
    <m/>
    <n v="2398.1042499999999"/>
    <n v="648.98500000000001"/>
    <n v="151.77875"/>
    <n v="128.75024999999999"/>
    <n v="197.91949000000002"/>
    <n v="140.04"/>
    <n v="35.01"/>
    <n v="79.2"/>
    <n v="19.8"/>
    <n v="25452.6"/>
    <n v="26474.521889999996"/>
    <n v="6618.6304724999991"/>
    <n v="6673.4404724999995"/>
    <m/>
    <n v="0"/>
    <n v="10198.9782125"/>
    <n v="20666.478212499998"/>
    <s v="Cathryn Wilkinson"/>
    <s v="Margie Wiebusch"/>
    <s v="Independent Living Program (ILP)"/>
    <s v="0.25 - ADM_ASST_I - VACANT (Lemus)"/>
  </r>
  <r>
    <n v="86"/>
    <s v="CSEA"/>
    <x v="68"/>
    <s v="ADM_ASST_I"/>
    <n v="1"/>
    <m/>
    <s v=" 17"/>
    <s v="A"/>
    <m/>
    <m/>
    <n v="41870"/>
    <n v="41870"/>
    <m/>
    <m/>
    <m/>
    <m/>
    <m/>
    <m/>
    <m/>
    <m/>
    <m/>
    <n v="41870"/>
    <n v="0.75"/>
    <n v="31402.5"/>
    <s v="12-370-00-708300-52105"/>
    <x v="0"/>
    <s v="370"/>
    <s v="00"/>
    <s v="708300"/>
    <s v="52105"/>
    <x v="0"/>
    <m/>
    <n v="7194.3127500000001"/>
    <n v="1946.9549999999999"/>
    <n v="455.33625000000001"/>
    <n v="386.25074999999998"/>
    <n v="593.75846999999999"/>
    <n v="140.04"/>
    <n v="105.03"/>
    <n v="79.2"/>
    <n v="59.400000000000006"/>
    <n v="25452.6"/>
    <n v="26474.521889999996"/>
    <n v="19855.891417499995"/>
    <n v="20020.321417499996"/>
    <m/>
    <n v="0"/>
    <n v="30596.934637499995"/>
    <n v="61999.434637499995"/>
    <s v="Cathryn Wilkinson"/>
    <s v="Margie Wiebusch"/>
    <s v="Department of Social Services Contract (DSES)"/>
    <s v="0.75 - ADM_ASST_I - VACANT (Lemus)"/>
  </r>
  <r>
    <n v="87"/>
    <s v="CSEA"/>
    <x v="69"/>
    <s v="PAII_GS"/>
    <n v="1"/>
    <d v="2022-06-01T00:00:00"/>
    <s v="31"/>
    <s v="B"/>
    <n v="56947"/>
    <s v="C"/>
    <n v="5435"/>
    <n v="62382"/>
    <m/>
    <m/>
    <m/>
    <m/>
    <m/>
    <m/>
    <m/>
    <m/>
    <n v="600"/>
    <n v="62982"/>
    <n v="0.3"/>
    <n v="18894.599999999999"/>
    <s v="12-365-00-700410-52105"/>
    <x v="0"/>
    <s v="365"/>
    <s v="00"/>
    <s v="700410"/>
    <s v="52105"/>
    <x v="0"/>
    <m/>
    <n v="4328.7528599999996"/>
    <n v="1171.4651999999999"/>
    <n v="273.9717"/>
    <n v="232.40357999999998"/>
    <n v="357.25909680000001"/>
    <n v="140.04"/>
    <n v="42.011999999999993"/>
    <n v="79.2"/>
    <n v="23.76"/>
    <n v="13152"/>
    <n v="13680.052799999999"/>
    <n v="4104.01584"/>
    <n v="4169.78784"/>
    <m/>
    <n v="0"/>
    <n v="10533.640276800001"/>
    <n v="29428.240276799999"/>
    <s v="Cathryn Wilkinson"/>
    <s v="Jainesh Singh"/>
    <s v="Student Equity Program"/>
    <s v="0.3 - PAII_GS - LEMUS, MARISELA"/>
  </r>
  <r>
    <n v="88"/>
    <s v="CSEA"/>
    <x v="69"/>
    <s v="PAII_GS"/>
    <n v="1"/>
    <d v="2022-06-01T00:00:00"/>
    <s v="31"/>
    <s v="B"/>
    <n v="56947"/>
    <s v="C"/>
    <n v="5435"/>
    <n v="62382"/>
    <m/>
    <m/>
    <m/>
    <m/>
    <m/>
    <m/>
    <m/>
    <m/>
    <n v="600"/>
    <n v="62982"/>
    <n v="0.7"/>
    <n v="44087.399999999994"/>
    <s v="12-370-00-701200-52105"/>
    <x v="0"/>
    <s v="370"/>
    <s v="00"/>
    <s v="701200"/>
    <s v="52105"/>
    <x v="0"/>
    <m/>
    <n v="10100.423339999999"/>
    <n v="2733.4187999999995"/>
    <n v="639.26729999999998"/>
    <n v="542.27501999999993"/>
    <n v="833.60455919999993"/>
    <n v="140.04"/>
    <n v="98.027999999999992"/>
    <n v="79.2"/>
    <n v="55.44"/>
    <n v="13152"/>
    <n v="13680.052799999999"/>
    <n v="9576.0369599999995"/>
    <n v="9729.5049600000002"/>
    <m/>
    <n v="0"/>
    <n v="24578.493979199997"/>
    <n v="68665.893979199987"/>
    <s v="Cathryn Wilkinson"/>
    <s v="Margie Wiebusch"/>
    <s v="Independent Living Program (ILP)"/>
    <s v="0.7 - PAII_GS - LEMUS, MARISELA"/>
  </r>
  <r>
    <n v="89"/>
    <s v="CSEA"/>
    <x v="70"/>
    <s v="INSASSOCI"/>
    <n v="1"/>
    <m/>
    <s v=" 21"/>
    <s v="E"/>
    <m/>
    <m/>
    <n v="56176"/>
    <n v="56176"/>
    <m/>
    <m/>
    <n v="0.05"/>
    <n v="2808.8"/>
    <n v="2.5000000000000001E-2"/>
    <n v="1404.4"/>
    <m/>
    <m/>
    <m/>
    <n v="60389.200000000004"/>
    <n v="0.5"/>
    <n v="30194.600000000002"/>
    <s v="11-350-01-094500-52200"/>
    <x v="1"/>
    <s v="350"/>
    <s v="01"/>
    <s v="094500"/>
    <s v="52200"/>
    <x v="0"/>
    <m/>
    <n v="6917.5828600000004"/>
    <n v="1872.0652000000002"/>
    <n v="437.82170000000008"/>
    <n v="371.39358000000004"/>
    <n v="570.91949680000005"/>
    <n v="140.04"/>
    <n v="70.02"/>
    <n v="79.2"/>
    <n v="39.6"/>
    <n v="13152"/>
    <n v="13680.052799999999"/>
    <n v="6840.0263999999997"/>
    <n v="6949.6463999999996"/>
    <m/>
    <n v="0"/>
    <n v="17119.429236800002"/>
    <n v="47314.029236800008"/>
    <m/>
    <m/>
    <m/>
    <s v="0.5 - INSASSOCI - Lipowski, Marek"/>
  </r>
  <r>
    <n v="90"/>
    <s v="CSEA"/>
    <x v="70"/>
    <s v="INSASSOCI"/>
    <n v="1"/>
    <m/>
    <s v=" 21"/>
    <s v="E"/>
    <m/>
    <m/>
    <n v="56176"/>
    <n v="56176"/>
    <m/>
    <m/>
    <m/>
    <m/>
    <m/>
    <m/>
    <m/>
    <m/>
    <m/>
    <n v="56176"/>
    <n v="0.5"/>
    <n v="28088"/>
    <s v="11-350-01-095650-52200"/>
    <x v="1"/>
    <s v="350"/>
    <s v="01"/>
    <s v="095650"/>
    <s v="52200"/>
    <x v="0"/>
    <m/>
    <n v="6434.9607999999998"/>
    <n v="1741.4559999999999"/>
    <n v="407.27600000000001"/>
    <n v="345.48239999999998"/>
    <n v="531.08790399999998"/>
    <n v="140.04"/>
    <n v="70.02"/>
    <n v="79.2"/>
    <n v="39.6"/>
    <n v="13152"/>
    <n v="13680.052799999999"/>
    <n v="6840.0263999999997"/>
    <n v="6949.6463999999996"/>
    <m/>
    <n v="0"/>
    <n v="16409.909504000003"/>
    <n v="44497.909504000003"/>
    <m/>
    <m/>
    <m/>
    <s v="0.5 - INSASSOCI - Lipowski, Marek"/>
  </r>
  <r>
    <n v="91"/>
    <s v="CSEA"/>
    <x v="71"/>
    <s v="ADM_ASSTII"/>
    <n v="1"/>
    <d v="2022-02-01T00:00:00"/>
    <s v=" 20"/>
    <s v="D"/>
    <n v="30450"/>
    <s v="E"/>
    <n v="22835"/>
    <n v="53285"/>
    <m/>
    <m/>
    <m/>
    <m/>
    <m/>
    <m/>
    <m/>
    <m/>
    <m/>
    <n v="53285"/>
    <n v="0.8"/>
    <n v="42628"/>
    <s v="11-220-00-659010-52105"/>
    <x v="1"/>
    <s v="220"/>
    <s v="00"/>
    <s v="659010"/>
    <s v="52105"/>
    <x v="0"/>
    <m/>
    <n v="9766.0748000000003"/>
    <n v="2642.9360000000001"/>
    <n v="618.10599999999999"/>
    <n v="524.32439999999997"/>
    <n v="806.01022400000011"/>
    <n v="140.04"/>
    <n v="112.032"/>
    <n v="79.2"/>
    <n v="63.360000000000007"/>
    <n v="6552"/>
    <n v="6815.0627999999997"/>
    <n v="5452.0502400000005"/>
    <n v="5627.4422400000003"/>
    <n v="2400"/>
    <n v="1920"/>
    <n v="21904.893663999999"/>
    <n v="64532.893664000003"/>
    <m/>
    <m/>
    <m/>
    <s v="0.8 - ADM_ASSTII - Lo, Aimee L"/>
  </r>
  <r>
    <n v="92"/>
    <s v="CSEA"/>
    <x v="71"/>
    <s v="ADM_ASSTII"/>
    <n v="1"/>
    <d v="2022-02-01T00:00:00"/>
    <s v=" 20"/>
    <s v="D"/>
    <n v="30450"/>
    <s v="E"/>
    <n v="22835"/>
    <n v="53285"/>
    <m/>
    <m/>
    <m/>
    <m/>
    <m/>
    <m/>
    <m/>
    <m/>
    <m/>
    <n v="53285"/>
    <n v="0.2"/>
    <n v="10657"/>
    <s v="11-220-00-683000-52105"/>
    <x v="1"/>
    <s v="220"/>
    <s v="00"/>
    <s v="683000"/>
    <s v="52105"/>
    <x v="0"/>
    <m/>
    <n v="2441.5187000000001"/>
    <n v="660.73400000000004"/>
    <n v="154.5265"/>
    <n v="131.08109999999999"/>
    <n v="201.50255600000003"/>
    <n v="140.04"/>
    <n v="28.007999999999999"/>
    <n v="79.2"/>
    <n v="15.840000000000002"/>
    <n v="6552"/>
    <n v="6815.0627999999997"/>
    <n v="1363.0125600000001"/>
    <n v="1406.8605600000001"/>
    <n v="2400"/>
    <n v="480"/>
    <n v="5476.2234159999998"/>
    <n v="16133.223416000001"/>
    <m/>
    <m/>
    <m/>
    <s v="0.2 - ADM_ASSTII - Lo, Aimee L"/>
  </r>
  <r>
    <n v="93"/>
    <s v="CSEA"/>
    <x v="72"/>
    <s v="ADM_ASSTII"/>
    <n v="1"/>
    <m/>
    <s v="20"/>
    <s v="A"/>
    <m/>
    <m/>
    <n v="45088"/>
    <n v="45088"/>
    <m/>
    <m/>
    <m/>
    <m/>
    <m/>
    <m/>
    <m/>
    <m/>
    <m/>
    <n v="45088"/>
    <n v="1"/>
    <n v="45088"/>
    <s v="11-150-00-663000-52105"/>
    <x v="1"/>
    <s v="150"/>
    <s v="00"/>
    <s v="663000"/>
    <s v="52105"/>
    <x v="0"/>
    <m/>
    <n v="10329.6608"/>
    <n v="2795.4560000000001"/>
    <n v="653.77600000000007"/>
    <n v="554.58240000000001"/>
    <n v="852.52390400000002"/>
    <n v="140.04"/>
    <n v="140.04"/>
    <n v="79.2"/>
    <n v="79.2"/>
    <n v="25452.6"/>
    <n v="26474.521889999996"/>
    <n v="26474.521889999996"/>
    <n v="26693.761889999998"/>
    <m/>
    <n v="0"/>
    <n v="41879.760993999997"/>
    <n v="86967.760993999997"/>
    <m/>
    <m/>
    <m/>
    <s v="1 - ADM_ASSTII - VACANT (Lo)"/>
  </r>
  <r>
    <n v="94"/>
    <s v="CSEA"/>
    <x v="73"/>
    <s v="ADM_ASST_I"/>
    <n v="0.625"/>
    <m/>
    <s v=" 17"/>
    <s v="E"/>
    <m/>
    <m/>
    <n v="31807.5"/>
    <n v="31807.5"/>
    <m/>
    <m/>
    <m/>
    <m/>
    <m/>
    <m/>
    <m/>
    <m/>
    <n v="600"/>
    <n v="32407.5"/>
    <n v="0.5"/>
    <n v="16203.75"/>
    <s v="12-430-00-700500-52105"/>
    <x v="0"/>
    <s v="430"/>
    <s v="00"/>
    <s v="700500"/>
    <s v="52105"/>
    <x v="0"/>
    <m/>
    <n v="3712.279125"/>
    <n v="1004.6324999999999"/>
    <n v="234.954375"/>
    <n v="199.30612500000001"/>
    <n v="306.38050500000003"/>
    <n v="140.04"/>
    <n v="70.02"/>
    <m/>
    <n v="0"/>
    <n v="0"/>
    <n v="0"/>
    <n v="0"/>
    <n v="70.02"/>
    <m/>
    <n v="0"/>
    <n v="5527.5726300000006"/>
    <n v="21731.322630000002"/>
    <s v="Romero Jalomo"/>
    <s v="Paul Casey"/>
    <s v="Extended Opportunity Programs and Services (EOPS)"/>
    <s v="0.5 - ADM_ASST_I - Lopez, Angelita"/>
  </r>
  <r>
    <n v="95"/>
    <s v="CSEA"/>
    <x v="73"/>
    <s v="ADM_ASST_I"/>
    <n v="0.625"/>
    <m/>
    <s v=" 17"/>
    <s v="E"/>
    <m/>
    <m/>
    <n v="31807.5"/>
    <n v="31807.5"/>
    <m/>
    <m/>
    <m/>
    <m/>
    <m/>
    <m/>
    <m/>
    <m/>
    <n v="600"/>
    <n v="32407.5"/>
    <n v="0.5"/>
    <n v="16203.75"/>
    <s v="12-430-00-700800-52105"/>
    <x v="0"/>
    <s v="430"/>
    <s v="00"/>
    <s v="700800"/>
    <s v="52105"/>
    <x v="0"/>
    <m/>
    <n v="3712.279125"/>
    <n v="1004.6324999999999"/>
    <n v="234.954375"/>
    <n v="199.30612500000001"/>
    <n v="306.38050500000003"/>
    <n v="140.04"/>
    <n v="70.02"/>
    <m/>
    <n v="0"/>
    <n v="0"/>
    <n v="0"/>
    <n v="0"/>
    <n v="70.02"/>
    <m/>
    <n v="0"/>
    <n v="5527.5726300000006"/>
    <n v="21731.322630000002"/>
    <s v="Romero Jalomo"/>
    <s v="Paul Casey"/>
    <s v="Cooperative Agencies Resources for Education (CARE) Program"/>
    <s v="0.5 - ADM_ASST_I - Lopez, Angelita"/>
  </r>
  <r>
    <n v="96"/>
    <s v="CSEA"/>
    <x v="74"/>
    <s v="ESERV_SPEC"/>
    <n v="1"/>
    <m/>
    <s v=" 26"/>
    <s v="E"/>
    <m/>
    <m/>
    <n v="63557"/>
    <n v="63557"/>
    <m/>
    <m/>
    <m/>
    <m/>
    <m/>
    <m/>
    <m/>
    <m/>
    <n v="600"/>
    <n v="64157"/>
    <n v="0.5"/>
    <n v="32078.5"/>
    <s v="11-410-00-620000-52105"/>
    <x v="1"/>
    <s v="410"/>
    <s v="00"/>
    <s v="620000"/>
    <s v="52105"/>
    <x v="0"/>
    <m/>
    <n v="7349.1843499999995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07.303727999999"/>
    <n v="60385.803727999999"/>
    <m/>
    <m/>
    <m/>
    <s v="0.5 - ESERV_SPEC - Lopez, Elizabeth"/>
  </r>
  <r>
    <n v="97"/>
    <s v="CSEA"/>
    <x v="74"/>
    <s v="ESERV_SPEC"/>
    <n v="1"/>
    <m/>
    <s v=" 26"/>
    <s v="E"/>
    <m/>
    <m/>
    <n v="63557"/>
    <n v="63557"/>
    <m/>
    <m/>
    <m/>
    <m/>
    <m/>
    <m/>
    <m/>
    <m/>
    <n v="600"/>
    <n v="64157"/>
    <n v="0.5"/>
    <n v="32078.5"/>
    <s v="11-420-00-646000-52105"/>
    <x v="1"/>
    <s v="420"/>
    <s v="00"/>
    <s v="646000"/>
    <s v="52105"/>
    <x v="0"/>
    <m/>
    <n v="7349.1843499999995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07.303727999999"/>
    <n v="60385.803727999999"/>
    <m/>
    <m/>
    <m/>
    <s v="0.5 - ESERV_SPEC - Lopez, Elizabeth"/>
  </r>
  <r>
    <m/>
    <s v="CSEA"/>
    <x v="75"/>
    <s v="SNRACCT"/>
    <n v="1"/>
    <d v="2021-08-01T00:00:00"/>
    <s v="45"/>
    <s v="C"/>
    <n v="7680"/>
    <s v="D"/>
    <n v="88704"/>
    <n v="96384"/>
    <m/>
    <m/>
    <m/>
    <m/>
    <m/>
    <m/>
    <m/>
    <m/>
    <m/>
    <n v="96384"/>
    <n v="1"/>
    <n v="96384"/>
    <s v="11-210-00-672010-52105"/>
    <x v="1"/>
    <s v="210"/>
    <s v="00"/>
    <s v="672010"/>
    <s v="52105"/>
    <x v="0"/>
    <m/>
    <n v="22081.574400000001"/>
    <n v="5975.808"/>
    <n v="1397.568"/>
    <n v="1185.5232000000001"/>
    <n v="1822.428672"/>
    <n v="140.04"/>
    <n v="140.04"/>
    <n v="79.2"/>
    <n v="79.2"/>
    <n v="33444"/>
    <n v="34786.776599999997"/>
    <n v="34786.776599999997"/>
    <n v="35006.016599999995"/>
    <m/>
    <n v="0"/>
    <n v="67468.918871999995"/>
    <n v="163852.91887200001"/>
    <m/>
    <m/>
    <m/>
    <s v="1 - SNRACCT - Luciano, Paul"/>
  </r>
  <r>
    <n v="98"/>
    <s v="CSEA"/>
    <x v="76"/>
    <s v="ADM_ASSTII"/>
    <n v="1"/>
    <d v="2022-06-01T00:00:00"/>
    <s v=" 20"/>
    <s v="D"/>
    <n v="47850"/>
    <s v="E"/>
    <n v="4567"/>
    <n v="52417"/>
    <m/>
    <m/>
    <m/>
    <m/>
    <m/>
    <m/>
    <m/>
    <m/>
    <n v="600"/>
    <n v="53017"/>
    <n v="0.5"/>
    <n v="26508.5"/>
    <s v="12-400-00-700400-52105"/>
    <x v="0"/>
    <s v="400"/>
    <s v="00"/>
    <s v="700400"/>
    <s v="52105"/>
    <x v="0"/>
    <m/>
    <n v="6073.09735"/>
    <n v="1643.527"/>
    <n v="384.37325000000004"/>
    <n v="326.05455000000001"/>
    <n v="501.22271800000004"/>
    <n v="140.04"/>
    <n v="70.02"/>
    <n v="79.2"/>
    <n v="39.6"/>
    <n v="25452.6"/>
    <n v="26474.521889999996"/>
    <n v="13237.260944999998"/>
    <n v="13346.880944999999"/>
    <m/>
    <n v="0"/>
    <n v="22275.155812999998"/>
    <n v="48783.655812999998"/>
    <s v="Romero Jalomo"/>
    <s v="Carla Johnson"/>
    <s v="Student Success &amp; Support Program (SSSP)"/>
    <s v="0.5 - ADM_ASSTII - Magdaleno, Crystal"/>
  </r>
  <r>
    <n v="99"/>
    <s v="CSEA"/>
    <x v="76"/>
    <s v="ADM_ASSTII"/>
    <n v="1"/>
    <d v="2022-06-01T00:00:00"/>
    <s v=" 20"/>
    <s v="D"/>
    <n v="47850"/>
    <s v="E"/>
    <n v="4567"/>
    <n v="52417"/>
    <m/>
    <m/>
    <m/>
    <m/>
    <m/>
    <m/>
    <m/>
    <m/>
    <n v="600"/>
    <n v="53017"/>
    <n v="0.5"/>
    <n v="26508.5"/>
    <s v="12-365-00-700410-52105"/>
    <x v="0"/>
    <s v="365"/>
    <s v="00"/>
    <s v="700410"/>
    <s v="52105"/>
    <x v="0"/>
    <m/>
    <n v="6073.09735"/>
    <n v="1643.527"/>
    <n v="384.37325000000004"/>
    <n v="326.05455000000001"/>
    <n v="501.22271800000004"/>
    <n v="140.04"/>
    <n v="70.02"/>
    <n v="79.2"/>
    <n v="39.6"/>
    <n v="25462.6"/>
    <n v="26484.923389999996"/>
    <n v="13242.461694999998"/>
    <n v="13352.081694999999"/>
    <m/>
    <n v="0"/>
    <n v="22280.356563000001"/>
    <n v="48788.856563000001"/>
    <s v="Cathryn Wilkinson"/>
    <s v="Jainesh Singh"/>
    <s v="Student Equity Program"/>
    <s v="0.5 - ADM_ASSTII - Magdaleno, Crystal"/>
  </r>
  <r>
    <n v="100"/>
    <s v="CSEA"/>
    <x v="77"/>
    <s v="FA_SPEC"/>
    <n v="1"/>
    <m/>
    <s v=" 31"/>
    <s v="E"/>
    <m/>
    <m/>
    <n v="71910"/>
    <n v="71910"/>
    <m/>
    <m/>
    <m/>
    <m/>
    <n v="7.4999999999999997E-2"/>
    <n v="5393.25"/>
    <m/>
    <m/>
    <n v="600"/>
    <n v="77903.25"/>
    <n v="1"/>
    <n v="77903.25"/>
    <s v="11-420-00-646000-52105"/>
    <x v="1"/>
    <s v="420"/>
    <s v="00"/>
    <s v="646000"/>
    <s v="52105"/>
    <x v="0"/>
    <m/>
    <n v="17847.634575"/>
    <n v="4830.0015000000003"/>
    <n v="1129.597125"/>
    <n v="958.20997499999999"/>
    <n v="1472.9946510000002"/>
    <n v="140.04"/>
    <n v="140.04"/>
    <n v="79.2"/>
    <n v="79.2"/>
    <n v="33444"/>
    <n v="34786.776599999997"/>
    <n v="34786.776599999997"/>
    <n v="35006.016599999995"/>
    <m/>
    <n v="0"/>
    <n v="61244.454426000004"/>
    <n v="139147.70442600001"/>
    <m/>
    <m/>
    <m/>
    <s v="1 - FA_SPEC - Maldonado-Moreno, Clara"/>
  </r>
  <r>
    <n v="101"/>
    <s v="CSEA"/>
    <x v="78"/>
    <s v="INSASSOCI"/>
    <n v="1"/>
    <m/>
    <s v=" 21"/>
    <s v="E"/>
    <m/>
    <m/>
    <n v="56176"/>
    <n v="56176"/>
    <m/>
    <m/>
    <m/>
    <m/>
    <m/>
    <n v="0"/>
    <m/>
    <m/>
    <n v="600"/>
    <n v="56776"/>
    <n v="0.5"/>
    <n v="28388"/>
    <s v="11-310-00-100200-52200"/>
    <x v="1"/>
    <s v="310"/>
    <s v="00"/>
    <s v="100200"/>
    <s v="52200"/>
    <x v="0"/>
    <m/>
    <n v="6503.6908000000003"/>
    <n v="1760.056"/>
    <n v="411.62600000000003"/>
    <n v="349.17239999999998"/>
    <n v="536.76030400000002"/>
    <n v="140.04"/>
    <n v="70.02"/>
    <n v="79.2"/>
    <n v="39.6"/>
    <n v="13152"/>
    <n v="13680.052799999999"/>
    <n v="6840.0263999999997"/>
    <n v="6949.6463999999996"/>
    <m/>
    <n v="0"/>
    <n v="16510.951904000001"/>
    <n v="44898.951904000001"/>
    <m/>
    <m/>
    <m/>
    <s v="0.5 - INSASSOCI - Marin, Maria Z"/>
  </r>
  <r>
    <n v="102"/>
    <s v="CSEA"/>
    <x v="78"/>
    <s v="INSASSOCI"/>
    <n v="1"/>
    <m/>
    <s v=" 21"/>
    <s v="E"/>
    <m/>
    <m/>
    <n v="56176"/>
    <n v="56176"/>
    <m/>
    <m/>
    <m/>
    <m/>
    <m/>
    <n v="0"/>
    <m/>
    <m/>
    <n v="600"/>
    <n v="56776"/>
    <n v="0.5"/>
    <n v="28388"/>
    <s v="11-310-00-101100-52200"/>
    <x v="1"/>
    <s v="310"/>
    <s v="00"/>
    <s v="101100"/>
    <s v="52200"/>
    <x v="0"/>
    <m/>
    <n v="6503.6908000000003"/>
    <n v="1760.056"/>
    <n v="411.62600000000003"/>
    <n v="349.17239999999998"/>
    <n v="536.76030400000002"/>
    <n v="140.04"/>
    <n v="70.02"/>
    <n v="79.2"/>
    <n v="39.6"/>
    <n v="13152"/>
    <n v="13680.052799999999"/>
    <n v="6840.0263999999997"/>
    <n v="6949.6463999999996"/>
    <m/>
    <n v="0"/>
    <n v="16510.951904000001"/>
    <n v="44898.951904000001"/>
    <m/>
    <m/>
    <m/>
    <s v="0.5 - INSASSOCI - Marin, Maria Z"/>
  </r>
  <r>
    <n v="103"/>
    <s v="CSEA"/>
    <x v="79"/>
    <s v="CDTCHR"/>
    <n v="0.83329999999999993"/>
    <m/>
    <s v=" 43"/>
    <s v="E"/>
    <m/>
    <m/>
    <n v="80590.109599999996"/>
    <n v="80590.109599999996"/>
    <m/>
    <m/>
    <m/>
    <m/>
    <n v="0.05"/>
    <n v="4029.5054799999998"/>
    <m/>
    <m/>
    <m/>
    <n v="84619.615079999989"/>
    <n v="1"/>
    <n v="84619.615079999989"/>
    <s v="33-300-00-000000-52105"/>
    <x v="2"/>
    <s v="300"/>
    <s v="00"/>
    <s v="000000"/>
    <s v="52105"/>
    <x v="0"/>
    <m/>
    <n v="19386.353814827999"/>
    <n v="5246.416134959999"/>
    <n v="1226.9844186599998"/>
    <n v="1040.8212654839999"/>
    <n v="1599.9876819326398"/>
    <n v="140.04"/>
    <n v="140.04"/>
    <n v="79.2"/>
    <n v="79.2"/>
    <n v="13152"/>
    <n v="13680.052799999999"/>
    <n v="13680.052799999999"/>
    <n v="13899.292799999999"/>
    <m/>
    <n v="0"/>
    <n v="42399.856115864633"/>
    <n v="127019.47119586462"/>
    <m/>
    <m/>
    <m/>
    <s v="1 - CDTCHR - Martinez, Janice"/>
  </r>
  <r>
    <n v="104"/>
    <s v="CSEA"/>
    <x v="80"/>
    <s v="COMP_TECH"/>
    <n v="1"/>
    <m/>
    <s v=" 35"/>
    <s v="E"/>
    <m/>
    <m/>
    <n v="79375"/>
    <n v="79375"/>
    <m/>
    <m/>
    <m/>
    <m/>
    <m/>
    <n v="0"/>
    <m/>
    <m/>
    <n v="600"/>
    <n v="79975"/>
    <n v="1"/>
    <n v="79975"/>
    <s v="11-600-00-678000-52105"/>
    <x v="1"/>
    <s v="600"/>
    <s v="00"/>
    <s v="678000"/>
    <s v="52105"/>
    <x v="0"/>
    <m/>
    <n v="18322.272499999999"/>
    <n v="4958.45"/>
    <n v="1159.6375"/>
    <n v="983.6925"/>
    <n v="1512.1673000000001"/>
    <n v="140.04"/>
    <n v="140.04"/>
    <n v="79.2"/>
    <n v="79.2"/>
    <n v="23232"/>
    <n v="24164.764800000001"/>
    <n v="24164.764800000001"/>
    <n v="24384.004800000002"/>
    <n v="2400"/>
    <n v="2400"/>
    <n v="53720.224600000001"/>
    <n v="133695.22460000002"/>
    <m/>
    <m/>
    <m/>
    <s v="1 - COMP_TECH - Martinez, Jose"/>
  </r>
  <r>
    <n v="105"/>
    <s v="CSEA"/>
    <x v="81"/>
    <s v="ACCT_ASST"/>
    <n v="1"/>
    <m/>
    <s v=" 21"/>
    <s v="E"/>
    <m/>
    <m/>
    <n v="56176"/>
    <n v="56176"/>
    <m/>
    <m/>
    <m/>
    <m/>
    <n v="0.1"/>
    <n v="5617.6"/>
    <m/>
    <m/>
    <m/>
    <n v="61793.599999999999"/>
    <n v="1"/>
    <n v="61793.599999999999"/>
    <s v="11-210-00-672010-52105"/>
    <x v="1"/>
    <s v="210"/>
    <s v="00"/>
    <s v="672010"/>
    <s v="52105"/>
    <x v="0"/>
    <m/>
    <n v="14156.913759999999"/>
    <n v="3831.2031999999999"/>
    <n v="896.00720000000001"/>
    <n v="760.06128000000001"/>
    <n v="1168.3933888000001"/>
    <n v="140.04"/>
    <n v="140.04"/>
    <n v="79.2"/>
    <n v="79.2"/>
    <n v="33444"/>
    <n v="34786.776599999997"/>
    <n v="34786.776599999997"/>
    <n v="35006.016599999995"/>
    <m/>
    <n v="0"/>
    <n v="55818.595428799999"/>
    <n v="117612.1954288"/>
    <m/>
    <m/>
    <m/>
    <s v="1 - ACCT_ASST - Martinez, Karen"/>
  </r>
  <r>
    <n v="106"/>
    <s v="CSEA"/>
    <x v="82"/>
    <s v="FA_SPEC"/>
    <n v="1"/>
    <d v="2022-01-01T00:00:00"/>
    <s v=" 31"/>
    <s v="D"/>
    <n v="34242"/>
    <s v="E"/>
    <n v="35958"/>
    <n v="70200"/>
    <m/>
    <m/>
    <m/>
    <m/>
    <m/>
    <n v="0"/>
    <m/>
    <m/>
    <n v="600"/>
    <n v="70800"/>
    <n v="1"/>
    <n v="70800"/>
    <s v="12-420-00-700600-52105"/>
    <x v="0"/>
    <s v="420"/>
    <s v="00"/>
    <s v="700600"/>
    <s v="52105"/>
    <x v="0"/>
    <m/>
    <n v="16220.28"/>
    <n v="4389.6000000000004"/>
    <n v="1026.6000000000001"/>
    <n v="870.84"/>
    <n v="1338.6864"/>
    <n v="140.04"/>
    <n v="140.04"/>
    <n v="79.2"/>
    <n v="79.2"/>
    <n v="33444"/>
    <n v="34786.776599999997"/>
    <n v="34786.776599999997"/>
    <n v="35006.016599999995"/>
    <m/>
    <n v="0"/>
    <n v="58852.023000000001"/>
    <n v="129652.023"/>
    <s v="Romero Jalomo"/>
    <s v="Marina Reyes"/>
    <s v="Student Financial Aid Administration (SFAA)"/>
    <s v="1 - FA_SPEC - Martinez-Aguilar, Ana"/>
  </r>
  <r>
    <n v="107"/>
    <s v="CSEA"/>
    <x v="83"/>
    <s v="SCILABTEC"/>
    <n v="1"/>
    <d v="2021-11-01T00:00:00"/>
    <s v=" 25"/>
    <s v="D"/>
    <n v="24605"/>
    <s v="E"/>
    <n v="36169"/>
    <n v="60774"/>
    <m/>
    <m/>
    <m/>
    <m/>
    <m/>
    <n v="0"/>
    <m/>
    <m/>
    <n v="600"/>
    <n v="61374"/>
    <n v="1"/>
    <n v="61374"/>
    <s v="11-350-01-094700-52200"/>
    <x v="1"/>
    <s v="350"/>
    <s v="01"/>
    <s v="094700"/>
    <s v="52200"/>
    <x v="0"/>
    <m/>
    <n v="14060.7834"/>
    <n v="3805.1880000000001"/>
    <n v="889.923"/>
    <n v="754.90020000000004"/>
    <n v="1160.4595920000002"/>
    <n v="140.04"/>
    <n v="140.04"/>
    <n v="79.2"/>
    <n v="79.2"/>
    <n v="17424"/>
    <n v="18123.5736"/>
    <n v="18123.5736"/>
    <n v="18342.813600000001"/>
    <n v="2400"/>
    <n v="2400"/>
    <n v="41414.067792000002"/>
    <n v="102788.067792"/>
    <m/>
    <m/>
    <m/>
    <s v="1 - SCILABTEC - Martinez-Jimenez, Julio"/>
  </r>
  <r>
    <n v="108"/>
    <s v="CSEA"/>
    <x v="84"/>
    <s v="ADM_ASST_I"/>
    <n v="1"/>
    <d v="2022-02-01T00:00:00"/>
    <s v=" 17"/>
    <s v="B"/>
    <n v="25648"/>
    <s v="C"/>
    <n v="19235"/>
    <n v="44883"/>
    <m/>
    <m/>
    <m/>
    <m/>
    <m/>
    <n v="0"/>
    <m/>
    <m/>
    <n v="1200"/>
    <n v="46083"/>
    <n v="1"/>
    <n v="46083"/>
    <s v="11-210-00-672010-52105"/>
    <x v="1"/>
    <s v="210"/>
    <s v="00"/>
    <s v="672010"/>
    <s v="52105"/>
    <x v="0"/>
    <m/>
    <n v="10557.615299999999"/>
    <n v="2857.1460000000002"/>
    <n v="668.20350000000008"/>
    <n v="566.82090000000005"/>
    <n v="871.33736400000009"/>
    <n v="140.04"/>
    <n v="140.04"/>
    <n v="79.2"/>
    <n v="79.2"/>
    <n v="33444"/>
    <n v="34786.776599999997"/>
    <n v="34786.776599999997"/>
    <n v="35006.016599999995"/>
    <m/>
    <n v="0"/>
    <n v="50527.139664000002"/>
    <n v="96610.139664000002"/>
    <m/>
    <m/>
    <m/>
    <s v="1 - ADM_ASST_I - McCall-Ortega, Adair"/>
  </r>
  <r>
    <n v="109"/>
    <s v="CSEA"/>
    <x v="85"/>
    <s v="FA_SPEC"/>
    <n v="1"/>
    <m/>
    <s v=" 31"/>
    <s v="E"/>
    <m/>
    <m/>
    <n v="71910"/>
    <n v="71910"/>
    <m/>
    <m/>
    <m/>
    <m/>
    <n v="2.5000000000000001E-2"/>
    <n v="1797.75"/>
    <m/>
    <m/>
    <n v="600"/>
    <n v="74307.75"/>
    <n v="1"/>
    <n v="74307.75"/>
    <s v="11-420-00-646000-52105"/>
    <x v="1"/>
    <s v="420"/>
    <s v="00"/>
    <s v="646000"/>
    <s v="52105"/>
    <x v="0"/>
    <m/>
    <n v="17023.905524999998"/>
    <n v="4607.0805"/>
    <n v="1077.4623750000001"/>
    <n v="913.98532499999999"/>
    <n v="1405.010937"/>
    <n v="140.04"/>
    <n v="140.04"/>
    <n v="79.2"/>
    <n v="79.2"/>
    <n v="33444"/>
    <n v="34786.776599999997"/>
    <n v="34786.776599999997"/>
    <n v="35006.016599999995"/>
    <m/>
    <n v="0"/>
    <n v="60033.461261999997"/>
    <n v="134341.211262"/>
    <m/>
    <m/>
    <m/>
    <s v="1 - FA_SPEC - McGriff III, Nathaniel"/>
  </r>
  <r>
    <n v="110"/>
    <s v="CSEA"/>
    <x v="86"/>
    <s v="ADM_ASSTII"/>
    <n v="0.4"/>
    <d v="2021-09-01T00:00:00"/>
    <s v=" 20"/>
    <s v="E"/>
    <m/>
    <m/>
    <n v="18269.000000000004"/>
    <n v="18269.000000000004"/>
    <m/>
    <m/>
    <m/>
    <m/>
    <m/>
    <m/>
    <m/>
    <m/>
    <n v="600"/>
    <n v="18869.000000000004"/>
    <n v="0.5"/>
    <n v="9434.5000000000018"/>
    <s v="12-230-00-679000-52105"/>
    <x v="0"/>
    <s v="230"/>
    <s v="00"/>
    <s v="679000"/>
    <s v="52105"/>
    <x v="0"/>
    <m/>
    <n v="2161.4439500000003"/>
    <n v="584.93900000000008"/>
    <n v="136.80025000000003"/>
    <n v="116.04435000000002"/>
    <n v="178.38752600000004"/>
    <n v="140.04"/>
    <n v="70.02"/>
    <m/>
    <n v="0"/>
    <n v="0"/>
    <n v="0"/>
    <n v="0"/>
    <n v="70.02"/>
    <m/>
    <n v="0"/>
    <n v="3247.6350760000005"/>
    <n v="12682.135076000002"/>
    <s v="Steven Crow"/>
    <s v="David Techaira"/>
    <s v="HEERF 1 &amp; 2 Funding (CARES)"/>
    <s v="0.5 - ADM_ASSTII - Mejia Rosas Jasso, Angelica"/>
  </r>
  <r>
    <n v="111"/>
    <s v="CSEA"/>
    <x v="86"/>
    <s v="ADM_ASSTII"/>
    <n v="0.4"/>
    <d v="2021-09-01T00:00:00"/>
    <s v=" 20"/>
    <s v="E"/>
    <m/>
    <m/>
    <n v="18269.000000000004"/>
    <n v="18269.000000000004"/>
    <m/>
    <m/>
    <m/>
    <m/>
    <m/>
    <m/>
    <m/>
    <m/>
    <n v="600"/>
    <n v="18869.000000000004"/>
    <n v="0.5"/>
    <n v="9434.5000000000018"/>
    <s v="12-230-00-679000-52105"/>
    <x v="0"/>
    <s v="230"/>
    <s v="00"/>
    <s v="679000"/>
    <s v="52105"/>
    <x v="0"/>
    <m/>
    <n v="2161.4439500000003"/>
    <n v="584.93900000000008"/>
    <n v="136.80025000000003"/>
    <n v="116.04435000000002"/>
    <n v="178.38752600000004"/>
    <n v="140.04"/>
    <n v="70.02"/>
    <m/>
    <n v="0"/>
    <n v="0"/>
    <n v="0"/>
    <n v="0"/>
    <n v="70.02"/>
    <m/>
    <n v="0"/>
    <n v="3247.6350760000005"/>
    <n v="12682.135076000002"/>
    <s v="Steven Crow"/>
    <s v="David Techaira"/>
    <s v="HEERF 1 &amp; 2 Funding (CARES)"/>
    <s v="0.5 - ADM_ASSTII - Mejia Rosas Jasso, Angelica"/>
  </r>
  <r>
    <n v="112"/>
    <s v="CSEA"/>
    <x v="87"/>
    <s v="STUSVSTECH"/>
    <n v="0.75"/>
    <m/>
    <s v=" 20"/>
    <s v="E"/>
    <m/>
    <m/>
    <n v="41105.25"/>
    <n v="41105.25"/>
    <m/>
    <m/>
    <m/>
    <m/>
    <n v="0.05"/>
    <n v="2055.2625000000003"/>
    <m/>
    <n v="0"/>
    <n v="1200"/>
    <n v="44360.512499999997"/>
    <n v="1"/>
    <n v="44360.512499999997"/>
    <s v="12-400-00-703560-52105"/>
    <x v="0"/>
    <s v="400"/>
    <s v="00"/>
    <s v="703560"/>
    <s v="52105"/>
    <x v="0"/>
    <m/>
    <n v="10162.993413749999"/>
    <n v="2750.3517749999996"/>
    <n v="643.22743125"/>
    <n v="545.63430374999996"/>
    <n v="838.76857035"/>
    <n v="140.04"/>
    <n v="140.04"/>
    <n v="79.2"/>
    <n v="79.2"/>
    <n v="13152"/>
    <n v="13680.052799999999"/>
    <n v="13680.052799999999"/>
    <n v="13899.292799999999"/>
    <m/>
    <n v="0"/>
    <n v="28840.268294099995"/>
    <n v="73200.780794099992"/>
    <s v="Romero Jalomo"/>
    <s v="Laura Zavala"/>
    <s v="H.S. Equivalencey Program (HEP)"/>
    <s v="1 - STUSVSTECH - Mena, Julia A"/>
  </r>
  <r>
    <n v="113"/>
    <s v="CSEA"/>
    <x v="88"/>
    <s v="ADM_ASSTII"/>
    <n v="1"/>
    <m/>
    <s v=" 20"/>
    <s v="E"/>
    <m/>
    <m/>
    <n v="54807"/>
    <n v="54807"/>
    <m/>
    <m/>
    <m/>
    <m/>
    <m/>
    <m/>
    <m/>
    <m/>
    <m/>
    <n v="54807"/>
    <n v="1"/>
    <n v="54807"/>
    <s v="12-304-00-703402-52105"/>
    <x v="0"/>
    <s v="304"/>
    <s v="00"/>
    <s v="703402"/>
    <s v="52105"/>
    <x v="0"/>
    <m/>
    <n v="12556.2837"/>
    <n v="3398.0340000000001"/>
    <n v="794.70150000000001"/>
    <n v="674.12610000000006"/>
    <n v="1036.2907560000001"/>
    <n v="140.04"/>
    <n v="140.04"/>
    <n v="79.2"/>
    <n v="79.2"/>
    <n v="23232"/>
    <n v="24164.764800000001"/>
    <n v="24164.764800000001"/>
    <n v="24384.004800000002"/>
    <n v="2400"/>
    <n v="2400"/>
    <n v="45243.440856000001"/>
    <n v="100050.440856"/>
    <s v="Cathryn Wilkinson"/>
    <s v="Julie Stephens-Carrillo"/>
    <s v="Foundation - K-12 STEM"/>
    <s v="1 - ADM_ASSTII - Mendoza, Rocio"/>
  </r>
  <r>
    <n v="114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4"/>
    <n v="23491.200000000001"/>
    <s v="12-330-00-703800-52105"/>
    <x v="0"/>
    <s v="330"/>
    <s v="00"/>
    <s v="703800"/>
    <s v="52105"/>
    <x v="0"/>
    <m/>
    <n v="5381.83392"/>
    <n v="1456.4544000000001"/>
    <n v="340.62240000000003"/>
    <n v="288.94175999999999"/>
    <n v="444.17160960000007"/>
    <n v="140.04"/>
    <n v="56.015999999999998"/>
    <n v="79.2"/>
    <n v="31.680000000000003"/>
    <n v="25452.6"/>
    <n v="26474.521889999996"/>
    <n v="10589.808755999999"/>
    <n v="10677.504755999998"/>
    <m/>
    <n v="0"/>
    <n v="18589.528845599998"/>
    <n v="42080.728845599995"/>
    <s v="Cathryn Wilkinson"/>
    <s v="Joel Thompson"/>
    <s v="Mathematics, Engineering, Science Achievement (MESA) Program"/>
    <s v="0.4 - PROGASST_I - Meneses, Anely"/>
  </r>
  <r>
    <n v="115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1"/>
    <n v="5872.8"/>
    <s v="12-330-00-708003-52105"/>
    <x v="0"/>
    <s v="330"/>
    <s v="00"/>
    <s v="708003"/>
    <s v="52105"/>
    <x v="0"/>
    <m/>
    <n v="1345.45848"/>
    <n v="364.11360000000002"/>
    <n v="85.155600000000007"/>
    <n v="72.235439999999997"/>
    <n v="111.04290240000002"/>
    <n v="140.04"/>
    <n v="14.004"/>
    <n v="79.2"/>
    <n v="7.9200000000000008"/>
    <n v="25452.6"/>
    <n v="26474.521889999996"/>
    <n v="2647.4521889999996"/>
    <n v="2669.3761889999996"/>
    <m/>
    <n v="0"/>
    <n v="4647.3822113999995"/>
    <n v="10520.182211399999"/>
    <s v="Cathryn Wilkinson"/>
    <s v="Mohammed Yahdi"/>
    <s v="NSF ESTEEM"/>
    <s v="0.1 - PROGASST_I - Meneses, Anely"/>
  </r>
  <r>
    <n v="116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5"/>
    <n v="29364"/>
    <s v="12-330-00-709831-52105"/>
    <x v="0"/>
    <s v="330"/>
    <s v="00"/>
    <s v="709831"/>
    <s v="52105"/>
    <x v="0"/>
    <m/>
    <n v="6727.2924000000003"/>
    <n v="1820.568"/>
    <n v="425.77800000000002"/>
    <n v="361.17720000000003"/>
    <n v="555.21451200000001"/>
    <n v="140.04"/>
    <n v="70.02"/>
    <n v="79.2"/>
    <n v="39.6"/>
    <n v="25452.6"/>
    <n v="26474.521889999996"/>
    <n v="13237.260944999998"/>
    <n v="13346.880944999999"/>
    <m/>
    <n v="0"/>
    <n v="23236.911056999998"/>
    <n v="52600.911056999998"/>
    <s v="Raul Rodriguez"/>
    <s v="Moises Almendariz"/>
    <s v="HSI STEM GPS"/>
    <s v="0.5 - PROGASST_I - Meneses, Anely"/>
  </r>
  <r>
    <n v="117"/>
    <s v="CSEA"/>
    <x v="90"/>
    <s v="AR_TECH"/>
    <n v="1"/>
    <m/>
    <s v=" 18"/>
    <s v="E"/>
    <m/>
    <m/>
    <n v="52165"/>
    <n v="52165"/>
    <m/>
    <m/>
    <m/>
    <m/>
    <n v="0.1"/>
    <n v="5216.5"/>
    <m/>
    <m/>
    <m/>
    <n v="57381.5"/>
    <n v="1"/>
    <n v="57381.5"/>
    <s v="11-410-00-620000-52105"/>
    <x v="1"/>
    <s v="410"/>
    <s v="00"/>
    <s v="620000"/>
    <s v="52105"/>
    <x v="0"/>
    <m/>
    <n v="13146.101650000001"/>
    <n v="3557.6529999999998"/>
    <n v="832.03174999999999"/>
    <n v="705.79245000000003"/>
    <n v="1084.9694020000002"/>
    <n v="140.04"/>
    <n v="140.04"/>
    <n v="79.2"/>
    <n v="79.2"/>
    <n v="25452.6"/>
    <n v="26474.521889999996"/>
    <n v="26474.521889999996"/>
    <n v="26693.761889999998"/>
    <m/>
    <n v="0"/>
    <n v="46020.310141999995"/>
    <n v="103401.810142"/>
    <m/>
    <m/>
    <m/>
    <s v="1 - AR_TECH - Molina, Annett"/>
  </r>
  <r>
    <n v="118"/>
    <s v="CSEA"/>
    <x v="91"/>
    <s v="ADMIN ASSIST IV"/>
    <n v="1"/>
    <m/>
    <s v="32"/>
    <s v="E"/>
    <m/>
    <m/>
    <n v="73708"/>
    <n v="73708"/>
    <m/>
    <m/>
    <m/>
    <m/>
    <n v="0.1"/>
    <n v="7370.8"/>
    <m/>
    <m/>
    <n v="1800"/>
    <n v="82878.8"/>
    <n v="1"/>
    <n v="82878.8"/>
    <s v="11-600-00-678000-52105"/>
    <x v="1"/>
    <s v="600"/>
    <s v="00"/>
    <s v="678000"/>
    <s v="52105"/>
    <x v="0"/>
    <m/>
    <n v="18987.533080000001"/>
    <n v="5138.4856"/>
    <n v="1201.7426"/>
    <n v="1019.4092400000001"/>
    <n v="1567.0723504000002"/>
    <n v="140.04"/>
    <n v="140.04"/>
    <n v="79.2"/>
    <n v="79.2"/>
    <n v="33444"/>
    <n v="34786.776599999997"/>
    <n v="34786.776599999997"/>
    <n v="35006.016599999995"/>
    <m/>
    <n v="0"/>
    <n v="62920.259470400008"/>
    <n v="145799.05947040001"/>
    <m/>
    <m/>
    <m/>
    <s v="1 - ADMIN ASSIST IV - Montelongo, Juana"/>
  </r>
  <r>
    <n v="120"/>
    <s v="CSEA"/>
    <x v="92"/>
    <s v="INSTR_ASII"/>
    <n v="1"/>
    <m/>
    <s v="23"/>
    <s v="A"/>
    <m/>
    <m/>
    <n v="48556"/>
    <n v="48556"/>
    <m/>
    <m/>
    <m/>
    <m/>
    <m/>
    <m/>
    <m/>
    <m/>
    <m/>
    <n v="48556"/>
    <n v="1"/>
    <n v="48556"/>
    <s v="11-350-01-094700-52200"/>
    <x v="1"/>
    <s v="350"/>
    <s v="01"/>
    <s v="094700"/>
    <s v="52200"/>
    <x v="0"/>
    <m/>
    <n v="11124.179599999999"/>
    <n v="3010.4719999999998"/>
    <n v="704.06200000000001"/>
    <n v="597.23879999999997"/>
    <n v="918.09684800000002"/>
    <n v="140.04"/>
    <n v="140.04"/>
    <n v="79.2"/>
    <n v="79.2"/>
    <n v="25452.6"/>
    <n v="26474.521889999996"/>
    <n v="26474.521889999996"/>
    <n v="26693.761889999998"/>
    <m/>
    <n v="0"/>
    <n v="43047.81113799999"/>
    <n v="91603.81113799999"/>
    <m/>
    <m/>
    <m/>
    <s v="1 - INSTR_ASII - To be hired - VACANT (Montes)"/>
  </r>
  <r>
    <n v="121"/>
    <s v="CSEA"/>
    <x v="93"/>
    <s v="PROG ASST I"/>
    <n v="1"/>
    <d v="2022-05-05T00:00:00"/>
    <s v="26"/>
    <s v="B"/>
    <n v="45750"/>
    <s v="C"/>
    <n v="9608"/>
    <n v="55358"/>
    <m/>
    <m/>
    <m/>
    <m/>
    <m/>
    <m/>
    <m/>
    <m/>
    <m/>
    <n v="55358"/>
    <n v="1"/>
    <n v="55358"/>
    <s v="12-400-00-703571-52105"/>
    <x v="0"/>
    <s v="400"/>
    <s v="00"/>
    <s v="703571"/>
    <s v="52200"/>
    <x v="0"/>
    <m/>
    <n v="12682.5178"/>
    <n v="3432.1959999999999"/>
    <n v="802.69100000000003"/>
    <n v="680.90340000000003"/>
    <n v="1046.7090640000001"/>
    <m/>
    <n v="0"/>
    <m/>
    <n v="0"/>
    <m/>
    <n v="0"/>
    <n v="0"/>
    <n v="0"/>
    <m/>
    <n v="0"/>
    <n v="18645.017263999998"/>
    <n v="74003.017263999995"/>
    <s v="Romero Jalomo"/>
    <s v="Cesar Velazquez"/>
    <s v="Upward Bound Alisal &amp; Alvarez "/>
    <s v="1 - PROG ASST I - Montes Mariz, Jocelyn"/>
  </r>
  <r>
    <n v="121"/>
    <s v="CSEA"/>
    <x v="94"/>
    <s v="ESERV_SPEC"/>
    <n v="1"/>
    <d v="2021-12-01T00:00:00"/>
    <s v=" 26"/>
    <s v="C"/>
    <n v="24020"/>
    <s v="D"/>
    <n v="35308"/>
    <n v="59328"/>
    <m/>
    <m/>
    <m/>
    <m/>
    <m/>
    <m/>
    <m/>
    <m/>
    <m/>
    <n v="59328"/>
    <n v="1"/>
    <n v="59328"/>
    <s v="12-100-00-709650-52105"/>
    <x v="0"/>
    <s v="100"/>
    <s v="00"/>
    <s v="709650"/>
    <s v="52105"/>
    <x v="0"/>
    <m/>
    <n v="13592.0448"/>
    <n v="3678.3359999999998"/>
    <n v="860.25600000000009"/>
    <n v="729.73440000000005"/>
    <n v="1121.7738240000001"/>
    <n v="140.04"/>
    <n v="140.04"/>
    <n v="79.2"/>
    <n v="79.2"/>
    <n v="33444"/>
    <n v="34786.776599999997"/>
    <n v="34786.776599999997"/>
    <n v="35006.016599999995"/>
    <m/>
    <n v="0"/>
    <n v="54988.161624"/>
    <n v="114316.161624"/>
    <s v="Raul Rodriguez"/>
    <s v="Moises Almendariz"/>
    <s v="Title V HSI Cultivamos"/>
    <s v="1 - ESERV_SPEC - VACANT (Navarro, Monica)"/>
  </r>
  <r>
    <n v="122"/>
    <s v="CSEA"/>
    <x v="95"/>
    <s v="COMPLABCOR"/>
    <n v="1"/>
    <m/>
    <s v=" 28"/>
    <s v="E"/>
    <m/>
    <m/>
    <n v="66776"/>
    <n v="66776"/>
    <m/>
    <m/>
    <m/>
    <m/>
    <n v="0.05"/>
    <n v="3338.8"/>
    <m/>
    <m/>
    <n v="600"/>
    <n v="70714.8"/>
    <n v="1"/>
    <n v="70714.8"/>
    <s v="11-600-00-678000-52105"/>
    <x v="1"/>
    <s v="600"/>
    <s v="00"/>
    <s v="678000"/>
    <s v="52105"/>
    <x v="0"/>
    <m/>
    <n v="16200.760680000001"/>
    <n v="4384.3176000000003"/>
    <n v="1025.3646000000001"/>
    <n v="869.79204000000004"/>
    <n v="1337.0754384000002"/>
    <n v="140.04"/>
    <n v="140.04"/>
    <n v="79.2"/>
    <n v="79.2"/>
    <n v="13152"/>
    <n v="13680.052799999999"/>
    <n v="13680.052799999999"/>
    <n v="13899.292799999999"/>
    <m/>
    <n v="0"/>
    <n v="37716.603158400001"/>
    <n v="108431.4031584"/>
    <m/>
    <m/>
    <m/>
    <s v="1 - COMPLABCOR - Nguyen, Long D"/>
  </r>
  <r>
    <n v="123"/>
    <s v="CSEA"/>
    <x v="96"/>
    <s v="LIBTECH_I"/>
    <n v="1"/>
    <m/>
    <s v=" 20"/>
    <s v="E"/>
    <m/>
    <m/>
    <n v="54807"/>
    <n v="54807"/>
    <m/>
    <m/>
    <m/>
    <m/>
    <n v="2.5000000000000001E-2"/>
    <n v="1370.1750000000002"/>
    <m/>
    <n v="0"/>
    <m/>
    <n v="56177.175000000003"/>
    <n v="1"/>
    <n v="56177.175000000003"/>
    <s v="11-360-00-612000-52105"/>
    <x v="1"/>
    <s v="360"/>
    <s v="00"/>
    <s v="612000"/>
    <s v="52105"/>
    <x v="0"/>
    <m/>
    <n v="12870.190792500001"/>
    <n v="3482.9848500000003"/>
    <n v="814.56903750000004"/>
    <n v="690.97925250000003"/>
    <n v="1062.1980249000001"/>
    <n v="140.04"/>
    <n v="140.04"/>
    <n v="79.2"/>
    <n v="79.2"/>
    <n v="13152"/>
    <n v="13680.052799999999"/>
    <n v="13680.052799999999"/>
    <n v="13899.292799999999"/>
    <m/>
    <n v="0"/>
    <n v="32820.214757400005"/>
    <n v="88997.3897574"/>
    <m/>
    <m/>
    <m/>
    <s v="1 - LIBTECH_I - Niduaza, Mezaiah"/>
  </r>
  <r>
    <n v="124"/>
    <s v="CSEA"/>
    <x v="97"/>
    <s v="ADM_ASSTII"/>
    <n v="0.91669999999999996"/>
    <m/>
    <s v=" 20"/>
    <s v="E"/>
    <m/>
    <m/>
    <n v="50241.5769"/>
    <n v="50241.5769"/>
    <m/>
    <m/>
    <m/>
    <m/>
    <n v="0.05"/>
    <n v="2512.078845"/>
    <m/>
    <m/>
    <n v="1200"/>
    <n v="53953.655744999996"/>
    <n v="0.9"/>
    <n v="48558.290170499997"/>
    <s v="33-300-00-000001-52105"/>
    <x v="2"/>
    <s v="300"/>
    <s v="00"/>
    <s v="000001"/>
    <s v="52105"/>
    <x v="0"/>
    <m/>
    <n v="11124.704278061548"/>
    <n v="3010.6139905709997"/>
    <n v="704.09520747224997"/>
    <n v="597.26696909714997"/>
    <n v="918.140150543814"/>
    <n v="140.04"/>
    <n v="126.036"/>
    <n v="79.2"/>
    <n v="71.28"/>
    <n v="33444"/>
    <n v="34786.776599999997"/>
    <n v="31308.09894"/>
    <n v="31505.414939999999"/>
    <m/>
    <n v="0"/>
    <n v="47860.235535745756"/>
    <n v="96418.525706245753"/>
    <m/>
    <m/>
    <m/>
    <s v="0.9 - ADM_ASSTII - Nunez, Lorena "/>
  </r>
  <r>
    <n v="125"/>
    <s v="CSEA"/>
    <x v="97"/>
    <s v="ADM_ASSTII"/>
    <n v="0.91669999999999996"/>
    <m/>
    <s v=" 20"/>
    <s v="E"/>
    <m/>
    <m/>
    <n v="50241.5769"/>
    <n v="50241.5769"/>
    <m/>
    <m/>
    <m/>
    <m/>
    <n v="0.05"/>
    <n v="2512.078845"/>
    <m/>
    <m/>
    <n v="1200"/>
    <n v="53953.655744999996"/>
    <n v="0.1"/>
    <n v="5395.3655744999996"/>
    <s v="11-350-00-601000-52105"/>
    <x v="1"/>
    <s v="350"/>
    <s v="00"/>
    <s v="601000"/>
    <s v="52105"/>
    <x v="0"/>
    <m/>
    <n v="1236.07825311795"/>
    <n v="334.51266561899996"/>
    <n v="78.23280083025"/>
    <n v="66.362996566349992"/>
    <n v="102.015572282646"/>
    <n v="140.04"/>
    <n v="14.004"/>
    <n v="79.2"/>
    <n v="7.9200000000000008"/>
    <n v="33444"/>
    <n v="34786.776599999997"/>
    <n v="3478.6776599999998"/>
    <n v="3500.6016599999998"/>
    <m/>
    <n v="0"/>
    <n v="5317.8039484161955"/>
    <n v="10713.169522916196"/>
    <m/>
    <m/>
    <m/>
    <s v="0.1 - ADM_ASSTII - Nunez, Lorena "/>
  </r>
  <r>
    <n v="126"/>
    <s v="CSEA"/>
    <x v="98"/>
    <s v="LDPROGCOOR"/>
    <n v="1"/>
    <m/>
    <s v=" 34"/>
    <s v="E"/>
    <m/>
    <m/>
    <n v="77440"/>
    <n v="77440"/>
    <m/>
    <m/>
    <m/>
    <m/>
    <m/>
    <m/>
    <m/>
    <m/>
    <m/>
    <n v="77440"/>
    <n v="1"/>
    <n v="77440"/>
    <s v="12-400-00-760087-52105"/>
    <x v="0"/>
    <s v="400"/>
    <s v="00"/>
    <s v="760087"/>
    <s v="52105"/>
    <x v="0"/>
    <m/>
    <n v="17741.504000000001"/>
    <n v="4801.28"/>
    <n v="1122.8800000000001"/>
    <n v="952.51200000000006"/>
    <n v="1464.2355200000002"/>
    <n v="140.04"/>
    <n v="140.04"/>
    <n v="79.2"/>
    <n v="79.2"/>
    <n v="8820"/>
    <n v="9174.1229999999996"/>
    <n v="9174.1229999999996"/>
    <n v="9393.3629999999994"/>
    <n v="2400"/>
    <n v="2400"/>
    <n v="37875.774520000006"/>
    <n v="115315.77452000001"/>
    <s v="Romero Jalomo"/>
    <s v="Bronwyn Moreno"/>
    <s v="Salinas Valley Promise (College Promise) Program"/>
    <s v="1 - LDPROGCOOR - Obana, Chynna "/>
  </r>
  <r>
    <n v="127"/>
    <s v="CSEA"/>
    <x v="99"/>
    <s v="INST_TECH"/>
    <n v="1"/>
    <m/>
    <s v=" 37"/>
    <s v="E"/>
    <m/>
    <m/>
    <n v="83394"/>
    <n v="83394"/>
    <m/>
    <m/>
    <m/>
    <m/>
    <m/>
    <m/>
    <m/>
    <m/>
    <n v="1200"/>
    <n v="84594"/>
    <n v="1"/>
    <n v="84594"/>
    <s v="11-600-00-678000-52105"/>
    <x v="1"/>
    <s v="600"/>
    <s v="00"/>
    <s v="678000"/>
    <s v="52105"/>
    <x v="0"/>
    <m/>
    <n v="19380.485400000001"/>
    <n v="5244.8279999999995"/>
    <n v="1226.6130000000001"/>
    <n v="1040.5062"/>
    <n v="1599.5033520000002"/>
    <n v="140.04"/>
    <n v="140.04"/>
    <n v="79.2"/>
    <n v="79.2"/>
    <n v="33444"/>
    <n v="34786.776599999997"/>
    <n v="34786.776599999997"/>
    <n v="35006.016599999995"/>
    <m/>
    <n v="0"/>
    <n v="63497.952552000002"/>
    <n v="148091.952552"/>
    <m/>
    <m/>
    <m/>
    <s v="1 - INST_TECH - Otero, Laura M"/>
  </r>
  <r>
    <n v="128"/>
    <s v="CSEA"/>
    <x v="100"/>
    <s v="INFOTECHSP"/>
    <n v="1"/>
    <m/>
    <s v=" 39"/>
    <s v="E"/>
    <m/>
    <m/>
    <n v="87615"/>
    <n v="87615"/>
    <m/>
    <m/>
    <m/>
    <m/>
    <n v="0.05"/>
    <n v="4380.75"/>
    <m/>
    <m/>
    <n v="1200"/>
    <n v="93195.75"/>
    <n v="1"/>
    <n v="93195.75"/>
    <s v="11-600-00-678000-52105"/>
    <x v="1"/>
    <s v="600"/>
    <s v="00"/>
    <s v="678000"/>
    <s v="52105"/>
    <x v="0"/>
    <m/>
    <n v="21351.146325000002"/>
    <n v="5778.1364999999996"/>
    <n v="1351.338375"/>
    <n v="1146.3077250000001"/>
    <n v="1762.1452410000002"/>
    <n v="140.04"/>
    <n v="140.04"/>
    <n v="79.2"/>
    <n v="79.2"/>
    <n v="33444"/>
    <n v="34786.776599999997"/>
    <n v="34786.776599999997"/>
    <n v="35006.016599999995"/>
    <m/>
    <n v="0"/>
    <n v="66395.090765999994"/>
    <n v="159590.84076599998"/>
    <m/>
    <m/>
    <m/>
    <s v="1 - INFOTECHSP - Otero, Stephen"/>
  </r>
  <r>
    <n v="129"/>
    <s v="CSEA"/>
    <x v="101"/>
    <s v="LIBTECH_I"/>
    <n v="0.41670000000000001"/>
    <d v="2022-02-01T00:00:00"/>
    <s v=" 20"/>
    <s v="E"/>
    <m/>
    <m/>
    <n v="22838.0769"/>
    <n v="22838.0769"/>
    <m/>
    <m/>
    <m/>
    <m/>
    <m/>
    <m/>
    <m/>
    <m/>
    <m/>
    <n v="22838.0769"/>
    <n v="0.7"/>
    <n v="15986.653829999999"/>
    <s v="11-360-00-612000-52105"/>
    <x v="1"/>
    <s v="360"/>
    <s v="00"/>
    <s v="612000"/>
    <s v="52105"/>
    <x v="0"/>
    <m/>
    <n v="3662.5423924529996"/>
    <n v="991.17253745999994"/>
    <n v="231.80648053499999"/>
    <n v="196.63584210899998"/>
    <n v="302.27565061764"/>
    <n v="140.04"/>
    <n v="98.027999999999992"/>
    <n v="79.2"/>
    <n v="55.44"/>
    <n v="0"/>
    <n v="0"/>
    <n v="0"/>
    <n v="153.46799999999999"/>
    <m/>
    <n v="0"/>
    <n v="5537.90090317464"/>
    <n v="21524.554733174638"/>
    <m/>
    <m/>
    <m/>
    <s v="0.7 - LIBTECH_I - Perez, Josephie"/>
  </r>
  <r>
    <n v="130"/>
    <s v="CSEA"/>
    <x v="101"/>
    <s v="LIBTECH_I"/>
    <n v="0.41670000000000001"/>
    <d v="2022-02-01T00:00:00"/>
    <s v=" 20"/>
    <s v="E"/>
    <m/>
    <m/>
    <n v="22838.0769"/>
    <n v="22838.0769"/>
    <m/>
    <m/>
    <m/>
    <m/>
    <m/>
    <m/>
    <m/>
    <m/>
    <m/>
    <n v="22838.0769"/>
    <n v="0.3"/>
    <n v="6851.4230699999998"/>
    <s v="11-360-00-613000-52105"/>
    <x v="1"/>
    <s v="360"/>
    <s v="00"/>
    <s v="613000"/>
    <s v="52105"/>
    <x v="0"/>
    <m/>
    <n v="1569.661025337"/>
    <n v="424.78823033999998"/>
    <n v="99.345634515"/>
    <n v="84.272503760999996"/>
    <n v="129.54670740756001"/>
    <n v="140.04"/>
    <n v="42.011999999999993"/>
    <n v="79.2"/>
    <n v="23.76"/>
    <n v="0"/>
    <n v="0"/>
    <n v="0"/>
    <n v="65.771999999999991"/>
    <m/>
    <n v="0"/>
    <n v="2373.3861013605601"/>
    <n v="9224.8091713605609"/>
    <m/>
    <m/>
    <m/>
    <s v="0.3 - LIBTECH_I - Perez, Josephie"/>
  </r>
  <r>
    <n v="131"/>
    <s v="CSEA"/>
    <x v="102"/>
    <s v="ADMASSTIII"/>
    <n v="1"/>
    <m/>
    <s v=" 23"/>
    <s v="E"/>
    <m/>
    <m/>
    <n v="59019"/>
    <n v="59019"/>
    <m/>
    <m/>
    <m/>
    <m/>
    <n v="0.1"/>
    <n v="5901.9000000000005"/>
    <m/>
    <m/>
    <n v="1200"/>
    <n v="66120.899999999994"/>
    <n v="1"/>
    <n v="66120.899999999994"/>
    <s v="11-220-00-683000-52105"/>
    <x v="1"/>
    <s v="220"/>
    <s v="00"/>
    <s v="683000"/>
    <s v="52105"/>
    <x v="0"/>
    <m/>
    <n v="15148.298189999998"/>
    <n v="4099.4957999999997"/>
    <n v="958.75304999999992"/>
    <n v="813.28706999999997"/>
    <n v="1250.2139772"/>
    <n v="140.04"/>
    <n v="140.04"/>
    <n v="79.2"/>
    <n v="79.2"/>
    <n v="25452.6"/>
    <n v="26474.521889999996"/>
    <n v="26474.521889999996"/>
    <n v="26693.761889999998"/>
    <m/>
    <n v="0"/>
    <n v="48963.809977199999"/>
    <n v="115084.70997719999"/>
    <m/>
    <m/>
    <m/>
    <s v="1 - ADMASSTIII - Pleak, Joanne "/>
  </r>
  <r>
    <n v="132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5"/>
    <n v="33667.425000000003"/>
    <s v="12-330-00-709831-52105"/>
    <x v="0"/>
    <s v="330"/>
    <s v="00"/>
    <s v="709831"/>
    <s v="52105"/>
    <x v="0"/>
    <m/>
    <n v="7713.2070675000004"/>
    <n v="2087.3803500000004"/>
    <n v="488.17766250000005"/>
    <n v="414.10932750000006"/>
    <n v="636.58367190000013"/>
    <n v="140.04"/>
    <n v="70.02"/>
    <n v="79.2"/>
    <n v="39.6"/>
    <n v="13152"/>
    <n v="13680.052799999999"/>
    <n v="6840.0263999999997"/>
    <n v="6949.6463999999996"/>
    <m/>
    <n v="0"/>
    <n v="18289.104479400001"/>
    <n v="51956.529479400007"/>
    <s v="Raul Rodriguez"/>
    <s v="Moises Almendariz"/>
    <s v="HSI STEM GPS"/>
    <s v="0.5 - PROGASST_I - Polio, Leda"/>
  </r>
  <r>
    <s v="132a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25"/>
    <n v="16833.712500000001"/>
    <s v="12-100-00-709650-52105"/>
    <x v="0"/>
    <s v="100"/>
    <s v="00"/>
    <s v="709650"/>
    <s v="52105"/>
    <x v="0"/>
    <m/>
    <n v="3856.6035337500002"/>
    <n v="1043.6901750000002"/>
    <n v="244.08883125000003"/>
    <n v="207.05466375000003"/>
    <n v="318.29183595000006"/>
    <n v="140.04"/>
    <n v="35.01"/>
    <n v="79.2"/>
    <n v="19.8"/>
    <n v="13152"/>
    <n v="13680.052799999999"/>
    <n v="3420.0131999999999"/>
    <n v="3474.8231999999998"/>
    <m/>
    <n v="0"/>
    <n v="9144.5522397000004"/>
    <n v="25978.264739700004"/>
    <s v="Raul Rodriguez"/>
    <s v="Moises Almendariz"/>
    <s v="Title V HSI Cultivamos"/>
    <s v="0.25 - PROGASST_I - Polio, Leda"/>
  </r>
  <r>
    <s v="132b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25"/>
    <n v="16833.712500000001"/>
    <s v="12-330-00-679040-52105"/>
    <x v="0"/>
    <s v="330"/>
    <s v="00"/>
    <s v="679040"/>
    <s v="52105"/>
    <x v="0"/>
    <m/>
    <n v="3856.6035337500002"/>
    <n v="1043.6901750000002"/>
    <n v="244.08883125000003"/>
    <n v="207.05466375000003"/>
    <n v="318.29183595000006"/>
    <n v="140.04"/>
    <n v="35.01"/>
    <n v="79.2"/>
    <n v="19.8"/>
    <n v="13152"/>
    <n v="13680.052799999999"/>
    <n v="3420.0131999999999"/>
    <n v="3474.8231999999998"/>
    <m/>
    <n v="0"/>
    <n v="9144.5522397000004"/>
    <n v="25978.264739700004"/>
    <s v="Raul Rodriguez"/>
    <s v="Moises Almendariz"/>
    <s v="GANAS Grant"/>
    <s v="0.25 - PROGASST_I - Polio, Leda"/>
  </r>
  <r>
    <n v="133"/>
    <s v="CSEA"/>
    <x v="104"/>
    <s v="PRGASST_II"/>
    <n v="1"/>
    <m/>
    <s v=" 31"/>
    <s v="E"/>
    <m/>
    <m/>
    <n v="71910"/>
    <n v="71910"/>
    <m/>
    <m/>
    <m/>
    <m/>
    <n v="0.05"/>
    <n v="3595.5"/>
    <m/>
    <m/>
    <n v="600"/>
    <n v="76105.5"/>
    <n v="0.35"/>
    <n v="26636.924999999999"/>
    <s v="11-420-00-648000-52105"/>
    <x v="1"/>
    <s v="420"/>
    <s v="00"/>
    <s v="648000"/>
    <s v="52105"/>
    <x v="0"/>
    <m/>
    <n v="6102.5195174999999"/>
    <n v="1651.4893499999998"/>
    <n v="386.2354125"/>
    <n v="327.63417750000002"/>
    <n v="503.65097790000004"/>
    <n v="140.04"/>
    <n v="49.013999999999996"/>
    <n v="79.2"/>
    <n v="27.72"/>
    <n v="13152"/>
    <n v="13680.052799999999"/>
    <n v="4788.0184799999997"/>
    <n v="4864.7524800000001"/>
    <m/>
    <n v="0"/>
    <n v="13836.281915399999"/>
    <n v="40473.206915399998"/>
    <m/>
    <m/>
    <m/>
    <s v="0.35 - PRGASST_II - Polio, Ligia"/>
  </r>
  <r>
    <n v="134"/>
    <s v="CSEA"/>
    <x v="104"/>
    <s v="PRGASST_II"/>
    <n v="1"/>
    <m/>
    <s v=" 31"/>
    <s v="E"/>
    <m/>
    <m/>
    <n v="71910"/>
    <n v="71910"/>
    <m/>
    <m/>
    <m/>
    <m/>
    <n v="0.05"/>
    <n v="3595.5"/>
    <m/>
    <m/>
    <n v="600"/>
    <n v="76105.5"/>
    <n v="0.65"/>
    <n v="49468.575000000004"/>
    <s v="12-365-00-700410-52105"/>
    <x v="0"/>
    <s v="365"/>
    <s v="00"/>
    <s v="700410"/>
    <s v="52105"/>
    <x v="0"/>
    <m/>
    <n v="11333.2505325"/>
    <n v="3067.0516500000003"/>
    <n v="717.2943375000001"/>
    <n v="608.46347250000008"/>
    <n v="935.35181610000018"/>
    <n v="140.04"/>
    <n v="91.025999999999996"/>
    <n v="79.2"/>
    <n v="51.480000000000004"/>
    <n v="13152"/>
    <n v="13680.052799999999"/>
    <n v="8892.0343200000007"/>
    <n v="9034.5403200000001"/>
    <m/>
    <n v="0"/>
    <n v="25695.952128600002"/>
    <n v="75164.527128600006"/>
    <s v="Cathryn Wilkinson"/>
    <s v="Jainesh Singh"/>
    <s v="Student Equity Program"/>
    <s v="0.65 - PRGASST_II - Polio, Ligia"/>
  </r>
  <r>
    <n v="135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2"/>
    <n v="13141.68"/>
    <s v="11-330-00-090100-52200"/>
    <x v="1"/>
    <s v="330"/>
    <s v="00"/>
    <s v="090100"/>
    <s v="52200"/>
    <x v="0"/>
    <m/>
    <n v="3010.7588879999998"/>
    <n v="814.78416000000004"/>
    <n v="190.55436"/>
    <n v="161.642664"/>
    <n v="248.48288544000002"/>
    <n v="140.04"/>
    <n v="28.007999999999999"/>
    <n v="79.2"/>
    <n v="15.840000000000002"/>
    <n v="23232"/>
    <n v="24164.764800000001"/>
    <n v="4832.9529600000005"/>
    <n v="4876.8009600000005"/>
    <n v="2400"/>
    <n v="480"/>
    <n v="9783.0239174400012"/>
    <n v="22924.703917440002"/>
    <m/>
    <m/>
    <m/>
    <s v="0.2 - SCILABTEC - Polo, Tito F"/>
  </r>
  <r>
    <n v="136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75"/>
    <n v="49281.299999999996"/>
    <s v="11-330-00-190200-52200"/>
    <x v="1"/>
    <s v="330"/>
    <s v="00"/>
    <s v="190200"/>
    <s v="52200"/>
    <x v="0"/>
    <m/>
    <n v="11290.345829999998"/>
    <n v="3055.4405999999999"/>
    <n v="714.57884999999999"/>
    <n v="606.15998999999999"/>
    <n v="931.81082040000001"/>
    <n v="140.04"/>
    <n v="105.03"/>
    <n v="79.2"/>
    <n v="59.400000000000006"/>
    <n v="23232"/>
    <n v="24164.764800000001"/>
    <n v="18123.5736"/>
    <n v="18288.0036"/>
    <n v="2400"/>
    <n v="1800"/>
    <n v="36686.339690399996"/>
    <n v="85967.639690399985"/>
    <m/>
    <m/>
    <m/>
    <s v="0.75 - SCILABTEC - Polo, Tito F"/>
  </r>
  <r>
    <n v="137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05"/>
    <n v="3285.42"/>
    <s v="11-330-00-191400-52200"/>
    <x v="1"/>
    <s v="330"/>
    <s v="00"/>
    <s v="191400"/>
    <s v="52200"/>
    <x v="0"/>
    <m/>
    <n v="752.68972199999996"/>
    <n v="203.69604000000001"/>
    <n v="47.638590000000001"/>
    <n v="40.410665999999999"/>
    <n v="62.120721360000005"/>
    <n v="140.04"/>
    <n v="7.0019999999999998"/>
    <n v="79.2"/>
    <n v="3.9600000000000004"/>
    <n v="23232"/>
    <n v="24164.764800000001"/>
    <n v="1208.2382400000001"/>
    <n v="1219.2002400000001"/>
    <n v="2400"/>
    <n v="120"/>
    <n v="2445.7559793600003"/>
    <n v="5731.1759793600004"/>
    <m/>
    <m/>
    <m/>
    <s v="0.05 - SCILABTEC - Polo, Tito F"/>
  </r>
  <r>
    <n v="138"/>
    <s v="CSEA"/>
    <x v="106"/>
    <s v="ASUPSP"/>
    <n v="0.7"/>
    <d v="2022-03-01T00:00:00"/>
    <s v=" 34"/>
    <s v="B"/>
    <n v="31998.399999999998"/>
    <s v="C"/>
    <n v="16800"/>
    <n v="48798.399999999994"/>
    <m/>
    <m/>
    <m/>
    <m/>
    <m/>
    <m/>
    <m/>
    <m/>
    <m/>
    <n v="48798.399999999994"/>
    <n v="1"/>
    <n v="48798.399999999994"/>
    <s v="12-365-00-700410-52200"/>
    <x v="0"/>
    <s v="365"/>
    <s v="00"/>
    <s v="700410"/>
    <s v="52200"/>
    <x v="0"/>
    <m/>
    <n v="11179.713439999998"/>
    <n v="3025.5007999999998"/>
    <n v="707.57679999999993"/>
    <n v="600.2203199999999"/>
    <n v="922.68014719999996"/>
    <n v="140.04"/>
    <n v="140.04"/>
    <m/>
    <n v="0"/>
    <n v="0"/>
    <n v="0"/>
    <n v="0"/>
    <n v="140.04"/>
    <m/>
    <n v="0"/>
    <n v="16575.731507199998"/>
    <n v="65374.131507199992"/>
    <s v="Cathryn Wilkinson"/>
    <s v="Jainesh Singh"/>
    <s v="Student Equity Program"/>
    <s v="1 - ASUPSP - Provencio, Valeria"/>
  </r>
  <r>
    <n v="139"/>
    <s v="CSEA"/>
    <x v="107"/>
    <s v="PROG_ANLYT"/>
    <n v="1"/>
    <m/>
    <s v=" 40"/>
    <s v="E"/>
    <m/>
    <m/>
    <n v="89806"/>
    <n v="89806"/>
    <m/>
    <m/>
    <m/>
    <m/>
    <m/>
    <m/>
    <m/>
    <m/>
    <m/>
    <n v="89806"/>
    <n v="1"/>
    <n v="89806"/>
    <s v="11-600-00-678000-52105"/>
    <x v="1"/>
    <s v="600"/>
    <s v="00"/>
    <s v="678000"/>
    <s v="52105"/>
    <x v="0"/>
    <m/>
    <n v="20574.554599999999"/>
    <n v="5567.9719999999998"/>
    <n v="1302.1870000000001"/>
    <n v="1104.6138000000001"/>
    <n v="1698.0518480000001"/>
    <n v="140.04"/>
    <n v="140.04"/>
    <n v="79.2"/>
    <n v="79.2"/>
    <n v="5328"/>
    <n v="5541.9192000000003"/>
    <n v="5541.9192000000003"/>
    <n v="5761.1592000000001"/>
    <n v="2400"/>
    <n v="2400"/>
    <n v="38408.538447999999"/>
    <n v="128214.53844800001"/>
    <m/>
    <m/>
    <m/>
    <s v="1 - PROG_ANLYT - Pullum, Shawn "/>
  </r>
  <r>
    <n v="140"/>
    <s v="CSEA"/>
    <x v="108"/>
    <s v="ADMASSTIII"/>
    <n v="1"/>
    <m/>
    <s v=" 23"/>
    <s v="E"/>
    <m/>
    <m/>
    <n v="59019"/>
    <n v="59019"/>
    <m/>
    <m/>
    <m/>
    <m/>
    <n v="2.5000000000000001E-2"/>
    <n v="1475.4750000000001"/>
    <m/>
    <m/>
    <n v="600"/>
    <n v="61094.474999999999"/>
    <n v="1"/>
    <n v="61094.474999999999"/>
    <s v="11-304-00-601000-52105"/>
    <x v="1"/>
    <s v="304"/>
    <s v="00"/>
    <s v="601000"/>
    <s v="52105"/>
    <x v="0"/>
    <m/>
    <n v="13996.7442225"/>
    <n v="3787.85745"/>
    <n v="885.8698875"/>
    <n v="751.46204249999994"/>
    <n v="1155.1743332999999"/>
    <n v="140.04"/>
    <n v="140.04"/>
    <n v="79.2"/>
    <n v="79.2"/>
    <n v="13152"/>
    <n v="13680.052799999999"/>
    <n v="13680.052799999999"/>
    <n v="13899.292799999999"/>
    <m/>
    <n v="0"/>
    <n v="34476.400735800002"/>
    <n v="95570.8757358"/>
    <m/>
    <m/>
    <m/>
    <s v="1 - ADMASSTIII - Ramirez, Alicia"/>
  </r>
  <r>
    <s v="30A"/>
    <s v="CSEA"/>
    <x v="21"/>
    <s v="PROGASST_I"/>
    <n v="1"/>
    <d v="2022-02-01T00:00:00"/>
    <s v=" 26"/>
    <s v="B"/>
    <n v="32025"/>
    <s v="C"/>
    <n v="24020"/>
    <n v="56045"/>
    <m/>
    <m/>
    <m/>
    <m/>
    <m/>
    <m/>
    <m/>
    <m/>
    <n v="1200"/>
    <n v="57245"/>
    <n v="0.3"/>
    <n v="17173.5"/>
    <s v="12-365-00-707723-52105"/>
    <x v="0"/>
    <s v="365"/>
    <s v="00"/>
    <s v="707723"/>
    <s v="52105"/>
    <x v="0"/>
    <m/>
    <n v="3934.4488499999998"/>
    <n v="1064.7570000000001"/>
    <n v="249.01575000000003"/>
    <n v="211.23405"/>
    <n v="324.71653800000001"/>
    <n v="140.04"/>
    <n v="42.011999999999993"/>
    <n v="79.2"/>
    <n v="23.76"/>
    <n v="33444"/>
    <n v="34786.776599999997"/>
    <n v="10436.032979999998"/>
    <n v="10501.804979999999"/>
    <m/>
    <n v="0"/>
    <n v="16285.977167999998"/>
    <n v="33459.477167999998"/>
    <s v="Cathryn Wilkinson"/>
    <s v="Ivan Pagan"/>
    <s v="Adult Education - SVAEC"/>
    <s v="0.3 - PROGASST_I - De Leon, Maria"/>
  </r>
  <r>
    <s v="141A"/>
    <s v="CSEA"/>
    <x v="109"/>
    <s v="PRGASST_II"/>
    <n v="1"/>
    <d v="2022-01-01T00:00:00"/>
    <s v=" 31"/>
    <s v="B"/>
    <n v="31062"/>
    <s v="C"/>
    <n v="32610"/>
    <n v="63672"/>
    <m/>
    <m/>
    <m/>
    <m/>
    <m/>
    <m/>
    <m/>
    <m/>
    <n v="1200"/>
    <n v="64872"/>
    <n v="0.2"/>
    <n v="12974.400000000001"/>
    <s v="12-365-00-707723-52105"/>
    <x v="0"/>
    <s v="365"/>
    <s v="00"/>
    <s v="707723"/>
    <s v="52105"/>
    <x v="0"/>
    <m/>
    <n v="2972.4350400000003"/>
    <n v="804.41280000000006"/>
    <n v="188.12880000000004"/>
    <n v="159.58512000000002"/>
    <n v="245.31995520000004"/>
    <n v="140.04"/>
    <n v="28.007999999999999"/>
    <n v="79.2"/>
    <n v="15.840000000000002"/>
    <n v="33444"/>
    <n v="34786.776599999997"/>
    <n v="6957.3553199999997"/>
    <n v="7001.2033199999996"/>
    <m/>
    <n v="0"/>
    <n v="11371.0850352"/>
    <n v="24345.485035199999"/>
    <s v="Cathryn Wilkinson"/>
    <s v="Ivan Pagan"/>
    <s v="Adult Education - SVAEC"/>
    <s v="0.2 - PRGASST_II - Regalado, Christian"/>
  </r>
  <r>
    <n v="141"/>
    <s v="CSEA"/>
    <x v="109"/>
    <s v="PRGASST_II"/>
    <n v="1"/>
    <d v="2022-01-01T00:00:00"/>
    <s v=" 31"/>
    <s v="B"/>
    <n v="31062"/>
    <s v="C"/>
    <n v="32610"/>
    <n v="63672"/>
    <m/>
    <m/>
    <m/>
    <m/>
    <m/>
    <m/>
    <m/>
    <m/>
    <n v="1200"/>
    <n v="64872"/>
    <n v="0.8"/>
    <n v="51897.600000000006"/>
    <s v="12-365-00-707733-52105"/>
    <x v="0"/>
    <s v="365"/>
    <s v="00"/>
    <s v="707733"/>
    <s v="52105"/>
    <x v="0"/>
    <m/>
    <n v="11889.740160000001"/>
    <n v="3217.6512000000002"/>
    <n v="752.51520000000016"/>
    <n v="638.34048000000007"/>
    <n v="981.27982080000015"/>
    <n v="140.04"/>
    <n v="112.032"/>
    <n v="79.2"/>
    <n v="63.360000000000007"/>
    <n v="33444"/>
    <n v="34786.776599999997"/>
    <n v="27829.421279999999"/>
    <n v="28004.813279999998"/>
    <m/>
    <n v="0"/>
    <n v="45484.340140799999"/>
    <n v="97381.940140799998"/>
    <s v="Cathryn Wilkinson"/>
    <s v="Ivan Pagan"/>
    <s v="Adult Education - SVAEC"/>
    <s v="0.8 - PRGASST_II - Regalado, Christian"/>
  </r>
  <r>
    <n v="142"/>
    <s v="CSEA"/>
    <x v="110"/>
    <s v="FA_LEAD"/>
    <n v="1"/>
    <m/>
    <s v=" 34"/>
    <s v="E"/>
    <m/>
    <m/>
    <n v="77440"/>
    <n v="77440"/>
    <m/>
    <m/>
    <m/>
    <m/>
    <m/>
    <m/>
    <m/>
    <m/>
    <n v="600"/>
    <n v="78040"/>
    <n v="1"/>
    <n v="78040"/>
    <s v="11-420-00-646000-52105"/>
    <x v="1"/>
    <s v="420"/>
    <s v="00"/>
    <s v="646000"/>
    <s v="52105"/>
    <x v="0"/>
    <m/>
    <n v="17878.964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290.512920000001"/>
    <n v="139330.51292000001"/>
    <m/>
    <m/>
    <m/>
    <s v="1 - FA_LEAD - Reyes, Marina "/>
  </r>
  <r>
    <n v="143"/>
    <s v="CSEA"/>
    <x v="111"/>
    <s v="PURCH_TECH"/>
    <n v="1"/>
    <m/>
    <s v=" 21"/>
    <s v="E"/>
    <m/>
    <m/>
    <n v="56176"/>
    <n v="56176"/>
    <m/>
    <m/>
    <m/>
    <m/>
    <n v="7.4999999999999997E-2"/>
    <n v="4213.2"/>
    <m/>
    <n v="0"/>
    <m/>
    <n v="60389.2"/>
    <n v="1"/>
    <n v="60389.2"/>
    <s v="11-210-00-677000-52105"/>
    <x v="1"/>
    <s v="210"/>
    <s v="00"/>
    <s v="677000"/>
    <s v="52105"/>
    <x v="0"/>
    <m/>
    <n v="13835.165719999999"/>
    <n v="3744.1304"/>
    <n v="875.64340000000004"/>
    <n v="742.78715999999997"/>
    <n v="1141.8389936000001"/>
    <n v="140.04"/>
    <n v="140.04"/>
    <n v="79.2"/>
    <n v="79.2"/>
    <n v="25452.6"/>
    <n v="26474.521889999996"/>
    <n v="26474.521889999996"/>
    <n v="26693.761889999998"/>
    <m/>
    <n v="0"/>
    <n v="47033.327563599996"/>
    <n v="107422.52756359999"/>
    <m/>
    <m/>
    <m/>
    <s v="1 - PURCH_TECH - Ritter, Joanne"/>
  </r>
  <r>
    <n v="144"/>
    <s v="CSEA"/>
    <x v="112"/>
    <s v="ATH_TRNR"/>
    <n v="1"/>
    <d v="2021-08-01T00:00:00"/>
    <s v=" 36"/>
    <s v="D"/>
    <n v="6457"/>
    <s v="E"/>
    <n v="74580"/>
    <n v="81037"/>
    <m/>
    <m/>
    <m/>
    <m/>
    <m/>
    <m/>
    <m/>
    <m/>
    <m/>
    <n v="81037"/>
    <n v="1"/>
    <n v="81037"/>
    <s v="11-320-00-696500-52105"/>
    <x v="1"/>
    <s v="320"/>
    <s v="00"/>
    <s v="696500"/>
    <s v="52105"/>
    <x v="0"/>
    <m/>
    <n v="18565.576700000001"/>
    <n v="5024.2939999999999"/>
    <n v="1175.0365000000002"/>
    <n v="996.75509999999997"/>
    <n v="1532.2475960000002"/>
    <n v="140.04"/>
    <n v="140.04"/>
    <n v="79.2"/>
    <n v="79.2"/>
    <n v="25452.6"/>
    <n v="26474.521889999996"/>
    <n v="26474.521889999996"/>
    <n v="26693.761889999998"/>
    <m/>
    <n v="0"/>
    <n v="53987.671785999999"/>
    <n v="135024.67178599999"/>
    <m/>
    <m/>
    <m/>
    <s v="1 - ATH_TRNR - Ritz, Alexandra"/>
  </r>
  <r>
    <n v="145"/>
    <s v="CSEA"/>
    <x v="113"/>
    <s v="LIBTEIII"/>
    <n v="1"/>
    <m/>
    <s v=" 31"/>
    <s v="E"/>
    <m/>
    <m/>
    <n v="71910"/>
    <n v="71910"/>
    <m/>
    <m/>
    <m/>
    <m/>
    <n v="0.1"/>
    <n v="7191"/>
    <m/>
    <m/>
    <n v="1800"/>
    <n v="80901"/>
    <n v="0.7"/>
    <n v="56630.7"/>
    <s v="11-360-00-612000-52105"/>
    <x v="1"/>
    <s v="360"/>
    <s v="00"/>
    <s v="612000"/>
    <s v="52105"/>
    <x v="0"/>
    <m/>
    <n v="12974.093369999999"/>
    <n v="3511.1034"/>
    <n v="821.14514999999994"/>
    <n v="696.55760999999995"/>
    <n v="1070.7732756"/>
    <n v="140.04"/>
    <n v="98.027999999999992"/>
    <n v="79.2"/>
    <n v="55.44"/>
    <n v="33444"/>
    <n v="34786.776599999997"/>
    <n v="24350.743619999997"/>
    <n v="24504.211619999998"/>
    <m/>
    <n v="0"/>
    <n v="43577.884425599994"/>
    <n v="100208.58442559998"/>
    <m/>
    <m/>
    <m/>
    <s v="0.7 - LIBTEIII - Rivera, Betty "/>
  </r>
  <r>
    <n v="146"/>
    <s v="CSEA"/>
    <x v="113"/>
    <s v="LIBTEIII"/>
    <n v="1"/>
    <m/>
    <s v=" 31"/>
    <s v="E"/>
    <m/>
    <m/>
    <n v="71910"/>
    <n v="71910"/>
    <m/>
    <m/>
    <m/>
    <m/>
    <n v="0.1"/>
    <n v="7191"/>
    <m/>
    <m/>
    <m/>
    <n v="79101"/>
    <n v="0.3"/>
    <n v="23730.3"/>
    <s v="11-360-00-613000-52105"/>
    <x v="1"/>
    <s v="360"/>
    <s v="00"/>
    <s v="613000"/>
    <s v="52105"/>
    <x v="0"/>
    <m/>
    <n v="5436.6117299999996"/>
    <n v="1471.2785999999999"/>
    <n v="344.08935000000002"/>
    <n v="291.88268999999997"/>
    <n v="448.6925124"/>
    <n v="140.04"/>
    <n v="42.011999999999993"/>
    <n v="79.2"/>
    <n v="23.76"/>
    <n v="33444"/>
    <n v="34786.776599999997"/>
    <n v="10436.032979999998"/>
    <n v="10501.804979999999"/>
    <m/>
    <n v="0"/>
    <n v="18494.359862399997"/>
    <n v="42224.659862399996"/>
    <m/>
    <m/>
    <m/>
    <s v="0.3 - LIBTEIII - Rivera, Betty "/>
  </r>
  <r>
    <n v="147"/>
    <s v="CSEA"/>
    <x v="114"/>
    <s v="CP_COORD"/>
    <n v="1"/>
    <d v="2021-07-01T00:00:00"/>
    <s v=" 36"/>
    <s v="D"/>
    <m/>
    <m/>
    <n v="77486"/>
    <n v="77486"/>
    <m/>
    <m/>
    <m/>
    <m/>
    <n v="2.5000000000000001E-2"/>
    <n v="1937.15"/>
    <m/>
    <m/>
    <n v="600"/>
    <n v="80023.149999999994"/>
    <n v="1"/>
    <n v="80023.149999999994"/>
    <s v="12-400-00-700400-52105"/>
    <x v="0"/>
    <s v="400"/>
    <s v="00"/>
    <s v="700400"/>
    <s v="52105"/>
    <x v="0"/>
    <m/>
    <n v="18333.303664999999"/>
    <n v="4961.4352999999992"/>
    <n v="1160.335675"/>
    <n v="984.28474499999993"/>
    <n v="1513.0777201999999"/>
    <n v="140.04"/>
    <n v="140.04"/>
    <n v="79.2"/>
    <n v="79.2"/>
    <n v="23232"/>
    <n v="24164.764800000001"/>
    <n v="24164.764800000001"/>
    <n v="24384.004800000002"/>
    <n v="2400"/>
    <n v="2400"/>
    <n v="53736.441905200001"/>
    <n v="133759.59190519998"/>
    <s v="Romero Jalomo"/>
    <s v="Carla Johnson"/>
    <s v="Student Success &amp; Support Program (SSSP)"/>
    <s v="1 - CP_COORD - Rodriguez, Ariana"/>
  </r>
  <r>
    <n v="148"/>
    <s v="CSEA"/>
    <x v="115"/>
    <s v="PRGASST_II"/>
    <n v="1"/>
    <m/>
    <s v=" 31"/>
    <s v="E"/>
    <m/>
    <m/>
    <n v="71910"/>
    <n v="71910"/>
    <m/>
    <m/>
    <m/>
    <m/>
    <m/>
    <m/>
    <m/>
    <m/>
    <n v="600"/>
    <n v="72510"/>
    <n v="1"/>
    <n v="72510"/>
    <s v="12-400-00-700400-52105"/>
    <x v="0"/>
    <s v="400"/>
    <s v="00"/>
    <s v="700400"/>
    <s v="52105"/>
    <x v="0"/>
    <m/>
    <n v="16612.041000000001"/>
    <n v="4495.62"/>
    <n v="1051.395"/>
    <n v="891.87300000000005"/>
    <n v="1371.01908"/>
    <n v="140.04"/>
    <n v="140.04"/>
    <n v="79.2"/>
    <n v="79.2"/>
    <n v="13152"/>
    <n v="13680.052799999999"/>
    <n v="13680.052799999999"/>
    <n v="13899.292799999999"/>
    <m/>
    <n v="0"/>
    <n v="38321.240880000005"/>
    <n v="110831.24088"/>
    <s v="Romero Jalomo"/>
    <s v="Carla Johnson"/>
    <s v="Student Success &amp; Support Program (SSSP)"/>
    <s v="1 - PRGASST_II - Rodriguez, Ernesto"/>
  </r>
  <r>
    <n v="149"/>
    <s v="CSEA"/>
    <x v="116"/>
    <s v="FA_SPEC"/>
    <n v="1"/>
    <m/>
    <s v=" 31"/>
    <s v="E"/>
    <m/>
    <m/>
    <n v="71910"/>
    <n v="71910"/>
    <m/>
    <m/>
    <m/>
    <m/>
    <n v="0.05"/>
    <n v="3595.5"/>
    <m/>
    <m/>
    <n v="600"/>
    <n v="76105.5"/>
    <n v="0.55000000000000004"/>
    <n v="41858.025000000001"/>
    <s v="11-420-00-646000-52105"/>
    <x v="1"/>
    <s v="420"/>
    <s v="00"/>
    <s v="646000"/>
    <s v="52105"/>
    <x v="0"/>
    <m/>
    <n v="9589.673527500001"/>
    <n v="2595.1975499999999"/>
    <n v="606.94136250000008"/>
    <n v="514.85370750000004"/>
    <n v="791.45153670000013"/>
    <n v="140.04"/>
    <n v="77.022000000000006"/>
    <n v="79.2"/>
    <n v="43.56"/>
    <n v="25452.6"/>
    <n v="26474.521889999996"/>
    <n v="14560.9870395"/>
    <n v="14681.5690395"/>
    <m/>
    <n v="0"/>
    <n v="28779.686723700001"/>
    <n v="70637.711723700006"/>
    <m/>
    <m/>
    <m/>
    <s v="0.55 - FA_SPEC - Romero, Melissa"/>
  </r>
  <r>
    <n v="150"/>
    <s v="CSEA"/>
    <x v="116"/>
    <s v="FA_SPEC"/>
    <n v="1"/>
    <m/>
    <s v=" 31"/>
    <s v="E"/>
    <m/>
    <m/>
    <n v="71910"/>
    <n v="71910"/>
    <m/>
    <m/>
    <m/>
    <m/>
    <m/>
    <m/>
    <m/>
    <m/>
    <n v="600"/>
    <n v="72510"/>
    <n v="0.45"/>
    <n v="32629.5"/>
    <s v="12-420-00-700600-52105"/>
    <x v="0"/>
    <s v="420"/>
    <s v="00"/>
    <s v="700600"/>
    <s v="52105"/>
    <x v="0"/>
    <m/>
    <n v="7475.4184500000001"/>
    <n v="2023.029"/>
    <n v="473.12775000000005"/>
    <n v="401.34285"/>
    <n v="616.95858600000008"/>
    <n v="140.04"/>
    <n v="63.018000000000001"/>
    <n v="79.2"/>
    <n v="35.64"/>
    <n v="25452.6"/>
    <n v="26474.521889999996"/>
    <n v="11913.534850499998"/>
    <n v="12012.192850499998"/>
    <m/>
    <n v="0"/>
    <n v="23002.069486499997"/>
    <n v="55631.569486499997"/>
    <s v="Romero Jalomo"/>
    <s v="Marina Reyes"/>
    <s v="Student Financial Aid Administration (SFAA)"/>
    <s v="0.45 - FA_SPEC - Romero, Melissa"/>
  </r>
  <r>
    <n v="151"/>
    <s v="CSEA"/>
    <x v="117"/>
    <s v="PROGASST_I"/>
    <n v="1"/>
    <m/>
    <s v=" 26"/>
    <s v="E"/>
    <m/>
    <m/>
    <n v="63557"/>
    <n v="63557"/>
    <m/>
    <m/>
    <m/>
    <m/>
    <m/>
    <m/>
    <m/>
    <m/>
    <n v="600"/>
    <n v="64157"/>
    <n v="0.5"/>
    <n v="32078.5"/>
    <s v="71-400-00-000000-52105"/>
    <x v="4"/>
    <s v="400"/>
    <s v="00"/>
    <s v="000000"/>
    <s v="52105"/>
    <x v="0"/>
    <m/>
    <n v="7349.1843499999995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07.303727999999"/>
    <n v="60385.803727999999"/>
    <m/>
    <m/>
    <m/>
    <s v="0.5 - PROGASST_I - To be hired - VACANT (Ruiz, Selso H)"/>
  </r>
  <r>
    <n v="152"/>
    <s v="CSEA"/>
    <x v="117"/>
    <s v="PROGASST_I"/>
    <n v="1"/>
    <m/>
    <s v=" 26"/>
    <s v="E"/>
    <m/>
    <m/>
    <n v="63557"/>
    <n v="63557"/>
    <m/>
    <m/>
    <m/>
    <m/>
    <m/>
    <m/>
    <m/>
    <m/>
    <n v="600"/>
    <n v="64157"/>
    <n v="0.5"/>
    <n v="32078.5"/>
    <s v="11-400-00-696000-52105"/>
    <x v="1"/>
    <s v="400"/>
    <s v="00"/>
    <s v="696000"/>
    <s v="52105"/>
    <x v="0"/>
    <m/>
    <n v="7349.1843499999995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07.303727999999"/>
    <n v="60385.803727999999"/>
    <m/>
    <m/>
    <m/>
    <s v="0.5 - PROGASST_I - To be hired - VACANT (Ruiz, Selso H)"/>
  </r>
  <r>
    <n v="153"/>
    <s v="CSEA"/>
    <x v="118"/>
    <s v="AR_EVALTEC"/>
    <n v="1"/>
    <m/>
    <s v=" 24"/>
    <s v="E"/>
    <m/>
    <m/>
    <n v="60494"/>
    <n v="60494"/>
    <m/>
    <m/>
    <m/>
    <m/>
    <n v="0.1"/>
    <n v="6049.4000000000005"/>
    <m/>
    <m/>
    <n v="600"/>
    <n v="67143.399999999994"/>
    <n v="1"/>
    <n v="67143.399999999994"/>
    <s v="11-410-00-620000-52105"/>
    <x v="1"/>
    <s v="410"/>
    <s v="00"/>
    <s v="620000"/>
    <s v="52105"/>
    <x v="0"/>
    <m/>
    <n v="15382.552939999998"/>
    <n v="4162.8907999999992"/>
    <n v="973.57929999999999"/>
    <n v="825.86381999999992"/>
    <n v="1269.5474072"/>
    <n v="140.04"/>
    <n v="140.04"/>
    <n v="79.2"/>
    <n v="79.2"/>
    <n v="25452.6"/>
    <n v="26474.521889999996"/>
    <n v="26474.521889999996"/>
    <n v="26693.761889999998"/>
    <m/>
    <n v="0"/>
    <n v="49308.196157199993"/>
    <n v="116451.59615719999"/>
    <m/>
    <m/>
    <m/>
    <s v="1 - AR_EVALTEC - Ruiz-Camacho, Roberta"/>
  </r>
  <r>
    <n v="154"/>
    <s v="CSEA"/>
    <x v="119"/>
    <s v="LDPROGCOOR"/>
    <n v="1"/>
    <m/>
    <s v=" 34"/>
    <s v="E"/>
    <m/>
    <m/>
    <n v="77440"/>
    <n v="77440"/>
    <m/>
    <m/>
    <m/>
    <m/>
    <n v="2.5000000000000001E-2"/>
    <n v="1936"/>
    <m/>
    <n v="0"/>
    <n v="1200"/>
    <n v="80576"/>
    <n v="0.7"/>
    <n v="56403.199999999997"/>
    <s v="11-335-00-601000-52105"/>
    <x v="1"/>
    <s v="335"/>
    <s v="00"/>
    <s v="601000"/>
    <s v="52105"/>
    <x v="0"/>
    <m/>
    <n v="12921.973119999999"/>
    <n v="3496.9983999999999"/>
    <n v="817.84640000000002"/>
    <n v="693.75936000000002"/>
    <n v="1066.4717056"/>
    <n v="140.04"/>
    <n v="98.027999999999992"/>
    <n v="79.2"/>
    <n v="55.44"/>
    <n v="33444"/>
    <n v="34786.776599999997"/>
    <n v="24350.743619999997"/>
    <n v="24504.211619999998"/>
    <m/>
    <n v="0"/>
    <n v="43501.260605599993"/>
    <n v="99904.46060559999"/>
    <m/>
    <m/>
    <m/>
    <s v="0.7 - LDPROGCOOR - Saechao-Jimmey, Belinda"/>
  </r>
  <r>
    <n v="155"/>
    <s v="CSEA"/>
    <x v="119"/>
    <s v="LDPROGCOOR"/>
    <n v="1"/>
    <m/>
    <s v=" 34"/>
    <s v="E"/>
    <m/>
    <m/>
    <n v="77440"/>
    <n v="77440"/>
    <m/>
    <m/>
    <m/>
    <m/>
    <n v="2.5000000000000001E-2"/>
    <n v="1936"/>
    <m/>
    <n v="0"/>
    <n v="1200"/>
    <n v="80576"/>
    <n v="0.3"/>
    <n v="24172.799999999999"/>
    <s v="12-335-00-703916-52105"/>
    <x v="0"/>
    <s v="335"/>
    <s v="00"/>
    <s v="703916"/>
    <s v="52105"/>
    <x v="0"/>
    <m/>
    <n v="5537.98848"/>
    <n v="1498.7136"/>
    <n v="350.50560000000002"/>
    <n v="297.32544000000001"/>
    <n v="457.05930240000004"/>
    <n v="140.04"/>
    <n v="42.011999999999993"/>
    <n v="79.2"/>
    <n v="23.76"/>
    <n v="33444"/>
    <n v="34786.776599999997"/>
    <n v="10436.032979999998"/>
    <n v="10501.804979999999"/>
    <m/>
    <n v="0"/>
    <n v="18643.397402399998"/>
    <n v="42816.197402399994"/>
    <s v="Cathryn Wilkinson"/>
    <s v="Debra Kaczmar"/>
    <s v="Nursing Education"/>
    <s v="0.3 - LDPROGCOOR - Saechao-Jimmey, Belinda"/>
  </r>
  <r>
    <n v="156"/>
    <s v="CSEA"/>
    <x v="120"/>
    <s v="CP_COORD"/>
    <n v="1"/>
    <d v="2021-10-01T00:00:00"/>
    <s v=" 36"/>
    <s v="C"/>
    <n v="18450"/>
    <s v="D"/>
    <n v="58113"/>
    <n v="76563"/>
    <m/>
    <m/>
    <m/>
    <m/>
    <n v="0.1"/>
    <n v="7656.3"/>
    <m/>
    <m/>
    <n v="2400"/>
    <n v="86619.3"/>
    <n v="0.2"/>
    <n v="17323.86"/>
    <s v="11-373-00-601000-52105"/>
    <x v="1"/>
    <s v="373"/>
    <s v="00"/>
    <s v="601000"/>
    <s v="52105"/>
    <x v="0"/>
    <m/>
    <n v="3968.896326"/>
    <n v="1074.0793200000001"/>
    <n v="251.19597000000002"/>
    <n v="213.08347800000001"/>
    <n v="327.55954488000003"/>
    <n v="140.04"/>
    <n v="28.007999999999999"/>
    <n v="79.2"/>
    <n v="15.840000000000002"/>
    <n v="17424"/>
    <n v="18123.5736"/>
    <n v="3624.7147199999999"/>
    <n v="3668.5627199999999"/>
    <n v="2400"/>
    <n v="480"/>
    <n v="9983.3773588799995"/>
    <n v="27307.23735888"/>
    <m/>
    <m/>
    <m/>
    <s v="0.2 - CP_COORD - Salgado, Fanny"/>
  </r>
  <r>
    <n v="157"/>
    <s v="CSEA"/>
    <x v="120"/>
    <s v="CP_COORD"/>
    <n v="1"/>
    <d v="2021-10-01T00:00:00"/>
    <s v=" 36"/>
    <s v="C"/>
    <n v="18450"/>
    <s v="D"/>
    <n v="58113"/>
    <n v="76563"/>
    <m/>
    <m/>
    <m/>
    <m/>
    <n v="0.1"/>
    <n v="7656.3"/>
    <m/>
    <m/>
    <n v="2400"/>
    <n v="86619.3"/>
    <n v="0.8"/>
    <n v="69295.44"/>
    <s v="12-365-00-707723-52105"/>
    <x v="0"/>
    <s v="365"/>
    <s v="00"/>
    <s v="707723"/>
    <s v="52105"/>
    <x v="0"/>
    <m/>
    <n v="15875.585304"/>
    <n v="4296.3172800000002"/>
    <n v="1004.7838800000001"/>
    <n v="852.33391200000005"/>
    <n v="1310.2381795200001"/>
    <n v="140.04"/>
    <n v="112.032"/>
    <n v="79.2"/>
    <n v="63.360000000000007"/>
    <n v="17424"/>
    <n v="18123.5736"/>
    <n v="14498.85888"/>
    <n v="14674.25088"/>
    <n v="2400"/>
    <n v="1920"/>
    <n v="39933.509435519998"/>
    <n v="109228.94943552"/>
    <s v="Cathryn Wilkinson"/>
    <s v="Ana Gonzalez"/>
    <s v="Adult Education - Hartnell"/>
    <s v="0.8 - CP_COORD - Salgado, Fanny"/>
  </r>
  <r>
    <n v="158"/>
    <s v="CSEA"/>
    <x v="121"/>
    <s v="PRGASST_II"/>
    <n v="1"/>
    <d v="2021-11-01T00:00:00"/>
    <s v=" 31"/>
    <s v="D"/>
    <n v="22828"/>
    <s v="E"/>
    <n v="47944"/>
    <n v="70772"/>
    <m/>
    <m/>
    <m/>
    <m/>
    <m/>
    <m/>
    <m/>
    <m/>
    <n v="600"/>
    <n v="71372"/>
    <n v="1"/>
    <n v="71372"/>
    <s v="12-304-00-703404-52105"/>
    <x v="0"/>
    <s v="304"/>
    <s v="00"/>
    <s v="703404"/>
    <s v="52105"/>
    <x v="0"/>
    <m/>
    <n v="16351.325199999999"/>
    <n v="4425.0640000000003"/>
    <n v="1034.894"/>
    <n v="877.87559999999996"/>
    <n v="1349.5017760000001"/>
    <n v="140.04"/>
    <n v="140.04"/>
    <n v="79.2"/>
    <n v="79.2"/>
    <n v="7584"/>
    <n v="7888.4975999999997"/>
    <n v="7888.4975999999997"/>
    <n v="8107.7375999999995"/>
    <n v="2400"/>
    <n v="2400"/>
    <n v="34546.398176000002"/>
    <n v="105918.398176"/>
    <s v="Cathryn Wilkinson"/>
    <s v="Julie Stephens-Carrillo"/>
    <s v="Foundation - NASA SEMAA"/>
    <s v="1 - PRGASST_II - Sanchez, Leticia"/>
  </r>
  <r>
    <n v="159"/>
    <s v="CSEA"/>
    <x v="122"/>
    <s v="ADMASSTIII"/>
    <n v="1"/>
    <m/>
    <s v=" 23"/>
    <s v="E"/>
    <m/>
    <m/>
    <n v="59019"/>
    <n v="59019"/>
    <m/>
    <m/>
    <m/>
    <m/>
    <n v="7.4999999999999997E-2"/>
    <n v="4426.4250000000002"/>
    <m/>
    <m/>
    <n v="600"/>
    <n v="64045.425000000003"/>
    <n v="1"/>
    <n v="64045.425000000003"/>
    <s v="11-350-01-601000-52105"/>
    <x v="1"/>
    <s v="350"/>
    <s v="01"/>
    <s v="601000"/>
    <s v="52105"/>
    <x v="0"/>
    <m/>
    <n v="14672.806867500001"/>
    <n v="3970.8163500000001"/>
    <n v="928.6586625000001"/>
    <n v="787.75872750000008"/>
    <n v="1210.9708959000002"/>
    <n v="140.04"/>
    <n v="140.04"/>
    <n v="79.2"/>
    <n v="79.2"/>
    <n v="13152"/>
    <n v="13680.052799999999"/>
    <n v="13680.052799999999"/>
    <n v="13899.292799999999"/>
    <m/>
    <n v="0"/>
    <n v="35470.304303400007"/>
    <n v="99515.729303400003"/>
    <m/>
    <m/>
    <m/>
    <s v="1 - ADMASSTIII - Sanchez, Lourdes"/>
  </r>
  <r>
    <n v="160"/>
    <s v="CSEA"/>
    <x v="123"/>
    <s v="AR_EVALTEC"/>
    <n v="1"/>
    <m/>
    <s v=" 24"/>
    <s v="E"/>
    <m/>
    <m/>
    <n v="60494"/>
    <n v="60494"/>
    <m/>
    <m/>
    <m/>
    <m/>
    <m/>
    <m/>
    <m/>
    <m/>
    <m/>
    <n v="60494"/>
    <n v="1"/>
    <n v="60494"/>
    <s v="12-400-00-700400-52105"/>
    <x v="0"/>
    <s v="400"/>
    <s v="00"/>
    <s v="700400"/>
    <s v="52105"/>
    <x v="0"/>
    <m/>
    <n v="13859.1754"/>
    <n v="3750.6280000000002"/>
    <n v="877.16300000000001"/>
    <n v="744.07619999999997"/>
    <n v="1143.8205520000001"/>
    <n v="140.04"/>
    <n v="140.04"/>
    <n v="79.2"/>
    <n v="79.2"/>
    <n v="25452.6"/>
    <n v="26474.521889999996"/>
    <n v="26474.521889999996"/>
    <n v="26693.761889999998"/>
    <m/>
    <n v="0"/>
    <n v="47068.625042"/>
    <n v="107562.625042"/>
    <s v="Romero Jalomo"/>
    <s v="Carla Johnson"/>
    <s v="Student Success &amp; Support Program (SSSP)"/>
    <s v="1 - AR_EVALTEC - Sanchez, Robert"/>
  </r>
  <r>
    <n v="161"/>
    <s v="CSEA"/>
    <x v="124"/>
    <s v="PRGASST_II"/>
    <n v="1"/>
    <m/>
    <s v=" 31"/>
    <s v="E"/>
    <m/>
    <m/>
    <n v="71910"/>
    <n v="71910"/>
    <m/>
    <m/>
    <m/>
    <m/>
    <m/>
    <m/>
    <m/>
    <m/>
    <n v="600"/>
    <n v="72510"/>
    <n v="1"/>
    <n v="72510"/>
    <s v="12-350-00-703975-52105"/>
    <x v="0"/>
    <s v="350"/>
    <s v="00"/>
    <s v="703975"/>
    <s v="52105"/>
    <x v="0"/>
    <m/>
    <n v="16612.041000000001"/>
    <n v="4495.62"/>
    <n v="1051.395"/>
    <n v="891.87300000000005"/>
    <n v="1371.01908"/>
    <n v="140.04"/>
    <n v="140.04"/>
    <n v="79.2"/>
    <n v="79.2"/>
    <n v="17424"/>
    <n v="18123.5736"/>
    <n v="18123.5736"/>
    <n v="18342.813600000001"/>
    <n v="2400"/>
    <n v="2400"/>
    <n v="45164.761680000003"/>
    <n v="117674.76168"/>
    <s v="Cathryn Wilkinson"/>
    <s v="Mindy Sanchez-Ryan"/>
    <s v="Innovation Award"/>
    <s v="1 - PRGASST_II - Sanchez-Ryan, Mindy"/>
  </r>
  <r>
    <n v="162"/>
    <s v="CSEA"/>
    <x v="125"/>
    <s v="ACCT_TECH"/>
    <n v="1"/>
    <m/>
    <s v=" 25"/>
    <s v="E"/>
    <m/>
    <m/>
    <n v="62008"/>
    <n v="62008"/>
    <m/>
    <m/>
    <m/>
    <m/>
    <m/>
    <m/>
    <m/>
    <m/>
    <n v="600"/>
    <n v="62608"/>
    <n v="1"/>
    <n v="62608"/>
    <s v="11-210-00-672040-52105"/>
    <x v="1"/>
    <s v="210"/>
    <s v="00"/>
    <s v="672040"/>
    <s v="52105"/>
    <x v="0"/>
    <m/>
    <n v="14343.4928"/>
    <n v="3881.6959999999999"/>
    <n v="907.81600000000003"/>
    <n v="770.07839999999999"/>
    <n v="1183.792064"/>
    <n v="140.04"/>
    <n v="140.04"/>
    <n v="79.2"/>
    <n v="79.2"/>
    <n v="23232"/>
    <n v="24164.764800000001"/>
    <n v="24164.764800000001"/>
    <n v="24384.004800000002"/>
    <n v="2400"/>
    <n v="2400"/>
    <n v="47870.880063999997"/>
    <n v="110478.880064"/>
    <m/>
    <m/>
    <m/>
    <s v="1 - ACCT_TECH - Santana, Jennifer"/>
  </r>
  <r>
    <n v="163"/>
    <s v="CSEA"/>
    <x v="126"/>
    <s v="ESERV_SPEC"/>
    <n v="1"/>
    <d v="2022-05-01T00:00:00"/>
    <s v=" 26"/>
    <s v="D"/>
    <n v="50440"/>
    <s v="E"/>
    <n v="10592"/>
    <n v="61032"/>
    <m/>
    <m/>
    <m/>
    <m/>
    <m/>
    <m/>
    <m/>
    <m/>
    <m/>
    <n v="61032"/>
    <n v="0.5"/>
    <n v="30516"/>
    <s v="11-410-00-620000-52105"/>
    <x v="1"/>
    <s v="410"/>
    <s v="00"/>
    <s v="620000"/>
    <s v="52105"/>
    <x v="0"/>
    <m/>
    <n v="6991.2155999999995"/>
    <n v="1891.992"/>
    <n v="442.48200000000003"/>
    <n v="375.34680000000003"/>
    <n v="576.99652800000001"/>
    <n v="140.04"/>
    <n v="70.02"/>
    <n v="79.2"/>
    <n v="39.6"/>
    <n v="8820"/>
    <n v="9174.1229999999996"/>
    <n v="4587.0614999999998"/>
    <n v="4696.6814999999997"/>
    <n v="2400"/>
    <n v="1200"/>
    <n v="16174.714427999999"/>
    <n v="46690.714427999999"/>
    <m/>
    <m/>
    <m/>
    <s v="0.5 - ESERV_SPEC - Serrano, Ramon"/>
  </r>
  <r>
    <n v="164"/>
    <s v="CSEA"/>
    <x v="126"/>
    <s v="ESERV_SPEC"/>
    <n v="1"/>
    <d v="2022-05-01T00:00:00"/>
    <s v=" 26"/>
    <s v="D"/>
    <n v="50440"/>
    <s v="E"/>
    <n v="10592"/>
    <n v="61032"/>
    <m/>
    <m/>
    <m/>
    <m/>
    <m/>
    <m/>
    <m/>
    <m/>
    <m/>
    <n v="61032"/>
    <n v="0.5"/>
    <n v="30516"/>
    <s v="11-420-00-646000-52105"/>
    <x v="1"/>
    <s v="420"/>
    <s v="00"/>
    <s v="646000"/>
    <s v="52105"/>
    <x v="0"/>
    <m/>
    <n v="6991.2155999999995"/>
    <n v="1891.992"/>
    <n v="442.48200000000003"/>
    <n v="375.34680000000003"/>
    <n v="576.99652800000001"/>
    <n v="140.04"/>
    <n v="70.02"/>
    <n v="79.2"/>
    <n v="39.6"/>
    <n v="8820"/>
    <n v="9174.1229999999996"/>
    <n v="4587.0614999999998"/>
    <n v="4696.6814999999997"/>
    <n v="2400"/>
    <n v="1200"/>
    <n v="16174.714427999999"/>
    <n v="46690.714427999999"/>
    <m/>
    <m/>
    <m/>
    <s v="0.5 - ESERV_SPEC - Serrano, Ramon"/>
  </r>
  <r>
    <n v="165"/>
    <s v="CSEA"/>
    <x v="127"/>
    <s v="ADMASSTIII"/>
    <n v="1"/>
    <d v="2021-08-01T00:00:00"/>
    <s v=" 23"/>
    <s v="C"/>
    <n v="4461"/>
    <s v="D"/>
    <n v="51524"/>
    <n v="55985"/>
    <m/>
    <m/>
    <m/>
    <m/>
    <m/>
    <m/>
    <m/>
    <m/>
    <n v="600"/>
    <n v="56585"/>
    <n v="1"/>
    <n v="56585"/>
    <s v="11-120-02-601000-52105"/>
    <x v="1"/>
    <s v="120"/>
    <s v="02"/>
    <s v="601000"/>
    <s v="52105"/>
    <x v="0"/>
    <m/>
    <n v="12963.6235"/>
    <n v="3508.27"/>
    <n v="820.48250000000007"/>
    <n v="695.99549999999999"/>
    <n v="1069.9091800000001"/>
    <n v="140.04"/>
    <n v="140.04"/>
    <n v="79.2"/>
    <n v="79.2"/>
    <n v="33444"/>
    <n v="34786.776599999997"/>
    <n v="34786.776599999997"/>
    <n v="35006.016599999995"/>
    <m/>
    <n v="0"/>
    <n v="54064.297279999999"/>
    <n v="110649.29728"/>
    <m/>
    <m/>
    <m/>
    <s v="1 - ADMASSTIII - Silveira, Carolina"/>
  </r>
  <r>
    <n v="166"/>
    <s v="CSEA"/>
    <x v="128"/>
    <s v="ADM_ASSTII"/>
    <n v="1"/>
    <m/>
    <s v=" 20"/>
    <s v="E"/>
    <m/>
    <m/>
    <n v="54807"/>
    <n v="54807"/>
    <m/>
    <m/>
    <m/>
    <m/>
    <m/>
    <m/>
    <m/>
    <m/>
    <m/>
    <n v="54807"/>
    <n v="1"/>
    <n v="54807"/>
    <s v="11-210-00-672010-52105"/>
    <x v="1"/>
    <s v="210"/>
    <s v="00"/>
    <s v="672010"/>
    <s v="52105"/>
    <x v="0"/>
    <m/>
    <n v="12556.2837"/>
    <n v="3398.0340000000001"/>
    <n v="794.70150000000001"/>
    <n v="674.12610000000006"/>
    <n v="1036.2907560000001"/>
    <n v="140.04"/>
    <n v="140.04"/>
    <n v="79.2"/>
    <n v="79.2"/>
    <n v="13152"/>
    <n v="13680.052799999999"/>
    <n v="13680.052799999999"/>
    <n v="13899.292799999999"/>
    <m/>
    <n v="0"/>
    <n v="32358.728856000002"/>
    <n v="87165.728856000002"/>
    <m/>
    <m/>
    <m/>
    <s v="1 - ADM_ASSTII - Silveira, Julia"/>
  </r>
  <r>
    <n v="167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375"/>
    <n v="24879.721875000003"/>
    <s v="11-410-00-620000-52105"/>
    <x v="1"/>
    <s v="410"/>
    <s v="00"/>
    <s v="620000"/>
    <s v="52105"/>
    <x v="0"/>
    <m/>
    <n v="5699.9442815625007"/>
    <n v="1542.5427562500001"/>
    <n v="360.75596718750006"/>
    <n v="306.02057906250002"/>
    <n v="470.42578121250011"/>
    <n v="140.04"/>
    <n v="52.515000000000001"/>
    <n v="79.2"/>
    <n v="29.700000000000003"/>
    <n v="13152"/>
    <n v="13680.052799999999"/>
    <n v="5130.0198"/>
    <n v="5212.2348000000002"/>
    <m/>
    <n v="0"/>
    <n v="13591.924165275001"/>
    <n v="38471.646040275002"/>
    <m/>
    <m/>
    <m/>
    <s v="0.375 - ESERV_SPEC - Suarez, Imelda"/>
  </r>
  <r>
    <n v="168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25"/>
    <n v="16586.481250000001"/>
    <s v="12-400-00-700400-52105"/>
    <x v="0"/>
    <s v="400"/>
    <s v="00"/>
    <s v="700400"/>
    <s v="52105"/>
    <x v="0"/>
    <m/>
    <n v="3799.962854375"/>
    <n v="1028.3618375000001"/>
    <n v="240.50397812500003"/>
    <n v="204.01371937500002"/>
    <n v="313.61718747500004"/>
    <n v="140.04"/>
    <n v="35.01"/>
    <n v="79.2"/>
    <n v="19.8"/>
    <n v="13152"/>
    <n v="13680.052799999999"/>
    <n v="3420.0131999999999"/>
    <n v="3474.8231999999998"/>
    <m/>
    <n v="0"/>
    <n v="9061.2827768499992"/>
    <n v="25647.76402685"/>
    <s v="Romero Jalomo"/>
    <s v="Carla Johnson"/>
    <s v="Student Success &amp; Support Program (SSSP)"/>
    <s v="0.25 - ESERV_SPEC - Suarez, Imelda"/>
  </r>
  <r>
    <n v="169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375"/>
    <n v="24879.721875000003"/>
    <s v="12-420-00-700600-52105"/>
    <x v="0"/>
    <s v="420"/>
    <s v="00"/>
    <s v="700600"/>
    <s v="52105"/>
    <x v="0"/>
    <m/>
    <n v="5699.9442815625007"/>
    <n v="1542.5427562500001"/>
    <n v="360.75596718750006"/>
    <n v="306.02057906250002"/>
    <n v="470.42578121250011"/>
    <n v="140.04"/>
    <n v="52.515000000000001"/>
    <n v="79.2"/>
    <n v="29.700000000000003"/>
    <n v="13152"/>
    <n v="13680.052799999999"/>
    <n v="5130.0198"/>
    <n v="5212.2348000000002"/>
    <m/>
    <n v="0"/>
    <n v="13591.924165275001"/>
    <n v="38471.646040275002"/>
    <s v="Romero Jalomo"/>
    <s v="Marina Reyes"/>
    <s v="Student Financial Aid Administration (SFAA)"/>
    <s v="0.375 - ESERV_SPEC - Suarez, Imelda"/>
  </r>
  <r>
    <n v="170"/>
    <s v="CSEA"/>
    <x v="130"/>
    <s v="ADMASSTIII"/>
    <n v="1"/>
    <m/>
    <s v=" 23"/>
    <s v="E"/>
    <m/>
    <m/>
    <n v="59019"/>
    <n v="59019"/>
    <m/>
    <m/>
    <m/>
    <m/>
    <n v="0.1"/>
    <n v="5901.9000000000005"/>
    <m/>
    <n v="0"/>
    <n v="1200"/>
    <n v="66120.899999999994"/>
    <n v="1"/>
    <n v="66120.899999999994"/>
    <s v="46-000-00-801000-52105"/>
    <x v="3"/>
    <s v="000"/>
    <s v="00"/>
    <s v="801000"/>
    <s v="52105"/>
    <x v="0"/>
    <m/>
    <n v="15148.298189999998"/>
    <n v="4099.4957999999997"/>
    <n v="958.75304999999992"/>
    <n v="813.28706999999997"/>
    <n v="1250.2139772"/>
    <n v="140.04"/>
    <n v="140.04"/>
    <n v="79.2"/>
    <n v="79.2"/>
    <n v="33444"/>
    <n v="34786.776599999997"/>
    <n v="34786.776599999997"/>
    <n v="35006.016599999995"/>
    <m/>
    <n v="0"/>
    <n v="57276.064687199992"/>
    <n v="123396.96468719999"/>
    <m/>
    <m/>
    <m/>
    <s v="1 - ADMASSTIII - Suarez, Martha"/>
  </r>
  <r>
    <n v="171"/>
    <s v="CSEA"/>
    <x v="131"/>
    <s v="ACCT_SPEC"/>
    <n v="1"/>
    <m/>
    <s v=" 27"/>
    <s v="E"/>
    <m/>
    <m/>
    <n v="65147"/>
    <n v="65147"/>
    <m/>
    <m/>
    <m/>
    <m/>
    <n v="0.05"/>
    <n v="3257.3500000000004"/>
    <m/>
    <m/>
    <m/>
    <n v="68404.350000000006"/>
    <n v="1"/>
    <n v="68404.350000000006"/>
    <s v="11-210-00-672010-52105"/>
    <x v="1"/>
    <s v="210"/>
    <s v="00"/>
    <s v="672010"/>
    <s v="52105"/>
    <x v="0"/>
    <m/>
    <n v="15671.436585000001"/>
    <n v="4241.0697"/>
    <n v="991.86307500000009"/>
    <n v="841.37350500000014"/>
    <n v="1293.3894498000002"/>
    <n v="140.04"/>
    <n v="140.04"/>
    <n v="79.2"/>
    <n v="79.2"/>
    <n v="25452.6"/>
    <n v="26474.521889999996"/>
    <n v="26474.521889999996"/>
    <n v="26693.761889999998"/>
    <m/>
    <n v="0"/>
    <n v="49732.894204800003"/>
    <n v="118137.24420480001"/>
    <m/>
    <m/>
    <m/>
    <s v="1 - ACCT_SPEC - Summers, Kris Tina"/>
  </r>
  <r>
    <n v="173"/>
    <s v="CSEA"/>
    <x v="132"/>
    <s v="PRGASST_II"/>
    <n v="1"/>
    <m/>
    <s v=" 31"/>
    <s v="E"/>
    <m/>
    <m/>
    <n v="71910"/>
    <n v="71910"/>
    <m/>
    <m/>
    <m/>
    <m/>
    <n v="7.4999999999999997E-2"/>
    <n v="5393.25"/>
    <m/>
    <m/>
    <n v="1200"/>
    <n v="78503.25"/>
    <n v="0.55000000000000004"/>
    <n v="43176.787500000006"/>
    <s v="12-430-00-700500-52105"/>
    <x v="0"/>
    <s v="430"/>
    <s v="00"/>
    <s v="700500"/>
    <s v="52105"/>
    <x v="0"/>
    <m/>
    <n v="9891.8020162500015"/>
    <n v="2676.9608250000006"/>
    <n v="626.0634187500001"/>
    <n v="531.07448625000006"/>
    <n v="816.38669805000018"/>
    <n v="140.04"/>
    <n v="77.022000000000006"/>
    <n v="79.2"/>
    <n v="43.56"/>
    <n v="17424"/>
    <n v="18123.5736"/>
    <n v="9967.9654800000008"/>
    <n v="10088.547480000001"/>
    <n v="2400"/>
    <n v="1320"/>
    <n v="25950.834924300005"/>
    <n v="69127.622424300003"/>
    <s v="Romero Jalomo"/>
    <s v="Paul Casey"/>
    <s v="Extended Opportunity Programs and Services (EOPS)"/>
    <s v="0.55 - PRGASST_II - Tapia, Marlene"/>
  </r>
  <r>
    <n v="174"/>
    <s v="CSEA"/>
    <x v="132"/>
    <s v="PRGASST_II"/>
    <n v="1"/>
    <m/>
    <s v=" 31"/>
    <s v="E"/>
    <m/>
    <m/>
    <n v="71910"/>
    <n v="71910"/>
    <m/>
    <m/>
    <m/>
    <m/>
    <n v="7.4999999999999997E-2"/>
    <n v="5393.25"/>
    <m/>
    <m/>
    <n v="1200"/>
    <n v="78503.25"/>
    <n v="0.45"/>
    <n v="35326.462500000001"/>
    <s v="12-400-00-704700-52105"/>
    <x v="0"/>
    <s v="400"/>
    <s v="00"/>
    <s v="704700"/>
    <s v="52105"/>
    <x v="0"/>
    <m/>
    <n v="8093.2925587500004"/>
    <n v="2190.240675"/>
    <n v="512.23370625000007"/>
    <n v="434.51548875000003"/>
    <n v="667.9527529500001"/>
    <n v="140.04"/>
    <n v="63.018000000000001"/>
    <n v="79.2"/>
    <n v="35.64"/>
    <n v="17424"/>
    <n v="18123.5736"/>
    <n v="8155.6081199999999"/>
    <n v="8254.2661200000002"/>
    <n v="2400"/>
    <n v="1080"/>
    <n v="21232.501301700002"/>
    <n v="56558.963801700003"/>
    <s v="Romero Jalomo"/>
    <s v="Paul Casey"/>
    <s v="California Work Opportunity and Responsibility to Kids (CalWORKs)"/>
    <s v="0.45 - PRGASST_II - Tapia, Marlene"/>
  </r>
  <r>
    <n v="175"/>
    <s v="CSEA"/>
    <x v="133"/>
    <s v="IR_ANALYST"/>
    <n v="1"/>
    <m/>
    <s v=" 38"/>
    <s v="E"/>
    <m/>
    <m/>
    <n v="85479"/>
    <n v="85479"/>
    <m/>
    <m/>
    <m/>
    <m/>
    <m/>
    <m/>
    <m/>
    <m/>
    <m/>
    <n v="85479"/>
    <n v="1"/>
    <n v="85479"/>
    <s v="11-150-00-663000-52105"/>
    <x v="1"/>
    <s v="150"/>
    <s v="00"/>
    <s v="663000"/>
    <s v="52105"/>
    <x v="0"/>
    <m/>
    <n v="19583.2389"/>
    <n v="5299.6980000000003"/>
    <n v="1239.4455"/>
    <n v="1051.3917000000001"/>
    <n v="1616.236932"/>
    <n v="140.04"/>
    <n v="140.04"/>
    <n v="79.2"/>
    <n v="79.2"/>
    <n v="25452.6"/>
    <n v="26474.521889999996"/>
    <n v="26474.521889999996"/>
    <n v="26693.761889999998"/>
    <m/>
    <n v="0"/>
    <n v="55483.772922000004"/>
    <n v="140962.772922"/>
    <m/>
    <m/>
    <m/>
    <s v="1 - IR_ANALYST - Ting, Layheng"/>
  </r>
  <r>
    <n v="176"/>
    <s v="CSEA"/>
    <x v="134"/>
    <s v="ACCT_ASST"/>
    <n v="1"/>
    <m/>
    <s v=" 21"/>
    <s v="E"/>
    <m/>
    <m/>
    <n v="56176"/>
    <n v="56176"/>
    <m/>
    <m/>
    <m/>
    <m/>
    <m/>
    <m/>
    <m/>
    <m/>
    <n v="600"/>
    <n v="56776"/>
    <n v="1"/>
    <n v="56776"/>
    <s v="11-210-00-672010-52105"/>
    <x v="1"/>
    <s v="210"/>
    <s v="00"/>
    <s v="672010"/>
    <s v="52105"/>
    <x v="0"/>
    <m/>
    <n v="13007.381600000001"/>
    <n v="3520.1120000000001"/>
    <n v="823.25200000000007"/>
    <n v="698.34479999999996"/>
    <n v="1073.520608"/>
    <n v="140.04"/>
    <n v="140.04"/>
    <n v="79.2"/>
    <n v="79.2"/>
    <n v="25452.6"/>
    <n v="26474.521889999996"/>
    <n v="26474.521889999996"/>
    <n v="26693.761889999998"/>
    <m/>
    <n v="0"/>
    <n v="45816.372898000001"/>
    <n v="102592.372898"/>
    <m/>
    <m/>
    <m/>
    <s v="1 - ACCT_ASST - Trafton, Mary "/>
  </r>
  <r>
    <n v="177"/>
    <s v="CSEA"/>
    <x v="135"/>
    <s v="PROGASST_I"/>
    <n v="1"/>
    <d v="2021-12-01T00:00:00"/>
    <s v=" 26"/>
    <s v="D"/>
    <n v="25220"/>
    <s v="E"/>
    <n v="37072"/>
    <n v="62292"/>
    <m/>
    <m/>
    <m/>
    <m/>
    <m/>
    <m/>
    <m/>
    <m/>
    <n v="600"/>
    <n v="62892"/>
    <n v="0.4"/>
    <n v="25156.800000000003"/>
    <s v="12-365-00-700410-52105"/>
    <x v="0"/>
    <s v="365"/>
    <s v="00"/>
    <s v="700410"/>
    <s v="52105"/>
    <x v="0"/>
    <m/>
    <n v="5763.422880000001"/>
    <n v="1559.7216000000001"/>
    <n v="364.77360000000004"/>
    <n v="309.42864000000003"/>
    <n v="475.66477440000011"/>
    <n v="140.04"/>
    <n v="56.015999999999998"/>
    <n v="79.2"/>
    <n v="31.680000000000003"/>
    <n v="33444"/>
    <n v="34786.776599999997"/>
    <n v="13914.710639999999"/>
    <n v="14002.406639999999"/>
    <m/>
    <n v="0"/>
    <n v="22475.418134400003"/>
    <n v="47632.218134400006"/>
    <s v="Cathryn Wilkinson"/>
    <s v="Jainesh Singh"/>
    <s v="Student Equity Program"/>
    <s v="0.4 - PROGASST_I - Uribe, Dina N"/>
  </r>
  <r>
    <n v="178"/>
    <s v="CSEA"/>
    <x v="135"/>
    <s v="PROGASST_I"/>
    <n v="1"/>
    <d v="2021-12-01T00:00:00"/>
    <s v=" 26"/>
    <s v="D"/>
    <n v="25220"/>
    <s v="E"/>
    <n v="37072"/>
    <n v="62292"/>
    <m/>
    <m/>
    <m/>
    <m/>
    <m/>
    <m/>
    <m/>
    <m/>
    <n v="600"/>
    <n v="62892"/>
    <n v="0.6"/>
    <n v="37735.199999999997"/>
    <s v="12-365-00-707723-52105"/>
    <x v="0"/>
    <s v="365"/>
    <s v="00"/>
    <s v="707723"/>
    <s v="52105"/>
    <x v="0"/>
    <m/>
    <n v="8645.1343199999992"/>
    <n v="2339.5823999999998"/>
    <n v="547.16039999999998"/>
    <n v="464.14295999999996"/>
    <n v="713.49716160000003"/>
    <n v="140.04"/>
    <n v="84.023999999999987"/>
    <n v="79.2"/>
    <n v="47.52"/>
    <n v="33444"/>
    <n v="34786.776599999997"/>
    <n v="20872.065959999996"/>
    <n v="21003.609959999998"/>
    <m/>
    <n v="0"/>
    <n v="33713.127201599993"/>
    <n v="71448.327201599983"/>
    <s v="Cathryn Wilkinson"/>
    <s v="Ana Gonzalez"/>
    <s v="Adult Education - Hartnell"/>
    <s v="0.6 - PROGASST_I - Uribe, Dina N"/>
  </r>
  <r>
    <n v="179"/>
    <s v="CSEA"/>
    <x v="136"/>
    <s v="AR_TECH"/>
    <n v="1"/>
    <m/>
    <s v=" 18"/>
    <s v="E"/>
    <m/>
    <m/>
    <n v="52165"/>
    <n v="52165"/>
    <m/>
    <m/>
    <m/>
    <m/>
    <n v="0.05"/>
    <n v="2608.25"/>
    <m/>
    <n v="0"/>
    <n v="1200"/>
    <n v="55973.25"/>
    <n v="0.75"/>
    <n v="41979.9375"/>
    <s v="11-420-00-646021-52105"/>
    <x v="1"/>
    <s v="420"/>
    <s v="00"/>
    <s v="646021"/>
    <s v="52105"/>
    <x v="0"/>
    <m/>
    <n v="9617.6036812500006"/>
    <n v="2602.7561249999999"/>
    <n v="608.70909375000008"/>
    <n v="516.35323125000002"/>
    <n v="793.7566582500001"/>
    <n v="140.04"/>
    <n v="105.03"/>
    <n v="79.2"/>
    <n v="59.400000000000006"/>
    <n v="13152"/>
    <n v="13680.052799999999"/>
    <n v="10260.0396"/>
    <n v="10424.4696"/>
    <m/>
    <n v="0"/>
    <n v="24563.648389499998"/>
    <n v="66543.585889499998"/>
    <m/>
    <m/>
    <m/>
    <s v="0.75 - AR_TECH - Valles, Ana C"/>
  </r>
  <r>
    <n v="180"/>
    <s v="CSEA"/>
    <x v="136"/>
    <s v="AR_TECH"/>
    <n v="1"/>
    <m/>
    <s v=" 18"/>
    <s v="E"/>
    <m/>
    <m/>
    <n v="52165"/>
    <n v="52165"/>
    <m/>
    <m/>
    <m/>
    <m/>
    <m/>
    <m/>
    <m/>
    <m/>
    <n v="1200"/>
    <n v="53365"/>
    <n v="0.25"/>
    <n v="13341.25"/>
    <s v="12-420-00-700600-52105"/>
    <x v="0"/>
    <s v="420"/>
    <s v="00"/>
    <s v="700600"/>
    <s v="52105"/>
    <x v="0"/>
    <m/>
    <n v="3056.4803750000001"/>
    <n v="827.15750000000003"/>
    <n v="193.448125"/>
    <n v="164.097375"/>
    <n v="252.25635500000001"/>
    <n v="140.04"/>
    <n v="35.01"/>
    <n v="79.2"/>
    <n v="19.8"/>
    <n v="13152"/>
    <n v="13680.052799999999"/>
    <n v="3420.0131999999999"/>
    <n v="3474.8231999999998"/>
    <m/>
    <n v="0"/>
    <n v="7968.2629300000008"/>
    <n v="21309.512930000001"/>
    <s v="Romero Jalomo"/>
    <s v="Marina Reyes"/>
    <s v="Student Financial Aid Administration (SFAA)"/>
    <s v="0.25 - AR_TECH - Valles, Ana C"/>
  </r>
  <r>
    <n v="181"/>
    <s v="CSEA"/>
    <x v="137"/>
    <s v="FA_SPEC"/>
    <n v="1"/>
    <d v="2021-07-01T00:00:00"/>
    <s v=" 31"/>
    <s v="C"/>
    <m/>
    <m/>
    <n v="65225"/>
    <n v="65225"/>
    <m/>
    <m/>
    <m/>
    <m/>
    <m/>
    <m/>
    <m/>
    <m/>
    <n v="600"/>
    <n v="65825"/>
    <n v="1"/>
    <n v="65825"/>
    <s v="11-420-00-646000-52105"/>
    <x v="1"/>
    <s v="420"/>
    <s v="00"/>
    <s v="646000"/>
    <s v="52105"/>
    <x v="0"/>
    <m/>
    <n v="15080.5075"/>
    <n v="4081.15"/>
    <n v="954.46250000000009"/>
    <n v="809.64750000000004"/>
    <n v="1244.6191000000001"/>
    <n v="140.04"/>
    <n v="140.04"/>
    <n v="79.2"/>
    <n v="79.2"/>
    <n v="13152"/>
    <n v="13680.052799999999"/>
    <n v="13680.052799999999"/>
    <n v="13899.292799999999"/>
    <m/>
    <n v="0"/>
    <n v="36069.679400000001"/>
    <n v="101894.67939999999"/>
    <m/>
    <m/>
    <m/>
    <s v="1 - FA_SPEC - Vazquez, Cecila"/>
  </r>
  <r>
    <n v="182"/>
    <s v="CSEA"/>
    <x v="138"/>
    <s v="PRGASST_II"/>
    <n v="1"/>
    <m/>
    <s v=" 31"/>
    <s v="E"/>
    <m/>
    <m/>
    <n v="71910"/>
    <n v="71910"/>
    <m/>
    <m/>
    <m/>
    <m/>
    <m/>
    <m/>
    <m/>
    <m/>
    <n v="1200"/>
    <n v="73110"/>
    <n v="0.5"/>
    <n v="36555"/>
    <s v="11-395-00-635050-52105"/>
    <x v="1"/>
    <s v="395"/>
    <s v="00"/>
    <s v="635050"/>
    <s v="52105"/>
    <x v="0"/>
    <m/>
    <n v="8374.7505000000001"/>
    <n v="2266.41"/>
    <n v="530.04750000000001"/>
    <n v="449.62650000000002"/>
    <n v="691.18194000000005"/>
    <n v="140.04"/>
    <n v="70.02"/>
    <n v="79.2"/>
    <n v="39.6"/>
    <n v="33444"/>
    <n v="34786.776599999997"/>
    <n v="17393.388299999999"/>
    <n v="17503.008299999998"/>
    <m/>
    <n v="0"/>
    <n v="29815.024740000001"/>
    <n v="66370.024739999993"/>
    <m/>
    <m/>
    <m/>
    <s v="0.5 - PRGASST_II - Vazquez-Gonzalez, Miriam"/>
  </r>
  <r>
    <n v="183"/>
    <s v="CSEA"/>
    <x v="138"/>
    <s v="PRGASST_II"/>
    <n v="1"/>
    <m/>
    <s v=" 31"/>
    <s v="E"/>
    <m/>
    <m/>
    <n v="71910"/>
    <n v="71910"/>
    <m/>
    <m/>
    <m/>
    <m/>
    <m/>
    <m/>
    <m/>
    <m/>
    <n v="1200"/>
    <n v="73110"/>
    <n v="0.5"/>
    <n v="36555"/>
    <s v="11-395-00-635050-52105"/>
    <x v="1"/>
    <s v="395"/>
    <s v="00"/>
    <s v="635050"/>
    <s v="52105"/>
    <x v="0"/>
    <m/>
    <n v="8374.7505000000001"/>
    <n v="2266.41"/>
    <n v="530.04750000000001"/>
    <n v="449.62650000000002"/>
    <n v="691.18194000000005"/>
    <n v="140.04"/>
    <n v="70.02"/>
    <n v="79.2"/>
    <n v="39.6"/>
    <n v="33444"/>
    <n v="34786.776599999997"/>
    <n v="17393.388299999999"/>
    <n v="17503.008299999998"/>
    <m/>
    <n v="0"/>
    <n v="29815.024740000001"/>
    <n v="66370.024739999993"/>
    <s v="Romero Jalomo"/>
    <s v="Bronwyn Moreno"/>
    <s v="Catalyst Fund"/>
    <s v="0.5 - PRGASST_II - Vazquez-Gonzalez, Miriam"/>
  </r>
  <r>
    <n v="184"/>
    <s v="CSEA"/>
    <x v="139"/>
    <s v="LIBTECH_I"/>
    <n v="1"/>
    <m/>
    <s v=" 22"/>
    <s v="A"/>
    <m/>
    <m/>
    <n v="47373"/>
    <n v="47373"/>
    <m/>
    <m/>
    <m/>
    <m/>
    <m/>
    <m/>
    <m/>
    <m/>
    <m/>
    <n v="47373"/>
    <n v="0.7"/>
    <n v="33161.1"/>
    <s v="11-360-00-612000-52105"/>
    <x v="1"/>
    <s v="360"/>
    <s v="00"/>
    <s v="612000"/>
    <s v="52105"/>
    <x v="0"/>
    <m/>
    <n v="7597.2080099999994"/>
    <n v="2055.9881999999998"/>
    <n v="480.83595000000003"/>
    <n v="407.88153"/>
    <n v="627.01007879999997"/>
    <n v="140.04"/>
    <n v="98.027999999999992"/>
    <n v="79.2"/>
    <n v="55.44"/>
    <n v="25452.6"/>
    <n v="26474.521889999996"/>
    <n v="18532.165322999997"/>
    <n v="18685.633322999998"/>
    <m/>
    <n v="0"/>
    <n v="29854.557091799998"/>
    <n v="63015.657091799992"/>
    <m/>
    <m/>
    <m/>
    <s v="0.7 - LIBTECH_I - VACANT (Velazquez, Wilson)"/>
  </r>
  <r>
    <n v="185"/>
    <s v="CSEA"/>
    <x v="139"/>
    <s v="LIBTECH_I"/>
    <n v="1"/>
    <m/>
    <s v=" 22"/>
    <s v="A"/>
    <m/>
    <m/>
    <n v="47373"/>
    <n v="47373"/>
    <m/>
    <m/>
    <m/>
    <m/>
    <m/>
    <m/>
    <m/>
    <m/>
    <m/>
    <n v="47373"/>
    <n v="0.3"/>
    <n v="14211.9"/>
    <s v="11-360-00-613000-52105"/>
    <x v="1"/>
    <s v="360"/>
    <s v="00"/>
    <s v="613000"/>
    <s v="52105"/>
    <x v="0"/>
    <m/>
    <n v="3255.9462899999999"/>
    <n v="881.13779999999997"/>
    <n v="206.07255000000001"/>
    <n v="174.80636999999999"/>
    <n v="268.71860520000001"/>
    <n v="140.04"/>
    <n v="42.011999999999993"/>
    <n v="79.2"/>
    <n v="23.76"/>
    <n v="25452.6"/>
    <n v="26474.521889999996"/>
    <n v="7942.3565669999989"/>
    <n v="8008.1285669999988"/>
    <m/>
    <n v="0"/>
    <n v="12794.810182199999"/>
    <n v="27006.710182199997"/>
    <m/>
    <m/>
    <m/>
    <s v="0.3 - LIBTECH_I - VACANT (Velazquez, Wilson)"/>
  </r>
  <r>
    <n v="186"/>
    <s v="CSEA"/>
    <x v="140"/>
    <s v="ADM_ASST_I"/>
    <n v="1"/>
    <m/>
    <s v=" 17"/>
    <s v="E"/>
    <m/>
    <m/>
    <n v="50892"/>
    <n v="50892"/>
    <m/>
    <m/>
    <m/>
    <m/>
    <n v="0.05"/>
    <n v="2544.6000000000004"/>
    <m/>
    <m/>
    <m/>
    <n v="53436.6"/>
    <n v="0.5"/>
    <n v="26718.3"/>
    <s v="11-320-00-601000-52105"/>
    <x v="1"/>
    <s v="320"/>
    <s v="00"/>
    <s v="601000"/>
    <s v="52105"/>
    <x v="0"/>
    <m/>
    <n v="6121.1625299999996"/>
    <n v="1656.5346"/>
    <n v="387.41534999999999"/>
    <n v="328.63508999999999"/>
    <n v="505.18961640000003"/>
    <n v="140.04"/>
    <n v="70.02"/>
    <n v="79.2"/>
    <n v="39.6"/>
    <n v="13152"/>
    <n v="13680.052799999999"/>
    <n v="6840.0263999999997"/>
    <n v="6949.6463999999996"/>
    <m/>
    <n v="0"/>
    <n v="15948.5835864"/>
    <n v="42666.883586399999"/>
    <m/>
    <m/>
    <m/>
    <s v="0.5 - ADM_ASST_I - Venegas, Joanne"/>
  </r>
  <r>
    <n v="187"/>
    <s v="CSEA"/>
    <x v="140"/>
    <s v="ADM_ASST_I"/>
    <n v="1"/>
    <m/>
    <s v=" 17"/>
    <s v="E"/>
    <m/>
    <m/>
    <n v="50892"/>
    <n v="50892"/>
    <m/>
    <m/>
    <m/>
    <m/>
    <n v="0.05"/>
    <n v="2544.6000000000004"/>
    <m/>
    <m/>
    <m/>
    <n v="53436.6"/>
    <n v="0.5"/>
    <n v="26718.3"/>
    <s v="11-320-00-696500-52105"/>
    <x v="1"/>
    <s v="320"/>
    <s v="00"/>
    <s v="696500"/>
    <s v="52105"/>
    <x v="0"/>
    <m/>
    <n v="6121.1625299999996"/>
    <n v="1656.5346"/>
    <n v="387.41534999999999"/>
    <n v="328.63508999999999"/>
    <n v="505.18961640000003"/>
    <n v="140.04"/>
    <n v="70.02"/>
    <n v="79.2"/>
    <n v="39.6"/>
    <n v="13152"/>
    <n v="13680.052799999999"/>
    <n v="6840.0263999999997"/>
    <n v="6949.6463999999996"/>
    <m/>
    <n v="0"/>
    <n v="15948.5835864"/>
    <n v="42666.883586399999"/>
    <m/>
    <m/>
    <m/>
    <s v="0.5 - ADM_ASST_I - Venegas, Joanne"/>
  </r>
  <r>
    <n v="188"/>
    <s v="CSEA"/>
    <x v="141"/>
    <s v="PROGASST_I"/>
    <n v="0.5"/>
    <m/>
    <s v="26"/>
    <s v="A"/>
    <m/>
    <m/>
    <n v="26144.5"/>
    <n v="26144.5"/>
    <m/>
    <m/>
    <m/>
    <m/>
    <m/>
    <n v="0"/>
    <m/>
    <m/>
    <m/>
    <n v="26144.5"/>
    <n v="1"/>
    <n v="26144.5"/>
    <s v="12-301-00-703605-52105"/>
    <x v="0"/>
    <s v="301"/>
    <s v="00"/>
    <s v="703605"/>
    <s v="52105"/>
    <x v="0"/>
    <m/>
    <n v="5989.7049500000003"/>
    <n v="1620.9590000000001"/>
    <n v="379.09525000000002"/>
    <n v="321.57735000000002"/>
    <n v="494.34020600000002"/>
    <n v="140.04"/>
    <n v="140.04"/>
    <n v="79.2"/>
    <n v="79.2"/>
    <m/>
    <n v="0"/>
    <n v="0"/>
    <n v="219.24"/>
    <m/>
    <n v="0"/>
    <n v="9024.9167560000024"/>
    <n v="35169.416756000006"/>
    <m/>
    <m/>
    <m/>
    <s v="1 - PROGASST_I - VACANT (Villalobos, Nicolasa)"/>
  </r>
  <r>
    <n v="188"/>
    <s v="CSEA"/>
    <x v="142"/>
    <s v="AR_EVALTEC"/>
    <n v="1"/>
    <m/>
    <s v=" 24"/>
    <s v="E"/>
    <m/>
    <m/>
    <n v="60494"/>
    <n v="60494"/>
    <m/>
    <m/>
    <m/>
    <m/>
    <n v="0.1"/>
    <n v="6049.4000000000005"/>
    <m/>
    <m/>
    <n v="600"/>
    <n v="67143.399999999994"/>
    <n v="1"/>
    <n v="67143.399999999994"/>
    <s v="11-410-00-620000-52105"/>
    <x v="1"/>
    <s v="410"/>
    <s v="00"/>
    <s v="620000"/>
    <s v="52105"/>
    <x v="0"/>
    <m/>
    <n v="15382.552939999998"/>
    <n v="4162.8907999999992"/>
    <n v="973.57929999999999"/>
    <n v="825.86381999999992"/>
    <n v="1269.5474072"/>
    <n v="140.04"/>
    <n v="140.04"/>
    <n v="79.2"/>
    <n v="79.2"/>
    <n v="25452.6"/>
    <n v="26474.521889999996"/>
    <n v="26474.521889999996"/>
    <n v="26693.761889999998"/>
    <m/>
    <n v="0"/>
    <n v="49308.196157199993"/>
    <n v="116451.59615719999"/>
    <m/>
    <m/>
    <m/>
    <s v="1 - AR_EVALTEC - West, Jutta L"/>
  </r>
  <r>
    <n v="189"/>
    <s v="CSEA"/>
    <x v="143"/>
    <s v="PROGASST_I"/>
    <n v="1"/>
    <d v="2021-09-01T00:00:00"/>
    <s v=" 26"/>
    <s v="D"/>
    <n v="10088"/>
    <s v="E"/>
    <n v="52960"/>
    <n v="63048"/>
    <m/>
    <m/>
    <m/>
    <m/>
    <n v="2.5000000000000001E-2"/>
    <n v="1576.2"/>
    <m/>
    <m/>
    <n v="600"/>
    <n v="65224.2"/>
    <n v="1"/>
    <n v="65224.2"/>
    <s v="11-320-00-601000-52105"/>
    <x v="1"/>
    <s v="320"/>
    <s v="00"/>
    <s v="601000"/>
    <s v="52105"/>
    <x v="0"/>
    <m/>
    <n v="14942.864219999999"/>
    <n v="4043.9004"/>
    <n v="945.7509"/>
    <n v="802.25765999999999"/>
    <n v="1233.2591735999999"/>
    <n v="140.04"/>
    <n v="140.04"/>
    <n v="79.2"/>
    <n v="79.2"/>
    <n v="33444"/>
    <n v="34786.776599999997"/>
    <n v="34786.776599999997"/>
    <n v="35006.016599999995"/>
    <m/>
    <n v="0"/>
    <n v="56974.048953599995"/>
    <n v="122198.24895359999"/>
    <m/>
    <m/>
    <m/>
    <s v="1 - PROGASST_I - Westfall, Marta Cristina"/>
  </r>
  <r>
    <n v="190"/>
    <s v="CSEA"/>
    <x v="144"/>
    <s v="LIBTECH_II"/>
    <n v="1"/>
    <m/>
    <s v="22"/>
    <s v="E"/>
    <m/>
    <m/>
    <n v="57581"/>
    <n v="57581"/>
    <m/>
    <m/>
    <m/>
    <m/>
    <n v="0.05"/>
    <n v="2879.05"/>
    <m/>
    <m/>
    <m/>
    <n v="60460.05"/>
    <n v="0.5"/>
    <n v="30230.025000000001"/>
    <s v="11-360-00-612000-52105"/>
    <x v="1"/>
    <s v="360"/>
    <s v="00"/>
    <s v="612000"/>
    <s v="52105"/>
    <x v="0"/>
    <m/>
    <n v="6925.6987275000001"/>
    <n v="1874.2615500000002"/>
    <n v="438.33536250000003"/>
    <n v="371.82930750000003"/>
    <n v="571.58931270000005"/>
    <n v="140.04"/>
    <n v="70.02"/>
    <n v="79.2"/>
    <n v="39.6"/>
    <n v="13152"/>
    <n v="13680.052799999999"/>
    <n v="6840.0263999999997"/>
    <n v="6949.6463999999996"/>
    <m/>
    <n v="0"/>
    <n v="17131.3606602"/>
    <n v="47361.385660200001"/>
    <m/>
    <m/>
    <m/>
    <s v="0.5 - LIBTECH_II - Wilson Jr., Tony"/>
  </r>
  <r>
    <n v="190"/>
    <s v="CSEA"/>
    <x v="144"/>
    <s v="LIBTECH_II"/>
    <n v="1"/>
    <m/>
    <s v="22"/>
    <s v="E"/>
    <m/>
    <m/>
    <n v="57581"/>
    <n v="57581"/>
    <m/>
    <m/>
    <m/>
    <m/>
    <n v="0.05"/>
    <n v="2879.05"/>
    <m/>
    <m/>
    <m/>
    <n v="60460.05"/>
    <n v="0.5"/>
    <n v="30230.025000000001"/>
    <s v="11-360-00-613000-52105"/>
    <x v="1"/>
    <s v="360"/>
    <s v="00"/>
    <s v="613000"/>
    <s v="52105"/>
    <x v="0"/>
    <m/>
    <n v="6925.6987275000001"/>
    <n v="1874.2615500000002"/>
    <n v="438.33536250000003"/>
    <n v="371.82930750000003"/>
    <n v="571.58931270000005"/>
    <n v="140.04"/>
    <n v="70.02"/>
    <n v="79.2"/>
    <n v="39.6"/>
    <n v="13152"/>
    <n v="13680.052799999999"/>
    <n v="6840.0263999999997"/>
    <n v="6949.6463999999996"/>
    <m/>
    <n v="0"/>
    <n v="17131.3606602"/>
    <n v="47361.385660200001"/>
    <m/>
    <m/>
    <m/>
    <s v="0.5 - LIBTECH_II - Wilson Jr., Tony"/>
  </r>
  <r>
    <n v="191"/>
    <s v="CSEA"/>
    <x v="145"/>
    <s v="PROGASST_I"/>
    <n v="1"/>
    <m/>
    <s v=" 26"/>
    <s v="E"/>
    <m/>
    <m/>
    <n v="63557"/>
    <n v="63557"/>
    <m/>
    <m/>
    <m/>
    <m/>
    <m/>
    <m/>
    <m/>
    <m/>
    <m/>
    <n v="63557"/>
    <n v="1"/>
    <n v="63557"/>
    <s v="12-400-00-703581-52105"/>
    <x v="0"/>
    <s v="400"/>
    <s v="00"/>
    <s v="703581"/>
    <s v="52105"/>
    <x v="0"/>
    <m/>
    <n v="14560.9087"/>
    <n v="3940.5340000000001"/>
    <n v="921.57650000000001"/>
    <n v="781.75110000000006"/>
    <n v="1201.735756"/>
    <n v="140.04"/>
    <n v="140.04"/>
    <n v="79.2"/>
    <n v="79.2"/>
    <n v="8820"/>
    <n v="9174.1229999999996"/>
    <n v="9174.1229999999996"/>
    <n v="9393.3629999999994"/>
    <n v="2400"/>
    <n v="2400"/>
    <n v="33199.869055999996"/>
    <n v="96756.869055999996"/>
    <s v="Romero Jalomo"/>
    <s v="Cesar Velazquez"/>
    <s v="Upward Bound North Salinas"/>
    <s v="1 - PROGASST_I - Xiong, Peter"/>
  </r>
  <r>
    <n v="192"/>
    <s v="CSEA"/>
    <x v="146"/>
    <s v="PROGASST_I"/>
    <n v="1"/>
    <m/>
    <s v=" 31"/>
    <s v="E"/>
    <m/>
    <m/>
    <n v="71910"/>
    <n v="71910"/>
    <m/>
    <m/>
    <m/>
    <m/>
    <n v="7.4999999999999997E-2"/>
    <n v="0"/>
    <m/>
    <m/>
    <n v="600"/>
    <n v="72510"/>
    <n v="1"/>
    <n v="72510"/>
    <s v="12-440-00-701020-52105"/>
    <x v="0"/>
    <s v="440"/>
    <s v="00"/>
    <s v="701020"/>
    <s v="52105"/>
    <x v="0"/>
    <m/>
    <n v="16612.041000000001"/>
    <n v="4495.62"/>
    <n v="1051.395"/>
    <n v="891.87300000000005"/>
    <n v="1371.01908"/>
    <n v="140.04"/>
    <n v="140.04"/>
    <n v="79.2"/>
    <n v="79.2"/>
    <n v="33444"/>
    <n v="34786.776599999997"/>
    <n v="34786.776599999997"/>
    <n v="35006.016599999995"/>
    <m/>
    <n v="0"/>
    <n v="59427.964680000005"/>
    <n v="131937.96468"/>
    <s v="Romero Jalomo"/>
    <s v="Michelle Peters"/>
    <s v="Disabled Student Programs and Services (DSPS)"/>
    <s v="1 - PROGASST_I - Zepeda, Silvina"/>
  </r>
  <r>
    <n v="193"/>
    <s v="L-39"/>
    <x v="147"/>
    <s v="CUSTOD"/>
    <n v="1"/>
    <m/>
    <s v=" 13"/>
    <s v="E"/>
    <m/>
    <m/>
    <n v="44180"/>
    <n v="44180"/>
    <n v="44622"/>
    <m/>
    <n v="0.05"/>
    <n v="2231.1"/>
    <n v="2.5000000000000001E-2"/>
    <n v="1115.55"/>
    <m/>
    <m/>
    <n v="600"/>
    <n v="48568.65"/>
    <n v="1"/>
    <n v="48568.65"/>
    <s v="11-220-00-653000-52125"/>
    <x v="1"/>
    <s v="220"/>
    <s v="00"/>
    <s v="653000"/>
    <s v="52125"/>
    <x v="0"/>
    <m/>
    <n v="11127.077714999999"/>
    <n v="3011.2563"/>
    <n v="704.24542500000007"/>
    <n v="597.39439500000003"/>
    <n v="918.33603420000009"/>
    <n v="140.04"/>
    <n v="140.04"/>
    <n v="79.2"/>
    <n v="79.2"/>
    <n v="33444"/>
    <n v="34786.776599999997"/>
    <n v="34786.776599999997"/>
    <n v="35006.016599999995"/>
    <m/>
    <n v="0"/>
    <n v="51364.326469199994"/>
    <n v="99932.976469199988"/>
    <m/>
    <m/>
    <m/>
    <s v="1 - CUSTOD - Aguilar, Jose "/>
  </r>
  <r>
    <n v="194"/>
    <s v="L-39"/>
    <x v="148"/>
    <s v="UTCUST"/>
    <n v="1"/>
    <d v="2021-11-01T00:00:00"/>
    <s v=" 16"/>
    <s v="D"/>
    <n v="15076"/>
    <s v="E"/>
    <n v="31704"/>
    <n v="46780"/>
    <n v="47248"/>
    <m/>
    <m/>
    <m/>
    <m/>
    <m/>
    <m/>
    <m/>
    <n v="600"/>
    <n v="47848"/>
    <n v="0.25"/>
    <n v="11962"/>
    <s v="11-220-00-653000-52125"/>
    <x v="1"/>
    <s v="220"/>
    <s v="00"/>
    <s v="653000"/>
    <s v="52125"/>
    <x v="0"/>
    <m/>
    <n v="2740.4942000000001"/>
    <n v="741.64400000000001"/>
    <n v="173.44900000000001"/>
    <n v="147.1326"/>
    <n v="226.17749600000002"/>
    <n v="140.04"/>
    <n v="35.01"/>
    <n v="79.2"/>
    <n v="19.8"/>
    <n v="25452.6"/>
    <n v="26474.521889999996"/>
    <n v="6618.6304724999991"/>
    <n v="6673.4404724999995"/>
    <m/>
    <n v="0"/>
    <n v="10702.3377685"/>
    <n v="22664.337768500001"/>
    <m/>
    <m/>
    <m/>
    <s v="0.25 - UTCUST - Alfaro, Josue "/>
  </r>
  <r>
    <n v="195"/>
    <s v="L-39"/>
    <x v="148"/>
    <s v="UTCUST"/>
    <n v="1"/>
    <m/>
    <s v=" 16"/>
    <s v="D"/>
    <n v="15076"/>
    <s v="E"/>
    <n v="31704"/>
    <n v="46780"/>
    <n v="47248"/>
    <m/>
    <m/>
    <m/>
    <m/>
    <m/>
    <m/>
    <m/>
    <n v="600"/>
    <n v="47848"/>
    <n v="0.5"/>
    <n v="23924"/>
    <s v="11-220-00-655000-52125"/>
    <x v="1"/>
    <s v="220"/>
    <s v="00"/>
    <s v="655000"/>
    <s v="52125"/>
    <x v="0"/>
    <m/>
    <n v="5480.9884000000002"/>
    <n v="1483.288"/>
    <n v="346.89800000000002"/>
    <n v="294.26519999999999"/>
    <n v="452.35499200000004"/>
    <n v="140.04"/>
    <n v="70.02"/>
    <n v="79.2"/>
    <n v="39.6"/>
    <n v="25452.6"/>
    <n v="26474.521889999996"/>
    <n v="13237.260944999998"/>
    <n v="13346.880944999999"/>
    <m/>
    <n v="0"/>
    <n v="21404.675536999999"/>
    <n v="45328.675537000003"/>
    <m/>
    <m/>
    <m/>
    <s v="0.5 - UTCUST - Alfaro, Josue "/>
  </r>
  <r>
    <n v="196"/>
    <s v="L-39"/>
    <x v="148"/>
    <s v="UTCUST"/>
    <n v="1"/>
    <m/>
    <s v=" 16"/>
    <s v="D"/>
    <n v="15076"/>
    <s v="E"/>
    <n v="31704"/>
    <n v="46780"/>
    <n v="47248"/>
    <m/>
    <m/>
    <m/>
    <m/>
    <m/>
    <m/>
    <m/>
    <n v="600"/>
    <n v="47848"/>
    <n v="0.25"/>
    <n v="11962"/>
    <s v="11-220-00-659010-52125"/>
    <x v="1"/>
    <s v="220"/>
    <s v="00"/>
    <s v="659010"/>
    <s v="52125"/>
    <x v="0"/>
    <m/>
    <n v="2740.4942000000001"/>
    <n v="741.64400000000001"/>
    <n v="173.44900000000001"/>
    <n v="147.1326"/>
    <n v="226.17749600000002"/>
    <n v="140.04"/>
    <n v="35.01"/>
    <n v="79.2"/>
    <n v="19.8"/>
    <n v="25452.6"/>
    <n v="26474.521889999996"/>
    <n v="6618.6304724999991"/>
    <n v="6673.4404724999995"/>
    <m/>
    <n v="0"/>
    <n v="10702.3377685"/>
    <n v="22664.337768500001"/>
    <m/>
    <m/>
    <m/>
    <s v="0.25 - UTCUST - Alfaro, Josue "/>
  </r>
  <r>
    <n v="197"/>
    <s v="L-39"/>
    <x v="149"/>
    <s v="FS_WRKR"/>
    <n v="0.83330000000000004"/>
    <m/>
    <s v="  8"/>
    <s v="E"/>
    <m/>
    <m/>
    <n v="32570"/>
    <n v="32570"/>
    <n v="32896"/>
    <m/>
    <m/>
    <m/>
    <n v="0.1"/>
    <n v="3289.6000000000004"/>
    <m/>
    <m/>
    <n v="600"/>
    <n v="36785.599999999999"/>
    <n v="1"/>
    <n v="36785.599999999999"/>
    <s v="12-230-00-679000-52125"/>
    <x v="0"/>
    <s v="230"/>
    <s v="00"/>
    <s v="679000"/>
    <s v="52125"/>
    <x v="0"/>
    <m/>
    <n v="8427.5809599999993"/>
    <n v="2280.7071999999998"/>
    <n v="533.39120000000003"/>
    <n v="452.46287999999998"/>
    <n v="695.54212480000001"/>
    <n v="140.04"/>
    <n v="140.04"/>
    <n v="79.2"/>
    <n v="79.2"/>
    <n v="25452.6"/>
    <n v="26474.521889999996"/>
    <n v="26474.521889999996"/>
    <n v="26693.761889999998"/>
    <m/>
    <n v="0"/>
    <n v="39083.446254800001"/>
    <n v="75869.046254799992"/>
    <s v="Steven Crow"/>
    <s v="David Techaira"/>
    <s v="HEERF 1 &amp; 2 Funding (CARES)"/>
    <s v="1 - FS_WRKR - Arroyo, Margarita"/>
  </r>
  <r>
    <n v="198"/>
    <s v="L-39"/>
    <x v="150"/>
    <s v="CUSTOD"/>
    <n v="1"/>
    <d v="2021-12-01T00:00:00"/>
    <s v=" 13"/>
    <s v="C"/>
    <n v="16690"/>
    <s v="D"/>
    <n v="24514"/>
    <n v="41204"/>
    <n v="41616"/>
    <m/>
    <n v="0.05"/>
    <n v="2080.8000000000002"/>
    <m/>
    <m/>
    <m/>
    <m/>
    <m/>
    <n v="43696.800000000003"/>
    <n v="1"/>
    <n v="43696.800000000003"/>
    <s v="11-220-00-653000-52125"/>
    <x v="1"/>
    <s v="220"/>
    <s v="00"/>
    <s v="653000"/>
    <s v="52125"/>
    <x v="0"/>
    <m/>
    <n v="10010.936880000001"/>
    <n v="2709.2016000000003"/>
    <n v="633.60360000000003"/>
    <n v="537.47064"/>
    <n v="826.21909440000013"/>
    <n v="140.04"/>
    <n v="140.04"/>
    <n v="79.2"/>
    <n v="79.2"/>
    <n v="33444"/>
    <n v="34786.776599999997"/>
    <n v="34786.776599999997"/>
    <n v="35006.016599999995"/>
    <m/>
    <n v="0"/>
    <n v="49723.448414400002"/>
    <n v="93420.248414400005"/>
    <m/>
    <m/>
    <m/>
    <s v="1 - CUSTOD - Bailon, Rachel"/>
  </r>
  <r>
    <n v="199"/>
    <s v="L-39"/>
    <x v="151"/>
    <s v="CUSTOD"/>
    <n v="1"/>
    <d v="2021-05-01T00:00:00"/>
    <s v=" 13"/>
    <s v="C"/>
    <n v="33380"/>
    <s v="D"/>
    <n v="7004"/>
    <n v="40384"/>
    <n v="40788"/>
    <m/>
    <n v="0.05"/>
    <n v="2039.4"/>
    <m/>
    <m/>
    <m/>
    <m/>
    <m/>
    <n v="42827.4"/>
    <n v="1"/>
    <n v="42827.4"/>
    <s v="11-220-00-653000-52125"/>
    <x v="1"/>
    <s v="220"/>
    <s v="00"/>
    <s v="653000"/>
    <s v="52125"/>
    <x v="0"/>
    <m/>
    <n v="9811.7573400000001"/>
    <n v="2655.2988"/>
    <n v="620.99730000000011"/>
    <n v="526.77701999999999"/>
    <n v="809.78047920000006"/>
    <n v="140.04"/>
    <n v="140.04"/>
    <n v="79.2"/>
    <n v="79.2"/>
    <n v="8820"/>
    <n v="9174.1229999999996"/>
    <n v="9174.1229999999996"/>
    <n v="9393.3629999999994"/>
    <n v="2400"/>
    <n v="2400"/>
    <n v="26217.973939200005"/>
    <n v="69045.373939200013"/>
    <m/>
    <m/>
    <m/>
    <s v="1 - CUSTOD - Balcazar-Murillo, Edgar"/>
  </r>
  <r>
    <n v="200"/>
    <s v="L-39"/>
    <x v="152"/>
    <s v="FS_WRKR"/>
    <n v="0.45"/>
    <m/>
    <s v="  8"/>
    <s v="E"/>
    <m/>
    <m/>
    <n v="17588"/>
    <n v="17588"/>
    <n v="17764"/>
    <m/>
    <m/>
    <m/>
    <n v="2.5000000000000001E-2"/>
    <n v="444.1"/>
    <m/>
    <m/>
    <n v="600"/>
    <n v="18808.099999999999"/>
    <n v="1"/>
    <n v="18808.099999999999"/>
    <s v="12-230-00-679000-52125"/>
    <x v="0"/>
    <s v="230"/>
    <s v="00"/>
    <s v="679000"/>
    <s v="52125"/>
    <x v="0"/>
    <m/>
    <n v="4308.9357099999997"/>
    <n v="1166.1021999999998"/>
    <n v="272.71744999999999"/>
    <n v="231.33962999999997"/>
    <n v="355.62355480000002"/>
    <n v="140.04"/>
    <n v="140.04"/>
    <m/>
    <n v="0"/>
    <n v="0"/>
    <n v="0"/>
    <n v="0"/>
    <n v="140.04"/>
    <m/>
    <n v="0"/>
    <n v="6474.7585448"/>
    <n v="25282.858544799998"/>
    <s v="Steven Crow"/>
    <s v="David Techaira"/>
    <s v="HEERF 1 &amp; 2 Funding (CARES)"/>
    <s v="1 - FS_WRKR - Cabrera, Guadalupe"/>
  </r>
  <r>
    <n v="201"/>
    <s v="L-39"/>
    <x v="153"/>
    <s v="MAINT_SPC"/>
    <n v="1"/>
    <m/>
    <s v=" 32"/>
    <s v="E"/>
    <m/>
    <m/>
    <n v="70201"/>
    <n v="70201"/>
    <n v="70903"/>
    <m/>
    <m/>
    <m/>
    <n v="0.1"/>
    <n v="7090.3"/>
    <m/>
    <m/>
    <n v="600"/>
    <n v="78593.3"/>
    <n v="1"/>
    <n v="78593.3"/>
    <s v="11-220-00-651000-52125"/>
    <x v="1"/>
    <s v="220"/>
    <s v="00"/>
    <s v="651000"/>
    <s v="52125"/>
    <x v="0"/>
    <m/>
    <n v="18005.725030000001"/>
    <n v="4872.7846"/>
    <n v="1139.60285"/>
    <n v="966.6975900000001"/>
    <n v="1486.0421164000002"/>
    <n v="140.04"/>
    <n v="140.04"/>
    <n v="79.2"/>
    <n v="79.2"/>
    <n v="33444"/>
    <n v="34786.776599999997"/>
    <n v="34786.776599999997"/>
    <n v="35006.016599999995"/>
    <m/>
    <n v="0"/>
    <n v="61476.868786399995"/>
    <n v="140070.1687864"/>
    <m/>
    <m/>
    <m/>
    <s v="1 - MAINT_SPC - Cabrera, Jose "/>
  </r>
  <r>
    <n v="202"/>
    <s v="L-39"/>
    <x v="154"/>
    <s v="CUSTOD"/>
    <n v="1"/>
    <m/>
    <s v=" 13"/>
    <s v="E"/>
    <m/>
    <m/>
    <n v="44180"/>
    <n v="44180"/>
    <n v="44622"/>
    <m/>
    <n v="0.05"/>
    <n v="2231.1"/>
    <n v="7.4999999999999997E-2"/>
    <n v="3346.65"/>
    <m/>
    <m/>
    <m/>
    <n v="50199.75"/>
    <n v="1"/>
    <n v="50199.75"/>
    <s v="11-220-00-653000-52125"/>
    <x v="1"/>
    <s v="220"/>
    <s v="00"/>
    <s v="653000"/>
    <s v="52125"/>
    <x v="0"/>
    <m/>
    <n v="11500.762725000001"/>
    <n v="3112.3845000000001"/>
    <n v="727.89637500000003"/>
    <n v="617.45692499999996"/>
    <n v="949.17687300000011"/>
    <n v="140.04"/>
    <n v="140.04"/>
    <n v="79.2"/>
    <n v="79.2"/>
    <n v="33444"/>
    <n v="34786.776599999997"/>
    <n v="34786.776599999997"/>
    <n v="35006.016599999995"/>
    <m/>
    <n v="0"/>
    <n v="51913.693998000002"/>
    <n v="102113.443998"/>
    <m/>
    <m/>
    <m/>
    <s v="1 - CUSTOD - Capulong, Maria"/>
  </r>
  <r>
    <n v="203"/>
    <s v="L-39"/>
    <x v="155"/>
    <s v="CUSTOD"/>
    <n v="1"/>
    <m/>
    <s v=" 13"/>
    <s v="E"/>
    <m/>
    <m/>
    <n v="44180"/>
    <n v="44180"/>
    <n v="44622"/>
    <m/>
    <n v="0.05"/>
    <n v="2231.1"/>
    <n v="0.1"/>
    <n v="4462.2"/>
    <m/>
    <m/>
    <m/>
    <n v="51315.299999999996"/>
    <n v="1"/>
    <n v="51315.299999999996"/>
    <s v="11-220-00-653000-52125"/>
    <x v="1"/>
    <s v="220"/>
    <s v="00"/>
    <s v="653000"/>
    <s v="52125"/>
    <x v="0"/>
    <m/>
    <n v="11756.335229999999"/>
    <n v="3181.5485999999996"/>
    <n v="744.07184999999993"/>
    <n v="631.17818999999997"/>
    <n v="970.26969239999994"/>
    <n v="140.04"/>
    <n v="140.04"/>
    <n v="79.2"/>
    <n v="79.2"/>
    <n v="13152"/>
    <n v="13680.052799999999"/>
    <n v="13680.052799999999"/>
    <n v="13899.292799999999"/>
    <m/>
    <n v="0"/>
    <n v="31182.696362399998"/>
    <n v="82497.996362399994"/>
    <m/>
    <m/>
    <m/>
    <s v="1 - CUSTOD - Chavarin, Carlos"/>
  </r>
  <r>
    <n v="204"/>
    <s v="L-39"/>
    <x v="156"/>
    <s v="CUSTOD"/>
    <n v="1"/>
    <m/>
    <s v=" 13"/>
    <s v="E"/>
    <m/>
    <m/>
    <n v="44180"/>
    <n v="44180"/>
    <n v="44622"/>
    <m/>
    <m/>
    <m/>
    <n v="0.05"/>
    <n v="1115.55"/>
    <m/>
    <n v="0"/>
    <n v="600"/>
    <n v="46337.55"/>
    <n v="1"/>
    <n v="46337.55"/>
    <s v="11-220-00-653000-52125"/>
    <x v="1"/>
    <s v="220"/>
    <s v="00"/>
    <s v="653000"/>
    <s v="52125"/>
    <x v="0"/>
    <m/>
    <n v="10615.932705000001"/>
    <n v="2872.9281000000001"/>
    <n v="671.89447500000006"/>
    <n v="569.951865"/>
    <n v="876.15039540000009"/>
    <n v="140.04"/>
    <n v="140.04"/>
    <n v="79.2"/>
    <n v="79.2"/>
    <n v="13152"/>
    <n v="13680.052799999999"/>
    <n v="13680.052799999999"/>
    <n v="13899.292799999999"/>
    <m/>
    <n v="0"/>
    <n v="29506.150340400003"/>
    <n v="75843.700340400013"/>
    <m/>
    <m/>
    <m/>
    <s v="1 - CUSTOD - Cintron, Nancy"/>
  </r>
  <r>
    <n v="205"/>
    <s v="L-39"/>
    <x v="157"/>
    <s v="CUSTOD"/>
    <n v="1"/>
    <m/>
    <s v=" 13"/>
    <s v="E"/>
    <m/>
    <m/>
    <n v="44180"/>
    <n v="44180"/>
    <n v="44622"/>
    <m/>
    <n v="0.05"/>
    <n v="2231.1"/>
    <m/>
    <m/>
    <m/>
    <m/>
    <n v="600"/>
    <n v="47453.1"/>
    <n v="1"/>
    <n v="47453.1"/>
    <s v="11-220-00-653000-52125"/>
    <x v="1"/>
    <s v="220"/>
    <s v="00"/>
    <s v="653000"/>
    <s v="52125"/>
    <x v="0"/>
    <m/>
    <n v="10871.505209999999"/>
    <n v="2942.0922"/>
    <n v="688.06995000000006"/>
    <n v="583.67313000000001"/>
    <n v="897.24321480000003"/>
    <n v="140.04"/>
    <n v="140.04"/>
    <n v="79.2"/>
    <n v="79.2"/>
    <n v="33444"/>
    <n v="34786.776599999997"/>
    <n v="34786.776599999997"/>
    <n v="35006.016599999995"/>
    <m/>
    <n v="0"/>
    <n v="50988.600304799998"/>
    <n v="98441.700304800004"/>
    <m/>
    <m/>
    <m/>
    <s v="1 - CUSTOD - Diaz, Alberto "/>
  </r>
  <r>
    <n v="206"/>
    <s v="L-39"/>
    <x v="158"/>
    <s v="FS_WRKR"/>
    <n v="0.83330000000000004"/>
    <m/>
    <s v="  8"/>
    <s v="E"/>
    <m/>
    <m/>
    <n v="32570"/>
    <n v="32570"/>
    <n v="32896"/>
    <m/>
    <m/>
    <m/>
    <n v="0.1"/>
    <n v="1918.9333333333336"/>
    <m/>
    <n v="0"/>
    <n v="600"/>
    <n v="35414.933333333334"/>
    <n v="1"/>
    <n v="35414.933333333334"/>
    <s v="12-230-00-679000-52125"/>
    <x v="0"/>
    <s v="230"/>
    <s v="00"/>
    <s v="679000"/>
    <s v="52125"/>
    <x v="0"/>
    <m/>
    <n v="8113.5612266666667"/>
    <n v="2195.7258666666667"/>
    <n v="513.51653333333343"/>
    <n v="435.60368"/>
    <n v="669.62555946666669"/>
    <n v="140.04"/>
    <n v="140.04"/>
    <n v="79.2"/>
    <n v="79.2"/>
    <n v="33444"/>
    <n v="34786.776599999997"/>
    <n v="34786.776599999997"/>
    <n v="35006.016599999995"/>
    <m/>
    <n v="0"/>
    <n v="46934.049466133336"/>
    <n v="82348.98279946667"/>
    <s v="Steven Crow"/>
    <s v="David Techaira"/>
    <s v="HEERF 1 &amp; 2 Funding (CARES)"/>
    <s v="1 - FS_WRKR - Enriquez, Lucia"/>
  </r>
  <r>
    <n v="207"/>
    <s v="L-39"/>
    <x v="159"/>
    <s v="FSWRK_LD"/>
    <n v="0.91670000000000007"/>
    <m/>
    <s v=" 11"/>
    <s v="E"/>
    <m/>
    <m/>
    <n v="42029"/>
    <n v="42029"/>
    <n v="42449"/>
    <m/>
    <m/>
    <m/>
    <n v="0.1"/>
    <n v="4244.9000000000005"/>
    <m/>
    <m/>
    <m/>
    <n v="46693.9"/>
    <n v="1"/>
    <n v="46693.9"/>
    <s v="12-230-00-679000-52125"/>
    <x v="0"/>
    <s v="230"/>
    <s v="00"/>
    <s v="679000"/>
    <s v="52125"/>
    <x v="0"/>
    <m/>
    <n v="10697.57249"/>
    <n v="2895.0218"/>
    <n v="677.06155000000001"/>
    <n v="574.33497"/>
    <n v="882.8882612000001"/>
    <n v="140.04"/>
    <n v="140.04"/>
    <n v="79.2"/>
    <n v="79.2"/>
    <n v="13152"/>
    <n v="13680.052799999999"/>
    <n v="13680.052799999999"/>
    <n v="13899.292799999999"/>
    <m/>
    <n v="0"/>
    <n v="29626.1718712"/>
    <n v="76320.071871199994"/>
    <s v="Steven Crow"/>
    <s v="David Techaira"/>
    <s v="HEERF 1 &amp; 2 Funding (CARES)"/>
    <s v="1 - FSWRK_LD - Flores, Gloria"/>
  </r>
  <r>
    <n v="208"/>
    <s v="L-39"/>
    <x v="160"/>
    <s v="CUSTOD"/>
    <n v="1"/>
    <m/>
    <s v=" 13"/>
    <s v="E"/>
    <m/>
    <m/>
    <n v="44180"/>
    <n v="44180"/>
    <n v="44622"/>
    <m/>
    <n v="0.05"/>
    <n v="2231.1"/>
    <n v="0.1"/>
    <n v="4462.2"/>
    <m/>
    <m/>
    <n v="1200"/>
    <n v="52515.299999999996"/>
    <n v="1"/>
    <n v="52515.299999999996"/>
    <s v="11-220-00-653000-52125"/>
    <x v="1"/>
    <s v="220"/>
    <s v="00"/>
    <s v="653000"/>
    <s v="52125"/>
    <x v="0"/>
    <m/>
    <n v="12031.255229999999"/>
    <n v="3255.9485999999997"/>
    <n v="761.47185000000002"/>
    <n v="645.93818999999996"/>
    <n v="992.95929239999998"/>
    <n v="140.04"/>
    <n v="140.04"/>
    <n v="79.2"/>
    <n v="79.2"/>
    <n v="25452.6"/>
    <n v="26474.521889999996"/>
    <n v="26474.521889999996"/>
    <n v="26693.761889999998"/>
    <m/>
    <n v="0"/>
    <n v="44381.335052399998"/>
    <n v="96896.635052400001"/>
    <m/>
    <m/>
    <m/>
    <s v="1 - CUSTOD - VACANT (Gallegos Jr, Frank)"/>
  </r>
  <r>
    <n v="209"/>
    <s v="L-39"/>
    <x v="161"/>
    <s v="CUSTOD"/>
    <n v="1"/>
    <d v="2022-04-01T00:00:00"/>
    <s v=" 13"/>
    <s v="D"/>
    <m/>
    <s v="E"/>
    <n v="9810"/>
    <n v="9810"/>
    <n v="9908"/>
    <m/>
    <n v="0.05"/>
    <n v="495.40000000000003"/>
    <m/>
    <m/>
    <m/>
    <m/>
    <m/>
    <n v="10403.4"/>
    <n v="1"/>
    <n v="10403.4"/>
    <s v="11-220-00-653000-52125"/>
    <x v="1"/>
    <s v="220"/>
    <s v="00"/>
    <s v="653000"/>
    <s v="52125"/>
    <x v="0"/>
    <m/>
    <n v="2383.41894"/>
    <n v="645.01080000000002"/>
    <n v="150.8493"/>
    <n v="127.96182"/>
    <n v="196.7074872"/>
    <n v="140.04"/>
    <n v="140.04"/>
    <n v="79.2"/>
    <n v="79.2"/>
    <n v="33444"/>
    <n v="34786.776599999997"/>
    <n v="34786.776599999997"/>
    <n v="35006.016599999995"/>
    <m/>
    <n v="0"/>
    <n v="38509.964947199995"/>
    <n v="48913.364947199996"/>
    <m/>
    <m/>
    <m/>
    <s v="1 - CUSTOD - Garcia, Veroninca"/>
  </r>
  <r>
    <n v="210"/>
    <s v="L-39"/>
    <x v="162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381.337299999999"/>
    <n v="4433.1859999999997"/>
    <n v="1036.7935"/>
    <n v="879.48689999999999"/>
    <n v="1351.9787240000001"/>
    <n v="140.04"/>
    <n v="140.04"/>
    <n v="79.2"/>
    <n v="79.2"/>
    <n v="23232"/>
    <n v="24164.764800000001"/>
    <n v="24164.764800000001"/>
    <n v="24384.004800000002"/>
    <n v="2400"/>
    <n v="2400"/>
    <n v="50866.787224"/>
    <n v="122369.787224"/>
    <m/>
    <m/>
    <m/>
    <s v="1 - MAINT_SPC - Garibay, Evaristo"/>
  </r>
  <r>
    <n v="211"/>
    <s v="L-39"/>
    <x v="163"/>
    <s v="CUSTOD"/>
    <n v="1"/>
    <d v="2021-10-01T00:00:00"/>
    <s v=" 13"/>
    <s v="B"/>
    <m/>
    <s v="C"/>
    <n v="26730"/>
    <n v="26730"/>
    <n v="26997"/>
    <m/>
    <n v="0.05"/>
    <n v="1349.8500000000001"/>
    <m/>
    <m/>
    <m/>
    <m/>
    <n v="600"/>
    <n v="28946.85"/>
    <n v="1"/>
    <n v="28946.85"/>
    <s v="11-220-00-653000-52125"/>
    <x v="1"/>
    <s v="220"/>
    <s v="00"/>
    <s v="653000"/>
    <s v="52125"/>
    <x v="0"/>
    <m/>
    <n v="6631.7233349999997"/>
    <n v="1794.7047"/>
    <n v="419.72932500000002"/>
    <n v="356.04625499999997"/>
    <n v="547.32703979999997"/>
    <n v="140.04"/>
    <n v="140.04"/>
    <n v="79.2"/>
    <n v="79.2"/>
    <n v="33444"/>
    <n v="34786.776599999997"/>
    <n v="34786.776599999997"/>
    <n v="35006.016599999995"/>
    <m/>
    <n v="0"/>
    <n v="44755.547254799996"/>
    <n v="73702.397254799987"/>
    <m/>
    <m/>
    <m/>
    <s v="1 - CUSTOD - Gonzales, Mary"/>
  </r>
  <r>
    <n v="212"/>
    <s v="L-39"/>
    <x v="164"/>
    <s v="MAINT_SPC"/>
    <n v="1"/>
    <m/>
    <s v=" 32"/>
    <s v="E"/>
    <m/>
    <m/>
    <n v="70201"/>
    <n v="70201"/>
    <n v="70903"/>
    <m/>
    <m/>
    <m/>
    <n v="0.1"/>
    <n v="7090.3"/>
    <m/>
    <m/>
    <n v="600"/>
    <n v="78593.3"/>
    <n v="1"/>
    <n v="78593.3"/>
    <s v="11-220-00-651000-52125"/>
    <x v="1"/>
    <s v="220"/>
    <s v="00"/>
    <s v="651000"/>
    <s v="52125"/>
    <x v="0"/>
    <m/>
    <n v="18005.725030000001"/>
    <n v="4872.7846"/>
    <n v="1139.60285"/>
    <n v="966.6975900000001"/>
    <n v="1486.0421164000002"/>
    <n v="140.04"/>
    <n v="140.04"/>
    <n v="79.2"/>
    <n v="79.2"/>
    <n v="33444"/>
    <n v="34786.776599999997"/>
    <n v="34786.776599999997"/>
    <n v="35006.016599999995"/>
    <m/>
    <n v="0"/>
    <n v="61476.868786399995"/>
    <n v="140070.1687864"/>
    <m/>
    <m/>
    <m/>
    <s v="1 - MAINT_SPC - Guzman, Jose R"/>
  </r>
  <r>
    <n v="213"/>
    <s v="L-39"/>
    <x v="165"/>
    <s v="GRN_EQOP"/>
    <n v="1"/>
    <d v="2022-05-01T00:00:00"/>
    <s v=" 18"/>
    <s v="C"/>
    <n v="37690"/>
    <s v="D"/>
    <n v="7926"/>
    <n v="45616"/>
    <n v="46072"/>
    <m/>
    <m/>
    <m/>
    <m/>
    <m/>
    <m/>
    <m/>
    <n v="600"/>
    <n v="46672"/>
    <n v="1"/>
    <n v="46672"/>
    <s v="11-220-00-655000-52125"/>
    <x v="1"/>
    <s v="220"/>
    <s v="00"/>
    <s v="655000"/>
    <s v="52125"/>
    <x v="0"/>
    <m/>
    <n v="10692.555200000001"/>
    <n v="2893.6639999999998"/>
    <n v="676.74400000000003"/>
    <n v="574.06560000000002"/>
    <n v="882.47417600000006"/>
    <n v="140.04"/>
    <n v="140.04"/>
    <n v="79.2"/>
    <n v="79.2"/>
    <n v="8820"/>
    <n v="9174.1229999999996"/>
    <n v="9174.1229999999996"/>
    <n v="9393.3629999999994"/>
    <n v="2400"/>
    <n v="2400"/>
    <n v="27512.865976000001"/>
    <n v="74184.865976000001"/>
    <m/>
    <m/>
    <m/>
    <s v="1 - GRN_EQOP - Hernandez, Anselmo"/>
  </r>
  <r>
    <n v="214"/>
    <s v="L-39"/>
    <x v="166"/>
    <s v="CUSTOD"/>
    <n v="1"/>
    <m/>
    <s v=" 13"/>
    <s v="E"/>
    <m/>
    <m/>
    <n v="44180"/>
    <n v="44180"/>
    <n v="44622"/>
    <m/>
    <n v="0.05"/>
    <n v="2231.1"/>
    <n v="0.05"/>
    <n v="2231.1"/>
    <m/>
    <m/>
    <m/>
    <n v="49084.2"/>
    <n v="1"/>
    <n v="49084.2"/>
    <s v="11-220-00-653000-52125"/>
    <x v="1"/>
    <s v="220"/>
    <s v="00"/>
    <s v="653000"/>
    <s v="52125"/>
    <x v="0"/>
    <m/>
    <n v="11245.190219999999"/>
    <n v="3043.2203999999997"/>
    <n v="711.72090000000003"/>
    <n v="603.73565999999994"/>
    <n v="928.08405359999995"/>
    <n v="140.04"/>
    <n v="140.04"/>
    <n v="79.2"/>
    <n v="79.2"/>
    <n v="13152"/>
    <n v="13680.052799999999"/>
    <n v="13680.052799999999"/>
    <n v="13899.292799999999"/>
    <m/>
    <n v="0"/>
    <n v="30431.2440336"/>
    <n v="79515.444033599997"/>
    <m/>
    <m/>
    <m/>
    <s v="1 - CUSTOD - Jones, David L"/>
  </r>
  <r>
    <n v="215"/>
    <s v="L-39"/>
    <x v="167"/>
    <s v="CUSTOD"/>
    <n v="1"/>
    <m/>
    <s v=" 13"/>
    <s v="E"/>
    <m/>
    <m/>
    <n v="44180"/>
    <n v="44180"/>
    <n v="44622"/>
    <m/>
    <n v="0.05"/>
    <n v="2231.1"/>
    <n v="0.1"/>
    <n v="4462.2"/>
    <m/>
    <m/>
    <n v="600"/>
    <n v="51915.299999999996"/>
    <n v="1"/>
    <n v="51915.299999999996"/>
    <s v="11-220-00-653000-52125"/>
    <x v="1"/>
    <s v="220"/>
    <s v="00"/>
    <s v="653000"/>
    <s v="52125"/>
    <x v="0"/>
    <m/>
    <n v="11893.79523"/>
    <n v="3218.7485999999999"/>
    <n v="752.77184999999997"/>
    <n v="638.55818999999997"/>
    <n v="981.61449240000002"/>
    <n v="140.04"/>
    <n v="140.04"/>
    <n v="79.2"/>
    <n v="79.2"/>
    <n v="13152"/>
    <n v="13680.052799999999"/>
    <n v="13680.052799999999"/>
    <n v="13899.292799999999"/>
    <m/>
    <n v="0"/>
    <n v="31384.781162400002"/>
    <n v="83300.081162399991"/>
    <m/>
    <m/>
    <m/>
    <s v="1 - CUSTOD - Magallon, Jose"/>
  </r>
  <r>
    <n v="216"/>
    <s v="L-39"/>
    <x v="168"/>
    <s v="GRN_EQOP"/>
    <n v="1"/>
    <m/>
    <s v=" 18"/>
    <s v="E"/>
    <m/>
    <m/>
    <n v="49906"/>
    <n v="49906"/>
    <n v="50405"/>
    <m/>
    <m/>
    <m/>
    <n v="0.1"/>
    <n v="5040.5"/>
    <m/>
    <m/>
    <n v="600"/>
    <n v="56045.5"/>
    <n v="1"/>
    <n v="56045.5"/>
    <s v="11-220-00-655000-52125"/>
    <x v="1"/>
    <s v="220"/>
    <s v="00"/>
    <s v="655000"/>
    <s v="52125"/>
    <x v="0"/>
    <m/>
    <n v="12840.02405"/>
    <n v="3474.8209999999999"/>
    <n v="812.65975000000003"/>
    <n v="689.35964999999999"/>
    <n v="1059.708314"/>
    <n v="140.04"/>
    <n v="140.04"/>
    <n v="79.2"/>
    <n v="79.2"/>
    <n v="25452.6"/>
    <n v="26474.521889999996"/>
    <n v="26474.521889999996"/>
    <n v="26693.761889999998"/>
    <m/>
    <n v="0"/>
    <n v="45570.334653999991"/>
    <n v="101615.83465399999"/>
    <m/>
    <m/>
    <m/>
    <s v="1 - GRN_EQOP - Margarito, Carlos"/>
  </r>
  <r>
    <n v="217"/>
    <s v="L-39"/>
    <x v="169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381.337299999999"/>
    <n v="4433.1859999999997"/>
    <n v="1036.7935"/>
    <n v="879.48689999999999"/>
    <n v="1351.9787240000001"/>
    <n v="140.04"/>
    <n v="140.04"/>
    <n v="79.2"/>
    <n v="79.2"/>
    <n v="23232"/>
    <n v="24164.764800000001"/>
    <n v="24164.764800000001"/>
    <n v="24384.004800000002"/>
    <n v="2400"/>
    <n v="2400"/>
    <n v="50866.787224"/>
    <n v="122369.787224"/>
    <m/>
    <m/>
    <m/>
    <s v="1 - MAINT_SPC - Mosqueda, Hector"/>
  </r>
  <r>
    <n v="218"/>
    <s v="L-39"/>
    <x v="170"/>
    <s v="SWPMNT"/>
    <n v="1"/>
    <d v="2021-08-01T00:00:00"/>
    <s v=" 16"/>
    <s v="B"/>
    <n v="3419"/>
    <s v="C"/>
    <n v="39501"/>
    <n v="42920"/>
    <n v="43349"/>
    <m/>
    <m/>
    <m/>
    <m/>
    <m/>
    <m/>
    <m/>
    <n v="600"/>
    <n v="43949"/>
    <n v="1"/>
    <n v="43949"/>
    <s v="11-220-00-683000-52125"/>
    <x v="1"/>
    <s v="220"/>
    <s v="00"/>
    <s v="683000"/>
    <s v="52125"/>
    <x v="0"/>
    <m/>
    <n v="10068.715899999999"/>
    <n v="2724.8380000000002"/>
    <n v="637.26049999999998"/>
    <n v="540.57270000000005"/>
    <n v="830.98769200000004"/>
    <n v="140.04"/>
    <n v="140.04"/>
    <n v="79.2"/>
    <n v="79.2"/>
    <n v="8820"/>
    <n v="9174.1229999999996"/>
    <n v="9174.1229999999996"/>
    <n v="9393.3629999999994"/>
    <n v="2400"/>
    <n v="2400"/>
    <n v="26595.737792"/>
    <n v="70544.737792"/>
    <m/>
    <m/>
    <m/>
    <s v="1 - SWPMNT - Murillo, Edwin"/>
  </r>
  <r>
    <n v="219"/>
    <s v="L-39"/>
    <x v="171"/>
    <s v="MAINT_SPC"/>
    <n v="1"/>
    <m/>
    <s v=" 32"/>
    <s v="E"/>
    <m/>
    <m/>
    <n v="70201"/>
    <n v="70201"/>
    <n v="70903"/>
    <m/>
    <m/>
    <m/>
    <m/>
    <m/>
    <m/>
    <m/>
    <m/>
    <n v="70903"/>
    <n v="1"/>
    <n v="70903"/>
    <s v="11-220-00-651000-52125"/>
    <x v="1"/>
    <s v="220"/>
    <s v="00"/>
    <s v="651000"/>
    <s v="52125"/>
    <x v="0"/>
    <m/>
    <n v="16243.8773"/>
    <n v="4395.9859999999999"/>
    <n v="1028.0934999999999"/>
    <n v="872.1069"/>
    <n v="1340.633924"/>
    <n v="140.04"/>
    <n v="140.04"/>
    <n v="79.2"/>
    <n v="79.2"/>
    <n v="25452.6"/>
    <n v="26474.521889999996"/>
    <n v="26474.521889999996"/>
    <n v="26693.761889999998"/>
    <m/>
    <n v="0"/>
    <n v="50574.459514000002"/>
    <n v="121477.459514"/>
    <m/>
    <m/>
    <m/>
    <s v="1 - MAINT_SPC - Nonella Jr., Raymond"/>
  </r>
  <r>
    <n v="220"/>
    <s v="L-39"/>
    <x v="172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381.337299999999"/>
    <n v="4433.1859999999997"/>
    <n v="1036.7935"/>
    <n v="879.48689999999999"/>
    <n v="1351.9787240000001"/>
    <n v="140.04"/>
    <n v="140.04"/>
    <n v="79.2"/>
    <n v="79.2"/>
    <n v="33444"/>
    <n v="34786.776599999997"/>
    <n v="34786.776599999997"/>
    <n v="35006.016599999995"/>
    <m/>
    <n v="0"/>
    <n v="59088.799024"/>
    <n v="130591.79902400001"/>
    <m/>
    <m/>
    <m/>
    <s v="1 - MAINT_SPC - Oviedo, Daniel"/>
  </r>
  <r>
    <n v="221"/>
    <s v="L-39"/>
    <x v="173"/>
    <s v="GRN_EQOP"/>
    <n v="1"/>
    <m/>
    <s v=" 18"/>
    <s v="E"/>
    <m/>
    <m/>
    <n v="49906"/>
    <n v="49906"/>
    <n v="50405"/>
    <m/>
    <m/>
    <m/>
    <n v="7.4999999999999997E-2"/>
    <n v="3780.375"/>
    <m/>
    <m/>
    <n v="600"/>
    <n v="54785.375"/>
    <n v="1"/>
    <n v="54785.375"/>
    <s v="11-220-00-655000-52125"/>
    <x v="1"/>
    <s v="220"/>
    <s v="00"/>
    <s v="655000"/>
    <s v="52125"/>
    <x v="0"/>
    <m/>
    <n v="12551.329412499999"/>
    <n v="3396.6932499999998"/>
    <n v="794.38793750000002"/>
    <n v="673.86011250000001"/>
    <n v="1035.8818705000001"/>
    <n v="140.04"/>
    <n v="140.04"/>
    <n v="79.2"/>
    <n v="79.2"/>
    <n v="13152"/>
    <n v="13680.052799999999"/>
    <n v="13680.052799999999"/>
    <n v="13899.292799999999"/>
    <m/>
    <n v="0"/>
    <n v="32351.445382999998"/>
    <n v="87136.820382999998"/>
    <m/>
    <m/>
    <m/>
    <s v="1 - GRN_EQOP - Ramirez, Ismael"/>
  </r>
  <r>
    <n v="222"/>
    <s v="L-39"/>
    <x v="174"/>
    <s v="CUST_L"/>
    <n v="1"/>
    <m/>
    <s v=" 16"/>
    <s v="E"/>
    <m/>
    <m/>
    <n v="47561"/>
    <n v="47561"/>
    <n v="48037"/>
    <m/>
    <n v="0.05"/>
    <n v="2401.85"/>
    <n v="0.1"/>
    <n v="4803.7"/>
    <m/>
    <m/>
    <n v="600"/>
    <n v="55842.549999999996"/>
    <n v="1"/>
    <n v="55842.549999999996"/>
    <s v="11-220-00-653000-52125"/>
    <x v="1"/>
    <s v="220"/>
    <s v="00"/>
    <s v="653000"/>
    <s v="52125"/>
    <x v="0"/>
    <m/>
    <n v="12793.528204999999"/>
    <n v="3462.2380999999996"/>
    <n v="809.71697499999993"/>
    <n v="686.86336499999993"/>
    <n v="1055.8709354"/>
    <n v="140.04"/>
    <n v="140.04"/>
    <n v="79.2"/>
    <n v="79.2"/>
    <n v="25452.6"/>
    <n v="26474.521889999996"/>
    <n v="26474.521889999996"/>
    <n v="26693.761889999998"/>
    <m/>
    <n v="0"/>
    <n v="45501.979470399994"/>
    <n v="101344.52947039998"/>
    <m/>
    <m/>
    <m/>
    <s v="1 - CUST_L - Gallegos Jr, Frank"/>
  </r>
  <r>
    <n v="223"/>
    <s v="L-39"/>
    <x v="175"/>
    <s v="CUSTOD"/>
    <n v="1"/>
    <m/>
    <s v=" 13"/>
    <s v="E"/>
    <m/>
    <m/>
    <n v="44180"/>
    <n v="44180"/>
    <n v="44622"/>
    <m/>
    <n v="0.05"/>
    <n v="2231.1"/>
    <m/>
    <m/>
    <m/>
    <m/>
    <n v="600"/>
    <n v="47453.1"/>
    <n v="1"/>
    <n v="47453.1"/>
    <s v="11-220-00-653000-52125"/>
    <x v="1"/>
    <s v="220"/>
    <s v="00"/>
    <s v="653000"/>
    <s v="52125"/>
    <x v="0"/>
    <m/>
    <n v="10871.505209999999"/>
    <n v="2942.0922"/>
    <n v="688.06995000000006"/>
    <n v="583.67313000000001"/>
    <n v="897.24321480000003"/>
    <n v="140.04"/>
    <n v="140.04"/>
    <n v="79.2"/>
    <n v="79.2"/>
    <n v="33444"/>
    <n v="34786.776599999997"/>
    <n v="34786.776599999997"/>
    <n v="35006.016599999995"/>
    <m/>
    <n v="0"/>
    <n v="50988.600304799998"/>
    <n v="98441.700304800004"/>
    <m/>
    <m/>
    <m/>
    <s v="1 - CUSTOD - Rodriguez-Alfaro, Maria"/>
  </r>
  <r>
    <n v="224"/>
    <s v="L-39"/>
    <x v="176"/>
    <s v="CUSTOD"/>
    <n v="1"/>
    <m/>
    <s v=" 13"/>
    <s v="E"/>
    <m/>
    <m/>
    <n v="44180"/>
    <n v="44180"/>
    <n v="44622"/>
    <m/>
    <n v="0.05"/>
    <n v="2231.1"/>
    <n v="0.05"/>
    <n v="2231.1"/>
    <m/>
    <m/>
    <m/>
    <n v="49084.2"/>
    <n v="1"/>
    <n v="49084.2"/>
    <s v="11-220-00-653000-52125"/>
    <x v="1"/>
    <s v="220"/>
    <s v="00"/>
    <s v="653000"/>
    <s v="52125"/>
    <x v="0"/>
    <m/>
    <n v="11245.190219999999"/>
    <n v="3043.2203999999997"/>
    <n v="711.72090000000003"/>
    <n v="603.73565999999994"/>
    <n v="928.08405359999995"/>
    <n v="140.04"/>
    <n v="140.04"/>
    <n v="79.2"/>
    <n v="79.2"/>
    <n v="13152"/>
    <n v="13680.052799999999"/>
    <n v="13680.052799999999"/>
    <n v="13899.292799999999"/>
    <m/>
    <n v="0"/>
    <n v="30431.2440336"/>
    <n v="79515.444033599997"/>
    <m/>
    <m/>
    <m/>
    <s v="1 - CUSTOD - Stuart, Keith"/>
  </r>
  <r>
    <n v="225"/>
    <s v="L-39"/>
    <x v="177"/>
    <s v="CUSTOD"/>
    <n v="1"/>
    <m/>
    <s v=" 13"/>
    <s v="E"/>
    <m/>
    <m/>
    <n v="44180"/>
    <n v="44180"/>
    <n v="44622"/>
    <m/>
    <n v="0.05"/>
    <n v="2231.1"/>
    <n v="7.4999999999999997E-2"/>
    <n v="3346.65"/>
    <m/>
    <m/>
    <m/>
    <n v="50199.75"/>
    <n v="1"/>
    <n v="50199.75"/>
    <s v="11-220-00-653000-52125"/>
    <x v="1"/>
    <s v="220"/>
    <s v="00"/>
    <s v="653000"/>
    <s v="52125"/>
    <x v="0"/>
    <m/>
    <n v="11500.762725000001"/>
    <n v="3112.3845000000001"/>
    <n v="727.89637500000003"/>
    <n v="617.45692499999996"/>
    <n v="949.17687300000011"/>
    <n v="140.04"/>
    <n v="140.04"/>
    <n v="79.2"/>
    <n v="79.2"/>
    <n v="13152"/>
    <n v="13680.052799999999"/>
    <n v="13680.052799999999"/>
    <n v="13899.292799999999"/>
    <m/>
    <n v="0"/>
    <n v="30806.970198000003"/>
    <n v="81006.720197999995"/>
    <m/>
    <m/>
    <m/>
    <s v="1 - CUSTOD - Stuart, Kenneth"/>
  </r>
  <r>
    <n v="226"/>
    <s v="L-39"/>
    <x v="178"/>
    <s v="CUSTOD"/>
    <n v="0.5"/>
    <m/>
    <s v="13"/>
    <s v="A"/>
    <m/>
    <m/>
    <n v="18144.5"/>
    <n v="18144.5"/>
    <n v="18326"/>
    <m/>
    <m/>
    <m/>
    <m/>
    <m/>
    <m/>
    <m/>
    <m/>
    <n v="18326"/>
    <n v="0.5"/>
    <n v="9163"/>
    <s v="11-220-00-651000-52125"/>
    <x v="1"/>
    <s v="220"/>
    <s v="00"/>
    <s v="651000"/>
    <s v="52125"/>
    <x v="0"/>
    <m/>
    <n v="2099.2433000000001"/>
    <n v="568.10599999999999"/>
    <n v="132.86350000000002"/>
    <n v="112.70489999999999"/>
    <n v="173.25400400000001"/>
    <n v="140.04"/>
    <n v="70.02"/>
    <m/>
    <n v="0"/>
    <m/>
    <n v="0"/>
    <n v="0"/>
    <n v="70.02"/>
    <m/>
    <n v="0"/>
    <n v="3156.1917039999998"/>
    <n v="12319.191704000001"/>
    <m/>
    <m/>
    <m/>
    <s v="0.5 - CUSTOD - VACANT (Tankesly)"/>
  </r>
  <r>
    <n v="227"/>
    <s v="L-39"/>
    <x v="178"/>
    <s v="CUSTOD"/>
    <n v="0.5"/>
    <m/>
    <s v="13"/>
    <s v="A"/>
    <m/>
    <m/>
    <n v="18144.5"/>
    <n v="18144.5"/>
    <n v="18326"/>
    <m/>
    <m/>
    <m/>
    <m/>
    <m/>
    <m/>
    <m/>
    <m/>
    <n v="18326"/>
    <n v="0.5"/>
    <n v="9163"/>
    <s v="11-220-00-653000-52125"/>
    <x v="1"/>
    <s v="220"/>
    <s v="00"/>
    <s v="653000"/>
    <s v="52125"/>
    <x v="0"/>
    <m/>
    <n v="2099.2433000000001"/>
    <n v="568.10599999999999"/>
    <n v="132.86350000000002"/>
    <n v="112.70489999999999"/>
    <n v="173.25400400000001"/>
    <n v="140.04"/>
    <n v="70.02"/>
    <m/>
    <n v="0"/>
    <m/>
    <n v="0"/>
    <n v="0"/>
    <n v="70.02"/>
    <m/>
    <n v="0"/>
    <n v="3156.1917039999998"/>
    <n v="12319.191704000001"/>
    <m/>
    <m/>
    <m/>
    <s v="0.5 - CUSTOD - VACANT (Tankesly)"/>
  </r>
  <r>
    <n v="228"/>
    <s v="L-39"/>
    <x v="179"/>
    <s v="UTCUST"/>
    <n v="1"/>
    <m/>
    <s v=" 16"/>
    <s v="E"/>
    <m/>
    <m/>
    <n v="47561"/>
    <n v="47561"/>
    <n v="48037"/>
    <m/>
    <m/>
    <m/>
    <n v="0.1"/>
    <n v="4803.7"/>
    <m/>
    <m/>
    <n v="600"/>
    <n v="53440.7"/>
    <n v="0.5"/>
    <n v="26720.35"/>
    <s v="11-220-00-651000-52125"/>
    <x v="1"/>
    <s v="220"/>
    <s v="00"/>
    <s v="651000"/>
    <s v="52125"/>
    <x v="0"/>
    <m/>
    <n v="6121.6321849999995"/>
    <n v="1656.6616999999999"/>
    <n v="387.44507499999997"/>
    <n v="328.66030499999999"/>
    <n v="505.22837780000003"/>
    <n v="140.04"/>
    <n v="70.02"/>
    <n v="79.2"/>
    <n v="39.6"/>
    <n v="25452.6"/>
    <n v="26474.521889999996"/>
    <n v="13237.260944999998"/>
    <n v="13346.880944999999"/>
    <m/>
    <n v="0"/>
    <n v="22346.508587799995"/>
    <n v="49066.858587799994"/>
    <m/>
    <m/>
    <m/>
    <s v="0.5 - UTCUST - Yanez, Jesse"/>
  </r>
  <r>
    <n v="229"/>
    <s v="L-39"/>
    <x v="179"/>
    <s v="UTCUST"/>
    <n v="1"/>
    <m/>
    <s v=" 16"/>
    <s v="E"/>
    <m/>
    <m/>
    <n v="47561"/>
    <n v="47561"/>
    <n v="48037"/>
    <m/>
    <m/>
    <m/>
    <n v="0.1"/>
    <n v="4803.7"/>
    <m/>
    <m/>
    <n v="600"/>
    <n v="53440.7"/>
    <n v="0.5"/>
    <n v="26720.35"/>
    <s v="11-220-00-653000-52125"/>
    <x v="1"/>
    <s v="220"/>
    <s v="00"/>
    <s v="653000"/>
    <s v="52125"/>
    <x v="0"/>
    <m/>
    <n v="6121.6321849999995"/>
    <n v="1656.6616999999999"/>
    <n v="387.44507499999997"/>
    <n v="328.66030499999999"/>
    <n v="505.22837780000003"/>
    <n v="140.04"/>
    <n v="70.02"/>
    <n v="79.2"/>
    <n v="39.6"/>
    <n v="25452.6"/>
    <n v="26474.521889999996"/>
    <n v="13237.260944999998"/>
    <n v="13346.880944999999"/>
    <m/>
    <n v="0"/>
    <n v="22346.508587799995"/>
    <n v="49066.858587799994"/>
    <m/>
    <m/>
    <m/>
    <s v="0.5 - UTCUST - Yanez, Jesse"/>
  </r>
  <r>
    <n v="230"/>
    <s v="L-39"/>
    <x v="180"/>
    <s v="CUSTOD"/>
    <n v="1"/>
    <d v="2021-08-01T00:00:00"/>
    <s v=" 13"/>
    <s v="D"/>
    <m/>
    <s v="E"/>
    <n v="35970"/>
    <n v="35970"/>
    <n v="36330"/>
    <m/>
    <n v="0.05"/>
    <n v="1816.5"/>
    <m/>
    <m/>
    <m/>
    <m/>
    <n v="600"/>
    <n v="38746.5"/>
    <n v="1"/>
    <n v="38746.5"/>
    <s v="11-220-00-653000-52125"/>
    <x v="1"/>
    <s v="220"/>
    <s v="00"/>
    <s v="653000"/>
    <s v="52125"/>
    <x v="0"/>
    <m/>
    <n v="8876.8231500000002"/>
    <n v="2402.2829999999999"/>
    <n v="561.82425000000001"/>
    <n v="476.58195000000001"/>
    <n v="732.61882200000002"/>
    <n v="140.04"/>
    <n v="140.04"/>
    <n v="79.2"/>
    <n v="79.2"/>
    <n v="33444"/>
    <n v="34786.776599999997"/>
    <n v="34786.776599999997"/>
    <n v="35006.016599999995"/>
    <m/>
    <n v="0"/>
    <n v="48056.147771999997"/>
    <n v="86802.647771999997"/>
    <m/>
    <m/>
    <m/>
    <s v="1 - CUSTOD - Zuniga, Jose"/>
  </r>
  <r>
    <n v="231"/>
    <s v="CONF"/>
    <x v="181"/>
    <s v="HR_SPEC"/>
    <n v="1"/>
    <m/>
    <s v=" 20"/>
    <s v="E"/>
    <m/>
    <m/>
    <n v="71992"/>
    <n v="71992"/>
    <m/>
    <m/>
    <m/>
    <m/>
    <n v="2.5000000000000001E-2"/>
    <n v="0"/>
    <m/>
    <m/>
    <n v="1800"/>
    <n v="73792"/>
    <n v="1"/>
    <n v="73792"/>
    <s v="11-500-00-673000-52120"/>
    <x v="1"/>
    <s v="500"/>
    <s v="00"/>
    <s v="673000"/>
    <s v="52120"/>
    <x v="0"/>
    <m/>
    <n v="16905.747200000002"/>
    <n v="4575.1040000000003"/>
    <n v="1069.9840000000002"/>
    <n v="907.64160000000004"/>
    <n v="1395.2591360000001"/>
    <n v="140.04"/>
    <n v="140.04"/>
    <n v="79.2"/>
    <n v="79.2"/>
    <n v="23232"/>
    <n v="24164.764800000001"/>
    <n v="24164.764800000001"/>
    <n v="24384.004800000002"/>
    <n v="2400"/>
    <n v="2400"/>
    <n v="51637.740736000007"/>
    <n v="125429.74073600001"/>
    <m/>
    <m/>
    <m/>
    <s v="1 - HR_SPEC - Arriaga, Alma "/>
  </r>
  <r>
    <n v="232"/>
    <s v="CONF"/>
    <x v="182"/>
    <s v="PR_SPEC"/>
    <n v="1"/>
    <m/>
    <s v=" 17"/>
    <s v="E"/>
    <m/>
    <m/>
    <n v="66852"/>
    <n v="66852"/>
    <m/>
    <m/>
    <m/>
    <m/>
    <n v="0.05"/>
    <n v="0"/>
    <m/>
    <m/>
    <n v="600"/>
    <n v="67452"/>
    <n v="0.03"/>
    <n v="2023.56"/>
    <s v="52-230-00-000000-52120"/>
    <x v="5"/>
    <s v="230"/>
    <s v="00"/>
    <s v="000000"/>
    <s v="52120"/>
    <x v="0"/>
    <m/>
    <n v="463.59759600000001"/>
    <n v="125.46071999999999"/>
    <n v="29.341619999999999"/>
    <n v="24.889787999999999"/>
    <n v="38.261472480000002"/>
    <n v="140.04"/>
    <n v="4.2012"/>
    <n v="79.2"/>
    <n v="2.3759999999999999"/>
    <n v="33444"/>
    <n v="34786.776599999997"/>
    <n v="1043.603298"/>
    <n v="1050.1804979999999"/>
    <m/>
    <n v="0"/>
    <n v="1731.73169448"/>
    <n v="3755.2916944799999"/>
    <m/>
    <m/>
    <m/>
    <s v="0.03 - PR_SPEC - Del Real, Abel"/>
  </r>
  <r>
    <n v="233"/>
    <s v="CONF"/>
    <x v="182"/>
    <s v="PR_SPEC"/>
    <n v="1"/>
    <m/>
    <s v=" 17"/>
    <s v="E"/>
    <m/>
    <m/>
    <n v="66852"/>
    <n v="66852"/>
    <m/>
    <m/>
    <m/>
    <m/>
    <n v="0.05"/>
    <n v="0"/>
    <m/>
    <m/>
    <n v="600"/>
    <n v="67452"/>
    <n v="0.97"/>
    <n v="65428.439999999995"/>
    <s v="11-210-00-672010-52120"/>
    <x v="1"/>
    <s v="210"/>
    <s v="00"/>
    <s v="672010"/>
    <s v="52120"/>
    <x v="0"/>
    <m/>
    <n v="14989.655604"/>
    <n v="4056.5632799999998"/>
    <n v="948.71237999999994"/>
    <n v="804.769812"/>
    <n v="1237.1209435200001"/>
    <n v="140.04"/>
    <n v="135.83879999999999"/>
    <n v="79.2"/>
    <n v="76.823999999999998"/>
    <n v="33444"/>
    <n v="34786.776599999997"/>
    <n v="33743.173301999996"/>
    <n v="33955.836101999994"/>
    <m/>
    <n v="0"/>
    <n v="55992.658121519999"/>
    <n v="121421.09812151999"/>
    <m/>
    <m/>
    <m/>
    <s v="0.97 - PR_SPEC - Del Real, Abel"/>
  </r>
  <r>
    <n v="234"/>
    <s v="CONF"/>
    <x v="183"/>
    <s v="EXEC_ASST"/>
    <n v="1"/>
    <m/>
    <s v=" 20"/>
    <s v="E"/>
    <m/>
    <m/>
    <n v="71992"/>
    <n v="71992"/>
    <m/>
    <m/>
    <m/>
    <m/>
    <m/>
    <m/>
    <m/>
    <m/>
    <n v="600"/>
    <n v="72592"/>
    <n v="1"/>
    <n v="72592"/>
    <s v="11-400-00-665000-52120"/>
    <x v="1"/>
    <s v="400"/>
    <s v="00"/>
    <s v="665000"/>
    <s v="52120"/>
    <x v="0"/>
    <m/>
    <n v="16630.8272"/>
    <n v="4500.7039999999997"/>
    <n v="1052.5840000000001"/>
    <n v="892.88160000000005"/>
    <n v="1372.5695360000002"/>
    <n v="140.04"/>
    <n v="140.04"/>
    <n v="79.2"/>
    <n v="79.2"/>
    <n v="23232"/>
    <n v="24164.764800000001"/>
    <n v="24164.764800000001"/>
    <n v="24384.004800000002"/>
    <n v="2400"/>
    <n v="2400"/>
    <n v="51233.571135999999"/>
    <n v="123825.571136"/>
    <m/>
    <m/>
    <m/>
    <s v="1 - EXEC_ASST - Flores, Jacque"/>
  </r>
  <r>
    <n v="235"/>
    <s v="CONF"/>
    <x v="184"/>
    <s v="EXEC_ASST"/>
    <n v="1"/>
    <m/>
    <s v=" 20"/>
    <s v="E"/>
    <m/>
    <m/>
    <n v="71992"/>
    <n v="71992"/>
    <m/>
    <m/>
    <m/>
    <m/>
    <m/>
    <m/>
    <m/>
    <m/>
    <m/>
    <n v="71992"/>
    <n v="1"/>
    <n v="71992"/>
    <s v="11-300-00-601000-52120"/>
    <x v="1"/>
    <s v="300"/>
    <s v="00"/>
    <s v="601000"/>
    <s v="52120"/>
    <x v="0"/>
    <m/>
    <n v="16493.367200000001"/>
    <n v="4463.5039999999999"/>
    <n v="1043.884"/>
    <n v="885.50160000000005"/>
    <n v="1361.2247360000001"/>
    <n v="140.04"/>
    <n v="140.04"/>
    <n v="79.2"/>
    <n v="79.2"/>
    <n v="13152"/>
    <n v="13680.052799999999"/>
    <n v="13680.052799999999"/>
    <n v="13899.292799999999"/>
    <m/>
    <n v="0"/>
    <n v="38146.774336000002"/>
    <n v="110138.774336"/>
    <m/>
    <m/>
    <m/>
    <s v="1 - EXEC_ASST - Hayashi, Dina "/>
  </r>
  <r>
    <n v="236"/>
    <s v="CONF"/>
    <x v="185"/>
    <s v="EXEC_ASST"/>
    <n v="1"/>
    <d v="2021-09-01T00:00:00"/>
    <s v=" 20"/>
    <s v="D"/>
    <n v="11428"/>
    <s v="E"/>
    <n v="59990"/>
    <n v="71418"/>
    <m/>
    <m/>
    <m/>
    <m/>
    <m/>
    <m/>
    <m/>
    <m/>
    <m/>
    <n v="71418"/>
    <n v="1"/>
    <n v="71418"/>
    <s v="11-500-00-673000-52120"/>
    <x v="1"/>
    <s v="500"/>
    <s v="00"/>
    <s v="673000"/>
    <s v="52120"/>
    <x v="0"/>
    <m/>
    <n v="16361.863799999999"/>
    <n v="4427.9160000000002"/>
    <n v="1035.5610000000001"/>
    <n v="878.44140000000004"/>
    <n v="1350.3715440000001"/>
    <n v="140.04"/>
    <n v="140.04"/>
    <n v="79.2"/>
    <n v="79.2"/>
    <n v="33444"/>
    <n v="34786.776599999997"/>
    <n v="34786.776599999997"/>
    <n v="35006.016599999995"/>
    <m/>
    <n v="0"/>
    <n v="59060.170343999998"/>
    <n v="130478.170344"/>
    <m/>
    <m/>
    <m/>
    <s v="1 - EXEC_ASST - VACANT (Lozada, Christabele)"/>
  </r>
  <r>
    <n v="237"/>
    <s v="CONF"/>
    <x v="186"/>
    <s v="EXEC_ASST"/>
    <n v="1"/>
    <m/>
    <s v=" 20"/>
    <s v="E"/>
    <m/>
    <m/>
    <n v="71992"/>
    <n v="71992"/>
    <m/>
    <m/>
    <m/>
    <m/>
    <m/>
    <m/>
    <m/>
    <m/>
    <m/>
    <n v="71992"/>
    <n v="1"/>
    <n v="71992"/>
    <s v="11-210-00-672010-52120"/>
    <x v="1"/>
    <s v="210"/>
    <s v="00"/>
    <s v="672010"/>
    <s v="52120"/>
    <x v="0"/>
    <m/>
    <n v="16493.367200000001"/>
    <n v="4463.5039999999999"/>
    <n v="1043.884"/>
    <n v="885.50160000000005"/>
    <n v="1361.2247360000001"/>
    <n v="140.04"/>
    <n v="140.04"/>
    <n v="79.2"/>
    <n v="79.2"/>
    <n v="33444"/>
    <n v="34786.776599999997"/>
    <n v="34786.776599999997"/>
    <n v="35006.016599999995"/>
    <m/>
    <n v="0"/>
    <n v="59253.498135999995"/>
    <n v="131245.49813600001"/>
    <m/>
    <m/>
    <m/>
    <s v="1 - EXEC_ASST - Meldahl, Vanessa"/>
  </r>
  <r>
    <n v="238"/>
    <s v="CONF"/>
    <x v="187"/>
    <s v="HR_SPEC"/>
    <n v="1"/>
    <m/>
    <s v=" 20"/>
    <s v="E"/>
    <m/>
    <m/>
    <n v="71992"/>
    <n v="71992"/>
    <m/>
    <m/>
    <m/>
    <m/>
    <n v="0.1"/>
    <n v="0"/>
    <m/>
    <n v="0"/>
    <n v="1200"/>
    <n v="73192"/>
    <n v="1"/>
    <n v="73192"/>
    <s v="11-500-00-673000-52120"/>
    <x v="1"/>
    <s v="500"/>
    <s v="00"/>
    <s v="673000"/>
    <s v="52120"/>
    <x v="0"/>
    <m/>
    <n v="16768.287199999999"/>
    <n v="4537.9039999999995"/>
    <n v="1061.2840000000001"/>
    <n v="900.26160000000004"/>
    <n v="1383.914336"/>
    <n v="140.04"/>
    <n v="140.04"/>
    <n v="79.2"/>
    <n v="79.2"/>
    <n v="17424"/>
    <n v="18123.5736"/>
    <n v="18123.5736"/>
    <n v="18342.813600000001"/>
    <n v="2400"/>
    <n v="2400"/>
    <n v="45394.464736000002"/>
    <n v="118586.46473599999"/>
    <m/>
    <m/>
    <m/>
    <s v="1 - HR_SPEC - Raras, Louann "/>
  </r>
  <r>
    <n v="239"/>
    <s v="CONF"/>
    <x v="188"/>
    <s v="HR_ANALY"/>
    <n v="1"/>
    <m/>
    <s v=" 28"/>
    <s v="E"/>
    <m/>
    <m/>
    <n v="87715"/>
    <n v="87715"/>
    <m/>
    <m/>
    <m/>
    <m/>
    <m/>
    <m/>
    <m/>
    <m/>
    <n v="1800"/>
    <n v="89515"/>
    <n v="1"/>
    <n v="89515"/>
    <s v="11-500-00-673000-52120"/>
    <x v="1"/>
    <s v="500"/>
    <s v="00"/>
    <s v="673000"/>
    <s v="52120"/>
    <x v="0"/>
    <m/>
    <n v="20507.886500000001"/>
    <n v="5549.93"/>
    <n v="1297.9675"/>
    <n v="1101.0345"/>
    <n v="1692.54962"/>
    <n v="140.04"/>
    <n v="140.04"/>
    <n v="79.2"/>
    <n v="79.2"/>
    <n v="25452.6"/>
    <n v="26474.521889999996"/>
    <n v="26474.521889999996"/>
    <n v="26693.761889999998"/>
    <m/>
    <n v="0"/>
    <n v="56843.130010000001"/>
    <n v="146358.13000999999"/>
    <m/>
    <m/>
    <m/>
    <s v="1 - HR_ANALY - Rowe, Erica C"/>
  </r>
  <r>
    <n v="240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4"/>
    <n v="35962.800000000003"/>
    <s v="11-100-00-661000-52120"/>
    <x v="1"/>
    <s v="100"/>
    <s v="00"/>
    <s v="661000"/>
    <s v="52120"/>
    <x v="0"/>
    <m/>
    <n v="8239.0774799999999"/>
    <n v="2229.6936000000001"/>
    <n v="521.46060000000011"/>
    <n v="442.34244000000007"/>
    <n v="679.98462240000015"/>
    <n v="140.04"/>
    <n v="56.015999999999998"/>
    <n v="79.2"/>
    <n v="31.680000000000003"/>
    <n v="33444"/>
    <n v="34786.776599999997"/>
    <n v="13914.710639999999"/>
    <n v="14002.406639999999"/>
    <m/>
    <n v="0"/>
    <n v="26114.965382399998"/>
    <n v="62077.765382400001"/>
    <m/>
    <m/>
    <m/>
    <s v="0.4 - SR_EX_ASST - Serrano, Lucille"/>
  </r>
  <r>
    <n v="241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3"/>
    <n v="26972.1"/>
    <s v="11-100-00-680500-52120"/>
    <x v="1"/>
    <s v="100"/>
    <s v="00"/>
    <s v="680500"/>
    <s v="52120"/>
    <x v="0"/>
    <m/>
    <n v="6179.3081099999999"/>
    <n v="1672.2701999999999"/>
    <n v="391.09544999999997"/>
    <n v="331.75682999999998"/>
    <n v="509.98846680000003"/>
    <n v="140.04"/>
    <n v="42.011999999999993"/>
    <n v="79.2"/>
    <n v="23.76"/>
    <n v="33444"/>
    <n v="34786.776599999997"/>
    <n v="10436.032979999998"/>
    <n v="10501.804979999999"/>
    <m/>
    <n v="0"/>
    <n v="19586.224036799998"/>
    <n v="46558.324036799997"/>
    <m/>
    <m/>
    <m/>
    <s v="0.3 - SR_EX_ASST - Serrano, Lucille"/>
  </r>
  <r>
    <n v="242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3"/>
    <n v="26972.1"/>
    <s v="11-140-00-684000-52120"/>
    <x v="1"/>
    <s v="140"/>
    <s v="00"/>
    <s v="684000"/>
    <s v="52120"/>
    <x v="0"/>
    <m/>
    <n v="6179.3081099999999"/>
    <n v="1672.2701999999999"/>
    <n v="391.09544999999997"/>
    <n v="331.75682999999998"/>
    <n v="509.98846680000003"/>
    <n v="140.04"/>
    <n v="42.011999999999993"/>
    <n v="79.2"/>
    <n v="23.76"/>
    <n v="33444"/>
    <n v="34786.776599999997"/>
    <n v="10436.032979999998"/>
    <n v="10501.804979999999"/>
    <m/>
    <n v="0"/>
    <n v="19586.224036799998"/>
    <n v="46558.324036799997"/>
    <m/>
    <m/>
    <m/>
    <s v="0.3 - SR_EX_ASST - Serrano, Lucille"/>
  </r>
  <r>
    <n v="243"/>
    <s v="CONF"/>
    <x v="190"/>
    <s v="HR_SPEC"/>
    <n v="1"/>
    <m/>
    <s v=" 20"/>
    <s v="E"/>
    <m/>
    <m/>
    <n v="71992"/>
    <n v="71992"/>
    <m/>
    <m/>
    <m/>
    <m/>
    <n v="0.05"/>
    <n v="0"/>
    <m/>
    <m/>
    <n v="600"/>
    <n v="72592"/>
    <n v="1"/>
    <n v="72592"/>
    <s v="11-500-00-673000-52120"/>
    <x v="1"/>
    <s v="500"/>
    <s v="00"/>
    <s v="673000"/>
    <s v="52120"/>
    <x v="0"/>
    <m/>
    <n v="16630.8272"/>
    <n v="4500.7039999999997"/>
    <n v="1052.5840000000001"/>
    <n v="892.88160000000005"/>
    <n v="1372.5695360000002"/>
    <n v="140.04"/>
    <n v="140.04"/>
    <n v="79.2"/>
    <n v="79.2"/>
    <n v="23232"/>
    <n v="24164.764800000001"/>
    <n v="24164.764800000001"/>
    <n v="24384.004800000002"/>
    <n v="2400"/>
    <n v="2400"/>
    <n v="51233.571135999999"/>
    <n v="123825.571136"/>
    <m/>
    <m/>
    <m/>
    <s v="1 - HR_SPEC - Torres-Zuniga, Nora"/>
  </r>
  <r>
    <n v="244"/>
    <s v="CONF"/>
    <x v="191"/>
    <s v="EXEC_ASST"/>
    <n v="1"/>
    <m/>
    <s v=" 20"/>
    <s v="E"/>
    <m/>
    <m/>
    <n v="71992"/>
    <n v="71992"/>
    <m/>
    <m/>
    <m/>
    <m/>
    <m/>
    <m/>
    <m/>
    <m/>
    <n v="600"/>
    <n v="72592"/>
    <n v="1"/>
    <n v="72592"/>
    <s v="11-140-00-684000-52120"/>
    <x v="1"/>
    <s v="140"/>
    <s v="00"/>
    <s v="684000"/>
    <s v="52120"/>
    <x v="0"/>
    <m/>
    <n v="16630.8272"/>
    <n v="4500.7039999999997"/>
    <n v="1052.5840000000001"/>
    <n v="892.88160000000005"/>
    <n v="1372.5695360000002"/>
    <n v="140.04"/>
    <n v="140.04"/>
    <n v="79.2"/>
    <n v="79.2"/>
    <n v="33444"/>
    <n v="34786.776599999997"/>
    <n v="34786.776599999997"/>
    <n v="35006.016599999995"/>
    <m/>
    <n v="0"/>
    <n v="59455.582935999992"/>
    <n v="132047.58293599999"/>
    <m/>
    <m/>
    <m/>
    <s v="1 - EXEC_ASST - Ugale, Teresa "/>
  </r>
  <r>
    <n v="245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4"/>
    <n v="26980.800000000003"/>
    <s v="11-100-00-661000-52120"/>
    <x v="1"/>
    <s v="100"/>
    <s v="00"/>
    <s v="661000"/>
    <s v="52120"/>
    <x v="0"/>
    <m/>
    <n v="6181.3012800000006"/>
    <n v="1672.8096000000003"/>
    <n v="391.22160000000008"/>
    <n v="331.86384000000004"/>
    <n v="510.15296640000008"/>
    <n v="140.04"/>
    <n v="56.015999999999998"/>
    <n v="79.2"/>
    <n v="31.680000000000003"/>
    <n v="23232"/>
    <n v="24164.764800000001"/>
    <n v="9665.9059200000011"/>
    <n v="9753.601920000001"/>
    <n v="2400"/>
    <n v="960"/>
    <n v="19800.951206400001"/>
    <n v="46781.751206400004"/>
    <m/>
    <m/>
    <m/>
    <s v="0.4 - ADM_ASST - Zavala, Cristina"/>
  </r>
  <r>
    <n v="246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3"/>
    <n v="20235.599999999999"/>
    <s v="11-100-00-680500-52120"/>
    <x v="1"/>
    <s v="100"/>
    <s v="00"/>
    <s v="680500"/>
    <s v="52120"/>
    <x v="0"/>
    <m/>
    <n v="4635.9759599999998"/>
    <n v="1254.6071999999999"/>
    <n v="293.4162"/>
    <n v="248.89787999999999"/>
    <n v="382.61472479999998"/>
    <n v="140.04"/>
    <n v="42.011999999999993"/>
    <n v="79.2"/>
    <n v="23.76"/>
    <n v="23232"/>
    <n v="24164.764800000001"/>
    <n v="7249.4294399999999"/>
    <n v="7315.2014399999998"/>
    <n v="2400"/>
    <n v="720"/>
    <n v="14850.713404800001"/>
    <n v="35086.313404799999"/>
    <m/>
    <m/>
    <m/>
    <s v="0.3 - ADM_ASST - Zavala, Cristina"/>
  </r>
  <r>
    <n v="247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3"/>
    <n v="20235.599999999999"/>
    <s v="11-100-00-682000-52120"/>
    <x v="1"/>
    <s v="100"/>
    <s v="00"/>
    <s v="682000"/>
    <s v="52120"/>
    <x v="0"/>
    <m/>
    <n v="4635.9759599999998"/>
    <n v="1254.6071999999999"/>
    <n v="293.4162"/>
    <n v="248.89787999999999"/>
    <n v="382.61472479999998"/>
    <n v="140.04"/>
    <n v="42.011999999999993"/>
    <n v="79.2"/>
    <n v="23.76"/>
    <n v="23232"/>
    <n v="24164.764800000001"/>
    <n v="7249.4294399999999"/>
    <n v="7315.2014399999998"/>
    <n v="2400"/>
    <n v="720"/>
    <n v="14850.713404800001"/>
    <n v="35086.313404799999"/>
    <m/>
    <m/>
    <m/>
    <s v="0.3 - ADM_ASST - Zavala, Cristina"/>
  </r>
  <r>
    <n v="248"/>
    <s v="SUPV"/>
    <x v="193"/>
    <s v="FS_SUPV"/>
    <n v="1"/>
    <d v="2021-10-01T00:00:00"/>
    <s v=" 19"/>
    <s v="D"/>
    <n v="17103"/>
    <s v="E"/>
    <n v="53901"/>
    <n v="71004"/>
    <m/>
    <m/>
    <m/>
    <m/>
    <m/>
    <m/>
    <m/>
    <m/>
    <m/>
    <n v="71004"/>
    <n v="1"/>
    <n v="71004"/>
    <s v="12-230-00-679000-52115"/>
    <x v="0"/>
    <s v="230"/>
    <s v="00"/>
    <s v="679000"/>
    <s v="52115"/>
    <x v="0"/>
    <m/>
    <n v="16267.0164"/>
    <n v="4402.2479999999996"/>
    <n v="1029.558"/>
    <n v="873.3492"/>
    <n v="1342.5436320000001"/>
    <n v="140.04"/>
    <n v="140.04"/>
    <n v="79.2"/>
    <n v="79.2"/>
    <n v="23232"/>
    <n v="24164.764800000001"/>
    <n v="24164.764800000001"/>
    <n v="24384.004800000002"/>
    <n v="2400"/>
    <n v="2400"/>
    <n v="50698.720032000005"/>
    <n v="121702.72003200001"/>
    <s v="Steven Crow"/>
    <s v="David Techaira"/>
    <s v="HEERF 1 &amp; 2 Funding (CARES)"/>
    <s v="1 - FS_SUPV - Miller, Lea F"/>
  </r>
  <r>
    <n v="249"/>
    <s v="SUPV"/>
    <x v="194"/>
    <s v="CUST_SPR"/>
    <n v="1"/>
    <d v="2021-10-01T00:00:00"/>
    <s v=" 19"/>
    <s v="D"/>
    <n v="17103"/>
    <s v="E"/>
    <n v="53901"/>
    <n v="71004"/>
    <m/>
    <m/>
    <m/>
    <m/>
    <m/>
    <m/>
    <m/>
    <m/>
    <m/>
    <n v="71004"/>
    <n v="0.75"/>
    <n v="53253"/>
    <s v="11-220-00-653000-52115"/>
    <x v="1"/>
    <s v="220"/>
    <s v="00"/>
    <s v="653000"/>
    <s v="52115"/>
    <x v="0"/>
    <m/>
    <n v="12200.2623"/>
    <n v="3301.6860000000001"/>
    <n v="772.16849999999999"/>
    <n v="655.01189999999997"/>
    <n v="1006.907724"/>
    <n v="140.04"/>
    <n v="105.03"/>
    <n v="79.2"/>
    <n v="59.400000000000006"/>
    <n v="17424"/>
    <n v="18123.5736"/>
    <n v="13592.680199999999"/>
    <n v="13757.110199999999"/>
    <n v="2400"/>
    <n v="1800"/>
    <n v="33493.146624000001"/>
    <n v="86746.146624000001"/>
    <m/>
    <m/>
    <m/>
    <s v="0.75 - CUST_SPR - Munoz, George"/>
  </r>
  <r>
    <n v="250"/>
    <s v="SUPV"/>
    <x v="194"/>
    <s v="CUST_SPR"/>
    <n v="1"/>
    <d v="2021-10-01T00:00:00"/>
    <s v=" 19"/>
    <s v="D"/>
    <n v="17103"/>
    <s v="E"/>
    <n v="53901"/>
    <n v="71004"/>
    <m/>
    <m/>
    <m/>
    <m/>
    <m/>
    <m/>
    <m/>
    <m/>
    <m/>
    <n v="71004"/>
    <n v="0.25"/>
    <n v="17751"/>
    <s v="11-220-00-683000-52115"/>
    <x v="1"/>
    <s v="220"/>
    <s v="00"/>
    <s v="683000"/>
    <s v="52115"/>
    <x v="0"/>
    <m/>
    <n v="4066.7541000000001"/>
    <n v="1100.5619999999999"/>
    <n v="257.3895"/>
    <n v="218.3373"/>
    <n v="335.63590800000003"/>
    <n v="140.04"/>
    <n v="35.01"/>
    <n v="79.2"/>
    <n v="19.8"/>
    <n v="17424"/>
    <n v="18123.5736"/>
    <n v="4530.8933999999999"/>
    <n v="4585.7034000000003"/>
    <n v="2400"/>
    <n v="600"/>
    <n v="11164.382208000001"/>
    <n v="28915.382208000003"/>
    <m/>
    <m/>
    <m/>
    <s v="0.25 - CUST_SPR - Munoz, George"/>
  </r>
  <r>
    <n v="251"/>
    <s v="SUPV"/>
    <x v="195"/>
    <s v="FS_SUPV"/>
    <n v="0.65"/>
    <d v="2021-10-01T00:00:00"/>
    <s v=" 19"/>
    <s v="B"/>
    <n v="10095.15"/>
    <s v="C"/>
    <n v="31759.65"/>
    <n v="41854.800000000003"/>
    <m/>
    <m/>
    <m/>
    <m/>
    <m/>
    <m/>
    <m/>
    <m/>
    <m/>
    <n v="41854.800000000003"/>
    <n v="1"/>
    <n v="41854.800000000003"/>
    <s v="12-230-00-679000-52115"/>
    <x v="0"/>
    <s v="230"/>
    <s v="00"/>
    <s v="679000"/>
    <s v="52115"/>
    <x v="0"/>
    <m/>
    <n v="9588.9346800000003"/>
    <n v="2594.9976000000001"/>
    <n v="606.89460000000008"/>
    <n v="514.81404000000009"/>
    <n v="791.39055840000015"/>
    <n v="140.04"/>
    <n v="140.04"/>
    <m/>
    <n v="0"/>
    <n v="0"/>
    <n v="0"/>
    <n v="0"/>
    <n v="140.04"/>
    <m/>
    <n v="0"/>
    <n v="14237.071478400001"/>
    <n v="56091.871478400004"/>
    <s v="Steven Crow"/>
    <s v="David Techaira"/>
    <s v="HEERF 1 &amp; 2 Funding (CARES)"/>
    <s v="1 - FS_SUPV - Rinsamout, Sabrina"/>
  </r>
  <r>
    <n v="252"/>
    <s v="SUPV"/>
    <x v="196"/>
    <s v="PYRL_SUP"/>
    <n v="1"/>
    <m/>
    <s v=" 32"/>
    <s v="E"/>
    <m/>
    <m/>
    <n v="98809"/>
    <n v="98809"/>
    <m/>
    <m/>
    <m/>
    <m/>
    <m/>
    <m/>
    <m/>
    <m/>
    <m/>
    <n v="98809"/>
    <n v="0.03"/>
    <n v="2964.27"/>
    <s v="52-230-00-000000-52115"/>
    <x v="5"/>
    <s v="230"/>
    <s v="00"/>
    <s v="000000"/>
    <s v="52115"/>
    <x v="0"/>
    <m/>
    <n v="679.11425699999995"/>
    <n v="183.78474"/>
    <n v="42.981915000000001"/>
    <n v="36.460521"/>
    <n v="56.048417160000007"/>
    <n v="140.04"/>
    <n v="4.2012"/>
    <n v="79.2"/>
    <n v="2.3759999999999999"/>
    <n v="23232"/>
    <n v="24164.764800000001"/>
    <n v="724.94294400000001"/>
    <n v="731.52014399999996"/>
    <n v="2400"/>
    <n v="72"/>
    <n v="1801.9099941599998"/>
    <n v="4766.1799941600002"/>
    <m/>
    <m/>
    <m/>
    <s v="0.03 - PYRL_SUP - Sanchez, Dora "/>
  </r>
  <r>
    <n v="253"/>
    <s v="SUPV"/>
    <x v="196"/>
    <s v="PYRL_SUP"/>
    <n v="1"/>
    <m/>
    <s v=" 32"/>
    <s v="E"/>
    <m/>
    <m/>
    <n v="98809"/>
    <n v="98809"/>
    <m/>
    <m/>
    <m/>
    <m/>
    <m/>
    <m/>
    <m/>
    <m/>
    <m/>
    <n v="98809"/>
    <n v="0.97"/>
    <n v="95844.73"/>
    <s v="11-210-00-672010-52115"/>
    <x v="1"/>
    <s v="210"/>
    <s v="00"/>
    <s v="672010"/>
    <s v="52115"/>
    <x v="0"/>
    <m/>
    <n v="21958.027642999998"/>
    <n v="5942.3732599999994"/>
    <n v="1389.748585"/>
    <n v="1178.890179"/>
    <n v="1812.23215484"/>
    <n v="140.04"/>
    <n v="135.83879999999999"/>
    <n v="79.2"/>
    <n v="76.823999999999998"/>
    <n v="23232"/>
    <n v="24164.764800000001"/>
    <n v="23439.821855999999"/>
    <n v="23652.484655999997"/>
    <n v="2400"/>
    <n v="2328"/>
    <n v="58261.756477839997"/>
    <n v="154106.48647783999"/>
    <m/>
    <m/>
    <m/>
    <s v="0.97 - PYRL_SUP - Sanchez, Dora "/>
  </r>
  <r>
    <n v="254"/>
    <s v="MGMT"/>
    <x v="197"/>
    <s v="DIR_ECE"/>
    <n v="1"/>
    <m/>
    <n v="9"/>
    <s v="E"/>
    <m/>
    <m/>
    <n v="112132"/>
    <n v="112132"/>
    <m/>
    <m/>
    <m/>
    <m/>
    <m/>
    <m/>
    <m/>
    <m/>
    <m/>
    <n v="112132"/>
    <n v="0.8"/>
    <n v="89705.600000000006"/>
    <s v="33-300-00-000000-51210"/>
    <x v="2"/>
    <s v="300"/>
    <s v="00"/>
    <s v="000000"/>
    <s v="51210"/>
    <x v="1"/>
    <n v="15178.187519999999"/>
    <m/>
    <m/>
    <n v="1300.7312000000002"/>
    <n v="1103.37888"/>
    <n v="1696.1534848000001"/>
    <n v="140.04"/>
    <n v="112.032"/>
    <n v="79.2"/>
    <n v="63.360000000000007"/>
    <n v="13152"/>
    <n v="13680.052799999999"/>
    <n v="10944.042240000001"/>
    <n v="11119.434240000001"/>
    <m/>
    <n v="0"/>
    <n v="30397.885324800001"/>
    <n v="120103.48532480001"/>
    <m/>
    <m/>
    <m/>
    <s v="0.8 - DIR_ECE - Adamson, Anne "/>
  </r>
  <r>
    <n v="255"/>
    <s v="MGMT"/>
    <x v="197"/>
    <s v="DIR_ECE"/>
    <n v="1"/>
    <m/>
    <n v="9"/>
    <s v="E"/>
    <m/>
    <m/>
    <n v="112132"/>
    <n v="112132"/>
    <m/>
    <m/>
    <m/>
    <m/>
    <m/>
    <m/>
    <m/>
    <m/>
    <m/>
    <n v="112132"/>
    <n v="0.2"/>
    <n v="22426.400000000001"/>
    <s v="11-350-00-601000-51210"/>
    <x v="1"/>
    <s v="350"/>
    <s v="00"/>
    <s v="601000"/>
    <s v="51210"/>
    <x v="1"/>
    <n v="3794.5468799999999"/>
    <m/>
    <m/>
    <n v="325.18280000000004"/>
    <n v="275.84472"/>
    <n v="424.03837120000003"/>
    <n v="140.04"/>
    <n v="28.007999999999999"/>
    <n v="79.2"/>
    <n v="15.840000000000002"/>
    <n v="13152"/>
    <n v="13680.052799999999"/>
    <n v="2736.0105600000002"/>
    <n v="2779.8585600000001"/>
    <m/>
    <n v="0"/>
    <n v="7599.4713312000003"/>
    <n v="30025.871331200004"/>
    <m/>
    <m/>
    <m/>
    <s v="0.2 - DIR_ECE - Adamson, Anne "/>
  </r>
  <r>
    <n v="256"/>
    <s v="MGMT"/>
    <x v="198"/>
    <s v="AST_DEAN"/>
    <n v="1"/>
    <m/>
    <n v="6"/>
    <s v="E"/>
    <m/>
    <m/>
    <n v="130402"/>
    <n v="130402"/>
    <m/>
    <m/>
    <m/>
    <m/>
    <m/>
    <m/>
    <m/>
    <m/>
    <m/>
    <n v="130402"/>
    <n v="1"/>
    <n v="130402"/>
    <s v="12-350-00-700330-51210"/>
    <x v="0"/>
    <s v="350"/>
    <s v="00"/>
    <s v="700330"/>
    <s v="51210"/>
    <x v="1"/>
    <n v="22064.018399999997"/>
    <m/>
    <m/>
    <n v="1890.8290000000002"/>
    <n v="1603.9446"/>
    <n v="2465.641016"/>
    <n v="140.04"/>
    <n v="140.04"/>
    <n v="79.2"/>
    <n v="79.2"/>
    <n v="25452.6"/>
    <n v="26474.521889999996"/>
    <n v="26474.521889999996"/>
    <n v="26693.761889999998"/>
    <m/>
    <n v="0"/>
    <n v="54718.194905999997"/>
    <n v="185120.19490599999"/>
    <s v="Cathryn Wilkinson"/>
    <s v="Sharon Albert"/>
    <s v="Strong Workforce"/>
    <s v="1 - AST_DEAN - Albert, Sharon"/>
  </r>
  <r>
    <n v="257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1"/>
    <n v="12425.2"/>
    <s v="11-330-00-601000-52130"/>
    <x v="1"/>
    <s v="330"/>
    <s v="00"/>
    <s v="601000"/>
    <s v="52130"/>
    <x v="0"/>
    <m/>
    <n v="2846.6133199999999"/>
    <n v="770.36240000000009"/>
    <n v="180.16540000000003"/>
    <n v="152.82996"/>
    <n v="234.93568160000004"/>
    <n v="140.04"/>
    <n v="14.004"/>
    <n v="79.2"/>
    <n v="7.9200000000000008"/>
    <n v="13152"/>
    <n v="13680.052799999999"/>
    <n v="1368.0052800000001"/>
    <n v="1389.9292800000001"/>
    <m/>
    <n v="0"/>
    <n v="5574.8360416000005"/>
    <n v="18000.0360416"/>
    <m/>
    <m/>
    <m/>
    <s v="0.1 - DIR_HSII - Almendariz, Moises"/>
  </r>
  <r>
    <n v="258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25"/>
    <n v="31063"/>
    <s v="12-100-00-709650-52130"/>
    <x v="0"/>
    <s v="100"/>
    <s v="00"/>
    <s v="709650"/>
    <s v="52130"/>
    <x v="0"/>
    <m/>
    <n v="7116.5333000000001"/>
    <n v="1925.9059999999999"/>
    <n v="450.4135"/>
    <n v="382.07490000000001"/>
    <n v="587.339204"/>
    <n v="140.04"/>
    <n v="35.01"/>
    <n v="79.2"/>
    <n v="19.8"/>
    <n v="13152"/>
    <n v="13680.052799999999"/>
    <n v="3420.0131999999999"/>
    <n v="3474.8231999999998"/>
    <m/>
    <n v="0"/>
    <n v="13937.090103999999"/>
    <n v="45000.090104000003"/>
    <s v="Raul Rodriguez"/>
    <s v="Moises Almendariz"/>
    <s v="Title V HSI Cultivamos"/>
    <s v="0.25 - DIR_HSII - Almendariz, Moises"/>
  </r>
  <r>
    <n v="259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5"/>
    <n v="62126"/>
    <s v="12-330-00-709831-52130"/>
    <x v="0"/>
    <s v="330"/>
    <s v="00"/>
    <s v="709831"/>
    <s v="52130"/>
    <x v="0"/>
    <m/>
    <n v="14233.0666"/>
    <n v="3851.8119999999999"/>
    <n v="900.827"/>
    <n v="764.14980000000003"/>
    <n v="1174.678408"/>
    <n v="140.04"/>
    <n v="70.02"/>
    <n v="79.2"/>
    <n v="39.6"/>
    <n v="13152"/>
    <n v="13680.052799999999"/>
    <n v="6840.0263999999997"/>
    <n v="6949.6463999999996"/>
    <m/>
    <n v="0"/>
    <n v="27874.180207999998"/>
    <n v="90000.180208000005"/>
    <s v="Raul Rodriguez"/>
    <s v="Moises Almendariz"/>
    <s v="HSI STEM GPS"/>
    <s v="0.5 - DIR_HSII - Almendariz, Moises"/>
  </r>
  <r>
    <s v="259a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15"/>
    <n v="18637.8"/>
    <s v="12-330-00-679040-52130"/>
    <x v="0"/>
    <s v="330"/>
    <s v="00"/>
    <s v="679040"/>
    <s v="52130"/>
    <x v="0"/>
    <m/>
    <n v="4269.9199799999997"/>
    <n v="1155.5436"/>
    <n v="270.24810000000002"/>
    <n v="229.24493999999999"/>
    <n v="352.40352239999999"/>
    <n v="140.04"/>
    <n v="21.005999999999997"/>
    <n v="79.2"/>
    <n v="11.88"/>
    <n v="13152"/>
    <n v="13680.052799999999"/>
    <n v="2052.00792"/>
    <n v="2084.89392"/>
    <m/>
    <n v="0"/>
    <n v="8362.2540623999994"/>
    <n v="27000.054062399999"/>
    <s v="Raul Rodriguez"/>
    <s v="Moises Almendariz"/>
    <s v="GANAS Grant"/>
    <s v="0.15 - DIR_HSII - Almendariz, Moises"/>
  </r>
  <r>
    <n v="260"/>
    <s v="MGMT"/>
    <x v="200"/>
    <s v="DIR_WDAH"/>
    <n v="1"/>
    <d v="2021-07-01T00:00:00"/>
    <n v="11"/>
    <s v="E"/>
    <m/>
    <m/>
    <n v="99828"/>
    <n v="99828"/>
    <m/>
    <m/>
    <m/>
    <m/>
    <m/>
    <m/>
    <m/>
    <m/>
    <m/>
    <n v="99828"/>
    <n v="1"/>
    <n v="99828"/>
    <s v="12-140-00-760045-52130"/>
    <x v="0"/>
    <s v="140"/>
    <s v="00"/>
    <s v="760045"/>
    <s v="52130"/>
    <x v="0"/>
    <m/>
    <n v="22870.594799999999"/>
    <n v="6189.3360000000002"/>
    <n v="1447.5060000000001"/>
    <n v="1227.8843999999999"/>
    <n v="1887.5478240000002"/>
    <n v="140.04"/>
    <n v="140.04"/>
    <n v="79.2"/>
    <n v="79.2"/>
    <n v="13152"/>
    <n v="13680.052799999999"/>
    <n v="13680.052799999999"/>
    <n v="13899.292799999999"/>
    <m/>
    <n v="0"/>
    <n v="47522.161823999995"/>
    <n v="147350.16182400001"/>
    <s v="Jackie Cruz"/>
    <s v="Rosie Armstrong"/>
    <s v="Ag Healthcare Sector Partnership"/>
    <s v="1 - DIR_WDAH - Armstrong, Rosie"/>
  </r>
  <r>
    <n v="261"/>
    <s v="MGMT"/>
    <x v="201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40-51210"/>
    <x v="0"/>
    <s v="400"/>
    <s v="00"/>
    <s v="703540"/>
    <s v="51210"/>
    <x v="1"/>
    <n v="8445.4488000000001"/>
    <m/>
    <m/>
    <n v="723.75300000000004"/>
    <n v="613.94219999999996"/>
    <n v="943.77391200000011"/>
    <n v="140.04"/>
    <n v="70.02"/>
    <n v="79.2"/>
    <n v="39.6"/>
    <n v="13152"/>
    <n v="13680.052799999999"/>
    <n v="6840.0263999999997"/>
    <n v="6949.6463999999996"/>
    <m/>
    <n v="0"/>
    <n v="17676.564312000002"/>
    <n v="67590.564312000002"/>
    <s v="Romero Jalomo"/>
    <s v="Manuel Bersamin"/>
    <s v="TRiO"/>
    <s v="0.5 - GRPR_DIR - Bersamin, Manuel"/>
  </r>
  <r>
    <s v="261a"/>
    <s v="MGMT"/>
    <x v="201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41-51210"/>
    <x v="0"/>
    <s v="400"/>
    <s v="00"/>
    <s v="703541"/>
    <s v="51210"/>
    <x v="1"/>
    <n v="8445.4488000000001"/>
    <m/>
    <m/>
    <n v="723.75300000000004"/>
    <n v="613.94219999999996"/>
    <n v="943.77391200000011"/>
    <n v="140.04"/>
    <n v="70.02"/>
    <n v="79.2"/>
    <n v="39.6"/>
    <n v="13152"/>
    <n v="13680.052799999999"/>
    <n v="6840.0263999999997"/>
    <n v="6949.6463999999996"/>
    <m/>
    <n v="0"/>
    <n v="17676.564312000002"/>
    <n v="67590.564312000002"/>
    <s v="Romero Jalomo"/>
    <s v="Manuel Bersamin"/>
    <s v="TRIO ESL"/>
    <s v="0.5 - GRPR_DIR - Bersamin, Manuel"/>
  </r>
  <r>
    <n v="262"/>
    <s v="MGMT"/>
    <x v="202"/>
    <s v="DIR_CTPRG"/>
    <n v="1"/>
    <m/>
    <n v="7"/>
    <s v="E"/>
    <m/>
    <m/>
    <n v="124252"/>
    <n v="124252"/>
    <m/>
    <m/>
    <m/>
    <m/>
    <m/>
    <m/>
    <m/>
    <m/>
    <m/>
    <n v="124252"/>
    <n v="1"/>
    <n v="124252"/>
    <s v="11-430-00-700500-51210"/>
    <x v="1"/>
    <s v="430"/>
    <s v="00"/>
    <s v="700500"/>
    <s v="51210"/>
    <x v="1"/>
    <m/>
    <n v="28466.1332"/>
    <n v="7703.6239999999998"/>
    <n v="1801.654"/>
    <n v="1528.2996000000001"/>
    <n v="2349.356816"/>
    <n v="140.04"/>
    <n v="140.04"/>
    <n v="79.2"/>
    <n v="79.2"/>
    <n v="13152"/>
    <n v="13680.052799999999"/>
    <n v="13680.052799999999"/>
    <n v="13899.292799999999"/>
    <m/>
    <n v="0"/>
    <n v="55748.360415999996"/>
    <n v="180000.36041600001"/>
    <m/>
    <m/>
    <m/>
    <s v="1 - DIR_CTPRG - Casey, Paul"/>
  </r>
  <r>
    <n v="263"/>
    <s v="MGMT"/>
    <x v="203"/>
    <s v="GRPR_DIR"/>
    <n v="1"/>
    <m/>
    <n v="11"/>
    <s v="E"/>
    <m/>
    <m/>
    <n v="99282"/>
    <n v="99282"/>
    <m/>
    <m/>
    <m/>
    <m/>
    <m/>
    <m/>
    <m/>
    <m/>
    <m/>
    <n v="99282"/>
    <n v="0.25"/>
    <n v="24820.5"/>
    <s v="12-350-00-740000-51210"/>
    <x v="0"/>
    <s v="350"/>
    <s v="00"/>
    <s v="740000"/>
    <s v="51210"/>
    <x v="1"/>
    <n v="4199.6286"/>
    <m/>
    <m/>
    <n v="359.89725000000004"/>
    <n v="305.29214999999999"/>
    <n v="469.306014"/>
    <n v="140.04"/>
    <n v="35.01"/>
    <n v="79.2"/>
    <n v="19.8"/>
    <n v="23232"/>
    <n v="24164.764800000001"/>
    <n v="6041.1912000000002"/>
    <n v="6096.0012000000006"/>
    <n v="2400"/>
    <n v="600"/>
    <n v="12030.125214"/>
    <n v="36850.625214"/>
    <s v="Cathryn Wilkinson"/>
    <s v="Sharon Albert"/>
    <s v="Perkins"/>
    <s v="0.25 - GRPR_DIR - Casillas, Melissa"/>
  </r>
  <r>
    <n v="264"/>
    <s v="MGMT"/>
    <x v="203"/>
    <s v="GRPR_DIR"/>
    <n v="1"/>
    <m/>
    <n v="11"/>
    <s v="E"/>
    <m/>
    <m/>
    <n v="99282"/>
    <n v="99282"/>
    <m/>
    <m/>
    <m/>
    <m/>
    <m/>
    <m/>
    <m/>
    <m/>
    <m/>
    <n v="99282"/>
    <n v="0.75"/>
    <n v="74461.5"/>
    <s v="12-350-00-700330-51210"/>
    <x v="0"/>
    <s v="350"/>
    <s v="00"/>
    <s v="700330"/>
    <s v="51210"/>
    <x v="1"/>
    <n v="12598.8858"/>
    <m/>
    <m/>
    <n v="1079.69175"/>
    <n v="915.87644999999998"/>
    <n v="1407.918042"/>
    <n v="140.04"/>
    <n v="105.03"/>
    <n v="79.2"/>
    <n v="59.400000000000006"/>
    <n v="23232"/>
    <n v="24164.764800000001"/>
    <n v="18123.5736"/>
    <n v="18288.0036"/>
    <n v="2400"/>
    <n v="1800"/>
    <n v="36090.375641999999"/>
    <n v="110551.875642"/>
    <s v="Cathryn Wilkinson"/>
    <s v="Sharon Albert"/>
    <s v="Strong Workforce"/>
    <s v="0.75 - GRPR_DIR - Casillas, Melissa"/>
  </r>
  <r>
    <n v="265"/>
    <s v="MGMT"/>
    <x v="204"/>
    <s v="DEAN_SA"/>
    <n v="1"/>
    <d v="2021-10-01T00:00:00"/>
    <n v="3"/>
    <s v="C"/>
    <n v="35150.75"/>
    <s v="D"/>
    <n v="108474.75"/>
    <n v="143625.5"/>
    <m/>
    <m/>
    <m/>
    <m/>
    <m/>
    <m/>
    <m/>
    <m/>
    <m/>
    <n v="143625.5"/>
    <n v="0.5"/>
    <n v="71812.75"/>
    <s v="11-410-00-620000-52130"/>
    <x v="1"/>
    <s v="410"/>
    <s v="00"/>
    <s v="620000"/>
    <s v="52130"/>
    <x v="0"/>
    <m/>
    <n v="16452.301025000001"/>
    <n v="4452.3904999999995"/>
    <n v="1041.2848750000001"/>
    <n v="883.29682500000001"/>
    <n v="1357.8354770000001"/>
    <n v="140.04"/>
    <n v="70.02"/>
    <n v="79.2"/>
    <n v="39.6"/>
    <n v="7500.6"/>
    <n v="7801.7490900000003"/>
    <n v="3900.8745450000001"/>
    <n v="4010.494545"/>
    <n v="2400"/>
    <n v="1200"/>
    <n v="29397.603247000003"/>
    <n v="101210.35324700001"/>
    <m/>
    <m/>
    <m/>
    <s v="0.5 - DEAN_SA - Ceja, Maria D"/>
  </r>
  <r>
    <n v="266"/>
    <s v="MGMT"/>
    <x v="204"/>
    <s v="DEAN_SA"/>
    <n v="1"/>
    <d v="2021-10-01T00:00:00"/>
    <n v="3"/>
    <s v="C"/>
    <n v="35150.75"/>
    <s v="D"/>
    <n v="108474.75"/>
    <n v="143625.5"/>
    <m/>
    <m/>
    <m/>
    <m/>
    <m/>
    <m/>
    <m/>
    <m/>
    <m/>
    <n v="143625.5"/>
    <n v="0.5"/>
    <n v="71812.75"/>
    <s v="11-420-00-646000-52130"/>
    <x v="1"/>
    <s v="420"/>
    <s v="00"/>
    <s v="646000"/>
    <s v="52130"/>
    <x v="0"/>
    <m/>
    <n v="16452.301025000001"/>
    <n v="4452.3904999999995"/>
    <n v="1041.2848750000001"/>
    <n v="883.29682500000001"/>
    <n v="1357.8354770000001"/>
    <n v="140.04"/>
    <n v="70.02"/>
    <n v="79.2"/>
    <n v="39.6"/>
    <n v="7500.6"/>
    <n v="7801.7490900000003"/>
    <n v="3900.8745450000001"/>
    <n v="4010.494545"/>
    <n v="2400"/>
    <n v="1200"/>
    <n v="29397.603247000003"/>
    <n v="101210.35324700001"/>
    <m/>
    <m/>
    <m/>
    <s v="0.5 - DEAN_SA - Ceja, Maria D"/>
  </r>
  <r>
    <n v="267"/>
    <s v="MGMT"/>
    <x v="205"/>
    <s v="DEAN_TWD"/>
    <n v="1"/>
    <m/>
    <n v="3"/>
    <s v="E"/>
    <m/>
    <m/>
    <n v="148881"/>
    <n v="148881"/>
    <m/>
    <m/>
    <m/>
    <m/>
    <m/>
    <m/>
    <m/>
    <m/>
    <m/>
    <n v="148881"/>
    <n v="1"/>
    <n v="148881"/>
    <s v="11-350-01-601000-51210"/>
    <x v="1"/>
    <s v="350"/>
    <s v="01"/>
    <s v="601000"/>
    <s v="51210"/>
    <x v="1"/>
    <n v="25190.665199999999"/>
    <m/>
    <m/>
    <n v="2158.7745"/>
    <n v="1831.2363"/>
    <n v="2815.041948"/>
    <n v="140.04"/>
    <n v="140.04"/>
    <n v="79.2"/>
    <n v="79.2"/>
    <n v="23232"/>
    <n v="24164.764800000001"/>
    <n v="24164.764800000001"/>
    <n v="24384.004800000002"/>
    <n v="2400"/>
    <n v="2400"/>
    <n v="58779.722748"/>
    <n v="207660.722748"/>
    <m/>
    <m/>
    <m/>
    <s v="1 - DEAN_TWD - Cowden, Clint "/>
  </r>
  <r>
    <n v="268"/>
    <s v="MGMT"/>
    <x v="206"/>
    <s v="INTERIM-DEAN_AA"/>
    <n v="1"/>
    <d v="2022-03-01T00:00:00"/>
    <s v="3"/>
    <s v="B"/>
    <n v="91037.333333333328"/>
    <s v="C"/>
    <n v="46867.666666666664"/>
    <n v="137905"/>
    <m/>
    <m/>
    <m/>
    <m/>
    <m/>
    <m/>
    <m/>
    <m/>
    <m/>
    <n v="137905"/>
    <n v="0.85"/>
    <n v="117219.25"/>
    <s v="11-301-00-601000-51210"/>
    <x v="1"/>
    <s v="301"/>
    <s v="00"/>
    <s v="601000"/>
    <s v="51210"/>
    <x v="1"/>
    <m/>
    <n v="26854.930175000001"/>
    <n v="7267.5934999999999"/>
    <n v="1699.6791250000001"/>
    <n v="1441.796775"/>
    <n v="2216.3815790000003"/>
    <n v="140.04"/>
    <n v="119.03399999999999"/>
    <n v="79.2"/>
    <n v="67.320000000000007"/>
    <n v="23232"/>
    <n v="24164.764800000001"/>
    <n v="20540.050080000001"/>
    <n v="20726.40408"/>
    <n v="2040"/>
    <n v="1734"/>
    <n v="61940.78523400001"/>
    <n v="179160.03523400001"/>
    <m/>
    <m/>
    <m/>
    <s v="0.85 - INTERIM-DEAN_AA - Cowden, Joy F"/>
  </r>
  <r>
    <n v="269"/>
    <s v="MGMT"/>
    <x v="207"/>
    <s v="VP_ADMSRV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210-00-672010-52130"/>
    <x v="1"/>
    <s v="210"/>
    <s v="00"/>
    <s v="672010"/>
    <s v="52130"/>
    <x v="0"/>
    <m/>
    <n v="39522.270100000002"/>
    <n v="10695.682000000001"/>
    <n v="2501.4095000000002"/>
    <n v="2121.8852999999999"/>
    <n v="3261.8379880000002"/>
    <n v="140.04"/>
    <n v="140.04"/>
    <n v="79.2"/>
    <n v="79.2"/>
    <n v="25452.6"/>
    <n v="26474.521889999996"/>
    <n v="26474.521889999996"/>
    <n v="26693.761889999998"/>
    <m/>
    <n v="0"/>
    <n v="84796.846778000006"/>
    <n v="257307.84677800001"/>
    <m/>
    <m/>
    <m/>
    <s v="1 - VP_ADMSRV - Crow, Steven"/>
  </r>
  <r>
    <n v="270"/>
    <s v="MGMT"/>
    <x v="208"/>
    <s v="VP_ADVDVP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140-00-684000-52130"/>
    <x v="1"/>
    <s v="140"/>
    <s v="00"/>
    <s v="684000"/>
    <s v="52130"/>
    <x v="0"/>
    <m/>
    <n v="39522.270100000002"/>
    <n v="10695.682000000001"/>
    <n v="2501.4095000000002"/>
    <n v="2121.8852999999999"/>
    <n v="3261.8379880000002"/>
    <n v="140.04"/>
    <n v="140.04"/>
    <n v="79.2"/>
    <n v="79.2"/>
    <n v="33444"/>
    <n v="34786.776599999997"/>
    <n v="34786.776599999997"/>
    <n v="35006.016599999995"/>
    <m/>
    <n v="0"/>
    <n v="93109.101488"/>
    <n v="265620.10148800001"/>
    <m/>
    <m/>
    <m/>
    <s v="1 - VP_ADVDVP - Cruz, Jaqueline"/>
  </r>
  <r>
    <n v="271"/>
    <s v="MGMT"/>
    <x v="209"/>
    <s v="GRPR_DIR"/>
    <n v="1"/>
    <d v="2022-03-01T00:00:00"/>
    <n v="11"/>
    <s v="C"/>
    <n v="6497.333333333333"/>
    <s v="D"/>
    <n v="31927"/>
    <n v="38424.333333333336"/>
    <m/>
    <m/>
    <m/>
    <m/>
    <m/>
    <m/>
    <m/>
    <m/>
    <m/>
    <n v="38424.333333333336"/>
    <n v="0.15"/>
    <n v="5763.6500000000005"/>
    <s v="12-301-00-703605-52130"/>
    <x v="0"/>
    <s v="301"/>
    <s v="00"/>
    <s v="703605"/>
    <s v="52130"/>
    <x v="0"/>
    <m/>
    <n v="1320.452215"/>
    <n v="357.34630000000004"/>
    <n v="83.572925000000012"/>
    <n v="70.89289500000001"/>
    <n v="108.97909420000002"/>
    <n v="140.04"/>
    <n v="21.005999999999997"/>
    <n v="79.2"/>
    <n v="11.88"/>
    <n v="33444"/>
    <n v="34786.776599999997"/>
    <n v="5218.0164899999991"/>
    <n v="5250.9024899999995"/>
    <m/>
    <n v="0"/>
    <n v="7192.1459191999993"/>
    <n v="12955.7959192"/>
    <s v="Cathryn Wilkinson"/>
    <s v="Jihan Ejan"/>
    <s v="Foundation - Giannini"/>
    <s v="0.15 - GRPR_DIR - Ejan, Jihan N"/>
  </r>
  <r>
    <n v="272"/>
    <s v="MGMT"/>
    <x v="209"/>
    <s v="GRPR_DIR"/>
    <n v="1"/>
    <d v="2022-03-01T00:00:00"/>
    <n v="11"/>
    <s v="C"/>
    <n v="6497.333333333333"/>
    <s v="D"/>
    <n v="31927"/>
    <n v="38424.333333333336"/>
    <m/>
    <m/>
    <m/>
    <m/>
    <m/>
    <m/>
    <m/>
    <m/>
    <m/>
    <n v="38424.333333333336"/>
    <n v="0.85"/>
    <n v="32660.683333333334"/>
    <s v="12-301-00-706260-52130"/>
    <x v="0"/>
    <s v="301"/>
    <s v="00"/>
    <s v="706260"/>
    <s v="52130"/>
    <x v="0"/>
    <m/>
    <n v="7482.5625516666669"/>
    <n v="2024.9623666666666"/>
    <n v="473.57990833333338"/>
    <n v="401.726405"/>
    <n v="617.54820046666669"/>
    <n v="140.04"/>
    <n v="119.03399999999999"/>
    <n v="79.2"/>
    <n v="67.320000000000007"/>
    <n v="33444"/>
    <n v="34786.776599999997"/>
    <n v="29568.760109999996"/>
    <n v="29755.114109999995"/>
    <m/>
    <n v="0"/>
    <n v="40755.493542133328"/>
    <n v="73416.176875466655"/>
    <s v="Cathryn Wilkinson"/>
    <s v="Jihan Ejan"/>
    <s v="MAESTROS Project"/>
    <s v="0.85 - GRPR_DIR - Ejan, Jihan N"/>
  </r>
  <r>
    <n v="273"/>
    <s v="MGMT"/>
    <x v="210"/>
    <s v="AVP_HREOO"/>
    <n v="1"/>
    <d v="2022-04-01T00:00:00"/>
    <n v="1.1000000000000001"/>
    <s v="D"/>
    <n v="126143.25"/>
    <s v="E"/>
    <n v="43127.75"/>
    <n v="169271"/>
    <m/>
    <m/>
    <m/>
    <m/>
    <m/>
    <m/>
    <m/>
    <m/>
    <m/>
    <n v="169271"/>
    <n v="1"/>
    <n v="169271"/>
    <s v="11-500-00-673000-52130"/>
    <x v="1"/>
    <s v="500"/>
    <s v="00"/>
    <s v="673000"/>
    <s v="52130"/>
    <x v="0"/>
    <m/>
    <n v="38779.986100000002"/>
    <n v="10494.802"/>
    <n v="2454.4295000000002"/>
    <n v="2082.0333000000001"/>
    <n v="3200.5760680000003"/>
    <n v="140.04"/>
    <n v="140.04"/>
    <n v="79.2"/>
    <n v="79.2"/>
    <n v="8820"/>
    <n v="9174.1229999999996"/>
    <n v="9174.1229999999996"/>
    <n v="9393.3629999999994"/>
    <n v="2400"/>
    <n v="2400"/>
    <n v="68805.189968000006"/>
    <n v="238076.18996799999"/>
    <m/>
    <m/>
    <m/>
    <s v="1 - AVP_HREOO - To be hired - VACANT (Engeldinger, Lyle)"/>
  </r>
  <r>
    <n v="274"/>
    <s v="MGMT"/>
    <x v="211"/>
    <s v="DIR_CMPR"/>
    <n v="1"/>
    <m/>
    <n v="5"/>
    <s v="E"/>
    <m/>
    <m/>
    <n v="136556"/>
    <n v="136556"/>
    <m/>
    <m/>
    <m/>
    <m/>
    <m/>
    <m/>
    <m/>
    <m/>
    <m/>
    <n v="136556"/>
    <n v="1"/>
    <n v="136556"/>
    <s v="11-140-00-684000-52130"/>
    <x v="1"/>
    <s v="140"/>
    <s v="00"/>
    <s v="684000"/>
    <s v="52130"/>
    <x v="0"/>
    <m/>
    <n v="31284.979599999999"/>
    <n v="8466.4719999999998"/>
    <n v="1980.0620000000001"/>
    <n v="1679.6387999999999"/>
    <n v="2582.0008480000001"/>
    <n v="140.04"/>
    <n v="140.04"/>
    <n v="79.2"/>
    <n v="79.2"/>
    <n v="33444"/>
    <n v="34786.776599999997"/>
    <n v="34786.776599999997"/>
    <n v="35006.016599999995"/>
    <m/>
    <n v="0"/>
    <n v="80999.16984799999"/>
    <n v="217555.16984799999"/>
    <m/>
    <m/>
    <m/>
    <s v="1 - DIR_CMPR - VACANT (Faust, Scott C)"/>
  </r>
  <r>
    <n v="275"/>
    <s v="MGMT"/>
    <x v="212"/>
    <s v="DEAN_AA"/>
    <n v="1"/>
    <d v="2021-07-01T00:00:00"/>
    <n v="3"/>
    <s v="E"/>
    <m/>
    <m/>
    <n v="148881"/>
    <n v="148881"/>
    <m/>
    <m/>
    <m/>
    <m/>
    <m/>
    <m/>
    <m/>
    <m/>
    <m/>
    <n v="148881"/>
    <n v="1"/>
    <n v="148881"/>
    <s v="11-120-02-601000-51210"/>
    <x v="1"/>
    <s v="120"/>
    <s v="02"/>
    <s v="601000"/>
    <s v="51210"/>
    <x v="1"/>
    <n v="25190.665199999999"/>
    <m/>
    <m/>
    <n v="2158.7745"/>
    <n v="1831.2363"/>
    <n v="2815.041948"/>
    <n v="140.04"/>
    <n v="140.04"/>
    <n v="79.2"/>
    <n v="79.2"/>
    <n v="23148.6"/>
    <n v="24078.01629"/>
    <n v="24078.01629"/>
    <n v="24297.256290000001"/>
    <m/>
    <n v="0"/>
    <n v="56292.974237999995"/>
    <n v="205173.974238"/>
    <m/>
    <m/>
    <m/>
    <s v="1 - DEAN_AA - Ghous, Mostafa"/>
  </r>
  <r>
    <n v="276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18"/>
    <n v="19881.899999999998"/>
    <s v="11-373-00-601000-51210"/>
    <x v="1"/>
    <s v="373"/>
    <s v="00"/>
    <s v="601000"/>
    <s v="51210"/>
    <x v="1"/>
    <n v="3364.0174799999995"/>
    <m/>
    <m/>
    <n v="288.28755000000001"/>
    <n v="244.54736999999997"/>
    <n v="375.92696519999998"/>
    <n v="140.04"/>
    <n v="25.207199999999997"/>
    <n v="79.2"/>
    <n v="14.256"/>
    <n v="23232"/>
    <n v="24164.764800000001"/>
    <n v="4349.6576640000003"/>
    <n v="4389.1208640000004"/>
    <n v="2400"/>
    <n v="432"/>
    <n v="9093.9002292000005"/>
    <n v="28975.800229199998"/>
    <m/>
    <m/>
    <m/>
    <s v="0.18 - DIR_AEWD/SCES - Gonzalez, Ana "/>
  </r>
  <r>
    <n v="277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27"/>
    <n v="29822.850000000002"/>
    <s v="12-365-00-700410-51210"/>
    <x v="0"/>
    <s v="365"/>
    <s v="00"/>
    <s v="700410"/>
    <s v="51210"/>
    <x v="1"/>
    <n v="5046.0262199999997"/>
    <m/>
    <m/>
    <n v="432.43132500000007"/>
    <n v="366.82105500000006"/>
    <n v="563.89044780000006"/>
    <n v="140.04"/>
    <n v="37.8108"/>
    <n v="79.2"/>
    <n v="21.384000000000004"/>
    <n v="23232"/>
    <n v="24164.764800000001"/>
    <n v="6524.4864960000004"/>
    <n v="6583.6812960000007"/>
    <n v="2400"/>
    <n v="648"/>
    <n v="13640.850343800001"/>
    <n v="43463.700343800003"/>
    <s v="Cathryn Wilkinson"/>
    <s v="Jainesh Singh"/>
    <s v="Student Equity Program"/>
    <s v="0.27 - DIR_AEWD/SCES - Gonzalez, Ana "/>
  </r>
  <r>
    <s v="277a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12"/>
    <n v="13254.6"/>
    <s v="12-306-04-601000-51210"/>
    <x v="0"/>
    <s v="306"/>
    <s v="04"/>
    <s v="601000"/>
    <s v="51210"/>
    <x v="1"/>
    <n v="2242.67832"/>
    <m/>
    <m/>
    <n v="192.19170000000003"/>
    <n v="163.03158000000002"/>
    <n v="250.61797680000004"/>
    <n v="140.04"/>
    <n v="16.8048"/>
    <n v="79.2"/>
    <n v="9.5039999999999996"/>
    <n v="23232"/>
    <n v="24164.764800000001"/>
    <n v="2899.771776"/>
    <n v="2926.0805759999998"/>
    <n v="2400"/>
    <n v="288"/>
    <n v="6062.6001527999997"/>
    <n v="19317.2001528"/>
    <s v="Cathryn Wilkinson"/>
    <s v="Mostafa Ghous"/>
    <s v="Foundation - Soledad Director"/>
    <s v="0.12 - DIR_AEWD/SCES - Gonzalez, Ana "/>
  </r>
  <r>
    <n v="278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43"/>
    <n v="47495.65"/>
    <s v="12-365-00-707723-51210"/>
    <x v="0"/>
    <s v="365"/>
    <s v="00"/>
    <s v="707723"/>
    <s v="51210"/>
    <x v="1"/>
    <n v="8036.2639799999997"/>
    <m/>
    <m/>
    <n v="688.68692500000009"/>
    <n v="584.19649500000003"/>
    <n v="898.04775020000011"/>
    <n v="140.04"/>
    <n v="60.217199999999998"/>
    <n v="79.2"/>
    <n v="34.055999999999997"/>
    <n v="23232"/>
    <n v="24164.764800000001"/>
    <n v="10390.848864"/>
    <n v="10485.122063999999"/>
    <n v="2400"/>
    <n v="1032"/>
    <n v="21724.317214199997"/>
    <n v="69219.967214200005"/>
    <s v="Cathryn Wilkinson"/>
    <s v="Ana Gonzalez"/>
    <s v="Adult Education - Hartnell"/>
    <s v="0.43 - DIR_AEWD/SCES - Gonzalez, Ana "/>
  </r>
  <r>
    <n v="279"/>
    <s v="MGMT"/>
    <x v="214"/>
    <s v="VP_STUAFF"/>
    <n v="1"/>
    <m/>
    <n v="1.1000000000000001"/>
    <s v="E"/>
    <m/>
    <m/>
    <n v="172511"/>
    <n v="172511"/>
    <m/>
    <m/>
    <m/>
    <m/>
    <m/>
    <m/>
    <m/>
    <m/>
    <n v="1500"/>
    <n v="174011"/>
    <n v="1"/>
    <n v="174011"/>
    <s v="11-400-00-665000-51210"/>
    <x v="1"/>
    <s v="400"/>
    <s v="00"/>
    <s v="665000"/>
    <s v="51210"/>
    <x v="1"/>
    <n v="29442.661199999999"/>
    <m/>
    <m/>
    <n v="2523.1595000000002"/>
    <n v="2140.3353000000002"/>
    <n v="3290.1999880000003"/>
    <n v="140.04"/>
    <n v="140.04"/>
    <n v="79.2"/>
    <n v="79.2"/>
    <n v="23232"/>
    <n v="24164.764800000001"/>
    <n v="24164.764800000001"/>
    <n v="24384.004800000002"/>
    <n v="2400"/>
    <n v="2400"/>
    <n v="64180.360788000005"/>
    <n v="238191.36078799999"/>
    <m/>
    <m/>
    <m/>
    <s v="1 - VP_STUAFF - Jalomo, Romero"/>
  </r>
  <r>
    <n v="280"/>
    <s v="MGMT"/>
    <x v="215"/>
    <s v="DEAN_SA"/>
    <n v="1"/>
    <d v="2022-01-01T00:00:00"/>
    <n v="3"/>
    <s v="C"/>
    <n v="70301.5"/>
    <s v="D"/>
    <n v="72316.5"/>
    <n v="142618"/>
    <m/>
    <m/>
    <m/>
    <m/>
    <m/>
    <m/>
    <m/>
    <m/>
    <m/>
    <n v="142618"/>
    <n v="1"/>
    <n v="142618"/>
    <s v="11-400-00-631000-51210"/>
    <x v="1"/>
    <s v="400"/>
    <s v="00"/>
    <s v="631000"/>
    <s v="51210"/>
    <x v="1"/>
    <n v="24130.9656"/>
    <m/>
    <m/>
    <n v="2067.9610000000002"/>
    <n v="1754.2013999999999"/>
    <n v="2696.6211440000002"/>
    <n v="140.04"/>
    <n v="140.04"/>
    <n v="79.2"/>
    <n v="79.2"/>
    <n v="7584"/>
    <n v="7888.4975999999997"/>
    <n v="7888.4975999999997"/>
    <n v="8107.7375999999995"/>
    <n v="2400"/>
    <n v="2400"/>
    <n v="41157.486744000002"/>
    <n v="183775.48674399999"/>
    <m/>
    <m/>
    <m/>
    <s v="1 - DEAN_SA - Johnson, Carla"/>
  </r>
  <r>
    <n v="281"/>
    <s v="MGMT"/>
    <x v="216"/>
    <s v="DEAN_AA"/>
    <n v="1"/>
    <m/>
    <n v="3"/>
    <s v="E"/>
    <m/>
    <m/>
    <n v="148881"/>
    <n v="148881"/>
    <m/>
    <m/>
    <m/>
    <m/>
    <m/>
    <m/>
    <m/>
    <m/>
    <n v="1500"/>
    <n v="150381"/>
    <n v="1"/>
    <n v="150381"/>
    <s v="11-335-00-601000-51210"/>
    <x v="1"/>
    <s v="335"/>
    <s v="00"/>
    <s v="601000"/>
    <s v="51210"/>
    <x v="1"/>
    <n v="25444.465199999999"/>
    <m/>
    <m/>
    <n v="2180.5245"/>
    <n v="1849.6863000000001"/>
    <n v="2843.4039480000001"/>
    <n v="140.04"/>
    <n v="140.04"/>
    <n v="79.2"/>
    <n v="79.2"/>
    <n v="5328"/>
    <n v="5541.9192000000003"/>
    <n v="5541.9192000000003"/>
    <n v="5761.1592000000001"/>
    <n v="2400"/>
    <n v="2400"/>
    <n v="40479.239148000001"/>
    <n v="190860.23914799999"/>
    <m/>
    <m/>
    <m/>
    <s v="1 - DEAN_AA - Kaczmar, Debra"/>
  </r>
  <r>
    <n v="282"/>
    <s v="MGMT"/>
    <x v="217"/>
    <s v="DIR_ITS"/>
    <n v="1"/>
    <m/>
    <n v="4"/>
    <s v="E"/>
    <m/>
    <m/>
    <n v="142723"/>
    <n v="142723"/>
    <m/>
    <m/>
    <m/>
    <m/>
    <m/>
    <m/>
    <m/>
    <m/>
    <m/>
    <n v="142723"/>
    <n v="1"/>
    <n v="142723"/>
    <s v="11-600-00-678000-52130"/>
    <x v="1"/>
    <s v="600"/>
    <s v="00"/>
    <s v="678000"/>
    <s v="52130"/>
    <x v="0"/>
    <m/>
    <n v="32697.8393"/>
    <n v="8848.8259999999991"/>
    <n v="2069.4835000000003"/>
    <n v="1755.4929"/>
    <n v="2698.6064840000004"/>
    <n v="140.04"/>
    <n v="140.04"/>
    <n v="79.2"/>
    <n v="79.2"/>
    <n v="23232"/>
    <n v="24164.764800000001"/>
    <n v="24164.764800000001"/>
    <n v="24384.004800000002"/>
    <n v="2400"/>
    <n v="2400"/>
    <n v="74854.252984000006"/>
    <n v="217577.25298400002"/>
    <m/>
    <m/>
    <m/>
    <s v="1 - DIR_ITS - Kappagantula, Bala"/>
  </r>
  <r>
    <n v="283"/>
    <s v="MGMT"/>
    <x v="218"/>
    <s v="DEAN_IPR"/>
    <n v="1"/>
    <m/>
    <n v="3"/>
    <s v="E"/>
    <m/>
    <m/>
    <n v="148881"/>
    <n v="148881"/>
    <m/>
    <m/>
    <m/>
    <m/>
    <m/>
    <m/>
    <m/>
    <m/>
    <n v="1500"/>
    <n v="150381"/>
    <n v="1"/>
    <n v="150381"/>
    <s v="11-150-00-663000-51210"/>
    <x v="1"/>
    <s v="150"/>
    <s v="00"/>
    <s v="663000"/>
    <s v="51210"/>
    <x v="1"/>
    <n v="25444.465199999999"/>
    <m/>
    <m/>
    <n v="2180.5245"/>
    <n v="1849.6863000000001"/>
    <n v="2843.4039480000001"/>
    <n v="140.04"/>
    <n v="140.04"/>
    <n v="79.2"/>
    <n v="79.2"/>
    <n v="9456"/>
    <n v="9835.6584000000003"/>
    <n v="9835.6584000000003"/>
    <n v="10054.8984"/>
    <n v="2400"/>
    <n v="2400"/>
    <n v="44772.978348000004"/>
    <n v="195153.978348"/>
    <m/>
    <m/>
    <m/>
    <s v="1 - DEAN_IPR - Lofman, Brian "/>
  </r>
  <r>
    <n v="284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0"/>
    <n v="0"/>
    <s v="12-350-00-709101-52130"/>
    <x v="0"/>
    <s v="350"/>
    <s v="00"/>
    <s v="709101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Cathryn Wilkinson"/>
    <s v="Melissa Casillas"/>
    <s v="NSF ATE AgScience"/>
    <s v="0 - DIR_ABTI - VACANT (London)"/>
  </r>
  <r>
    <n v="285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0"/>
    <n v="0"/>
    <s v="12-350-00-709710-52130"/>
    <x v="0"/>
    <s v="350"/>
    <s v="00"/>
    <s v="709710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Cathryn Wilkinson"/>
    <s v="Clint Cowden"/>
    <s v="NIFA-CSUMB"/>
    <s v="0 - DIR_ABTI - VACANT (London)"/>
  </r>
  <r>
    <n v="286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1"/>
    <n v="114063"/>
    <s v="12-350-00-760005-52130"/>
    <x v="0"/>
    <s v="350"/>
    <s v="00"/>
    <s v="760005"/>
    <s v="52130"/>
    <x v="0"/>
    <m/>
    <n v="26131.833299999998"/>
    <n v="7071.9059999999999"/>
    <n v="1653.9135000000001"/>
    <n v="1402.9748999999999"/>
    <n v="2156.7032039999999"/>
    <n v="140.04"/>
    <n v="140.04"/>
    <n v="79.2"/>
    <n v="79.2"/>
    <n v="25452.6"/>
    <n v="26474.521889999996"/>
    <n v="26474.521889999996"/>
    <n v="26693.761889999998"/>
    <m/>
    <n v="0"/>
    <n v="65111.092793999997"/>
    <n v="179174.092794"/>
    <s v="Jackie Cruz"/>
    <s v="Jackie Cruz"/>
    <s v="Foundation - AgTech"/>
    <s v="1 - DIR_ABTI - VACANT (London)"/>
  </r>
  <r>
    <n v="287"/>
    <s v="MGMT"/>
    <x v="220"/>
    <s v="ACCT_MGR"/>
    <n v="1"/>
    <m/>
    <n v="9"/>
    <s v="A"/>
    <m/>
    <m/>
    <n v="100500"/>
    <n v="100500"/>
    <m/>
    <m/>
    <m/>
    <m/>
    <m/>
    <m/>
    <m/>
    <m/>
    <m/>
    <n v="100500"/>
    <n v="0"/>
    <n v="0"/>
    <s v="11-210-00-672010-52130"/>
    <x v="1"/>
    <s v="210"/>
    <s v="00"/>
    <s v="672010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m/>
    <m/>
    <m/>
    <s v="0 - ACCT_MGR - Gregory, Alicia"/>
  </r>
  <r>
    <n v="288"/>
    <s v="MGMT"/>
    <x v="220"/>
    <s v="ACCT_MGR"/>
    <n v="1"/>
    <m/>
    <n v="9"/>
    <s v="A"/>
    <m/>
    <m/>
    <n v="100500"/>
    <n v="100500"/>
    <m/>
    <m/>
    <m/>
    <m/>
    <m/>
    <m/>
    <m/>
    <m/>
    <m/>
    <n v="100500"/>
    <n v="1"/>
    <n v="100500"/>
    <s v="11-210-00-672040-52130"/>
    <x v="1"/>
    <s v="210"/>
    <s v="00"/>
    <s v="672040"/>
    <s v="52130"/>
    <x v="0"/>
    <m/>
    <n v="23024.55"/>
    <n v="6231"/>
    <n v="1457.25"/>
    <n v="1236.1500000000001"/>
    <n v="1900.2540000000001"/>
    <n v="140.04"/>
    <n v="140.04"/>
    <n v="79.2"/>
    <n v="79.2"/>
    <n v="25452.6"/>
    <n v="26474.521889999996"/>
    <n v="26474.521889999996"/>
    <n v="26693.761889999998"/>
    <m/>
    <n v="0"/>
    <n v="60542.965889999992"/>
    <n v="161042.96588999999"/>
    <m/>
    <m/>
    <m/>
    <s v="1 - ACCT_MGR - Gregory, Alicia"/>
  </r>
  <r>
    <n v="289"/>
    <s v="MGMT"/>
    <x v="221"/>
    <s v="DEAN_AA"/>
    <n v="1"/>
    <d v="2022-03-01T00:00:00"/>
    <n v="3"/>
    <s v="D"/>
    <n v="96422"/>
    <s v="E"/>
    <n v="49627"/>
    <n v="146049"/>
    <m/>
    <m/>
    <m/>
    <m/>
    <m/>
    <m/>
    <m/>
    <m/>
    <n v="1500"/>
    <n v="147549"/>
    <n v="1"/>
    <n v="147549"/>
    <s v="11-360-00-601000-51210"/>
    <x v="1"/>
    <s v="360"/>
    <s v="00"/>
    <s v="601000"/>
    <s v="51210"/>
    <x v="1"/>
    <n v="24965.290799999999"/>
    <m/>
    <m/>
    <n v="2139.4605000000001"/>
    <n v="1814.8526999999999"/>
    <n v="2789.8564920000003"/>
    <n v="140.04"/>
    <n v="140.04"/>
    <n v="79.2"/>
    <n v="79.2"/>
    <n v="0"/>
    <n v="0"/>
    <n v="0"/>
    <n v="219.24"/>
    <n v="2400"/>
    <n v="2400"/>
    <n v="34328.700492000004"/>
    <n v="181877.700492"/>
    <m/>
    <m/>
    <m/>
    <s v="1 - DEAN_AA - Matsunaga, Sachiko"/>
  </r>
  <r>
    <n v="290"/>
    <s v="MGMT"/>
    <x v="222"/>
    <s v="DIR_SA"/>
    <n v="1"/>
    <m/>
    <n v="9"/>
    <s v="E"/>
    <m/>
    <m/>
    <n v="112132"/>
    <n v="112132"/>
    <m/>
    <m/>
    <m/>
    <m/>
    <m/>
    <m/>
    <m/>
    <m/>
    <m/>
    <n v="112132"/>
    <n v="1"/>
    <n v="112132"/>
    <s v="11-395-00-696000-52130"/>
    <x v="1"/>
    <s v="395"/>
    <s v="00"/>
    <s v="696000"/>
    <s v="52130"/>
    <x v="0"/>
    <m/>
    <n v="25689.441200000001"/>
    <n v="6952.1840000000002"/>
    <n v="1625.914"/>
    <n v="1379.2236"/>
    <n v="2120.1918559999999"/>
    <n v="140.04"/>
    <n v="140.04"/>
    <n v="79.2"/>
    <n v="79.2"/>
    <n v="23232"/>
    <n v="24164.764800000001"/>
    <n v="24164.764800000001"/>
    <n v="24384.004800000002"/>
    <n v="2400"/>
    <n v="2400"/>
    <n v="64550.959455999997"/>
    <n v="176682.95945600001"/>
    <m/>
    <m/>
    <m/>
    <s v="1 - DIR_SA - Moreno, Bronwyn"/>
  </r>
  <r>
    <n v="291"/>
    <s v="MGMT"/>
    <x v="223"/>
    <s v="DIR_SA"/>
    <n v="1"/>
    <m/>
    <n v="9"/>
    <s v="E"/>
    <m/>
    <m/>
    <n v="112132"/>
    <n v="112132"/>
    <m/>
    <m/>
    <m/>
    <m/>
    <m/>
    <m/>
    <m/>
    <m/>
    <m/>
    <n v="112132"/>
    <n v="1"/>
    <n v="112132"/>
    <s v="11-400-00-696000-52130"/>
    <x v="1"/>
    <s v="400"/>
    <s v="00"/>
    <s v="696000"/>
    <s v="52130"/>
    <x v="0"/>
    <m/>
    <n v="25689.441200000001"/>
    <n v="6952.1840000000002"/>
    <n v="1625.914"/>
    <n v="1379.2236"/>
    <n v="2120.1918559999999"/>
    <n v="140.04"/>
    <n v="140.04"/>
    <n v="79.2"/>
    <n v="79.2"/>
    <n v="25452.6"/>
    <n v="26474.521889999996"/>
    <n v="26474.521889999996"/>
    <n v="26693.761889999998"/>
    <m/>
    <n v="0"/>
    <n v="64460.716545999989"/>
    <n v="176592.71654599998"/>
    <m/>
    <m/>
    <m/>
    <s v="1 - DIR_SA - Nevarez, Augustine"/>
  </r>
  <r>
    <n v="292"/>
    <s v="MGMT"/>
    <x v="224"/>
    <s v="DIR_SVAEC"/>
    <n v="1"/>
    <d v="2022-01-04T00:00:00"/>
    <n v="9"/>
    <s v="A"/>
    <n v="47890.5"/>
    <s v="B"/>
    <n v="49914"/>
    <n v="97804.5"/>
    <m/>
    <m/>
    <m/>
    <m/>
    <m/>
    <m/>
    <m/>
    <m/>
    <m/>
    <n v="97804.5"/>
    <n v="1"/>
    <n v="97804.5"/>
    <s v="12-365-00-707733-51210"/>
    <x v="0"/>
    <s v="365"/>
    <s v="00"/>
    <s v="707733"/>
    <s v="51210"/>
    <x v="1"/>
    <n v="16548.521399999998"/>
    <m/>
    <m/>
    <n v="1418.16525"/>
    <n v="1202.9953499999999"/>
    <n v="1849.2874860000002"/>
    <n v="140.04"/>
    <n v="140.04"/>
    <n v="79.2"/>
    <n v="79.2"/>
    <n v="13152"/>
    <n v="13680.052799999999"/>
    <n v="13680.052799999999"/>
    <n v="13899.292799999999"/>
    <m/>
    <n v="0"/>
    <n v="34918.262285999997"/>
    <n v="132722.76228600001"/>
    <s v="Cathryn Wilkinson"/>
    <s v="Ivan Pagan"/>
    <s v="Adult Education - SVAEC"/>
    <s v="1 - DIR_SVAEC - Pagan, Ivan"/>
  </r>
  <r>
    <n v="293"/>
    <s v="MGMT"/>
    <x v="225"/>
    <s v="ED_ART_PG"/>
    <n v="1"/>
    <m/>
    <n v="13"/>
    <s v="E"/>
    <m/>
    <m/>
    <n v="87705"/>
    <n v="87705"/>
    <m/>
    <m/>
    <m/>
    <m/>
    <m/>
    <m/>
    <m/>
    <m/>
    <m/>
    <n v="87705"/>
    <n v="0.5"/>
    <n v="43852.5"/>
    <s v="11-340-00-682500-51210"/>
    <x v="1"/>
    <s v="340"/>
    <s v="00"/>
    <s v="682500"/>
    <s v="51210"/>
    <x v="1"/>
    <n v="7419.8429999999998"/>
    <m/>
    <m/>
    <n v="635.86125000000004"/>
    <n v="539.38575000000003"/>
    <n v="829.16307000000006"/>
    <n v="140.04"/>
    <n v="70.02"/>
    <n v="79.2"/>
    <n v="39.6"/>
    <n v="25452.6"/>
    <n v="26474.521889999996"/>
    <n v="13237.260944999998"/>
    <n v="13346.880944999999"/>
    <m/>
    <n v="0"/>
    <n v="22771.134015"/>
    <n v="66623.634015000003"/>
    <m/>
    <m/>
    <m/>
    <s v="0.5 - ED_ART_PG - Parker, Melissa (return 1/1/22)"/>
  </r>
  <r>
    <n v="294"/>
    <s v="MGMT"/>
    <x v="226"/>
    <s v="DIR_DVLP&amp;INNOV"/>
    <n v="1"/>
    <m/>
    <s v="5"/>
    <s v="B"/>
    <n v="93189"/>
    <s v="C"/>
    <n v="32121"/>
    <n v="125310"/>
    <m/>
    <m/>
    <m/>
    <m/>
    <m/>
    <m/>
    <m/>
    <m/>
    <m/>
    <n v="125310"/>
    <n v="1"/>
    <n v="125310"/>
    <s v="11-140-00-684000-52130"/>
    <x v="1"/>
    <s v="140"/>
    <s v="00"/>
    <s v="684000"/>
    <s v="52130"/>
    <x v="0"/>
    <m/>
    <n v="28708.521000000001"/>
    <n v="7769.22"/>
    <n v="1816.9950000000001"/>
    <n v="1541.3130000000001"/>
    <n v="2369.36148"/>
    <n v="140.04"/>
    <n v="140.04"/>
    <n v="79.2"/>
    <n v="79.2"/>
    <n v="26443"/>
    <n v="27504.686450000001"/>
    <n v="27504.686450000001"/>
    <n v="27723.926450000003"/>
    <m/>
    <n v="0"/>
    <n v="69929.336930000005"/>
    <n v="195239.33692999999"/>
    <m/>
    <m/>
    <m/>
    <s v="1 - DIR_DVLP&amp;INNOV - Peregrin, Michelle"/>
  </r>
  <r>
    <n v="295"/>
    <s v="MGMT"/>
    <x v="227"/>
    <s v="DIR_SA"/>
    <n v="1"/>
    <d v="2022-02-01T00:00:00"/>
    <n v="7"/>
    <s v="D"/>
    <n v="70124.25"/>
    <s v="E"/>
    <n v="51771.666666666672"/>
    <n v="121895.91666666667"/>
    <m/>
    <m/>
    <m/>
    <m/>
    <m/>
    <m/>
    <m/>
    <m/>
    <m/>
    <n v="121895.91666666667"/>
    <n v="0.6"/>
    <n v="73137.55"/>
    <s v="11-440-00-493032-51210"/>
    <x v="1"/>
    <s v="440"/>
    <s v="00"/>
    <s v="493032"/>
    <s v="51210"/>
    <x v="1"/>
    <n v="12374.873459999999"/>
    <m/>
    <m/>
    <n v="1060.4944750000002"/>
    <n v="899.5918650000001"/>
    <n v="1382.8847954"/>
    <n v="140.04"/>
    <n v="84.023999999999987"/>
    <n v="79.2"/>
    <n v="47.52"/>
    <n v="13152"/>
    <n v="13680.052799999999"/>
    <n v="8208.0316800000001"/>
    <n v="8339.5756799999999"/>
    <m/>
    <n v="0"/>
    <n v="24057.4202754"/>
    <n v="97194.970275400003"/>
    <m/>
    <m/>
    <m/>
    <s v="0.6 - DIR_SA - Peters, Michelle"/>
  </r>
  <r>
    <n v="296"/>
    <s v="MGMT"/>
    <x v="227"/>
    <s v="DIR_SA"/>
    <n v="1"/>
    <d v="2022-02-01T00:00:00"/>
    <n v="7"/>
    <s v="D"/>
    <n v="70124.25"/>
    <s v="E"/>
    <n v="51771.666666666672"/>
    <n v="121895.91666666667"/>
    <m/>
    <m/>
    <m/>
    <m/>
    <m/>
    <m/>
    <m/>
    <m/>
    <m/>
    <n v="121895.91666666667"/>
    <n v="0.4"/>
    <n v="48758.366666666669"/>
    <s v="12-440-00-701020-51210"/>
    <x v="0"/>
    <s v="440"/>
    <s v="00"/>
    <s v="701020"/>
    <s v="51210"/>
    <x v="1"/>
    <n v="8249.9156399999993"/>
    <m/>
    <m/>
    <n v="706.99631666666676"/>
    <n v="599.72791000000007"/>
    <n v="921.92319693333343"/>
    <n v="140.04"/>
    <n v="56.015999999999998"/>
    <n v="79.2"/>
    <n v="31.680000000000003"/>
    <n v="13152"/>
    <n v="13680.052799999999"/>
    <n v="5472.0211200000003"/>
    <n v="5559.7171200000003"/>
    <m/>
    <n v="0"/>
    <n v="16038.2801836"/>
    <n v="64796.646850266668"/>
    <s v="Romero Jalomo"/>
    <s v="Michelle Peters"/>
    <s v="Disabled Student Programs and Services (DSPS)"/>
    <s v="0.4 - DIR_SA - Peters, Michelle"/>
  </r>
  <r>
    <n v="297"/>
    <s v="MGMT"/>
    <x v="228"/>
    <s v="VP_INFTCH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600-00-678000-52130"/>
    <x v="1"/>
    <s v="600"/>
    <s v="00"/>
    <s v="678000"/>
    <s v="52130"/>
    <x v="0"/>
    <m/>
    <n v="39522.270100000002"/>
    <n v="10695.682000000001"/>
    <n v="2501.4095000000002"/>
    <n v="2121.8852999999999"/>
    <n v="3261.8379880000002"/>
    <n v="140.04"/>
    <n v="140.04"/>
    <n v="79.2"/>
    <n v="79.2"/>
    <n v="8820"/>
    <n v="9174.1229999999996"/>
    <n v="9174.1229999999996"/>
    <n v="9393.3629999999994"/>
    <n v="2400"/>
    <n v="2400"/>
    <n v="69896.447887999995"/>
    <n v="242407.447888"/>
    <m/>
    <m/>
    <m/>
    <s v="1 - VP_INFTCH - Phillips, David"/>
  </r>
  <r>
    <n v="298"/>
    <s v="MGMT"/>
    <x v="229"/>
    <s v="EXDIR_FPC"/>
    <n v="1"/>
    <m/>
    <n v="2"/>
    <s v="E"/>
    <m/>
    <m/>
    <n v="154837"/>
    <n v="154837"/>
    <m/>
    <m/>
    <m/>
    <m/>
    <m/>
    <m/>
    <m/>
    <m/>
    <m/>
    <n v="154837"/>
    <n v="0.1"/>
    <n v="15483.7"/>
    <s v="11-220-00-659010-52130"/>
    <x v="1"/>
    <s v="220"/>
    <s v="00"/>
    <s v="659010"/>
    <s v="52130"/>
    <x v="0"/>
    <m/>
    <n v="3547.31567"/>
    <n v="959.98940000000005"/>
    <n v="224.51365000000001"/>
    <n v="190.44951"/>
    <n v="292.76579960000004"/>
    <n v="140.04"/>
    <n v="14.004"/>
    <n v="79.2"/>
    <n v="7.9200000000000008"/>
    <n v="25452.6"/>
    <n v="26474.521889999996"/>
    <n v="2647.4521889999996"/>
    <n v="2669.3761889999996"/>
    <m/>
    <n v="0"/>
    <n v="7884.4102186"/>
    <n v="23368.110218599999"/>
    <m/>
    <m/>
    <m/>
    <s v="0.1 - EXDIR_FPC - Reyes, Joe L"/>
  </r>
  <r>
    <n v="299"/>
    <s v="MGMT"/>
    <x v="229"/>
    <s v="EXDIR_FPC"/>
    <n v="1"/>
    <m/>
    <n v="2"/>
    <s v="E"/>
    <m/>
    <m/>
    <n v="154837"/>
    <n v="154837"/>
    <m/>
    <m/>
    <m/>
    <m/>
    <m/>
    <m/>
    <m/>
    <m/>
    <m/>
    <n v="154837"/>
    <n v="0.9"/>
    <n v="139353.30000000002"/>
    <s v="46-000-00-801000-52130"/>
    <x v="3"/>
    <s v="000"/>
    <s v="00"/>
    <s v="801000"/>
    <s v="52130"/>
    <x v="0"/>
    <m/>
    <n v="31925.841030000003"/>
    <n v="8639.9046000000017"/>
    <n v="2020.6228500000004"/>
    <n v="1714.0455900000002"/>
    <n v="2634.8921964000006"/>
    <n v="140.04"/>
    <n v="126.036"/>
    <n v="79.2"/>
    <n v="71.28"/>
    <n v="25452.6"/>
    <n v="26474.521889999996"/>
    <n v="23827.069700999997"/>
    <n v="24024.385700999996"/>
    <m/>
    <n v="0"/>
    <n v="70959.691967400009"/>
    <n v="210312.99196740001"/>
    <m/>
    <m/>
    <m/>
    <s v="0.9 - EXDIR_FPC - Reyes, Joe L"/>
  </r>
  <r>
    <n v="300"/>
    <s v="MGMT"/>
    <x v="230"/>
    <s v="DIR_FM"/>
    <n v="1"/>
    <m/>
    <n v="7"/>
    <s v="E"/>
    <m/>
    <m/>
    <n v="124252"/>
    <n v="124252"/>
    <m/>
    <m/>
    <m/>
    <m/>
    <m/>
    <m/>
    <m/>
    <m/>
    <m/>
    <n v="124252"/>
    <n v="1"/>
    <n v="124252"/>
    <s v="11-220-00-659010-52130"/>
    <x v="1"/>
    <s v="220"/>
    <s v="00"/>
    <s v="659010"/>
    <s v="52130"/>
    <x v="0"/>
    <m/>
    <n v="28466.1332"/>
    <n v="7703.6239999999998"/>
    <n v="1801.654"/>
    <n v="1528.2996000000001"/>
    <n v="2349.356816"/>
    <n v="140.04"/>
    <n v="140.04"/>
    <n v="79.2"/>
    <n v="79.2"/>
    <n v="25452.6"/>
    <n v="26474.521889999996"/>
    <n v="26474.521889999996"/>
    <n v="26693.761889999998"/>
    <m/>
    <n v="0"/>
    <n v="68542.829505999995"/>
    <n v="192794.82950599998"/>
    <m/>
    <m/>
    <m/>
    <s v="1 - DIR_FM - Riggillo, Marc"/>
  </r>
  <r>
    <n v="301"/>
    <s v="MGMT"/>
    <x v="231"/>
    <s v="PRESIDENT/SUPT"/>
    <n v="1"/>
    <d v="2022-07-15T00:00:00"/>
    <m/>
    <s v="B"/>
    <m/>
    <m/>
    <n v="316200"/>
    <n v="316200"/>
    <m/>
    <m/>
    <m/>
    <m/>
    <m/>
    <m/>
    <m/>
    <m/>
    <m/>
    <n v="316200"/>
    <n v="0.3"/>
    <n v="94860"/>
    <s v="11-100-00-680500-51205"/>
    <x v="1"/>
    <s v="100"/>
    <s v="00"/>
    <s v="680500"/>
    <s v="51205"/>
    <x v="1"/>
    <m/>
    <n v="21732.425999999999"/>
    <n v="5881.32"/>
    <n v="1375.47"/>
    <n v="1166.778"/>
    <n v="1793.6128800000001"/>
    <n v="140.04"/>
    <n v="42.011999999999993"/>
    <n v="79.2"/>
    <n v="23.76"/>
    <n v="33444"/>
    <n v="34786.776599999997"/>
    <n v="10436.032979999998"/>
    <n v="10501.804979999999"/>
    <m/>
    <n v="0"/>
    <n v="42451.411859999993"/>
    <n v="137311.41185999999"/>
    <m/>
    <m/>
    <m/>
    <s v="0.3 - PRESIDENT/SUPT - Rodriguez, Raul (Russell)"/>
  </r>
  <r>
    <n v="302"/>
    <s v="MGMT"/>
    <x v="231"/>
    <s v="PRESIDENT/SUPT"/>
    <n v="1"/>
    <m/>
    <m/>
    <m/>
    <m/>
    <m/>
    <n v="316200"/>
    <n v="316200"/>
    <m/>
    <m/>
    <m/>
    <m/>
    <m/>
    <m/>
    <m/>
    <m/>
    <m/>
    <n v="316200"/>
    <n v="0.4"/>
    <n v="126480"/>
    <s v="11-100-00-661000-51205"/>
    <x v="1"/>
    <s v="100"/>
    <s v="00"/>
    <s v="661000"/>
    <s v="51205"/>
    <x v="1"/>
    <m/>
    <n v="28976.567999999999"/>
    <n v="7841.76"/>
    <n v="1833.96"/>
    <n v="1555.704"/>
    <n v="2391.4838400000003"/>
    <n v="140.04"/>
    <n v="56.015999999999998"/>
    <n v="79.2"/>
    <n v="31.680000000000003"/>
    <n v="33444"/>
    <n v="34786.776599999997"/>
    <n v="13914.710639999999"/>
    <n v="14002.406639999999"/>
    <m/>
    <n v="0"/>
    <n v="56601.88248"/>
    <n v="183081.88248"/>
    <m/>
    <m/>
    <m/>
    <s v="0.4 - PRESIDENT/SUPT - Rodriguez, Raul (Russell)"/>
  </r>
  <r>
    <n v="303"/>
    <s v="MGMT"/>
    <x v="231"/>
    <s v="PRESIDENT/SUPT"/>
    <n v="1"/>
    <m/>
    <m/>
    <m/>
    <m/>
    <m/>
    <n v="316200"/>
    <n v="316200"/>
    <m/>
    <m/>
    <m/>
    <m/>
    <m/>
    <m/>
    <m/>
    <m/>
    <m/>
    <n v="316200"/>
    <n v="0.3"/>
    <n v="94860"/>
    <s v="11-100-00-684000-51205"/>
    <x v="1"/>
    <s v="100"/>
    <s v="00"/>
    <s v="684000"/>
    <s v="51205"/>
    <x v="1"/>
    <m/>
    <n v="21732.425999999999"/>
    <n v="5881.32"/>
    <n v="1375.47"/>
    <n v="1166.778"/>
    <n v="1793.6128800000001"/>
    <n v="140.04"/>
    <n v="42.011999999999993"/>
    <n v="79.2"/>
    <n v="23.76"/>
    <n v="33444"/>
    <n v="34786.776599999997"/>
    <n v="10436.032979999998"/>
    <n v="10501.804979999999"/>
    <m/>
    <n v="0"/>
    <n v="42451.411859999993"/>
    <n v="137311.41185999999"/>
    <m/>
    <m/>
    <m/>
    <s v="0.3 - PRESIDENT/SUPT - Rodriguez, Raul (Russell)"/>
  </r>
  <r>
    <n v="304"/>
    <s v="MGMT"/>
    <x v="232"/>
    <s v="DIR_PSEM"/>
    <n v="1"/>
    <m/>
    <n v="7"/>
    <s v="E"/>
    <m/>
    <m/>
    <n v="124252"/>
    <n v="124252"/>
    <m/>
    <m/>
    <m/>
    <m/>
    <m/>
    <m/>
    <m/>
    <m/>
    <m/>
    <n v="124252"/>
    <n v="1"/>
    <n v="124252"/>
    <s v="11-210-00-672020-52130"/>
    <x v="1"/>
    <s v="210"/>
    <s v="00"/>
    <s v="672020"/>
    <s v="52130"/>
    <x v="0"/>
    <m/>
    <n v="28466.1332"/>
    <n v="7703.6239999999998"/>
    <n v="1801.654"/>
    <n v="1528.2996000000001"/>
    <n v="2349.356816"/>
    <n v="140.04"/>
    <n v="140.04"/>
    <n v="79.2"/>
    <n v="79.2"/>
    <n v="33444"/>
    <n v="34786.776599999997"/>
    <n v="34786.776599999997"/>
    <n v="35006.016599999995"/>
    <m/>
    <n v="0"/>
    <n v="76855.084215999988"/>
    <n v="201107.08421599999"/>
    <m/>
    <m/>
    <m/>
    <s v="1 - DIR_PSEM - Scott, Daniel "/>
  </r>
  <r>
    <m/>
    <s v="MGMT"/>
    <x v="233"/>
    <s v="ASSTDIRNURN"/>
    <n v="0.5"/>
    <d v="2021-10-01T00:00:00"/>
    <s v="5"/>
    <s v="D"/>
    <n v="16564.5"/>
    <s v="E"/>
    <n v="51208.5"/>
    <n v="67773"/>
    <m/>
    <m/>
    <m/>
    <m/>
    <m/>
    <m/>
    <m/>
    <m/>
    <n v="750"/>
    <n v="68523"/>
    <n v="1"/>
    <n v="68523"/>
    <s v="12-335-00-703929-51210"/>
    <x v="0"/>
    <s v="335"/>
    <s v="00"/>
    <s v="703929"/>
    <s v="51210"/>
    <x v="1"/>
    <n v="11594.0916"/>
    <m/>
    <m/>
    <n v="993.58350000000007"/>
    <n v="842.8329"/>
    <n v="1295.6328840000001"/>
    <n v="140.04"/>
    <n v="140.04"/>
    <n v="79.2"/>
    <n v="79.2"/>
    <n v="8820"/>
    <n v="9174.1229999999996"/>
    <n v="9174.1229999999996"/>
    <n v="9393.3629999999994"/>
    <n v="2400"/>
    <n v="2400"/>
    <n v="26519.503884000002"/>
    <n v="95042.503884000005"/>
    <s v="Cathryn Wilkinson"/>
    <s v="Debra Kaczmar"/>
    <s v="Foundation - SVMH"/>
    <s v="1 - ASSTDIRNURN - Sheppard, Sonja"/>
  </r>
  <r>
    <n v="305"/>
    <s v="MGMT"/>
    <x v="234"/>
    <s v="DIR_TWS"/>
    <n v="1"/>
    <m/>
    <n v="9"/>
    <s v="E"/>
    <m/>
    <m/>
    <n v="112132"/>
    <n v="112132"/>
    <m/>
    <m/>
    <m/>
    <m/>
    <m/>
    <m/>
    <m/>
    <m/>
    <m/>
    <n v="112132"/>
    <n v="1"/>
    <n v="112132"/>
    <s v="11-340-00-682500-51210"/>
    <x v="1"/>
    <s v="340"/>
    <s v="00"/>
    <s v="682500"/>
    <s v="51210"/>
    <x v="1"/>
    <n v="18972.734399999998"/>
    <m/>
    <m/>
    <n v="1625.914"/>
    <n v="1379.2236"/>
    <n v="2120.1918559999999"/>
    <n v="140.04"/>
    <n v="140.04"/>
    <n v="79.2"/>
    <n v="79.2"/>
    <n v="25452.6"/>
    <n v="26474.521889999996"/>
    <n v="26474.521889999996"/>
    <n v="26693.761889999998"/>
    <m/>
    <n v="0"/>
    <n v="50791.825746000002"/>
    <n v="162923.82574599999"/>
    <m/>
    <m/>
    <m/>
    <s v="1 - DIR_TWS - VACANT (Selover)"/>
  </r>
  <r>
    <n v="306"/>
    <s v="MGMT"/>
    <x v="235"/>
    <s v="DIR_SAS"/>
    <n v="1"/>
    <d v="2021-11-01T00:00:00"/>
    <n v="7"/>
    <s v="C"/>
    <n v="38726.333333333336"/>
    <s v="D"/>
    <n v="80142"/>
    <n v="118868.33333333334"/>
    <m/>
    <m/>
    <m/>
    <m/>
    <m/>
    <m/>
    <m/>
    <m/>
    <n v="1500"/>
    <n v="120368.33333333334"/>
    <n v="0.5"/>
    <n v="60184.166666666672"/>
    <s v="12-365-00-700410-51210"/>
    <x v="0"/>
    <s v="365"/>
    <s v="00"/>
    <s v="700410"/>
    <s v="51210"/>
    <x v="1"/>
    <n v="10183.161"/>
    <m/>
    <m/>
    <n v="872.67041666666682"/>
    <n v="740.26525000000004"/>
    <n v="1137.9622233333334"/>
    <n v="140.04"/>
    <n v="70.02"/>
    <n v="79.2"/>
    <n v="39.6"/>
    <n v="8820"/>
    <n v="9174.1229999999996"/>
    <n v="4587.0614999999998"/>
    <n v="4696.6814999999997"/>
    <n v="2400"/>
    <n v="1200"/>
    <n v="18830.740390000003"/>
    <n v="79014.907056666678"/>
    <s v="Cathryn Wilkinson"/>
    <s v="Jainesh Singh"/>
    <s v="Student Equity Program"/>
    <s v="0.5 - DIR_SAS - Singh, Jainesh"/>
  </r>
  <r>
    <n v="307"/>
    <s v="MGMT"/>
    <x v="235"/>
    <s v="DIR_SAS"/>
    <n v="1"/>
    <d v="2021-11-01T00:00:00"/>
    <n v="7"/>
    <s v="C"/>
    <n v="38726.333333333336"/>
    <s v="D"/>
    <n v="80142"/>
    <n v="118868.33333333334"/>
    <m/>
    <m/>
    <m/>
    <m/>
    <m/>
    <m/>
    <m/>
    <m/>
    <n v="1500"/>
    <n v="120368.33333333334"/>
    <n v="0.5"/>
    <n v="60184.166666666672"/>
    <s v="12-330-00-709831-51210"/>
    <x v="0"/>
    <s v="330"/>
    <s v="00"/>
    <s v="709831"/>
    <s v="51210"/>
    <x v="1"/>
    <n v="10183.161"/>
    <m/>
    <m/>
    <n v="872.67041666666682"/>
    <n v="740.26525000000004"/>
    <n v="1137.9622233333334"/>
    <n v="140.04"/>
    <n v="70.02"/>
    <n v="79.2"/>
    <n v="39.6"/>
    <n v="8820"/>
    <n v="9174.1229999999996"/>
    <n v="4587.0614999999998"/>
    <n v="4696.6814999999997"/>
    <n v="2400"/>
    <n v="1200"/>
    <n v="18830.740390000003"/>
    <n v="79014.907056666678"/>
    <s v="Raul Rodriguez"/>
    <s v="Moises Almendariz"/>
    <s v="HSI STEM GPS"/>
    <s v="0.5 - DIR_SAS - Singh, Jainesh"/>
  </r>
  <r>
    <n v="308"/>
    <s v="MGMT"/>
    <x v="236"/>
    <s v="MGR_FDSRV"/>
    <n v="1"/>
    <m/>
    <n v="11"/>
    <s v="E"/>
    <m/>
    <m/>
    <n v="99828"/>
    <n v="99828"/>
    <m/>
    <m/>
    <m/>
    <m/>
    <m/>
    <m/>
    <m/>
    <m/>
    <m/>
    <n v="99828"/>
    <n v="1"/>
    <n v="99828"/>
    <s v="12-230-00-679000-52130"/>
    <x v="0"/>
    <s v="230"/>
    <s v="00"/>
    <s v="679000"/>
    <s v="52130"/>
    <x v="0"/>
    <m/>
    <n v="22870.594799999999"/>
    <n v="6189.3360000000002"/>
    <n v="1447.5060000000001"/>
    <n v="1227.8843999999999"/>
    <n v="1887.5478240000002"/>
    <n v="140.04"/>
    <n v="140.04"/>
    <n v="79.2"/>
    <n v="79.2"/>
    <n v="33444"/>
    <n v="34786.776599999997"/>
    <n v="34786.776599999997"/>
    <n v="35006.016599999995"/>
    <m/>
    <n v="0"/>
    <n v="68628.885623999988"/>
    <n v="168456.88562399999"/>
    <s v="Steven Crow"/>
    <s v="David Techaira"/>
    <s v="HEERF 1 &amp; 2 Funding (CARES)"/>
    <s v="1 - MGR_FDSRV - Skinner, Kenneth"/>
  </r>
  <r>
    <n v="309"/>
    <s v="MGMT"/>
    <x v="237"/>
    <s v="DIR_K12"/>
    <n v="1"/>
    <m/>
    <n v="9"/>
    <s v="E"/>
    <m/>
    <m/>
    <n v="112132"/>
    <n v="112132"/>
    <m/>
    <m/>
    <m/>
    <m/>
    <m/>
    <m/>
    <m/>
    <m/>
    <m/>
    <n v="112132"/>
    <n v="0.5"/>
    <n v="56066"/>
    <s v="12-304-00-703402-52130"/>
    <x v="0"/>
    <s v="304"/>
    <s v="00"/>
    <s v="703402"/>
    <s v="52130"/>
    <x v="0"/>
    <m/>
    <n v="12844.720600000001"/>
    <n v="3476.0920000000001"/>
    <n v="812.95699999999999"/>
    <n v="689.61180000000002"/>
    <n v="1060.095928"/>
    <n v="140.04"/>
    <n v="70.02"/>
    <n v="79.2"/>
    <n v="39.6"/>
    <n v="33444"/>
    <n v="34786.776599999997"/>
    <n v="17393.388299999999"/>
    <n v="17503.008299999998"/>
    <m/>
    <n v="0"/>
    <n v="36386.485627999995"/>
    <n v="92452.485627999995"/>
    <s v="Cathryn Wilkinson"/>
    <s v="Julie Stephens-Carrillo"/>
    <s v="Foundation - K-12 STEM"/>
    <s v="0.5 - DIR_K12 - Stephens Carrillo, Julie"/>
  </r>
  <r>
    <n v="310"/>
    <s v="MGMT"/>
    <x v="237"/>
    <s v="DIR_K12"/>
    <n v="1"/>
    <m/>
    <n v="9"/>
    <s v="E"/>
    <m/>
    <m/>
    <n v="112132"/>
    <n v="112132"/>
    <m/>
    <m/>
    <m/>
    <m/>
    <m/>
    <m/>
    <m/>
    <m/>
    <m/>
    <n v="112132"/>
    <n v="0.5"/>
    <n v="56066"/>
    <s v="12-304-00-703405-52130"/>
    <x v="0"/>
    <s v="304"/>
    <s v="00"/>
    <s v="703405"/>
    <s v="52130"/>
    <x v="0"/>
    <m/>
    <n v="12844.720600000001"/>
    <n v="3476.0920000000001"/>
    <n v="812.95699999999999"/>
    <n v="689.61180000000002"/>
    <n v="1060.095928"/>
    <n v="140.04"/>
    <n v="70.02"/>
    <n v="79.2"/>
    <n v="39.6"/>
    <n v="33444"/>
    <n v="34786.776599999997"/>
    <n v="17393.388299999999"/>
    <n v="17503.008299999998"/>
    <m/>
    <n v="0"/>
    <n v="36386.485627999995"/>
    <n v="92452.485627999995"/>
    <s v="Cathryn Wilkinson"/>
    <s v="Julie Stephens-Carrillo"/>
    <s v="NASA MAA"/>
    <s v="0.5 - DIR_K12 - Stephens Carrillo, Julie"/>
  </r>
  <r>
    <n v="311"/>
    <s v="MGMT"/>
    <x v="238"/>
    <s v="CNTRLLR"/>
    <n v="1"/>
    <d v="2021-11-01T00:00:00"/>
    <n v="5"/>
    <s v="B"/>
    <n v="41417.333333333336"/>
    <s v="C"/>
    <n v="85654.666666666672"/>
    <n v="127072"/>
    <m/>
    <m/>
    <m/>
    <m/>
    <m/>
    <m/>
    <m/>
    <m/>
    <m/>
    <n v="127072"/>
    <n v="1"/>
    <n v="127072"/>
    <s v="11-210-00-672010-52130"/>
    <x v="1"/>
    <s v="210"/>
    <s v="00"/>
    <s v="672010"/>
    <s v="52130"/>
    <x v="0"/>
    <m/>
    <n v="29112.195199999998"/>
    <n v="7878.4639999999999"/>
    <n v="1842.5440000000001"/>
    <n v="1562.9856"/>
    <n v="2402.6773760000001"/>
    <n v="140.04"/>
    <n v="140.04"/>
    <n v="79.2"/>
    <n v="79.2"/>
    <n v="33444"/>
    <n v="34786.776599999997"/>
    <n v="34786.776599999997"/>
    <n v="35006.016599999995"/>
    <m/>
    <n v="0"/>
    <n v="77804.882775999984"/>
    <n v="204876.88277599998"/>
    <m/>
    <m/>
    <m/>
    <s v="1 - CNTRLLR - Techaira, David"/>
  </r>
  <r>
    <n v="312"/>
    <s v="MGMT"/>
    <x v="239"/>
    <s v="ATHL_DIR"/>
    <n v="1"/>
    <m/>
    <n v="3"/>
    <s v="E"/>
    <m/>
    <m/>
    <n v="148881"/>
    <n v="148881"/>
    <m/>
    <m/>
    <m/>
    <m/>
    <m/>
    <m/>
    <m/>
    <m/>
    <m/>
    <n v="148881"/>
    <n v="0.25"/>
    <n v="37220.25"/>
    <s v="11-320-00-601000-51210"/>
    <x v="1"/>
    <s v="320"/>
    <s v="00"/>
    <s v="601000"/>
    <s v="51210"/>
    <x v="1"/>
    <n v="6297.6662999999999"/>
    <m/>
    <m/>
    <n v="539.693625"/>
    <n v="457.80907500000001"/>
    <n v="703.76048700000001"/>
    <n v="140.04"/>
    <n v="35.01"/>
    <n v="79.2"/>
    <n v="19.8"/>
    <n v="25452.6"/>
    <n v="26474.521889999996"/>
    <n v="6618.6304724999991"/>
    <n v="6673.4404724999995"/>
    <m/>
    <n v="0"/>
    <n v="14672.3699595"/>
    <n v="51892.6199595"/>
    <m/>
    <m/>
    <m/>
    <s v="0.25 - ATHL_DIR - Teresa, Dan"/>
  </r>
  <r>
    <n v="313"/>
    <s v="MGMT"/>
    <x v="239"/>
    <s v="ATHL_DIR"/>
    <n v="1"/>
    <m/>
    <n v="3"/>
    <s v="E"/>
    <m/>
    <m/>
    <n v="148881"/>
    <n v="148881"/>
    <m/>
    <m/>
    <m/>
    <m/>
    <m/>
    <m/>
    <m/>
    <m/>
    <m/>
    <n v="148881"/>
    <n v="0.75"/>
    <n v="111660.75"/>
    <s v="11-320-00-696500-51210"/>
    <x v="1"/>
    <s v="320"/>
    <s v="00"/>
    <s v="696500"/>
    <s v="51210"/>
    <x v="1"/>
    <n v="18892.998899999999"/>
    <m/>
    <m/>
    <n v="1619.0808750000001"/>
    <n v="1373.4272249999999"/>
    <n v="2111.281461"/>
    <n v="140.04"/>
    <n v="105.03"/>
    <n v="79.2"/>
    <n v="59.400000000000006"/>
    <n v="25452.6"/>
    <n v="26474.521889999996"/>
    <n v="19855.891417499995"/>
    <n v="20020.321417499996"/>
    <m/>
    <n v="0"/>
    <n v="44017.109878499992"/>
    <n v="155677.85987849999"/>
    <m/>
    <m/>
    <m/>
    <s v="0.75 - ATHL_DIR - Teresa, Dan"/>
  </r>
  <r>
    <n v="314"/>
    <s v="MGMT"/>
    <x v="240"/>
    <s v="INERIM DIR_SMI"/>
    <n v="1"/>
    <d v="2022-01-04T00:00:00"/>
    <n v="9"/>
    <s v="B"/>
    <n v="49914"/>
    <s v="C"/>
    <n v="51930.5"/>
    <n v="101844.5"/>
    <m/>
    <m/>
    <m/>
    <m/>
    <m/>
    <m/>
    <m/>
    <m/>
    <m/>
    <n v="101844.5"/>
    <n v="1"/>
    <n v="101844.5"/>
    <s v="11-304-00-703800-52130"/>
    <x v="1"/>
    <s v="304"/>
    <s v="00"/>
    <s v="703800"/>
    <s v="52130"/>
    <x v="0"/>
    <m/>
    <n v="23332.574949999998"/>
    <n v="6314.3590000000004"/>
    <n v="1476.7452500000002"/>
    <n v="1252.6873499999999"/>
    <n v="1925.6758060000002"/>
    <n v="140.04"/>
    <n v="140.04"/>
    <n v="79.2"/>
    <n v="79.2"/>
    <n v="25452.6"/>
    <n v="26474.521889999996"/>
    <n v="26474.521889999996"/>
    <n v="26693.761889999998"/>
    <m/>
    <n v="0"/>
    <n v="60995.804245999992"/>
    <n v="162840.30424599999"/>
    <m/>
    <m/>
    <m/>
    <s v="1 - INERIM DIR_SMI - Thompson, Joel"/>
  </r>
  <r>
    <n v="315"/>
    <s v="MGMT"/>
    <x v="240"/>
    <s v="INERIM DIR_SMI"/>
    <n v="1"/>
    <d v="2022-01-04T00:00:00"/>
    <n v="9"/>
    <s v="B"/>
    <n v="49914"/>
    <s v="C"/>
    <n v="51930.5"/>
    <n v="101844.5"/>
    <m/>
    <m/>
    <m/>
    <m/>
    <m/>
    <m/>
    <m/>
    <m/>
    <m/>
    <n v="101844.5"/>
    <n v="0"/>
    <n v="0"/>
    <s v="12-330-00-709831-52130"/>
    <x v="0"/>
    <s v="330"/>
    <s v="00"/>
    <s v="709831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Raul Rodriguez"/>
    <s v="Moises Almendariz"/>
    <s v="HSI STEM GPS"/>
    <s v="0 - INERIM DIR_SMI - Thompson, Joel"/>
  </r>
  <r>
    <n v="316"/>
    <s v="MGMT"/>
    <x v="241"/>
    <s v="DIR_SA_FA"/>
    <n v="1"/>
    <d v="2021-11-01T00:00:00"/>
    <n v="7"/>
    <s v="C"/>
    <n v="38726.333333333336"/>
    <s v="D"/>
    <n v="80142"/>
    <n v="118868.33333333334"/>
    <m/>
    <m/>
    <m/>
    <m/>
    <m/>
    <m/>
    <m/>
    <m/>
    <m/>
    <n v="118868.33333333334"/>
    <n v="1"/>
    <n v="118868.33333333334"/>
    <s v="11-420-00-646000-52130"/>
    <x v="1"/>
    <s v="420"/>
    <s v="00"/>
    <s v="646000"/>
    <s v="52130"/>
    <x v="0"/>
    <m/>
    <n v="27232.735166666669"/>
    <n v="7369.836666666667"/>
    <n v="1723.5908333333336"/>
    <n v="1462.0805"/>
    <n v="2247.5624466666668"/>
    <n v="140.04"/>
    <n v="140.04"/>
    <n v="79.2"/>
    <n v="79.2"/>
    <n v="33444"/>
    <n v="34786.776599999997"/>
    <n v="34786.776599999997"/>
    <n v="35006.016599999995"/>
    <m/>
    <n v="0"/>
    <n v="75041.822213333333"/>
    <n v="193910.15554666668"/>
    <m/>
    <m/>
    <m/>
    <s v="1 - DIR_SA_FA - Tovar, Jessica"/>
  </r>
  <r>
    <n v="317"/>
    <s v="MGMT"/>
    <x v="242"/>
    <s v="DIR_IR"/>
    <n v="1"/>
    <m/>
    <n v="7"/>
    <s v="E"/>
    <m/>
    <m/>
    <n v="124252"/>
    <n v="124252"/>
    <m/>
    <m/>
    <m/>
    <m/>
    <m/>
    <m/>
    <m/>
    <m/>
    <n v="1500"/>
    <n v="125752"/>
    <n v="0.65"/>
    <n v="81738.8"/>
    <s v="11-150-00-663000-52130"/>
    <x v="1"/>
    <s v="150"/>
    <s v="00"/>
    <s v="663000"/>
    <s v="52130"/>
    <x v="0"/>
    <m/>
    <n v="18726.359080000002"/>
    <n v="5067.8056000000006"/>
    <n v="1185.2126000000001"/>
    <n v="1005.38724"/>
    <n v="1545.5172304000002"/>
    <n v="140.04"/>
    <n v="91.025999999999996"/>
    <n v="79.2"/>
    <n v="51.480000000000004"/>
    <n v="13152"/>
    <n v="13680.052799999999"/>
    <n v="8892.0343200000007"/>
    <n v="9034.5403200000001"/>
    <m/>
    <n v="0"/>
    <n v="36564.822070400005"/>
    <n v="118303.62207040002"/>
    <m/>
    <m/>
    <m/>
    <s v="0.65 - DIR_IR - Trengove, Matthew"/>
  </r>
  <r>
    <n v="318"/>
    <s v="MGMT"/>
    <x v="242"/>
    <s v="DIR_IR"/>
    <n v="1"/>
    <m/>
    <n v="7"/>
    <s v="E"/>
    <m/>
    <m/>
    <n v="124252"/>
    <n v="124252"/>
    <m/>
    <m/>
    <m/>
    <m/>
    <m/>
    <m/>
    <m/>
    <m/>
    <n v="1500"/>
    <n v="125752"/>
    <n v="0.35"/>
    <n v="44013.2"/>
    <s v="12-330-00-679040-52130"/>
    <x v="0"/>
    <s v="330"/>
    <s v="00"/>
    <s v="679040"/>
    <s v="52130"/>
    <x v="0"/>
    <m/>
    <n v="10083.42412"/>
    <n v="2728.8183999999997"/>
    <n v="638.19140000000004"/>
    <n v="541.36235999999997"/>
    <n v="832.20158560000004"/>
    <n v="140.04"/>
    <n v="49.013999999999996"/>
    <n v="79.2"/>
    <n v="27.72"/>
    <n v="13152"/>
    <n v="13680.052799999999"/>
    <n v="4788.0184799999997"/>
    <n v="4864.7524800000001"/>
    <m/>
    <n v="0"/>
    <n v="19688.750345599998"/>
    <n v="63701.950345599995"/>
    <s v="Raul Rodriguez"/>
    <s v="Moises Almendariz"/>
    <s v="GANAS Grant"/>
    <s v="0.35 - DIR_IR - Trengove, Matthew"/>
  </r>
  <r>
    <n v="319"/>
    <s v="MGMT"/>
    <x v="243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71-52130"/>
    <x v="0"/>
    <s v="400"/>
    <s v="00"/>
    <s v="703571"/>
    <s v="52130"/>
    <x v="0"/>
    <m/>
    <n v="11435.297399999999"/>
    <n v="3094.6680000000001"/>
    <n v="723.75300000000004"/>
    <n v="613.94219999999996"/>
    <n v="943.77391200000011"/>
    <n v="140.04"/>
    <n v="70.02"/>
    <n v="79.2"/>
    <n v="39.6"/>
    <n v="7584"/>
    <n v="7888.4975999999997"/>
    <n v="3944.2487999999998"/>
    <n v="4053.8687999999997"/>
    <n v="2400"/>
    <n v="1200"/>
    <n v="22065.303312"/>
    <n v="71979.303312000004"/>
    <s v="Romero Jalomo"/>
    <s v="Cesar Velazquez"/>
    <s v="Upward Bound Alisal &amp; Alvarez "/>
    <s v="0.5 - GRPR_DIR - Velasquez, Cesar"/>
  </r>
  <r>
    <n v="320"/>
    <s v="MGMT"/>
    <x v="243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81-52130"/>
    <x v="0"/>
    <s v="400"/>
    <s v="00"/>
    <s v="703581"/>
    <s v="52130"/>
    <x v="0"/>
    <m/>
    <n v="11435.297399999999"/>
    <n v="3094.6680000000001"/>
    <n v="723.75300000000004"/>
    <n v="613.94219999999996"/>
    <n v="943.77391200000011"/>
    <n v="140.04"/>
    <n v="70.02"/>
    <n v="79.2"/>
    <n v="39.6"/>
    <n v="7584"/>
    <n v="7888.4975999999997"/>
    <n v="3944.2487999999998"/>
    <n v="4053.8687999999997"/>
    <n v="2400"/>
    <n v="1200"/>
    <n v="22065.303312"/>
    <n v="71979.303312000004"/>
    <s v="Romero Jalomo"/>
    <s v="Cesar Velazquez"/>
    <s v="Upward Bound North Salinas"/>
    <s v="0.5 - GRPR_DIR - Velasquez, Cesar"/>
  </r>
  <r>
    <n v="321"/>
    <s v="MGMT"/>
    <x v="244"/>
    <s v="DIR_SA"/>
    <n v="1"/>
    <d v="2022-05-01T00:00:00"/>
    <n v="9"/>
    <s v="D"/>
    <n v="90089.166666666657"/>
    <s v="E"/>
    <n v="18688.666666666668"/>
    <n v="108777.83333333333"/>
    <m/>
    <m/>
    <m/>
    <m/>
    <m/>
    <m/>
    <m/>
    <m/>
    <m/>
    <n v="108777.83333333333"/>
    <n v="1"/>
    <n v="108777.83333333333"/>
    <s v="12-100-00-709650-52130"/>
    <x v="0"/>
    <s v="100"/>
    <s v="00"/>
    <s v="709650"/>
    <s v="52130"/>
    <x v="0"/>
    <m/>
    <n v="24921.001616666665"/>
    <n v="6744.2256666666663"/>
    <n v="1577.2785833333332"/>
    <n v="1337.9673499999999"/>
    <n v="2056.7712726666668"/>
    <n v="140.04"/>
    <n v="140.04"/>
    <n v="79.2"/>
    <n v="79.2"/>
    <n v="13152"/>
    <n v="13680.052799999999"/>
    <n v="13680.052799999999"/>
    <n v="13899.292799999999"/>
    <m/>
    <n v="0"/>
    <n v="50536.537289333326"/>
    <n v="159314.37062266667"/>
    <s v="Raul Rodriguez"/>
    <s v="Moises Almendariz"/>
    <s v="Title V HSI Cultivamos"/>
    <s v="1 - DIR_SA - Walker, Laurencia"/>
  </r>
  <r>
    <n v="322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25"/>
    <n v="24957"/>
    <s v="12-370-00-701100-52130"/>
    <x v="0"/>
    <s v="370"/>
    <s v="00"/>
    <s v="701100"/>
    <s v="52130"/>
    <x v="0"/>
    <m/>
    <n v="5717.6486999999997"/>
    <n v="1547.3340000000001"/>
    <n v="361.87650000000002"/>
    <n v="306.97109999999998"/>
    <n v="471.88695600000005"/>
    <n v="140.04"/>
    <n v="35.01"/>
    <n v="79.2"/>
    <n v="19.8"/>
    <n v="13152"/>
    <n v="13680.052799999999"/>
    <n v="3420.0131999999999"/>
    <n v="3474.8231999999998"/>
    <m/>
    <n v="0"/>
    <n v="11880.540455999999"/>
    <n v="36837.540456000002"/>
    <s v="Cathryn Wilkinson"/>
    <s v="Margie Wiebusch"/>
    <s v="Foster and Kinship Care Education program (FKCE)"/>
    <s v="0.25 - GRPR_DIR - Wiebusch, Margaret"/>
  </r>
  <r>
    <n v="323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1875"/>
    <n v="18717.75"/>
    <s v="11-370-00-708300-52130"/>
    <x v="1"/>
    <s v="370"/>
    <s v="00"/>
    <s v="708300"/>
    <s v="52130"/>
    <x v="0"/>
    <m/>
    <n v="4288.2365250000003"/>
    <n v="1160.5005000000001"/>
    <n v="271.407375"/>
    <n v="230.22832500000001"/>
    <n v="353.91521700000004"/>
    <n v="140.04"/>
    <n v="26.2575"/>
    <n v="79.2"/>
    <n v="14.850000000000001"/>
    <n v="13152"/>
    <n v="13680.052799999999"/>
    <n v="2565.0099"/>
    <n v="2606.1174000000001"/>
    <m/>
    <n v="0"/>
    <n v="8910.405342"/>
    <n v="27628.155341999998"/>
    <m/>
    <m/>
    <m/>
    <s v="0.1875 - GRPR_DIR - Wiebusch, Margaret"/>
  </r>
  <r>
    <n v="324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5625"/>
    <n v="56153.25"/>
    <s v="12-370-00-708300-52130"/>
    <x v="0"/>
    <s v="370"/>
    <s v="00"/>
    <s v="708300"/>
    <s v="52130"/>
    <x v="0"/>
    <m/>
    <n v="12864.709575000001"/>
    <n v="3481.5014999999999"/>
    <n v="814.22212500000001"/>
    <n v="690.68497500000001"/>
    <n v="1061.7456510000002"/>
    <n v="140.04"/>
    <n v="78.772499999999994"/>
    <n v="79.2"/>
    <n v="44.550000000000004"/>
    <n v="13152"/>
    <n v="13680.052799999999"/>
    <n v="7695.0297"/>
    <n v="7818.3522000000003"/>
    <m/>
    <n v="0"/>
    <n v="26731.216025999998"/>
    <n v="82884.466025999995"/>
    <s v="Cathryn Wilkinson"/>
    <s v="Margie Wiebusch"/>
    <s v="Department of Social Services Contract (DSES)"/>
    <s v="0.5625 - GRPR_DIR - Wiebusch, Margaret"/>
  </r>
  <r>
    <n v="325"/>
    <s v="MGMT"/>
    <x v="246"/>
    <s v="VP_ACDAF"/>
    <n v="1"/>
    <d v="2021-12-01T00:00:00"/>
    <n v="1.1000000000000001"/>
    <s v="D"/>
    <n v="70079.583333333328"/>
    <s v="E"/>
    <n v="100631.41666666666"/>
    <n v="170711"/>
    <m/>
    <m/>
    <m/>
    <m/>
    <m/>
    <m/>
    <m/>
    <m/>
    <n v="1500"/>
    <n v="172211"/>
    <n v="1"/>
    <n v="172211"/>
    <s v="11-300-00-601000-51210"/>
    <x v="1"/>
    <s v="300"/>
    <s v="00"/>
    <s v="601000"/>
    <s v="51210"/>
    <x v="1"/>
    <n v="29138.101199999997"/>
    <m/>
    <m/>
    <n v="2497.0595000000003"/>
    <n v="2118.1952999999999"/>
    <n v="3256.1655880000003"/>
    <n v="140.04"/>
    <n v="140.04"/>
    <n v="79.2"/>
    <n v="79.2"/>
    <n v="23232"/>
    <n v="24164.764800000001"/>
    <n v="24164.764800000001"/>
    <n v="24384.004800000002"/>
    <n v="2400"/>
    <n v="2400"/>
    <n v="63793.526387999998"/>
    <n v="236004.526388"/>
    <m/>
    <m/>
    <m/>
    <s v="1 - VP_ACDAF - Wilkinson, Catherine"/>
  </r>
  <r>
    <n v="326"/>
    <s v="MGMT"/>
    <x v="247"/>
    <s v="INTERIM-DEAN_AA"/>
    <n v="1"/>
    <m/>
    <n v="3"/>
    <s v="E"/>
    <m/>
    <m/>
    <n v="148881"/>
    <n v="148881"/>
    <m/>
    <m/>
    <m/>
    <m/>
    <m/>
    <m/>
    <m/>
    <m/>
    <m/>
    <n v="148881"/>
    <n v="1"/>
    <n v="148881"/>
    <s v="11-304-00-601000-51210"/>
    <x v="1"/>
    <s v="304"/>
    <s v="00"/>
    <s v="601000"/>
    <s v="51210"/>
    <x v="1"/>
    <n v="25190.665199999999"/>
    <m/>
    <m/>
    <n v="2158.7745"/>
    <n v="1831.2363"/>
    <n v="2815.041948"/>
    <n v="140.04"/>
    <n v="140.04"/>
    <n v="79.2"/>
    <n v="79.2"/>
    <n v="7584"/>
    <n v="7888.4975999999997"/>
    <n v="7888.4975999999997"/>
    <n v="8107.7375999999995"/>
    <n v="2400"/>
    <n v="2400"/>
    <n v="42503.455547999998"/>
    <n v="191384.455548"/>
    <m/>
    <m/>
    <m/>
    <s v="1 - INTERIM-DEAN_AA - Yahdi, Mohammed"/>
  </r>
  <r>
    <n v="327"/>
    <s v="MGMT"/>
    <x v="248"/>
    <s v="GRPR_DIR"/>
    <n v="1"/>
    <d v="2021-10-01T00:00:00"/>
    <n v="11"/>
    <s v="D"/>
    <n v="23945.25"/>
    <s v="E"/>
    <n v="74871"/>
    <n v="98816.25"/>
    <m/>
    <m/>
    <m/>
    <m/>
    <m/>
    <m/>
    <m/>
    <m/>
    <m/>
    <n v="98816.25"/>
    <n v="1"/>
    <n v="98816.25"/>
    <s v="12-400-00-703560-52130"/>
    <x v="0"/>
    <s v="400"/>
    <s v="00"/>
    <s v="703560"/>
    <s v="52130"/>
    <x v="0"/>
    <m/>
    <n v="22638.802875000001"/>
    <n v="6126.6075000000001"/>
    <n v="1432.8356250000002"/>
    <n v="1215.439875"/>
    <n v="1868.4176550000002"/>
    <n v="140.04"/>
    <n v="140.04"/>
    <n v="79.2"/>
    <n v="79.2"/>
    <n v="13152"/>
    <n v="13680.052799999999"/>
    <n v="13680.052799999999"/>
    <n v="13899.292799999999"/>
    <m/>
    <n v="0"/>
    <n v="47181.396329999996"/>
    <n v="145997.64632999999"/>
    <s v="Romero Jalomo"/>
    <s v="Laura Zavala"/>
    <s v="H.S. Equivalencey Program (HEP)"/>
    <s v="1 - GRPR_DIR - Zavala, Laura "/>
  </r>
  <r>
    <n v="328"/>
    <s v="HCFA"/>
    <x v="249"/>
    <s v="POLSCI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10-00-220700-51100"/>
    <x v="1"/>
    <s v="310"/>
    <s v="00"/>
    <s v="220700"/>
    <s v="51100"/>
    <x v="1"/>
    <n v="17806.2696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7622.463098"/>
    <n v="162860.46309800001"/>
    <m/>
    <m/>
    <m/>
    <s v="1 - POLSCI_INS - Adams, Lawrence J"/>
  </r>
  <r>
    <n v="329"/>
    <s v="HCFA"/>
    <x v="250"/>
    <s v="SS_LIBRAR"/>
    <n v="100"/>
    <d v="2021-07-01T00:00:00"/>
    <s v="C"/>
    <n v="10"/>
    <m/>
    <m/>
    <n v="91049"/>
    <n v="91049"/>
    <m/>
    <m/>
    <m/>
    <m/>
    <m/>
    <m/>
    <m/>
    <m/>
    <m/>
    <n v="91049"/>
    <n v="1"/>
    <n v="91049"/>
    <s v="11-360-00-160100-51100"/>
    <x v="1"/>
    <s v="360"/>
    <s v="00"/>
    <s v="160100"/>
    <s v="51100"/>
    <x v="1"/>
    <n v="15405.4908"/>
    <m/>
    <m/>
    <n v="1320.2105000000001"/>
    <n v="1119.9027000000001"/>
    <n v="1721.5544920000002"/>
    <n v="140.04"/>
    <n v="140.04"/>
    <n v="79.2"/>
    <n v="79.2"/>
    <n v="25452.57"/>
    <n v="26474.490685500001"/>
    <n v="26474.490685500001"/>
    <n v="26693.730685500002"/>
    <m/>
    <n v="0"/>
    <n v="46260.889177500001"/>
    <n v="137309.88917750001"/>
    <m/>
    <m/>
    <m/>
    <s v="1 - SS_LIBRAR - Ainsworth, Cynthia G"/>
  </r>
  <r>
    <n v="330"/>
    <s v="HCFA"/>
    <x v="251"/>
    <s v="EOPS_CARE"/>
    <n v="100"/>
    <d v="2021-07-01T00:00:00"/>
    <s v="B"/>
    <n v="20"/>
    <m/>
    <m/>
    <n v="111252"/>
    <n v="111252"/>
    <m/>
    <m/>
    <m/>
    <m/>
    <m/>
    <m/>
    <m/>
    <m/>
    <m/>
    <n v="111252"/>
    <n v="0.8"/>
    <n v="89001.600000000006"/>
    <s v="12-430-00-700500-51200"/>
    <x v="0"/>
    <s v="430"/>
    <s v="00"/>
    <s v="700500"/>
    <s v="51200"/>
    <x v="1"/>
    <n v="15059.07072"/>
    <m/>
    <m/>
    <n v="1290.5232000000001"/>
    <n v="1094.7196800000002"/>
    <n v="1682.8422528000003"/>
    <n v="140.04"/>
    <n v="112.032"/>
    <n v="79.2"/>
    <n v="63.360000000000007"/>
    <n v="25452.57"/>
    <n v="26474.490685500001"/>
    <n v="21179.592548400004"/>
    <n v="21354.984548400003"/>
    <m/>
    <n v="0"/>
    <n v="40482.140401200006"/>
    <n v="129483.74040120002"/>
    <s v="Romero Jalomo"/>
    <s v="Paul Casey"/>
    <s v="Extended Opportunity Programs and Services (EOPS)"/>
    <s v="0.8 - EOPS_CARE - Alexander, Mitzi C"/>
  </r>
  <r>
    <n v="331"/>
    <s v="HCFA"/>
    <x v="251"/>
    <s v="EOPS_CARE"/>
    <n v="100"/>
    <d v="2021-07-01T00:00:00"/>
    <s v="B"/>
    <n v="20"/>
    <m/>
    <m/>
    <n v="111252"/>
    <n v="111252"/>
    <m/>
    <m/>
    <m/>
    <m/>
    <m/>
    <m/>
    <m/>
    <m/>
    <m/>
    <n v="111252"/>
    <n v="0.2"/>
    <n v="22250.400000000001"/>
    <s v="12-430-00-700800-51200"/>
    <x v="0"/>
    <s v="430"/>
    <s v="00"/>
    <s v="700800"/>
    <s v="51200"/>
    <x v="1"/>
    <n v="3764.7676799999999"/>
    <m/>
    <m/>
    <n v="322.63080000000002"/>
    <n v="273.67992000000004"/>
    <n v="420.71056320000008"/>
    <n v="140.04"/>
    <n v="28.007999999999999"/>
    <n v="79.2"/>
    <n v="15.840000000000002"/>
    <n v="25452.57"/>
    <n v="26474.490685500001"/>
    <n v="5294.8981371000009"/>
    <n v="5338.7461371000009"/>
    <m/>
    <n v="0"/>
    <n v="10120.535100300001"/>
    <n v="32370.935100300005"/>
    <s v="Romero Jalomo"/>
    <s v="Paul Casey"/>
    <s v="Cooperative Agencies Resources for Education (CARE) Program"/>
    <s v="0.2 - EOPS_CARE - Alexander, Mitzi C"/>
  </r>
  <r>
    <n v="332"/>
    <s v="HCFA"/>
    <x v="252"/>
    <s v="ECE_INS"/>
    <n v="100"/>
    <d v="2021-07-01T00:00:00"/>
    <s v="E"/>
    <n v="15"/>
    <m/>
    <m/>
    <n v="112934"/>
    <n v="112934"/>
    <m/>
    <m/>
    <m/>
    <m/>
    <m/>
    <m/>
    <m/>
    <m/>
    <m/>
    <n v="112934"/>
    <n v="1"/>
    <n v="112934"/>
    <s v="11-350-00-130500-51100"/>
    <x v="1"/>
    <s v="350"/>
    <s v="00"/>
    <s v="130500"/>
    <s v="51100"/>
    <x v="1"/>
    <n v="19108.432799999999"/>
    <m/>
    <m/>
    <n v="1637.5430000000001"/>
    <n v="1389.0881999999999"/>
    <n v="2135.356072"/>
    <n v="140.04"/>
    <n v="140.04"/>
    <n v="79.2"/>
    <n v="79.2"/>
    <n v="13756.16"/>
    <n v="14308.469824"/>
    <n v="14308.469824"/>
    <n v="14527.709824"/>
    <m/>
    <n v="0"/>
    <n v="38798.129895999999"/>
    <n v="151732.129896"/>
    <m/>
    <m/>
    <m/>
    <s v="1 - ECE_INS - Almodovar, Mayra"/>
  </r>
  <r>
    <n v="333"/>
    <s v="HCFA"/>
    <x v="253"/>
    <s v="COU_GEN"/>
    <n v="100"/>
    <d v="2021-07-01T00:00:00"/>
    <s v="C"/>
    <n v="20"/>
    <m/>
    <m/>
    <n v="118516"/>
    <n v="118516"/>
    <m/>
    <m/>
    <m/>
    <m/>
    <m/>
    <m/>
    <m/>
    <m/>
    <m/>
    <n v="118516"/>
    <n v="1"/>
    <n v="118516"/>
    <s v="11-400-00-631000-51200"/>
    <x v="1"/>
    <s v="400"/>
    <s v="00"/>
    <s v="631000"/>
    <s v="51200"/>
    <x v="1"/>
    <n v="20052.907199999998"/>
    <m/>
    <m/>
    <n v="1718.4820000000002"/>
    <n v="1457.7468000000001"/>
    <n v="2240.9005280000001"/>
    <n v="140.04"/>
    <n v="140.04"/>
    <n v="79.2"/>
    <n v="79.2"/>
    <n v="17423.89"/>
    <n v="18123.459183499999"/>
    <n v="18123.459183499999"/>
    <n v="18342.699183500001"/>
    <n v="2400"/>
    <n v="2400"/>
    <n v="46212.735711499998"/>
    <n v="164728.73571149999"/>
    <m/>
    <m/>
    <m/>
    <s v="1 - COU_GEN - Anderson, J. Tony"/>
  </r>
  <r>
    <n v="334"/>
    <s v="HCFA"/>
    <x v="254"/>
    <s v="CSS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30-01-070100-51100"/>
    <x v="1"/>
    <s v="330"/>
    <s v="01"/>
    <s v="070100"/>
    <s v="51100"/>
    <x v="1"/>
    <n v="18090.525599999997"/>
    <m/>
    <m/>
    <n v="1550.3110000000001"/>
    <n v="1315.0914"/>
    <n v="2021.6055440000002"/>
    <n v="140.04"/>
    <n v="140.04"/>
    <n v="79.2"/>
    <n v="79.2"/>
    <n v="13152"/>
    <n v="13680.052799999999"/>
    <n v="13680.052799999999"/>
    <n v="13899.292799999999"/>
    <m/>
    <n v="0"/>
    <n v="36876.826344000001"/>
    <n v="143794.826344"/>
    <m/>
    <m/>
    <m/>
    <s v="1 - CSS_INS - Arteaga, Sonia M"/>
  </r>
  <r>
    <n v="335"/>
    <s v="HCFA"/>
    <x v="255"/>
    <s v="GEO_INS"/>
    <n v="100"/>
    <d v="2021-07-01T00:00:00"/>
    <s v="B"/>
    <n v="20"/>
    <m/>
    <m/>
    <n v="105238"/>
    <n v="105238"/>
    <m/>
    <m/>
    <m/>
    <m/>
    <m/>
    <m/>
    <m/>
    <m/>
    <m/>
    <n v="105238"/>
    <n v="0.8"/>
    <n v="84190.400000000009"/>
    <s v="11-330-00-191400-51100"/>
    <x v="1"/>
    <s v="330"/>
    <s v="00"/>
    <s v="191400"/>
    <s v="51100"/>
    <x v="1"/>
    <n v="14245.01568"/>
    <m/>
    <m/>
    <n v="1220.7608000000002"/>
    <n v="1035.5419200000001"/>
    <n v="1591.8720832000004"/>
    <n v="140.04"/>
    <n v="112.032"/>
    <n v="79.2"/>
    <n v="63.360000000000007"/>
    <n v="25452.57"/>
    <n v="26474.490685500001"/>
    <n v="21179.592548400004"/>
    <n v="21354.984548400003"/>
    <m/>
    <n v="0"/>
    <n v="39448.175031600003"/>
    <n v="123638.57503160002"/>
    <m/>
    <m/>
    <m/>
    <s v="0.8 - GEO_INS - Barminski Jr, Robert F"/>
  </r>
  <r>
    <n v="336"/>
    <s v="HCFA"/>
    <x v="255"/>
    <s v="OCN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0-191900-51100"/>
    <x v="1"/>
    <s v="330"/>
    <s v="00"/>
    <s v="191900"/>
    <s v="51100"/>
    <x v="1"/>
    <n v="3561.2539200000001"/>
    <m/>
    <m/>
    <n v="305.19020000000006"/>
    <n v="258.88548000000003"/>
    <n v="397.96802080000009"/>
    <n v="140.04"/>
    <n v="28.007999999999999"/>
    <n v="79.2"/>
    <n v="15.840000000000002"/>
    <n v="25452.57"/>
    <n v="26474.490685500001"/>
    <n v="5294.8981371000009"/>
    <n v="5338.7461371000009"/>
    <m/>
    <n v="0"/>
    <n v="9862.0437579000009"/>
    <n v="30909.643757900005"/>
    <m/>
    <m/>
    <m/>
    <s v="0.2 - OCN_INS - Barminski Jr, Robert F"/>
  </r>
  <r>
    <n v="337"/>
    <s v="HCFA"/>
    <x v="256"/>
    <s v="ESL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75-00-493080-51100"/>
    <x v="1"/>
    <s v="375"/>
    <s v="00"/>
    <s v="493080"/>
    <s v="51100"/>
    <x v="1"/>
    <n v="20057.137199999997"/>
    <m/>
    <m/>
    <n v="1718.8445000000002"/>
    <n v="1458.0543"/>
    <n v="2241.3732279999999"/>
    <n v="140.04"/>
    <n v="140.04"/>
    <n v="79.2"/>
    <n v="79.2"/>
    <n v="14347.68"/>
    <n v="14923.739352000001"/>
    <n v="14923.739352000001"/>
    <n v="15142.979352"/>
    <m/>
    <n v="0"/>
    <n v="40618.388579999999"/>
    <n v="159159.38858"/>
    <m/>
    <m/>
    <m/>
    <s v="1 - ESL_INS - Beck, James C"/>
  </r>
  <r>
    <n v="338"/>
    <s v="HCFA"/>
    <x v="257"/>
    <s v="ADJ_INS"/>
    <n v="100"/>
    <d v="2021-07-01T00:00:00"/>
    <s v="B"/>
    <n v="20"/>
    <m/>
    <m/>
    <n v="118541"/>
    <n v="118541"/>
    <m/>
    <m/>
    <m/>
    <m/>
    <m/>
    <m/>
    <m/>
    <m/>
    <m/>
    <n v="118541"/>
    <n v="1"/>
    <n v="118541"/>
    <s v="11-350-00-210500-51100"/>
    <x v="1"/>
    <s v="350"/>
    <s v="00"/>
    <s v="210500"/>
    <s v="51100"/>
    <x v="1"/>
    <n v="20057.137199999997"/>
    <m/>
    <m/>
    <n v="1718.8445000000002"/>
    <n v="1458.0543"/>
    <n v="2241.3732279999999"/>
    <n v="140.04"/>
    <n v="140.04"/>
    <n v="79.2"/>
    <n v="79.2"/>
    <n v="25452.57"/>
    <n v="26474.490685500001"/>
    <n v="26474.490685500001"/>
    <n v="26693.730685500002"/>
    <m/>
    <n v="0"/>
    <n v="52169.139913499996"/>
    <n v="170710.1399135"/>
    <m/>
    <m/>
    <m/>
    <s v="1 - ADJ_INS - Bertomen, Lindsey J"/>
  </r>
  <r>
    <n v="339"/>
    <s v="HCFA"/>
    <x v="258"/>
    <s v="ATH_TRNR"/>
    <n v="100"/>
    <d v="2021-07-01T00:00:00"/>
    <s v="B"/>
    <n v="20"/>
    <m/>
    <m/>
    <n v="119671"/>
    <n v="119671"/>
    <m/>
    <m/>
    <m/>
    <m/>
    <m/>
    <m/>
    <m/>
    <m/>
    <m/>
    <n v="119671"/>
    <n v="0.6"/>
    <n v="71802.599999999991"/>
    <s v="11-320-00-083500-51100"/>
    <x v="1"/>
    <s v="320"/>
    <s v="00"/>
    <s v="083500"/>
    <s v="51100"/>
    <x v="1"/>
    <n v="12148.999919999998"/>
    <m/>
    <m/>
    <n v="1041.1377"/>
    <n v="883.17197999999985"/>
    <n v="1357.6435607999999"/>
    <n v="140.04"/>
    <n v="84.023999999999987"/>
    <n v="79.2"/>
    <n v="47.52"/>
    <n v="33443.96"/>
    <n v="34786.734993999999"/>
    <n v="20872.040996399999"/>
    <n v="21003.584996400001"/>
    <m/>
    <n v="0"/>
    <n v="36434.538157199997"/>
    <n v="108237.13815719998"/>
    <m/>
    <m/>
    <m/>
    <s v="0.6 - ATH_TRNR - Beymer, David S"/>
  </r>
  <r>
    <n v="340"/>
    <s v="HCFA"/>
    <x v="258"/>
    <s v="ATH_TRNR"/>
    <n v="100"/>
    <d v="2021-07-01T00:00:00"/>
    <s v="B"/>
    <n v="20"/>
    <m/>
    <m/>
    <n v="119671"/>
    <n v="119671"/>
    <m/>
    <m/>
    <m/>
    <m/>
    <m/>
    <m/>
    <m/>
    <m/>
    <m/>
    <n v="119671"/>
    <n v="0.4"/>
    <n v="47868.4"/>
    <s v="11-320-00-083550-51100"/>
    <x v="1"/>
    <s v="320"/>
    <s v="00"/>
    <s v="083550"/>
    <s v="51100"/>
    <x v="1"/>
    <n v="8099.3332799999998"/>
    <m/>
    <m/>
    <n v="694.09180000000003"/>
    <n v="588.78132000000005"/>
    <n v="905.09570720000011"/>
    <n v="140.04"/>
    <n v="56.015999999999998"/>
    <n v="79.2"/>
    <n v="31.680000000000003"/>
    <n v="33443.96"/>
    <n v="34786.734993999999"/>
    <n v="13914.693997599999"/>
    <n v="14002.389997599999"/>
    <m/>
    <n v="0"/>
    <n v="24289.6921048"/>
    <n v="72158.092104800002"/>
    <m/>
    <m/>
    <m/>
    <s v="0.4 - ATH_TRNR - Beymer, David S"/>
  </r>
  <r>
    <n v="341"/>
    <s v="HCFA"/>
    <x v="259"/>
    <s v="ECE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50-00-130500-51100"/>
    <x v="1"/>
    <s v="350"/>
    <s v="00"/>
    <s v="130500"/>
    <s v="51100"/>
    <x v="1"/>
    <n v="15475.3704"/>
    <m/>
    <m/>
    <n v="1326.1990000000001"/>
    <n v="1124.9826"/>
    <n v="1729.3634960000002"/>
    <n v="140.04"/>
    <n v="140.04"/>
    <n v="79.2"/>
    <n v="79.2"/>
    <n v="33443.96"/>
    <n v="34786.734993999999"/>
    <n v="34786.734993999999"/>
    <n v="35005.974993999997"/>
    <m/>
    <n v="0"/>
    <n v="54661.890490000005"/>
    <n v="146123.89049000002"/>
    <m/>
    <m/>
    <m/>
    <s v="1 - ECE_INS - Boates, Tammy L"/>
  </r>
  <r>
    <n v="342"/>
    <s v="HCFA"/>
    <x v="260"/>
    <s v="ART_INS"/>
    <n v="100"/>
    <d v="2021-07-01T00:00:00"/>
    <s v="C"/>
    <n v="6"/>
    <m/>
    <m/>
    <n v="79012"/>
    <n v="79012"/>
    <m/>
    <m/>
    <m/>
    <m/>
    <m/>
    <m/>
    <m/>
    <m/>
    <m/>
    <n v="79012"/>
    <n v="0.5"/>
    <n v="39506"/>
    <s v="11-310-00-100200-51100"/>
    <x v="1"/>
    <s v="310"/>
    <s v="00"/>
    <s v="100200"/>
    <s v="51100"/>
    <x v="1"/>
    <n v="6684.4151999999995"/>
    <m/>
    <m/>
    <n v="572.83699999999999"/>
    <n v="485.92380000000003"/>
    <n v="746.97944800000005"/>
    <n v="140.04"/>
    <n v="70.02"/>
    <n v="79.2"/>
    <n v="39.6"/>
    <n v="25452.6"/>
    <n v="26474.521889999996"/>
    <n v="13237.260944999998"/>
    <n v="13346.880944999999"/>
    <m/>
    <n v="0"/>
    <n v="21837.036392999998"/>
    <n v="61343.036393000002"/>
    <m/>
    <m/>
    <m/>
    <s v="0.5 - ART_INS - VACANT (Bosler)"/>
  </r>
  <r>
    <n v="343"/>
    <s v="HCFA"/>
    <x v="260"/>
    <s v="PHOTO_INS"/>
    <n v="100"/>
    <d v="2021-07-01T00:00:00"/>
    <s v="C"/>
    <n v="6"/>
    <m/>
    <m/>
    <n v="79012"/>
    <n v="79012"/>
    <m/>
    <m/>
    <m/>
    <m/>
    <m/>
    <m/>
    <m/>
    <m/>
    <m/>
    <n v="79012"/>
    <n v="0.5"/>
    <n v="39506"/>
    <s v="11-310-00-101100-51100"/>
    <x v="1"/>
    <s v="310"/>
    <s v="00"/>
    <s v="101100"/>
    <s v="51100"/>
    <x v="1"/>
    <n v="6684.4151999999995"/>
    <m/>
    <m/>
    <n v="572.83699999999999"/>
    <n v="485.92380000000003"/>
    <n v="746.97944800000005"/>
    <n v="140.04"/>
    <n v="70.02"/>
    <n v="79.2"/>
    <n v="39.6"/>
    <n v="25452.6"/>
    <n v="26474.521889999996"/>
    <n v="13237.260944999998"/>
    <n v="13346.880944999999"/>
    <m/>
    <n v="0"/>
    <n v="21837.036392999998"/>
    <n v="61343.036393000002"/>
    <m/>
    <m/>
    <m/>
    <s v="0.5 - PHOTO_INS - VACANT (Bosler)"/>
  </r>
  <r>
    <n v="344"/>
    <s v="HCFA"/>
    <x v="261"/>
    <s v="RCP_COORD"/>
    <n v="100"/>
    <d v="2021-07-01T00:00:00"/>
    <s v="B"/>
    <n v="20"/>
    <m/>
    <m/>
    <n v="105238"/>
    <n v="105238"/>
    <m/>
    <n v="4641"/>
    <m/>
    <m/>
    <m/>
    <m/>
    <m/>
    <m/>
    <m/>
    <n v="109879"/>
    <n v="0.85"/>
    <n v="93397.15"/>
    <s v="11-335-00-120400-51100"/>
    <x v="1"/>
    <s v="335"/>
    <s v="00"/>
    <s v="120400"/>
    <s v="51100"/>
    <x v="1"/>
    <n v="15802.797779999997"/>
    <m/>
    <m/>
    <n v="1354.258675"/>
    <n v="1148.7849449999999"/>
    <n v="1765.9533122"/>
    <n v="140.04"/>
    <n v="119.03399999999999"/>
    <n v="79.2"/>
    <n v="67.320000000000007"/>
    <n v="25452.57"/>
    <n v="26474.490685500001"/>
    <n v="22503.317082674999"/>
    <n v="22689.671082674999"/>
    <m/>
    <n v="0"/>
    <n v="42761.465794874995"/>
    <n v="136158.61579487499"/>
    <m/>
    <m/>
    <m/>
    <s v="0.85 - RCP_COORD - Brandt, Emily R"/>
  </r>
  <r>
    <n v="345"/>
    <s v="HCFA"/>
    <x v="261"/>
    <s v="RCP_COORD"/>
    <n v="100"/>
    <d v="2021-07-01T00:00:00"/>
    <s v="B"/>
    <n v="20"/>
    <m/>
    <m/>
    <n v="105238"/>
    <n v="105238"/>
    <m/>
    <n v="4641"/>
    <m/>
    <m/>
    <m/>
    <m/>
    <m/>
    <m/>
    <m/>
    <n v="109879"/>
    <n v="0.15"/>
    <n v="16481.849999999999"/>
    <s v="11-335-00-120400-51200"/>
    <x v="1"/>
    <s v="335"/>
    <s v="00"/>
    <s v="120400"/>
    <s v="51200"/>
    <x v="1"/>
    <n v="2788.7290199999998"/>
    <m/>
    <m/>
    <n v="238.98682499999998"/>
    <n v="202.726755"/>
    <n v="311.63881979999996"/>
    <n v="140.04"/>
    <n v="21.005999999999997"/>
    <n v="79.2"/>
    <n v="11.88"/>
    <n v="25452.57"/>
    <n v="26474.490685500001"/>
    <n v="3971.1736028249998"/>
    <n v="4004.0596028249997"/>
    <m/>
    <n v="0"/>
    <n v="7546.1410226249991"/>
    <n v="24027.991022624999"/>
    <m/>
    <m/>
    <m/>
    <s v="0.15 - RCP_COORD - Brandt, Emily R"/>
  </r>
  <r>
    <n v="346"/>
    <s v="HCFA"/>
    <x v="262"/>
    <s v="COU_GEN"/>
    <n v="100"/>
    <d v="2021-07-01T00:00:00"/>
    <s v="C"/>
    <n v="13"/>
    <m/>
    <m/>
    <n v="105793"/>
    <n v="105793"/>
    <m/>
    <m/>
    <m/>
    <m/>
    <m/>
    <m/>
    <m/>
    <m/>
    <m/>
    <n v="105793"/>
    <n v="1"/>
    <n v="105793"/>
    <s v="11-400-00-631000-51200"/>
    <x v="1"/>
    <s v="400"/>
    <s v="00"/>
    <s v="631000"/>
    <s v="51200"/>
    <x v="1"/>
    <m/>
    <n v="24237.176299999999"/>
    <n v="6559.1660000000002"/>
    <n v="1533.9985000000001"/>
    <n v="1301.2538999999999"/>
    <n v="2000.3340440000002"/>
    <n v="140.04"/>
    <n v="140.04"/>
    <n v="79.2"/>
    <n v="79.2"/>
    <n v="13152.04"/>
    <n v="13680.094406"/>
    <n v="13680.094406"/>
    <n v="13899.334406"/>
    <m/>
    <n v="0"/>
    <n v="49531.263149999999"/>
    <n v="155324.26315000001"/>
    <m/>
    <m/>
    <m/>
    <s v="1 - COU_GEN - Bravo, Gabriel S"/>
  </r>
  <r>
    <n v="347"/>
    <s v="HCFA"/>
    <x v="263"/>
    <s v="NRS_INS"/>
    <n v="100"/>
    <d v="2021-07-01T00:00:00"/>
    <s v="B"/>
    <n v="14"/>
    <m/>
    <m/>
    <n v="111053"/>
    <n v="111053"/>
    <m/>
    <m/>
    <m/>
    <m/>
    <m/>
    <m/>
    <m/>
    <m/>
    <m/>
    <n v="111053"/>
    <n v="1"/>
    <n v="111053"/>
    <s v="12-350-00-700321-51100"/>
    <x v="0"/>
    <s v="350"/>
    <s v="00"/>
    <s v="700321"/>
    <s v="51100"/>
    <x v="1"/>
    <n v="18790.167599999997"/>
    <m/>
    <m/>
    <n v="1610.2685000000001"/>
    <n v="1365.9519"/>
    <n v="2099.7901240000001"/>
    <n v="140.04"/>
    <n v="140.04"/>
    <n v="79.2"/>
    <n v="79.2"/>
    <n v="13152.04"/>
    <n v="13680.094406"/>
    <n v="13680.094406"/>
    <n v="13899.334406"/>
    <m/>
    <n v="0"/>
    <n v="37765.51253"/>
    <n v="148818.51253000001"/>
    <s v="Cathryn Wilkinson"/>
    <s v="Sharon Albert"/>
    <s v="Strong Workforce"/>
    <s v="1 - NRS_INS - Brozada, Lisa"/>
  </r>
  <r>
    <n v="348"/>
    <s v="HCFA"/>
    <x v="264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8969.011999999999"/>
    <m/>
    <m/>
    <n v="1625.595"/>
    <n v="1378.953"/>
    <n v="2119.7758800000001"/>
    <n v="140.04"/>
    <n v="140.04"/>
    <n v="79.2"/>
    <n v="79.2"/>
    <n v="36484.32"/>
    <n v="37949.165448"/>
    <n v="37949.165448"/>
    <n v="38168.405447999998"/>
    <m/>
    <n v="0"/>
    <n v="62261.741328000004"/>
    <n v="174371.741328"/>
    <m/>
    <m/>
    <m/>
    <s v="1 - MATH_INS - Butler Jr, James J"/>
  </r>
  <r>
    <n v="349"/>
    <s v="HCFA"/>
    <x v="265"/>
    <s v="BU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50-00-050000-51100"/>
    <x v="1"/>
    <s v="350"/>
    <s v="00"/>
    <s v="050000"/>
    <s v="51100"/>
    <x v="1"/>
    <n v="18969.011999999999"/>
    <m/>
    <m/>
    <n v="1625.595"/>
    <n v="1378.953"/>
    <n v="2119.7758800000001"/>
    <n v="140.04"/>
    <n v="140.04"/>
    <n v="79.2"/>
    <n v="79.2"/>
    <n v="13152"/>
    <n v="13680.052799999999"/>
    <n v="13680.052799999999"/>
    <n v="13899.292799999999"/>
    <m/>
    <n v="0"/>
    <n v="37992.628680000002"/>
    <n v="150102.62867999999"/>
    <m/>
    <m/>
    <m/>
    <s v="1 - BUS_INS - Calvert, Peter K"/>
  </r>
  <r>
    <n v="350"/>
    <s v="HCFA"/>
    <x v="266"/>
    <s v="AG_INS"/>
    <n v="100"/>
    <d v="2021-07-01T00:00:00"/>
    <s v="C"/>
    <n v="6"/>
    <n v="39506"/>
    <n v="7"/>
    <n v="41011"/>
    <n v="80517"/>
    <m/>
    <m/>
    <m/>
    <m/>
    <m/>
    <m/>
    <m/>
    <m/>
    <m/>
    <n v="80517"/>
    <n v="1"/>
    <n v="80517"/>
    <s v="12-300-00-602001-51100"/>
    <x v="0"/>
    <s v="300"/>
    <s v="00"/>
    <s v="602001"/>
    <s v="51100"/>
    <x v="1"/>
    <n v="13623.4764"/>
    <m/>
    <m/>
    <n v="1167.4965"/>
    <n v="990.35910000000001"/>
    <n v="1522.415436"/>
    <n v="140.04"/>
    <n v="140.04"/>
    <n v="79.2"/>
    <n v="79.2"/>
    <n v="25452.57"/>
    <n v="26474.490685500001"/>
    <n v="26474.490685500001"/>
    <n v="26693.730685500002"/>
    <m/>
    <n v="0"/>
    <n v="43997.478121499997"/>
    <n v="124514.4781215"/>
    <s v="Cathryn Wilkinson"/>
    <s v="Clint Cowden"/>
    <s v="Foundation - Taylor Farms-Ag. &amp; Engineering"/>
    <s v="1 - AG_INS - Chappman, Richard"/>
  </r>
  <r>
    <n v="351"/>
    <s v="HCFA"/>
    <x v="267"/>
    <s v="PSYCH_INS"/>
    <n v="100"/>
    <d v="2021-07-01T00:00:00"/>
    <s v="E"/>
    <n v="8"/>
    <m/>
    <m/>
    <n v="90964"/>
    <n v="90964"/>
    <m/>
    <m/>
    <m/>
    <m/>
    <m/>
    <m/>
    <m/>
    <m/>
    <m/>
    <n v="90964"/>
    <n v="1"/>
    <n v="90964"/>
    <s v="11-310-00-200100-51100"/>
    <x v="1"/>
    <s v="310"/>
    <s v="00"/>
    <s v="200100"/>
    <s v="51100"/>
    <x v="1"/>
    <n v="15391.108799999998"/>
    <m/>
    <m/>
    <n v="1318.9780000000001"/>
    <n v="1118.8571999999999"/>
    <n v="1719.947312"/>
    <n v="140.04"/>
    <n v="140.04"/>
    <n v="79.2"/>
    <n v="79.2"/>
    <n v="25452.6"/>
    <n v="26474.521889999996"/>
    <n v="26474.521889999996"/>
    <n v="26693.761889999998"/>
    <m/>
    <n v="0"/>
    <n v="46242.653201999994"/>
    <n v="137206.65320199999"/>
    <m/>
    <m/>
    <m/>
    <s v="1 - PSYCH_INS - Taylor, Jennifer Hilda"/>
  </r>
  <r>
    <n v="352"/>
    <s v="HCFA"/>
    <x v="268"/>
    <s v="NRS_INS"/>
    <n v="100"/>
    <d v="2021-07-01T00:00:00"/>
    <s v="B"/>
    <n v="15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9357.495199999998"/>
    <m/>
    <m/>
    <n v="1658.8870000000002"/>
    <n v="1407.1938"/>
    <n v="2163.1886480000003"/>
    <n v="140.04"/>
    <n v="140.04"/>
    <n v="79.2"/>
    <n v="79.2"/>
    <n v="13152.04"/>
    <n v="13680.094406"/>
    <n v="13680.094406"/>
    <n v="13899.334406"/>
    <m/>
    <n v="0"/>
    <n v="38486.099053999998"/>
    <n v="152892.09905399999"/>
    <m/>
    <m/>
    <m/>
    <s v="1 - NRS_INS - Clark, Angela"/>
  </r>
  <r>
    <n v="353"/>
    <s v="HCFA"/>
    <x v="269"/>
    <s v="COACH"/>
    <n v="100"/>
    <d v="2021-07-01T00:00:00"/>
    <s v="B"/>
    <n v="20"/>
    <m/>
    <m/>
    <n v="111252"/>
    <n v="111252"/>
    <m/>
    <m/>
    <m/>
    <m/>
    <m/>
    <m/>
    <m/>
    <m/>
    <m/>
    <n v="111252"/>
    <n v="0.8"/>
    <n v="89001.600000000006"/>
    <s v="11-320-00-083550-51100"/>
    <x v="1"/>
    <s v="320"/>
    <s v="00"/>
    <s v="083550"/>
    <s v="51100"/>
    <x v="1"/>
    <n v="15059.07072"/>
    <m/>
    <m/>
    <n v="1290.5232000000001"/>
    <n v="1094.7196800000002"/>
    <n v="1682.8422528000003"/>
    <n v="140.04"/>
    <n v="112.032"/>
    <n v="79.2"/>
    <n v="63.360000000000007"/>
    <n v="13152.04"/>
    <n v="13680.094406"/>
    <n v="10944.0755248"/>
    <n v="11119.4675248"/>
    <m/>
    <n v="0"/>
    <n v="30246.623377600001"/>
    <n v="119248.22337760001"/>
    <m/>
    <m/>
    <m/>
    <s v="0.8 - COACH - Collins, Matt P"/>
  </r>
  <r>
    <n v="354"/>
    <s v="HCFA"/>
    <x v="269"/>
    <s v="COACH"/>
    <n v="100"/>
    <d v="2021-07-01T00:00:00"/>
    <s v="B"/>
    <n v="20"/>
    <m/>
    <m/>
    <n v="111252"/>
    <n v="111252"/>
    <m/>
    <m/>
    <m/>
    <m/>
    <m/>
    <m/>
    <m/>
    <m/>
    <m/>
    <n v="111252"/>
    <n v="0.2"/>
    <n v="22250.400000000001"/>
    <s v="11-320-00-083550-51100"/>
    <x v="1"/>
    <s v="320"/>
    <s v="00"/>
    <s v="083550"/>
    <s v="51100"/>
    <x v="1"/>
    <n v="3764.7676799999999"/>
    <m/>
    <m/>
    <n v="322.63080000000002"/>
    <n v="273.67992000000004"/>
    <n v="420.71056320000008"/>
    <n v="140.04"/>
    <n v="28.007999999999999"/>
    <n v="79.2"/>
    <n v="15.840000000000002"/>
    <n v="13152.04"/>
    <n v="13680.094406"/>
    <n v="2736.0188812000001"/>
    <n v="2779.8668812000001"/>
    <m/>
    <n v="0"/>
    <n v="7561.6558444000002"/>
    <n v="29812.055844400002"/>
    <m/>
    <m/>
    <m/>
    <s v="0.2 - COACH - Collins, Matt P"/>
  </r>
  <r>
    <n v="355"/>
    <s v="HCFA"/>
    <x v="270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8969.011999999999"/>
    <m/>
    <m/>
    <n v="1625.595"/>
    <n v="1378.953"/>
    <n v="2119.7758800000001"/>
    <n v="140.04"/>
    <n v="140.04"/>
    <n v="79.2"/>
    <n v="79.2"/>
    <n v="7584.06"/>
    <n v="7888.5600090000007"/>
    <n v="7888.5600090000007"/>
    <n v="8107.8000090000005"/>
    <m/>
    <n v="0"/>
    <n v="32201.135889000005"/>
    <n v="144311.135889"/>
    <m/>
    <m/>
    <m/>
    <s v="1 - MATH_INS - Contreras, Leticia"/>
  </r>
  <r>
    <n v="356"/>
    <s v="HCFA"/>
    <x v="271"/>
    <s v="CSS_INS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1-330-01-070100-51100"/>
    <x v="1"/>
    <s v="330"/>
    <s v="01"/>
    <s v="070100"/>
    <s v="51100"/>
    <x v="1"/>
    <n v="15335.441999999999"/>
    <m/>
    <m/>
    <n v="1314.2075"/>
    <n v="1114.8105"/>
    <n v="1713.72658"/>
    <n v="140.04"/>
    <n v="140.04"/>
    <n v="79.2"/>
    <n v="79.2"/>
    <n v="25452.57"/>
    <n v="26474.490685500001"/>
    <n v="26474.490685500001"/>
    <n v="26693.730685500002"/>
    <m/>
    <n v="0"/>
    <n v="46171.9172655"/>
    <n v="136806.9172655"/>
    <m/>
    <m/>
    <m/>
    <s v="1 - CSS_INS - Coria, Jose C"/>
  </r>
  <r>
    <n v="357"/>
    <s v="HCFA"/>
    <x v="272"/>
    <s v="NRS_INS"/>
    <n v="100"/>
    <d v="2021-07-01T00:00:00"/>
    <s v="B"/>
    <n v="17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9357.495199999998"/>
    <m/>
    <m/>
    <n v="1658.8870000000002"/>
    <n v="1407.1938"/>
    <n v="2163.1886480000003"/>
    <n v="140.04"/>
    <n v="140.04"/>
    <n v="79.2"/>
    <n v="79.2"/>
    <n v="25452.57"/>
    <n v="26474.490685500001"/>
    <n v="26474.490685500001"/>
    <n v="26693.730685500002"/>
    <m/>
    <n v="0"/>
    <n v="51280.495333500003"/>
    <n v="165686.4953335"/>
    <m/>
    <m/>
    <m/>
    <s v="1 - NRS_INS - Davis, Lisa M"/>
  </r>
  <r>
    <n v="358"/>
    <s v="HCFA"/>
    <x v="273"/>
    <s v="WELD_INS"/>
    <n v="100"/>
    <d v="2021-07-01T00:00:00"/>
    <s v="A"/>
    <n v="14"/>
    <m/>
    <m/>
    <n v="96241"/>
    <n v="96241"/>
    <m/>
    <m/>
    <m/>
    <m/>
    <m/>
    <m/>
    <m/>
    <m/>
    <m/>
    <n v="96241"/>
    <n v="1"/>
    <n v="96241"/>
    <s v="11-350-01-095650-51100"/>
    <x v="1"/>
    <s v="350"/>
    <s v="01"/>
    <s v="095650"/>
    <s v="51100"/>
    <x v="1"/>
    <n v="16283.977199999999"/>
    <m/>
    <m/>
    <n v="1395.4945"/>
    <n v="1183.7643"/>
    <n v="1819.7248280000001"/>
    <n v="140.04"/>
    <n v="140.04"/>
    <n v="79.2"/>
    <n v="79.2"/>
    <n v="25452.57"/>
    <n v="26474.490685500001"/>
    <n v="26474.490685500001"/>
    <n v="26693.730685500002"/>
    <m/>
    <n v="0"/>
    <n v="47376.691513500002"/>
    <n v="143617.6915135"/>
    <m/>
    <m/>
    <m/>
    <s v="1 - WELD_INS - Davis, Michael L"/>
  </r>
  <r>
    <n v="359"/>
    <s v="HCFA"/>
    <x v="274"/>
    <s v="DSLTEC_INS"/>
    <n v="100"/>
    <d v="2021-07-01T00:00:00"/>
    <s v="C"/>
    <n v="10"/>
    <m/>
    <m/>
    <n v="91049"/>
    <n v="91049"/>
    <m/>
    <m/>
    <m/>
    <m/>
    <m/>
    <m/>
    <m/>
    <m/>
    <m/>
    <n v="91049"/>
    <n v="1"/>
    <n v="91049"/>
    <s v="11-350-01-094700-51100"/>
    <x v="1"/>
    <s v="350"/>
    <s v="01"/>
    <s v="094700"/>
    <s v="51100"/>
    <x v="1"/>
    <n v="15405.4908"/>
    <m/>
    <m/>
    <n v="1320.2105000000001"/>
    <n v="1119.9027000000001"/>
    <n v="1721.5544920000002"/>
    <n v="140.04"/>
    <n v="140.04"/>
    <n v="79.2"/>
    <n v="79.2"/>
    <n v="33443.96"/>
    <n v="34786.734993999999"/>
    <n v="34786.734993999999"/>
    <n v="35005.974993999997"/>
    <m/>
    <n v="0"/>
    <n v="54573.133485999999"/>
    <n v="145622.13348600001"/>
    <m/>
    <m/>
    <m/>
    <s v="1 - DSLTEC_INS - DeHart, Mark A"/>
  </r>
  <r>
    <n v="360"/>
    <s v="HCFA"/>
    <x v="275"/>
    <s v="COU_CTCC"/>
    <n v="100"/>
    <d v="2021-07-01T00:00:00"/>
    <s v="C"/>
    <n v="10"/>
    <m/>
    <m/>
    <n v="92633"/>
    <n v="92633"/>
    <m/>
    <m/>
    <m/>
    <m/>
    <m/>
    <m/>
    <m/>
    <m/>
    <m/>
    <n v="92633"/>
    <n v="1"/>
    <n v="92633"/>
    <s v="11-400-00-634000-51200"/>
    <x v="1"/>
    <s v="400"/>
    <s v="00"/>
    <s v="634000"/>
    <s v="51200"/>
    <x v="1"/>
    <n v="15673.503599999998"/>
    <m/>
    <m/>
    <n v="1343.1785"/>
    <n v="1139.3859"/>
    <n v="1751.504764"/>
    <n v="140.04"/>
    <n v="140.04"/>
    <n v="79.2"/>
    <n v="79.2"/>
    <n v="23232"/>
    <n v="24164.764800000001"/>
    <n v="24164.764800000001"/>
    <n v="24384.004800000002"/>
    <n v="2400"/>
    <n v="2400"/>
    <n v="46691.577564000007"/>
    <n v="139324.57756400001"/>
    <m/>
    <m/>
    <m/>
    <s v="1 - COU_CTCC - Del Real, Mercedes"/>
  </r>
  <r>
    <n v="361"/>
    <s v="HCFA"/>
    <x v="276"/>
    <s v="NRS_INS"/>
    <n v="100"/>
    <d v="2021-07-01T00:00:00"/>
    <s v="B"/>
    <n v="15"/>
    <m/>
    <m/>
    <n v="114406"/>
    <n v="114406"/>
    <m/>
    <m/>
    <m/>
    <m/>
    <m/>
    <m/>
    <m/>
    <m/>
    <m/>
    <n v="114406"/>
    <n v="0.5"/>
    <n v="57203"/>
    <s v="11-335-00-120300-51100"/>
    <x v="1"/>
    <s v="335"/>
    <s v="00"/>
    <s v="120300"/>
    <s v="51100"/>
    <x v="1"/>
    <n v="9678.7475999999988"/>
    <m/>
    <m/>
    <n v="829.44350000000009"/>
    <n v="703.59690000000001"/>
    <n v="1081.5943240000001"/>
    <n v="140.04"/>
    <n v="70.02"/>
    <n v="79.2"/>
    <n v="39.6"/>
    <n v="25452.57"/>
    <n v="26474.490685500001"/>
    <n v="13237.24534275"/>
    <n v="13346.865342750001"/>
    <m/>
    <n v="0"/>
    <n v="25640.247666750001"/>
    <n v="82843.247666750001"/>
    <s v="Cathryn Wilkinson"/>
    <s v="Sharon Albert"/>
    <s v="Strong Workforce"/>
    <s v="0.5 - NRS_INS - Diamond, Denise J"/>
  </r>
  <r>
    <n v="361"/>
    <s v="HCFA"/>
    <x v="276"/>
    <s v="NRS_INS"/>
    <n v="100"/>
    <d v="2021-07-01T00:00:00"/>
    <s v="B"/>
    <n v="15"/>
    <m/>
    <m/>
    <n v="114406"/>
    <n v="114406"/>
    <m/>
    <m/>
    <m/>
    <m/>
    <m/>
    <m/>
    <m/>
    <m/>
    <m/>
    <n v="114406"/>
    <n v="0.5"/>
    <n v="57203"/>
    <s v="11-335-00-120320-51100"/>
    <x v="1"/>
    <s v="335"/>
    <s v="00"/>
    <s v="120320"/>
    <s v="51100"/>
    <x v="1"/>
    <n v="9678.7475999999988"/>
    <m/>
    <m/>
    <n v="829.44350000000009"/>
    <n v="703.59690000000001"/>
    <n v="1081.5943240000001"/>
    <n v="140.04"/>
    <n v="70.02"/>
    <n v="79.2"/>
    <n v="39.6"/>
    <n v="25452.57"/>
    <n v="26474.490685500001"/>
    <n v="13237.24534275"/>
    <n v="13346.865342750001"/>
    <m/>
    <n v="0"/>
    <n v="25640.247666750001"/>
    <n v="82843.247666750001"/>
    <s v="Cathryn Wilkinson"/>
    <s v="Sharon Albert"/>
    <s v="Strong Workforce"/>
    <s v="0.5 - NRS_INS - Diamond, Denise J"/>
  </r>
  <r>
    <n v="362"/>
    <s v="HCFA"/>
    <x v="277"/>
    <s v="ECE_FIRST5"/>
    <n v="100"/>
    <d v="2021-07-01T00:00:00"/>
    <s v="D"/>
    <n v="13"/>
    <m/>
    <m/>
    <n v="109409"/>
    <n v="109409"/>
    <m/>
    <m/>
    <m/>
    <m/>
    <m/>
    <m/>
    <m/>
    <m/>
    <m/>
    <n v="109409"/>
    <n v="1"/>
    <n v="109409"/>
    <s v="11-400-00-631000-51200"/>
    <x v="1"/>
    <s v="400"/>
    <s v="00"/>
    <s v="631000"/>
    <s v="51200"/>
    <x v="1"/>
    <n v="18512.002799999998"/>
    <m/>
    <m/>
    <n v="1586.4305000000002"/>
    <n v="1345.7307000000001"/>
    <n v="2068.7053720000004"/>
    <n v="140.04"/>
    <n v="140.04"/>
    <n v="79.2"/>
    <n v="79.2"/>
    <n v="33443.96"/>
    <n v="34786.734993999999"/>
    <n v="34786.734993999999"/>
    <n v="35005.974993999997"/>
    <m/>
    <n v="0"/>
    <n v="58518.844365999998"/>
    <n v="167927.844366"/>
    <m/>
    <m/>
    <m/>
    <s v="1 - ECE_FIRST5 - Diaz, Sergio S"/>
  </r>
  <r>
    <n v="363"/>
    <s v="HCFA"/>
    <x v="277"/>
    <s v="ECE_FIRST5"/>
    <n v="100"/>
    <d v="2021-07-01T00:00:00"/>
    <s v="D"/>
    <n v="13"/>
    <m/>
    <m/>
    <n v="109409"/>
    <n v="109409"/>
    <m/>
    <m/>
    <m/>
    <m/>
    <m/>
    <m/>
    <m/>
    <m/>
    <m/>
    <n v="109409"/>
    <n v="0"/>
    <n v="0"/>
    <s v="12-400-00-703602-51200"/>
    <x v="0"/>
    <s v="400"/>
    <s v="00"/>
    <s v="703602"/>
    <s v="512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s v="Romero Jalomo"/>
    <s v="Carla Johnson"/>
    <s v="First 5 ECE"/>
    <s v="0 - ECE_FIRST5 - Diaz, Sergio S"/>
  </r>
  <r>
    <n v="364"/>
    <s v="HCFA"/>
    <x v="278"/>
    <s v="PSYCH_INS"/>
    <n v="100"/>
    <d v="2021-07-01T00:00:00"/>
    <s v="B"/>
    <n v="7"/>
    <m/>
    <m/>
    <n v="78600"/>
    <n v="78600"/>
    <m/>
    <m/>
    <m/>
    <m/>
    <m/>
    <m/>
    <m/>
    <m/>
    <m/>
    <n v="78600"/>
    <n v="1"/>
    <n v="78600"/>
    <s v="11-310-00-200100-51100"/>
    <x v="1"/>
    <s v="310"/>
    <s v="00"/>
    <s v="200100"/>
    <s v="51100"/>
    <x v="1"/>
    <n v="13299.119999999999"/>
    <m/>
    <m/>
    <n v="1139.7"/>
    <n v="966.78"/>
    <n v="1486.1688000000001"/>
    <n v="140.04"/>
    <n v="140.04"/>
    <n v="79.2"/>
    <n v="79.2"/>
    <n v="5916.02"/>
    <n v="6153.5482030000003"/>
    <n v="6153.5482030000003"/>
    <n v="6372.7882030000001"/>
    <n v="2400"/>
    <n v="2400"/>
    <n v="25664.557003000002"/>
    <n v="104264.55700299999"/>
    <m/>
    <m/>
    <m/>
    <s v="1 - PSYCH_INS - Edelen, Alicia"/>
  </r>
  <r>
    <n v="365"/>
    <s v="HCFA"/>
    <x v="279"/>
    <s v="BIO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40110-51100"/>
    <x v="1"/>
    <s v="330"/>
    <s v="00"/>
    <s v="040110"/>
    <s v="51100"/>
    <x v="1"/>
    <n v="20635.970399999998"/>
    <m/>
    <m/>
    <n v="1768.4490000000001"/>
    <n v="1500.1325999999999"/>
    <n v="2306.0574960000004"/>
    <n v="140.04"/>
    <n v="140.04"/>
    <n v="79.2"/>
    <n v="79.2"/>
    <n v="33444"/>
    <n v="34786.776599999997"/>
    <n v="34786.776599999997"/>
    <n v="35006.016599999995"/>
    <m/>
    <n v="0"/>
    <n v="61216.626096"/>
    <n v="183178.62609599999"/>
    <m/>
    <m/>
    <m/>
    <s v="1 - BIO_INS - Edens, Alexander S"/>
  </r>
  <r>
    <n v="366"/>
    <s v="HCFA"/>
    <x v="280"/>
    <s v="ENGR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1-090100-51100"/>
    <x v="1"/>
    <s v="330"/>
    <s v="01"/>
    <s v="090100"/>
    <s v="51100"/>
    <x v="1"/>
    <n v="3561.2539200000001"/>
    <m/>
    <m/>
    <n v="305.19020000000006"/>
    <n v="258.88548000000003"/>
    <n v="397.96802080000009"/>
    <n v="140.04"/>
    <n v="28.007999999999999"/>
    <n v="79.2"/>
    <n v="15.840000000000002"/>
    <n v="33443.96"/>
    <n v="34786.734993999999"/>
    <n v="6957.3469987999997"/>
    <n v="7001.1949987999997"/>
    <m/>
    <n v="0"/>
    <n v="11524.4926196"/>
    <n v="32572.0926196"/>
    <m/>
    <m/>
    <m/>
    <s v="0.2 - ENGR_INS - Entekhabi, Parviz"/>
  </r>
  <r>
    <n v="367"/>
    <s v="HCFA"/>
    <x v="280"/>
    <s v="DRFT_INS"/>
    <n v="100"/>
    <d v="2021-07-01T00:00:00"/>
    <s v="B"/>
    <n v="20"/>
    <m/>
    <m/>
    <n v="105238"/>
    <n v="105238"/>
    <m/>
    <m/>
    <m/>
    <m/>
    <m/>
    <m/>
    <m/>
    <m/>
    <m/>
    <n v="105238"/>
    <n v="0.8"/>
    <n v="84190.400000000009"/>
    <s v="11-350-01-095300-51100"/>
    <x v="1"/>
    <s v="350"/>
    <s v="01"/>
    <s v="095300"/>
    <s v="51100"/>
    <x v="1"/>
    <n v="14245.01568"/>
    <m/>
    <m/>
    <n v="1220.7608000000002"/>
    <n v="1035.5419200000001"/>
    <n v="1591.8720832000004"/>
    <n v="140.04"/>
    <n v="112.032"/>
    <n v="79.2"/>
    <n v="63.360000000000007"/>
    <n v="33443.96"/>
    <n v="34786.734993999999"/>
    <n v="27829.387995199999"/>
    <n v="28004.779995199999"/>
    <m/>
    <n v="0"/>
    <n v="46097.970478399999"/>
    <n v="130288.3704784"/>
    <m/>
    <m/>
    <m/>
    <s v="0.8 - DRFT_INS - Entekhabi, Parviz"/>
  </r>
  <r>
    <n v="368"/>
    <s v="HCFA"/>
    <x v="281"/>
    <s v="AUTO_INS"/>
    <n v="100"/>
    <d v="2021-07-01T00:00:00"/>
    <s v="A"/>
    <n v="10"/>
    <m/>
    <m/>
    <n v="84205"/>
    <n v="84205"/>
    <m/>
    <m/>
    <m/>
    <m/>
    <m/>
    <m/>
    <m/>
    <m/>
    <m/>
    <n v="84205"/>
    <n v="1"/>
    <n v="84205"/>
    <s v="12-350-03-700322-51100"/>
    <x v="0"/>
    <s v="350"/>
    <s v="03"/>
    <s v="700322"/>
    <s v="51100"/>
    <x v="1"/>
    <n v="14247.485999999999"/>
    <m/>
    <m/>
    <n v="1220.9725000000001"/>
    <n v="1035.7215000000001"/>
    <n v="1592.14814"/>
    <n v="140.04"/>
    <n v="140.04"/>
    <n v="79.2"/>
    <n v="79.2"/>
    <n v="23232"/>
    <n v="24164.764800000001"/>
    <n v="24164.764800000001"/>
    <n v="24384.004800000002"/>
    <n v="2400"/>
    <n v="2400"/>
    <n v="44880.332940000008"/>
    <n v="129085.33294000001"/>
    <s v="Cathryn Wilkinson"/>
    <s v="Sharon Albert"/>
    <s v="Strong Workforce"/>
    <s v="1 - AUTO_INS - Escoto, Pedro"/>
  </r>
  <r>
    <n v="369"/>
    <s v="HCFA"/>
    <x v="282"/>
    <s v="ECON_INS"/>
    <n v="100"/>
    <d v="2021-07-01T00:00:00"/>
    <s v="C"/>
    <n v="16"/>
    <m/>
    <m/>
    <n v="109102"/>
    <n v="109102"/>
    <m/>
    <m/>
    <m/>
    <m/>
    <m/>
    <m/>
    <m/>
    <m/>
    <m/>
    <n v="109102"/>
    <n v="1"/>
    <n v="109102"/>
    <s v="11-310-00-220400-51100"/>
    <x v="1"/>
    <s v="310"/>
    <s v="00"/>
    <s v="220400"/>
    <s v="51100"/>
    <x v="1"/>
    <n v="18460.058399999998"/>
    <m/>
    <m/>
    <n v="1581.979"/>
    <n v="1341.9546"/>
    <n v="2062.9006160000004"/>
    <n v="140.04"/>
    <n v="140.04"/>
    <n v="79.2"/>
    <n v="79.2"/>
    <n v="33443.96"/>
    <n v="34786.734993999999"/>
    <n v="34786.734993999999"/>
    <n v="35005.974993999997"/>
    <m/>
    <n v="0"/>
    <n v="58452.867610000001"/>
    <n v="167554.86761000002"/>
    <m/>
    <m/>
    <m/>
    <s v="1 - ECON_INS - Esparza, Christina M"/>
  </r>
  <r>
    <n v="370"/>
    <s v="HCFA"/>
    <x v="283"/>
    <s v="COU_GEN"/>
    <n v="100"/>
    <d v="2021-07-01T00:00:00"/>
    <s v="E"/>
    <n v="20"/>
    <m/>
    <m/>
    <n v="128931"/>
    <n v="128931"/>
    <m/>
    <m/>
    <m/>
    <m/>
    <m/>
    <m/>
    <m/>
    <m/>
    <m/>
    <n v="128931"/>
    <n v="1"/>
    <n v="128931"/>
    <s v="11-400-00-631000-51200"/>
    <x v="1"/>
    <s v="400"/>
    <s v="00"/>
    <s v="631000"/>
    <s v="51200"/>
    <x v="1"/>
    <n v="21815.125199999999"/>
    <m/>
    <m/>
    <n v="1869.4995000000001"/>
    <n v="1585.8513"/>
    <n v="2437.8273480000003"/>
    <n v="140.04"/>
    <n v="140.04"/>
    <n v="79.2"/>
    <n v="79.2"/>
    <n v="25452.57"/>
    <n v="26474.490685500001"/>
    <n v="26474.490685500001"/>
    <n v="26693.730685500002"/>
    <m/>
    <n v="0"/>
    <n v="54402.0340335"/>
    <n v="183333.03403350001"/>
    <m/>
    <m/>
    <m/>
    <s v="1 - COU_GEN - Estrella, Elizabeth A"/>
  </r>
  <r>
    <n v="371"/>
    <s v="HCFA"/>
    <x v="284"/>
    <s v="MUS_INS"/>
    <n v="100"/>
    <d v="2021-07-01T00:00:00"/>
    <s v="D"/>
    <n v="15"/>
    <m/>
    <m/>
    <n v="109513"/>
    <n v="109513"/>
    <m/>
    <m/>
    <m/>
    <m/>
    <m/>
    <m/>
    <m/>
    <m/>
    <m/>
    <n v="109513"/>
    <n v="1"/>
    <n v="109513"/>
    <s v="11-310-00-100400-51100"/>
    <x v="1"/>
    <s v="310"/>
    <s v="00"/>
    <s v="100400"/>
    <s v="51100"/>
    <x v="1"/>
    <n v="18529.599599999998"/>
    <m/>
    <m/>
    <n v="1587.9385"/>
    <n v="1347.0099"/>
    <n v="2070.6718040000001"/>
    <n v="140.04"/>
    <n v="140.04"/>
    <n v="79.2"/>
    <n v="79.2"/>
    <n v="33443.96"/>
    <n v="34786.734993999999"/>
    <n v="34786.734993999999"/>
    <n v="35005.974993999997"/>
    <m/>
    <n v="0"/>
    <n v="58541.194797999997"/>
    <n v="168054.19479799998"/>
    <m/>
    <m/>
    <m/>
    <s v="1 - MUS_INS - Ettinger, Steve J"/>
  </r>
  <r>
    <n v="372"/>
    <s v="HCFA"/>
    <x v="285"/>
    <s v="PHYS_INS"/>
    <n v="100"/>
    <d v="2021-07-01T00:00:00"/>
    <s v="B"/>
    <n v="14"/>
    <m/>
    <m/>
    <n v="99663"/>
    <n v="99663"/>
    <m/>
    <m/>
    <m/>
    <m/>
    <m/>
    <m/>
    <m/>
    <m/>
    <m/>
    <n v="99663"/>
    <n v="1"/>
    <n v="99663"/>
    <s v="11-330-00-190200-51100"/>
    <x v="1"/>
    <s v="330"/>
    <s v="00"/>
    <s v="190200"/>
    <s v="51100"/>
    <x v="1"/>
    <n v="16862.979599999999"/>
    <m/>
    <m/>
    <n v="1445.1135000000002"/>
    <n v="1225.8549"/>
    <n v="1884.4280040000001"/>
    <n v="140.04"/>
    <n v="140.04"/>
    <n v="79.2"/>
    <n v="79.2"/>
    <n v="1415.92"/>
    <n v="1472.7691880000002"/>
    <n v="1472.7691880000002"/>
    <n v="1692.0091880000002"/>
    <n v="2400"/>
    <n v="2400"/>
    <n v="25510.385192000002"/>
    <n v="125173.385192"/>
    <m/>
    <m/>
    <m/>
    <s v="1 - PHYS_INS - Fatuzzo, Laura M"/>
  </r>
  <r>
    <n v="373"/>
    <s v="HCFA"/>
    <x v="286"/>
    <s v="BIO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30-00-040110-51100"/>
    <x v="1"/>
    <s v="330"/>
    <s v="00"/>
    <s v="040110"/>
    <s v="51100"/>
    <x v="1"/>
    <n v="19617.7248"/>
    <m/>
    <m/>
    <n v="1681.1880000000001"/>
    <n v="1426.1112000000001"/>
    <n v="2192.2691520000003"/>
    <n v="140.04"/>
    <n v="140.04"/>
    <n v="79.2"/>
    <n v="79.2"/>
    <n v="13152.04"/>
    <n v="13680.094406"/>
    <n v="13680.094406"/>
    <n v="13899.334406"/>
    <m/>
    <n v="0"/>
    <n v="38816.627558"/>
    <n v="154760.62755800001"/>
    <m/>
    <m/>
    <m/>
    <s v="1 - BIO_INS - Fields, Rebecca D"/>
  </r>
  <r>
    <n v="374"/>
    <s v="HCFA"/>
    <x v="287"/>
    <s v="SPAN_INS"/>
    <n v="100"/>
    <d v="2021-07-01T00:00:00"/>
    <s v="B"/>
    <n v="12"/>
    <m/>
    <m/>
    <n v="93644"/>
    <n v="93644"/>
    <m/>
    <m/>
    <m/>
    <m/>
    <m/>
    <m/>
    <m/>
    <m/>
    <m/>
    <n v="93644"/>
    <n v="1"/>
    <n v="93644"/>
    <s v="11-375-00-110500-51100"/>
    <x v="1"/>
    <s v="375"/>
    <s v="00"/>
    <s v="110500"/>
    <s v="51100"/>
    <x v="1"/>
    <n v="15844.564799999998"/>
    <m/>
    <m/>
    <n v="1357.838"/>
    <n v="1151.8212000000001"/>
    <n v="1770.620752"/>
    <n v="140.04"/>
    <n v="140.04"/>
    <n v="79.2"/>
    <n v="79.2"/>
    <n v="33443.96"/>
    <n v="34786.734993999999"/>
    <n v="34786.734993999999"/>
    <n v="35005.974993999997"/>
    <m/>
    <n v="0"/>
    <n v="55130.819745999994"/>
    <n v="148774.81974599999"/>
    <m/>
    <m/>
    <m/>
    <s v="1 - SPAN_INS - Flores, Janet"/>
  </r>
  <r>
    <n v="375"/>
    <s v="HCFA"/>
    <x v="288"/>
    <s v="COU_STEM"/>
    <n v="100"/>
    <d v="2021-07-01T00:00:00"/>
    <s v="D"/>
    <n v="10"/>
    <m/>
    <m/>
    <n v="99869"/>
    <n v="99869"/>
    <m/>
    <m/>
    <m/>
    <m/>
    <m/>
    <m/>
    <m/>
    <m/>
    <m/>
    <n v="99869"/>
    <n v="0.25"/>
    <n v="24967.25"/>
    <s v="12-330-00-709831-51200"/>
    <x v="0"/>
    <s v="330"/>
    <s v="00"/>
    <s v="709831"/>
    <s v="51200"/>
    <x v="1"/>
    <n v="4224.4587000000001"/>
    <m/>
    <m/>
    <n v="362.025125"/>
    <n v="307.09717499999999"/>
    <n v="472.08076300000005"/>
    <n v="140.04"/>
    <n v="35.01"/>
    <n v="79.2"/>
    <n v="19.8"/>
    <n v="7584.06"/>
    <n v="7888.5600090000007"/>
    <n v="1972.1400022500002"/>
    <n v="2026.9500022500001"/>
    <n v="2400"/>
    <n v="600"/>
    <n v="7992.6117652500006"/>
    <n v="32959.861765250003"/>
    <s v="Raul Rodriguez"/>
    <s v="Moises Almendariz"/>
    <s v="HSI STEM GPS"/>
    <s v="0.25 - COU_STEM - Foley, Brooksley L"/>
  </r>
  <r>
    <s v="375a"/>
    <s v="HCFA"/>
    <x v="288"/>
    <s v="COU_STEM"/>
    <n v="100"/>
    <d v="2021-07-01T00:00:00"/>
    <s v="D"/>
    <n v="10"/>
    <m/>
    <m/>
    <n v="99869"/>
    <n v="99869"/>
    <m/>
    <m/>
    <m/>
    <m/>
    <m/>
    <m/>
    <m/>
    <m/>
    <m/>
    <n v="99869"/>
    <n v="0.75"/>
    <n v="74901.75"/>
    <s v="11-400-00-631000-51200"/>
    <x v="1"/>
    <s v="400"/>
    <s v="00"/>
    <s v="631000"/>
    <s v="51200"/>
    <x v="1"/>
    <n v="12673.376099999999"/>
    <m/>
    <m/>
    <n v="1086.0753750000001"/>
    <n v="921.29152499999998"/>
    <n v="1416.242289"/>
    <n v="140.04"/>
    <n v="105.03"/>
    <n v="79.2"/>
    <n v="59.400000000000006"/>
    <n v="7584.06"/>
    <n v="7888.5600090000007"/>
    <n v="5916.4200067500005"/>
    <n v="6080.8500067500008"/>
    <n v="2400"/>
    <n v="1800"/>
    <n v="23977.835295750003"/>
    <n v="98879.585295750003"/>
    <m/>
    <m/>
    <m/>
    <s v="0.75 - COU_STEM - Foley, Brooksley L"/>
  </r>
  <r>
    <n v="376"/>
    <s v="HCFA"/>
    <x v="289"/>
    <s v="ADTPE_INS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1-320-00-083510-51100"/>
    <x v="1"/>
    <s v="320"/>
    <s v="00"/>
    <s v="083510"/>
    <s v="51100"/>
    <x v="1"/>
    <n v="15335.441999999999"/>
    <m/>
    <m/>
    <n v="1314.2075"/>
    <n v="1114.8105"/>
    <n v="1713.72658"/>
    <n v="140.04"/>
    <n v="140.04"/>
    <n v="79.2"/>
    <n v="79.2"/>
    <n v="33443.96"/>
    <n v="34786.734993999999"/>
    <n v="34786.734993999999"/>
    <n v="35005.974993999997"/>
    <m/>
    <n v="0"/>
    <n v="54484.161573999998"/>
    <n v="145119.161574"/>
    <m/>
    <m/>
    <m/>
    <s v="1 - ADTPE_INS - Gabriel, Ashley K"/>
  </r>
  <r>
    <n v="377"/>
    <s v="HCFA"/>
    <x v="290"/>
    <s v="CWEX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2-350-00-700320-51100"/>
    <x v="0"/>
    <s v="350"/>
    <s v="00"/>
    <s v="700320"/>
    <s v="51100"/>
    <x v="1"/>
    <m/>
    <n v="18101.6492"/>
    <n v="4898.7439999999997"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53305.635585999997"/>
    <n v="132317.63558599999"/>
    <s v="Cathryn Wilkinson"/>
    <s v="Sharon Albert"/>
    <s v="Strong Workforce"/>
    <s v="1 - CWEX_INS - VACANT (Garcia)"/>
  </r>
  <r>
    <n v="378"/>
    <s v="HCFA"/>
    <x v="291"/>
    <s v="NRS_INS"/>
    <n v="1"/>
    <d v="2021-07-01T00:00:00"/>
    <s v="B"/>
    <n v="20"/>
    <m/>
    <m/>
    <n v="117266"/>
    <n v="117266"/>
    <m/>
    <m/>
    <m/>
    <m/>
    <m/>
    <m/>
    <m/>
    <m/>
    <m/>
    <n v="117266"/>
    <n v="1"/>
    <n v="117266"/>
    <s v="12-350-00-700320-51100"/>
    <x v="0"/>
    <s v="350"/>
    <s v="00"/>
    <s v="700321"/>
    <s v="51100"/>
    <x v="1"/>
    <n v="19841.407199999998"/>
    <m/>
    <m/>
    <n v="1700.3570000000002"/>
    <n v="1442.3718000000001"/>
    <n v="2217.2655280000004"/>
    <n v="140.04"/>
    <n v="140.04"/>
    <n v="79.2"/>
    <n v="79.2"/>
    <n v="33443.96"/>
    <n v="34786.734993999999"/>
    <n v="34786.734993999999"/>
    <n v="35005.974993999997"/>
    <m/>
    <n v="0"/>
    <n v="60207.376521999999"/>
    <n v="177473.37652200001"/>
    <m/>
    <m/>
    <m/>
    <s v="1 - NRS_INS - To be hired - VACANT (Gifford, Toni M)"/>
  </r>
  <r>
    <n v="379"/>
    <s v="HCFA"/>
    <x v="291"/>
    <s v="NRS_INS"/>
    <n v="1"/>
    <d v="2021-07-01T00:00:00"/>
    <s v="B"/>
    <n v="20"/>
    <m/>
    <m/>
    <n v="117266"/>
    <n v="117266"/>
    <m/>
    <m/>
    <m/>
    <m/>
    <m/>
    <m/>
    <m/>
    <m/>
    <m/>
    <n v="117266"/>
    <n v="0"/>
    <n v="0"/>
    <s v="11-335-00-120320-51100"/>
    <x v="1"/>
    <s v="335"/>
    <s v="00"/>
    <s v="120320"/>
    <s v="511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m/>
    <m/>
    <m/>
    <s v="0 - NRS_INS - To be hired - VACANT (Gifford, Toni M)"/>
  </r>
  <r>
    <n v="380"/>
    <s v="HCFA"/>
    <x v="292"/>
    <s v="TH_ART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10-00-100700-51100"/>
    <x v="1"/>
    <s v="310"/>
    <s v="00"/>
    <s v="100700"/>
    <s v="51100"/>
    <x v="1"/>
    <n v="18090.525599999997"/>
    <m/>
    <m/>
    <n v="1550.3110000000001"/>
    <n v="1315.0914"/>
    <n v="2021.6055440000002"/>
    <n v="140.04"/>
    <n v="140.04"/>
    <n v="79.2"/>
    <n v="79.2"/>
    <n v="33443.96"/>
    <n v="34786.734993999999"/>
    <n v="34786.734993999999"/>
    <n v="35005.974993999997"/>
    <m/>
    <n v="0"/>
    <n v="57983.508538000002"/>
    <n v="164901.50853799999"/>
    <m/>
    <m/>
    <m/>
    <s v="1 - TH_ART_INS - Glazier, Marnie J"/>
  </r>
  <r>
    <n v="381"/>
    <s v="HCFA"/>
    <x v="292"/>
    <s v="COMM_INS"/>
    <n v="100"/>
    <d v="2021-07-01T00:00:00"/>
    <s v="E"/>
    <n v="13"/>
    <m/>
    <m/>
    <n v="106918"/>
    <n v="106918"/>
    <m/>
    <m/>
    <m/>
    <m/>
    <m/>
    <m/>
    <m/>
    <m/>
    <m/>
    <n v="106918"/>
    <n v="0"/>
    <n v="0"/>
    <s v="11-375-00-150600-51100"/>
    <x v="1"/>
    <s v="375"/>
    <s v="00"/>
    <s v="150600"/>
    <s v="511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m/>
    <m/>
    <m/>
    <s v="0 - COMM_INS - Glazier, Marnie J"/>
  </r>
  <r>
    <n v="382"/>
    <s v="HCFA"/>
    <x v="293"/>
    <s v="ENG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75-00-150100-51100"/>
    <x v="1"/>
    <s v="375"/>
    <s v="00"/>
    <s v="150100"/>
    <s v="51100"/>
    <x v="1"/>
    <n v="19617.7248"/>
    <m/>
    <m/>
    <n v="1681.1880000000001"/>
    <n v="1426.1112000000001"/>
    <n v="2192.2691520000003"/>
    <n v="140.04"/>
    <n v="140.04"/>
    <n v="79.2"/>
    <n v="79.2"/>
    <n v="25452.57"/>
    <n v="26474.490685500001"/>
    <n v="26474.490685500001"/>
    <n v="26693.730685500002"/>
    <m/>
    <n v="0"/>
    <n v="51611.023837500004"/>
    <n v="167555.02383750002"/>
    <m/>
    <m/>
    <m/>
    <s v="1 - ENG_INS - Gray, Peter M"/>
  </r>
  <r>
    <n v="383"/>
    <s v="HCFA"/>
    <x v="294"/>
    <s v="COACH"/>
    <n v="100"/>
    <d v="2021-07-01T00:00:00"/>
    <s v="B"/>
    <n v="7"/>
    <m/>
    <m/>
    <n v="79475"/>
    <n v="79475"/>
    <m/>
    <m/>
    <m/>
    <m/>
    <m/>
    <m/>
    <m/>
    <m/>
    <m/>
    <n v="79475"/>
    <n v="0.5"/>
    <n v="39737.5"/>
    <s v="11-320-00-083550-51100"/>
    <x v="1"/>
    <s v="320"/>
    <s v="00"/>
    <s v="083550"/>
    <s v="51100"/>
    <x v="1"/>
    <n v="6723.5849999999991"/>
    <m/>
    <m/>
    <n v="576.19375000000002"/>
    <n v="488.77125000000001"/>
    <n v="751.35665000000006"/>
    <n v="140.04"/>
    <n v="70.02"/>
    <n v="79.2"/>
    <n v="39.6"/>
    <n v="33443.96"/>
    <n v="34786.734993999999"/>
    <n v="17393.367496999999"/>
    <n v="17502.987496999998"/>
    <m/>
    <n v="0"/>
    <n v="26042.894146999999"/>
    <n v="65780.394146999999"/>
    <m/>
    <m/>
    <m/>
    <s v="0.5 - COACH - Guerrero, Albar I"/>
  </r>
  <r>
    <n v="384"/>
    <s v="HCFA"/>
    <x v="294"/>
    <s v="COACH"/>
    <n v="100"/>
    <d v="2021-07-01T00:00:00"/>
    <s v="B"/>
    <n v="7"/>
    <m/>
    <m/>
    <n v="79475"/>
    <n v="79475"/>
    <m/>
    <m/>
    <m/>
    <m/>
    <m/>
    <m/>
    <m/>
    <m/>
    <m/>
    <n v="79475"/>
    <n v="0.5"/>
    <n v="39737.5"/>
    <s v="11-320-00-083550-51100"/>
    <x v="1"/>
    <s v="320"/>
    <s v="00"/>
    <s v="083550"/>
    <s v="51100"/>
    <x v="1"/>
    <n v="6723.5849999999991"/>
    <m/>
    <m/>
    <n v="576.19375000000002"/>
    <n v="488.77125000000001"/>
    <n v="751.35665000000006"/>
    <n v="140.04"/>
    <n v="70.02"/>
    <n v="79.2"/>
    <n v="39.6"/>
    <n v="33443.96"/>
    <n v="34786.734993999999"/>
    <n v="17393.367496999999"/>
    <n v="17502.987496999998"/>
    <m/>
    <n v="0"/>
    <n v="26042.894146999999"/>
    <n v="65780.394146999999"/>
    <m/>
    <m/>
    <m/>
    <s v="0.5 - COACH - Guerrero, Albar I"/>
  </r>
  <r>
    <n v="385"/>
    <s v="HCFA"/>
    <x v="295"/>
    <s v="CSS_INS"/>
    <n v="100"/>
    <d v="2021-07-01T00:00:00"/>
    <s v="B"/>
    <n v="5"/>
    <m/>
    <m/>
    <n v="72583"/>
    <n v="72583"/>
    <m/>
    <m/>
    <m/>
    <m/>
    <m/>
    <m/>
    <m/>
    <m/>
    <m/>
    <n v="72583"/>
    <n v="1"/>
    <n v="72583"/>
    <s v="11-330-01-070100-51100"/>
    <x v="1"/>
    <s v="330"/>
    <s v="01"/>
    <s v="070100"/>
    <s v="51100"/>
    <x v="1"/>
    <n v="12281.043599999999"/>
    <m/>
    <m/>
    <n v="1052.4535000000001"/>
    <n v="892.77089999999998"/>
    <n v="1372.3993640000001"/>
    <n v="140.04"/>
    <n v="140.04"/>
    <n v="79.2"/>
    <n v="79.2"/>
    <n v="23232"/>
    <n v="24164.764800000001"/>
    <n v="24164.764800000001"/>
    <n v="24384.004800000002"/>
    <n v="2400"/>
    <n v="2400"/>
    <n v="42382.672164000003"/>
    <n v="114965.672164"/>
    <m/>
    <m/>
    <m/>
    <s v="1 - CSS_INS - Gutierrez, Emily"/>
  </r>
  <r>
    <n v="386"/>
    <s v="HCFA"/>
    <x v="296"/>
    <s v="ESL_INS"/>
    <n v="100"/>
    <d v="2021-07-01T00:00:00"/>
    <s v="E"/>
    <n v="12"/>
    <m/>
    <m/>
    <n v="103909"/>
    <n v="103909"/>
    <m/>
    <m/>
    <m/>
    <m/>
    <m/>
    <m/>
    <m/>
    <m/>
    <m/>
    <n v="103909"/>
    <n v="1"/>
    <n v="103909"/>
    <s v="11-375-00-493080-51100"/>
    <x v="1"/>
    <s v="375"/>
    <s v="00"/>
    <s v="493080"/>
    <s v="51100"/>
    <x v="1"/>
    <n v="17581.4028"/>
    <m/>
    <m/>
    <n v="1506.6805000000002"/>
    <n v="1278.0807"/>
    <n v="1964.7113720000002"/>
    <n v="140.04"/>
    <n v="140.04"/>
    <n v="79.2"/>
    <n v="79.2"/>
    <n v="13152.04"/>
    <n v="13680.094406"/>
    <n v="13680.094406"/>
    <n v="13899.334406"/>
    <m/>
    <n v="0"/>
    <n v="36230.209778000004"/>
    <n v="140139.20977800002"/>
    <m/>
    <m/>
    <m/>
    <s v="1 - ESL_INS - Harley, Diane J"/>
  </r>
  <r>
    <n v="387"/>
    <s v="HCFA"/>
    <x v="297"/>
    <s v="COU_GEN"/>
    <n v="100"/>
    <d v="2021-07-01T00:00:00"/>
    <s v="C"/>
    <n v="10"/>
    <m/>
    <m/>
    <n v="96252"/>
    <n v="96252"/>
    <m/>
    <m/>
    <m/>
    <m/>
    <m/>
    <m/>
    <m/>
    <m/>
    <m/>
    <n v="96252"/>
    <n v="1"/>
    <n v="96252"/>
    <s v="11-400-00-631000-51200"/>
    <x v="1"/>
    <s v="400"/>
    <s v="00"/>
    <s v="631000"/>
    <s v="51200"/>
    <x v="1"/>
    <n v="16285.838399999999"/>
    <m/>
    <m/>
    <n v="1395.654"/>
    <n v="1183.8996"/>
    <n v="1819.932816"/>
    <n v="140.04"/>
    <n v="140.04"/>
    <n v="79.2"/>
    <n v="79.2"/>
    <n v="13152"/>
    <n v="13680.052799999999"/>
    <n v="13680.052799999999"/>
    <n v="13899.292799999999"/>
    <m/>
    <n v="0"/>
    <n v="34584.617616000003"/>
    <n v="130836.617616"/>
    <m/>
    <m/>
    <m/>
    <s v="1 - COU_GEN - Hernandez, Norma Isela C"/>
  </r>
  <r>
    <n v="388"/>
    <s v="HCFA"/>
    <x v="298"/>
    <s v="RSCR_PR"/>
    <n v="100"/>
    <d v="2021-07-01T00:00:00"/>
    <s v="B"/>
    <n v="20"/>
    <m/>
    <m/>
    <n v="105238"/>
    <n v="105238"/>
    <m/>
    <n v="9640"/>
    <m/>
    <m/>
    <m/>
    <m/>
    <m/>
    <m/>
    <m/>
    <n v="114878"/>
    <n v="0.85"/>
    <n v="97646.3"/>
    <s v="11-335-00-120400-51100"/>
    <x v="1"/>
    <s v="335"/>
    <s v="00"/>
    <s v="120400"/>
    <s v="51100"/>
    <x v="1"/>
    <n v="16521.753959999998"/>
    <m/>
    <m/>
    <n v="1415.8713500000001"/>
    <n v="1201.0494900000001"/>
    <n v="1846.2962404000002"/>
    <n v="140.04"/>
    <n v="119.03399999999999"/>
    <n v="79.2"/>
    <n v="67.320000000000007"/>
    <n v="25452.57"/>
    <n v="26474.490685500001"/>
    <n v="22503.317082674999"/>
    <n v="22689.671082674999"/>
    <m/>
    <n v="0"/>
    <n v="43674.642123074998"/>
    <n v="141320.94212307502"/>
    <m/>
    <m/>
    <m/>
    <s v="0.85 - RSCR_PR - Ho, Tanya"/>
  </r>
  <r>
    <n v="389"/>
    <s v="HCFA"/>
    <x v="298"/>
    <s v="RSCR_PR"/>
    <n v="100"/>
    <d v="2021-07-01T00:00:00"/>
    <s v="B"/>
    <n v="20"/>
    <m/>
    <m/>
    <n v="105238"/>
    <n v="105238"/>
    <m/>
    <n v="9640"/>
    <m/>
    <m/>
    <m/>
    <m/>
    <m/>
    <m/>
    <m/>
    <n v="114878"/>
    <n v="0.15"/>
    <n v="17231.7"/>
    <s v="11-335-00-120400-51200"/>
    <x v="1"/>
    <s v="335"/>
    <s v="00"/>
    <s v="120400"/>
    <s v="51200"/>
    <x v="1"/>
    <n v="2915.6036399999998"/>
    <m/>
    <m/>
    <n v="249.85965000000002"/>
    <n v="211.94991000000002"/>
    <n v="325.81698360000001"/>
    <n v="140.04"/>
    <n v="21.005999999999997"/>
    <n v="79.2"/>
    <n v="11.88"/>
    <n v="25452.57"/>
    <n v="26474.490685500001"/>
    <n v="3971.1736028249998"/>
    <n v="4004.0596028249997"/>
    <m/>
    <n v="0"/>
    <n v="7707.289786424999"/>
    <n v="24938.989786425002"/>
    <m/>
    <m/>
    <m/>
    <s v="0.15 - RSCR_PR - Ho, Tanya"/>
  </r>
  <r>
    <n v="390"/>
    <s v="HCFA"/>
    <x v="299"/>
    <s v="BUS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50-00-050000-51100"/>
    <x v="1"/>
    <s v="350"/>
    <s v="00"/>
    <s v="050000"/>
    <s v="51100"/>
    <x v="1"/>
    <n v="20057.137199999997"/>
    <m/>
    <m/>
    <n v="1718.8445000000002"/>
    <n v="1458.0543"/>
    <n v="2241.3732279999999"/>
    <n v="140.04"/>
    <n v="140.04"/>
    <n v="79.2"/>
    <n v="79.2"/>
    <n v="13152.04"/>
    <n v="13680.094406"/>
    <n v="13680.094406"/>
    <n v="13899.334406"/>
    <m/>
    <n v="0"/>
    <n v="39374.743633999999"/>
    <n v="157915.74363400001"/>
    <m/>
    <m/>
    <m/>
    <s v="1 - BUS_INS - Hobson, Carol A"/>
  </r>
  <r>
    <n v="391"/>
    <s v="HCFA"/>
    <x v="300"/>
    <s v="ENG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75-00-150100-51100"/>
    <x v="1"/>
    <s v="375"/>
    <s v="00"/>
    <s v="150100"/>
    <s v="51100"/>
    <x v="1"/>
    <n v="16353.687599999999"/>
    <m/>
    <m/>
    <n v="1401.4685000000002"/>
    <n v="1188.8318999999999"/>
    <n v="1827.5149240000001"/>
    <n v="140.04"/>
    <n v="140.04"/>
    <n v="79.2"/>
    <n v="79.2"/>
    <n v="33295.79"/>
    <n v="34632.615968500002"/>
    <n v="34632.615968500002"/>
    <n v="34851.8559685"/>
    <m/>
    <n v="0"/>
    <n v="55623.358892500008"/>
    <n v="152276.35889249999"/>
    <m/>
    <m/>
    <m/>
    <s v="1 - ENG_INS - Hooper, Michael F"/>
  </r>
  <r>
    <n v="392"/>
    <s v="HCFA"/>
    <x v="301"/>
    <s v="ENGR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90100-51100"/>
    <x v="1"/>
    <s v="330"/>
    <s v="00"/>
    <s v="09010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m/>
    <m/>
    <m/>
    <s v="1 - ENGR_INS - Hornstein, Melissa K"/>
  </r>
  <r>
    <n v="393"/>
    <s v="HCFA"/>
    <x v="302"/>
    <s v="COMM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75-00-150600-51100"/>
    <x v="1"/>
    <s v="375"/>
    <s v="00"/>
    <s v="150600"/>
    <s v="51100"/>
    <x v="1"/>
    <n v="19617.7248"/>
    <m/>
    <m/>
    <n v="1681.1880000000001"/>
    <n v="1426.1112000000001"/>
    <n v="2192.2691520000003"/>
    <n v="140.04"/>
    <n v="140.04"/>
    <n v="79.2"/>
    <n v="79.2"/>
    <n v="33443.96"/>
    <n v="34786.734993999999"/>
    <n v="34786.734993999999"/>
    <n v="35005.974993999997"/>
    <m/>
    <n v="0"/>
    <n v="59923.268146000002"/>
    <n v="175867.26814599999"/>
    <m/>
    <m/>
    <m/>
    <s v="1 - COMM_INS - Hough, Jason"/>
  </r>
  <r>
    <n v="394"/>
    <s v="HCFA"/>
    <x v="303"/>
    <s v="BIO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40110-51100"/>
    <x v="1"/>
    <s v="330"/>
    <s v="00"/>
    <s v="04011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m/>
    <m/>
    <m/>
    <s v="1 - BIO_INS - Hughey, Jeffery R"/>
  </r>
  <r>
    <n v="395"/>
    <s v="HCFA"/>
    <x v="304"/>
    <s v="MATH_INS"/>
    <n v="100"/>
    <d v="2021-07-01T00:00:00"/>
    <s v="D"/>
    <n v="18"/>
    <m/>
    <m/>
    <n v="118541"/>
    <n v="118541"/>
    <m/>
    <m/>
    <m/>
    <m/>
    <m/>
    <m/>
    <m/>
    <m/>
    <m/>
    <n v="118541"/>
    <n v="1"/>
    <n v="118541"/>
    <s v="11-330-00-170100-51100"/>
    <x v="1"/>
    <s v="330"/>
    <s v="00"/>
    <s v="170100"/>
    <s v="51100"/>
    <x v="1"/>
    <n v="20057.137199999997"/>
    <m/>
    <m/>
    <n v="1718.8445000000002"/>
    <n v="1458.0543"/>
    <n v="2241.3732279999999"/>
    <n v="140.04"/>
    <n v="140.04"/>
    <n v="79.2"/>
    <n v="79.2"/>
    <n v="23221.11"/>
    <n v="24153.437566500001"/>
    <n v="24153.437566500001"/>
    <n v="24372.677566500002"/>
    <m/>
    <n v="0"/>
    <n v="49848.086794499999"/>
    <n v="168389.08679450001"/>
    <m/>
    <m/>
    <m/>
    <s v="1 - MATH_INS - Hussain, Mohammad T"/>
  </r>
  <r>
    <n v="396"/>
    <s v="HCFA"/>
    <x v="305"/>
    <s v="SOCI_INS"/>
    <n v="100"/>
    <d v="2021-07-01T00:00:00"/>
    <s v="E"/>
    <n v="12"/>
    <m/>
    <m/>
    <n v="103909"/>
    <n v="103909"/>
    <m/>
    <m/>
    <m/>
    <m/>
    <m/>
    <m/>
    <m/>
    <m/>
    <m/>
    <n v="103909"/>
    <n v="1"/>
    <n v="103909"/>
    <s v="11-310-00-220800-51100"/>
    <x v="1"/>
    <s v="310"/>
    <s v="00"/>
    <s v="220800"/>
    <s v="51100"/>
    <x v="1"/>
    <n v="17581.4028"/>
    <m/>
    <m/>
    <n v="1506.6805000000002"/>
    <n v="1278.0807"/>
    <n v="1964.7113720000002"/>
    <n v="140.04"/>
    <n v="140.04"/>
    <n v="79.2"/>
    <n v="79.2"/>
    <n v="33443.96"/>
    <n v="34786.734993999999"/>
    <n v="34786.734993999999"/>
    <n v="35005.974993999997"/>
    <m/>
    <n v="0"/>
    <n v="57336.850365999999"/>
    <n v="161245.850366"/>
    <m/>
    <m/>
    <m/>
    <s v="1 - SOCI_INS - Jimenez, Hortencia"/>
  </r>
  <r>
    <n v="397"/>
    <s v="HCFA"/>
    <x v="306"/>
    <s v="F-ASERV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2-400-00-700400-51200"/>
    <x v="0"/>
    <s v="400"/>
    <s v="00"/>
    <s v="700400"/>
    <s v="51200"/>
    <x v="1"/>
    <n v="15335.441999999999"/>
    <m/>
    <m/>
    <n v="1314.2075"/>
    <n v="1114.8105"/>
    <n v="1713.72658"/>
    <n v="140.04"/>
    <n v="140.04"/>
    <n v="79.2"/>
    <n v="79.2"/>
    <n v="33443.96"/>
    <n v="34786.734993999999"/>
    <n v="34786.734993999999"/>
    <n v="35005.974993999997"/>
    <m/>
    <n v="0"/>
    <n v="54484.161573999998"/>
    <n v="145119.161574"/>
    <s v="Romero Jalomo"/>
    <s v="Carla Johnson"/>
    <s v="Student Success &amp; Support Program (SSSP)"/>
    <s v="1 - F-ASERV - Jimenez, Melvin P"/>
  </r>
  <r>
    <n v="398"/>
    <s v="HCFA"/>
    <x v="307"/>
    <s v="ESL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493080-51100"/>
    <x v="1"/>
    <s v="375"/>
    <s v="00"/>
    <s v="493080"/>
    <s v="51100"/>
    <x v="1"/>
    <n v="17806.2696"/>
    <m/>
    <m/>
    <n v="1525.951"/>
    <n v="1294.4274"/>
    <n v="1989.8401040000001"/>
    <n v="140.04"/>
    <n v="140.04"/>
    <n v="79.2"/>
    <n v="79.2"/>
    <n v="13152.04"/>
    <n v="13680.094406"/>
    <n v="13680.094406"/>
    <n v="13899.334406"/>
    <m/>
    <n v="0"/>
    <n v="36515.822509999998"/>
    <n v="141753.82251"/>
    <m/>
    <m/>
    <m/>
    <s v="1 - ESL_INS - King, Carol"/>
  </r>
  <r>
    <n v="399"/>
    <s v="HCFA"/>
    <x v="308"/>
    <s v="CHEM_INS"/>
    <n v="100"/>
    <d v="2021-07-01T00:00:00"/>
    <s v="E"/>
    <n v="6"/>
    <m/>
    <m/>
    <n v="85856"/>
    <n v="85856"/>
    <m/>
    <m/>
    <m/>
    <m/>
    <m/>
    <m/>
    <m/>
    <m/>
    <m/>
    <n v="85856"/>
    <n v="1"/>
    <n v="85856"/>
    <s v="11-330-00-190500-51100"/>
    <x v="1"/>
    <s v="330"/>
    <s v="00"/>
    <s v="190500"/>
    <s v="51100"/>
    <x v="1"/>
    <n v="14526.8352"/>
    <m/>
    <m/>
    <n v="1244.912"/>
    <n v="1056.0288"/>
    <n v="1623.3652480000001"/>
    <n v="140.04"/>
    <n v="140.04"/>
    <n v="79.2"/>
    <n v="79.2"/>
    <n v="13152.04"/>
    <n v="13680.094406"/>
    <n v="13680.094406"/>
    <n v="13899.334406"/>
    <m/>
    <n v="0"/>
    <n v="32350.475654000002"/>
    <n v="118206.47565400001"/>
    <m/>
    <m/>
    <m/>
    <s v="1 - CHEM_INS - Lampart, Wendy"/>
  </r>
  <r>
    <n v="400"/>
    <s v="HCFA"/>
    <x v="309"/>
    <s v="ENG_INS"/>
    <n v="100"/>
    <d v="2021-07-01T00:00:00"/>
    <s v="E"/>
    <n v="19"/>
    <m/>
    <m/>
    <n v="121962"/>
    <n v="121962"/>
    <m/>
    <m/>
    <m/>
    <m/>
    <m/>
    <m/>
    <m/>
    <m/>
    <m/>
    <n v="121962"/>
    <n v="1"/>
    <n v="121962"/>
    <s v="11-375-00-150100-51100"/>
    <x v="1"/>
    <s v="375"/>
    <s v="00"/>
    <s v="150100"/>
    <s v="51100"/>
    <x v="1"/>
    <n v="20635.970399999998"/>
    <m/>
    <m/>
    <n v="1768.4490000000001"/>
    <n v="1500.1325999999999"/>
    <n v="2306.0574960000004"/>
    <n v="140.04"/>
    <n v="140.04"/>
    <n v="79.2"/>
    <n v="79.2"/>
    <n v="25452.57"/>
    <n v="26474.490685500001"/>
    <n v="26474.490685500001"/>
    <n v="26693.730685500002"/>
    <m/>
    <n v="0"/>
    <n v="52904.340181500003"/>
    <n v="174866.34018150001"/>
    <m/>
    <m/>
    <m/>
    <s v="1 - ENG_INS - Lanka, Sunita V"/>
  </r>
  <r>
    <n v="401"/>
    <s v="HCFA"/>
    <x v="310"/>
    <s v="MAT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170100-51100"/>
    <x v="1"/>
    <s v="330"/>
    <s v="00"/>
    <s v="170100"/>
    <s v="51100"/>
    <x v="1"/>
    <n v="20635.970399999998"/>
    <m/>
    <m/>
    <n v="1768.4490000000001"/>
    <n v="1500.1325999999999"/>
    <n v="2306.0574960000004"/>
    <n v="140.04"/>
    <n v="140.04"/>
    <n v="79.2"/>
    <n v="79.2"/>
    <n v="25452.57"/>
    <n v="26474.490685500001"/>
    <n v="26474.490685500001"/>
    <n v="26693.730685500002"/>
    <m/>
    <n v="0"/>
    <n v="52904.340181500003"/>
    <n v="174866.34018150001"/>
    <m/>
    <m/>
    <m/>
    <s v="1 - MATH_INS - Locke, Kelly M"/>
  </r>
  <r>
    <n v="402"/>
    <s v="HCFA"/>
    <x v="311"/>
    <s v="COMM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600-51100"/>
    <x v="1"/>
    <s v="375"/>
    <s v="00"/>
    <s v="150600"/>
    <s v="51100"/>
    <x v="1"/>
    <n v="14826.3192"/>
    <m/>
    <m/>
    <n v="1270.577"/>
    <n v="1077.7998"/>
    <n v="1656.8324080000002"/>
    <n v="140.04"/>
    <n v="140.04"/>
    <n v="79.2"/>
    <n v="79.2"/>
    <n v="25452.57"/>
    <n v="26474.490685500001"/>
    <n v="26474.490685500001"/>
    <n v="26693.730685500002"/>
    <m/>
    <n v="0"/>
    <n v="45525.259093500004"/>
    <n v="133151.2590935"/>
    <m/>
    <m/>
    <m/>
    <s v="1 - COMM_INS - Lopez, Daniel R"/>
  </r>
  <r>
    <n v="403"/>
    <s v="HCFA"/>
    <x v="312"/>
    <s v="COU_GEN"/>
    <n v="100"/>
    <d v="2021-07-01T00:00:00"/>
    <s v="B"/>
    <n v="8"/>
    <m/>
    <m/>
    <n v="86272"/>
    <n v="86272"/>
    <m/>
    <m/>
    <m/>
    <m/>
    <m/>
    <m/>
    <m/>
    <m/>
    <m/>
    <n v="86272"/>
    <n v="0.6"/>
    <n v="51763.199999999997"/>
    <s v="11-400-00-631000-51200"/>
    <x v="1"/>
    <s v="400"/>
    <s v="00"/>
    <s v="631000"/>
    <s v="51200"/>
    <x v="1"/>
    <n v="8758.3334399999985"/>
    <m/>
    <m/>
    <n v="750.56640000000004"/>
    <n v="636.68736000000001"/>
    <n v="978.73858559999996"/>
    <n v="140.04"/>
    <n v="84.023999999999987"/>
    <n v="79.2"/>
    <n v="47.52"/>
    <n v="13152.04"/>
    <n v="13680.094406"/>
    <n v="8208.056643599999"/>
    <n v="8339.6006435999989"/>
    <m/>
    <n v="0"/>
    <n v="19463.926429199997"/>
    <n v="71227.126429199998"/>
    <m/>
    <m/>
    <m/>
    <s v="0.6 - COU_GEN - Lopez, Gabriela F"/>
  </r>
  <r>
    <n v="404"/>
    <s v="HCFA"/>
    <x v="312"/>
    <s v="COU_STEM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2-330-00-709831-51200"/>
    <x v="0"/>
    <s v="330"/>
    <s v="00"/>
    <s v="709831"/>
    <s v="51200"/>
    <x v="1"/>
    <n v="2919.4444800000001"/>
    <m/>
    <m/>
    <n v="250.18880000000004"/>
    <n v="212.22912000000002"/>
    <n v="326.24619520000005"/>
    <n v="140.04"/>
    <n v="28.007999999999999"/>
    <n v="79.2"/>
    <n v="15.840000000000002"/>
    <n v="13152.04"/>
    <n v="13680.094406"/>
    <n v="2736.0188812000001"/>
    <n v="2779.8668812000001"/>
    <m/>
    <n v="0"/>
    <n v="6487.9754763999999"/>
    <n v="23742.3754764"/>
    <s v="Raul Rodriguez"/>
    <s v="Moises Almendariz"/>
    <s v="HSI STEM GPS"/>
    <s v="0.2 - COU_STEM - Lopez, Gabriela F"/>
  </r>
  <r>
    <s v="404a"/>
    <s v="HCFA"/>
    <x v="312"/>
    <s v="COU_STEM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2-100-00-709650-51200"/>
    <x v="0"/>
    <s v="100"/>
    <s v="00"/>
    <s v="709650"/>
    <s v="51200"/>
    <x v="1"/>
    <n v="2919.4444800000001"/>
    <m/>
    <m/>
    <n v="250.18880000000004"/>
    <n v="212.22912000000002"/>
    <n v="326.24619520000005"/>
    <n v="140.04"/>
    <n v="28.007999999999999"/>
    <n v="79.2"/>
    <n v="15.840000000000002"/>
    <n v="13152.04"/>
    <n v="13680.094406"/>
    <n v="2736.0188812000001"/>
    <n v="2779.8668812000001"/>
    <m/>
    <n v="0"/>
    <n v="6487.9754763999999"/>
    <n v="23742.3754764"/>
    <s v="Raul Rodriguez"/>
    <s v="Moises Almendariz"/>
    <s v="Title V HSI Cultivamos"/>
    <s v="0.2 - COU_STEM - Lopez, Gabriela F"/>
  </r>
  <r>
    <n v="405"/>
    <s v="HCFA"/>
    <x v="313"/>
    <s v="COU_DSPS"/>
    <n v="100"/>
    <d v="2021-07-01T00:00:00"/>
    <s v="B"/>
    <n v="20"/>
    <m/>
    <m/>
    <n v="111252"/>
    <n v="111252"/>
    <m/>
    <m/>
    <m/>
    <m/>
    <m/>
    <m/>
    <m/>
    <m/>
    <m/>
    <n v="111252"/>
    <n v="1"/>
    <n v="111252"/>
    <s v="12-430-00-700500-51200"/>
    <x v="0"/>
    <s v="430"/>
    <s v="00"/>
    <s v="700500"/>
    <s v="51200"/>
    <x v="1"/>
    <n v="18823.838400000001"/>
    <m/>
    <m/>
    <n v="1613.154"/>
    <n v="1368.3996"/>
    <n v="2103.5528160000003"/>
    <n v="140.04"/>
    <n v="140.04"/>
    <n v="79.2"/>
    <n v="79.2"/>
    <n v="33443.96"/>
    <n v="34786.734993999999"/>
    <n v="34786.734993999999"/>
    <n v="35005.974993999997"/>
    <m/>
    <n v="0"/>
    <n v="58914.919809999999"/>
    <n v="170166.91980999999"/>
    <s v="Romero Jalomo"/>
    <s v="Paul Casey"/>
    <s v="Extended Opportunity Programs and Services (EOPS)"/>
    <s v="1 - COU_DSPS - Madrigal, Millicent"/>
  </r>
  <r>
    <n v="406"/>
    <s v="HCFA"/>
    <x v="314"/>
    <s v="MATH_INS"/>
    <n v="100"/>
    <d v="2021-07-01T00:00:00"/>
    <s v="B"/>
    <n v="9"/>
    <m/>
    <m/>
    <n v="84618"/>
    <n v="84618"/>
    <m/>
    <m/>
    <m/>
    <m/>
    <m/>
    <m/>
    <m/>
    <m/>
    <m/>
    <n v="84618"/>
    <n v="1"/>
    <n v="84618"/>
    <s v="11-330-00-170100-51100"/>
    <x v="1"/>
    <s v="330"/>
    <s v="00"/>
    <s v="170100"/>
    <s v="51100"/>
    <x v="1"/>
    <n v="14317.365599999999"/>
    <m/>
    <m/>
    <n v="1226.961"/>
    <n v="1040.8014000000001"/>
    <n v="1599.9571440000002"/>
    <n v="140.04"/>
    <n v="140.04"/>
    <n v="79.2"/>
    <n v="79.2"/>
    <n v="33443.96"/>
    <n v="34786.734993999999"/>
    <n v="34786.734993999999"/>
    <n v="35005.974993999997"/>
    <m/>
    <n v="0"/>
    <n v="53191.060138000001"/>
    <n v="137809.060138"/>
    <m/>
    <m/>
    <m/>
    <s v="1 - MATH_INS - Manrique, Miguel-Angel"/>
  </r>
  <r>
    <n v="407"/>
    <s v="HCFA"/>
    <x v="315"/>
    <s v="AOD_INST"/>
    <n v="100"/>
    <d v="2021-07-01T00:00:00"/>
    <s v="C"/>
    <n v="9"/>
    <m/>
    <m/>
    <n v="88039"/>
    <n v="88039"/>
    <m/>
    <m/>
    <m/>
    <m/>
    <m/>
    <m/>
    <m/>
    <m/>
    <m/>
    <n v="88039"/>
    <n v="1"/>
    <n v="88039"/>
    <s v="11-310-00-210440-51100"/>
    <x v="1"/>
    <s v="310"/>
    <s v="00"/>
    <s v="210440"/>
    <s v="51100"/>
    <x v="1"/>
    <n v="14896.198799999998"/>
    <m/>
    <m/>
    <n v="1276.5655000000002"/>
    <n v="1082.8797"/>
    <n v="1664.6414120000002"/>
    <n v="140.04"/>
    <n v="140.04"/>
    <n v="79.2"/>
    <n v="79.2"/>
    <n v="13152.04"/>
    <n v="13680.094406"/>
    <n v="13680.094406"/>
    <n v="13899.334406"/>
    <m/>
    <n v="0"/>
    <n v="32819.619818000006"/>
    <n v="120858.61981800001"/>
    <m/>
    <m/>
    <m/>
    <s v="1 - AOD_INST - Marciel, Jacob"/>
  </r>
  <r>
    <n v="408"/>
    <s v="HCFA"/>
    <x v="316"/>
    <s v="SPAN_INS"/>
    <n v="100"/>
    <d v="2021-07-01T00:00:00"/>
    <s v="C"/>
    <n v="9"/>
    <m/>
    <m/>
    <n v="88039"/>
    <n v="88039"/>
    <m/>
    <m/>
    <m/>
    <m/>
    <m/>
    <m/>
    <m/>
    <m/>
    <m/>
    <n v="88039"/>
    <n v="1"/>
    <n v="88039"/>
    <s v="11-375-00-110500-51100"/>
    <x v="1"/>
    <s v="375"/>
    <s v="00"/>
    <s v="110500"/>
    <s v="51100"/>
    <x v="1"/>
    <n v="14896.198799999998"/>
    <m/>
    <m/>
    <n v="1276.5655000000002"/>
    <n v="1082.8797"/>
    <n v="1664.6414120000002"/>
    <n v="140.04"/>
    <n v="140.04"/>
    <n v="79.2"/>
    <n v="79.2"/>
    <n v="13152.04"/>
    <n v="13680.094406"/>
    <n v="13680.094406"/>
    <n v="13899.334406"/>
    <m/>
    <n v="0"/>
    <n v="32819.619818000006"/>
    <n v="120858.61981800001"/>
    <m/>
    <m/>
    <m/>
    <s v="1 - SPAN_INS - Marquez, Maria C"/>
  </r>
  <r>
    <n v="409"/>
    <s v="HCFA"/>
    <x v="317"/>
    <s v="PSYC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10-00-200100-51100"/>
    <x v="1"/>
    <s v="310"/>
    <s v="00"/>
    <s v="20010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m/>
    <m/>
    <m/>
    <s v="1 - PSYCH_INS - Matsushita-Arao, Yoshiko J"/>
  </r>
  <r>
    <n v="410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.25"/>
    <n v="23158.25"/>
    <s v="12-365-00-700410-51200"/>
    <x v="0"/>
    <s v="365"/>
    <s v="00"/>
    <s v="700410"/>
    <s v="51200"/>
    <x v="1"/>
    <m/>
    <n v="5305.5550750000002"/>
    <n v="1435.8115"/>
    <n v="335.794625"/>
    <n v="284.846475"/>
    <n v="437.87619100000001"/>
    <n v="140.04"/>
    <n v="35.01"/>
    <n v="79.2"/>
    <n v="19.8"/>
    <n v="33443.96"/>
    <n v="34786.734993999999"/>
    <n v="8696.6837484999996"/>
    <n v="8751.4937484999991"/>
    <m/>
    <n v="0"/>
    <n v="16551.377614500001"/>
    <n v="39709.627614500001"/>
    <s v="Cathryn Wilkinson"/>
    <s v="Jainesh Singh"/>
    <s v="Student Equity Program"/>
    <s v="0.25 - COU_DSPS - Maturino, Valerie K"/>
  </r>
  <r>
    <n v="411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.75"/>
    <n v="69474.75"/>
    <s v="12-440-00-701020-51200"/>
    <x v="0"/>
    <s v="440"/>
    <s v="00"/>
    <s v="701020"/>
    <s v="51200"/>
    <x v="1"/>
    <m/>
    <n v="15916.665225000001"/>
    <n v="4307.4345000000003"/>
    <n v="1007.3838750000001"/>
    <n v="854.53942500000005"/>
    <n v="1313.6285730000002"/>
    <n v="140.04"/>
    <n v="105.03"/>
    <n v="79.2"/>
    <n v="59.400000000000006"/>
    <n v="33443.96"/>
    <n v="34786.734993999999"/>
    <n v="26090.051245499999"/>
    <n v="26254.481245499999"/>
    <m/>
    <n v="0"/>
    <n v="49654.132843500003"/>
    <n v="119128.8828435"/>
    <s v="Romero Jalomo"/>
    <s v="Michelle Peters"/>
    <s v="Disabled Student Programs and Services (DSPS)"/>
    <s v="0.75 - COU_DSPS - Maturino, Valerie K"/>
  </r>
  <r>
    <n v="412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"/>
    <n v="0"/>
    <s v="12-365-00-707723-51200"/>
    <x v="0"/>
    <s v="365"/>
    <s v="00"/>
    <s v="707723"/>
    <s v="51200"/>
    <x v="1"/>
    <m/>
    <n v="0"/>
    <n v="0"/>
    <n v="0"/>
    <n v="0"/>
    <n v="0"/>
    <n v="140.04"/>
    <n v="0"/>
    <n v="79.2"/>
    <n v="0"/>
    <n v="33443.96"/>
    <n v="34786.734993999999"/>
    <n v="0"/>
    <n v="0"/>
    <m/>
    <n v="0"/>
    <n v="0"/>
    <n v="0"/>
    <s v="Cathryn Wilkinson"/>
    <s v="Ana Gonzalez"/>
    <s v="Adult Education - Hartnell"/>
    <s v="0 - COU_DSPS - Maturino, Valerie K"/>
  </r>
  <r>
    <s v="new"/>
    <s v="HCFA"/>
    <x v="319"/>
    <s v="AG_INS"/>
    <n v="1"/>
    <d v="2021-07-01T00:00:00"/>
    <s v="B"/>
    <n v="9"/>
    <m/>
    <m/>
    <n v="84618"/>
    <n v="84618"/>
    <m/>
    <m/>
    <m/>
    <m/>
    <m/>
    <m/>
    <m/>
    <m/>
    <m/>
    <n v="84618"/>
    <n v="1"/>
    <n v="84618"/>
    <s v="11-350-01-094500-51100"/>
    <x v="1"/>
    <s v="350"/>
    <s v="00"/>
    <s v="094500"/>
    <s v="51100"/>
    <x v="1"/>
    <n v="14317.365599999999"/>
    <m/>
    <m/>
    <n v="1226.961"/>
    <n v="1040.8014000000001"/>
    <n v="1599.9571440000002"/>
    <n v="140.04"/>
    <n v="140.04"/>
    <n v="79.2"/>
    <n v="79.2"/>
    <n v="33443.96"/>
    <n v="34786.734993999999"/>
    <n v="34786.734993999999"/>
    <n v="35005.974993999997"/>
    <m/>
    <n v="0"/>
    <n v="53191.060138000001"/>
    <n v="137809.060138"/>
    <m/>
    <m/>
    <m/>
    <s v="1 - AG_INS - VACANT (Graham, Albert)"/>
  </r>
  <r>
    <n v="413"/>
    <s v="HCFA"/>
    <x v="320"/>
    <s v="HD_LIB"/>
    <n v="100"/>
    <d v="2021-07-01T00:00:00"/>
    <s v="C"/>
    <n v="6"/>
    <m/>
    <m/>
    <n v="88043"/>
    <n v="88043"/>
    <m/>
    <m/>
    <m/>
    <m/>
    <m/>
    <m/>
    <m/>
    <m/>
    <m/>
    <n v="88043"/>
    <n v="0.1"/>
    <n v="8804.3000000000011"/>
    <s v="11-360-00-160100-51100"/>
    <x v="1"/>
    <s v="360"/>
    <s v="00"/>
    <s v="160100"/>
    <s v="51100"/>
    <x v="1"/>
    <n v="1489.6875600000001"/>
    <m/>
    <m/>
    <n v="127.66235000000002"/>
    <n v="108.29289000000001"/>
    <n v="166.47170440000002"/>
    <n v="140.04"/>
    <n v="14.004"/>
    <n v="79.2"/>
    <n v="7.9200000000000008"/>
    <n v="25452.6"/>
    <n v="26474.521889999996"/>
    <n v="2647.4521889999996"/>
    <n v="2669.3761889999996"/>
    <m/>
    <n v="0"/>
    <n v="4561.4906933999991"/>
    <n v="13365.7906934"/>
    <m/>
    <m/>
    <m/>
    <s v="0.1 - HD_LIB - VACANT (Mayfield)"/>
  </r>
  <r>
    <n v="414"/>
    <s v="HCFA"/>
    <x v="320"/>
    <s v="HD_LIB"/>
    <n v="100"/>
    <d v="2021-07-01T00:00:00"/>
    <s v="C"/>
    <n v="6"/>
    <m/>
    <m/>
    <n v="88043"/>
    <n v="88043"/>
    <m/>
    <m/>
    <m/>
    <m/>
    <m/>
    <m/>
    <m/>
    <m/>
    <m/>
    <n v="88043"/>
    <n v="0.9"/>
    <n v="79238.7"/>
    <s v="11-360-00-612000-51200"/>
    <x v="1"/>
    <s v="360"/>
    <s v="00"/>
    <s v="612000"/>
    <s v="51200"/>
    <x v="1"/>
    <n v="13407.188039999999"/>
    <m/>
    <m/>
    <n v="1148.9611500000001"/>
    <n v="974.63600999999994"/>
    <n v="1498.2453396000001"/>
    <n v="140.04"/>
    <n v="126.036"/>
    <n v="79.2"/>
    <n v="71.28"/>
    <n v="25452.6"/>
    <n v="26474.521889999996"/>
    <n v="23827.069700999997"/>
    <n v="24024.385700999996"/>
    <m/>
    <n v="0"/>
    <n v="41053.416240599996"/>
    <n v="120292.11624059999"/>
    <m/>
    <m/>
    <m/>
    <s v="0.9 - HD_LIB - VACANT (Mayfield)"/>
  </r>
  <r>
    <n v="415"/>
    <s v="HCFA"/>
    <x v="321"/>
    <s v="CHEM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30-00-190500-51100"/>
    <x v="1"/>
    <s v="330"/>
    <s v="00"/>
    <s v="190500"/>
    <s v="51100"/>
    <x v="1"/>
    <n v="15475.3704"/>
    <m/>
    <m/>
    <n v="1326.1990000000001"/>
    <n v="1124.9826"/>
    <n v="1729.3634960000002"/>
    <n v="140.04"/>
    <n v="140.04"/>
    <n v="79.2"/>
    <n v="79.2"/>
    <n v="6520.14"/>
    <n v="6781.9236209999999"/>
    <n v="6781.9236209999999"/>
    <n v="7001.1636209999997"/>
    <n v="2400"/>
    <n v="2400"/>
    <n v="29057.079117000001"/>
    <n v="120519.079117"/>
    <m/>
    <m/>
    <m/>
    <s v="1 - CHEM_INS - McCarthy, Michael R"/>
  </r>
  <r>
    <n v="416"/>
    <s v="HCFA"/>
    <x v="322"/>
    <s v="ENG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75-00-150100-51100"/>
    <x v="1"/>
    <s v="375"/>
    <s v="00"/>
    <s v="150100"/>
    <s v="51100"/>
    <x v="1"/>
    <n v="15475.3704"/>
    <m/>
    <m/>
    <n v="1326.1990000000001"/>
    <n v="1124.9826"/>
    <n v="1729.3634960000002"/>
    <n v="140.04"/>
    <n v="140.04"/>
    <n v="79.2"/>
    <n v="79.2"/>
    <n v="13152.04"/>
    <n v="13680.094406"/>
    <n v="13680.094406"/>
    <n v="13899.334406"/>
    <m/>
    <n v="0"/>
    <n v="33555.249902000003"/>
    <n v="125017.24990200001"/>
    <m/>
    <m/>
    <m/>
    <s v="1 - ENG_INS - McClary, Kelley A"/>
  </r>
  <r>
    <n v="417"/>
    <s v="HCFA"/>
    <x v="323"/>
    <s v="EMT_INS"/>
    <n v="100"/>
    <d v="2021-07-01T00:00:00"/>
    <s v="C"/>
    <n v="14"/>
    <m/>
    <m/>
    <n v="103084"/>
    <n v="103084"/>
    <m/>
    <m/>
    <m/>
    <m/>
    <m/>
    <m/>
    <m/>
    <m/>
    <m/>
    <n v="103084"/>
    <n v="1"/>
    <n v="103084"/>
    <s v="12-350-03-700327-51100"/>
    <x v="0"/>
    <s v="350"/>
    <s v="03"/>
    <s v="700327"/>
    <s v="51100"/>
    <x v="1"/>
    <m/>
    <n v="23616.544399999999"/>
    <n v="6391.2079999999996"/>
    <n v="1494.7180000000001"/>
    <n v="1267.9331999999999"/>
    <n v="1949.1122720000001"/>
    <n v="140.04"/>
    <n v="140.04"/>
    <n v="79.2"/>
    <n v="79.2"/>
    <n v="23232"/>
    <n v="24164.764800000001"/>
    <n v="24164.764800000001"/>
    <n v="24384.004800000002"/>
    <m/>
    <n v="0"/>
    <n v="59103.520671999999"/>
    <n v="162187.52067200001"/>
    <s v="Cathryn Wilkinson"/>
    <s v="Sharon Albert"/>
    <s v="Strong Workforce"/>
    <s v="1 - EMT_INS - McElhenie, Matthew M"/>
  </r>
  <r>
    <n v="418"/>
    <s v="HCFA"/>
    <x v="324"/>
    <s v="SAOSFO"/>
    <n v="100"/>
    <d v="2021-07-01T00:00:00"/>
    <s v="B"/>
    <n v="8"/>
    <m/>
    <m/>
    <n v="86272"/>
    <n v="86272"/>
    <m/>
    <m/>
    <m/>
    <m/>
    <m/>
    <m/>
    <m/>
    <m/>
    <m/>
    <n v="86272"/>
    <n v="0.8"/>
    <n v="69017.600000000006"/>
    <s v="11-320-00-083500-51100"/>
    <x v="1"/>
    <s v="320"/>
    <s v="00"/>
    <s v="083500"/>
    <s v="51100"/>
    <x v="1"/>
    <n v="11677.77792"/>
    <m/>
    <m/>
    <n v="1000.7552000000002"/>
    <n v="848.91648000000009"/>
    <n v="1304.9847808000002"/>
    <n v="140.04"/>
    <n v="112.032"/>
    <n v="79.2"/>
    <n v="63.360000000000007"/>
    <n v="25452.57"/>
    <n v="26474.490685500001"/>
    <n v="21179.592548400004"/>
    <n v="21354.984548400003"/>
    <m/>
    <n v="0"/>
    <n v="36187.418929200001"/>
    <n v="105205.01892920001"/>
    <m/>
    <m/>
    <m/>
    <s v="0.8 - SAOSFO - McKown, Joel"/>
  </r>
  <r>
    <n v="419"/>
    <s v="HCFA"/>
    <x v="324"/>
    <s v="SAOSFO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1-320-00-083550-51100"/>
    <x v="1"/>
    <s v="320"/>
    <s v="00"/>
    <s v="083550"/>
    <s v="51100"/>
    <x v="1"/>
    <n v="2919.4444800000001"/>
    <m/>
    <m/>
    <n v="250.18880000000004"/>
    <n v="212.22912000000002"/>
    <n v="326.24619520000005"/>
    <n v="140.04"/>
    <n v="28.007999999999999"/>
    <n v="79.2"/>
    <n v="15.840000000000002"/>
    <n v="25452.57"/>
    <n v="26474.490685500001"/>
    <n v="5294.8981371000009"/>
    <n v="5338.7461371000009"/>
    <m/>
    <n v="0"/>
    <n v="9046.8547323000003"/>
    <n v="26301.254732300004"/>
    <m/>
    <m/>
    <m/>
    <s v="0.2 - SAOSFO - McKown, Joel"/>
  </r>
  <r>
    <n v="420"/>
    <s v="HCFA"/>
    <x v="325"/>
    <s v="ENG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7806.2696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7622.463098"/>
    <n v="162860.46309800001"/>
    <m/>
    <m/>
    <m/>
    <s v="1 - ENG_INS - Mendoza-Lewis, Rhea L"/>
  </r>
  <r>
    <n v="421"/>
    <s v="HCFA"/>
    <x v="326"/>
    <s v="MATH_INS"/>
    <n v="100"/>
    <d v="2021-07-01T00:00:00"/>
    <s v="E"/>
    <n v="11"/>
    <m/>
    <m/>
    <n v="100899"/>
    <n v="100899"/>
    <m/>
    <m/>
    <m/>
    <m/>
    <m/>
    <m/>
    <m/>
    <m/>
    <m/>
    <n v="100899"/>
    <n v="1"/>
    <n v="100899"/>
    <s v="11-330-00-170100-51100"/>
    <x v="1"/>
    <s v="330"/>
    <s v="00"/>
    <s v="170100"/>
    <s v="51100"/>
    <x v="1"/>
    <n v="17072.110799999999"/>
    <m/>
    <m/>
    <n v="1463.0355000000002"/>
    <n v="1241.0577000000001"/>
    <n v="1907.7982920000002"/>
    <n v="140.04"/>
    <n v="140.04"/>
    <n v="79.2"/>
    <n v="79.2"/>
    <n v="33443.96"/>
    <n v="34786.734993999999"/>
    <n v="34786.734993999999"/>
    <n v="35005.974993999997"/>
    <m/>
    <n v="0"/>
    <n v="56689.977286000001"/>
    <n v="157588.97728600001"/>
    <m/>
    <m/>
    <m/>
    <s v="1 - MATH_INS - Moorhouse, Jennifer L"/>
  </r>
  <r>
    <n v="422"/>
    <s v="HCFA"/>
    <x v="327"/>
    <s v="MATH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30-00-170100-51100"/>
    <x v="1"/>
    <s v="330"/>
    <s v="00"/>
    <s v="170100"/>
    <s v="51100"/>
    <x v="1"/>
    <n v="17806.2696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7622.463098"/>
    <n v="162860.46309800001"/>
    <m/>
    <m/>
    <m/>
    <s v="1 - MATH_INS - Moss, Christopher R"/>
  </r>
  <r>
    <n v="423"/>
    <s v="HCFA"/>
    <x v="328"/>
    <s v="ASTRON_INS"/>
    <n v="100"/>
    <d v="2021-07-01T00:00:00"/>
    <s v="E"/>
    <n v="18"/>
    <m/>
    <m/>
    <n v="121962"/>
    <n v="121962"/>
    <m/>
    <m/>
    <m/>
    <m/>
    <m/>
    <m/>
    <m/>
    <m/>
    <m/>
    <n v="121962"/>
    <n v="1"/>
    <n v="121962"/>
    <s v="11-330-00-191100-51100"/>
    <x v="1"/>
    <s v="330"/>
    <s v="00"/>
    <s v="19110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m/>
    <m/>
    <m/>
    <s v="1 - ASTRON_INS - Moth, Pimol"/>
  </r>
  <r>
    <n v="424"/>
    <s v="HCFA"/>
    <x v="329"/>
    <s v="BU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50-00-050000-51100"/>
    <x v="1"/>
    <s v="350"/>
    <s v="00"/>
    <s v="050000"/>
    <s v="51100"/>
    <x v="1"/>
    <n v="18969.011999999999"/>
    <m/>
    <m/>
    <n v="1625.595"/>
    <n v="1378.953"/>
    <n v="2119.7758800000001"/>
    <n v="140.04"/>
    <n v="140.04"/>
    <n v="79.2"/>
    <n v="79.2"/>
    <n v="25452.6"/>
    <n v="26474.521889999996"/>
    <n v="26474.521889999996"/>
    <n v="26693.761889999998"/>
    <m/>
    <n v="0"/>
    <n v="50787.09777"/>
    <n v="162897.09776999999"/>
    <m/>
    <m/>
    <m/>
    <s v="1 - BUS_INS - O'Donnell, Cheryl E"/>
  </r>
  <r>
    <n v="425"/>
    <s v="HCFA"/>
    <x v="330"/>
    <s v="COACH"/>
    <n v="100"/>
    <d v="2021-07-01T00:00:00"/>
    <s v="C"/>
    <n v="14"/>
    <m/>
    <m/>
    <n v="105357"/>
    <n v="105357"/>
    <m/>
    <m/>
    <m/>
    <m/>
    <m/>
    <m/>
    <m/>
    <m/>
    <m/>
    <n v="105357"/>
    <n v="0.8"/>
    <n v="84285.6"/>
    <s v="11-320-00-083550-51100"/>
    <x v="1"/>
    <s v="320"/>
    <s v="00"/>
    <s v="083500"/>
    <s v="51100"/>
    <x v="1"/>
    <n v="14261.123519999999"/>
    <m/>
    <m/>
    <n v="1222.1412000000003"/>
    <n v="1036.71288"/>
    <n v="1593.6721248000001"/>
    <n v="140.04"/>
    <n v="112.032"/>
    <n v="79.2"/>
    <n v="63.360000000000007"/>
    <n v="33443.96"/>
    <n v="34786.734993999999"/>
    <n v="27829.387995199999"/>
    <n v="28004.779995199999"/>
    <m/>
    <n v="0"/>
    <n v="46118.42972"/>
    <n v="130404.02972000001"/>
    <m/>
    <m/>
    <m/>
    <s v="0.8 - COACH - Ortega, Daniel"/>
  </r>
  <r>
    <n v="426"/>
    <s v="HCFA"/>
    <x v="330"/>
    <s v="COACH"/>
    <n v="100"/>
    <d v="2021-07-01T00:00:00"/>
    <s v="C"/>
    <n v="14"/>
    <m/>
    <m/>
    <n v="105357"/>
    <n v="105357"/>
    <m/>
    <m/>
    <m/>
    <m/>
    <m/>
    <m/>
    <m/>
    <m/>
    <m/>
    <n v="105357"/>
    <n v="0.2"/>
    <n v="21071.4"/>
    <s v="11-320-00-083550-51100"/>
    <x v="1"/>
    <s v="320"/>
    <s v="00"/>
    <s v="083550"/>
    <s v="51100"/>
    <x v="1"/>
    <n v="3565.2808799999998"/>
    <m/>
    <m/>
    <n v="305.53530000000006"/>
    <n v="259.17822000000001"/>
    <n v="398.41803120000003"/>
    <n v="140.04"/>
    <n v="28.007999999999999"/>
    <n v="79.2"/>
    <n v="15.840000000000002"/>
    <n v="33443.96"/>
    <n v="34786.734993999999"/>
    <n v="6957.3469987999997"/>
    <n v="7001.1949987999997"/>
    <m/>
    <n v="0"/>
    <n v="11529.60743"/>
    <n v="32601.007430000001"/>
    <m/>
    <m/>
    <m/>
    <s v="0.2 - COACH - Ortega, Daniel"/>
  </r>
  <r>
    <n v="427"/>
    <s v="HCFA"/>
    <x v="331"/>
    <s v="HIS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10-00-220500-51100"/>
    <x v="1"/>
    <s v="310"/>
    <s v="00"/>
    <s v="220500"/>
    <s v="51100"/>
    <x v="1"/>
    <n v="16353.687599999999"/>
    <m/>
    <m/>
    <n v="1401.4685000000002"/>
    <n v="1188.8318999999999"/>
    <n v="1827.5149240000001"/>
    <n v="140.04"/>
    <n v="140.04"/>
    <n v="79.2"/>
    <n v="79.2"/>
    <n v="33443.96"/>
    <n v="34786.734993999999"/>
    <n v="34786.734993999999"/>
    <n v="35005.974993999997"/>
    <m/>
    <n v="0"/>
    <n v="55777.477918000004"/>
    <n v="152430.47791800002"/>
    <m/>
    <m/>
    <m/>
    <s v="1 - HIS_INS - Pacheco, Samuel J"/>
  </r>
  <r>
    <n v="428"/>
    <s v="HCFA"/>
    <x v="332"/>
    <s v="MATH_INS"/>
    <n v="100"/>
    <d v="2021-07-01T00:00:00"/>
    <s v="D"/>
    <n v="10"/>
    <m/>
    <m/>
    <n v="94470"/>
    <n v="94470"/>
    <m/>
    <m/>
    <m/>
    <m/>
    <m/>
    <m/>
    <m/>
    <m/>
    <m/>
    <n v="94470"/>
    <n v="1"/>
    <n v="94470"/>
    <s v="11-330-00-170100-51100"/>
    <x v="1"/>
    <s v="330"/>
    <s v="00"/>
    <s v="170100"/>
    <s v="51100"/>
    <x v="1"/>
    <n v="15984.323999999999"/>
    <m/>
    <m/>
    <n v="1369.8150000000001"/>
    <n v="1161.981"/>
    <n v="1786.2387600000002"/>
    <n v="140.04"/>
    <n v="140.04"/>
    <n v="79.2"/>
    <n v="79.2"/>
    <n v="33443.96"/>
    <n v="34786.734993999999"/>
    <n v="34786.734993999999"/>
    <n v="35005.974993999997"/>
    <m/>
    <n v="0"/>
    <n v="55308.333753999999"/>
    <n v="149778.33375399999"/>
    <m/>
    <m/>
    <m/>
    <s v="1 - MATH_INS - Palmer, Brian R"/>
  </r>
  <r>
    <n v="429"/>
    <s v="HCFA"/>
    <x v="333"/>
    <s v="BIO_INS"/>
    <n v="100"/>
    <d v="2021-07-01T00:00:00"/>
    <s v="E"/>
    <n v="8"/>
    <m/>
    <m/>
    <n v="91874"/>
    <n v="91874"/>
    <m/>
    <m/>
    <m/>
    <m/>
    <m/>
    <m/>
    <m/>
    <m/>
    <m/>
    <n v="91874"/>
    <n v="1"/>
    <n v="91874"/>
    <s v="11-330-00-040110-51100"/>
    <x v="1"/>
    <s v="330"/>
    <s v="00"/>
    <s v="040110"/>
    <s v="51100"/>
    <x v="1"/>
    <n v="15545.0808"/>
    <m/>
    <m/>
    <n v="1332.173"/>
    <n v="1130.0501999999999"/>
    <n v="1737.1535920000001"/>
    <n v="140.04"/>
    <n v="140.04"/>
    <n v="79.2"/>
    <n v="79.2"/>
    <n v="23232"/>
    <n v="24164.764800000001"/>
    <n v="24164.764800000001"/>
    <n v="24384.004800000002"/>
    <n v="2400"/>
    <n v="2400"/>
    <n v="46528.462392000001"/>
    <n v="138402.46239200002"/>
    <m/>
    <m/>
    <m/>
    <s v="1 - BIO_INS - Panggat, Rosser O"/>
  </r>
  <r>
    <n v="430"/>
    <s v="HCFA"/>
    <x v="334"/>
    <s v="MATH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30-00-170100-51100"/>
    <x v="1"/>
    <s v="330"/>
    <s v="00"/>
    <s v="170100"/>
    <s v="51100"/>
    <x v="1"/>
    <n v="16353.687599999999"/>
    <m/>
    <m/>
    <n v="1401.4685000000002"/>
    <n v="1188.8318999999999"/>
    <n v="1827.5149240000001"/>
    <n v="140.04"/>
    <n v="140.04"/>
    <n v="79.2"/>
    <n v="79.2"/>
    <n v="13152.04"/>
    <n v="13680.094406"/>
    <n v="13680.094406"/>
    <n v="13899.334406"/>
    <m/>
    <n v="0"/>
    <n v="34670.837330000002"/>
    <n v="131323.83733000001"/>
    <m/>
    <m/>
    <m/>
    <s v="1 - MATH_INS - Pasquale, Nicholas D"/>
  </r>
  <r>
    <n v="431"/>
    <s v="HCFA"/>
    <x v="335"/>
    <s v="PE_INST"/>
    <n v="100"/>
    <d v="2021-07-01T00:00:00"/>
    <s v="B"/>
    <n v="12"/>
    <m/>
    <m/>
    <n v="98995"/>
    <n v="98995"/>
    <m/>
    <m/>
    <m/>
    <m/>
    <m/>
    <m/>
    <m/>
    <m/>
    <m/>
    <n v="98995"/>
    <n v="0.8"/>
    <n v="79196"/>
    <s v="11-320-00-083500-51100"/>
    <x v="1"/>
    <s v="320"/>
    <s v="00"/>
    <s v="083500"/>
    <s v="51100"/>
    <x v="1"/>
    <n v="13399.963199999998"/>
    <m/>
    <m/>
    <n v="1148.3420000000001"/>
    <n v="974.11080000000004"/>
    <n v="1497.4379680000002"/>
    <n v="140.04"/>
    <n v="112.032"/>
    <n v="79.2"/>
    <n v="63.360000000000007"/>
    <n v="33443.96"/>
    <n v="34786.734993999999"/>
    <n v="27829.387995199999"/>
    <n v="28004.779995199999"/>
    <m/>
    <n v="0"/>
    <n v="45024.633963200002"/>
    <n v="124220.6339632"/>
    <m/>
    <m/>
    <m/>
    <s v="0.8 - PE_INST - Pedroza, Jamie L"/>
  </r>
  <r>
    <n v="432"/>
    <s v="HCFA"/>
    <x v="335"/>
    <s v="PE_INST"/>
    <n v="100"/>
    <d v="2021-07-01T00:00:00"/>
    <s v="B"/>
    <n v="12"/>
    <m/>
    <m/>
    <n v="98995"/>
    <n v="98995"/>
    <m/>
    <m/>
    <m/>
    <m/>
    <m/>
    <m/>
    <m/>
    <m/>
    <m/>
    <n v="98995"/>
    <n v="0.2"/>
    <n v="19799"/>
    <s v="11-320-00-083550-51100"/>
    <x v="1"/>
    <s v="320"/>
    <s v="00"/>
    <s v="083550"/>
    <s v="51100"/>
    <x v="1"/>
    <n v="3349.9907999999996"/>
    <m/>
    <m/>
    <n v="287.08550000000002"/>
    <n v="243.52770000000001"/>
    <n v="374.35949200000005"/>
    <n v="140.04"/>
    <n v="28.007999999999999"/>
    <n v="79.2"/>
    <n v="15.840000000000002"/>
    <n v="33443.96"/>
    <n v="34786.734993999999"/>
    <n v="6957.3469987999997"/>
    <n v="7001.1949987999997"/>
    <m/>
    <n v="0"/>
    <n v="11256.1584908"/>
    <n v="31055.1584908"/>
    <m/>
    <m/>
    <m/>
    <s v="0.2 - PE_INST - Pedroza, Jamie L"/>
  </r>
  <r>
    <n v="433"/>
    <s v="HCFA"/>
    <x v="336"/>
    <s v="MATH_INS"/>
    <n v="100"/>
    <d v="2021-07-01T00:00:00"/>
    <s v="B"/>
    <n v="12"/>
    <m/>
    <m/>
    <n v="93644"/>
    <n v="93644"/>
    <m/>
    <m/>
    <m/>
    <m/>
    <m/>
    <m/>
    <m/>
    <m/>
    <m/>
    <n v="93644"/>
    <n v="1"/>
    <n v="93644"/>
    <s v="11-330-00-170100-51100"/>
    <x v="1"/>
    <s v="330"/>
    <s v="00"/>
    <s v="170100"/>
    <s v="51100"/>
    <x v="1"/>
    <n v="15844.564799999998"/>
    <m/>
    <m/>
    <n v="1357.838"/>
    <n v="1151.8212000000001"/>
    <n v="1770.620752"/>
    <n v="140.04"/>
    <n v="140.04"/>
    <n v="79.2"/>
    <n v="79.2"/>
    <n v="33443.96"/>
    <n v="34786.734993999999"/>
    <n v="34786.734993999999"/>
    <n v="35005.974993999997"/>
    <m/>
    <n v="0"/>
    <n v="55130.819745999994"/>
    <n v="148774.81974599999"/>
    <m/>
    <m/>
    <m/>
    <s v="1 - MATH_INS - Perez Jr., John R"/>
  </r>
  <r>
    <n v="434"/>
    <s v="HCFA"/>
    <x v="337"/>
    <s v="LSC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7806.2696"/>
    <m/>
    <m/>
    <n v="1525.951"/>
    <n v="1294.4274"/>
    <n v="1989.8401040000001"/>
    <n v="140.04"/>
    <n v="140.04"/>
    <n v="79.2"/>
    <n v="79.2"/>
    <n v="25452.6"/>
    <n v="26474.521889999996"/>
    <n v="26474.521889999996"/>
    <n v="26693.761889999998"/>
    <m/>
    <n v="0"/>
    <n v="49310.249993999998"/>
    <n v="154548.24999400001"/>
    <m/>
    <m/>
    <m/>
    <s v="1 - LSC_INS - Perez, Daniel"/>
  </r>
  <r>
    <n v="435"/>
    <s v="HCFA"/>
    <x v="338"/>
    <s v="MATH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30-00-170100-51100"/>
    <x v="1"/>
    <s v="330"/>
    <s v="00"/>
    <s v="170100"/>
    <s v="51100"/>
    <x v="1"/>
    <n v="20057.137199999997"/>
    <m/>
    <m/>
    <n v="1718.8445000000002"/>
    <n v="1458.0543"/>
    <n v="2241.3732279999999"/>
    <n v="140.04"/>
    <n v="140.04"/>
    <n v="79.2"/>
    <n v="79.2"/>
    <n v="33443.96"/>
    <n v="34786.734993999999"/>
    <n v="34786.734993999999"/>
    <n v="35005.974993999997"/>
    <m/>
    <n v="0"/>
    <n v="60481.384221999993"/>
    <n v="179022.38422199999"/>
    <m/>
    <m/>
    <m/>
    <s v="1 - MATH_INS - Perkins, Gregory S"/>
  </r>
  <r>
    <n v="436"/>
    <s v="HCFA"/>
    <x v="339"/>
    <s v="ENG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75-00-150100-51100"/>
    <x v="1"/>
    <s v="375"/>
    <s v="00"/>
    <s v="150100"/>
    <s v="51100"/>
    <x v="1"/>
    <n v="18969.011999999999"/>
    <m/>
    <m/>
    <n v="1625.595"/>
    <n v="1378.953"/>
    <n v="2119.7758800000001"/>
    <n v="140.04"/>
    <n v="140.04"/>
    <n v="79.2"/>
    <n v="79.2"/>
    <n v="33443.96"/>
    <n v="34786.734993999999"/>
    <n v="34786.734993999999"/>
    <n v="35005.974993999997"/>
    <m/>
    <n v="0"/>
    <n v="59099.310874000003"/>
    <n v="171209.31087400002"/>
    <m/>
    <m/>
    <m/>
    <s v="1 - ENG_INS - Petersen, Daniel L"/>
  </r>
  <r>
    <n v="437"/>
    <s v="HCFA"/>
    <x v="340"/>
    <s v="ENG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100-51100"/>
    <x v="1"/>
    <s v="375"/>
    <s v="00"/>
    <s v="150100"/>
    <s v="51100"/>
    <x v="1"/>
    <n v="14826.3192"/>
    <m/>
    <m/>
    <n v="1270.577"/>
    <n v="1077.7998"/>
    <n v="1656.8324080000002"/>
    <n v="140.04"/>
    <n v="140.04"/>
    <n v="79.2"/>
    <n v="79.2"/>
    <n v="23232"/>
    <n v="24164.764800000001"/>
    <n v="24164.764800000001"/>
    <n v="24384.004800000002"/>
    <n v="2400"/>
    <n v="2400"/>
    <n v="45615.533208000001"/>
    <n v="133241.53320800001"/>
    <m/>
    <m/>
    <m/>
    <s v="1 - ENG_INS - Plumb, Meagan B"/>
  </r>
  <r>
    <n v="438"/>
    <s v="HCFA"/>
    <x v="341"/>
    <s v="MATH_INS"/>
    <n v="100"/>
    <d v="2021-07-01T00:00:00"/>
    <s v="E"/>
    <n v="14"/>
    <m/>
    <m/>
    <n v="109926"/>
    <n v="109926"/>
    <m/>
    <m/>
    <m/>
    <m/>
    <m/>
    <m/>
    <m/>
    <m/>
    <m/>
    <n v="109926"/>
    <n v="1"/>
    <n v="109926"/>
    <s v="11-330-00-170100-51100"/>
    <x v="1"/>
    <s v="330"/>
    <s v="00"/>
    <s v="170100"/>
    <s v="51100"/>
    <x v="1"/>
    <n v="18599.479199999998"/>
    <m/>
    <m/>
    <n v="1593.9270000000001"/>
    <n v="1352.0898"/>
    <n v="2078.4808080000003"/>
    <n v="140.04"/>
    <n v="140.04"/>
    <n v="79.2"/>
    <n v="79.2"/>
    <n v="23232"/>
    <n v="24164.764800000001"/>
    <n v="24164.764800000001"/>
    <n v="24384.004800000002"/>
    <n v="2400"/>
    <n v="2400"/>
    <n v="50407.981608000002"/>
    <n v="160333.981608"/>
    <m/>
    <m/>
    <m/>
    <s v="1 - MATH_INS - Rayappan, Sagayamary V"/>
  </r>
  <r>
    <n v="439"/>
    <s v="HCFA"/>
    <x v="342"/>
    <s v="COU_CLWK"/>
    <n v="100"/>
    <d v="2021-07-01T00:00:00"/>
    <s v="E"/>
    <n v="11"/>
    <m/>
    <m/>
    <n v="106664"/>
    <n v="106664"/>
    <m/>
    <m/>
    <m/>
    <m/>
    <m/>
    <m/>
    <m/>
    <m/>
    <m/>
    <n v="106664"/>
    <n v="0.65"/>
    <n v="69331.600000000006"/>
    <s v="12-400-00-704700-51200"/>
    <x v="0"/>
    <s v="400"/>
    <s v="00"/>
    <s v="704700"/>
    <s v="51200"/>
    <x v="1"/>
    <n v="11730.906720000001"/>
    <m/>
    <m/>
    <n v="1005.3082000000002"/>
    <n v="852.77868000000012"/>
    <n v="1310.9218928000003"/>
    <n v="140.04"/>
    <n v="91.025999999999996"/>
    <n v="79.2"/>
    <n v="51.480000000000004"/>
    <n v="17423.89"/>
    <n v="18123.459183499999"/>
    <n v="11780.248469275"/>
    <n v="11922.754469275"/>
    <n v="2400"/>
    <n v="1560"/>
    <n v="28382.669962075001"/>
    <n v="97714.269962075006"/>
    <s v="Romero Jalomo"/>
    <s v="Paul Casey"/>
    <s v="California Work Opportunity and Responsibility to Kids (CalWORKs)"/>
    <s v="0.65 - COU_CLWK - Reyes, Nancy V"/>
  </r>
  <r>
    <n v="440"/>
    <s v="HCFA"/>
    <x v="342"/>
    <s v="COU_CLWK"/>
    <n v="100"/>
    <d v="2021-07-01T00:00:00"/>
    <s v="E"/>
    <n v="11"/>
    <m/>
    <m/>
    <n v="106664"/>
    <n v="106664"/>
    <m/>
    <m/>
    <m/>
    <m/>
    <m/>
    <m/>
    <m/>
    <m/>
    <m/>
    <n v="106664"/>
    <n v="0.35"/>
    <n v="37332.399999999994"/>
    <s v="12-400-00-705500-51200"/>
    <x v="0"/>
    <s v="400"/>
    <s v="00"/>
    <s v="705500"/>
    <s v="51200"/>
    <x v="1"/>
    <n v="6316.6420799999987"/>
    <m/>
    <m/>
    <n v="541.31979999999999"/>
    <n v="459.18851999999993"/>
    <n v="705.88101919999997"/>
    <n v="140.04"/>
    <n v="49.013999999999996"/>
    <n v="79.2"/>
    <n v="27.72"/>
    <n v="17423.89"/>
    <n v="18123.459183499999"/>
    <n v="6343.2107142249997"/>
    <n v="6419.9447142250001"/>
    <n v="2400"/>
    <n v="840"/>
    <n v="15282.976133425"/>
    <n v="52615.376133424994"/>
    <s v="Romero Jalomo"/>
    <s v="Paul Casey"/>
    <s v="Temporary Assistance for Needy Families (TANF)"/>
    <s v="0.35 - COU_CLWK - Reyes, Nancy V"/>
  </r>
  <r>
    <n v="441"/>
    <s v="HCFA"/>
    <x v="343"/>
    <s v="HI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10-00-220500-51100"/>
    <x v="1"/>
    <s v="310"/>
    <s v="00"/>
    <s v="220500"/>
    <s v="51100"/>
    <x v="1"/>
    <n v="18969.011999999999"/>
    <m/>
    <m/>
    <n v="1625.595"/>
    <n v="1378.953"/>
    <n v="2119.7758800000001"/>
    <n v="140.04"/>
    <n v="140.04"/>
    <n v="79.2"/>
    <n v="79.2"/>
    <n v="13152.04"/>
    <n v="13680.094406"/>
    <n v="13680.094406"/>
    <n v="13899.334406"/>
    <m/>
    <n v="0"/>
    <n v="37992.670286000008"/>
    <n v="150102.67028600001"/>
    <m/>
    <m/>
    <m/>
    <s v="1 - HIS_INS - Riley, Ann"/>
  </r>
  <r>
    <n v="442"/>
    <s v="HCFA"/>
    <x v="344"/>
    <s v="MATH_INS"/>
    <n v="1"/>
    <d v="2021-07-01T00:00:00"/>
    <s v="D"/>
    <n v="20"/>
    <m/>
    <m/>
    <n v="118541"/>
    <n v="118541"/>
    <m/>
    <m/>
    <m/>
    <m/>
    <m/>
    <m/>
    <m/>
    <m/>
    <m/>
    <n v="118541"/>
    <n v="0.66600000000000004"/>
    <n v="78948.306000000011"/>
    <s v="11-330-00-170100-51100"/>
    <x v="1"/>
    <s v="330"/>
    <s v="00"/>
    <s v="170100"/>
    <s v="51100"/>
    <x v="1"/>
    <n v="13358.053375200001"/>
    <m/>
    <m/>
    <n v="1144.7504370000001"/>
    <n v="971.06416380000019"/>
    <n v="1492.7545698480003"/>
    <n v="140.04"/>
    <n v="93.266639999999995"/>
    <n v="79.2"/>
    <n v="52.747200000000007"/>
    <n v="25452.57"/>
    <n v="26474.490685500001"/>
    <n v="17632.010796543"/>
    <n v="17778.024636542999"/>
    <m/>
    <n v="0"/>
    <n v="34744.647182391003"/>
    <n v="113692.95318239101"/>
    <m/>
    <m/>
    <m/>
    <s v="0.666 - MATH_INS - VACANT (Riley, James A)"/>
  </r>
  <r>
    <n v="443"/>
    <s v="HCFA"/>
    <x v="345"/>
    <s v="ETHNIC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10-00-220210-51100"/>
    <x v="1"/>
    <s v="310"/>
    <s v="00"/>
    <s v="220210"/>
    <s v="51100"/>
    <x v="1"/>
    <n v="20057.137199999997"/>
    <m/>
    <m/>
    <n v="1718.8445000000002"/>
    <n v="1458.0543"/>
    <n v="2241.3732279999999"/>
    <n v="140.04"/>
    <n v="140.04"/>
    <n v="79.2"/>
    <n v="79.2"/>
    <n v="33443.96"/>
    <n v="34786.734993999999"/>
    <n v="34786.734993999999"/>
    <n v="35005.974993999997"/>
    <m/>
    <n v="0"/>
    <n v="60481.384221999993"/>
    <n v="179022.38422199999"/>
    <m/>
    <m/>
    <m/>
    <s v="1 - ETHNIC_INS - Rocha, Hermelinda"/>
  </r>
  <r>
    <n v="444"/>
    <s v="HCFA"/>
    <x v="346"/>
    <s v="COU_SSSP"/>
    <n v="100"/>
    <d v="2021-07-01T00:00:00"/>
    <s v="B"/>
    <n v="8"/>
    <m/>
    <m/>
    <n v="86272"/>
    <n v="86272"/>
    <m/>
    <m/>
    <m/>
    <m/>
    <m/>
    <m/>
    <m/>
    <m/>
    <m/>
    <n v="86272"/>
    <n v="1"/>
    <n v="86272"/>
    <s v="12-400-00-700400-51200"/>
    <x v="0"/>
    <s v="400"/>
    <s v="00"/>
    <s v="700400"/>
    <s v="51200"/>
    <x v="1"/>
    <n v="14597.222399999999"/>
    <m/>
    <m/>
    <n v="1250.944"/>
    <n v="1061.1456000000001"/>
    <n v="1631.2309760000001"/>
    <n v="140.04"/>
    <n v="140.04"/>
    <n v="79.2"/>
    <n v="79.2"/>
    <n v="23232"/>
    <n v="24164.764800000001"/>
    <n v="24164.764800000001"/>
    <n v="24384.004800000002"/>
    <n v="2400"/>
    <n v="2400"/>
    <n v="45324.547775999999"/>
    <n v="131596.54777599999"/>
    <s v="Romero Jalomo"/>
    <s v="Carla Johnson"/>
    <s v="Student Success &amp; Support Program (SSSP)"/>
    <s v="1 - COU_SSSP - Rodriguez, Heather T"/>
  </r>
  <r>
    <n v="445"/>
    <s v="HCFA"/>
    <x v="347"/>
    <s v="ART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10-00-100200-51100"/>
    <x v="1"/>
    <s v="310"/>
    <s v="00"/>
    <s v="100200"/>
    <s v="51100"/>
    <x v="1"/>
    <n v="15475.3704"/>
    <m/>
    <m/>
    <n v="1326.1990000000001"/>
    <n v="1124.9826"/>
    <n v="1729.3634960000002"/>
    <n v="140.04"/>
    <n v="140.04"/>
    <n v="79.2"/>
    <n v="79.2"/>
    <n v="17392.099999999999"/>
    <n v="18090.392814999999"/>
    <n v="18090.392814999999"/>
    <n v="18309.632815000001"/>
    <n v="2400"/>
    <n v="2400"/>
    <n v="40365.548311000006"/>
    <n v="131827.54831099999"/>
    <m/>
    <m/>
    <m/>
    <s v="1 - ART_INS - Rodriguez, Lesha M"/>
  </r>
  <r>
    <n v="446"/>
    <s v="HCFA"/>
    <x v="348"/>
    <s v="DSLTEC_INS"/>
    <n v="100"/>
    <d v="2021-07-01T00:00:00"/>
    <s v="A"/>
    <n v="19"/>
    <m/>
    <m/>
    <n v="99251"/>
    <n v="99251"/>
    <m/>
    <m/>
    <m/>
    <m/>
    <m/>
    <m/>
    <m/>
    <m/>
    <m/>
    <n v="99251"/>
    <n v="1"/>
    <n v="99251"/>
    <s v="11-350-01-094700-51100"/>
    <x v="1"/>
    <s v="350"/>
    <s v="01"/>
    <s v="094700"/>
    <s v="51100"/>
    <x v="1"/>
    <n v="16793.269199999999"/>
    <m/>
    <m/>
    <n v="1439.1395"/>
    <n v="1220.7873"/>
    <n v="1876.6379080000002"/>
    <n v="140.04"/>
    <n v="140.04"/>
    <n v="79.2"/>
    <n v="79.2"/>
    <n v="780.01"/>
    <n v="811.32740149999995"/>
    <n v="811.32740149999995"/>
    <n v="1030.5674015"/>
    <n v="2400"/>
    <n v="2400"/>
    <n v="24760.401309500001"/>
    <n v="124011.4013095"/>
    <m/>
    <m/>
    <m/>
    <s v="1 - DSLTEC_INS - Rodriquez, Valentin Rico"/>
  </r>
  <r>
    <n v="447"/>
    <s v="HCFA"/>
    <x v="349"/>
    <s v="AG_INS"/>
    <n v="100"/>
    <d v="2021-07-01T00:00:00"/>
    <s v="E"/>
    <n v="4"/>
    <m/>
    <m/>
    <n v="79837"/>
    <n v="79837"/>
    <m/>
    <m/>
    <m/>
    <m/>
    <m/>
    <m/>
    <m/>
    <m/>
    <m/>
    <n v="79837"/>
    <n v="1"/>
    <n v="79837"/>
    <s v="11-350-01-010100-51100"/>
    <x v="1"/>
    <s v="350"/>
    <s v="01"/>
    <s v="010100"/>
    <s v="51100"/>
    <x v="1"/>
    <n v="13508.420399999999"/>
    <m/>
    <m/>
    <n v="1157.6365000000001"/>
    <n v="981.99509999999998"/>
    <n v="1509.557996"/>
    <n v="140.04"/>
    <n v="140.04"/>
    <n v="79.2"/>
    <n v="79.2"/>
    <n v="13152.04"/>
    <n v="13680.094406"/>
    <n v="13680.094406"/>
    <n v="13899.334406"/>
    <m/>
    <n v="0"/>
    <n v="31056.944402000001"/>
    <n v="110893.94440199999"/>
    <m/>
    <m/>
    <m/>
    <s v="1 - AG_INS - Rustad, Emily K"/>
  </r>
  <r>
    <n v="448"/>
    <s v="HCFA"/>
    <x v="350"/>
    <s v="ANT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10-00-220200-51100"/>
    <x v="1"/>
    <s v="310"/>
    <s v="00"/>
    <s v="220200"/>
    <s v="51100"/>
    <x v="1"/>
    <n v="20635.970399999998"/>
    <m/>
    <m/>
    <n v="1768.4490000000001"/>
    <n v="1500.1325999999999"/>
    <n v="2306.0574960000004"/>
    <n v="140.04"/>
    <n v="140.04"/>
    <n v="79.2"/>
    <n v="79.2"/>
    <n v="33444"/>
    <n v="34786.776599999997"/>
    <n v="34786.776599999997"/>
    <n v="35006.016599999995"/>
    <m/>
    <n v="0"/>
    <n v="61216.626096"/>
    <n v="183178.62609599999"/>
    <m/>
    <m/>
    <m/>
    <s v="1 - ANTH_INS - Sanchez, Jorge"/>
  </r>
  <r>
    <n v="449"/>
    <s v="HCFA"/>
    <x v="351"/>
    <s v="NRS_INS"/>
    <n v="100"/>
    <d v="2021-07-01T00:00:00"/>
    <s v="B"/>
    <n v="20"/>
    <m/>
    <m/>
    <n v="117266"/>
    <n v="117266"/>
    <m/>
    <m/>
    <m/>
    <m/>
    <m/>
    <m/>
    <m/>
    <m/>
    <m/>
    <n v="117266"/>
    <n v="1"/>
    <n v="117266"/>
    <s v="11-335-00-120320-51100"/>
    <x v="1"/>
    <s v="335"/>
    <s v="00"/>
    <s v="120320"/>
    <s v="51100"/>
    <x v="1"/>
    <n v="19841.407199999998"/>
    <m/>
    <m/>
    <n v="1700.3570000000002"/>
    <n v="1442.3718000000001"/>
    <n v="2217.2655280000004"/>
    <n v="140.04"/>
    <n v="140.04"/>
    <n v="79.2"/>
    <n v="79.2"/>
    <n v="33443.96"/>
    <n v="34786.734993999999"/>
    <n v="34786.734993999999"/>
    <n v="35005.974993999997"/>
    <m/>
    <n v="0"/>
    <n v="60207.376521999999"/>
    <n v="177473.37652200001"/>
    <m/>
    <m/>
    <m/>
    <s v="1 - NRS_INS - Schur Beymer, Nancy"/>
  </r>
  <r>
    <n v="450"/>
    <s v="HCFA"/>
    <x v="352"/>
    <s v="PHILO_INS"/>
    <n v="100"/>
    <d v="2021-07-01T00:00:00"/>
    <s v="E"/>
    <n v="7"/>
    <m/>
    <m/>
    <n v="88864"/>
    <n v="88864"/>
    <m/>
    <m/>
    <m/>
    <m/>
    <m/>
    <m/>
    <m/>
    <m/>
    <m/>
    <n v="88864"/>
    <n v="1"/>
    <n v="88864"/>
    <s v="11-310-00-150900-51100"/>
    <x v="1"/>
    <s v="310"/>
    <s v="00"/>
    <s v="150900"/>
    <s v="51100"/>
    <x v="1"/>
    <n v="15035.788799999998"/>
    <m/>
    <m/>
    <n v="1288.528"/>
    <n v="1093.0272"/>
    <n v="1680.2405120000001"/>
    <n v="140.04"/>
    <n v="140.04"/>
    <n v="79.2"/>
    <n v="79.2"/>
    <n v="25452.57"/>
    <n v="26474.490685500001"/>
    <n v="26474.490685500001"/>
    <n v="26693.730685500002"/>
    <m/>
    <n v="0"/>
    <n v="45791.3151975"/>
    <n v="134655.31519749999"/>
    <m/>
    <m/>
    <m/>
    <s v="1 - PHILO_INS - Soto, Andrew C"/>
  </r>
  <r>
    <n v="451"/>
    <s v="HCFA"/>
    <x v="353"/>
    <s v="LIBRAR"/>
    <n v="100"/>
    <d v="2021-07-01T00:00:00"/>
    <s v="C"/>
    <n v="15"/>
    <m/>
    <m/>
    <n v="106092"/>
    <n v="106092"/>
    <m/>
    <m/>
    <m/>
    <m/>
    <m/>
    <m/>
    <m/>
    <m/>
    <m/>
    <n v="106092"/>
    <n v="0.3"/>
    <n v="31827.599999999999"/>
    <s v="11-360-00-160100-51100"/>
    <x v="1"/>
    <s v="360"/>
    <s v="00"/>
    <s v="160100"/>
    <s v="51100"/>
    <x v="1"/>
    <m/>
    <n v="7291.70316"/>
    <n v="1973.3111999999999"/>
    <n v="461.50020000000001"/>
    <n v="391.47947999999997"/>
    <n v="601.79626080000003"/>
    <n v="140.04"/>
    <n v="42.011999999999993"/>
    <n v="79.2"/>
    <n v="23.76"/>
    <n v="25452.57"/>
    <n v="26474.490685500001"/>
    <n v="7942.3472056499995"/>
    <n v="8008.1192056499995"/>
    <m/>
    <n v="0"/>
    <n v="18727.90950645"/>
    <n v="50555.509506449998"/>
    <m/>
    <m/>
    <m/>
    <s v="0.3 - LIBRAR - Stephens, Deborah L"/>
  </r>
  <r>
    <n v="452"/>
    <s v="HCFA"/>
    <x v="353"/>
    <s v="LIBRAR"/>
    <n v="100"/>
    <d v="2021-07-01T00:00:00"/>
    <s v="C"/>
    <n v="15"/>
    <m/>
    <m/>
    <n v="106092"/>
    <n v="106092"/>
    <m/>
    <m/>
    <m/>
    <m/>
    <m/>
    <m/>
    <m/>
    <m/>
    <m/>
    <n v="106092"/>
    <n v="0.7"/>
    <n v="74264.399999999994"/>
    <s v="11-360-00-612000-51200"/>
    <x v="1"/>
    <s v="360"/>
    <s v="00"/>
    <s v="612000"/>
    <s v="51200"/>
    <x v="1"/>
    <m/>
    <n v="17013.974039999997"/>
    <n v="4604.3927999999996"/>
    <n v="1076.8337999999999"/>
    <n v="913.45211999999992"/>
    <n v="1404.1912752000001"/>
    <n v="140.04"/>
    <n v="98.027999999999992"/>
    <n v="79.2"/>
    <n v="55.44"/>
    <n v="25452.57"/>
    <n v="26474.490685500001"/>
    <n v="18532.143479849998"/>
    <n v="18685.611479849998"/>
    <m/>
    <n v="0"/>
    <n v="43698.455515049995"/>
    <n v="117962.85551504999"/>
    <m/>
    <m/>
    <m/>
    <s v="0.7 - LIBRAR - Stephens, Deborah L"/>
  </r>
  <r>
    <n v="453"/>
    <s v="HCFA"/>
    <x v="354"/>
    <s v="ADJ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50-00-210500-51100"/>
    <x v="1"/>
    <s v="350"/>
    <s v="00"/>
    <s v="21050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m/>
    <m/>
    <m/>
    <s v="1 - ADJ_INS - Storm, Lisa M"/>
  </r>
  <r>
    <n v="454"/>
    <s v="HCFA"/>
    <x v="355"/>
    <s v="NRS_INS"/>
    <n v="100"/>
    <d v="2021-07-01T00:00:00"/>
    <s v="C"/>
    <n v="18"/>
    <m/>
    <m/>
    <n v="124923"/>
    <n v="124923"/>
    <m/>
    <m/>
    <m/>
    <m/>
    <m/>
    <m/>
    <m/>
    <m/>
    <m/>
    <n v="124923"/>
    <n v="1"/>
    <n v="124923"/>
    <s v="11-335-00-120300-51100"/>
    <x v="1"/>
    <s v="335"/>
    <s v="00"/>
    <s v="120300"/>
    <s v="51100"/>
    <x v="1"/>
    <n v="21136.971599999997"/>
    <m/>
    <m/>
    <n v="1811.3835000000001"/>
    <n v="1536.5528999999999"/>
    <n v="2362.0440840000001"/>
    <n v="140.04"/>
    <n v="140.04"/>
    <n v="79.2"/>
    <n v="79.2"/>
    <n v="33443.96"/>
    <n v="34786.734993999999"/>
    <n v="34786.734993999999"/>
    <n v="35005.974993999997"/>
    <m/>
    <n v="0"/>
    <n v="61852.927077999993"/>
    <n v="186775.92707799998"/>
    <m/>
    <m/>
    <m/>
    <s v="1 - NRS_INS - Sullinger, Seaneen S"/>
  </r>
  <r>
    <n v="455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7"/>
    <n v="73666.599999999991"/>
    <s v="11-330-00-070100-51100"/>
    <x v="1"/>
    <s v="330"/>
    <s v="00"/>
    <s v="070100"/>
    <s v="51100"/>
    <x v="1"/>
    <n v="12464.388719999997"/>
    <m/>
    <m/>
    <n v="1068.1657"/>
    <n v="906.09917999999993"/>
    <n v="1392.8880727999999"/>
    <n v="140.04"/>
    <n v="98.027999999999992"/>
    <n v="79.2"/>
    <n v="55.44"/>
    <n v="25452.57"/>
    <n v="26474.490685500001"/>
    <n v="18532.143479849998"/>
    <n v="18685.611479849998"/>
    <m/>
    <n v="0"/>
    <n v="34517.153152649997"/>
    <n v="108183.75315265"/>
    <m/>
    <m/>
    <m/>
    <s v="0.7 - CSS_INS - Svendsen, Christine S"/>
  </r>
  <r>
    <n v="456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1"/>
    <n v="10523.800000000001"/>
    <s v="11-300-00-675020-51200"/>
    <x v="1"/>
    <s v="300"/>
    <s v="00"/>
    <s v="675020"/>
    <s v="51200"/>
    <x v="1"/>
    <n v="1780.6269600000001"/>
    <m/>
    <m/>
    <n v="152.59510000000003"/>
    <n v="129.44274000000001"/>
    <n v="198.98401040000005"/>
    <n v="140.04"/>
    <n v="14.004"/>
    <n v="79.2"/>
    <n v="7.9200000000000008"/>
    <n v="25452.57"/>
    <n v="26474.490685500001"/>
    <n v="2647.4490685500004"/>
    <n v="2669.3730685500004"/>
    <m/>
    <n v="0"/>
    <n v="4931.0218789500004"/>
    <n v="15454.821878950002"/>
    <m/>
    <m/>
    <m/>
    <s v="0.1 - CSS_INS - Svendsen, Christine S"/>
  </r>
  <r>
    <n v="456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0-070100-51200"/>
    <x v="1"/>
    <s v="330"/>
    <s v="00"/>
    <s v="070100"/>
    <s v="51200"/>
    <x v="1"/>
    <n v="3561.2539200000001"/>
    <m/>
    <m/>
    <n v="305.19020000000006"/>
    <n v="258.88548000000003"/>
    <n v="397.96802080000009"/>
    <n v="140.04"/>
    <n v="28.007999999999999"/>
    <n v="79.2"/>
    <n v="15.840000000000002"/>
    <n v="25452.57"/>
    <n v="26474.490685500001"/>
    <n v="5294.8981371000009"/>
    <n v="5338.7461371000009"/>
    <m/>
    <n v="0"/>
    <n v="9862.0437579000009"/>
    <n v="30909.643757900005"/>
    <m/>
    <m/>
    <m/>
    <s v="0.2 - CSS_INS - Svendsen, Christine S"/>
  </r>
  <r>
    <n v="457"/>
    <s v="HCFA"/>
    <x v="357"/>
    <s v="COU_GEN"/>
    <n v="100"/>
    <d v="2021-07-01T00:00:00"/>
    <s v="E"/>
    <n v="20"/>
    <m/>
    <m/>
    <n v="128931"/>
    <n v="128931"/>
    <m/>
    <m/>
    <m/>
    <m/>
    <m/>
    <m/>
    <m/>
    <m/>
    <m/>
    <n v="128931"/>
    <n v="1"/>
    <n v="128931"/>
    <s v="11-400-00-631000-51200"/>
    <x v="1"/>
    <s v="400"/>
    <s v="00"/>
    <s v="631000"/>
    <s v="51200"/>
    <x v="1"/>
    <n v="21815.125199999999"/>
    <m/>
    <m/>
    <n v="1869.4995000000001"/>
    <n v="1585.8513"/>
    <n v="2437.8273480000003"/>
    <n v="140.04"/>
    <n v="140.04"/>
    <n v="79.2"/>
    <n v="79.2"/>
    <n v="33443.96"/>
    <n v="34786.734993999999"/>
    <n v="34786.734993999999"/>
    <n v="35005.974993999997"/>
    <m/>
    <n v="0"/>
    <n v="62714.278341999998"/>
    <n v="191645.27834200001"/>
    <m/>
    <m/>
    <m/>
    <s v="1 - COU_GEN - Szamos, Aron"/>
  </r>
  <r>
    <n v="458"/>
    <s v="HCFA"/>
    <x v="358"/>
    <s v="ENG_INS"/>
    <n v="100"/>
    <d v="2021-07-01T00:00:00"/>
    <s v="D"/>
    <n v="20"/>
    <m/>
    <m/>
    <n v="118541"/>
    <n v="118541"/>
    <m/>
    <m/>
    <m/>
    <m/>
    <m/>
    <m/>
    <m/>
    <m/>
    <m/>
    <n v="118541"/>
    <n v="0.6"/>
    <n v="71124.599999999991"/>
    <s v="11-375-00-150100-51100"/>
    <x v="1"/>
    <s v="375"/>
    <s v="00"/>
    <s v="150100"/>
    <s v="51100"/>
    <x v="1"/>
    <n v="12034.282319999998"/>
    <m/>
    <m/>
    <n v="1031.3066999999999"/>
    <n v="874.83257999999989"/>
    <n v="1344.8239368"/>
    <n v="140.04"/>
    <n v="84.023999999999987"/>
    <n v="79.2"/>
    <n v="47.52"/>
    <n v="25452.57"/>
    <n v="26474.490685500001"/>
    <n v="15884.694411299999"/>
    <n v="16016.238411299999"/>
    <m/>
    <n v="0"/>
    <n v="31301.483948099994"/>
    <n v="102426.08394809999"/>
    <m/>
    <m/>
    <m/>
    <s v="0.6 - ENG_INS - Teutsch, Maria G"/>
  </r>
  <r>
    <n v="459"/>
    <s v="HCFA"/>
    <x v="359"/>
    <s v="NRS_INS"/>
    <n v="100"/>
    <d v="2021-07-01T00:00:00"/>
    <s v="B"/>
    <n v="17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9357.495199999998"/>
    <m/>
    <m/>
    <n v="1658.8870000000002"/>
    <n v="1407.1938"/>
    <n v="2163.1886480000003"/>
    <n v="140.04"/>
    <n v="140.04"/>
    <n v="79.2"/>
    <n v="79.2"/>
    <n v="25452.57"/>
    <n v="26474.490685500001"/>
    <n v="26474.490685500001"/>
    <n v="26693.730685500002"/>
    <m/>
    <n v="0"/>
    <n v="51280.495333500003"/>
    <n v="165686.4953335"/>
    <m/>
    <m/>
    <m/>
    <s v="1 - NRS_INS - Thorpe, Deborah M"/>
  </r>
  <r>
    <n v="460"/>
    <s v="HCFA"/>
    <x v="360"/>
    <s v="COU_SSSP"/>
    <n v="100"/>
    <d v="2021-07-01T00:00:00"/>
    <s v="C"/>
    <n v="8"/>
    <m/>
    <m/>
    <n v="89890"/>
    <n v="89890"/>
    <m/>
    <m/>
    <m/>
    <m/>
    <m/>
    <m/>
    <m/>
    <m/>
    <m/>
    <n v="89890"/>
    <n v="1"/>
    <n v="89890"/>
    <s v="12-400-00-700400-51200"/>
    <x v="0"/>
    <s v="400"/>
    <s v="00"/>
    <s v="700400"/>
    <s v="51200"/>
    <x v="1"/>
    <n v="15209.387999999999"/>
    <m/>
    <m/>
    <n v="1303.405"/>
    <n v="1105.6469999999999"/>
    <n v="1699.64012"/>
    <n v="140.04"/>
    <n v="140.04"/>
    <n v="79.2"/>
    <n v="79.2"/>
    <n v="13152"/>
    <n v="13680.052799999999"/>
    <n v="13680.052799999999"/>
    <n v="13899.292799999999"/>
    <m/>
    <n v="0"/>
    <n v="33217.372920000002"/>
    <n v="123107.37291999999"/>
    <s v="Romero Jalomo"/>
    <s v="Carla Johnson"/>
    <s v="Student Success &amp; Support Program (SSSP)"/>
    <s v="1 - COU_SSSP - Torres, Joel"/>
  </r>
  <r>
    <n v="461"/>
    <s v="HCFA"/>
    <x v="361"/>
    <s v="AG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50-01-010100-51100"/>
    <x v="1"/>
    <s v="350"/>
    <s v="01"/>
    <s v="010100"/>
    <s v="51100"/>
    <x v="1"/>
    <n v="19617.7248"/>
    <m/>
    <m/>
    <n v="1681.1880000000001"/>
    <n v="1426.1112000000001"/>
    <n v="2192.2691520000003"/>
    <n v="140.04"/>
    <n v="140.04"/>
    <n v="79.2"/>
    <n v="79.2"/>
    <n v="33443.96"/>
    <n v="34786.734993999999"/>
    <n v="34786.734993999999"/>
    <n v="35005.974993999997"/>
    <m/>
    <n v="0"/>
    <n v="59923.268146000002"/>
    <n v="175867.26814599999"/>
    <m/>
    <m/>
    <m/>
    <s v="1 - AG_INS - Triano, Steven R"/>
  </r>
  <r>
    <n v="462"/>
    <s v="HCFA"/>
    <x v="362"/>
    <s v="COU_VET"/>
    <n v="100"/>
    <d v="2021-07-01T00:00:00"/>
    <s v="C"/>
    <n v="11"/>
    <m/>
    <m/>
    <n v="99431"/>
    <n v="99431"/>
    <m/>
    <m/>
    <m/>
    <m/>
    <m/>
    <m/>
    <m/>
    <m/>
    <m/>
    <n v="99431"/>
    <n v="0.31"/>
    <n v="30823.61"/>
    <s v="11-420-00-648000-51200"/>
    <x v="1"/>
    <s v="420"/>
    <s v="00"/>
    <s v="648000"/>
    <s v="51200"/>
    <x v="1"/>
    <n v="5215.3548119999996"/>
    <m/>
    <m/>
    <n v="446.94234500000005"/>
    <n v="379.130403"/>
    <n v="582.81281788000001"/>
    <n v="140.04"/>
    <n v="43.412399999999998"/>
    <n v="79.2"/>
    <n v="24.552"/>
    <n v="33443.96"/>
    <n v="34786.734993999999"/>
    <n v="10783.887848139999"/>
    <n v="10851.85224814"/>
    <m/>
    <n v="0"/>
    <n v="17476.092626019999"/>
    <n v="48299.70262602"/>
    <m/>
    <m/>
    <m/>
    <s v="0.31 - COU_VET - Uribe-Cruz, Gemma"/>
  </r>
  <r>
    <n v="463"/>
    <s v="HCFA"/>
    <x v="362"/>
    <s v="COU_VET"/>
    <n v="100"/>
    <d v="2021-07-01T00:00:00"/>
    <s v="C"/>
    <n v="11"/>
    <m/>
    <m/>
    <n v="99431"/>
    <n v="99431"/>
    <m/>
    <m/>
    <m/>
    <m/>
    <m/>
    <m/>
    <m/>
    <m/>
    <m/>
    <n v="99431"/>
    <n v="0.69"/>
    <n v="68607.39"/>
    <s v="12-365-00-700410-51200"/>
    <x v="0"/>
    <s v="365"/>
    <s v="00"/>
    <s v="700410"/>
    <s v="51200"/>
    <x v="1"/>
    <n v="11608.370387999999"/>
    <m/>
    <m/>
    <n v="994.80715500000008"/>
    <n v="843.87089700000001"/>
    <n v="1297.22853012"/>
    <n v="140.04"/>
    <n v="96.627599999999987"/>
    <n v="79.2"/>
    <n v="54.647999999999996"/>
    <n v="33443.96"/>
    <n v="34786.734993999999"/>
    <n v="24002.847145859996"/>
    <n v="24154.122745859997"/>
    <m/>
    <n v="0"/>
    <n v="38898.399715979998"/>
    <n v="107505.78971598"/>
    <s v="Cathryn Wilkinson"/>
    <s v="Jainesh Singh"/>
    <s v="Student Equity Program"/>
    <s v="0.69 - COU_VET - Uribe-Cruz, Gemma"/>
  </r>
  <r>
    <n v="464"/>
    <s v="HCFA"/>
    <x v="363"/>
    <s v="SPAN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1-375-00-110500-51100"/>
    <x v="1"/>
    <s v="375"/>
    <s v="00"/>
    <s v="110500"/>
    <s v="51100"/>
    <x v="1"/>
    <n v="13368.830399999999"/>
    <m/>
    <m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43674.072785999997"/>
    <n v="122686.072786"/>
    <m/>
    <m/>
    <m/>
    <s v="1 - SPAN_INS - VACANT (Vacaflor)"/>
  </r>
  <r>
    <n v="465"/>
    <s v="HCFA"/>
    <x v="364"/>
    <s v="COACH"/>
    <n v="100"/>
    <d v="2021-07-01T00:00:00"/>
    <s v="C"/>
    <n v="20"/>
    <m/>
    <m/>
    <n v="118516"/>
    <n v="118516"/>
    <m/>
    <m/>
    <m/>
    <m/>
    <m/>
    <m/>
    <m/>
    <m/>
    <m/>
    <n v="118516"/>
    <n v="0.8"/>
    <n v="94812.800000000003"/>
    <s v="11-320-00-083550-51100"/>
    <x v="1"/>
    <s v="320"/>
    <s v="00"/>
    <s v="083550"/>
    <s v="51100"/>
    <x v="1"/>
    <n v="16042.32576"/>
    <m/>
    <m/>
    <n v="1374.7856000000002"/>
    <n v="1166.1974400000001"/>
    <n v="1792.7204224000002"/>
    <n v="140.04"/>
    <n v="112.032"/>
    <n v="79.2"/>
    <n v="63.360000000000007"/>
    <n v="33443.96"/>
    <n v="34786.734993999999"/>
    <n v="27829.387995199999"/>
    <n v="28004.779995199999"/>
    <m/>
    <n v="0"/>
    <n v="48380.809217599999"/>
    <n v="143193.60921759999"/>
    <m/>
    <m/>
    <m/>
    <s v="0.8 - COACH - Vasher, Andrew M"/>
  </r>
  <r>
    <n v="466"/>
    <s v="HCFA"/>
    <x v="364"/>
    <s v="COACH"/>
    <n v="100"/>
    <d v="2021-07-01T00:00:00"/>
    <s v="C"/>
    <n v="20"/>
    <m/>
    <m/>
    <n v="118516"/>
    <n v="118516"/>
    <m/>
    <m/>
    <m/>
    <m/>
    <m/>
    <m/>
    <m/>
    <m/>
    <m/>
    <n v="118516"/>
    <n v="0.2"/>
    <n v="23703.200000000001"/>
    <s v="11-320-00-083550-51100"/>
    <x v="1"/>
    <s v="320"/>
    <s v="00"/>
    <s v="083550"/>
    <s v="51100"/>
    <x v="1"/>
    <n v="4010.5814399999999"/>
    <m/>
    <m/>
    <n v="343.69640000000004"/>
    <n v="291.54936000000004"/>
    <n v="448.18010560000005"/>
    <n v="140.04"/>
    <n v="28.007999999999999"/>
    <n v="79.2"/>
    <n v="15.840000000000002"/>
    <n v="33443.96"/>
    <n v="34786.734993999999"/>
    <n v="6957.3469987999997"/>
    <n v="7001.1949987999997"/>
    <m/>
    <n v="0"/>
    <n v="12095.2023044"/>
    <n v="35798.402304399999"/>
    <m/>
    <m/>
    <m/>
    <s v="0.2 - COACH - Vasher, Andrew M"/>
  </r>
  <r>
    <n v="467"/>
    <s v="HCFA"/>
    <x v="365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8969.011999999999"/>
    <m/>
    <m/>
    <n v="1625.595"/>
    <n v="1378.953"/>
    <n v="2119.7758800000001"/>
    <n v="140.04"/>
    <n v="140.04"/>
    <n v="79.2"/>
    <n v="79.2"/>
    <n v="33443.96"/>
    <n v="34786.734993999999"/>
    <n v="34786.734993999999"/>
    <n v="35005.974993999997"/>
    <m/>
    <n v="0"/>
    <n v="59099.310874000003"/>
    <n v="171209.31087400002"/>
    <m/>
    <m/>
    <m/>
    <s v="1 - MATH_INS - Vazquez, Senorina R"/>
  </r>
  <r>
    <n v="468"/>
    <s v="HCFA"/>
    <x v="366"/>
    <s v="ENG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7806.2696"/>
    <m/>
    <m/>
    <n v="1525.951"/>
    <n v="1294.4274"/>
    <n v="1989.8401040000001"/>
    <n v="140.04"/>
    <n v="140.04"/>
    <n v="79.2"/>
    <n v="79.2"/>
    <n v="25452.57"/>
    <n v="26474.490685500001"/>
    <n v="26474.490685500001"/>
    <n v="26693.730685500002"/>
    <m/>
    <n v="0"/>
    <n v="49310.218789500002"/>
    <n v="154548.21878950001"/>
    <m/>
    <m/>
    <m/>
    <s v="1 - ENG_INS - Waddy, Ron T"/>
  </r>
  <r>
    <n v="469"/>
    <s v="HCFA"/>
    <x v="367"/>
    <s v="SUSDES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50-01-095200-51100"/>
    <x v="1"/>
    <s v="350"/>
    <s v="01"/>
    <s v="095200"/>
    <s v="51100"/>
    <x v="1"/>
    <n v="18090.525599999997"/>
    <m/>
    <m/>
    <n v="1550.3110000000001"/>
    <n v="1315.0914"/>
    <n v="2021.6055440000002"/>
    <n v="140.04"/>
    <n v="140.04"/>
    <n v="79.2"/>
    <n v="79.2"/>
    <n v="0"/>
    <n v="0"/>
    <n v="0"/>
    <n v="219.24"/>
    <n v="2400"/>
    <n v="2400"/>
    <n v="25596.773544000003"/>
    <n v="132514.773544"/>
    <m/>
    <m/>
    <m/>
    <s v="1 - SUSDES_INS - Ward, Robert B"/>
  </r>
  <r>
    <m/>
    <s v="HCFA"/>
    <x v="368"/>
    <s v="COACH"/>
    <n v="100"/>
    <d v="2021-07-01T00:00:00"/>
    <s v="C"/>
    <n v="6"/>
    <m/>
    <m/>
    <n v="83528"/>
    <n v="83528"/>
    <m/>
    <m/>
    <m/>
    <m/>
    <m/>
    <m/>
    <m/>
    <m/>
    <m/>
    <n v="83528"/>
    <n v="0"/>
    <n v="0"/>
    <s v="11-320-00-083500-51100"/>
    <x v="1"/>
    <s v="320"/>
    <s v="00"/>
    <s v="083500"/>
    <s v="51100"/>
    <x v="1"/>
    <n v="0"/>
    <m/>
    <m/>
    <n v="0"/>
    <n v="0"/>
    <n v="0"/>
    <n v="140.04"/>
    <n v="0"/>
    <n v="79.2"/>
    <n v="0"/>
    <n v="25452.6"/>
    <n v="26474.521889999996"/>
    <n v="0"/>
    <n v="0"/>
    <n v="2400"/>
    <n v="0"/>
    <n v="0"/>
    <n v="0"/>
    <m/>
    <m/>
    <m/>
    <s v="0 - COACH - VACANT (WATT)"/>
  </r>
  <r>
    <m/>
    <s v="HCFA"/>
    <x v="368"/>
    <s v="COACH"/>
    <n v="100"/>
    <d v="2021-07-01T00:00:00"/>
    <s v="C"/>
    <n v="6"/>
    <m/>
    <m/>
    <n v="83528"/>
    <n v="83528"/>
    <m/>
    <m/>
    <m/>
    <m/>
    <m/>
    <m/>
    <m/>
    <m/>
    <m/>
    <n v="83528"/>
    <n v="0"/>
    <n v="0"/>
    <s v="11-320-00-083550-51100"/>
    <x v="1"/>
    <s v="320"/>
    <s v="00"/>
    <s v="083550"/>
    <s v="51100"/>
    <x v="1"/>
    <n v="0"/>
    <m/>
    <m/>
    <n v="0"/>
    <n v="0"/>
    <n v="0"/>
    <n v="140.04"/>
    <n v="0"/>
    <n v="79.2"/>
    <n v="0"/>
    <n v="25452.6"/>
    <n v="26474.521889999996"/>
    <n v="0"/>
    <n v="0"/>
    <n v="2400"/>
    <n v="0"/>
    <n v="0"/>
    <n v="0"/>
    <m/>
    <m/>
    <m/>
    <s v="0 - COACH - VACANT (WATT)"/>
  </r>
  <r>
    <n v="470"/>
    <s v="HCFA"/>
    <x v="369"/>
    <s v="ENG_INS"/>
    <n v="100"/>
    <d v="2021-07-01T00:00:00"/>
    <s v="B"/>
    <n v="15"/>
    <m/>
    <m/>
    <n v="102672"/>
    <n v="102672"/>
    <m/>
    <m/>
    <m/>
    <m/>
    <m/>
    <m/>
    <m/>
    <m/>
    <m/>
    <n v="102672"/>
    <n v="1"/>
    <n v="102672"/>
    <s v="11-375-00-150100-51100"/>
    <x v="1"/>
    <s v="375"/>
    <s v="00"/>
    <s v="150100"/>
    <s v="51100"/>
    <x v="1"/>
    <n v="17372.1024"/>
    <m/>
    <m/>
    <n v="1488.7440000000001"/>
    <n v="1262.8656000000001"/>
    <n v="1941.3221760000001"/>
    <n v="140.04"/>
    <n v="140.04"/>
    <n v="79.2"/>
    <n v="79.2"/>
    <n v="23232"/>
    <n v="24164.764800000001"/>
    <n v="24164.764800000001"/>
    <n v="24384.004800000002"/>
    <n v="2400"/>
    <n v="2400"/>
    <n v="48849.038976000003"/>
    <n v="151521.03897600001"/>
    <m/>
    <m/>
    <m/>
    <s v="1 - ENG_INS - Watson, Maya"/>
  </r>
  <r>
    <n v="471"/>
    <s v="HCFA"/>
    <x v="370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8969.011999999999"/>
    <m/>
    <m/>
    <n v="1625.595"/>
    <n v="1378.953"/>
    <n v="2119.7758800000001"/>
    <n v="140.04"/>
    <n v="140.04"/>
    <n v="79.2"/>
    <n v="79.2"/>
    <n v="13152.04"/>
    <n v="13680.094406"/>
    <n v="13680.094406"/>
    <n v="13899.334406"/>
    <m/>
    <n v="0"/>
    <n v="37992.670286000008"/>
    <n v="150102.67028600001"/>
    <m/>
    <m/>
    <m/>
    <s v="1 - MATH_INS - Weber, Mark F"/>
  </r>
  <r>
    <n v="472"/>
    <s v="HCFA"/>
    <x v="371"/>
    <s v="COU_SSSP"/>
    <n v="100"/>
    <d v="2021-07-01T00:00:00"/>
    <s v="C"/>
    <n v="7"/>
    <m/>
    <m/>
    <n v="86709"/>
    <n v="86709"/>
    <m/>
    <m/>
    <m/>
    <m/>
    <m/>
    <m/>
    <m/>
    <m/>
    <m/>
    <n v="86709"/>
    <n v="1"/>
    <n v="86709"/>
    <s v="12-400-00-700400-51200"/>
    <x v="0"/>
    <s v="400"/>
    <s v="00"/>
    <s v="700400"/>
    <s v="51200"/>
    <x v="1"/>
    <n v="14671.162799999998"/>
    <m/>
    <m/>
    <n v="1257.2805000000001"/>
    <n v="1066.5207"/>
    <n v="1639.493772"/>
    <n v="140.04"/>
    <n v="140.04"/>
    <n v="79.2"/>
    <n v="79.2"/>
    <n v="33443.96"/>
    <n v="34786.734993999999"/>
    <n v="34786.734993999999"/>
    <n v="35005.974993999997"/>
    <m/>
    <n v="0"/>
    <n v="53640.432765999998"/>
    <n v="140349.43276599998"/>
    <s v="Romero Jalomo"/>
    <s v="Carla Johnson"/>
    <s v="Student Success &amp; Support Program (SSSP)"/>
    <s v="1 - COU_SSSP - Wenger, Violeta M"/>
  </r>
  <r>
    <n v="473"/>
    <s v="HCFA"/>
    <x v="372"/>
    <s v="BIO_INS"/>
    <n v="100"/>
    <d v="2021-07-01T00:00:00"/>
    <s v="C"/>
    <n v="14"/>
    <m/>
    <m/>
    <n v="103084"/>
    <n v="103084"/>
    <m/>
    <m/>
    <m/>
    <m/>
    <m/>
    <m/>
    <m/>
    <m/>
    <m/>
    <n v="103084"/>
    <n v="1"/>
    <n v="103084"/>
    <s v="11-330-00-040110-51100"/>
    <x v="1"/>
    <s v="330"/>
    <s v="00"/>
    <s v="040110"/>
    <s v="51100"/>
    <x v="1"/>
    <n v="17441.8128"/>
    <m/>
    <m/>
    <n v="1494.7180000000001"/>
    <n v="1267.9331999999999"/>
    <n v="1949.1122720000001"/>
    <n v="140.04"/>
    <n v="140.04"/>
    <n v="79.2"/>
    <n v="79.2"/>
    <n v="23232"/>
    <n v="24164.764800000001"/>
    <n v="24164.764800000001"/>
    <n v="24384.004800000002"/>
    <n v="2400"/>
    <n v="2400"/>
    <n v="48937.581072000001"/>
    <n v="152021.581072"/>
    <m/>
    <m/>
    <m/>
    <s v="1 - BIO_INS - Wheat, Nancy C"/>
  </r>
  <r>
    <n v="474"/>
    <s v="HCFA"/>
    <x v="373"/>
    <s v="NRS_INS"/>
    <n v="100"/>
    <d v="2021-07-01T00:00:00"/>
    <s v="E"/>
    <n v="20"/>
    <m/>
    <m/>
    <n v="135900"/>
    <n v="135900"/>
    <m/>
    <m/>
    <m/>
    <m/>
    <m/>
    <m/>
    <m/>
    <m/>
    <m/>
    <n v="135900"/>
    <n v="1"/>
    <n v="135900"/>
    <s v="11-335-00-120300-51100"/>
    <x v="1"/>
    <s v="335"/>
    <s v="00"/>
    <s v="120300"/>
    <s v="51100"/>
    <x v="1"/>
    <n v="22994.28"/>
    <m/>
    <m/>
    <n v="1970.5500000000002"/>
    <n v="1671.57"/>
    <n v="2569.5972000000002"/>
    <n v="140.04"/>
    <n v="140.04"/>
    <n v="79.2"/>
    <n v="79.2"/>
    <n v="25452.57"/>
    <n v="26474.490685500001"/>
    <n v="26474.490685500001"/>
    <n v="26693.730685500002"/>
    <m/>
    <n v="0"/>
    <n v="55899.727885500004"/>
    <n v="191799.7278855"/>
    <m/>
    <m/>
    <m/>
    <s v="1 - NRS_INS - Whitmore, Janeen M"/>
  </r>
  <r>
    <n v="475"/>
    <s v="HCFA"/>
    <x v="374"/>
    <s v="BUS_INS"/>
    <n v="100"/>
    <d v="2021-07-01T00:00:00"/>
    <s v="D"/>
    <n v="8"/>
    <m/>
    <m/>
    <n v="88452"/>
    <n v="88452"/>
    <m/>
    <m/>
    <m/>
    <m/>
    <m/>
    <m/>
    <m/>
    <m/>
    <m/>
    <n v="88452"/>
    <n v="1"/>
    <n v="88452"/>
    <s v="11-350-00-050000-51100"/>
    <x v="1"/>
    <s v="350"/>
    <s v="00"/>
    <s v="050000"/>
    <s v="51100"/>
    <x v="1"/>
    <n v="14966.078399999999"/>
    <m/>
    <m/>
    <n v="1282.5540000000001"/>
    <n v="1087.9595999999999"/>
    <n v="1672.4504160000001"/>
    <n v="140.04"/>
    <n v="140.04"/>
    <n v="79.2"/>
    <n v="79.2"/>
    <n v="16199.92"/>
    <n v="16850.346787999999"/>
    <n v="16850.346787999999"/>
    <n v="17069.586788000001"/>
    <n v="2400"/>
    <n v="2400"/>
    <n v="38478.629203999997"/>
    <n v="126930.629204"/>
    <m/>
    <m/>
    <m/>
    <s v="1 - BUS_INS - Williams, Travis J"/>
  </r>
  <r>
    <n v="476"/>
    <s v="HCFA"/>
    <x v="375"/>
    <s v="ENG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100-51100"/>
    <x v="1"/>
    <s v="375"/>
    <s v="00"/>
    <s v="150100"/>
    <s v="51100"/>
    <x v="1"/>
    <n v="14826.3192"/>
    <m/>
    <m/>
    <n v="1270.577"/>
    <n v="1077.7998"/>
    <n v="1656.8324080000002"/>
    <n v="140.04"/>
    <n v="140.04"/>
    <n v="79.2"/>
    <n v="79.2"/>
    <n v="13152.04"/>
    <n v="13680.094406"/>
    <n v="13680.094406"/>
    <n v="13899.334406"/>
    <m/>
    <n v="0"/>
    <n v="32730.862814"/>
    <n v="120356.86281399999"/>
    <m/>
    <m/>
    <m/>
    <s v="1 - ENG_INS - Wilson, Molly R"/>
  </r>
  <r>
    <n v="477"/>
    <s v="HCFA"/>
    <x v="376"/>
    <s v="BIO_INS"/>
    <n v="100"/>
    <d v="2021-07-01T00:00:00"/>
    <s v="E"/>
    <n v="20"/>
    <m/>
    <m/>
    <n v="121962"/>
    <n v="121962"/>
    <m/>
    <m/>
    <m/>
    <m/>
    <m/>
    <m/>
    <m/>
    <m/>
    <m/>
    <n v="121962"/>
    <n v="0.5"/>
    <n v="60981"/>
    <s v="11-330-00-040110-51100"/>
    <x v="1"/>
    <s v="330"/>
    <s v="00"/>
    <s v="040110"/>
    <s v="51100"/>
    <x v="1"/>
    <n v="10317.985199999999"/>
    <m/>
    <m/>
    <n v="884.22450000000003"/>
    <n v="750.06629999999996"/>
    <n v="1153.0287480000002"/>
    <n v="140.04"/>
    <n v="70.02"/>
    <n v="79.2"/>
    <n v="39.6"/>
    <n v="25452.57"/>
    <n v="26474.490685500001"/>
    <n v="13237.24534275"/>
    <n v="13346.865342750001"/>
    <m/>
    <n v="0"/>
    <n v="26452.170090750002"/>
    <n v="87433.170090750005"/>
    <m/>
    <m/>
    <m/>
    <s v="0.5 - BIO_INS - Wright, Ann E"/>
  </r>
  <r>
    <n v="478"/>
    <s v="HCFA"/>
    <x v="377"/>
    <s v="MATH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1-330-00-170100-51100"/>
    <x v="1"/>
    <s v="330"/>
    <s v="00"/>
    <s v="170100"/>
    <s v="51100"/>
    <x v="1"/>
    <n v="13368.830399999999"/>
    <m/>
    <m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43674.072785999997"/>
    <n v="122686.072786"/>
    <m/>
    <m/>
    <m/>
    <s v="1 - MATH_INS - VACANT (Yahdi)"/>
  </r>
  <r>
    <n v="479"/>
    <s v="HCFA"/>
    <x v="378"/>
    <s v="CHEM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30-00-190500-51100"/>
    <x v="1"/>
    <s v="330"/>
    <s v="00"/>
    <s v="190500"/>
    <s v="51100"/>
    <x v="1"/>
    <n v="20057.137199999997"/>
    <m/>
    <m/>
    <n v="1718.8445000000002"/>
    <n v="1458.0543"/>
    <n v="2241.3732279999999"/>
    <n v="140.04"/>
    <n v="140.04"/>
    <n v="79.2"/>
    <n v="79.2"/>
    <n v="13152.04"/>
    <n v="13680.094406"/>
    <n v="13680.094406"/>
    <n v="13899.334406"/>
    <m/>
    <n v="0"/>
    <n v="39374.743633999999"/>
    <n v="157915.74363400001"/>
    <m/>
    <m/>
    <m/>
    <s v="1 - CHEM_INS - Yee, Lawrence J"/>
  </r>
  <r>
    <n v="480"/>
    <s v="HCFA"/>
    <x v="379"/>
    <s v="GD_PTH_COR"/>
    <n v="100"/>
    <d v="2021-07-01T00:00:00"/>
    <s v="E"/>
    <n v="19"/>
    <m/>
    <m/>
    <n v="121962"/>
    <n v="121962"/>
    <m/>
    <m/>
    <m/>
    <m/>
    <m/>
    <m/>
    <m/>
    <m/>
    <m/>
    <n v="121962"/>
    <n v="1"/>
    <n v="121962"/>
    <s v="11-375-00-150100-51100"/>
    <x v="1"/>
    <s v="375"/>
    <s v="00"/>
    <s v="150100"/>
    <s v="51100"/>
    <x v="1"/>
    <n v="20635.970399999998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61216.584490000001"/>
    <n v="183178.58449000001"/>
    <s v="Cathryn Wilkinson"/>
    <m/>
    <m/>
    <s v="1 - GD_PTH_COR - Yelland, Hetty L"/>
  </r>
  <r>
    <n v="481"/>
    <s v="HCFA"/>
    <x v="380"/>
    <s v="ECE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50-00-130500-51100"/>
    <x v="1"/>
    <s v="350"/>
    <s v="00"/>
    <s v="130500"/>
    <s v="51100"/>
    <x v="1"/>
    <n v="17806.2696"/>
    <m/>
    <m/>
    <n v="1525.951"/>
    <n v="1294.4274"/>
    <n v="1989.8401040000001"/>
    <n v="140.04"/>
    <n v="140.04"/>
    <n v="79.2"/>
    <n v="79.2"/>
    <n v="13152.04"/>
    <n v="13680.094406"/>
    <n v="13680.094406"/>
    <n v="13899.334406"/>
    <m/>
    <n v="0"/>
    <n v="36515.822509999998"/>
    <n v="141753.82251"/>
    <m/>
    <m/>
    <m/>
    <s v="1 - ECE_INS - Zarate-McCoy, Andrea J"/>
  </r>
  <r>
    <n v="482"/>
    <s v="HCFA"/>
    <x v="381"/>
    <s v="INS_COACH"/>
    <n v="100"/>
    <d v="2021-07-01T00:00:00"/>
    <s v="B"/>
    <n v="14"/>
    <m/>
    <m/>
    <n v="111053"/>
    <n v="111053"/>
    <m/>
    <m/>
    <m/>
    <m/>
    <m/>
    <m/>
    <m/>
    <m/>
    <m/>
    <n v="111053"/>
    <n v="0.55000000000000004"/>
    <n v="61079.15"/>
    <s v="11-320-00-083500-51100"/>
    <x v="1"/>
    <s v="320"/>
    <s v="00"/>
    <s v="083500"/>
    <s v="51100"/>
    <x v="1"/>
    <n v="10334.59218"/>
    <m/>
    <m/>
    <n v="885.64767500000005"/>
    <n v="751.27354500000001"/>
    <n v="1154.8845682000001"/>
    <n v="140.04"/>
    <n v="77.022000000000006"/>
    <n v="79.2"/>
    <n v="43.56"/>
    <n v="13756.16"/>
    <n v="14308.469824"/>
    <n v="7869.6584032000001"/>
    <n v="7990.2404032000004"/>
    <m/>
    <n v="0"/>
    <n v="21116.6383714"/>
    <n v="82195.788371400005"/>
    <m/>
    <m/>
    <m/>
    <s v="0.55 - INS_COACH - Zepeda, Christopher L"/>
  </r>
  <r>
    <n v="483"/>
    <s v="HCFA"/>
    <x v="381"/>
    <s v="INS_COACH"/>
    <n v="100"/>
    <d v="2021-07-01T00:00:00"/>
    <s v="B"/>
    <n v="14"/>
    <m/>
    <m/>
    <n v="111053"/>
    <n v="111053"/>
    <m/>
    <m/>
    <m/>
    <m/>
    <m/>
    <m/>
    <m/>
    <m/>
    <m/>
    <n v="111053"/>
    <n v="0.45"/>
    <n v="49973.85"/>
    <s v="11-320-00-083550-51100"/>
    <x v="1"/>
    <s v="320"/>
    <s v="00"/>
    <s v="083550"/>
    <s v="51100"/>
    <x v="1"/>
    <n v="8455.5754199999992"/>
    <m/>
    <m/>
    <n v="724.62082499999997"/>
    <n v="614.67835500000001"/>
    <n v="944.9055558"/>
    <n v="140.04"/>
    <n v="63.018000000000001"/>
    <n v="79.2"/>
    <n v="35.64"/>
    <n v="13756.16"/>
    <n v="14308.469824"/>
    <n v="6438.8114207999997"/>
    <n v="6537.4694208000001"/>
    <m/>
    <n v="0"/>
    <n v="17277.249576599999"/>
    <n v="67251.099576599998"/>
    <m/>
    <m/>
    <m/>
    <s v="0.45 - INS_COACH - Zepeda, Christopher L"/>
  </r>
  <r>
    <n v="484"/>
    <s v="BOARD"/>
    <x v="382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DePauw, Candice S"/>
  </r>
  <r>
    <n v="485"/>
    <s v="BOARD"/>
    <x v="383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m/>
    <n v="0"/>
    <n v="0"/>
    <n v="0"/>
    <m/>
    <n v="0"/>
    <n v="310.19904000000002"/>
    <n v="3190.19904"/>
    <m/>
    <m/>
    <m/>
    <s v="1 - BOARD OF TRUSTEE - DiArrigo, Margaret"/>
  </r>
  <r>
    <n v="486"/>
    <s v="BOARD"/>
    <x v="384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Lopez, Irma C"/>
  </r>
  <r>
    <n v="487"/>
    <s v="BOARD"/>
    <x v="385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25452.6"/>
    <n v="26474.521889999996"/>
    <n v="26474.521889999996"/>
    <n v="26474.521889999996"/>
    <m/>
    <n v="0"/>
    <n v="26784.720929999996"/>
    <n v="29664.720929999996"/>
    <m/>
    <m/>
    <m/>
    <s v="1 - BOARD OF TRUSTEE - Montemayor, Raymond M"/>
  </r>
  <r>
    <n v="488"/>
    <s v="BOARD"/>
    <x v="386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33444"/>
    <n v="34786.776599999997"/>
    <n v="34786.776599999997"/>
    <n v="34786.776599999997"/>
    <m/>
    <n v="0"/>
    <n v="35096.975639999997"/>
    <n v="37976.975639999997"/>
    <m/>
    <m/>
    <m/>
    <s v="1 - BOARD OF TRUSTEE - Padilla-Chavez, Erica"/>
  </r>
  <r>
    <n v="489"/>
    <s v="BOARD"/>
    <x v="387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33444"/>
    <n v="34786.776599999997"/>
    <n v="34786.776599999997"/>
    <n v="34786.776599999997"/>
    <m/>
    <n v="0"/>
    <n v="35096.975639999997"/>
    <n v="37976.975639999997"/>
    <m/>
    <m/>
    <m/>
    <s v="1 - BOARD OF TRUSTEE - Salazar, Aurelio"/>
  </r>
  <r>
    <n v="490"/>
    <s v="BOARD"/>
    <x v="388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Gonzalez, Alejandra"/>
  </r>
  <r>
    <m/>
    <s v="MGMT"/>
    <x v="389"/>
    <s v="Director of Job and Internship Placement"/>
    <n v="1"/>
    <m/>
    <s v="12"/>
    <s v="C"/>
    <m/>
    <m/>
    <n v="85583"/>
    <n v="85583"/>
    <m/>
    <m/>
    <m/>
    <m/>
    <m/>
    <m/>
    <m/>
    <m/>
    <m/>
    <n v="85583"/>
    <n v="0.5"/>
    <n v="42791.5"/>
    <s v="12-140-00-647001-52130"/>
    <x v="0"/>
    <s v="140"/>
    <s v="00"/>
    <s v="647001"/>
    <s v="52130"/>
    <x v="0"/>
    <m/>
    <n v="9803.5326499999992"/>
    <n v="2653.0729999999999"/>
    <n v="620.47675000000004"/>
    <n v="526.33545000000004"/>
    <n v="809.1016820000001"/>
    <n v="140.04"/>
    <n v="70.02"/>
    <n v="79.2"/>
    <n v="39.6"/>
    <n v="33444"/>
    <n v="34786.776599999997"/>
    <n v="17393.388299999999"/>
    <n v="17503.008299999998"/>
    <m/>
    <n v="0"/>
    <n v="31915.527832"/>
    <n v="74707.027831999992"/>
    <m/>
    <m/>
    <m/>
    <s v="0.5 - Director of Job and Internship Placement - To be hired - VACANT (Director of Job and Internship Placement)"/>
  </r>
  <r>
    <m/>
    <s v="MGMT"/>
    <x v="389"/>
    <s v="Director of Job and Internship Placement"/>
    <n v="1"/>
    <m/>
    <s v="12"/>
    <s v="C"/>
    <m/>
    <m/>
    <n v="85583"/>
    <n v="85583"/>
    <m/>
    <m/>
    <m/>
    <m/>
    <m/>
    <m/>
    <m/>
    <m/>
    <m/>
    <n v="85583"/>
    <n v="0.5"/>
    <n v="42791.5"/>
    <s v="12-350-00-700330-52130"/>
    <x v="0"/>
    <s v="350"/>
    <s v="00"/>
    <s v="700330"/>
    <s v="52130"/>
    <x v="0"/>
    <m/>
    <n v="9803.5326499999992"/>
    <n v="2653.0729999999999"/>
    <n v="620.47675000000004"/>
    <n v="526.33545000000004"/>
    <n v="809.1016820000001"/>
    <n v="140.04"/>
    <n v="70.02"/>
    <n v="79.2"/>
    <n v="39.6"/>
    <n v="33444"/>
    <n v="34786.776599999997"/>
    <n v="17393.388299999999"/>
    <n v="17503.008299999998"/>
    <m/>
    <n v="0"/>
    <n v="31915.527832"/>
    <n v="74707.027831999992"/>
    <m/>
    <m/>
    <m/>
    <s v="0.5 - Director of Job and Internship Placement - To be hired - VACANT (Director of Job and Internship Placement)"/>
  </r>
  <r>
    <m/>
    <s v="MGMT"/>
    <x v="390"/>
    <s v="DIR_PHIL"/>
    <n v="1"/>
    <m/>
    <n v="5"/>
    <s v="C"/>
    <m/>
    <m/>
    <n v="128482"/>
    <n v="128482"/>
    <m/>
    <m/>
    <m/>
    <m/>
    <m/>
    <m/>
    <m/>
    <m/>
    <m/>
    <n v="128482"/>
    <n v="1"/>
    <n v="128482"/>
    <s v="11-140-00-684000-52130"/>
    <x v="1"/>
    <s v="140"/>
    <s v="00"/>
    <s v="684000"/>
    <s v="52130"/>
    <x v="0"/>
    <m/>
    <n v="29435.226200000001"/>
    <n v="7965.884"/>
    <n v="1862.989"/>
    <n v="1580.3286000000001"/>
    <n v="2429.3376560000002"/>
    <n v="140.04"/>
    <n v="140.04"/>
    <n v="79.2"/>
    <n v="79.2"/>
    <n v="33444"/>
    <n v="34786.776599999997"/>
    <n v="34786.776599999997"/>
    <n v="35006.016599999995"/>
    <m/>
    <n v="0"/>
    <n v="78279.782055999996"/>
    <n v="206761.782056"/>
    <m/>
    <m/>
    <m/>
    <s v="1 - DIR_PHIL - To be hired - VACANT (Director of Philanthropy)"/>
  </r>
  <r>
    <s v="293a"/>
    <s v="MGMT"/>
    <x v="391"/>
    <s v="DIR_TWS"/>
    <n v="1"/>
    <m/>
    <s v="9"/>
    <s v="E"/>
    <m/>
    <m/>
    <n v="112132"/>
    <n v="112132"/>
    <m/>
    <m/>
    <m/>
    <m/>
    <m/>
    <m/>
    <m/>
    <m/>
    <m/>
    <n v="112132"/>
    <n v="0.5"/>
    <n v="56066"/>
    <s v="11-340-00-682500-51210"/>
    <x v="1"/>
    <s v="340"/>
    <s v="00"/>
    <s v="682500"/>
    <s v="51210"/>
    <x v="1"/>
    <n v="9486.3671999999988"/>
    <m/>
    <m/>
    <n v="812.95699999999999"/>
    <n v="689.61180000000002"/>
    <n v="1060.095928"/>
    <n v="140.04"/>
    <n v="70.02"/>
    <n v="79.2"/>
    <n v="39.6"/>
    <n v="25452.6"/>
    <n v="26474.521889999996"/>
    <n v="13237.260944999998"/>
    <n v="13346.880944999999"/>
    <m/>
    <n v="0"/>
    <n v="25395.912873000001"/>
    <n v="81461.912872999994"/>
    <m/>
    <m/>
    <m/>
    <s v="0.5 - DIR_TWS - Parker, Melissa (thru 12/31/21)"/>
  </r>
  <r>
    <m/>
    <s v="CSEA"/>
    <x v="392"/>
    <s v="CLIN_OPS_SPEC"/>
    <n v="1"/>
    <m/>
    <s v="37"/>
    <s v="C"/>
    <m/>
    <m/>
    <n v="75639"/>
    <n v="75639"/>
    <m/>
    <m/>
    <m/>
    <m/>
    <n v="0"/>
    <n v="0"/>
    <m/>
    <n v="0"/>
    <n v="1200"/>
    <n v="76839"/>
    <n v="1"/>
    <n v="76839"/>
    <s v="12-350-00-700321-52105"/>
    <x v="0"/>
    <s v="350"/>
    <s v="00"/>
    <s v="700321"/>
    <s v="52105"/>
    <x v="0"/>
    <m/>
    <n v="17603.814900000001"/>
    <n v="4764.018"/>
    <n v="1114.1655000000001"/>
    <n v="945.11969999999997"/>
    <n v="1452.8718120000001"/>
    <n v="140.04"/>
    <n v="140.04"/>
    <n v="79.2"/>
    <n v="79.2"/>
    <n v="33444"/>
    <n v="34786.776599999997"/>
    <n v="34786.776599999997"/>
    <n v="35006.016599999995"/>
    <m/>
    <n v="0"/>
    <n v="60886.006512"/>
    <n v="137725.00651199999"/>
    <s v="Cathryn Wilkinson"/>
    <s v="Debra Kaczmar"/>
    <s v="Nursing Education"/>
    <s v="1 - CLIN_OPS_SPEC - To be hired - VACANT (Morales)"/>
  </r>
  <r>
    <m/>
    <s v="CSEA"/>
    <x v="393"/>
    <s v="AR_TECH"/>
    <n v="0.5"/>
    <m/>
    <s v=" 18"/>
    <s v="A"/>
    <m/>
    <m/>
    <n v="23658"/>
    <n v="23658"/>
    <m/>
    <m/>
    <m/>
    <m/>
    <m/>
    <m/>
    <m/>
    <m/>
    <m/>
    <n v="23658"/>
    <n v="1"/>
    <n v="23658"/>
    <s v="11-410-00-620000-52105"/>
    <x v="1"/>
    <s v="410"/>
    <s v="00"/>
    <s v="620000"/>
    <s v="52105"/>
    <x v="0"/>
    <m/>
    <n v="5420.0478000000003"/>
    <n v="1466.796"/>
    <n v="343.041"/>
    <n v="290.99340000000001"/>
    <n v="447.32546400000001"/>
    <n v="140.04"/>
    <n v="140.04"/>
    <n v="79.2"/>
    <n v="79.2"/>
    <m/>
    <n v="0"/>
    <n v="0"/>
    <n v="219.24"/>
    <m/>
    <n v="0"/>
    <n v="8187.4436640000004"/>
    <n v="31845.443663999999"/>
    <m/>
    <m/>
    <m/>
    <s v="1 - AR_TECH - VACANT (Navarro)"/>
  </r>
  <r>
    <m/>
    <s v="CSEA"/>
    <x v="394"/>
    <s v="Planetarium Coordinator"/>
    <n v="1"/>
    <m/>
    <m/>
    <m/>
    <m/>
    <m/>
    <m/>
    <n v="56243"/>
    <m/>
    <m/>
    <m/>
    <m/>
    <m/>
    <m/>
    <m/>
    <m/>
    <m/>
    <n v="56243"/>
    <n v="1"/>
    <n v="56243"/>
    <s v="11-304-00-682100-52105"/>
    <x v="1"/>
    <s v="304"/>
    <s v="00"/>
    <n v="682100"/>
    <n v="52105"/>
    <x v="0"/>
    <m/>
    <n v="12885.2713"/>
    <n v="3487.0659999999998"/>
    <n v="815.52350000000001"/>
    <n v="691.78890000000001"/>
    <n v="1063.442644"/>
    <n v="140.04"/>
    <n v="140.04"/>
    <n v="79.2"/>
    <n v="79.2"/>
    <n v="33444"/>
    <n v="34786.776599999997"/>
    <n v="34786.776599999997"/>
    <n v="35006.016599999995"/>
    <m/>
    <n v="0"/>
    <n v="53949.108943999992"/>
    <n v="110192.1089439999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3:H8" firstHeaderRow="0" firstDataRow="1" firstDataCol="1" rowPageCount="1" colPageCount="1"/>
  <pivotFields count="53">
    <pivotField subtotalTop="0" showAll="0"/>
    <pivotField subtotalTop="0" showAll="0"/>
    <pivotField axis="axisPage" subtotalTop="0" multipleItemSelectionAllowed="1" showAll="0">
      <items count="407">
        <item x="249"/>
        <item x="197"/>
        <item x="0"/>
        <item x="147"/>
        <item x="250"/>
        <item x="198"/>
        <item x="251"/>
        <item x="148"/>
        <item x="199"/>
        <item x="252"/>
        <item x="32"/>
        <item x="1"/>
        <item x="253"/>
        <item x="200"/>
        <item x="2"/>
        <item x="181"/>
        <item x="149"/>
        <item x="254"/>
        <item x="150"/>
        <item x="151"/>
        <item x="255"/>
        <item x="5"/>
        <item x="256"/>
        <item x="4"/>
        <item x="201"/>
        <item x="257"/>
        <item x="258"/>
        <item x="6"/>
        <item x="259"/>
        <item x="7"/>
        <item x="261"/>
        <item x="262"/>
        <item x="8"/>
        <item x="263"/>
        <item x="264"/>
        <item x="152"/>
        <item x="153"/>
        <item x="9"/>
        <item x="265"/>
        <item x="10"/>
        <item x="154"/>
        <item x="12"/>
        <item x="13"/>
        <item x="14"/>
        <item x="15"/>
        <item x="202"/>
        <item x="203"/>
        <item x="204"/>
        <item x="266"/>
        <item x="155"/>
        <item x="16"/>
        <item x="17"/>
        <item x="18"/>
        <item x="156"/>
        <item x="268"/>
        <item x="19"/>
        <item x="269"/>
        <item x="270"/>
        <item x="271"/>
        <item x="20"/>
        <item x="205"/>
        <item x="206"/>
        <item x="207"/>
        <item x="208"/>
        <item x="272"/>
        <item x="273"/>
        <item x="21"/>
        <item x="274"/>
        <item x="22"/>
        <item x="182"/>
        <item x="275"/>
        <item x="23"/>
        <item x="382"/>
        <item x="276"/>
        <item x="383"/>
        <item x="157"/>
        <item x="24"/>
        <item x="277"/>
        <item x="25"/>
        <item x="278"/>
        <item x="279"/>
        <item x="26"/>
        <item x="209"/>
        <item m="1" x="401"/>
        <item x="158"/>
        <item x="280"/>
        <item x="281"/>
        <item x="282"/>
        <item x="283"/>
        <item x="284"/>
        <item x="285"/>
        <item x="286"/>
        <item x="27"/>
        <item x="28"/>
        <item x="29"/>
        <item x="159"/>
        <item x="183"/>
        <item x="287"/>
        <item x="288"/>
        <item x="30"/>
        <item x="289"/>
        <item x="174"/>
        <item x="31"/>
        <item x="33"/>
        <item x="34"/>
        <item x="161"/>
        <item x="162"/>
        <item x="35"/>
        <item x="36"/>
        <item x="212"/>
        <item x="292"/>
        <item x="37"/>
        <item x="163"/>
        <item x="388"/>
        <item x="213"/>
        <item x="38"/>
        <item x="39"/>
        <item x="40"/>
        <item x="41"/>
        <item x="42"/>
        <item x="44"/>
        <item x="293"/>
        <item x="45"/>
        <item x="220"/>
        <item x="46"/>
        <item x="294"/>
        <item x="295"/>
        <item x="47"/>
        <item x="164"/>
        <item x="48"/>
        <item x="49"/>
        <item x="296"/>
        <item x="184"/>
        <item x="50"/>
        <item x="51"/>
        <item x="165"/>
        <item x="52"/>
        <item x="297"/>
        <item x="298"/>
        <item x="299"/>
        <item x="300"/>
        <item x="301"/>
        <item x="302"/>
        <item x="54"/>
        <item x="303"/>
        <item x="304"/>
        <item x="55"/>
        <item x="57"/>
        <item x="58"/>
        <item x="59"/>
        <item x="214"/>
        <item x="60"/>
        <item x="305"/>
        <item x="306"/>
        <item x="61"/>
        <item x="215"/>
        <item x="62"/>
        <item x="166"/>
        <item x="63"/>
        <item x="216"/>
        <item x="217"/>
        <item x="64"/>
        <item x="307"/>
        <item x="65"/>
        <item x="308"/>
        <item x="309"/>
        <item x="66"/>
        <item x="67"/>
        <item x="69"/>
        <item x="70"/>
        <item x="71"/>
        <item x="310"/>
        <item x="218"/>
        <item x="73"/>
        <item x="311"/>
        <item x="74"/>
        <item x="312"/>
        <item x="384"/>
        <item x="75"/>
        <item x="313"/>
        <item x="167"/>
        <item x="76"/>
        <item x="77"/>
        <item x="314"/>
        <item x="315"/>
        <item x="168"/>
        <item x="78"/>
        <item x="316"/>
        <item x="79"/>
        <item x="80"/>
        <item x="81"/>
        <item x="82"/>
        <item x="83"/>
        <item x="221"/>
        <item x="317"/>
        <item x="318"/>
        <item x="84"/>
        <item x="321"/>
        <item x="322"/>
        <item x="323"/>
        <item x="85"/>
        <item x="324"/>
        <item x="86"/>
        <item x="186"/>
        <item x="87"/>
        <item x="88"/>
        <item x="325"/>
        <item x="89"/>
        <item x="193"/>
        <item x="90"/>
        <item x="91"/>
        <item x="385"/>
        <item x="93"/>
        <item x="326"/>
        <item x="222"/>
        <item x="169"/>
        <item x="327"/>
        <item x="328"/>
        <item x="194"/>
        <item x="170"/>
        <item x="223"/>
        <item x="95"/>
        <item x="96"/>
        <item x="171"/>
        <item x="97"/>
        <item x="98"/>
        <item x="329"/>
        <item x="330"/>
        <item x="99"/>
        <item x="100"/>
        <item x="172"/>
        <item x="331"/>
        <item x="386"/>
        <item x="224"/>
        <item x="332"/>
        <item x="333"/>
        <item x="225"/>
        <item x="391"/>
        <item x="334"/>
        <item x="335"/>
        <item x="226"/>
        <item x="336"/>
        <item x="337"/>
        <item x="101"/>
        <item x="338"/>
        <item x="227"/>
        <item x="339"/>
        <item x="228"/>
        <item x="102"/>
        <item x="340"/>
        <item x="103"/>
        <item x="104"/>
        <item x="105"/>
        <item x="106"/>
        <item x="107"/>
        <item x="108"/>
        <item x="11"/>
        <item x="173"/>
        <item x="187"/>
        <item x="341"/>
        <item x="109"/>
        <item x="229"/>
        <item x="110"/>
        <item x="342"/>
        <item x="230"/>
        <item x="343"/>
        <item x="195"/>
        <item x="111"/>
        <item x="112"/>
        <item x="113"/>
        <item x="345"/>
        <item x="114"/>
        <item x="115"/>
        <item x="346"/>
        <item x="347"/>
        <item x="231"/>
        <item x="175"/>
        <item x="348"/>
        <item x="116"/>
        <item x="188"/>
        <item x="118"/>
        <item x="349"/>
        <item x="119"/>
        <item x="387"/>
        <item x="120"/>
        <item x="196"/>
        <item x="350"/>
        <item x="121"/>
        <item x="122"/>
        <item x="123"/>
        <item x="124"/>
        <item x="125"/>
        <item x="351"/>
        <item x="232"/>
        <item x="189"/>
        <item x="126"/>
        <item x="233"/>
        <item x="127"/>
        <item x="128"/>
        <item x="235"/>
        <item x="236"/>
        <item x="352"/>
        <item x="237"/>
        <item x="353"/>
        <item x="354"/>
        <item x="176"/>
        <item x="177"/>
        <item x="129"/>
        <item x="130"/>
        <item x="355"/>
        <item x="131"/>
        <item x="356"/>
        <item x="357"/>
        <item x="132"/>
        <item x="267"/>
        <item x="238"/>
        <item x="239"/>
        <item x="358"/>
        <item x="240"/>
        <item x="359"/>
        <item x="133"/>
        <item x="389"/>
        <item x="390"/>
        <item m="1" x="403"/>
        <item m="1" x="395"/>
        <item x="291"/>
        <item m="1" x="404"/>
        <item x="392"/>
        <item m="1" x="398"/>
        <item m="1" x="405"/>
        <item x="360"/>
        <item x="190"/>
        <item x="241"/>
        <item x="134"/>
        <item x="242"/>
        <item x="361"/>
        <item x="191"/>
        <item x="135"/>
        <item x="362"/>
        <item m="1" x="400"/>
        <item h="1" x="260"/>
        <item h="1" x="290"/>
        <item h="1" x="43"/>
        <item h="1" x="56"/>
        <item h="1" x="68"/>
        <item h="1" x="72"/>
        <item h="1" x="219"/>
        <item h="1" x="320"/>
        <item m="1" x="396"/>
        <item h="1" x="393"/>
        <item h="1" x="94"/>
        <item h="1" x="53"/>
        <item h="1" m="1" x="399"/>
        <item h="1" x="234"/>
        <item h="1" x="178"/>
        <item h="1" x="363"/>
        <item h="1" m="1" x="397"/>
        <item h="1" x="141"/>
        <item h="1" x="368"/>
        <item h="1" x="377"/>
        <item x="136"/>
        <item x="364"/>
        <item x="137"/>
        <item x="365"/>
        <item x="138"/>
        <item x="243"/>
        <item x="140"/>
        <item x="366"/>
        <item x="244"/>
        <item x="367"/>
        <item x="369"/>
        <item x="370"/>
        <item x="371"/>
        <item x="142"/>
        <item x="143"/>
        <item x="372"/>
        <item x="373"/>
        <item x="245"/>
        <item x="246"/>
        <item x="374"/>
        <item x="144"/>
        <item x="375"/>
        <item x="376"/>
        <item x="145"/>
        <item x="247"/>
        <item x="179"/>
        <item x="378"/>
        <item x="379"/>
        <item x="380"/>
        <item x="192"/>
        <item x="248"/>
        <item x="381"/>
        <item x="146"/>
        <item x="180"/>
        <item x="3"/>
        <item x="92"/>
        <item h="1" x="139"/>
        <item m="1" x="402"/>
        <item x="117"/>
        <item h="1" x="160"/>
        <item h="1" x="185"/>
        <item x="210"/>
        <item h="1" x="211"/>
        <item h="1" x="319"/>
        <item h="1" x="344"/>
        <item h="1" x="394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numFmtId="9" subtotalTop="0" showAll="0"/>
    <pivotField dataField="1" numFmtId="43" subtotalTop="0" showAll="0"/>
    <pivotField subtotalTop="0" showAll="0"/>
    <pivotField axis="axisRow" subtotalTop="0" showAll="0">
      <items count="7">
        <item x="1"/>
        <item h="1" x="0"/>
        <item h="1" x="2"/>
        <item h="1" x="3"/>
        <item h="1" x="5"/>
        <item h="1" x="4"/>
        <item t="default"/>
      </items>
    </pivotField>
    <pivotField subtotalTop="0" showAll="0"/>
    <pivotField subtotalTop="0" showAll="0"/>
    <pivotField subtotalTop="0" showAll="0"/>
    <pivotField subtotalTop="0"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numFmtId="43" subtotalTop="0" showAll="0"/>
    <pivotField subtotalTop="0" showAll="0"/>
    <pivotField numFmtId="2"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subtotalTop="0" showAll="0"/>
    <pivotField dataField="1" numFmtId="43" subtotalTop="0" showAll="0"/>
    <pivotField numFmtId="43" subtotalTop="0" showAll="0"/>
    <pivotField subtotalTop="0" showAll="0"/>
    <pivotField subtotalTop="0" showAll="0"/>
    <pivotField subtotalTop="0" showAll="0"/>
    <pivotField subtotalTop="0" showAll="0"/>
  </pivotFields>
  <rowFields count="2">
    <field x="25"/>
    <field x="30"/>
  </rowFields>
  <rowItems count="5">
    <i>
      <x/>
    </i>
    <i r="1">
      <x/>
    </i>
    <i r="1">
      <x v="1"/>
    </i>
    <i t="default"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Sum of Dist Amount" fld="23" baseField="0" baseItem="0"/>
    <dataField name="Sum of Ben. Dist. Amount" fld="47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8" firstHeaderRow="0" firstDataRow="1" firstDataCol="1"/>
  <pivotFields count="5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numFmtId="9" subtotalTop="0" showAll="0"/>
    <pivotField dataField="1" numFmtId="43" subtotalTop="0" showAll="0"/>
    <pivotField subtotalTop="0" showAll="0"/>
    <pivotField axis="axisRow" subtotalTop="0" showAll="0">
      <items count="7">
        <item x="1"/>
        <item h="1" x="0"/>
        <item h="1" x="2"/>
        <item h="1" x="3"/>
        <item h="1" x="5"/>
        <item h="1" x="4"/>
        <item t="default"/>
      </items>
    </pivotField>
    <pivotField subtotalTop="0" showAll="0"/>
    <pivotField subtotalTop="0" showAll="0"/>
    <pivotField subtotalTop="0" showAll="0"/>
    <pivotField subtotalTop="0" showAl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numFmtId="43" subtotalTop="0" showAll="0"/>
    <pivotField subtotalTop="0" showAll="0"/>
    <pivotField numFmtId="2"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subtotalTop="0" showAll="0"/>
    <pivotField dataField="1" numFmtId="43" subtotalTop="0" showAll="0"/>
    <pivotField numFmtId="43" subtotalTop="0" showAll="0"/>
    <pivotField subtotalTop="0" showAll="0"/>
    <pivotField subtotalTop="0" showAll="0"/>
    <pivotField subtotalTop="0" showAll="0"/>
    <pivotField subtotalTop="0" showAll="0"/>
  </pivotFields>
  <rowFields count="2">
    <field x="25"/>
    <field x="30"/>
  </rowFields>
  <rowItems count="5">
    <i>
      <x/>
    </i>
    <i r="1">
      <x/>
    </i>
    <i r="1">
      <x v="1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ist Amount" fld="23" baseField="0" baseItem="0"/>
    <dataField name="Sum of Ben. Dist. Amount" fld="47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1868" firstHeaderRow="1" firstDataRow="2" firstDataCol="1" rowPageCount="3" colPageCount="1"/>
  <pivotFields count="13">
    <pivotField axis="axisCol" showAll="0">
      <items count="4">
        <item x="0"/>
        <item x="2"/>
        <item x="1"/>
        <item t="default"/>
      </items>
    </pivotField>
    <pivotField showAll="0"/>
    <pivotField axis="axisPage" multipleItemSelectionAllowed="1" showAll="0">
      <items count="1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t="default"/>
      </items>
    </pivotField>
    <pivotField showAll="0"/>
    <pivotField showAll="0"/>
    <pivotField axis="axisPage" multipleItemSelectionAllowed="1" showAll="0">
      <items count="139">
        <item x="0"/>
        <item x="10"/>
        <item x="11"/>
        <item x="12"/>
        <item x="13"/>
        <item x="74"/>
        <item x="62"/>
        <item x="68"/>
        <item x="69"/>
        <item x="70"/>
        <item x="71"/>
        <item x="98"/>
        <item x="75"/>
        <item x="86"/>
        <item x="87"/>
        <item x="85"/>
        <item x="88"/>
        <item x="89"/>
        <item x="90"/>
        <item x="91"/>
        <item x="14"/>
        <item x="15"/>
        <item x="63"/>
        <item x="16"/>
        <item x="17"/>
        <item x="79"/>
        <item x="80"/>
        <item x="81"/>
        <item x="82"/>
        <item x="83"/>
        <item x="18"/>
        <item x="72"/>
        <item x="64"/>
        <item x="19"/>
        <item x="20"/>
        <item x="65"/>
        <item x="92"/>
        <item x="21"/>
        <item x="22"/>
        <item x="76"/>
        <item x="77"/>
        <item x="78"/>
        <item x="23"/>
        <item x="24"/>
        <item x="66"/>
        <item x="25"/>
        <item x="26"/>
        <item x="27"/>
        <item x="67"/>
        <item x="28"/>
        <item x="29"/>
        <item x="30"/>
        <item x="31"/>
        <item x="59"/>
        <item x="93"/>
        <item x="32"/>
        <item x="115"/>
        <item x="95"/>
        <item x="96"/>
        <item x="33"/>
        <item x="41"/>
        <item x="34"/>
        <item x="39"/>
        <item x="35"/>
        <item x="94"/>
        <item x="108"/>
        <item x="101"/>
        <item x="36"/>
        <item x="102"/>
        <item x="103"/>
        <item x="104"/>
        <item x="99"/>
        <item x="112"/>
        <item x="109"/>
        <item x="110"/>
        <item x="111"/>
        <item x="105"/>
        <item x="52"/>
        <item x="53"/>
        <item x="54"/>
        <item x="37"/>
        <item x="55"/>
        <item x="56"/>
        <item x="2"/>
        <item x="3"/>
        <item x="4"/>
        <item x="40"/>
        <item x="106"/>
        <item x="5"/>
        <item x="48"/>
        <item x="42"/>
        <item x="49"/>
        <item x="117"/>
        <item x="43"/>
        <item x="44"/>
        <item x="6"/>
        <item x="45"/>
        <item x="1"/>
        <item x="50"/>
        <item x="46"/>
        <item x="57"/>
        <item x="118"/>
        <item x="119"/>
        <item x="7"/>
        <item x="8"/>
        <item x="60"/>
        <item x="84"/>
        <item x="58"/>
        <item x="9"/>
        <item x="47"/>
        <item x="100"/>
        <item x="73"/>
        <item x="38"/>
        <item x="113"/>
        <item x="116"/>
        <item x="120"/>
        <item x="107"/>
        <item x="61"/>
        <item x="114"/>
        <item x="97"/>
        <item x="51"/>
        <item x="121"/>
        <item x="122"/>
        <item x="123"/>
        <item x="124"/>
        <item x="129"/>
        <item x="125"/>
        <item x="130"/>
        <item x="126"/>
        <item x="131"/>
        <item x="128"/>
        <item x="136"/>
        <item x="132"/>
        <item x="133"/>
        <item x="134"/>
        <item x="135"/>
        <item x="127"/>
        <item x="137"/>
        <item t="default"/>
      </items>
    </pivotField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axis="axisRow" showAll="0">
      <items count="2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215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2157"/>
        <item x="2158"/>
        <item x="2159"/>
        <item x="2160"/>
        <item x="2161"/>
        <item x="216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163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164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2165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t="default"/>
      </items>
    </pivotField>
    <pivotField showAll="0"/>
    <pivotField dataField="1" showAll="0"/>
  </pivotFields>
  <rowFields count="1">
    <field x="10"/>
  </rowFields>
  <rowItems count="1862"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3">
    <pageField fld="2" hier="-1"/>
    <pageField fld="7" hier="-1"/>
    <pageField fld="5" hier="-1"/>
  </pageFields>
  <dataFields count="1">
    <dataField name="Sum of Amount" fld="12" baseField="10" baseItem="2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0"/>
  <sheetViews>
    <sheetView tabSelected="1" zoomScale="80" zoomScaleNormal="80" workbookViewId="0">
      <selection activeCell="D1" sqref="D1"/>
    </sheetView>
  </sheetViews>
  <sheetFormatPr defaultRowHeight="15" x14ac:dyDescent="0.25"/>
  <cols>
    <col min="1" max="1" width="43.5703125" bestFit="1" customWidth="1"/>
    <col min="2" max="4" width="23.85546875" customWidth="1"/>
    <col min="5" max="5" width="17.42578125" bestFit="1" customWidth="1"/>
    <col min="6" max="6" width="215" bestFit="1" customWidth="1"/>
  </cols>
  <sheetData>
    <row r="1" spans="1:6" ht="42.75" thickBot="1" x14ac:dyDescent="0.4">
      <c r="A1" s="95"/>
      <c r="B1" s="96" t="s">
        <v>9913</v>
      </c>
      <c r="C1" s="96" t="s">
        <v>9989</v>
      </c>
      <c r="D1" s="247" t="s">
        <v>9991</v>
      </c>
      <c r="E1" s="96" t="s">
        <v>9999</v>
      </c>
      <c r="F1" s="240" t="s">
        <v>9912</v>
      </c>
    </row>
    <row r="2" spans="1:6" ht="21.75" thickBot="1" x14ac:dyDescent="0.4">
      <c r="A2" s="130" t="s">
        <v>7622</v>
      </c>
      <c r="B2" s="99"/>
      <c r="C2" s="99"/>
      <c r="D2" s="248"/>
      <c r="E2" s="99"/>
      <c r="F2" s="98"/>
    </row>
    <row r="3" spans="1:6" ht="21.75" thickBot="1" x14ac:dyDescent="0.4">
      <c r="A3" s="100" t="s">
        <v>7623</v>
      </c>
      <c r="B3" s="101">
        <v>16945</v>
      </c>
      <c r="C3" s="101">
        <v>16945</v>
      </c>
      <c r="D3" s="249">
        <f>-'Fund 11 Revenue'!K2-'Fund 11 Revenue'!K3-'Fund 11 Revenue'!K4</f>
        <v>16945</v>
      </c>
      <c r="E3" s="101">
        <f>+D3-C3</f>
        <v>0</v>
      </c>
      <c r="F3" s="242" t="s">
        <v>9939</v>
      </c>
    </row>
    <row r="4" spans="1:6" ht="21.75" thickBot="1" x14ac:dyDescent="0.4">
      <c r="A4" s="100" t="s">
        <v>7624</v>
      </c>
      <c r="B4" s="101">
        <v>24010749.994999997</v>
      </c>
      <c r="C4" s="101">
        <v>24010749.994999997</v>
      </c>
      <c r="D4" s="249">
        <f>-SUM('Fund 11 Revenue'!K5:K13)-'Fund 11 Revenue'!K1609-'Fund 11 Revenue'!K1610</f>
        <v>25201644</v>
      </c>
      <c r="E4" s="101">
        <f>+D4-C4</f>
        <v>1190894.0050000027</v>
      </c>
      <c r="F4" s="243" t="s">
        <v>9998</v>
      </c>
    </row>
    <row r="5" spans="1:6" ht="21.75" thickBot="1" x14ac:dyDescent="0.4">
      <c r="A5" s="100" t="s">
        <v>7625</v>
      </c>
      <c r="B5" s="102">
        <v>30320684.059999999</v>
      </c>
      <c r="C5" s="102">
        <v>30320684.059999999</v>
      </c>
      <c r="D5" s="250">
        <f>-SUM('Fund 11 Revenue'!K14:K29)</f>
        <v>30320684.059999999</v>
      </c>
      <c r="E5" s="102">
        <f>+D5-C5</f>
        <v>0</v>
      </c>
      <c r="F5" s="243" t="s">
        <v>9940</v>
      </c>
    </row>
    <row r="6" spans="1:6" ht="21.75" thickBot="1" x14ac:dyDescent="0.4">
      <c r="A6" s="108" t="s">
        <v>7898</v>
      </c>
      <c r="B6" s="103">
        <f>SUM(B3:B5)</f>
        <v>54348379.054999992</v>
      </c>
      <c r="C6" s="103">
        <f>SUM(C3:C5)</f>
        <v>54348379.054999992</v>
      </c>
      <c r="D6" s="251">
        <f>SUM(D3:D5)</f>
        <v>55539273.060000002</v>
      </c>
      <c r="E6" s="103">
        <f>SUM(E3:E5)</f>
        <v>1190894.0050000027</v>
      </c>
      <c r="F6" s="243"/>
    </row>
    <row r="7" spans="1:6" ht="24" thickBot="1" x14ac:dyDescent="0.4">
      <c r="A7" s="104"/>
      <c r="B7" s="105"/>
      <c r="C7" s="105"/>
      <c r="D7" s="252"/>
      <c r="E7" s="105"/>
      <c r="F7" s="241"/>
    </row>
    <row r="8" spans="1:6" ht="21.75" thickBot="1" x14ac:dyDescent="0.4">
      <c r="A8" s="97" t="s">
        <v>7626</v>
      </c>
      <c r="B8" s="107"/>
      <c r="C8" s="107"/>
      <c r="D8" s="253"/>
      <c r="E8" s="107"/>
      <c r="F8" s="106"/>
    </row>
    <row r="9" spans="1:6" ht="21.75" thickBot="1" x14ac:dyDescent="0.4">
      <c r="A9" s="100" t="s">
        <v>7627</v>
      </c>
      <c r="B9" s="101">
        <v>21066621.237000003</v>
      </c>
      <c r="C9" s="101">
        <v>20474601.760000002</v>
      </c>
      <c r="D9" s="249">
        <f>'Total FT Payroll'!G5+'Total PT-Hourly Budgets'!D169</f>
        <v>20474601.760000002</v>
      </c>
      <c r="E9" s="101">
        <f>+D9-C9</f>
        <v>0</v>
      </c>
      <c r="F9" s="242" t="s">
        <v>9953</v>
      </c>
    </row>
    <row r="10" spans="1:6" ht="21.75" thickBot="1" x14ac:dyDescent="0.4">
      <c r="A10" s="100" t="s">
        <v>7628</v>
      </c>
      <c r="B10" s="101">
        <v>11626507.507182833</v>
      </c>
      <c r="C10" s="101">
        <v>11341853.707182834</v>
      </c>
      <c r="D10" s="249">
        <f>+'Total FT Payroll'!G6+'Total PT-Hourly Budgets'!D269</f>
        <v>11341853.707182834</v>
      </c>
      <c r="E10" s="101">
        <f>+D10-C10</f>
        <v>0</v>
      </c>
      <c r="F10" s="242" t="s">
        <v>9953</v>
      </c>
    </row>
    <row r="11" spans="1:6" ht="42.75" thickBot="1" x14ac:dyDescent="0.4">
      <c r="A11" s="100" t="s">
        <v>7629</v>
      </c>
      <c r="B11" s="102">
        <v>15292896.564603982</v>
      </c>
      <c r="C11" s="102">
        <v>14908464.369099922</v>
      </c>
      <c r="D11" s="250">
        <f>+'Total FT Payroll'!H7+'Total FT Payroll'!I13+'Total FT Payroll'!I18+'Total PT-Hourly Budgets'!O270</f>
        <v>15095559.109738452</v>
      </c>
      <c r="E11" s="258">
        <f>+D11-C11-0.74</f>
        <v>187094.00063852989</v>
      </c>
      <c r="F11" s="242" t="s">
        <v>9990</v>
      </c>
    </row>
    <row r="12" spans="1:6" ht="21.75" thickBot="1" x14ac:dyDescent="0.4">
      <c r="A12" s="108" t="s">
        <v>7897</v>
      </c>
      <c r="B12" s="103">
        <f>SUM(B9:B11)</f>
        <v>47986025.308786817</v>
      </c>
      <c r="C12" s="103">
        <f>SUM(C9:C11)</f>
        <v>46724919.83628276</v>
      </c>
      <c r="D12" s="251">
        <f>SUM(D9:D11)</f>
        <v>46912014.576921292</v>
      </c>
      <c r="E12" s="103">
        <f>SUM(E9:E11)</f>
        <v>187094.00063852989</v>
      </c>
      <c r="F12" s="244">
        <f>+D12/D19</f>
        <v>0.8602110068956772</v>
      </c>
    </row>
    <row r="13" spans="1:6" ht="21.75" thickBot="1" x14ac:dyDescent="0.4">
      <c r="A13" s="100"/>
      <c r="B13" s="101"/>
      <c r="C13" s="101"/>
      <c r="D13" s="249"/>
      <c r="E13" s="101"/>
      <c r="F13" s="243"/>
    </row>
    <row r="14" spans="1:6" ht="21.75" thickBot="1" x14ac:dyDescent="0.4">
      <c r="A14" s="100" t="s">
        <v>7630</v>
      </c>
      <c r="B14" s="101">
        <v>779812.8</v>
      </c>
      <c r="C14" s="101">
        <v>769812.8</v>
      </c>
      <c r="D14" s="249">
        <f>+'Total Discretionary Budgets'!D2</f>
        <v>769812.8</v>
      </c>
      <c r="E14" s="101">
        <f>+D14-C14</f>
        <v>0</v>
      </c>
      <c r="F14" s="243" t="s">
        <v>9941</v>
      </c>
    </row>
    <row r="15" spans="1:6" ht="21.75" customHeight="1" thickBot="1" x14ac:dyDescent="0.4">
      <c r="A15" s="100" t="s">
        <v>7631</v>
      </c>
      <c r="B15" s="101">
        <v>7524937.5800000001</v>
      </c>
      <c r="C15" s="101">
        <v>7135505.9299999997</v>
      </c>
      <c r="D15" s="249">
        <f>+'Total Discretionary Budgets'!D97</f>
        <v>7135505.9299999997</v>
      </c>
      <c r="E15" s="101">
        <f>+D15-C15</f>
        <v>0</v>
      </c>
      <c r="F15" s="243" t="s">
        <v>9960</v>
      </c>
    </row>
    <row r="16" spans="1:6" ht="21.75" thickBot="1" x14ac:dyDescent="0.4">
      <c r="A16" s="100" t="s">
        <v>7632</v>
      </c>
      <c r="B16" s="101">
        <v>122008.2</v>
      </c>
      <c r="C16" s="101">
        <v>122008.2</v>
      </c>
      <c r="D16" s="249">
        <f>+'Total Discretionary Budgets'!D497</f>
        <v>122008.2</v>
      </c>
      <c r="E16" s="101">
        <f>+D16-C16</f>
        <v>0</v>
      </c>
      <c r="F16" s="243" t="s">
        <v>9928</v>
      </c>
    </row>
    <row r="17" spans="1:6" ht="21.75" thickBot="1" x14ac:dyDescent="0.4">
      <c r="A17" s="100" t="s">
        <v>7633</v>
      </c>
      <c r="B17" s="102">
        <v>-363868</v>
      </c>
      <c r="C17" s="102">
        <v>-403868</v>
      </c>
      <c r="D17" s="250">
        <f>+'Total Discretionary Budgets'!D538</f>
        <v>-403868</v>
      </c>
      <c r="E17" s="102">
        <f>+D17-C17</f>
        <v>0</v>
      </c>
      <c r="F17" s="243" t="s">
        <v>9988</v>
      </c>
    </row>
    <row r="18" spans="1:6" ht="21.75" thickBot="1" x14ac:dyDescent="0.4">
      <c r="A18" s="108" t="s">
        <v>7900</v>
      </c>
      <c r="B18" s="131">
        <f>SUM(B14:B17)</f>
        <v>8062890.5800000001</v>
      </c>
      <c r="C18" s="131">
        <f>SUM(C14:C17)</f>
        <v>7623458.9299999997</v>
      </c>
      <c r="D18" s="254">
        <f>SUM(D14:D17)</f>
        <v>7623458.9299999997</v>
      </c>
      <c r="E18" s="246">
        <f>SUM(E14:E17)</f>
        <v>0</v>
      </c>
      <c r="F18" s="243"/>
    </row>
    <row r="19" spans="1:6" ht="21.75" thickBot="1" x14ac:dyDescent="0.4">
      <c r="A19" s="108" t="s">
        <v>7899</v>
      </c>
      <c r="B19" s="103">
        <f>+B12+B18</f>
        <v>56048915.888786815</v>
      </c>
      <c r="C19" s="103">
        <f>+C12+C18</f>
        <v>54348378.76628276</v>
      </c>
      <c r="D19" s="251">
        <f>+D12+D18</f>
        <v>54535473.506921291</v>
      </c>
      <c r="E19" s="103">
        <f>+E12+E18</f>
        <v>187094.00063852989</v>
      </c>
      <c r="F19" s="242"/>
    </row>
    <row r="20" spans="1:6" ht="24" thickBot="1" x14ac:dyDescent="0.4">
      <c r="A20" s="109"/>
      <c r="B20" s="105"/>
      <c r="C20" s="105"/>
      <c r="D20" s="252"/>
      <c r="E20" s="105"/>
      <c r="F20" s="241"/>
    </row>
    <row r="21" spans="1:6" ht="21.75" thickBot="1" x14ac:dyDescent="0.4">
      <c r="A21" s="110" t="s">
        <v>7634</v>
      </c>
      <c r="B21" s="111">
        <f>+B6-B19</f>
        <v>-1700536.8337868229</v>
      </c>
      <c r="C21" s="111">
        <f>+C6-C19</f>
        <v>0.28871723264455795</v>
      </c>
      <c r="D21" s="255">
        <f>+D6-D19</f>
        <v>1003799.553078711</v>
      </c>
      <c r="E21" s="111">
        <f>+E6-E19</f>
        <v>1003800.0043614728</v>
      </c>
      <c r="F21" s="245"/>
    </row>
    <row r="23" spans="1:6" x14ac:dyDescent="0.25">
      <c r="B23" s="125"/>
      <c r="C23" s="125"/>
      <c r="D23" s="125"/>
      <c r="E23" s="125"/>
    </row>
    <row r="24" spans="1:6" x14ac:dyDescent="0.25">
      <c r="F24" s="215"/>
    </row>
    <row r="25" spans="1:6" x14ac:dyDescent="0.25">
      <c r="B25" s="223"/>
      <c r="C25" s="223"/>
      <c r="D25" s="223"/>
      <c r="E25" s="223"/>
    </row>
    <row r="27" spans="1:6" x14ac:dyDescent="0.25">
      <c r="B27" s="222"/>
      <c r="C27" s="222"/>
      <c r="D27" s="222"/>
      <c r="E27" s="222"/>
    </row>
    <row r="28" spans="1:6" x14ac:dyDescent="0.25">
      <c r="B28" s="223">
        <v>-915678.01464603096</v>
      </c>
      <c r="C28" s="223"/>
      <c r="D28" s="223">
        <v>-915678.01464603096</v>
      </c>
      <c r="E28" s="223"/>
    </row>
    <row r="30" spans="1:6" x14ac:dyDescent="0.25">
      <c r="B30" s="223">
        <f>+B28-B21</f>
        <v>784858.81914079189</v>
      </c>
      <c r="C30" s="223"/>
      <c r="D30" s="223">
        <f>+D28-D21</f>
        <v>-1919477.567724742</v>
      </c>
      <c r="E30" s="223"/>
    </row>
  </sheetData>
  <conditionalFormatting sqref="D21:E21">
    <cfRule type="cellIs" dxfId="4" priority="2" operator="lessThan">
      <formula>0</formula>
    </cfRule>
  </conditionalFormatting>
  <conditionalFormatting sqref="B21:C21">
    <cfRule type="cellIs" dxfId="3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8"/>
  <sheetViews>
    <sheetView workbookViewId="0">
      <selection activeCell="C37" sqref="C37"/>
    </sheetView>
  </sheetViews>
  <sheetFormatPr defaultRowHeight="15" x14ac:dyDescent="0.25"/>
  <cols>
    <col min="1" max="1" width="96" bestFit="1" customWidth="1"/>
    <col min="2" max="2" width="16.140625" bestFit="1" customWidth="1"/>
    <col min="3" max="3" width="30" bestFit="1" customWidth="1"/>
    <col min="4" max="4" width="23" bestFit="1" customWidth="1"/>
    <col min="5" max="5" width="12" bestFit="1" customWidth="1"/>
  </cols>
  <sheetData>
    <row r="1" spans="1:5" x14ac:dyDescent="0.25">
      <c r="A1" s="90" t="s">
        <v>6665</v>
      </c>
      <c r="B1" s="91">
        <v>11</v>
      </c>
    </row>
    <row r="2" spans="1:5" x14ac:dyDescent="0.25">
      <c r="A2" s="90" t="s">
        <v>6670</v>
      </c>
      <c r="B2" t="s">
        <v>7292</v>
      </c>
    </row>
    <row r="3" spans="1:5" x14ac:dyDescent="0.25">
      <c r="A3" s="90" t="s">
        <v>6668</v>
      </c>
      <c r="B3" t="s">
        <v>8398</v>
      </c>
    </row>
    <row r="5" spans="1:5" x14ac:dyDescent="0.25">
      <c r="A5" s="90" t="s">
        <v>8399</v>
      </c>
      <c r="B5" s="90" t="s">
        <v>8400</v>
      </c>
    </row>
    <row r="6" spans="1:5" x14ac:dyDescent="0.25">
      <c r="A6" s="90" t="s">
        <v>7603</v>
      </c>
      <c r="B6" t="s">
        <v>7639</v>
      </c>
      <c r="C6" t="s">
        <v>7640</v>
      </c>
      <c r="D6" t="s">
        <v>7641</v>
      </c>
      <c r="E6" t="s">
        <v>7604</v>
      </c>
    </row>
    <row r="7" spans="1:5" x14ac:dyDescent="0.25">
      <c r="A7" s="91" t="s">
        <v>8401</v>
      </c>
      <c r="B7" s="138">
        <v>191917.39</v>
      </c>
      <c r="C7" s="138">
        <v>173563.24</v>
      </c>
      <c r="D7" s="138"/>
      <c r="E7" s="138">
        <v>365480.63</v>
      </c>
    </row>
    <row r="8" spans="1:5" x14ac:dyDescent="0.25">
      <c r="A8" s="91" t="s">
        <v>8402</v>
      </c>
      <c r="B8" s="138">
        <v>64103.14</v>
      </c>
      <c r="C8" s="138">
        <v>50679.15</v>
      </c>
      <c r="D8" s="138"/>
      <c r="E8" s="138">
        <v>114782.29000000001</v>
      </c>
    </row>
    <row r="9" spans="1:5" x14ac:dyDescent="0.25">
      <c r="A9" s="91" t="s">
        <v>7806</v>
      </c>
      <c r="B9" s="138">
        <v>3120</v>
      </c>
      <c r="C9" s="138">
        <v>1227.27</v>
      </c>
      <c r="D9" s="138">
        <v>3120</v>
      </c>
      <c r="E9" s="138">
        <v>7467.27</v>
      </c>
    </row>
    <row r="10" spans="1:5" x14ac:dyDescent="0.25">
      <c r="A10" s="91" t="s">
        <v>8403</v>
      </c>
      <c r="B10" s="138">
        <v>24736.5</v>
      </c>
      <c r="C10" s="138">
        <v>969</v>
      </c>
      <c r="D10" s="138"/>
      <c r="E10" s="138">
        <v>25705.5</v>
      </c>
    </row>
    <row r="11" spans="1:5" x14ac:dyDescent="0.25">
      <c r="A11" s="91" t="s">
        <v>8404</v>
      </c>
      <c r="B11" s="138">
        <v>13269.35</v>
      </c>
      <c r="C11" s="138">
        <v>30358.29</v>
      </c>
      <c r="D11" s="138"/>
      <c r="E11" s="138">
        <v>43627.64</v>
      </c>
    </row>
    <row r="12" spans="1:5" x14ac:dyDescent="0.25">
      <c r="A12" s="91" t="s">
        <v>8405</v>
      </c>
      <c r="B12" s="138">
        <v>11576.83</v>
      </c>
      <c r="C12" s="138">
        <v>9063.01</v>
      </c>
      <c r="D12" s="138"/>
      <c r="E12" s="138">
        <v>20639.84</v>
      </c>
    </row>
    <row r="13" spans="1:5" x14ac:dyDescent="0.25">
      <c r="A13" s="91" t="s">
        <v>8406</v>
      </c>
      <c r="B13" s="138">
        <v>3757.53</v>
      </c>
      <c r="C13" s="138">
        <v>3256.59</v>
      </c>
      <c r="D13" s="138"/>
      <c r="E13" s="138">
        <v>7014.1200000000008</v>
      </c>
    </row>
    <row r="14" spans="1:5" x14ac:dyDescent="0.25">
      <c r="A14" s="91" t="s">
        <v>8407</v>
      </c>
      <c r="B14" s="138">
        <v>41611.279999999999</v>
      </c>
      <c r="C14" s="138">
        <v>34093.410000000003</v>
      </c>
      <c r="D14" s="138"/>
      <c r="E14" s="138">
        <v>75704.69</v>
      </c>
    </row>
    <row r="15" spans="1:5" x14ac:dyDescent="0.25">
      <c r="A15" s="91" t="s">
        <v>8408</v>
      </c>
      <c r="B15" s="138">
        <v>129.57</v>
      </c>
      <c r="C15" s="138">
        <v>112.68</v>
      </c>
      <c r="D15" s="138"/>
      <c r="E15" s="138">
        <v>242.25</v>
      </c>
    </row>
    <row r="16" spans="1:5" x14ac:dyDescent="0.25">
      <c r="A16" s="91" t="s">
        <v>8409</v>
      </c>
      <c r="B16" s="138">
        <v>4899.84</v>
      </c>
      <c r="C16" s="138">
        <v>4278.96</v>
      </c>
      <c r="D16" s="138"/>
      <c r="E16" s="138">
        <v>9178.7999999999993</v>
      </c>
    </row>
    <row r="17" spans="1:5" x14ac:dyDescent="0.25">
      <c r="A17" s="91" t="s">
        <v>7904</v>
      </c>
      <c r="B17" s="138">
        <v>0</v>
      </c>
      <c r="C17" s="138">
        <v>822.4</v>
      </c>
      <c r="D17" s="138">
        <v>1234</v>
      </c>
      <c r="E17" s="138">
        <v>2056.4</v>
      </c>
    </row>
    <row r="18" spans="1:5" x14ac:dyDescent="0.25">
      <c r="A18" s="91" t="s">
        <v>8410</v>
      </c>
      <c r="B18" s="138">
        <v>960</v>
      </c>
      <c r="C18" s="138">
        <v>620.47</v>
      </c>
      <c r="D18" s="138"/>
      <c r="E18" s="138">
        <v>1580.47</v>
      </c>
    </row>
    <row r="19" spans="1:5" x14ac:dyDescent="0.25">
      <c r="A19" s="91" t="s">
        <v>7909</v>
      </c>
      <c r="B19" s="138">
        <v>0</v>
      </c>
      <c r="C19" s="138">
        <v>0</v>
      </c>
      <c r="D19" s="138">
        <v>5000</v>
      </c>
      <c r="E19" s="138">
        <v>5000</v>
      </c>
    </row>
    <row r="20" spans="1:5" x14ac:dyDescent="0.25">
      <c r="A20" s="91" t="s">
        <v>7915</v>
      </c>
      <c r="B20" s="138">
        <v>4000</v>
      </c>
      <c r="C20" s="138">
        <v>3441.92</v>
      </c>
      <c r="D20" s="138">
        <v>4000</v>
      </c>
      <c r="E20" s="138">
        <v>11441.92</v>
      </c>
    </row>
    <row r="21" spans="1:5" x14ac:dyDescent="0.25">
      <c r="A21" s="91" t="s">
        <v>7995</v>
      </c>
      <c r="B21" s="138">
        <v>12000</v>
      </c>
      <c r="C21" s="138">
        <v>12000</v>
      </c>
      <c r="D21" s="138">
        <v>12000</v>
      </c>
      <c r="E21" s="138">
        <v>36000</v>
      </c>
    </row>
    <row r="22" spans="1:5" x14ac:dyDescent="0.25">
      <c r="A22" s="91" t="s">
        <v>8001</v>
      </c>
      <c r="B22" s="138">
        <v>48387</v>
      </c>
      <c r="C22" s="138">
        <v>8000</v>
      </c>
      <c r="D22" s="138">
        <v>75000</v>
      </c>
      <c r="E22" s="138">
        <v>131387</v>
      </c>
    </row>
    <row r="23" spans="1:5" x14ac:dyDescent="0.25">
      <c r="A23" s="91" t="s">
        <v>8036</v>
      </c>
      <c r="B23" s="138">
        <v>441.6</v>
      </c>
      <c r="C23" s="138">
        <v>441.6</v>
      </c>
      <c r="D23" s="138">
        <v>11000</v>
      </c>
      <c r="E23" s="138">
        <v>11883.2</v>
      </c>
    </row>
    <row r="24" spans="1:5" x14ac:dyDescent="0.25">
      <c r="A24" s="91" t="s">
        <v>8077</v>
      </c>
      <c r="B24" s="138">
        <v>92000</v>
      </c>
      <c r="C24" s="138">
        <v>79168.5</v>
      </c>
      <c r="D24" s="138">
        <v>92000</v>
      </c>
      <c r="E24" s="138">
        <v>263168.5</v>
      </c>
    </row>
    <row r="25" spans="1:5" x14ac:dyDescent="0.25">
      <c r="A25" s="91" t="s">
        <v>8126</v>
      </c>
      <c r="B25" s="138">
        <v>600</v>
      </c>
      <c r="C25" s="138">
        <v>550</v>
      </c>
      <c r="D25" s="138">
        <v>600</v>
      </c>
      <c r="E25" s="138">
        <v>1750</v>
      </c>
    </row>
    <row r="26" spans="1:5" x14ac:dyDescent="0.25">
      <c r="A26" s="91" t="s">
        <v>8134</v>
      </c>
      <c r="B26" s="138">
        <v>450</v>
      </c>
      <c r="C26" s="138">
        <v>484.7</v>
      </c>
      <c r="D26" s="138">
        <v>450</v>
      </c>
      <c r="E26" s="138">
        <v>1384.7</v>
      </c>
    </row>
    <row r="27" spans="1:5" x14ac:dyDescent="0.25">
      <c r="A27" s="91" t="s">
        <v>8159</v>
      </c>
      <c r="B27" s="138">
        <v>2200</v>
      </c>
      <c r="C27" s="138">
        <v>258.39</v>
      </c>
      <c r="D27" s="138">
        <v>2200</v>
      </c>
      <c r="E27" s="138">
        <v>4658.3899999999994</v>
      </c>
    </row>
    <row r="28" spans="1:5" x14ac:dyDescent="0.25">
      <c r="A28" s="91" t="s">
        <v>8275</v>
      </c>
      <c r="B28" s="138">
        <v>1500</v>
      </c>
      <c r="C28" s="138">
        <v>500</v>
      </c>
      <c r="D28" s="138">
        <v>1500</v>
      </c>
      <c r="E28" s="138">
        <v>3500</v>
      </c>
    </row>
    <row r="29" spans="1:5" x14ac:dyDescent="0.25">
      <c r="A29" s="91" t="s">
        <v>8331</v>
      </c>
      <c r="B29" s="138">
        <v>10900</v>
      </c>
      <c r="C29" s="138">
        <v>994.95</v>
      </c>
      <c r="D29" s="138">
        <v>10900</v>
      </c>
      <c r="E29" s="138">
        <v>22794.95</v>
      </c>
    </row>
    <row r="30" spans="1:5" x14ac:dyDescent="0.25">
      <c r="A30" s="91" t="s">
        <v>8078</v>
      </c>
      <c r="B30" s="138">
        <v>800</v>
      </c>
      <c r="C30" s="138">
        <v>0</v>
      </c>
      <c r="D30" s="138">
        <v>800</v>
      </c>
      <c r="E30" s="138">
        <v>1600</v>
      </c>
    </row>
    <row r="31" spans="1:5" x14ac:dyDescent="0.25">
      <c r="A31" s="91" t="s">
        <v>8411</v>
      </c>
      <c r="B31" s="138">
        <v>20160</v>
      </c>
      <c r="C31" s="138">
        <v>17040</v>
      </c>
      <c r="D31" s="138"/>
      <c r="E31" s="138">
        <v>37200</v>
      </c>
    </row>
    <row r="32" spans="1:5" x14ac:dyDescent="0.25">
      <c r="A32" s="91" t="s">
        <v>8412</v>
      </c>
      <c r="B32" s="138">
        <v>0</v>
      </c>
      <c r="C32" s="138">
        <v>99.36</v>
      </c>
      <c r="D32" s="138"/>
      <c r="E32" s="138">
        <v>99.36</v>
      </c>
    </row>
    <row r="33" spans="1:5" x14ac:dyDescent="0.25">
      <c r="A33" s="91" t="s">
        <v>8413</v>
      </c>
      <c r="B33" s="138">
        <v>1071.3599999999999</v>
      </c>
      <c r="C33" s="138">
        <v>805.36</v>
      </c>
      <c r="D33" s="138"/>
      <c r="E33" s="138">
        <v>1876.7199999999998</v>
      </c>
    </row>
    <row r="34" spans="1:5" x14ac:dyDescent="0.25">
      <c r="A34" s="91" t="s">
        <v>8414</v>
      </c>
      <c r="B34" s="138">
        <v>292.32</v>
      </c>
      <c r="C34" s="138">
        <v>188.36</v>
      </c>
      <c r="D34" s="138"/>
      <c r="E34" s="138">
        <v>480.68</v>
      </c>
    </row>
    <row r="35" spans="1:5" x14ac:dyDescent="0.25">
      <c r="A35" s="91" t="s">
        <v>8415</v>
      </c>
      <c r="B35" s="138">
        <v>154698.5</v>
      </c>
      <c r="C35" s="138">
        <v>111344.75</v>
      </c>
      <c r="D35" s="138"/>
      <c r="E35" s="138">
        <v>266043.25</v>
      </c>
    </row>
    <row r="36" spans="1:5" x14ac:dyDescent="0.25">
      <c r="A36" s="91" t="s">
        <v>8416</v>
      </c>
      <c r="B36" s="138">
        <v>0</v>
      </c>
      <c r="C36" s="138">
        <v>1647</v>
      </c>
      <c r="D36" s="138"/>
      <c r="E36" s="138">
        <v>1647</v>
      </c>
    </row>
    <row r="37" spans="1:5" x14ac:dyDescent="0.25">
      <c r="A37" s="91" t="s">
        <v>8417</v>
      </c>
      <c r="B37" s="138">
        <v>10.08</v>
      </c>
      <c r="C37" s="138">
        <v>7.74</v>
      </c>
      <c r="D37" s="138"/>
      <c r="E37" s="138">
        <v>17.82</v>
      </c>
    </row>
    <row r="38" spans="1:5" x14ac:dyDescent="0.25">
      <c r="A38" s="91" t="s">
        <v>8418</v>
      </c>
      <c r="B38" s="138">
        <v>381.22</v>
      </c>
      <c r="C38" s="138">
        <v>322.33999999999997</v>
      </c>
      <c r="D38" s="138"/>
      <c r="E38" s="138">
        <v>703.56</v>
      </c>
    </row>
    <row r="39" spans="1:5" x14ac:dyDescent="0.25">
      <c r="A39" s="91" t="s">
        <v>7910</v>
      </c>
      <c r="B39" s="138">
        <v>4800</v>
      </c>
      <c r="C39" s="138">
        <v>1785</v>
      </c>
      <c r="D39" s="138">
        <v>4800</v>
      </c>
      <c r="E39" s="138">
        <v>11385</v>
      </c>
    </row>
    <row r="40" spans="1:5" x14ac:dyDescent="0.25">
      <c r="A40" s="91" t="s">
        <v>7916</v>
      </c>
      <c r="B40" s="138">
        <v>610</v>
      </c>
      <c r="C40" s="138">
        <v>461.08</v>
      </c>
      <c r="D40" s="138">
        <v>610</v>
      </c>
      <c r="E40" s="138">
        <v>1681.08</v>
      </c>
    </row>
    <row r="41" spans="1:5" x14ac:dyDescent="0.25">
      <c r="A41" s="91" t="s">
        <v>8037</v>
      </c>
      <c r="B41" s="138">
        <v>17500</v>
      </c>
      <c r="C41" s="138">
        <v>2045.66</v>
      </c>
      <c r="D41" s="138">
        <v>35000</v>
      </c>
      <c r="E41" s="138">
        <v>54545.66</v>
      </c>
    </row>
    <row r="42" spans="1:5" x14ac:dyDescent="0.25">
      <c r="A42" s="91" t="s">
        <v>8079</v>
      </c>
      <c r="B42" s="138">
        <v>600</v>
      </c>
      <c r="C42" s="138">
        <v>150</v>
      </c>
      <c r="D42" s="138">
        <v>600</v>
      </c>
      <c r="E42" s="138">
        <v>1350</v>
      </c>
    </row>
    <row r="43" spans="1:5" x14ac:dyDescent="0.25">
      <c r="A43" s="91" t="s">
        <v>8330</v>
      </c>
      <c r="B43" s="138">
        <v>320114.25</v>
      </c>
      <c r="C43" s="138">
        <v>320114.25</v>
      </c>
      <c r="D43" s="138">
        <v>0</v>
      </c>
      <c r="E43" s="138">
        <v>640228.5</v>
      </c>
    </row>
    <row r="44" spans="1:5" x14ac:dyDescent="0.25">
      <c r="A44" s="91" t="s">
        <v>8332</v>
      </c>
      <c r="B44" s="138">
        <v>1000</v>
      </c>
      <c r="C44" s="138">
        <v>495.81</v>
      </c>
      <c r="D44" s="138">
        <v>1000</v>
      </c>
      <c r="E44" s="138">
        <v>2495.81</v>
      </c>
    </row>
    <row r="45" spans="1:5" x14ac:dyDescent="0.25">
      <c r="A45" s="91" t="s">
        <v>8393</v>
      </c>
      <c r="B45" s="138"/>
      <c r="C45" s="138"/>
      <c r="D45" s="138">
        <v>5000</v>
      </c>
      <c r="E45" s="138">
        <v>5000</v>
      </c>
    </row>
    <row r="46" spans="1:5" x14ac:dyDescent="0.25">
      <c r="A46" s="91" t="s">
        <v>8394</v>
      </c>
      <c r="B46" s="138">
        <v>0</v>
      </c>
      <c r="C46" s="138">
        <v>0</v>
      </c>
      <c r="D46" s="138"/>
      <c r="E46" s="138">
        <v>0</v>
      </c>
    </row>
    <row r="47" spans="1:5" x14ac:dyDescent="0.25">
      <c r="A47" s="91" t="s">
        <v>8002</v>
      </c>
      <c r="B47" s="138">
        <v>0</v>
      </c>
      <c r="C47" s="138">
        <v>22669.200000000001</v>
      </c>
      <c r="D47" s="138">
        <v>0</v>
      </c>
      <c r="E47" s="138">
        <v>22669.200000000001</v>
      </c>
    </row>
    <row r="48" spans="1:5" x14ac:dyDescent="0.25">
      <c r="A48" s="91" t="s">
        <v>8038</v>
      </c>
      <c r="B48" s="138">
        <v>10000</v>
      </c>
      <c r="C48" s="138">
        <v>5125</v>
      </c>
      <c r="D48" s="138">
        <v>15000</v>
      </c>
      <c r="E48" s="138">
        <v>30125</v>
      </c>
    </row>
    <row r="49" spans="1:5" x14ac:dyDescent="0.25">
      <c r="A49" s="91" t="s">
        <v>8080</v>
      </c>
      <c r="B49" s="138">
        <v>3000</v>
      </c>
      <c r="C49" s="138">
        <v>2865</v>
      </c>
      <c r="D49" s="138">
        <v>3000</v>
      </c>
      <c r="E49" s="138">
        <v>8865</v>
      </c>
    </row>
    <row r="50" spans="1:5" x14ac:dyDescent="0.25">
      <c r="A50" s="91" t="s">
        <v>8160</v>
      </c>
      <c r="B50" s="138">
        <v>35</v>
      </c>
      <c r="C50" s="138">
        <v>0</v>
      </c>
      <c r="D50" s="138">
        <v>350</v>
      </c>
      <c r="E50" s="138">
        <v>385</v>
      </c>
    </row>
    <row r="51" spans="1:5" x14ac:dyDescent="0.25">
      <c r="A51" s="91" t="s">
        <v>8419</v>
      </c>
      <c r="B51" s="138">
        <v>143938.04</v>
      </c>
      <c r="C51" s="138">
        <v>130172.4</v>
      </c>
      <c r="D51" s="138"/>
      <c r="E51" s="138">
        <v>274110.44</v>
      </c>
    </row>
    <row r="52" spans="1:5" x14ac:dyDescent="0.25">
      <c r="A52" s="91" t="s">
        <v>8420</v>
      </c>
      <c r="B52" s="138">
        <v>48077.36</v>
      </c>
      <c r="C52" s="138">
        <v>38009.360000000001</v>
      </c>
      <c r="D52" s="138"/>
      <c r="E52" s="138">
        <v>86086.720000000001</v>
      </c>
    </row>
    <row r="53" spans="1:5" x14ac:dyDescent="0.25">
      <c r="A53" s="91" t="s">
        <v>7807</v>
      </c>
      <c r="B53" s="138">
        <v>2340</v>
      </c>
      <c r="C53" s="138">
        <v>920.68</v>
      </c>
      <c r="D53" s="138">
        <v>2340</v>
      </c>
      <c r="E53" s="138">
        <v>5600.68</v>
      </c>
    </row>
    <row r="54" spans="1:5" x14ac:dyDescent="0.25">
      <c r="A54" s="91" t="s">
        <v>8421</v>
      </c>
      <c r="B54" s="138">
        <v>18552.38</v>
      </c>
      <c r="C54" s="138">
        <v>726.75</v>
      </c>
      <c r="D54" s="138"/>
      <c r="E54" s="138">
        <v>19279.13</v>
      </c>
    </row>
    <row r="55" spans="1:5" x14ac:dyDescent="0.25">
      <c r="A55" s="91" t="s">
        <v>8422</v>
      </c>
      <c r="B55" s="138">
        <v>9952.01</v>
      </c>
      <c r="C55" s="138">
        <v>22768.77</v>
      </c>
      <c r="D55" s="138"/>
      <c r="E55" s="138">
        <v>32720.78</v>
      </c>
    </row>
    <row r="56" spans="1:5" x14ac:dyDescent="0.25">
      <c r="A56" s="91" t="s">
        <v>8423</v>
      </c>
      <c r="B56" s="138">
        <v>8682.6200000000008</v>
      </c>
      <c r="C56" s="138">
        <v>6797.25</v>
      </c>
      <c r="D56" s="138"/>
      <c r="E56" s="138">
        <v>15479.87</v>
      </c>
    </row>
    <row r="57" spans="1:5" x14ac:dyDescent="0.25">
      <c r="A57" s="91" t="s">
        <v>8424</v>
      </c>
      <c r="B57" s="138">
        <v>2818.16</v>
      </c>
      <c r="C57" s="138">
        <v>2442.44</v>
      </c>
      <c r="D57" s="138"/>
      <c r="E57" s="138">
        <v>5260.6</v>
      </c>
    </row>
    <row r="58" spans="1:5" x14ac:dyDescent="0.25">
      <c r="A58" s="91" t="s">
        <v>8425</v>
      </c>
      <c r="B58" s="138">
        <v>31208.45</v>
      </c>
      <c r="C58" s="138">
        <v>25595.919999999998</v>
      </c>
      <c r="D58" s="138"/>
      <c r="E58" s="138">
        <v>56804.369999999995</v>
      </c>
    </row>
    <row r="59" spans="1:5" x14ac:dyDescent="0.25">
      <c r="A59" s="91" t="s">
        <v>8426</v>
      </c>
      <c r="B59" s="138">
        <v>97.18</v>
      </c>
      <c r="C59" s="138">
        <v>84.39</v>
      </c>
      <c r="D59" s="138"/>
      <c r="E59" s="138">
        <v>181.57</v>
      </c>
    </row>
    <row r="60" spans="1:5" x14ac:dyDescent="0.25">
      <c r="A60" s="91" t="s">
        <v>8427</v>
      </c>
      <c r="B60" s="138">
        <v>3674.87</v>
      </c>
      <c r="C60" s="138">
        <v>3209.2</v>
      </c>
      <c r="D60" s="138"/>
      <c r="E60" s="138">
        <v>6884.07</v>
      </c>
    </row>
    <row r="61" spans="1:5" x14ac:dyDescent="0.25">
      <c r="A61" s="91" t="s">
        <v>7905</v>
      </c>
      <c r="B61" s="138">
        <v>0</v>
      </c>
      <c r="C61" s="138">
        <v>616.79999999999995</v>
      </c>
      <c r="D61" s="138">
        <v>935</v>
      </c>
      <c r="E61" s="138">
        <v>1551.8</v>
      </c>
    </row>
    <row r="62" spans="1:5" x14ac:dyDescent="0.25">
      <c r="A62" s="91" t="s">
        <v>8428</v>
      </c>
      <c r="B62" s="138">
        <v>720</v>
      </c>
      <c r="C62" s="138">
        <v>465.35</v>
      </c>
      <c r="D62" s="138"/>
      <c r="E62" s="138">
        <v>1185.3499999999999</v>
      </c>
    </row>
    <row r="63" spans="1:5" x14ac:dyDescent="0.25">
      <c r="A63" s="91" t="s">
        <v>8127</v>
      </c>
      <c r="B63" s="138">
        <v>307</v>
      </c>
      <c r="C63" s="138">
        <v>192.5</v>
      </c>
      <c r="D63" s="138">
        <v>307</v>
      </c>
      <c r="E63" s="138">
        <v>806.5</v>
      </c>
    </row>
    <row r="64" spans="1:5" x14ac:dyDescent="0.25">
      <c r="A64" s="91" t="s">
        <v>8161</v>
      </c>
      <c r="B64" s="138">
        <v>700</v>
      </c>
      <c r="C64" s="138">
        <v>193.8</v>
      </c>
      <c r="D64" s="138">
        <v>700</v>
      </c>
      <c r="E64" s="138">
        <v>1593.8</v>
      </c>
    </row>
    <row r="65" spans="1:5" x14ac:dyDescent="0.25">
      <c r="A65" s="91" t="s">
        <v>8429</v>
      </c>
      <c r="B65" s="138">
        <v>20037</v>
      </c>
      <c r="C65" s="138">
        <v>14642.66</v>
      </c>
      <c r="D65" s="138"/>
      <c r="E65" s="138">
        <v>34679.660000000003</v>
      </c>
    </row>
    <row r="66" spans="1:5" x14ac:dyDescent="0.25">
      <c r="A66" s="91" t="s">
        <v>7808</v>
      </c>
      <c r="B66" s="138">
        <v>0</v>
      </c>
      <c r="C66" s="138">
        <v>43.35</v>
      </c>
      <c r="D66" s="138"/>
      <c r="E66" s="138">
        <v>43.35</v>
      </c>
    </row>
    <row r="67" spans="1:5" x14ac:dyDescent="0.25">
      <c r="A67" s="91" t="s">
        <v>8430</v>
      </c>
      <c r="B67" s="138">
        <v>4147.66</v>
      </c>
      <c r="C67" s="138">
        <v>3031.03</v>
      </c>
      <c r="D67" s="138"/>
      <c r="E67" s="138">
        <v>7178.6900000000005</v>
      </c>
    </row>
    <row r="68" spans="1:5" x14ac:dyDescent="0.25">
      <c r="A68" s="91" t="s">
        <v>8431</v>
      </c>
      <c r="B68" s="138">
        <v>1242.29</v>
      </c>
      <c r="C68" s="138">
        <v>894.62</v>
      </c>
      <c r="D68" s="138"/>
      <c r="E68" s="138">
        <v>2136.91</v>
      </c>
    </row>
    <row r="69" spans="1:5" x14ac:dyDescent="0.25">
      <c r="A69" s="91" t="s">
        <v>8432</v>
      </c>
      <c r="B69" s="138">
        <v>290.54000000000002</v>
      </c>
      <c r="C69" s="138">
        <v>209.26</v>
      </c>
      <c r="D69" s="138"/>
      <c r="E69" s="138">
        <v>499.8</v>
      </c>
    </row>
    <row r="70" spans="1:5" x14ac:dyDescent="0.25">
      <c r="A70" s="91" t="s">
        <v>8433</v>
      </c>
      <c r="B70" s="138">
        <v>6931.98</v>
      </c>
      <c r="C70" s="138">
        <v>4930.83</v>
      </c>
      <c r="D70" s="138"/>
      <c r="E70" s="138">
        <v>11862.81</v>
      </c>
    </row>
    <row r="71" spans="1:5" x14ac:dyDescent="0.25">
      <c r="A71" s="91" t="s">
        <v>8434</v>
      </c>
      <c r="B71" s="138">
        <v>10.02</v>
      </c>
      <c r="C71" s="138">
        <v>7.22</v>
      </c>
      <c r="D71" s="138"/>
      <c r="E71" s="138">
        <v>17.239999999999998</v>
      </c>
    </row>
    <row r="72" spans="1:5" x14ac:dyDescent="0.25">
      <c r="A72" s="91" t="s">
        <v>8435</v>
      </c>
      <c r="B72" s="138">
        <v>378.86</v>
      </c>
      <c r="C72" s="138">
        <v>277.66000000000003</v>
      </c>
      <c r="D72" s="138"/>
      <c r="E72" s="138">
        <v>656.52</v>
      </c>
    </row>
    <row r="73" spans="1:5" x14ac:dyDescent="0.25">
      <c r="A73" s="91" t="s">
        <v>8436</v>
      </c>
      <c r="B73" s="138">
        <v>720</v>
      </c>
      <c r="C73" s="138">
        <v>465.34</v>
      </c>
      <c r="D73" s="138"/>
      <c r="E73" s="138">
        <v>1185.3399999999999</v>
      </c>
    </row>
    <row r="74" spans="1:5" x14ac:dyDescent="0.25">
      <c r="A74" s="91" t="s">
        <v>8162</v>
      </c>
      <c r="B74" s="138">
        <v>35.909999999999997</v>
      </c>
      <c r="C74" s="138">
        <v>15.23</v>
      </c>
      <c r="D74" s="138">
        <v>222</v>
      </c>
      <c r="E74" s="138">
        <v>273.14</v>
      </c>
    </row>
    <row r="75" spans="1:5" x14ac:dyDescent="0.25">
      <c r="A75" s="91" t="s">
        <v>8437</v>
      </c>
      <c r="B75" s="138">
        <v>143938.04</v>
      </c>
      <c r="C75" s="138">
        <v>130172.39</v>
      </c>
      <c r="D75" s="138"/>
      <c r="E75" s="138">
        <v>274110.43</v>
      </c>
    </row>
    <row r="76" spans="1:5" x14ac:dyDescent="0.25">
      <c r="A76" s="91" t="s">
        <v>7809</v>
      </c>
      <c r="B76" s="138">
        <v>2340</v>
      </c>
      <c r="C76" s="138">
        <v>876.9</v>
      </c>
      <c r="D76" s="138">
        <v>2340</v>
      </c>
      <c r="E76" s="138">
        <v>5556.9</v>
      </c>
    </row>
    <row r="77" spans="1:5" x14ac:dyDescent="0.25">
      <c r="A77" s="91" t="s">
        <v>8438</v>
      </c>
      <c r="B77" s="138">
        <v>18552.38</v>
      </c>
      <c r="C77" s="138">
        <v>726.75</v>
      </c>
      <c r="D77" s="138"/>
      <c r="E77" s="138">
        <v>19279.13</v>
      </c>
    </row>
    <row r="78" spans="1:5" x14ac:dyDescent="0.25">
      <c r="A78" s="91" t="s">
        <v>8439</v>
      </c>
      <c r="B78" s="138">
        <v>0</v>
      </c>
      <c r="C78" s="138">
        <v>14900.81</v>
      </c>
      <c r="D78" s="138"/>
      <c r="E78" s="138">
        <v>14900.81</v>
      </c>
    </row>
    <row r="79" spans="1:5" x14ac:dyDescent="0.25">
      <c r="A79" s="91" t="s">
        <v>8440</v>
      </c>
      <c r="B79" s="138">
        <v>5701.83</v>
      </c>
      <c r="C79" s="138">
        <v>4501.5</v>
      </c>
      <c r="D79" s="138"/>
      <c r="E79" s="138">
        <v>10203.33</v>
      </c>
    </row>
    <row r="80" spans="1:5" x14ac:dyDescent="0.25">
      <c r="A80" s="91" t="s">
        <v>8441</v>
      </c>
      <c r="B80" s="138">
        <v>2121.0300000000002</v>
      </c>
      <c r="C80" s="138">
        <v>1905.52</v>
      </c>
      <c r="D80" s="138"/>
      <c r="E80" s="138">
        <v>4026.55</v>
      </c>
    </row>
    <row r="81" spans="1:5" x14ac:dyDescent="0.25">
      <c r="A81" s="91" t="s">
        <v>8442</v>
      </c>
      <c r="B81" s="138">
        <v>14340.04</v>
      </c>
      <c r="C81" s="138">
        <v>12548.31</v>
      </c>
      <c r="D81" s="138"/>
      <c r="E81" s="138">
        <v>26888.35</v>
      </c>
    </row>
    <row r="82" spans="1:5" x14ac:dyDescent="0.25">
      <c r="A82" s="91" t="s">
        <v>8443</v>
      </c>
      <c r="B82" s="138">
        <v>73.14</v>
      </c>
      <c r="C82" s="138">
        <v>65.900000000000006</v>
      </c>
      <c r="D82" s="138"/>
      <c r="E82" s="138">
        <v>139.04000000000002</v>
      </c>
    </row>
    <row r="83" spans="1:5" x14ac:dyDescent="0.25">
      <c r="A83" s="91" t="s">
        <v>8444</v>
      </c>
      <c r="B83" s="138">
        <v>2765.82</v>
      </c>
      <c r="C83" s="138">
        <v>2489.73</v>
      </c>
      <c r="D83" s="138"/>
      <c r="E83" s="138">
        <v>5255.55</v>
      </c>
    </row>
    <row r="84" spans="1:5" x14ac:dyDescent="0.25">
      <c r="A84" s="91" t="s">
        <v>7906</v>
      </c>
      <c r="B84" s="138">
        <v>0</v>
      </c>
      <c r="C84" s="138">
        <v>616.79999999999995</v>
      </c>
      <c r="D84" s="138">
        <v>935</v>
      </c>
      <c r="E84" s="138">
        <v>1551.8</v>
      </c>
    </row>
    <row r="85" spans="1:5" x14ac:dyDescent="0.25">
      <c r="A85" s="91" t="s">
        <v>8128</v>
      </c>
      <c r="B85" s="138">
        <v>306</v>
      </c>
      <c r="C85" s="138">
        <v>192.5</v>
      </c>
      <c r="D85" s="138">
        <v>306</v>
      </c>
      <c r="E85" s="138">
        <v>804.5</v>
      </c>
    </row>
    <row r="86" spans="1:5" x14ac:dyDescent="0.25">
      <c r="A86" s="91" t="s">
        <v>8163</v>
      </c>
      <c r="B86" s="138">
        <v>0</v>
      </c>
      <c r="C86" s="138">
        <v>178.57</v>
      </c>
      <c r="D86" s="138">
        <v>0</v>
      </c>
      <c r="E86" s="138">
        <v>178.57</v>
      </c>
    </row>
    <row r="87" spans="1:5" x14ac:dyDescent="0.25">
      <c r="A87" s="91" t="s">
        <v>7693</v>
      </c>
      <c r="B87" s="138">
        <v>0</v>
      </c>
      <c r="C87" s="138">
        <v>624.05999999999995</v>
      </c>
      <c r="D87" s="138"/>
      <c r="E87" s="138">
        <v>624.05999999999995</v>
      </c>
    </row>
    <row r="88" spans="1:5" x14ac:dyDescent="0.25">
      <c r="A88" s="91" t="s">
        <v>8445</v>
      </c>
      <c r="B88" s="138">
        <v>0</v>
      </c>
      <c r="C88" s="138">
        <v>38.69</v>
      </c>
      <c r="D88" s="138"/>
      <c r="E88" s="138">
        <v>38.69</v>
      </c>
    </row>
    <row r="89" spans="1:5" x14ac:dyDescent="0.25">
      <c r="A89" s="91" t="s">
        <v>8446</v>
      </c>
      <c r="B89" s="138">
        <v>0</v>
      </c>
      <c r="C89" s="138">
        <v>9.0500000000000007</v>
      </c>
      <c r="D89" s="138"/>
      <c r="E89" s="138">
        <v>9.0500000000000007</v>
      </c>
    </row>
    <row r="90" spans="1:5" x14ac:dyDescent="0.25">
      <c r="A90" s="91" t="s">
        <v>8447</v>
      </c>
      <c r="B90" s="138">
        <v>0</v>
      </c>
      <c r="C90" s="138">
        <v>0.31</v>
      </c>
      <c r="D90" s="138"/>
      <c r="E90" s="138">
        <v>0.31</v>
      </c>
    </row>
    <row r="91" spans="1:5" x14ac:dyDescent="0.25">
      <c r="A91" s="91" t="s">
        <v>8448</v>
      </c>
      <c r="B91" s="138">
        <v>0</v>
      </c>
      <c r="C91" s="138">
        <v>11.8</v>
      </c>
      <c r="D91" s="138"/>
      <c r="E91" s="138">
        <v>11.8</v>
      </c>
    </row>
    <row r="92" spans="1:5" x14ac:dyDescent="0.25">
      <c r="A92" s="91" t="s">
        <v>7694</v>
      </c>
      <c r="B92" s="138">
        <v>32269</v>
      </c>
      <c r="C92" s="138">
        <v>19822.93</v>
      </c>
      <c r="D92" s="138">
        <v>32269</v>
      </c>
      <c r="E92" s="138">
        <v>84360.93</v>
      </c>
    </row>
    <row r="93" spans="1:5" x14ac:dyDescent="0.25">
      <c r="A93" s="91" t="s">
        <v>8449</v>
      </c>
      <c r="B93" s="138">
        <v>5211.4399999999996</v>
      </c>
      <c r="C93" s="138">
        <v>671.22</v>
      </c>
      <c r="D93" s="138"/>
      <c r="E93" s="138">
        <v>5882.66</v>
      </c>
    </row>
    <row r="94" spans="1:5" x14ac:dyDescent="0.25">
      <c r="A94" s="91" t="s">
        <v>8450</v>
      </c>
      <c r="B94" s="138">
        <v>0</v>
      </c>
      <c r="C94" s="138">
        <v>144.87</v>
      </c>
      <c r="D94" s="138"/>
      <c r="E94" s="138">
        <v>144.87</v>
      </c>
    </row>
    <row r="95" spans="1:5" x14ac:dyDescent="0.25">
      <c r="A95" s="91" t="s">
        <v>8451</v>
      </c>
      <c r="B95" s="138">
        <v>467.9</v>
      </c>
      <c r="C95" s="138">
        <v>287.44</v>
      </c>
      <c r="D95" s="138"/>
      <c r="E95" s="138">
        <v>755.33999999999992</v>
      </c>
    </row>
    <row r="96" spans="1:5" x14ac:dyDescent="0.25">
      <c r="A96" s="91" t="s">
        <v>8452</v>
      </c>
      <c r="B96" s="138">
        <v>16.13</v>
      </c>
      <c r="C96" s="138">
        <v>9.93</v>
      </c>
      <c r="D96" s="138"/>
      <c r="E96" s="138">
        <v>26.06</v>
      </c>
    </row>
    <row r="97" spans="1:5" x14ac:dyDescent="0.25">
      <c r="A97" s="91" t="s">
        <v>8453</v>
      </c>
      <c r="B97" s="138">
        <v>610.14</v>
      </c>
      <c r="C97" s="138">
        <v>374.84</v>
      </c>
      <c r="D97" s="138"/>
      <c r="E97" s="138">
        <v>984.98</v>
      </c>
    </row>
    <row r="98" spans="1:5" x14ac:dyDescent="0.25">
      <c r="A98" s="91" t="s">
        <v>7644</v>
      </c>
      <c r="B98" s="138">
        <v>0</v>
      </c>
      <c r="C98" s="138">
        <v>3580.74</v>
      </c>
      <c r="D98" s="138">
        <v>0</v>
      </c>
      <c r="E98" s="138">
        <v>3580.74</v>
      </c>
    </row>
    <row r="99" spans="1:5" x14ac:dyDescent="0.25">
      <c r="A99" s="91" t="s">
        <v>7695</v>
      </c>
      <c r="B99" s="138">
        <v>21502</v>
      </c>
      <c r="C99" s="138">
        <v>20982.240000000002</v>
      </c>
      <c r="D99" s="138">
        <v>21502</v>
      </c>
      <c r="E99" s="138">
        <v>63986.240000000005</v>
      </c>
    </row>
    <row r="100" spans="1:5" x14ac:dyDescent="0.25">
      <c r="A100" s="91" t="s">
        <v>8454</v>
      </c>
      <c r="B100" s="138">
        <v>3472.57</v>
      </c>
      <c r="C100" s="138">
        <v>3966.94</v>
      </c>
      <c r="D100" s="138"/>
      <c r="E100" s="138">
        <v>7439.51</v>
      </c>
    </row>
    <row r="101" spans="1:5" x14ac:dyDescent="0.25">
      <c r="A101" s="91" t="s">
        <v>8455</v>
      </c>
      <c r="B101" s="138">
        <v>311.77999999999997</v>
      </c>
      <c r="C101" s="138">
        <v>356.22</v>
      </c>
      <c r="D101" s="138"/>
      <c r="E101" s="138">
        <v>668</v>
      </c>
    </row>
    <row r="102" spans="1:5" x14ac:dyDescent="0.25">
      <c r="A102" s="91" t="s">
        <v>8456</v>
      </c>
      <c r="B102" s="138">
        <v>10.75</v>
      </c>
      <c r="C102" s="138">
        <v>12.28</v>
      </c>
      <c r="D102" s="138"/>
      <c r="E102" s="138">
        <v>23.03</v>
      </c>
    </row>
    <row r="103" spans="1:5" x14ac:dyDescent="0.25">
      <c r="A103" s="91" t="s">
        <v>8457</v>
      </c>
      <c r="B103" s="138">
        <v>406.56</v>
      </c>
      <c r="C103" s="138">
        <v>464.41</v>
      </c>
      <c r="D103" s="138"/>
      <c r="E103" s="138">
        <v>870.97</v>
      </c>
    </row>
    <row r="104" spans="1:5" x14ac:dyDescent="0.25">
      <c r="A104" s="91" t="s">
        <v>7696</v>
      </c>
      <c r="B104" s="138">
        <v>24352</v>
      </c>
      <c r="C104" s="138">
        <v>15583.3</v>
      </c>
      <c r="D104" s="138">
        <v>24352</v>
      </c>
      <c r="E104" s="138">
        <v>64287.3</v>
      </c>
    </row>
    <row r="105" spans="1:5" x14ac:dyDescent="0.25">
      <c r="A105" s="91" t="s">
        <v>8458</v>
      </c>
      <c r="B105" s="138">
        <v>3932.85</v>
      </c>
      <c r="C105" s="138">
        <v>2516.75</v>
      </c>
      <c r="D105" s="138"/>
      <c r="E105" s="138">
        <v>6449.6</v>
      </c>
    </row>
    <row r="106" spans="1:5" x14ac:dyDescent="0.25">
      <c r="A106" s="91" t="s">
        <v>8459</v>
      </c>
      <c r="B106" s="138">
        <v>353.1</v>
      </c>
      <c r="C106" s="138">
        <v>225.95</v>
      </c>
      <c r="D106" s="138"/>
      <c r="E106" s="138">
        <v>579.04999999999995</v>
      </c>
    </row>
    <row r="107" spans="1:5" x14ac:dyDescent="0.25">
      <c r="A107" s="91" t="s">
        <v>8460</v>
      </c>
      <c r="B107" s="138">
        <v>12.18</v>
      </c>
      <c r="C107" s="138">
        <v>7.8</v>
      </c>
      <c r="D107" s="138"/>
      <c r="E107" s="138">
        <v>19.98</v>
      </c>
    </row>
    <row r="108" spans="1:5" x14ac:dyDescent="0.25">
      <c r="A108" s="91" t="s">
        <v>8461</v>
      </c>
      <c r="B108" s="138">
        <v>460.45</v>
      </c>
      <c r="C108" s="138">
        <v>294.66000000000003</v>
      </c>
      <c r="D108" s="138"/>
      <c r="E108" s="138">
        <v>755.11</v>
      </c>
    </row>
    <row r="109" spans="1:5" x14ac:dyDescent="0.25">
      <c r="A109" s="91" t="s">
        <v>7697</v>
      </c>
      <c r="B109" s="138">
        <v>6738</v>
      </c>
      <c r="C109" s="138">
        <v>0</v>
      </c>
      <c r="D109" s="138">
        <v>6738</v>
      </c>
      <c r="E109" s="138">
        <v>13476</v>
      </c>
    </row>
    <row r="110" spans="1:5" x14ac:dyDescent="0.25">
      <c r="A110" s="91" t="s">
        <v>8462</v>
      </c>
      <c r="B110" s="138">
        <v>2218.69</v>
      </c>
      <c r="C110" s="138">
        <v>0</v>
      </c>
      <c r="D110" s="138"/>
      <c r="E110" s="138">
        <v>2218.69</v>
      </c>
    </row>
    <row r="111" spans="1:5" x14ac:dyDescent="0.25">
      <c r="A111" s="91" t="s">
        <v>8463</v>
      </c>
      <c r="B111" s="138">
        <v>199.2</v>
      </c>
      <c r="C111" s="138">
        <v>0</v>
      </c>
      <c r="D111" s="138"/>
      <c r="E111" s="138">
        <v>199.2</v>
      </c>
    </row>
    <row r="112" spans="1:5" x14ac:dyDescent="0.25">
      <c r="A112" s="91" t="s">
        <v>8464</v>
      </c>
      <c r="B112" s="138">
        <v>6.87</v>
      </c>
      <c r="C112" s="138">
        <v>0</v>
      </c>
      <c r="D112" s="138"/>
      <c r="E112" s="138">
        <v>6.87</v>
      </c>
    </row>
    <row r="113" spans="1:5" x14ac:dyDescent="0.25">
      <c r="A113" s="91" t="s">
        <v>8465</v>
      </c>
      <c r="B113" s="138">
        <v>259.76</v>
      </c>
      <c r="C113" s="138">
        <v>0</v>
      </c>
      <c r="D113" s="138"/>
      <c r="E113" s="138">
        <v>259.76</v>
      </c>
    </row>
    <row r="114" spans="1:5" x14ac:dyDescent="0.25">
      <c r="A114" s="91" t="s">
        <v>7698</v>
      </c>
      <c r="B114" s="138">
        <v>21635</v>
      </c>
      <c r="C114" s="138">
        <v>5216.3999999999996</v>
      </c>
      <c r="D114" s="138">
        <v>21635</v>
      </c>
      <c r="E114" s="138">
        <v>48486.400000000001</v>
      </c>
    </row>
    <row r="115" spans="1:5" x14ac:dyDescent="0.25">
      <c r="A115" s="91" t="s">
        <v>8466</v>
      </c>
      <c r="B115" s="138">
        <v>3494.05</v>
      </c>
      <c r="C115" s="138">
        <v>842.46</v>
      </c>
      <c r="D115" s="138"/>
      <c r="E115" s="138">
        <v>4336.51</v>
      </c>
    </row>
    <row r="116" spans="1:5" x14ac:dyDescent="0.25">
      <c r="A116" s="91" t="s">
        <v>8467</v>
      </c>
      <c r="B116" s="138">
        <v>313.70999999999998</v>
      </c>
      <c r="C116" s="138">
        <v>75.64</v>
      </c>
      <c r="D116" s="138"/>
      <c r="E116" s="138">
        <v>389.34999999999997</v>
      </c>
    </row>
    <row r="117" spans="1:5" x14ac:dyDescent="0.25">
      <c r="A117" s="91" t="s">
        <v>8468</v>
      </c>
      <c r="B117" s="138">
        <v>10.82</v>
      </c>
      <c r="C117" s="138">
        <v>2.62</v>
      </c>
      <c r="D117" s="138"/>
      <c r="E117" s="138">
        <v>13.440000000000001</v>
      </c>
    </row>
    <row r="118" spans="1:5" x14ac:dyDescent="0.25">
      <c r="A118" s="91" t="s">
        <v>8469</v>
      </c>
      <c r="B118" s="138">
        <v>409.07</v>
      </c>
      <c r="C118" s="138">
        <v>98.62</v>
      </c>
      <c r="D118" s="138"/>
      <c r="E118" s="138">
        <v>507.69</v>
      </c>
    </row>
    <row r="119" spans="1:5" x14ac:dyDescent="0.25">
      <c r="A119" s="91" t="s">
        <v>7699</v>
      </c>
      <c r="B119" s="138">
        <v>4024</v>
      </c>
      <c r="C119" s="138">
        <v>7921.54</v>
      </c>
      <c r="D119" s="138">
        <v>4024</v>
      </c>
      <c r="E119" s="138">
        <v>15969.54</v>
      </c>
    </row>
    <row r="120" spans="1:5" x14ac:dyDescent="0.25">
      <c r="A120" s="91" t="s">
        <v>8470</v>
      </c>
      <c r="B120" s="138">
        <v>649.88</v>
      </c>
      <c r="C120" s="138">
        <v>1279.33</v>
      </c>
      <c r="D120" s="138"/>
      <c r="E120" s="138">
        <v>1929.21</v>
      </c>
    </row>
    <row r="121" spans="1:5" x14ac:dyDescent="0.25">
      <c r="A121" s="91" t="s">
        <v>8471</v>
      </c>
      <c r="B121" s="138">
        <v>58.35</v>
      </c>
      <c r="C121" s="138">
        <v>114.84</v>
      </c>
      <c r="D121" s="138"/>
      <c r="E121" s="138">
        <v>173.19</v>
      </c>
    </row>
    <row r="122" spans="1:5" x14ac:dyDescent="0.25">
      <c r="A122" s="91" t="s">
        <v>8472</v>
      </c>
      <c r="B122" s="138">
        <v>2.0099999999999998</v>
      </c>
      <c r="C122" s="138">
        <v>3.96</v>
      </c>
      <c r="D122" s="138"/>
      <c r="E122" s="138">
        <v>5.97</v>
      </c>
    </row>
    <row r="123" spans="1:5" x14ac:dyDescent="0.25">
      <c r="A123" s="91" t="s">
        <v>8473</v>
      </c>
      <c r="B123" s="138">
        <v>76.09</v>
      </c>
      <c r="C123" s="138">
        <v>149.79</v>
      </c>
      <c r="D123" s="138"/>
      <c r="E123" s="138">
        <v>225.88</v>
      </c>
    </row>
    <row r="124" spans="1:5" x14ac:dyDescent="0.25">
      <c r="A124" s="91" t="s">
        <v>7700</v>
      </c>
      <c r="B124" s="138">
        <v>38563</v>
      </c>
      <c r="C124" s="138">
        <v>32758.560000000001</v>
      </c>
      <c r="D124" s="138">
        <v>38563</v>
      </c>
      <c r="E124" s="138">
        <v>109884.56</v>
      </c>
    </row>
    <row r="125" spans="1:5" x14ac:dyDescent="0.25">
      <c r="A125" s="91" t="s">
        <v>8474</v>
      </c>
      <c r="B125" s="138">
        <v>6227.92</v>
      </c>
      <c r="C125" s="138">
        <v>5290.5</v>
      </c>
      <c r="D125" s="138"/>
      <c r="E125" s="138">
        <v>11518.42</v>
      </c>
    </row>
    <row r="126" spans="1:5" x14ac:dyDescent="0.25">
      <c r="A126" s="91" t="s">
        <v>8475</v>
      </c>
      <c r="B126" s="138">
        <v>559.16</v>
      </c>
      <c r="C126" s="138">
        <v>474.96</v>
      </c>
      <c r="D126" s="138"/>
      <c r="E126" s="138">
        <v>1034.1199999999999</v>
      </c>
    </row>
    <row r="127" spans="1:5" x14ac:dyDescent="0.25">
      <c r="A127" s="91" t="s">
        <v>8476</v>
      </c>
      <c r="B127" s="138">
        <v>19.28</v>
      </c>
      <c r="C127" s="138">
        <v>16.37</v>
      </c>
      <c r="D127" s="138"/>
      <c r="E127" s="138">
        <v>35.650000000000006</v>
      </c>
    </row>
    <row r="128" spans="1:5" x14ac:dyDescent="0.25">
      <c r="A128" s="91" t="s">
        <v>8477</v>
      </c>
      <c r="B128" s="138">
        <v>729.15</v>
      </c>
      <c r="C128" s="138">
        <v>619.4</v>
      </c>
      <c r="D128" s="138"/>
      <c r="E128" s="138">
        <v>1348.55</v>
      </c>
    </row>
    <row r="129" spans="1:5" x14ac:dyDescent="0.25">
      <c r="A129" s="91" t="s">
        <v>7701</v>
      </c>
      <c r="B129" s="138">
        <v>4258</v>
      </c>
      <c r="C129" s="138">
        <v>5539.12</v>
      </c>
      <c r="D129" s="138">
        <v>10000</v>
      </c>
      <c r="E129" s="138">
        <v>19797.12</v>
      </c>
    </row>
    <row r="130" spans="1:5" x14ac:dyDescent="0.25">
      <c r="A130" s="91" t="s">
        <v>8478</v>
      </c>
      <c r="B130" s="138">
        <v>687.67</v>
      </c>
      <c r="C130" s="138">
        <v>0</v>
      </c>
      <c r="D130" s="138"/>
      <c r="E130" s="138">
        <v>687.67</v>
      </c>
    </row>
    <row r="131" spans="1:5" x14ac:dyDescent="0.25">
      <c r="A131" s="91" t="s">
        <v>8479</v>
      </c>
      <c r="B131" s="138">
        <v>0</v>
      </c>
      <c r="C131" s="138">
        <v>343.44</v>
      </c>
      <c r="D131" s="138"/>
      <c r="E131" s="138">
        <v>343.44</v>
      </c>
    </row>
    <row r="132" spans="1:5" x14ac:dyDescent="0.25">
      <c r="A132" s="91" t="s">
        <v>8480</v>
      </c>
      <c r="B132" s="138">
        <v>61.74</v>
      </c>
      <c r="C132" s="138">
        <v>80.319999999999993</v>
      </c>
      <c r="D132" s="138"/>
      <c r="E132" s="138">
        <v>142.06</v>
      </c>
    </row>
    <row r="133" spans="1:5" x14ac:dyDescent="0.25">
      <c r="A133" s="91" t="s">
        <v>8481</v>
      </c>
      <c r="B133" s="138">
        <v>2.13</v>
      </c>
      <c r="C133" s="138">
        <v>2.8</v>
      </c>
      <c r="D133" s="138"/>
      <c r="E133" s="138">
        <v>4.93</v>
      </c>
    </row>
    <row r="134" spans="1:5" x14ac:dyDescent="0.25">
      <c r="A134" s="91" t="s">
        <v>8482</v>
      </c>
      <c r="B134" s="138">
        <v>80.510000000000005</v>
      </c>
      <c r="C134" s="138">
        <v>104.72</v>
      </c>
      <c r="D134" s="138"/>
      <c r="E134" s="138">
        <v>185.23000000000002</v>
      </c>
    </row>
    <row r="135" spans="1:5" x14ac:dyDescent="0.25">
      <c r="A135" s="91" t="s">
        <v>7702</v>
      </c>
      <c r="B135" s="138">
        <v>132074</v>
      </c>
      <c r="C135" s="138">
        <v>54276.62</v>
      </c>
      <c r="D135" s="138">
        <v>132074</v>
      </c>
      <c r="E135" s="138">
        <v>318424.62</v>
      </c>
    </row>
    <row r="136" spans="1:5" x14ac:dyDescent="0.25">
      <c r="A136" s="91" t="s">
        <v>8483</v>
      </c>
      <c r="B136" s="138">
        <v>21329.95</v>
      </c>
      <c r="C136" s="138">
        <v>8416.76</v>
      </c>
      <c r="D136" s="138"/>
      <c r="E136" s="138">
        <v>29746.71</v>
      </c>
    </row>
    <row r="137" spans="1:5" x14ac:dyDescent="0.25">
      <c r="A137" s="91" t="s">
        <v>8484</v>
      </c>
      <c r="B137" s="138">
        <v>0</v>
      </c>
      <c r="C137" s="138">
        <v>133.94999999999999</v>
      </c>
      <c r="D137" s="138"/>
      <c r="E137" s="138">
        <v>133.94999999999999</v>
      </c>
    </row>
    <row r="138" spans="1:5" x14ac:dyDescent="0.25">
      <c r="A138" s="91" t="s">
        <v>8485</v>
      </c>
      <c r="B138" s="138">
        <v>1915.07</v>
      </c>
      <c r="C138" s="138">
        <v>787.01</v>
      </c>
      <c r="D138" s="138"/>
      <c r="E138" s="138">
        <v>2702.08</v>
      </c>
    </row>
    <row r="139" spans="1:5" x14ac:dyDescent="0.25">
      <c r="A139" s="91" t="s">
        <v>8486</v>
      </c>
      <c r="B139" s="138">
        <v>66.040000000000006</v>
      </c>
      <c r="C139" s="138">
        <v>27.13</v>
      </c>
      <c r="D139" s="138"/>
      <c r="E139" s="138">
        <v>93.17</v>
      </c>
    </row>
    <row r="140" spans="1:5" x14ac:dyDescent="0.25">
      <c r="A140" s="91" t="s">
        <v>8487</v>
      </c>
      <c r="B140" s="138">
        <v>2497.2600000000002</v>
      </c>
      <c r="C140" s="138">
        <v>1026.31</v>
      </c>
      <c r="D140" s="138"/>
      <c r="E140" s="138">
        <v>3523.57</v>
      </c>
    </row>
    <row r="141" spans="1:5" x14ac:dyDescent="0.25">
      <c r="A141" s="91" t="s">
        <v>8164</v>
      </c>
      <c r="B141" s="138">
        <v>12</v>
      </c>
      <c r="C141" s="138">
        <v>0</v>
      </c>
      <c r="D141" s="138">
        <v>120</v>
      </c>
      <c r="E141" s="138">
        <v>132</v>
      </c>
    </row>
    <row r="142" spans="1:5" x14ac:dyDescent="0.25">
      <c r="A142" s="91" t="s">
        <v>7703</v>
      </c>
      <c r="B142" s="138">
        <v>12958</v>
      </c>
      <c r="C142" s="138">
        <v>33362.879999999997</v>
      </c>
      <c r="D142" s="138">
        <v>12958</v>
      </c>
      <c r="E142" s="138">
        <v>59278.879999999997</v>
      </c>
    </row>
    <row r="143" spans="1:5" x14ac:dyDescent="0.25">
      <c r="A143" s="91" t="s">
        <v>8488</v>
      </c>
      <c r="B143" s="138">
        <v>2092.7199999999998</v>
      </c>
      <c r="C143" s="138">
        <v>5388.14</v>
      </c>
      <c r="D143" s="138"/>
      <c r="E143" s="138">
        <v>7480.8600000000006</v>
      </c>
    </row>
    <row r="144" spans="1:5" x14ac:dyDescent="0.25">
      <c r="A144" s="91" t="s">
        <v>8489</v>
      </c>
      <c r="B144" s="138">
        <v>187.89</v>
      </c>
      <c r="C144" s="138">
        <v>483.77</v>
      </c>
      <c r="D144" s="138"/>
      <c r="E144" s="138">
        <v>671.66</v>
      </c>
    </row>
    <row r="145" spans="1:5" x14ac:dyDescent="0.25">
      <c r="A145" s="91" t="s">
        <v>8490</v>
      </c>
      <c r="B145" s="138">
        <v>6.48</v>
      </c>
      <c r="C145" s="138">
        <v>16.690000000000001</v>
      </c>
      <c r="D145" s="138"/>
      <c r="E145" s="138">
        <v>23.17</v>
      </c>
    </row>
    <row r="146" spans="1:5" x14ac:dyDescent="0.25">
      <c r="A146" s="91" t="s">
        <v>8491</v>
      </c>
      <c r="B146" s="138">
        <v>245.01</v>
      </c>
      <c r="C146" s="138">
        <v>630.86</v>
      </c>
      <c r="D146" s="138"/>
      <c r="E146" s="138">
        <v>875.87</v>
      </c>
    </row>
    <row r="147" spans="1:5" x14ac:dyDescent="0.25">
      <c r="A147" s="91" t="s">
        <v>8165</v>
      </c>
      <c r="B147" s="138">
        <v>0.8</v>
      </c>
      <c r="C147" s="138">
        <v>0</v>
      </c>
      <c r="D147" s="138">
        <v>8</v>
      </c>
      <c r="E147" s="138">
        <v>8.8000000000000007</v>
      </c>
    </row>
    <row r="148" spans="1:5" x14ac:dyDescent="0.25">
      <c r="A148" s="91" t="s">
        <v>7704</v>
      </c>
      <c r="B148" s="138">
        <v>34636</v>
      </c>
      <c r="C148" s="138">
        <v>9229.92</v>
      </c>
      <c r="D148" s="138">
        <v>34636</v>
      </c>
      <c r="E148" s="138">
        <v>78501.919999999998</v>
      </c>
    </row>
    <row r="149" spans="1:5" x14ac:dyDescent="0.25">
      <c r="A149" s="91" t="s">
        <v>8492</v>
      </c>
      <c r="B149" s="138">
        <v>5593.71</v>
      </c>
      <c r="C149" s="138">
        <v>1490.61</v>
      </c>
      <c r="D149" s="138"/>
      <c r="E149" s="138">
        <v>7084.32</v>
      </c>
    </row>
    <row r="150" spans="1:5" x14ac:dyDescent="0.25">
      <c r="A150" s="91" t="s">
        <v>8493</v>
      </c>
      <c r="B150" s="138">
        <v>502.22</v>
      </c>
      <c r="C150" s="138">
        <v>133.83000000000001</v>
      </c>
      <c r="D150" s="138"/>
      <c r="E150" s="138">
        <v>636.05000000000007</v>
      </c>
    </row>
    <row r="151" spans="1:5" x14ac:dyDescent="0.25">
      <c r="A151" s="91" t="s">
        <v>8494</v>
      </c>
      <c r="B151" s="138">
        <v>17.32</v>
      </c>
      <c r="C151" s="138">
        <v>4.5999999999999996</v>
      </c>
      <c r="D151" s="138"/>
      <c r="E151" s="138">
        <v>21.92</v>
      </c>
    </row>
    <row r="152" spans="1:5" x14ac:dyDescent="0.25">
      <c r="A152" s="91" t="s">
        <v>8495</v>
      </c>
      <c r="B152" s="138">
        <v>654.9</v>
      </c>
      <c r="C152" s="138">
        <v>174.52</v>
      </c>
      <c r="D152" s="138"/>
      <c r="E152" s="138">
        <v>829.42</v>
      </c>
    </row>
    <row r="153" spans="1:5" x14ac:dyDescent="0.25">
      <c r="A153" s="91" t="s">
        <v>8166</v>
      </c>
      <c r="B153" s="138">
        <v>8.8000000000000007</v>
      </c>
      <c r="C153" s="138">
        <v>0</v>
      </c>
      <c r="D153" s="138">
        <v>88</v>
      </c>
      <c r="E153" s="138">
        <v>96.8</v>
      </c>
    </row>
    <row r="154" spans="1:5" x14ac:dyDescent="0.25">
      <c r="A154" s="91" t="s">
        <v>7705</v>
      </c>
      <c r="B154" s="138">
        <v>10280</v>
      </c>
      <c r="C154" s="138">
        <v>4481.58</v>
      </c>
      <c r="D154" s="138">
        <v>10280</v>
      </c>
      <c r="E154" s="138">
        <v>25041.58</v>
      </c>
    </row>
    <row r="155" spans="1:5" x14ac:dyDescent="0.25">
      <c r="A155" s="91" t="s">
        <v>8496</v>
      </c>
      <c r="B155" s="138">
        <v>1660.22</v>
      </c>
      <c r="C155" s="138">
        <v>723.78</v>
      </c>
      <c r="D155" s="138"/>
      <c r="E155" s="138">
        <v>2384</v>
      </c>
    </row>
    <row r="156" spans="1:5" x14ac:dyDescent="0.25">
      <c r="A156" s="91" t="s">
        <v>8497</v>
      </c>
      <c r="B156" s="138">
        <v>149.06</v>
      </c>
      <c r="C156" s="138">
        <v>64.98</v>
      </c>
      <c r="D156" s="138"/>
      <c r="E156" s="138">
        <v>214.04000000000002</v>
      </c>
    </row>
    <row r="157" spans="1:5" x14ac:dyDescent="0.25">
      <c r="A157" s="91" t="s">
        <v>8498</v>
      </c>
      <c r="B157" s="138">
        <v>5.14</v>
      </c>
      <c r="C157" s="138">
        <v>2.2200000000000002</v>
      </c>
      <c r="D157" s="138"/>
      <c r="E157" s="138">
        <v>7.3599999999999994</v>
      </c>
    </row>
    <row r="158" spans="1:5" x14ac:dyDescent="0.25">
      <c r="A158" s="91" t="s">
        <v>8499</v>
      </c>
      <c r="B158" s="138">
        <v>194.37</v>
      </c>
      <c r="C158" s="138">
        <v>84.75</v>
      </c>
      <c r="D158" s="138"/>
      <c r="E158" s="138">
        <v>279.12</v>
      </c>
    </row>
    <row r="159" spans="1:5" x14ac:dyDescent="0.25">
      <c r="A159" s="91" t="s">
        <v>8167</v>
      </c>
      <c r="B159" s="138">
        <v>2.8</v>
      </c>
      <c r="C159" s="138">
        <v>0</v>
      </c>
      <c r="D159" s="138">
        <v>28</v>
      </c>
      <c r="E159" s="138">
        <v>30.8</v>
      </c>
    </row>
    <row r="160" spans="1:5" x14ac:dyDescent="0.25">
      <c r="A160" s="91" t="s">
        <v>7706</v>
      </c>
      <c r="B160" s="138">
        <v>2668</v>
      </c>
      <c r="C160" s="138">
        <v>0</v>
      </c>
      <c r="D160" s="138">
        <v>2668</v>
      </c>
      <c r="E160" s="138">
        <v>5336</v>
      </c>
    </row>
    <row r="161" spans="1:5" x14ac:dyDescent="0.25">
      <c r="A161" s="91" t="s">
        <v>8500</v>
      </c>
      <c r="B161" s="138">
        <v>430.88</v>
      </c>
      <c r="C161" s="138">
        <v>0</v>
      </c>
      <c r="D161" s="138"/>
      <c r="E161" s="138">
        <v>430.88</v>
      </c>
    </row>
    <row r="162" spans="1:5" x14ac:dyDescent="0.25">
      <c r="A162" s="91" t="s">
        <v>8501</v>
      </c>
      <c r="B162" s="138">
        <v>38.69</v>
      </c>
      <c r="C162" s="138">
        <v>0</v>
      </c>
      <c r="D162" s="138"/>
      <c r="E162" s="138">
        <v>38.69</v>
      </c>
    </row>
    <row r="163" spans="1:5" x14ac:dyDescent="0.25">
      <c r="A163" s="91" t="s">
        <v>8502</v>
      </c>
      <c r="B163" s="138">
        <v>1.33</v>
      </c>
      <c r="C163" s="138">
        <v>0</v>
      </c>
      <c r="D163" s="138"/>
      <c r="E163" s="138">
        <v>1.33</v>
      </c>
    </row>
    <row r="164" spans="1:5" x14ac:dyDescent="0.25">
      <c r="A164" s="91" t="s">
        <v>8503</v>
      </c>
      <c r="B164" s="138">
        <v>50.45</v>
      </c>
      <c r="C164" s="138">
        <v>0</v>
      </c>
      <c r="D164" s="138"/>
      <c r="E164" s="138">
        <v>50.45</v>
      </c>
    </row>
    <row r="165" spans="1:5" x14ac:dyDescent="0.25">
      <c r="A165" s="91" t="s">
        <v>7707</v>
      </c>
      <c r="B165" s="138">
        <v>31812</v>
      </c>
      <c r="C165" s="138">
        <v>30253.46</v>
      </c>
      <c r="D165" s="138">
        <v>31812</v>
      </c>
      <c r="E165" s="138">
        <v>93877.459999999992</v>
      </c>
    </row>
    <row r="166" spans="1:5" x14ac:dyDescent="0.25">
      <c r="A166" s="91" t="s">
        <v>8504</v>
      </c>
      <c r="B166" s="138">
        <v>5137.6400000000003</v>
      </c>
      <c r="C166" s="138">
        <v>3423.76</v>
      </c>
      <c r="D166" s="138"/>
      <c r="E166" s="138">
        <v>8561.4000000000015</v>
      </c>
    </row>
    <row r="167" spans="1:5" x14ac:dyDescent="0.25">
      <c r="A167" s="91" t="s">
        <v>8505</v>
      </c>
      <c r="B167" s="138">
        <v>0</v>
      </c>
      <c r="C167" s="138">
        <v>561.34</v>
      </c>
      <c r="D167" s="138"/>
      <c r="E167" s="138">
        <v>561.34</v>
      </c>
    </row>
    <row r="168" spans="1:5" x14ac:dyDescent="0.25">
      <c r="A168" s="91" t="s">
        <v>8506</v>
      </c>
      <c r="B168" s="138">
        <v>461.27</v>
      </c>
      <c r="C168" s="138">
        <v>438.61</v>
      </c>
      <c r="D168" s="138"/>
      <c r="E168" s="138">
        <v>899.88</v>
      </c>
    </row>
    <row r="169" spans="1:5" x14ac:dyDescent="0.25">
      <c r="A169" s="91" t="s">
        <v>8507</v>
      </c>
      <c r="B169" s="138">
        <v>15.91</v>
      </c>
      <c r="C169" s="138">
        <v>15.16</v>
      </c>
      <c r="D169" s="138"/>
      <c r="E169" s="138">
        <v>31.07</v>
      </c>
    </row>
    <row r="170" spans="1:5" x14ac:dyDescent="0.25">
      <c r="A170" s="91" t="s">
        <v>8508</v>
      </c>
      <c r="B170" s="138">
        <v>601.5</v>
      </c>
      <c r="C170" s="138">
        <v>572.09</v>
      </c>
      <c r="D170" s="138"/>
      <c r="E170" s="138">
        <v>1173.5900000000001</v>
      </c>
    </row>
    <row r="171" spans="1:5" x14ac:dyDescent="0.25">
      <c r="A171" s="91" t="s">
        <v>7708</v>
      </c>
      <c r="B171" s="138">
        <v>27695</v>
      </c>
      <c r="C171" s="138">
        <v>15638.82</v>
      </c>
      <c r="D171" s="138">
        <v>27695</v>
      </c>
      <c r="E171" s="138">
        <v>71028.820000000007</v>
      </c>
    </row>
    <row r="172" spans="1:5" x14ac:dyDescent="0.25">
      <c r="A172" s="91" t="s">
        <v>8509</v>
      </c>
      <c r="B172" s="138">
        <v>4472.74</v>
      </c>
      <c r="C172" s="138">
        <v>0</v>
      </c>
      <c r="D172" s="138"/>
      <c r="E172" s="138">
        <v>4472.74</v>
      </c>
    </row>
    <row r="173" spans="1:5" x14ac:dyDescent="0.25">
      <c r="A173" s="91" t="s">
        <v>8510</v>
      </c>
      <c r="B173" s="138">
        <v>0</v>
      </c>
      <c r="C173" s="138">
        <v>969.62</v>
      </c>
      <c r="D173" s="138"/>
      <c r="E173" s="138">
        <v>969.62</v>
      </c>
    </row>
    <row r="174" spans="1:5" x14ac:dyDescent="0.25">
      <c r="A174" s="91" t="s">
        <v>8511</v>
      </c>
      <c r="B174" s="138">
        <v>401.58</v>
      </c>
      <c r="C174" s="138">
        <v>226.73</v>
      </c>
      <c r="D174" s="138"/>
      <c r="E174" s="138">
        <v>628.30999999999995</v>
      </c>
    </row>
    <row r="175" spans="1:5" x14ac:dyDescent="0.25">
      <c r="A175" s="91" t="s">
        <v>8512</v>
      </c>
      <c r="B175" s="138">
        <v>13.85</v>
      </c>
      <c r="C175" s="138">
        <v>7.82</v>
      </c>
      <c r="D175" s="138"/>
      <c r="E175" s="138">
        <v>21.67</v>
      </c>
    </row>
    <row r="176" spans="1:5" x14ac:dyDescent="0.25">
      <c r="A176" s="91" t="s">
        <v>8513</v>
      </c>
      <c r="B176" s="138">
        <v>523.66</v>
      </c>
      <c r="C176" s="138">
        <v>295.73</v>
      </c>
      <c r="D176" s="138"/>
      <c r="E176" s="138">
        <v>819.39</v>
      </c>
    </row>
    <row r="177" spans="1:5" x14ac:dyDescent="0.25">
      <c r="A177" s="91" t="s">
        <v>8168</v>
      </c>
      <c r="B177" s="138">
        <v>1</v>
      </c>
      <c r="C177" s="138">
        <v>0</v>
      </c>
      <c r="D177" s="138">
        <v>10</v>
      </c>
      <c r="E177" s="138">
        <v>11</v>
      </c>
    </row>
    <row r="178" spans="1:5" x14ac:dyDescent="0.25">
      <c r="A178" s="91" t="s">
        <v>7709</v>
      </c>
      <c r="B178" s="138">
        <v>13612</v>
      </c>
      <c r="C178" s="138">
        <v>8424</v>
      </c>
      <c r="D178" s="138">
        <v>13612</v>
      </c>
      <c r="E178" s="138">
        <v>35648</v>
      </c>
    </row>
    <row r="179" spans="1:5" x14ac:dyDescent="0.25">
      <c r="A179" s="91" t="s">
        <v>8514</v>
      </c>
      <c r="B179" s="138">
        <v>2198.34</v>
      </c>
      <c r="C179" s="138">
        <v>0</v>
      </c>
      <c r="D179" s="138"/>
      <c r="E179" s="138">
        <v>2198.34</v>
      </c>
    </row>
    <row r="180" spans="1:5" x14ac:dyDescent="0.25">
      <c r="A180" s="91" t="s">
        <v>8515</v>
      </c>
      <c r="B180" s="138">
        <v>197.37</v>
      </c>
      <c r="C180" s="138">
        <v>122.16</v>
      </c>
      <c r="D180" s="138"/>
      <c r="E180" s="138">
        <v>319.52999999999997</v>
      </c>
    </row>
    <row r="181" spans="1:5" x14ac:dyDescent="0.25">
      <c r="A181" s="91" t="s">
        <v>8516</v>
      </c>
      <c r="B181" s="138">
        <v>6.81</v>
      </c>
      <c r="C181" s="138">
        <v>4.21</v>
      </c>
      <c r="D181" s="138"/>
      <c r="E181" s="138">
        <v>11.02</v>
      </c>
    </row>
    <row r="182" spans="1:5" x14ac:dyDescent="0.25">
      <c r="A182" s="91" t="s">
        <v>8517</v>
      </c>
      <c r="B182" s="138">
        <v>257.38</v>
      </c>
      <c r="C182" s="138">
        <v>159.29</v>
      </c>
      <c r="D182" s="138"/>
      <c r="E182" s="138">
        <v>416.66999999999996</v>
      </c>
    </row>
    <row r="183" spans="1:5" x14ac:dyDescent="0.25">
      <c r="A183" s="91" t="s">
        <v>8169</v>
      </c>
      <c r="B183" s="138">
        <v>4.2</v>
      </c>
      <c r="C183" s="138">
        <v>0</v>
      </c>
      <c r="D183" s="138">
        <v>42</v>
      </c>
      <c r="E183" s="138">
        <v>46.2</v>
      </c>
    </row>
    <row r="184" spans="1:5" x14ac:dyDescent="0.25">
      <c r="A184" s="91" t="s">
        <v>7710</v>
      </c>
      <c r="B184" s="138">
        <v>57590</v>
      </c>
      <c r="C184" s="138">
        <v>6922.44</v>
      </c>
      <c r="D184" s="138">
        <v>57590</v>
      </c>
      <c r="E184" s="138">
        <v>122102.44</v>
      </c>
    </row>
    <row r="185" spans="1:5" x14ac:dyDescent="0.25">
      <c r="A185" s="91" t="s">
        <v>8518</v>
      </c>
      <c r="B185" s="138">
        <v>9300.7900000000009</v>
      </c>
      <c r="C185" s="138">
        <v>1117.97</v>
      </c>
      <c r="D185" s="138"/>
      <c r="E185" s="138">
        <v>10418.76</v>
      </c>
    </row>
    <row r="186" spans="1:5" x14ac:dyDescent="0.25">
      <c r="A186" s="91" t="s">
        <v>8519</v>
      </c>
      <c r="B186" s="138">
        <v>835.06</v>
      </c>
      <c r="C186" s="138">
        <v>100.37</v>
      </c>
      <c r="D186" s="138"/>
      <c r="E186" s="138">
        <v>935.43</v>
      </c>
    </row>
    <row r="187" spans="1:5" x14ac:dyDescent="0.25">
      <c r="A187" s="91" t="s">
        <v>8520</v>
      </c>
      <c r="B187" s="138">
        <v>28.8</v>
      </c>
      <c r="C187" s="138">
        <v>3.46</v>
      </c>
      <c r="D187" s="138"/>
      <c r="E187" s="138">
        <v>32.26</v>
      </c>
    </row>
    <row r="188" spans="1:5" x14ac:dyDescent="0.25">
      <c r="A188" s="91" t="s">
        <v>8521</v>
      </c>
      <c r="B188" s="138">
        <v>1088.9100000000001</v>
      </c>
      <c r="C188" s="138">
        <v>130.88</v>
      </c>
      <c r="D188" s="138"/>
      <c r="E188" s="138">
        <v>1219.79</v>
      </c>
    </row>
    <row r="189" spans="1:5" x14ac:dyDescent="0.25">
      <c r="A189" s="91" t="s">
        <v>7711</v>
      </c>
      <c r="B189" s="138">
        <v>17512</v>
      </c>
      <c r="C189" s="138">
        <v>16800.88</v>
      </c>
      <c r="D189" s="138">
        <v>17512</v>
      </c>
      <c r="E189" s="138">
        <v>51824.880000000005</v>
      </c>
    </row>
    <row r="190" spans="1:5" x14ac:dyDescent="0.25">
      <c r="A190" s="91" t="s">
        <v>8522</v>
      </c>
      <c r="B190" s="138">
        <v>2828.19</v>
      </c>
      <c r="C190" s="138">
        <v>2713.38</v>
      </c>
      <c r="D190" s="138"/>
      <c r="E190" s="138">
        <v>5541.57</v>
      </c>
    </row>
    <row r="191" spans="1:5" x14ac:dyDescent="0.25">
      <c r="A191" s="91" t="s">
        <v>8523</v>
      </c>
      <c r="B191" s="138">
        <v>253.92</v>
      </c>
      <c r="C191" s="138">
        <v>243.64</v>
      </c>
      <c r="D191" s="138"/>
      <c r="E191" s="138">
        <v>497.55999999999995</v>
      </c>
    </row>
    <row r="192" spans="1:5" x14ac:dyDescent="0.25">
      <c r="A192" s="91" t="s">
        <v>8524</v>
      </c>
      <c r="B192" s="138">
        <v>8.76</v>
      </c>
      <c r="C192" s="138">
        <v>8.3699999999999992</v>
      </c>
      <c r="D192" s="138"/>
      <c r="E192" s="138">
        <v>17.13</v>
      </c>
    </row>
    <row r="193" spans="1:5" x14ac:dyDescent="0.25">
      <c r="A193" s="91" t="s">
        <v>8525</v>
      </c>
      <c r="B193" s="138">
        <v>331.12</v>
      </c>
      <c r="C193" s="138">
        <v>317.66000000000003</v>
      </c>
      <c r="D193" s="138"/>
      <c r="E193" s="138">
        <v>648.78</v>
      </c>
    </row>
    <row r="194" spans="1:5" x14ac:dyDescent="0.25">
      <c r="A194" s="91" t="s">
        <v>8170</v>
      </c>
      <c r="B194" s="138">
        <v>3.2</v>
      </c>
      <c r="C194" s="138">
        <v>0</v>
      </c>
      <c r="D194" s="138">
        <v>32</v>
      </c>
      <c r="E194" s="138">
        <v>35.200000000000003</v>
      </c>
    </row>
    <row r="195" spans="1:5" x14ac:dyDescent="0.25">
      <c r="A195" s="91" t="s">
        <v>7712</v>
      </c>
      <c r="B195" s="138">
        <v>3167</v>
      </c>
      <c r="C195" s="138">
        <v>0</v>
      </c>
      <c r="D195" s="138">
        <v>3167</v>
      </c>
      <c r="E195" s="138">
        <v>6334</v>
      </c>
    </row>
    <row r="196" spans="1:5" x14ac:dyDescent="0.25">
      <c r="A196" s="91" t="s">
        <v>8526</v>
      </c>
      <c r="B196" s="138">
        <v>511.47</v>
      </c>
      <c r="C196" s="138">
        <v>0</v>
      </c>
      <c r="D196" s="138"/>
      <c r="E196" s="138">
        <v>511.47</v>
      </c>
    </row>
    <row r="197" spans="1:5" x14ac:dyDescent="0.25">
      <c r="A197" s="91" t="s">
        <v>8527</v>
      </c>
      <c r="B197" s="138">
        <v>45.92</v>
      </c>
      <c r="C197" s="138">
        <v>0</v>
      </c>
      <c r="D197" s="138"/>
      <c r="E197" s="138">
        <v>45.92</v>
      </c>
    </row>
    <row r="198" spans="1:5" x14ac:dyDescent="0.25">
      <c r="A198" s="91" t="s">
        <v>8528</v>
      </c>
      <c r="B198" s="138">
        <v>1.58</v>
      </c>
      <c r="C198" s="138">
        <v>0</v>
      </c>
      <c r="D198" s="138"/>
      <c r="E198" s="138">
        <v>1.58</v>
      </c>
    </row>
    <row r="199" spans="1:5" x14ac:dyDescent="0.25">
      <c r="A199" s="91" t="s">
        <v>8529</v>
      </c>
      <c r="B199" s="138">
        <v>59.88</v>
      </c>
      <c r="C199" s="138">
        <v>0</v>
      </c>
      <c r="D199" s="138"/>
      <c r="E199" s="138">
        <v>59.88</v>
      </c>
    </row>
    <row r="200" spans="1:5" x14ac:dyDescent="0.25">
      <c r="A200" s="91" t="s">
        <v>7713</v>
      </c>
      <c r="B200" s="138">
        <v>4262</v>
      </c>
      <c r="C200" s="138">
        <v>5054.3999999999996</v>
      </c>
      <c r="D200" s="138">
        <v>4262</v>
      </c>
      <c r="E200" s="138">
        <v>13578.4</v>
      </c>
    </row>
    <row r="201" spans="1:5" x14ac:dyDescent="0.25">
      <c r="A201" s="91" t="s">
        <v>8530</v>
      </c>
      <c r="B201" s="138">
        <v>688.31</v>
      </c>
      <c r="C201" s="138">
        <v>0</v>
      </c>
      <c r="D201" s="138"/>
      <c r="E201" s="138">
        <v>688.31</v>
      </c>
    </row>
    <row r="202" spans="1:5" x14ac:dyDescent="0.25">
      <c r="A202" s="91" t="s">
        <v>8531</v>
      </c>
      <c r="B202" s="138">
        <v>61.8</v>
      </c>
      <c r="C202" s="138">
        <v>73.27</v>
      </c>
      <c r="D202" s="138"/>
      <c r="E202" s="138">
        <v>135.07</v>
      </c>
    </row>
    <row r="203" spans="1:5" x14ac:dyDescent="0.25">
      <c r="A203" s="91" t="s">
        <v>8532</v>
      </c>
      <c r="B203" s="138">
        <v>2.13</v>
      </c>
      <c r="C203" s="138">
        <v>2.52</v>
      </c>
      <c r="D203" s="138"/>
      <c r="E203" s="138">
        <v>4.6500000000000004</v>
      </c>
    </row>
    <row r="204" spans="1:5" x14ac:dyDescent="0.25">
      <c r="A204" s="91" t="s">
        <v>8533</v>
      </c>
      <c r="B204" s="138">
        <v>80.59</v>
      </c>
      <c r="C204" s="138">
        <v>95.58</v>
      </c>
      <c r="D204" s="138"/>
      <c r="E204" s="138">
        <v>176.17000000000002</v>
      </c>
    </row>
    <row r="205" spans="1:5" x14ac:dyDescent="0.25">
      <c r="A205" s="91" t="s">
        <v>8171</v>
      </c>
      <c r="B205" s="138">
        <v>12.2</v>
      </c>
      <c r="C205" s="138">
        <v>0</v>
      </c>
      <c r="D205" s="138">
        <v>122</v>
      </c>
      <c r="E205" s="138">
        <v>134.19999999999999</v>
      </c>
    </row>
    <row r="206" spans="1:5" x14ac:dyDescent="0.25">
      <c r="A206" s="91" t="s">
        <v>7714</v>
      </c>
      <c r="B206" s="138">
        <v>14066</v>
      </c>
      <c r="C206" s="138">
        <v>9735.31</v>
      </c>
      <c r="D206" s="138">
        <v>14066</v>
      </c>
      <c r="E206" s="138">
        <v>37867.31</v>
      </c>
    </row>
    <row r="207" spans="1:5" x14ac:dyDescent="0.25">
      <c r="A207" s="91" t="s">
        <v>8534</v>
      </c>
      <c r="B207" s="138">
        <v>2271.66</v>
      </c>
      <c r="C207" s="138">
        <v>1572.23</v>
      </c>
      <c r="D207" s="138"/>
      <c r="E207" s="138">
        <v>3843.89</v>
      </c>
    </row>
    <row r="208" spans="1:5" x14ac:dyDescent="0.25">
      <c r="A208" s="91" t="s">
        <v>8535</v>
      </c>
      <c r="B208" s="138">
        <v>203.96</v>
      </c>
      <c r="C208" s="138">
        <v>141.18</v>
      </c>
      <c r="D208" s="138"/>
      <c r="E208" s="138">
        <v>345.14</v>
      </c>
    </row>
    <row r="209" spans="1:5" x14ac:dyDescent="0.25">
      <c r="A209" s="91" t="s">
        <v>8536</v>
      </c>
      <c r="B209" s="138">
        <v>7.03</v>
      </c>
      <c r="C209" s="138">
        <v>4.82</v>
      </c>
      <c r="D209" s="138"/>
      <c r="E209" s="138">
        <v>11.850000000000001</v>
      </c>
    </row>
    <row r="210" spans="1:5" x14ac:dyDescent="0.25">
      <c r="A210" s="91" t="s">
        <v>8537</v>
      </c>
      <c r="B210" s="138">
        <v>265.95999999999998</v>
      </c>
      <c r="C210" s="138">
        <v>184.08</v>
      </c>
      <c r="D210" s="138"/>
      <c r="E210" s="138">
        <v>450.03999999999996</v>
      </c>
    </row>
    <row r="211" spans="1:5" x14ac:dyDescent="0.25">
      <c r="A211" s="91" t="s">
        <v>8172</v>
      </c>
      <c r="B211" s="138">
        <v>22.89</v>
      </c>
      <c r="C211" s="138">
        <v>4.09</v>
      </c>
      <c r="D211" s="138">
        <v>192</v>
      </c>
      <c r="E211" s="138">
        <v>218.98</v>
      </c>
    </row>
    <row r="212" spans="1:5" x14ac:dyDescent="0.25">
      <c r="A212" s="91" t="s">
        <v>7715</v>
      </c>
      <c r="B212" s="138">
        <v>10958</v>
      </c>
      <c r="C212" s="138">
        <v>0</v>
      </c>
      <c r="D212" s="138">
        <v>10958</v>
      </c>
      <c r="E212" s="138">
        <v>21916</v>
      </c>
    </row>
    <row r="213" spans="1:5" x14ac:dyDescent="0.25">
      <c r="A213" s="91" t="s">
        <v>8538</v>
      </c>
      <c r="B213" s="138">
        <v>1769.72</v>
      </c>
      <c r="C213" s="138">
        <v>0</v>
      </c>
      <c r="D213" s="138"/>
      <c r="E213" s="138">
        <v>1769.72</v>
      </c>
    </row>
    <row r="214" spans="1:5" x14ac:dyDescent="0.25">
      <c r="A214" s="91" t="s">
        <v>8539</v>
      </c>
      <c r="B214" s="138">
        <v>158.88999999999999</v>
      </c>
      <c r="C214" s="138">
        <v>0</v>
      </c>
      <c r="D214" s="138"/>
      <c r="E214" s="138">
        <v>158.88999999999999</v>
      </c>
    </row>
    <row r="215" spans="1:5" x14ac:dyDescent="0.25">
      <c r="A215" s="91" t="s">
        <v>8540</v>
      </c>
      <c r="B215" s="138">
        <v>5.48</v>
      </c>
      <c r="C215" s="138">
        <v>0</v>
      </c>
      <c r="D215" s="138"/>
      <c r="E215" s="138">
        <v>5.48</v>
      </c>
    </row>
    <row r="216" spans="1:5" x14ac:dyDescent="0.25">
      <c r="A216" s="91" t="s">
        <v>8541</v>
      </c>
      <c r="B216" s="138">
        <v>207.19</v>
      </c>
      <c r="C216" s="138">
        <v>0</v>
      </c>
      <c r="D216" s="138"/>
      <c r="E216" s="138">
        <v>207.19</v>
      </c>
    </row>
    <row r="217" spans="1:5" x14ac:dyDescent="0.25">
      <c r="A217" s="91" t="s">
        <v>7716</v>
      </c>
      <c r="B217" s="138">
        <v>40554</v>
      </c>
      <c r="C217" s="138">
        <v>17022.8</v>
      </c>
      <c r="D217" s="138">
        <v>40554</v>
      </c>
      <c r="E217" s="138">
        <v>98130.8</v>
      </c>
    </row>
    <row r="218" spans="1:5" x14ac:dyDescent="0.25">
      <c r="A218" s="91" t="s">
        <v>8542</v>
      </c>
      <c r="B218" s="138">
        <v>6549.47</v>
      </c>
      <c r="C218" s="138">
        <v>2749.19</v>
      </c>
      <c r="D218" s="138"/>
      <c r="E218" s="138">
        <v>9298.66</v>
      </c>
    </row>
    <row r="219" spans="1:5" x14ac:dyDescent="0.25">
      <c r="A219" s="91" t="s">
        <v>8543</v>
      </c>
      <c r="B219" s="138">
        <v>588.03</v>
      </c>
      <c r="C219" s="138">
        <v>246.85</v>
      </c>
      <c r="D219" s="138"/>
      <c r="E219" s="138">
        <v>834.88</v>
      </c>
    </row>
    <row r="220" spans="1:5" x14ac:dyDescent="0.25">
      <c r="A220" s="91" t="s">
        <v>8544</v>
      </c>
      <c r="B220" s="138">
        <v>20.28</v>
      </c>
      <c r="C220" s="138">
        <v>8.5299999999999994</v>
      </c>
      <c r="D220" s="138"/>
      <c r="E220" s="138">
        <v>28.810000000000002</v>
      </c>
    </row>
    <row r="221" spans="1:5" x14ac:dyDescent="0.25">
      <c r="A221" s="91" t="s">
        <v>8545</v>
      </c>
      <c r="B221" s="138">
        <v>766.8</v>
      </c>
      <c r="C221" s="138">
        <v>321.85000000000002</v>
      </c>
      <c r="D221" s="138"/>
      <c r="E221" s="138">
        <v>1088.6500000000001</v>
      </c>
    </row>
    <row r="222" spans="1:5" x14ac:dyDescent="0.25">
      <c r="A222" s="91" t="s">
        <v>8546</v>
      </c>
      <c r="B222" s="138">
        <v>131204</v>
      </c>
      <c r="C222" s="138">
        <v>119334.2</v>
      </c>
      <c r="D222" s="138"/>
      <c r="E222" s="138">
        <v>250538.2</v>
      </c>
    </row>
    <row r="223" spans="1:5" x14ac:dyDescent="0.25">
      <c r="A223" s="91" t="s">
        <v>7781</v>
      </c>
      <c r="B223" s="138">
        <v>7000</v>
      </c>
      <c r="C223" s="138">
        <v>0</v>
      </c>
      <c r="D223" s="138">
        <v>7000</v>
      </c>
      <c r="E223" s="138">
        <v>14000</v>
      </c>
    </row>
    <row r="224" spans="1:5" x14ac:dyDescent="0.25">
      <c r="A224" s="91" t="s">
        <v>8547</v>
      </c>
      <c r="B224" s="138">
        <v>120358.6</v>
      </c>
      <c r="C224" s="138">
        <v>102285.75</v>
      </c>
      <c r="D224" s="138"/>
      <c r="E224" s="138">
        <v>222644.35</v>
      </c>
    </row>
    <row r="225" spans="1:5" x14ac:dyDescent="0.25">
      <c r="A225" s="91" t="s">
        <v>7810</v>
      </c>
      <c r="B225" s="138">
        <v>0</v>
      </c>
      <c r="C225" s="138">
        <v>429.97</v>
      </c>
      <c r="D225" s="138">
        <v>1000</v>
      </c>
      <c r="E225" s="138">
        <v>1429.97</v>
      </c>
    </row>
    <row r="226" spans="1:5" x14ac:dyDescent="0.25">
      <c r="A226" s="91" t="s">
        <v>8548</v>
      </c>
      <c r="B226" s="138">
        <v>21189.45</v>
      </c>
      <c r="C226" s="138">
        <v>0</v>
      </c>
      <c r="D226" s="138"/>
      <c r="E226" s="138">
        <v>21189.45</v>
      </c>
    </row>
    <row r="227" spans="1:5" x14ac:dyDescent="0.25">
      <c r="A227" s="91" t="s">
        <v>8549</v>
      </c>
      <c r="B227" s="138">
        <v>24914.23</v>
      </c>
      <c r="C227" s="138">
        <v>45767.39</v>
      </c>
      <c r="D227" s="138"/>
      <c r="E227" s="138">
        <v>70681.62</v>
      </c>
    </row>
    <row r="228" spans="1:5" x14ac:dyDescent="0.25">
      <c r="A228" s="91" t="s">
        <v>8550</v>
      </c>
      <c r="B228" s="138">
        <v>7462.23</v>
      </c>
      <c r="C228" s="138">
        <v>13345.44</v>
      </c>
      <c r="D228" s="138"/>
      <c r="E228" s="138">
        <v>20807.669999999998</v>
      </c>
    </row>
    <row r="229" spans="1:5" x14ac:dyDescent="0.25">
      <c r="A229" s="91" t="s">
        <v>8551</v>
      </c>
      <c r="B229" s="138">
        <v>3647.66</v>
      </c>
      <c r="C229" s="138">
        <v>3198.45</v>
      </c>
      <c r="D229" s="138"/>
      <c r="E229" s="138">
        <v>6846.11</v>
      </c>
    </row>
    <row r="230" spans="1:5" x14ac:dyDescent="0.25">
      <c r="A230" s="91" t="s">
        <v>8552</v>
      </c>
      <c r="B230" s="138">
        <v>73502.58</v>
      </c>
      <c r="C230" s="138">
        <v>68467.33</v>
      </c>
      <c r="D230" s="138"/>
      <c r="E230" s="138">
        <v>141969.91</v>
      </c>
    </row>
    <row r="231" spans="1:5" x14ac:dyDescent="0.25">
      <c r="A231" s="91" t="s">
        <v>8553</v>
      </c>
      <c r="B231" s="138">
        <v>125.78</v>
      </c>
      <c r="C231" s="138">
        <v>111.06</v>
      </c>
      <c r="D231" s="138"/>
      <c r="E231" s="138">
        <v>236.84</v>
      </c>
    </row>
    <row r="232" spans="1:5" x14ac:dyDescent="0.25">
      <c r="A232" s="91" t="s">
        <v>8554</v>
      </c>
      <c r="B232" s="138">
        <v>4756.55</v>
      </c>
      <c r="C232" s="138">
        <v>4203.25</v>
      </c>
      <c r="D232" s="138"/>
      <c r="E232" s="138">
        <v>8959.7999999999993</v>
      </c>
    </row>
    <row r="233" spans="1:5" x14ac:dyDescent="0.25">
      <c r="A233" s="91" t="s">
        <v>8555</v>
      </c>
      <c r="B233" s="138">
        <v>0</v>
      </c>
      <c r="C233" s="138">
        <v>1800</v>
      </c>
      <c r="D233" s="138"/>
      <c r="E233" s="138">
        <v>1800</v>
      </c>
    </row>
    <row r="234" spans="1:5" x14ac:dyDescent="0.25">
      <c r="A234" s="91" t="s">
        <v>7917</v>
      </c>
      <c r="B234" s="138">
        <v>10000</v>
      </c>
      <c r="C234" s="138">
        <v>9762.58</v>
      </c>
      <c r="D234" s="138">
        <v>30000</v>
      </c>
      <c r="E234" s="138">
        <v>49762.58</v>
      </c>
    </row>
    <row r="235" spans="1:5" x14ac:dyDescent="0.25">
      <c r="A235" s="91" t="s">
        <v>8027</v>
      </c>
      <c r="B235" s="138">
        <v>500</v>
      </c>
      <c r="C235" s="138">
        <v>0</v>
      </c>
      <c r="D235" s="138">
        <v>500</v>
      </c>
      <c r="E235" s="138">
        <v>1000</v>
      </c>
    </row>
    <row r="236" spans="1:5" x14ac:dyDescent="0.25">
      <c r="A236" s="91" t="s">
        <v>8039</v>
      </c>
      <c r="B236" s="138">
        <v>-3500</v>
      </c>
      <c r="C236" s="138">
        <v>50</v>
      </c>
      <c r="D236" s="138">
        <v>4500</v>
      </c>
      <c r="E236" s="138">
        <v>1050</v>
      </c>
    </row>
    <row r="237" spans="1:5" x14ac:dyDescent="0.25">
      <c r="A237" s="91" t="s">
        <v>8073</v>
      </c>
      <c r="B237" s="138">
        <v>0</v>
      </c>
      <c r="C237" s="138">
        <v>0</v>
      </c>
      <c r="D237" s="138">
        <v>10000</v>
      </c>
      <c r="E237" s="138">
        <v>10000</v>
      </c>
    </row>
    <row r="238" spans="1:5" x14ac:dyDescent="0.25">
      <c r="A238" s="91" t="s">
        <v>8173</v>
      </c>
      <c r="B238" s="138">
        <v>1500</v>
      </c>
      <c r="C238" s="138">
        <v>271.44</v>
      </c>
      <c r="D238" s="138">
        <v>1500</v>
      </c>
      <c r="E238" s="138">
        <v>3271.44</v>
      </c>
    </row>
    <row r="239" spans="1:5" x14ac:dyDescent="0.25">
      <c r="A239" s="91" t="s">
        <v>8286</v>
      </c>
      <c r="B239" s="138">
        <v>2340</v>
      </c>
      <c r="C239" s="138">
        <v>19903.080000000002</v>
      </c>
      <c r="D239" s="138">
        <v>42340</v>
      </c>
      <c r="E239" s="138">
        <v>64583.08</v>
      </c>
    </row>
    <row r="240" spans="1:5" x14ac:dyDescent="0.25">
      <c r="A240" s="91" t="s">
        <v>8347</v>
      </c>
      <c r="B240" s="138">
        <v>-6000</v>
      </c>
      <c r="C240" s="138">
        <v>0</v>
      </c>
      <c r="D240" s="138">
        <v>10000</v>
      </c>
      <c r="E240" s="138">
        <v>4000</v>
      </c>
    </row>
    <row r="241" spans="1:5" x14ac:dyDescent="0.25">
      <c r="A241" s="91" t="s">
        <v>8368</v>
      </c>
      <c r="B241" s="138">
        <v>6000</v>
      </c>
      <c r="C241" s="138">
        <v>2977.87</v>
      </c>
      <c r="D241" s="138">
        <v>6000</v>
      </c>
      <c r="E241" s="138">
        <v>14977.869999999999</v>
      </c>
    </row>
    <row r="242" spans="1:5" x14ac:dyDescent="0.25">
      <c r="A242" s="91" t="s">
        <v>7775</v>
      </c>
      <c r="B242" s="138">
        <v>15324</v>
      </c>
      <c r="C242" s="138">
        <v>0</v>
      </c>
      <c r="D242" s="138">
        <v>30000</v>
      </c>
      <c r="E242" s="138">
        <v>45324</v>
      </c>
    </row>
    <row r="243" spans="1:5" x14ac:dyDescent="0.25">
      <c r="A243" s="91" t="s">
        <v>8556</v>
      </c>
      <c r="B243" s="138">
        <v>2474.83</v>
      </c>
      <c r="C243" s="138">
        <v>0</v>
      </c>
      <c r="D243" s="138"/>
      <c r="E243" s="138">
        <v>2474.83</v>
      </c>
    </row>
    <row r="244" spans="1:5" x14ac:dyDescent="0.25">
      <c r="A244" s="91" t="s">
        <v>8557</v>
      </c>
      <c r="B244" s="138">
        <v>222.2</v>
      </c>
      <c r="C244" s="138">
        <v>0</v>
      </c>
      <c r="D244" s="138"/>
      <c r="E244" s="138">
        <v>222.2</v>
      </c>
    </row>
    <row r="245" spans="1:5" x14ac:dyDescent="0.25">
      <c r="A245" s="91" t="s">
        <v>8558</v>
      </c>
      <c r="B245" s="138">
        <v>7.66</v>
      </c>
      <c r="C245" s="138">
        <v>0</v>
      </c>
      <c r="D245" s="138"/>
      <c r="E245" s="138">
        <v>7.66</v>
      </c>
    </row>
    <row r="246" spans="1:5" x14ac:dyDescent="0.25">
      <c r="A246" s="91" t="s">
        <v>8559</v>
      </c>
      <c r="B246" s="138">
        <v>289.75</v>
      </c>
      <c r="C246" s="138">
        <v>0</v>
      </c>
      <c r="D246" s="138"/>
      <c r="E246" s="138">
        <v>289.75</v>
      </c>
    </row>
    <row r="247" spans="1:5" x14ac:dyDescent="0.25">
      <c r="A247" s="91" t="s">
        <v>8174</v>
      </c>
      <c r="B247" s="138">
        <v>8.1999999999999993</v>
      </c>
      <c r="C247" s="138">
        <v>0</v>
      </c>
      <c r="D247" s="138">
        <v>82</v>
      </c>
      <c r="E247" s="138">
        <v>90.2</v>
      </c>
    </row>
    <row r="248" spans="1:5" x14ac:dyDescent="0.25">
      <c r="A248" s="91" t="s">
        <v>7717</v>
      </c>
      <c r="B248" s="138">
        <v>6000</v>
      </c>
      <c r="C248" s="138">
        <v>18135.75</v>
      </c>
      <c r="D248" s="138">
        <v>25000</v>
      </c>
      <c r="E248" s="138">
        <v>49135.75</v>
      </c>
    </row>
    <row r="249" spans="1:5" x14ac:dyDescent="0.25">
      <c r="A249" s="91" t="s">
        <v>7776</v>
      </c>
      <c r="B249" s="138">
        <v>35769</v>
      </c>
      <c r="C249" s="138">
        <v>1930.6</v>
      </c>
      <c r="D249" s="138">
        <v>16769</v>
      </c>
      <c r="E249" s="138">
        <v>54468.6</v>
      </c>
    </row>
    <row r="250" spans="1:5" x14ac:dyDescent="0.25">
      <c r="A250" s="91" t="s">
        <v>8560</v>
      </c>
      <c r="B250" s="138">
        <v>969</v>
      </c>
      <c r="C250" s="138">
        <v>2928.95</v>
      </c>
      <c r="D250" s="138"/>
      <c r="E250" s="138">
        <v>3897.95</v>
      </c>
    </row>
    <row r="251" spans="1:5" x14ac:dyDescent="0.25">
      <c r="A251" s="91" t="s">
        <v>8561</v>
      </c>
      <c r="B251" s="138">
        <v>5776.69</v>
      </c>
      <c r="C251" s="138">
        <v>311.79000000000002</v>
      </c>
      <c r="D251" s="138"/>
      <c r="E251" s="138">
        <v>6088.48</v>
      </c>
    </row>
    <row r="252" spans="1:5" x14ac:dyDescent="0.25">
      <c r="A252" s="91" t="s">
        <v>8562</v>
      </c>
      <c r="B252" s="138">
        <v>87</v>
      </c>
      <c r="C252" s="138">
        <v>263</v>
      </c>
      <c r="D252" s="138"/>
      <c r="E252" s="138">
        <v>350</v>
      </c>
    </row>
    <row r="253" spans="1:5" x14ac:dyDescent="0.25">
      <c r="A253" s="91" t="s">
        <v>8563</v>
      </c>
      <c r="B253" s="138">
        <v>518.65</v>
      </c>
      <c r="C253" s="138">
        <v>28</v>
      </c>
      <c r="D253" s="138"/>
      <c r="E253" s="138">
        <v>546.65</v>
      </c>
    </row>
    <row r="254" spans="1:5" x14ac:dyDescent="0.25">
      <c r="A254" s="91" t="s">
        <v>8564</v>
      </c>
      <c r="B254" s="138">
        <v>3</v>
      </c>
      <c r="C254" s="138">
        <v>9.02</v>
      </c>
      <c r="D254" s="138"/>
      <c r="E254" s="138">
        <v>12.02</v>
      </c>
    </row>
    <row r="255" spans="1:5" x14ac:dyDescent="0.25">
      <c r="A255" s="91" t="s">
        <v>8565</v>
      </c>
      <c r="B255" s="138">
        <v>17.88</v>
      </c>
      <c r="C255" s="138">
        <v>0.97</v>
      </c>
      <c r="D255" s="138"/>
      <c r="E255" s="138">
        <v>18.849999999999998</v>
      </c>
    </row>
    <row r="256" spans="1:5" x14ac:dyDescent="0.25">
      <c r="A256" s="91" t="s">
        <v>8566</v>
      </c>
      <c r="B256" s="138">
        <v>113.45</v>
      </c>
      <c r="C256" s="138">
        <v>342.92</v>
      </c>
      <c r="D256" s="138"/>
      <c r="E256" s="138">
        <v>456.37</v>
      </c>
    </row>
    <row r="257" spans="1:5" x14ac:dyDescent="0.25">
      <c r="A257" s="91" t="s">
        <v>8567</v>
      </c>
      <c r="B257" s="138">
        <v>676.32</v>
      </c>
      <c r="C257" s="138">
        <v>36.5</v>
      </c>
      <c r="D257" s="138"/>
      <c r="E257" s="138">
        <v>712.82</v>
      </c>
    </row>
    <row r="258" spans="1:5" x14ac:dyDescent="0.25">
      <c r="A258" s="91" t="s">
        <v>8175</v>
      </c>
      <c r="B258" s="138">
        <v>182</v>
      </c>
      <c r="C258" s="138">
        <v>159.51</v>
      </c>
      <c r="D258" s="138">
        <v>182</v>
      </c>
      <c r="E258" s="138">
        <v>523.51</v>
      </c>
    </row>
    <row r="259" spans="1:5" x14ac:dyDescent="0.25">
      <c r="A259" s="91" t="s">
        <v>8116</v>
      </c>
      <c r="B259" s="138">
        <v>22290</v>
      </c>
      <c r="C259" s="138">
        <v>15322.51</v>
      </c>
      <c r="D259" s="138">
        <v>22290</v>
      </c>
      <c r="E259" s="138">
        <v>59902.51</v>
      </c>
    </row>
    <row r="260" spans="1:5" x14ac:dyDescent="0.25">
      <c r="A260" s="91" t="s">
        <v>8122</v>
      </c>
      <c r="B260" s="138">
        <v>1161</v>
      </c>
      <c r="C260" s="138">
        <v>1542.55</v>
      </c>
      <c r="D260" s="138">
        <v>1161</v>
      </c>
      <c r="E260" s="138">
        <v>3864.55</v>
      </c>
    </row>
    <row r="261" spans="1:5" x14ac:dyDescent="0.25">
      <c r="A261" s="91" t="s">
        <v>8135</v>
      </c>
      <c r="B261" s="138">
        <v>7769</v>
      </c>
      <c r="C261" s="138">
        <v>6676.18</v>
      </c>
      <c r="D261" s="138">
        <v>7769</v>
      </c>
      <c r="E261" s="138">
        <v>22214.18</v>
      </c>
    </row>
    <row r="262" spans="1:5" x14ac:dyDescent="0.25">
      <c r="A262" s="91" t="s">
        <v>8145</v>
      </c>
      <c r="B262" s="138">
        <v>4597</v>
      </c>
      <c r="C262" s="138">
        <v>4562.04</v>
      </c>
      <c r="D262" s="138">
        <v>4597</v>
      </c>
      <c r="E262" s="138">
        <v>13756.04</v>
      </c>
    </row>
    <row r="263" spans="1:5" x14ac:dyDescent="0.25">
      <c r="A263" s="91" t="s">
        <v>8176</v>
      </c>
      <c r="B263" s="138">
        <v>0</v>
      </c>
      <c r="C263" s="138">
        <v>159.51</v>
      </c>
      <c r="D263" s="138">
        <v>0</v>
      </c>
      <c r="E263" s="138">
        <v>159.51</v>
      </c>
    </row>
    <row r="264" spans="1:5" x14ac:dyDescent="0.25">
      <c r="A264" s="91" t="s">
        <v>7782</v>
      </c>
      <c r="B264" s="138">
        <v>20000</v>
      </c>
      <c r="C264" s="138">
        <v>0</v>
      </c>
      <c r="D264" s="138"/>
      <c r="E264" s="138">
        <v>20000</v>
      </c>
    </row>
    <row r="265" spans="1:5" x14ac:dyDescent="0.25">
      <c r="A265" s="91" t="s">
        <v>8568</v>
      </c>
      <c r="B265" s="138">
        <v>3230</v>
      </c>
      <c r="C265" s="138">
        <v>0</v>
      </c>
      <c r="D265" s="138"/>
      <c r="E265" s="138">
        <v>3230</v>
      </c>
    </row>
    <row r="266" spans="1:5" x14ac:dyDescent="0.25">
      <c r="A266" s="91" t="s">
        <v>8569</v>
      </c>
      <c r="B266" s="138">
        <v>290</v>
      </c>
      <c r="C266" s="138">
        <v>0</v>
      </c>
      <c r="D266" s="138"/>
      <c r="E266" s="138">
        <v>290</v>
      </c>
    </row>
    <row r="267" spans="1:5" x14ac:dyDescent="0.25">
      <c r="A267" s="91" t="s">
        <v>8570</v>
      </c>
      <c r="B267" s="138">
        <v>10</v>
      </c>
      <c r="C267" s="138">
        <v>0</v>
      </c>
      <c r="D267" s="138"/>
      <c r="E267" s="138">
        <v>10</v>
      </c>
    </row>
    <row r="268" spans="1:5" x14ac:dyDescent="0.25">
      <c r="A268" s="91" t="s">
        <v>8571</v>
      </c>
      <c r="B268" s="138">
        <v>379</v>
      </c>
      <c r="C268" s="138">
        <v>0</v>
      </c>
      <c r="D268" s="138"/>
      <c r="E268" s="138">
        <v>379</v>
      </c>
    </row>
    <row r="269" spans="1:5" x14ac:dyDescent="0.25">
      <c r="A269" s="91" t="s">
        <v>8040</v>
      </c>
      <c r="B269" s="138">
        <v>15000</v>
      </c>
      <c r="C269" s="138">
        <v>0</v>
      </c>
      <c r="D269" s="138"/>
      <c r="E269" s="138">
        <v>15000</v>
      </c>
    </row>
    <row r="270" spans="1:5" x14ac:dyDescent="0.25">
      <c r="A270" s="91" t="s">
        <v>8177</v>
      </c>
      <c r="B270" s="138">
        <v>0</v>
      </c>
      <c r="C270" s="138">
        <v>18.78</v>
      </c>
      <c r="D270" s="138"/>
      <c r="E270" s="138">
        <v>18.78</v>
      </c>
    </row>
    <row r="271" spans="1:5" x14ac:dyDescent="0.25">
      <c r="A271" s="91" t="s">
        <v>8572</v>
      </c>
      <c r="B271" s="138">
        <v>99920.36</v>
      </c>
      <c r="C271" s="138">
        <v>83266.7</v>
      </c>
      <c r="D271" s="138"/>
      <c r="E271" s="138">
        <v>183187.06</v>
      </c>
    </row>
    <row r="272" spans="1:5" x14ac:dyDescent="0.25">
      <c r="A272" s="91" t="s">
        <v>8573</v>
      </c>
      <c r="B272" s="138">
        <v>423117</v>
      </c>
      <c r="C272" s="138">
        <v>358801.1</v>
      </c>
      <c r="D272" s="138"/>
      <c r="E272" s="138">
        <v>781918.1</v>
      </c>
    </row>
    <row r="273" spans="1:5" x14ac:dyDescent="0.25">
      <c r="A273" s="91" t="s">
        <v>7850</v>
      </c>
      <c r="B273" s="138">
        <v>7385</v>
      </c>
      <c r="C273" s="138">
        <v>0</v>
      </c>
      <c r="D273" s="138">
        <v>7385</v>
      </c>
      <c r="E273" s="138">
        <v>14770</v>
      </c>
    </row>
    <row r="274" spans="1:5" x14ac:dyDescent="0.25">
      <c r="A274" s="91" t="s">
        <v>8574</v>
      </c>
      <c r="B274" s="138">
        <v>108268.73</v>
      </c>
      <c r="C274" s="138">
        <v>89197.38</v>
      </c>
      <c r="D274" s="138"/>
      <c r="E274" s="138">
        <v>197466.11</v>
      </c>
    </row>
    <row r="275" spans="1:5" x14ac:dyDescent="0.25">
      <c r="A275" s="91" t="s">
        <v>8575</v>
      </c>
      <c r="B275" s="138">
        <v>32428.32</v>
      </c>
      <c r="C275" s="138">
        <v>25038.32</v>
      </c>
      <c r="D275" s="138"/>
      <c r="E275" s="138">
        <v>57466.64</v>
      </c>
    </row>
    <row r="276" spans="1:5" x14ac:dyDescent="0.25">
      <c r="A276" s="91" t="s">
        <v>8576</v>
      </c>
      <c r="B276" s="138">
        <v>7584.05</v>
      </c>
      <c r="C276" s="138">
        <v>6354.83</v>
      </c>
      <c r="D276" s="138"/>
      <c r="E276" s="138">
        <v>13938.880000000001</v>
      </c>
    </row>
    <row r="277" spans="1:5" x14ac:dyDescent="0.25">
      <c r="A277" s="91" t="s">
        <v>8577</v>
      </c>
      <c r="B277" s="138">
        <v>135546.35999999999</v>
      </c>
      <c r="C277" s="138">
        <v>110720.62</v>
      </c>
      <c r="D277" s="138"/>
      <c r="E277" s="138">
        <v>246266.97999999998</v>
      </c>
    </row>
    <row r="278" spans="1:5" x14ac:dyDescent="0.25">
      <c r="A278" s="91" t="s">
        <v>8578</v>
      </c>
      <c r="B278" s="138">
        <v>261.52</v>
      </c>
      <c r="C278" s="138">
        <v>220.81</v>
      </c>
      <c r="D278" s="138"/>
      <c r="E278" s="138">
        <v>482.33</v>
      </c>
    </row>
    <row r="279" spans="1:5" x14ac:dyDescent="0.25">
      <c r="A279" s="91" t="s">
        <v>8579</v>
      </c>
      <c r="B279" s="138">
        <v>10029.24</v>
      </c>
      <c r="C279" s="138">
        <v>8358.67</v>
      </c>
      <c r="D279" s="138"/>
      <c r="E279" s="138">
        <v>18387.91</v>
      </c>
    </row>
    <row r="280" spans="1:5" x14ac:dyDescent="0.25">
      <c r="A280" s="91" t="s">
        <v>7918</v>
      </c>
      <c r="B280" s="138">
        <v>3000</v>
      </c>
      <c r="C280" s="138">
        <v>824.04000000000008</v>
      </c>
      <c r="D280" s="138">
        <v>3000</v>
      </c>
      <c r="E280" s="138">
        <v>6824.04</v>
      </c>
    </row>
    <row r="281" spans="1:5" x14ac:dyDescent="0.25">
      <c r="A281" s="91" t="s">
        <v>7996</v>
      </c>
      <c r="B281" s="138">
        <v>130</v>
      </c>
      <c r="C281" s="138">
        <v>130</v>
      </c>
      <c r="D281" s="138">
        <v>130</v>
      </c>
      <c r="E281" s="138">
        <v>390</v>
      </c>
    </row>
    <row r="282" spans="1:5" x14ac:dyDescent="0.25">
      <c r="A282" s="91" t="s">
        <v>8003</v>
      </c>
      <c r="B282" s="138">
        <v>71792</v>
      </c>
      <c r="C282" s="138">
        <v>25839.1</v>
      </c>
      <c r="D282" s="138">
        <v>71792</v>
      </c>
      <c r="E282" s="138">
        <v>169423.1</v>
      </c>
    </row>
    <row r="283" spans="1:5" x14ac:dyDescent="0.25">
      <c r="A283" s="91" t="s">
        <v>8041</v>
      </c>
      <c r="B283" s="138">
        <v>1300</v>
      </c>
      <c r="C283" s="138">
        <v>421.55</v>
      </c>
      <c r="D283" s="138">
        <v>9000</v>
      </c>
      <c r="E283" s="138">
        <v>10721.55</v>
      </c>
    </row>
    <row r="284" spans="1:5" x14ac:dyDescent="0.25">
      <c r="A284" s="91" t="s">
        <v>8081</v>
      </c>
      <c r="B284" s="138">
        <v>500</v>
      </c>
      <c r="C284" s="138">
        <v>395</v>
      </c>
      <c r="D284" s="138">
        <v>2000</v>
      </c>
      <c r="E284" s="138">
        <v>2895</v>
      </c>
    </row>
    <row r="285" spans="1:5" x14ac:dyDescent="0.25">
      <c r="A285" s="91" t="s">
        <v>8178</v>
      </c>
      <c r="B285" s="138">
        <v>1000</v>
      </c>
      <c r="C285" s="138">
        <v>1058.31</v>
      </c>
      <c r="D285" s="138">
        <v>1000</v>
      </c>
      <c r="E285" s="138">
        <v>3058.31</v>
      </c>
    </row>
    <row r="286" spans="1:5" x14ac:dyDescent="0.25">
      <c r="A286" s="91" t="s">
        <v>8276</v>
      </c>
      <c r="B286" s="138">
        <v>800</v>
      </c>
      <c r="C286" s="138">
        <v>0</v>
      </c>
      <c r="D286" s="138">
        <v>800</v>
      </c>
      <c r="E286" s="138">
        <v>1600</v>
      </c>
    </row>
    <row r="287" spans="1:5" x14ac:dyDescent="0.25">
      <c r="A287" s="91" t="s">
        <v>8338</v>
      </c>
      <c r="B287" s="138">
        <v>500</v>
      </c>
      <c r="C287" s="138">
        <v>0</v>
      </c>
      <c r="D287" s="138">
        <v>500</v>
      </c>
      <c r="E287" s="138">
        <v>1000</v>
      </c>
    </row>
    <row r="288" spans="1:5" x14ac:dyDescent="0.25">
      <c r="A288" s="91" t="s">
        <v>8340</v>
      </c>
      <c r="B288" s="138">
        <v>0</v>
      </c>
      <c r="C288" s="138">
        <v>741.59</v>
      </c>
      <c r="D288" s="138"/>
      <c r="E288" s="138">
        <v>741.59</v>
      </c>
    </row>
    <row r="289" spans="1:5" x14ac:dyDescent="0.25">
      <c r="A289" s="91" t="s">
        <v>8348</v>
      </c>
      <c r="B289" s="138">
        <v>282000</v>
      </c>
      <c r="C289" s="138">
        <v>210717.68</v>
      </c>
      <c r="D289" s="138">
        <v>282000</v>
      </c>
      <c r="E289" s="138">
        <v>774717.67999999993</v>
      </c>
    </row>
    <row r="290" spans="1:5" x14ac:dyDescent="0.25">
      <c r="A290" s="91" t="s">
        <v>8369</v>
      </c>
      <c r="B290" s="138">
        <v>2794</v>
      </c>
      <c r="C290" s="138">
        <v>0</v>
      </c>
      <c r="D290" s="138">
        <v>2794</v>
      </c>
      <c r="E290" s="138">
        <v>5588</v>
      </c>
    </row>
    <row r="291" spans="1:5" x14ac:dyDescent="0.25">
      <c r="A291" s="91" t="s">
        <v>8580</v>
      </c>
      <c r="B291" s="138">
        <v>148907</v>
      </c>
      <c r="C291" s="138">
        <v>123910.43</v>
      </c>
      <c r="D291" s="138"/>
      <c r="E291" s="138">
        <v>272817.43</v>
      </c>
    </row>
    <row r="292" spans="1:5" x14ac:dyDescent="0.25">
      <c r="A292" s="91" t="s">
        <v>7783</v>
      </c>
      <c r="B292" s="138">
        <v>14000</v>
      </c>
      <c r="C292" s="138">
        <v>0</v>
      </c>
      <c r="D292" s="138"/>
      <c r="E292" s="138">
        <v>14000</v>
      </c>
    </row>
    <row r="293" spans="1:5" x14ac:dyDescent="0.25">
      <c r="A293" s="91" t="s">
        <v>8581</v>
      </c>
      <c r="B293" s="138">
        <v>84633</v>
      </c>
      <c r="C293" s="138">
        <v>71979.92</v>
      </c>
      <c r="D293" s="138"/>
      <c r="E293" s="138">
        <v>156612.91999999998</v>
      </c>
    </row>
    <row r="294" spans="1:5" x14ac:dyDescent="0.25">
      <c r="A294" s="91" t="s">
        <v>8582</v>
      </c>
      <c r="B294" s="138">
        <v>80072.2</v>
      </c>
      <c r="C294" s="138">
        <v>66394.92</v>
      </c>
      <c r="D294" s="138"/>
      <c r="E294" s="138">
        <v>146467.12</v>
      </c>
    </row>
    <row r="295" spans="1:5" x14ac:dyDescent="0.25">
      <c r="A295" s="91" t="s">
        <v>8583</v>
      </c>
      <c r="B295" s="138">
        <v>26309.48</v>
      </c>
      <c r="C295" s="138">
        <v>20040.400000000001</v>
      </c>
      <c r="D295" s="138"/>
      <c r="E295" s="138">
        <v>46349.880000000005</v>
      </c>
    </row>
    <row r="296" spans="1:5" x14ac:dyDescent="0.25">
      <c r="A296" s="91" t="s">
        <v>8584</v>
      </c>
      <c r="B296" s="138">
        <v>34093.980000000003</v>
      </c>
      <c r="C296" s="138">
        <v>28499.97</v>
      </c>
      <c r="D296" s="138"/>
      <c r="E296" s="138">
        <v>62593.950000000004</v>
      </c>
    </row>
    <row r="297" spans="1:5" x14ac:dyDescent="0.25">
      <c r="A297" s="91" t="s">
        <v>8585</v>
      </c>
      <c r="B297" s="138">
        <v>10211.73</v>
      </c>
      <c r="C297" s="138">
        <v>8549.57</v>
      </c>
      <c r="D297" s="138"/>
      <c r="E297" s="138">
        <v>18761.3</v>
      </c>
    </row>
    <row r="298" spans="1:5" x14ac:dyDescent="0.25">
      <c r="A298" s="91" t="s">
        <v>8586</v>
      </c>
      <c r="B298" s="138">
        <v>4750.38</v>
      </c>
      <c r="C298" s="138">
        <v>3796.22</v>
      </c>
      <c r="D298" s="138"/>
      <c r="E298" s="138">
        <v>8546.6</v>
      </c>
    </row>
    <row r="299" spans="1:5" x14ac:dyDescent="0.25">
      <c r="A299" s="91" t="s">
        <v>8587</v>
      </c>
      <c r="B299" s="138">
        <v>43367.83</v>
      </c>
      <c r="C299" s="138">
        <v>37169.379999999997</v>
      </c>
      <c r="D299" s="138"/>
      <c r="E299" s="138">
        <v>80537.209999999992</v>
      </c>
    </row>
    <row r="300" spans="1:5" x14ac:dyDescent="0.25">
      <c r="A300" s="91" t="s">
        <v>8588</v>
      </c>
      <c r="B300" s="138">
        <v>163.81</v>
      </c>
      <c r="C300" s="138">
        <v>131.07</v>
      </c>
      <c r="D300" s="138"/>
      <c r="E300" s="138">
        <v>294.88</v>
      </c>
    </row>
    <row r="301" spans="1:5" x14ac:dyDescent="0.25">
      <c r="A301" s="91" t="s">
        <v>8589</v>
      </c>
      <c r="B301" s="138">
        <v>6194.78</v>
      </c>
      <c r="C301" s="138">
        <v>4966.03</v>
      </c>
      <c r="D301" s="138"/>
      <c r="E301" s="138">
        <v>11160.81</v>
      </c>
    </row>
    <row r="302" spans="1:5" x14ac:dyDescent="0.25">
      <c r="A302" s="91" t="s">
        <v>8590</v>
      </c>
      <c r="B302" s="138">
        <v>2400</v>
      </c>
      <c r="C302" s="138">
        <v>1800</v>
      </c>
      <c r="D302" s="138"/>
      <c r="E302" s="138">
        <v>4200</v>
      </c>
    </row>
    <row r="303" spans="1:5" x14ac:dyDescent="0.25">
      <c r="A303" s="91" t="s">
        <v>7919</v>
      </c>
      <c r="B303" s="138">
        <v>1000</v>
      </c>
      <c r="C303" s="138">
        <v>0</v>
      </c>
      <c r="D303" s="138">
        <v>1000</v>
      </c>
      <c r="E303" s="138">
        <v>2000</v>
      </c>
    </row>
    <row r="304" spans="1:5" x14ac:dyDescent="0.25">
      <c r="A304" s="91" t="s">
        <v>8042</v>
      </c>
      <c r="B304" s="138">
        <v>0</v>
      </c>
      <c r="C304" s="138">
        <v>0</v>
      </c>
      <c r="D304" s="138">
        <v>6500</v>
      </c>
      <c r="E304" s="138">
        <v>6500</v>
      </c>
    </row>
    <row r="305" spans="1:5" x14ac:dyDescent="0.25">
      <c r="A305" s="91" t="s">
        <v>8082</v>
      </c>
      <c r="B305" s="138">
        <v>700</v>
      </c>
      <c r="C305" s="138">
        <v>0</v>
      </c>
      <c r="D305" s="138">
        <v>700</v>
      </c>
      <c r="E305" s="138">
        <v>1400</v>
      </c>
    </row>
    <row r="306" spans="1:5" x14ac:dyDescent="0.25">
      <c r="A306" s="91" t="s">
        <v>8103</v>
      </c>
      <c r="B306" s="138">
        <v>11000</v>
      </c>
      <c r="C306" s="138">
        <v>10400</v>
      </c>
      <c r="D306" s="138">
        <v>11000</v>
      </c>
      <c r="E306" s="138">
        <v>32400</v>
      </c>
    </row>
    <row r="307" spans="1:5" x14ac:dyDescent="0.25">
      <c r="A307" s="91" t="s">
        <v>8154</v>
      </c>
      <c r="B307" s="138">
        <v>0</v>
      </c>
      <c r="C307" s="138">
        <v>6717.17</v>
      </c>
      <c r="D307" s="138">
        <v>5000</v>
      </c>
      <c r="E307" s="138">
        <v>11717.17</v>
      </c>
    </row>
    <row r="308" spans="1:5" x14ac:dyDescent="0.25">
      <c r="A308" s="91" t="s">
        <v>8179</v>
      </c>
      <c r="B308" s="138">
        <v>65.099999999999994</v>
      </c>
      <c r="C308" s="138">
        <v>10.55</v>
      </c>
      <c r="D308" s="138">
        <v>556</v>
      </c>
      <c r="E308" s="138">
        <v>631.65</v>
      </c>
    </row>
    <row r="309" spans="1:5" x14ac:dyDescent="0.25">
      <c r="A309" s="91" t="s">
        <v>8591</v>
      </c>
      <c r="B309" s="138">
        <v>110000</v>
      </c>
      <c r="C309" s="138">
        <v>0</v>
      </c>
      <c r="D309" s="138"/>
      <c r="E309" s="138">
        <v>110000</v>
      </c>
    </row>
    <row r="310" spans="1:5" x14ac:dyDescent="0.25">
      <c r="A310" s="91" t="s">
        <v>7901</v>
      </c>
      <c r="B310" s="138">
        <v>0</v>
      </c>
      <c r="C310" s="138">
        <v>69849.759999999995</v>
      </c>
      <c r="D310" s="138"/>
      <c r="E310" s="138">
        <v>69849.759999999995</v>
      </c>
    </row>
    <row r="311" spans="1:5" x14ac:dyDescent="0.25">
      <c r="A311" s="91" t="s">
        <v>8592</v>
      </c>
      <c r="B311" s="138">
        <v>0</v>
      </c>
      <c r="C311" s="138">
        <v>0</v>
      </c>
      <c r="D311" s="138"/>
      <c r="E311" s="138">
        <v>0</v>
      </c>
    </row>
    <row r="312" spans="1:5" x14ac:dyDescent="0.25">
      <c r="A312" s="91" t="s">
        <v>8593</v>
      </c>
      <c r="B312" s="138">
        <v>125000</v>
      </c>
      <c r="C312" s="138">
        <v>0</v>
      </c>
      <c r="D312" s="138"/>
      <c r="E312" s="138">
        <v>125000</v>
      </c>
    </row>
    <row r="313" spans="1:5" x14ac:dyDescent="0.25">
      <c r="A313" s="91" t="s">
        <v>7902</v>
      </c>
      <c r="B313" s="138">
        <v>0</v>
      </c>
      <c r="C313" s="138">
        <v>123393.23</v>
      </c>
      <c r="D313" s="138"/>
      <c r="E313" s="138">
        <v>123393.23</v>
      </c>
    </row>
    <row r="314" spans="1:5" x14ac:dyDescent="0.25">
      <c r="A314" s="91" t="s">
        <v>8028</v>
      </c>
      <c r="B314" s="138">
        <v>50000</v>
      </c>
      <c r="C314" s="138">
        <v>9747.2900000000009</v>
      </c>
      <c r="D314" s="138"/>
      <c r="E314" s="138">
        <v>59747.29</v>
      </c>
    </row>
    <row r="315" spans="1:5" x14ac:dyDescent="0.25">
      <c r="A315" s="91" t="s">
        <v>8344</v>
      </c>
      <c r="B315" s="138">
        <v>3245</v>
      </c>
      <c r="C315" s="138">
        <v>4598.68</v>
      </c>
      <c r="D315" s="138"/>
      <c r="E315" s="138">
        <v>7843.68</v>
      </c>
    </row>
    <row r="316" spans="1:5" x14ac:dyDescent="0.25">
      <c r="A316" s="91" t="s">
        <v>8133</v>
      </c>
      <c r="B316" s="138">
        <v>0</v>
      </c>
      <c r="C316" s="138">
        <v>55970.54</v>
      </c>
      <c r="D316" s="138"/>
      <c r="E316" s="138">
        <v>55970.54</v>
      </c>
    </row>
    <row r="317" spans="1:5" x14ac:dyDescent="0.25">
      <c r="A317" s="91" t="s">
        <v>7920</v>
      </c>
      <c r="B317" s="138">
        <v>956</v>
      </c>
      <c r="C317" s="138">
        <v>0</v>
      </c>
      <c r="D317" s="138">
        <v>956</v>
      </c>
      <c r="E317" s="138">
        <v>1912</v>
      </c>
    </row>
    <row r="318" spans="1:5" x14ac:dyDescent="0.25">
      <c r="A318" s="91" t="s">
        <v>8004</v>
      </c>
      <c r="B318" s="138">
        <v>630185</v>
      </c>
      <c r="C318" s="138">
        <v>335178.78000000003</v>
      </c>
      <c r="D318" s="138">
        <v>630185</v>
      </c>
      <c r="E318" s="138">
        <v>1595548.78</v>
      </c>
    </row>
    <row r="319" spans="1:5" x14ac:dyDescent="0.25">
      <c r="A319" s="91" t="s">
        <v>8180</v>
      </c>
      <c r="B319" s="138">
        <v>0.6</v>
      </c>
      <c r="C319" s="138">
        <v>0</v>
      </c>
      <c r="D319" s="138">
        <v>6</v>
      </c>
      <c r="E319" s="138">
        <v>6.6</v>
      </c>
    </row>
    <row r="320" spans="1:5" x14ac:dyDescent="0.25">
      <c r="A320" s="91" t="s">
        <v>8333</v>
      </c>
      <c r="B320" s="138">
        <v>0</v>
      </c>
      <c r="C320" s="138">
        <v>0</v>
      </c>
      <c r="D320" s="138">
        <v>27455</v>
      </c>
      <c r="E320" s="138">
        <v>27455</v>
      </c>
    </row>
    <row r="321" spans="1:5" x14ac:dyDescent="0.25">
      <c r="A321" s="91" t="s">
        <v>8117</v>
      </c>
      <c r="B321" s="138">
        <v>29796.82</v>
      </c>
      <c r="C321" s="138">
        <v>1444.98</v>
      </c>
      <c r="D321" s="138"/>
      <c r="E321" s="138">
        <v>31241.8</v>
      </c>
    </row>
    <row r="322" spans="1:5" x14ac:dyDescent="0.25">
      <c r="A322" s="91" t="s">
        <v>8123</v>
      </c>
      <c r="B322" s="138">
        <v>1161</v>
      </c>
      <c r="C322" s="138">
        <v>0</v>
      </c>
      <c r="D322" s="138"/>
      <c r="E322" s="138">
        <v>1161</v>
      </c>
    </row>
    <row r="323" spans="1:5" x14ac:dyDescent="0.25">
      <c r="A323" s="91" t="s">
        <v>8118</v>
      </c>
      <c r="B323" s="138">
        <v>845000</v>
      </c>
      <c r="C323" s="138">
        <v>313341.62</v>
      </c>
      <c r="D323" s="138"/>
      <c r="E323" s="138">
        <v>1158341.6200000001</v>
      </c>
    </row>
    <row r="324" spans="1:5" x14ac:dyDescent="0.25">
      <c r="A324" s="91" t="s">
        <v>8124</v>
      </c>
      <c r="B324" s="138">
        <v>155661</v>
      </c>
      <c r="C324" s="138">
        <v>204158.39</v>
      </c>
      <c r="D324" s="138"/>
      <c r="E324" s="138">
        <v>359819.39</v>
      </c>
    </row>
    <row r="325" spans="1:5" x14ac:dyDescent="0.25">
      <c r="A325" s="91" t="s">
        <v>8136</v>
      </c>
      <c r="B325" s="138">
        <v>59200</v>
      </c>
      <c r="C325" s="138">
        <v>39594.160000000003</v>
      </c>
      <c r="D325" s="138"/>
      <c r="E325" s="138">
        <v>98794.16</v>
      </c>
    </row>
    <row r="326" spans="1:5" x14ac:dyDescent="0.25">
      <c r="A326" s="91" t="s">
        <v>8139</v>
      </c>
      <c r="B326" s="138">
        <v>31838</v>
      </c>
      <c r="C326" s="138">
        <v>26418.52</v>
      </c>
      <c r="D326" s="138"/>
      <c r="E326" s="138">
        <v>58256.520000000004</v>
      </c>
    </row>
    <row r="327" spans="1:5" x14ac:dyDescent="0.25">
      <c r="A327" s="91" t="s">
        <v>8141</v>
      </c>
      <c r="B327" s="138">
        <v>2000</v>
      </c>
      <c r="C327" s="138">
        <v>0</v>
      </c>
      <c r="D327" s="138"/>
      <c r="E327" s="138">
        <v>2000</v>
      </c>
    </row>
    <row r="328" spans="1:5" x14ac:dyDescent="0.25">
      <c r="A328" s="91" t="s">
        <v>8146</v>
      </c>
      <c r="B328" s="138">
        <v>50000</v>
      </c>
      <c r="C328" s="138">
        <v>22479.200000000001</v>
      </c>
      <c r="D328" s="138"/>
      <c r="E328" s="138">
        <v>72479.199999999997</v>
      </c>
    </row>
    <row r="329" spans="1:5" x14ac:dyDescent="0.25">
      <c r="A329" s="91" t="s">
        <v>8594</v>
      </c>
      <c r="B329" s="138">
        <v>440950.1</v>
      </c>
      <c r="C329" s="138">
        <v>365651.08</v>
      </c>
      <c r="D329" s="138"/>
      <c r="E329" s="138">
        <v>806601.17999999993</v>
      </c>
    </row>
    <row r="330" spans="1:5" x14ac:dyDescent="0.25">
      <c r="A330" s="91" t="s">
        <v>8595</v>
      </c>
      <c r="B330" s="138">
        <v>94895.1</v>
      </c>
      <c r="C330" s="138">
        <v>79084.100000000006</v>
      </c>
      <c r="D330" s="138"/>
      <c r="E330" s="138">
        <v>173979.2</v>
      </c>
    </row>
    <row r="331" spans="1:5" x14ac:dyDescent="0.25">
      <c r="A331" s="91" t="s">
        <v>8596</v>
      </c>
      <c r="B331" s="138">
        <v>136446.51999999999</v>
      </c>
      <c r="C331" s="138">
        <v>113235.5</v>
      </c>
      <c r="D331" s="138"/>
      <c r="E331" s="138">
        <v>249682.02</v>
      </c>
    </row>
    <row r="332" spans="1:5" x14ac:dyDescent="0.25">
      <c r="A332" s="91" t="s">
        <v>8597</v>
      </c>
      <c r="B332" s="138">
        <v>295114.38</v>
      </c>
      <c r="C332" s="138">
        <v>230570.64</v>
      </c>
      <c r="D332" s="138"/>
      <c r="E332" s="138">
        <v>525685.02</v>
      </c>
    </row>
    <row r="333" spans="1:5" x14ac:dyDescent="0.25">
      <c r="A333" s="91" t="s">
        <v>7811</v>
      </c>
      <c r="B333" s="138">
        <v>10000</v>
      </c>
      <c r="C333" s="138">
        <v>5818.8</v>
      </c>
      <c r="D333" s="138"/>
      <c r="E333" s="138">
        <v>15818.8</v>
      </c>
    </row>
    <row r="334" spans="1:5" x14ac:dyDescent="0.25">
      <c r="A334" s="91" t="s">
        <v>7851</v>
      </c>
      <c r="B334" s="138">
        <v>2500</v>
      </c>
      <c r="C334" s="138">
        <v>0</v>
      </c>
      <c r="D334" s="138"/>
      <c r="E334" s="138">
        <v>2500</v>
      </c>
    </row>
    <row r="335" spans="1:5" x14ac:dyDescent="0.25">
      <c r="A335" s="91" t="s">
        <v>7862</v>
      </c>
      <c r="B335" s="138">
        <v>0</v>
      </c>
      <c r="C335" s="138">
        <v>0</v>
      </c>
      <c r="D335" s="138"/>
      <c r="E335" s="138">
        <v>0</v>
      </c>
    </row>
    <row r="336" spans="1:5" x14ac:dyDescent="0.25">
      <c r="A336" s="91" t="s">
        <v>8598</v>
      </c>
      <c r="B336" s="138">
        <v>200253.07</v>
      </c>
      <c r="C336" s="138">
        <v>155365.09</v>
      </c>
      <c r="D336" s="138"/>
      <c r="E336" s="138">
        <v>355618.16000000003</v>
      </c>
    </row>
    <row r="337" spans="1:5" x14ac:dyDescent="0.25">
      <c r="A337" s="91" t="s">
        <v>8599</v>
      </c>
      <c r="B337" s="138">
        <v>61219.19</v>
      </c>
      <c r="C337" s="138">
        <v>47129.9</v>
      </c>
      <c r="D337" s="138"/>
      <c r="E337" s="138">
        <v>108349.09</v>
      </c>
    </row>
    <row r="338" spans="1:5" x14ac:dyDescent="0.25">
      <c r="A338" s="91" t="s">
        <v>8600</v>
      </c>
      <c r="B338" s="138">
        <v>14317.39</v>
      </c>
      <c r="C338" s="138">
        <v>11356.49</v>
      </c>
      <c r="D338" s="138"/>
      <c r="E338" s="138">
        <v>25673.879999999997</v>
      </c>
    </row>
    <row r="339" spans="1:5" x14ac:dyDescent="0.25">
      <c r="A339" s="91" t="s">
        <v>8601</v>
      </c>
      <c r="B339" s="138">
        <v>345875.63</v>
      </c>
      <c r="C339" s="138">
        <v>264560.03000000003</v>
      </c>
      <c r="D339" s="138"/>
      <c r="E339" s="138">
        <v>610435.66</v>
      </c>
    </row>
    <row r="340" spans="1:5" x14ac:dyDescent="0.25">
      <c r="A340" s="91" t="s">
        <v>8602</v>
      </c>
      <c r="B340" s="138">
        <v>493.7</v>
      </c>
      <c r="C340" s="138">
        <v>394.75</v>
      </c>
      <c r="D340" s="138"/>
      <c r="E340" s="138">
        <v>888.45</v>
      </c>
    </row>
    <row r="341" spans="1:5" x14ac:dyDescent="0.25">
      <c r="A341" s="91" t="s">
        <v>8603</v>
      </c>
      <c r="B341" s="138">
        <v>18717.14</v>
      </c>
      <c r="C341" s="138">
        <v>15033.59</v>
      </c>
      <c r="D341" s="138"/>
      <c r="E341" s="138">
        <v>33750.729999999996</v>
      </c>
    </row>
    <row r="342" spans="1:5" x14ac:dyDescent="0.25">
      <c r="A342" s="91" t="s">
        <v>8604</v>
      </c>
      <c r="B342" s="138">
        <v>0</v>
      </c>
      <c r="C342" s="138">
        <v>-9.7200000000000006</v>
      </c>
      <c r="D342" s="138"/>
      <c r="E342" s="138">
        <v>-9.7200000000000006</v>
      </c>
    </row>
    <row r="343" spans="1:5" x14ac:dyDescent="0.25">
      <c r="A343" s="91" t="s">
        <v>8605</v>
      </c>
      <c r="B343" s="138">
        <v>4728</v>
      </c>
      <c r="C343" s="138">
        <v>3546</v>
      </c>
      <c r="D343" s="138"/>
      <c r="E343" s="138">
        <v>8274</v>
      </c>
    </row>
    <row r="344" spans="1:5" x14ac:dyDescent="0.25">
      <c r="A344" s="91" t="s">
        <v>7921</v>
      </c>
      <c r="B344" s="138">
        <v>8000</v>
      </c>
      <c r="C344" s="138">
        <v>6977.9</v>
      </c>
      <c r="D344" s="138"/>
      <c r="E344" s="138">
        <v>14977.9</v>
      </c>
    </row>
    <row r="345" spans="1:5" x14ac:dyDescent="0.25">
      <c r="A345" s="91" t="s">
        <v>8005</v>
      </c>
      <c r="B345" s="138">
        <v>11000</v>
      </c>
      <c r="C345" s="138">
        <v>10774.6</v>
      </c>
      <c r="D345" s="138"/>
      <c r="E345" s="138">
        <v>21774.6</v>
      </c>
    </row>
    <row r="346" spans="1:5" x14ac:dyDescent="0.25">
      <c r="A346" s="91" t="s">
        <v>8043</v>
      </c>
      <c r="B346" s="138">
        <v>-93.67</v>
      </c>
      <c r="C346" s="138">
        <v>906.33</v>
      </c>
      <c r="D346" s="138"/>
      <c r="E346" s="138">
        <v>812.66000000000008</v>
      </c>
    </row>
    <row r="347" spans="1:5" x14ac:dyDescent="0.25">
      <c r="A347" s="91" t="s">
        <v>8104</v>
      </c>
      <c r="B347" s="138">
        <v>0</v>
      </c>
      <c r="C347" s="138">
        <v>199</v>
      </c>
      <c r="D347" s="138"/>
      <c r="E347" s="138">
        <v>199</v>
      </c>
    </row>
    <row r="348" spans="1:5" x14ac:dyDescent="0.25">
      <c r="A348" s="91" t="s">
        <v>8181</v>
      </c>
      <c r="B348" s="138">
        <v>8700</v>
      </c>
      <c r="C348" s="138">
        <v>4057.3</v>
      </c>
      <c r="D348" s="138"/>
      <c r="E348" s="138">
        <v>12757.3</v>
      </c>
    </row>
    <row r="349" spans="1:5" x14ac:dyDescent="0.25">
      <c r="A349" s="91" t="s">
        <v>8334</v>
      </c>
      <c r="B349" s="138">
        <v>1500</v>
      </c>
      <c r="C349" s="138">
        <v>-5873.57</v>
      </c>
      <c r="D349" s="138"/>
      <c r="E349" s="138">
        <v>-4373.57</v>
      </c>
    </row>
    <row r="350" spans="1:5" x14ac:dyDescent="0.25">
      <c r="A350" s="91" t="s">
        <v>8370</v>
      </c>
      <c r="B350" s="138">
        <v>2500</v>
      </c>
      <c r="C350" s="138">
        <v>0</v>
      </c>
      <c r="D350" s="138"/>
      <c r="E350" s="138">
        <v>2500</v>
      </c>
    </row>
    <row r="351" spans="1:5" x14ac:dyDescent="0.25">
      <c r="A351" s="91" t="s">
        <v>8606</v>
      </c>
      <c r="B351" s="138">
        <v>120688</v>
      </c>
      <c r="C351" s="138">
        <v>100184.75</v>
      </c>
      <c r="D351" s="138"/>
      <c r="E351" s="138">
        <v>220872.75</v>
      </c>
    </row>
    <row r="352" spans="1:5" x14ac:dyDescent="0.25">
      <c r="A352" s="91" t="s">
        <v>8607</v>
      </c>
      <c r="B352" s="138">
        <v>24982.42</v>
      </c>
      <c r="C352" s="138">
        <v>20738.240000000002</v>
      </c>
      <c r="D352" s="138"/>
      <c r="E352" s="138">
        <v>45720.66</v>
      </c>
    </row>
    <row r="353" spans="1:5" x14ac:dyDescent="0.25">
      <c r="A353" s="91" t="s">
        <v>8608</v>
      </c>
      <c r="B353" s="138">
        <v>7482.66</v>
      </c>
      <c r="C353" s="138">
        <v>6160.25</v>
      </c>
      <c r="D353" s="138"/>
      <c r="E353" s="138">
        <v>13642.91</v>
      </c>
    </row>
    <row r="354" spans="1:5" x14ac:dyDescent="0.25">
      <c r="A354" s="91" t="s">
        <v>8609</v>
      </c>
      <c r="B354" s="138">
        <v>1749.98</v>
      </c>
      <c r="C354" s="138">
        <v>1440.72</v>
      </c>
      <c r="D354" s="138"/>
      <c r="E354" s="138">
        <v>3190.7</v>
      </c>
    </row>
    <row r="355" spans="1:5" x14ac:dyDescent="0.25">
      <c r="A355" s="91" t="s">
        <v>8610</v>
      </c>
      <c r="B355" s="138">
        <v>33121.43</v>
      </c>
      <c r="C355" s="138">
        <v>27056.86</v>
      </c>
      <c r="D355" s="138"/>
      <c r="E355" s="138">
        <v>60178.29</v>
      </c>
    </row>
    <row r="356" spans="1:5" x14ac:dyDescent="0.25">
      <c r="A356" s="91" t="s">
        <v>8611</v>
      </c>
      <c r="B356" s="138">
        <v>0</v>
      </c>
      <c r="C356" s="138">
        <v>998.14</v>
      </c>
      <c r="D356" s="138"/>
      <c r="E356" s="138">
        <v>998.14</v>
      </c>
    </row>
    <row r="357" spans="1:5" x14ac:dyDescent="0.25">
      <c r="A357" s="91" t="s">
        <v>8612</v>
      </c>
      <c r="B357" s="138">
        <v>60.34</v>
      </c>
      <c r="C357" s="138">
        <v>50.11</v>
      </c>
      <c r="D357" s="138"/>
      <c r="E357" s="138">
        <v>110.45</v>
      </c>
    </row>
    <row r="358" spans="1:5" x14ac:dyDescent="0.25">
      <c r="A358" s="91" t="s">
        <v>8613</v>
      </c>
      <c r="B358" s="138">
        <v>2281.9699999999998</v>
      </c>
      <c r="C358" s="138">
        <v>1894.3</v>
      </c>
      <c r="D358" s="138"/>
      <c r="E358" s="138">
        <v>4176.2699999999995</v>
      </c>
    </row>
    <row r="359" spans="1:5" x14ac:dyDescent="0.25">
      <c r="A359" s="91" t="s">
        <v>8614</v>
      </c>
      <c r="B359" s="138">
        <v>0</v>
      </c>
      <c r="C359" s="138">
        <v>0</v>
      </c>
      <c r="D359" s="138"/>
      <c r="E359" s="138">
        <v>0</v>
      </c>
    </row>
    <row r="360" spans="1:5" x14ac:dyDescent="0.25">
      <c r="A360" s="91" t="s">
        <v>8615</v>
      </c>
      <c r="B360" s="138">
        <v>0</v>
      </c>
      <c r="C360" s="138">
        <v>-182214</v>
      </c>
      <c r="D360" s="138"/>
      <c r="E360" s="138">
        <v>-182214</v>
      </c>
    </row>
    <row r="361" spans="1:5" x14ac:dyDescent="0.25">
      <c r="A361" s="91" t="s">
        <v>7922</v>
      </c>
      <c r="B361" s="138">
        <v>2000</v>
      </c>
      <c r="C361" s="138">
        <v>124.53</v>
      </c>
      <c r="D361" s="138"/>
      <c r="E361" s="138">
        <v>2124.5300000000002</v>
      </c>
    </row>
    <row r="362" spans="1:5" x14ac:dyDescent="0.25">
      <c r="A362" s="91" t="s">
        <v>8006</v>
      </c>
      <c r="B362" s="138">
        <v>45000</v>
      </c>
      <c r="C362" s="138">
        <v>4611</v>
      </c>
      <c r="D362" s="138"/>
      <c r="E362" s="138">
        <v>49611</v>
      </c>
    </row>
    <row r="363" spans="1:5" x14ac:dyDescent="0.25">
      <c r="A363" s="91" t="s">
        <v>8029</v>
      </c>
      <c r="B363" s="138">
        <v>0</v>
      </c>
      <c r="C363" s="138">
        <v>550</v>
      </c>
      <c r="D363" s="138"/>
      <c r="E363" s="138">
        <v>550</v>
      </c>
    </row>
    <row r="364" spans="1:5" x14ac:dyDescent="0.25">
      <c r="A364" s="91" t="s">
        <v>8083</v>
      </c>
      <c r="B364" s="138">
        <v>10500</v>
      </c>
      <c r="C364" s="138">
        <v>8542.67</v>
      </c>
      <c r="D364" s="138"/>
      <c r="E364" s="138">
        <v>19042.669999999998</v>
      </c>
    </row>
    <row r="365" spans="1:5" x14ac:dyDescent="0.25">
      <c r="A365" s="91" t="s">
        <v>8113</v>
      </c>
      <c r="B365" s="138">
        <v>315430</v>
      </c>
      <c r="C365" s="138">
        <v>341507.23</v>
      </c>
      <c r="D365" s="138"/>
      <c r="E365" s="138">
        <v>656937.23</v>
      </c>
    </row>
    <row r="366" spans="1:5" x14ac:dyDescent="0.25">
      <c r="A366" s="91" t="s">
        <v>8129</v>
      </c>
      <c r="B366" s="138">
        <v>0</v>
      </c>
      <c r="C366" s="138">
        <v>138.38999999999999</v>
      </c>
      <c r="D366" s="138"/>
      <c r="E366" s="138">
        <v>138.38999999999999</v>
      </c>
    </row>
    <row r="367" spans="1:5" x14ac:dyDescent="0.25">
      <c r="A367" s="91" t="s">
        <v>8148</v>
      </c>
      <c r="B367" s="138">
        <v>6940</v>
      </c>
      <c r="C367" s="138">
        <v>41396.97</v>
      </c>
      <c r="D367" s="138"/>
      <c r="E367" s="138">
        <v>48336.97</v>
      </c>
    </row>
    <row r="368" spans="1:5" x14ac:dyDescent="0.25">
      <c r="A368" s="91" t="s">
        <v>8277</v>
      </c>
      <c r="B368" s="138">
        <v>20000</v>
      </c>
      <c r="C368" s="138">
        <v>30839.98</v>
      </c>
      <c r="D368" s="138"/>
      <c r="E368" s="138">
        <v>50839.979999999996</v>
      </c>
    </row>
    <row r="369" spans="1:5" x14ac:dyDescent="0.25">
      <c r="A369" s="91" t="s">
        <v>8287</v>
      </c>
      <c r="B369" s="138">
        <v>12000</v>
      </c>
      <c r="C369" s="138">
        <v>2847.73</v>
      </c>
      <c r="D369" s="138"/>
      <c r="E369" s="138">
        <v>14847.73</v>
      </c>
    </row>
    <row r="370" spans="1:5" x14ac:dyDescent="0.25">
      <c r="A370" s="91" t="s">
        <v>8327</v>
      </c>
      <c r="B370" s="138">
        <v>15000</v>
      </c>
      <c r="C370" s="138">
        <v>10249.82</v>
      </c>
      <c r="D370" s="138"/>
      <c r="E370" s="138">
        <v>25249.82</v>
      </c>
    </row>
    <row r="371" spans="1:5" x14ac:dyDescent="0.25">
      <c r="A371" s="91" t="s">
        <v>8328</v>
      </c>
      <c r="B371" s="138">
        <v>206665</v>
      </c>
      <c r="C371" s="138">
        <v>212666.25</v>
      </c>
      <c r="D371" s="138"/>
      <c r="E371" s="138">
        <v>419331.25</v>
      </c>
    </row>
    <row r="372" spans="1:5" x14ac:dyDescent="0.25">
      <c r="A372" s="91" t="s">
        <v>8335</v>
      </c>
      <c r="B372" s="138">
        <v>359964.15</v>
      </c>
      <c r="C372" s="138">
        <v>7443.49</v>
      </c>
      <c r="D372" s="138"/>
      <c r="E372" s="138">
        <v>367407.64</v>
      </c>
    </row>
    <row r="373" spans="1:5" x14ac:dyDescent="0.25">
      <c r="A373" s="91" t="s">
        <v>8341</v>
      </c>
      <c r="B373" s="138">
        <v>50000</v>
      </c>
      <c r="C373" s="138">
        <v>18761.7</v>
      </c>
      <c r="D373" s="138"/>
      <c r="E373" s="138">
        <v>68761.7</v>
      </c>
    </row>
    <row r="374" spans="1:5" x14ac:dyDescent="0.25">
      <c r="A374" s="91" t="s">
        <v>8352</v>
      </c>
      <c r="B374" s="138">
        <v>0</v>
      </c>
      <c r="C374" s="138">
        <v>98.2</v>
      </c>
      <c r="D374" s="138"/>
      <c r="E374" s="138">
        <v>98.2</v>
      </c>
    </row>
    <row r="375" spans="1:5" x14ac:dyDescent="0.25">
      <c r="A375" s="91" t="s">
        <v>8353</v>
      </c>
      <c r="B375" s="138">
        <v>50000</v>
      </c>
      <c r="C375" s="138">
        <v>38209.199999999997</v>
      </c>
      <c r="D375" s="138"/>
      <c r="E375" s="138">
        <v>88209.2</v>
      </c>
    </row>
    <row r="376" spans="1:5" x14ac:dyDescent="0.25">
      <c r="A376" s="91" t="s">
        <v>8354</v>
      </c>
      <c r="B376" s="138">
        <v>0</v>
      </c>
      <c r="C376" s="138">
        <v>0</v>
      </c>
      <c r="D376" s="138"/>
      <c r="E376" s="138">
        <v>0</v>
      </c>
    </row>
    <row r="377" spans="1:5" x14ac:dyDescent="0.25">
      <c r="A377" s="91" t="s">
        <v>8388</v>
      </c>
      <c r="B377" s="138">
        <v>0</v>
      </c>
      <c r="C377" s="138">
        <v>0</v>
      </c>
      <c r="D377" s="138"/>
      <c r="E377" s="138">
        <v>0</v>
      </c>
    </row>
    <row r="378" spans="1:5" x14ac:dyDescent="0.25">
      <c r="A378" s="91" t="s">
        <v>8389</v>
      </c>
      <c r="B378" s="138">
        <v>-500000</v>
      </c>
      <c r="C378" s="138">
        <v>-311367.73</v>
      </c>
      <c r="D378" s="138"/>
      <c r="E378" s="138">
        <v>-811367.73</v>
      </c>
    </row>
    <row r="379" spans="1:5" x14ac:dyDescent="0.25">
      <c r="A379" s="91" t="s">
        <v>8391</v>
      </c>
      <c r="B379" s="138">
        <v>0</v>
      </c>
      <c r="C379" s="138">
        <v>-1765</v>
      </c>
      <c r="D379" s="138"/>
      <c r="E379" s="138">
        <v>-1765</v>
      </c>
    </row>
    <row r="380" spans="1:5" x14ac:dyDescent="0.25">
      <c r="A380" s="91" t="s">
        <v>8616</v>
      </c>
      <c r="B380" s="138">
        <v>126438</v>
      </c>
      <c r="C380" s="138">
        <v>103906.2</v>
      </c>
      <c r="D380" s="138"/>
      <c r="E380" s="138">
        <v>230344.2</v>
      </c>
    </row>
    <row r="381" spans="1:5" x14ac:dyDescent="0.25">
      <c r="A381" s="91" t="s">
        <v>8617</v>
      </c>
      <c r="B381" s="138">
        <v>10493.5</v>
      </c>
      <c r="C381" s="138">
        <v>10777.1</v>
      </c>
      <c r="D381" s="138"/>
      <c r="E381" s="138">
        <v>21270.6</v>
      </c>
    </row>
    <row r="382" spans="1:5" x14ac:dyDescent="0.25">
      <c r="A382" s="91" t="s">
        <v>7812</v>
      </c>
      <c r="B382" s="138">
        <v>0</v>
      </c>
      <c r="C382" s="138">
        <v>395.08</v>
      </c>
      <c r="D382" s="138"/>
      <c r="E382" s="138">
        <v>395.08</v>
      </c>
    </row>
    <row r="383" spans="1:5" x14ac:dyDescent="0.25">
      <c r="A383" s="91" t="s">
        <v>8618</v>
      </c>
      <c r="B383" s="138">
        <v>28344.82</v>
      </c>
      <c r="C383" s="138">
        <v>23650.17</v>
      </c>
      <c r="D383" s="138"/>
      <c r="E383" s="138">
        <v>51994.99</v>
      </c>
    </row>
    <row r="384" spans="1:5" x14ac:dyDescent="0.25">
      <c r="A384" s="91" t="s">
        <v>8619</v>
      </c>
      <c r="B384" s="138">
        <v>8489.76</v>
      </c>
      <c r="C384" s="138">
        <v>7106.97</v>
      </c>
      <c r="D384" s="138"/>
      <c r="E384" s="138">
        <v>15596.73</v>
      </c>
    </row>
    <row r="385" spans="1:5" x14ac:dyDescent="0.25">
      <c r="A385" s="91" t="s">
        <v>8620</v>
      </c>
      <c r="B385" s="138">
        <v>1985.51</v>
      </c>
      <c r="C385" s="138">
        <v>1662.17</v>
      </c>
      <c r="D385" s="138"/>
      <c r="E385" s="138">
        <v>3647.6800000000003</v>
      </c>
    </row>
    <row r="386" spans="1:5" x14ac:dyDescent="0.25">
      <c r="A386" s="91" t="s">
        <v>8621</v>
      </c>
      <c r="B386" s="138">
        <v>46611.32</v>
      </c>
      <c r="C386" s="138">
        <v>38308.300000000003</v>
      </c>
      <c r="D386" s="138"/>
      <c r="E386" s="138">
        <v>84919.62</v>
      </c>
    </row>
    <row r="387" spans="1:5" x14ac:dyDescent="0.25">
      <c r="A387" s="91" t="s">
        <v>8622</v>
      </c>
      <c r="B387" s="138">
        <v>68.47</v>
      </c>
      <c r="C387" s="138">
        <v>57.5</v>
      </c>
      <c r="D387" s="138"/>
      <c r="E387" s="138">
        <v>125.97</v>
      </c>
    </row>
    <row r="388" spans="1:5" x14ac:dyDescent="0.25">
      <c r="A388" s="91" t="s">
        <v>8623</v>
      </c>
      <c r="B388" s="138">
        <v>2589.1</v>
      </c>
      <c r="C388" s="138">
        <v>2180.88</v>
      </c>
      <c r="D388" s="138"/>
      <c r="E388" s="138">
        <v>4769.9799999999996</v>
      </c>
    </row>
    <row r="389" spans="1:5" x14ac:dyDescent="0.25">
      <c r="A389" s="91" t="s">
        <v>8624</v>
      </c>
      <c r="B389" s="138">
        <v>0</v>
      </c>
      <c r="C389" s="138">
        <v>1800</v>
      </c>
      <c r="D389" s="138"/>
      <c r="E389" s="138">
        <v>1800</v>
      </c>
    </row>
    <row r="390" spans="1:5" x14ac:dyDescent="0.25">
      <c r="A390" s="91" t="s">
        <v>8182</v>
      </c>
      <c r="B390" s="138">
        <v>500</v>
      </c>
      <c r="C390" s="138">
        <v>305.66000000000003</v>
      </c>
      <c r="D390" s="138"/>
      <c r="E390" s="138">
        <v>805.66000000000008</v>
      </c>
    </row>
    <row r="391" spans="1:5" x14ac:dyDescent="0.25">
      <c r="A391" s="91" t="s">
        <v>8625</v>
      </c>
      <c r="B391" s="138">
        <v>59443.88</v>
      </c>
      <c r="C391" s="138">
        <v>49429.8</v>
      </c>
      <c r="D391" s="138"/>
      <c r="E391" s="138">
        <v>108873.68</v>
      </c>
    </row>
    <row r="392" spans="1:5" x14ac:dyDescent="0.25">
      <c r="A392" s="91" t="s">
        <v>8626</v>
      </c>
      <c r="B392" s="138">
        <v>12304.88</v>
      </c>
      <c r="C392" s="138">
        <v>10232.5</v>
      </c>
      <c r="D392" s="138"/>
      <c r="E392" s="138">
        <v>22537.379999999997</v>
      </c>
    </row>
    <row r="393" spans="1:5" x14ac:dyDescent="0.25">
      <c r="A393" s="91" t="s">
        <v>8627</v>
      </c>
      <c r="B393" s="138">
        <v>3685.52</v>
      </c>
      <c r="C393" s="138">
        <v>3032.73</v>
      </c>
      <c r="D393" s="138"/>
      <c r="E393" s="138">
        <v>6718.25</v>
      </c>
    </row>
    <row r="394" spans="1:5" x14ac:dyDescent="0.25">
      <c r="A394" s="91" t="s">
        <v>8628</v>
      </c>
      <c r="B394" s="138">
        <v>861.94</v>
      </c>
      <c r="C394" s="138">
        <v>709.28</v>
      </c>
      <c r="D394" s="138"/>
      <c r="E394" s="138">
        <v>1571.22</v>
      </c>
    </row>
    <row r="395" spans="1:5" x14ac:dyDescent="0.25">
      <c r="A395" s="91" t="s">
        <v>8629</v>
      </c>
      <c r="B395" s="138">
        <v>25240.73</v>
      </c>
      <c r="C395" s="138">
        <v>20615.86</v>
      </c>
      <c r="D395" s="138"/>
      <c r="E395" s="138">
        <v>45856.59</v>
      </c>
    </row>
    <row r="396" spans="1:5" x14ac:dyDescent="0.25">
      <c r="A396" s="91" t="s">
        <v>8630</v>
      </c>
      <c r="B396" s="138">
        <v>29.72</v>
      </c>
      <c r="C396" s="138">
        <v>24.71</v>
      </c>
      <c r="D396" s="138"/>
      <c r="E396" s="138">
        <v>54.43</v>
      </c>
    </row>
    <row r="397" spans="1:5" x14ac:dyDescent="0.25">
      <c r="A397" s="91" t="s">
        <v>8631</v>
      </c>
      <c r="B397" s="138">
        <v>1123.96</v>
      </c>
      <c r="C397" s="138">
        <v>936.96</v>
      </c>
      <c r="D397" s="138"/>
      <c r="E397" s="138">
        <v>2060.92</v>
      </c>
    </row>
    <row r="398" spans="1:5" x14ac:dyDescent="0.25">
      <c r="A398" s="91" t="s">
        <v>8288</v>
      </c>
      <c r="B398" s="138">
        <v>35968</v>
      </c>
      <c r="C398" s="138">
        <v>36597.43</v>
      </c>
      <c r="D398" s="138"/>
      <c r="E398" s="138">
        <v>72565.429999999993</v>
      </c>
    </row>
    <row r="399" spans="1:5" x14ac:dyDescent="0.25">
      <c r="A399" s="91" t="s">
        <v>7923</v>
      </c>
      <c r="B399" s="138">
        <v>5000</v>
      </c>
      <c r="C399" s="138">
        <v>3404.27</v>
      </c>
      <c r="D399" s="138">
        <v>5000</v>
      </c>
      <c r="E399" s="138">
        <v>13404.27</v>
      </c>
    </row>
    <row r="400" spans="1:5" x14ac:dyDescent="0.25">
      <c r="A400" s="91" t="s">
        <v>8044</v>
      </c>
      <c r="B400" s="138">
        <v>1000</v>
      </c>
      <c r="C400" s="138">
        <v>269.5</v>
      </c>
      <c r="D400" s="138">
        <v>1000</v>
      </c>
      <c r="E400" s="138">
        <v>2269.5</v>
      </c>
    </row>
    <row r="401" spans="1:5" x14ac:dyDescent="0.25">
      <c r="A401" s="91" t="s">
        <v>8084</v>
      </c>
      <c r="B401" s="138">
        <v>500</v>
      </c>
      <c r="C401" s="138">
        <v>245</v>
      </c>
      <c r="D401" s="138">
        <v>500</v>
      </c>
      <c r="E401" s="138">
        <v>1245</v>
      </c>
    </row>
    <row r="402" spans="1:5" x14ac:dyDescent="0.25">
      <c r="A402" s="91" t="s">
        <v>8130</v>
      </c>
      <c r="B402" s="138">
        <v>500</v>
      </c>
      <c r="C402" s="138">
        <v>748.75</v>
      </c>
      <c r="D402" s="138">
        <v>500</v>
      </c>
      <c r="E402" s="138">
        <v>1748.75</v>
      </c>
    </row>
    <row r="403" spans="1:5" x14ac:dyDescent="0.25">
      <c r="A403" s="91" t="s">
        <v>8289</v>
      </c>
      <c r="B403" s="138">
        <v>1700</v>
      </c>
      <c r="C403" s="138">
        <v>1337</v>
      </c>
      <c r="D403" s="138">
        <v>1700</v>
      </c>
      <c r="E403" s="138">
        <v>4737</v>
      </c>
    </row>
    <row r="404" spans="1:5" x14ac:dyDescent="0.25">
      <c r="A404" s="91" t="s">
        <v>8007</v>
      </c>
      <c r="B404" s="138">
        <v>0</v>
      </c>
      <c r="C404" s="138">
        <v>1994.5</v>
      </c>
      <c r="D404" s="138"/>
      <c r="E404" s="138">
        <v>1994.5</v>
      </c>
    </row>
    <row r="405" spans="1:5" x14ac:dyDescent="0.25">
      <c r="A405" s="91" t="s">
        <v>8392</v>
      </c>
      <c r="B405" s="138">
        <v>1000</v>
      </c>
      <c r="C405" s="138">
        <v>1000</v>
      </c>
      <c r="D405" s="138"/>
      <c r="E405" s="138">
        <v>2000</v>
      </c>
    </row>
    <row r="406" spans="1:5" x14ac:dyDescent="0.25">
      <c r="A406" s="91" t="s">
        <v>8119</v>
      </c>
      <c r="B406" s="138">
        <v>0</v>
      </c>
      <c r="C406" s="138">
        <v>0</v>
      </c>
      <c r="D406" s="138"/>
      <c r="E406" s="138">
        <v>0</v>
      </c>
    </row>
    <row r="407" spans="1:5" x14ac:dyDescent="0.25">
      <c r="A407" s="91" t="s">
        <v>8183</v>
      </c>
      <c r="B407" s="138">
        <v>0</v>
      </c>
      <c r="C407" s="138">
        <v>209.55</v>
      </c>
      <c r="D407" s="138"/>
      <c r="E407" s="138">
        <v>209.55</v>
      </c>
    </row>
    <row r="408" spans="1:5" x14ac:dyDescent="0.25">
      <c r="A408" s="91" t="s">
        <v>8632</v>
      </c>
      <c r="B408" s="138">
        <v>462199.55</v>
      </c>
      <c r="C408" s="138">
        <v>380995.81</v>
      </c>
      <c r="D408" s="138"/>
      <c r="E408" s="138">
        <v>843195.36</v>
      </c>
    </row>
    <row r="409" spans="1:5" x14ac:dyDescent="0.25">
      <c r="A409" s="91" t="s">
        <v>7813</v>
      </c>
      <c r="B409" s="138">
        <v>11500</v>
      </c>
      <c r="C409" s="138">
        <v>1533.45</v>
      </c>
      <c r="D409" s="138">
        <v>11500</v>
      </c>
      <c r="E409" s="138">
        <v>24533.45</v>
      </c>
    </row>
    <row r="410" spans="1:5" x14ac:dyDescent="0.25">
      <c r="A410" s="91" t="s">
        <v>8633</v>
      </c>
      <c r="B410" s="138">
        <v>95675.31</v>
      </c>
      <c r="C410" s="138">
        <v>79146.070000000007</v>
      </c>
      <c r="D410" s="138"/>
      <c r="E410" s="138">
        <v>174821.38</v>
      </c>
    </row>
    <row r="411" spans="1:5" x14ac:dyDescent="0.25">
      <c r="A411" s="91" t="s">
        <v>8634</v>
      </c>
      <c r="B411" s="138">
        <v>29369.37</v>
      </c>
      <c r="C411" s="138">
        <v>23618.92</v>
      </c>
      <c r="D411" s="138"/>
      <c r="E411" s="138">
        <v>52988.289999999994</v>
      </c>
    </row>
    <row r="412" spans="1:5" x14ac:dyDescent="0.25">
      <c r="A412" s="91" t="s">
        <v>8635</v>
      </c>
      <c r="B412" s="138">
        <v>6868.64</v>
      </c>
      <c r="C412" s="138">
        <v>5523.85</v>
      </c>
      <c r="D412" s="138"/>
      <c r="E412" s="138">
        <v>12392.490000000002</v>
      </c>
    </row>
    <row r="413" spans="1:5" x14ac:dyDescent="0.25">
      <c r="A413" s="91" t="s">
        <v>8636</v>
      </c>
      <c r="B413" s="138">
        <v>183438.59</v>
      </c>
      <c r="C413" s="138">
        <v>148998.18</v>
      </c>
      <c r="D413" s="138"/>
      <c r="E413" s="138">
        <v>332436.77</v>
      </c>
    </row>
    <row r="414" spans="1:5" x14ac:dyDescent="0.25">
      <c r="A414" s="91" t="s">
        <v>8637</v>
      </c>
      <c r="B414" s="138">
        <v>236.85</v>
      </c>
      <c r="C414" s="138">
        <v>192.47</v>
      </c>
      <c r="D414" s="138"/>
      <c r="E414" s="138">
        <v>429.32</v>
      </c>
    </row>
    <row r="415" spans="1:5" x14ac:dyDescent="0.25">
      <c r="A415" s="91" t="s">
        <v>8638</v>
      </c>
      <c r="B415" s="138">
        <v>8956.7199999999993</v>
      </c>
      <c r="C415" s="138">
        <v>7277.39</v>
      </c>
      <c r="D415" s="138"/>
      <c r="E415" s="138">
        <v>16234.11</v>
      </c>
    </row>
    <row r="416" spans="1:5" x14ac:dyDescent="0.25">
      <c r="A416" s="91" t="s">
        <v>8639</v>
      </c>
      <c r="B416" s="138">
        <v>4800</v>
      </c>
      <c r="C416" s="138">
        <v>3600</v>
      </c>
      <c r="D416" s="138"/>
      <c r="E416" s="138">
        <v>8400</v>
      </c>
    </row>
    <row r="417" spans="1:5" x14ac:dyDescent="0.25">
      <c r="A417" s="91" t="s">
        <v>7985</v>
      </c>
      <c r="B417" s="138">
        <v>14000</v>
      </c>
      <c r="C417" s="138">
        <v>13934.5</v>
      </c>
      <c r="D417" s="138">
        <v>34000</v>
      </c>
      <c r="E417" s="138">
        <v>61934.5</v>
      </c>
    </row>
    <row r="418" spans="1:5" x14ac:dyDescent="0.25">
      <c r="A418" s="91" t="s">
        <v>7987</v>
      </c>
      <c r="B418" s="138">
        <v>24800</v>
      </c>
      <c r="C418" s="138">
        <v>13774.19</v>
      </c>
      <c r="D418" s="138">
        <v>18800</v>
      </c>
      <c r="E418" s="138">
        <v>57374.19</v>
      </c>
    </row>
    <row r="419" spans="1:5" x14ac:dyDescent="0.25">
      <c r="A419" s="91" t="s">
        <v>7988</v>
      </c>
      <c r="B419" s="138">
        <v>14200</v>
      </c>
      <c r="C419" s="138">
        <v>13187.84</v>
      </c>
      <c r="D419" s="138">
        <v>14200</v>
      </c>
      <c r="E419" s="138">
        <v>41587.839999999997</v>
      </c>
    </row>
    <row r="420" spans="1:5" x14ac:dyDescent="0.25">
      <c r="A420" s="91" t="s">
        <v>7989</v>
      </c>
      <c r="B420" s="138">
        <v>4900</v>
      </c>
      <c r="C420" s="138">
        <v>6320.86</v>
      </c>
      <c r="D420" s="138">
        <v>13900</v>
      </c>
      <c r="E420" s="138">
        <v>25120.86</v>
      </c>
    </row>
    <row r="421" spans="1:5" x14ac:dyDescent="0.25">
      <c r="A421" s="91" t="s">
        <v>8184</v>
      </c>
      <c r="B421" s="138">
        <v>28</v>
      </c>
      <c r="C421" s="138">
        <v>9.32</v>
      </c>
      <c r="D421" s="138">
        <v>28</v>
      </c>
      <c r="E421" s="138">
        <v>65.319999999999993</v>
      </c>
    </row>
    <row r="422" spans="1:5" x14ac:dyDescent="0.25">
      <c r="A422" s="91" t="s">
        <v>8290</v>
      </c>
      <c r="B422" s="138">
        <v>91800</v>
      </c>
      <c r="C422" s="138">
        <v>62375.829999999994</v>
      </c>
      <c r="D422" s="138">
        <v>111800</v>
      </c>
      <c r="E422" s="138">
        <v>265975.82999999996</v>
      </c>
    </row>
    <row r="423" spans="1:5" x14ac:dyDescent="0.25">
      <c r="A423" s="91" t="s">
        <v>8312</v>
      </c>
      <c r="B423" s="138">
        <v>82653</v>
      </c>
      <c r="C423" s="138">
        <v>70126.59</v>
      </c>
      <c r="D423" s="138">
        <v>85653</v>
      </c>
      <c r="E423" s="138">
        <v>238432.59</v>
      </c>
    </row>
    <row r="424" spans="1:5" x14ac:dyDescent="0.25">
      <c r="A424" s="91" t="s">
        <v>8371</v>
      </c>
      <c r="B424" s="138">
        <v>1367</v>
      </c>
      <c r="C424" s="138">
        <v>0</v>
      </c>
      <c r="D424" s="138">
        <v>500</v>
      </c>
      <c r="E424" s="138">
        <v>1867</v>
      </c>
    </row>
    <row r="425" spans="1:5" x14ac:dyDescent="0.25">
      <c r="A425" s="91" t="s">
        <v>8385</v>
      </c>
      <c r="B425" s="138">
        <v>5810</v>
      </c>
      <c r="C425" s="138">
        <v>5809.92</v>
      </c>
      <c r="D425" s="138">
        <v>5810</v>
      </c>
      <c r="E425" s="138">
        <v>17429.919999999998</v>
      </c>
    </row>
    <row r="426" spans="1:5" x14ac:dyDescent="0.25">
      <c r="A426" s="91" t="s">
        <v>8640</v>
      </c>
      <c r="B426" s="138">
        <v>50244</v>
      </c>
      <c r="C426" s="138">
        <v>41761.5</v>
      </c>
      <c r="D426" s="138"/>
      <c r="E426" s="138">
        <v>92005.5</v>
      </c>
    </row>
    <row r="427" spans="1:5" x14ac:dyDescent="0.25">
      <c r="A427" s="91" t="s">
        <v>8641</v>
      </c>
      <c r="B427" s="138">
        <v>838844.6</v>
      </c>
      <c r="C427" s="138">
        <v>685134.74</v>
      </c>
      <c r="D427" s="138"/>
      <c r="E427" s="138">
        <v>1523979.3399999999</v>
      </c>
    </row>
    <row r="428" spans="1:5" x14ac:dyDescent="0.25">
      <c r="A428" s="91" t="s">
        <v>7814</v>
      </c>
      <c r="B428" s="138">
        <v>0</v>
      </c>
      <c r="C428" s="138">
        <v>0</v>
      </c>
      <c r="D428" s="138">
        <v>0</v>
      </c>
      <c r="E428" s="138">
        <v>0</v>
      </c>
    </row>
    <row r="429" spans="1:5" x14ac:dyDescent="0.25">
      <c r="A429" s="91" t="s">
        <v>8642</v>
      </c>
      <c r="B429" s="138">
        <v>184041.36</v>
      </c>
      <c r="C429" s="138">
        <v>150075.38</v>
      </c>
      <c r="D429" s="138"/>
      <c r="E429" s="138">
        <v>334116.74</v>
      </c>
    </row>
    <row r="430" spans="1:5" x14ac:dyDescent="0.25">
      <c r="A430" s="91" t="s">
        <v>8643</v>
      </c>
      <c r="B430" s="138">
        <v>55123.519999999997</v>
      </c>
      <c r="C430" s="138">
        <v>44483.72</v>
      </c>
      <c r="D430" s="138"/>
      <c r="E430" s="138">
        <v>99607.239999999991</v>
      </c>
    </row>
    <row r="431" spans="1:5" x14ac:dyDescent="0.25">
      <c r="A431" s="91" t="s">
        <v>8644</v>
      </c>
      <c r="B431" s="138">
        <v>12891.8</v>
      </c>
      <c r="C431" s="138">
        <v>10403.4</v>
      </c>
      <c r="D431" s="138"/>
      <c r="E431" s="138">
        <v>23295.199999999997</v>
      </c>
    </row>
    <row r="432" spans="1:5" x14ac:dyDescent="0.25">
      <c r="A432" s="91" t="s">
        <v>8645</v>
      </c>
      <c r="B432" s="138">
        <v>435156.19</v>
      </c>
      <c r="C432" s="138">
        <v>353176.62</v>
      </c>
      <c r="D432" s="138"/>
      <c r="E432" s="138">
        <v>788332.81</v>
      </c>
    </row>
    <row r="433" spans="1:5" x14ac:dyDescent="0.25">
      <c r="A433" s="91" t="s">
        <v>8646</v>
      </c>
      <c r="B433" s="138">
        <v>444.54</v>
      </c>
      <c r="C433" s="138">
        <v>363.4</v>
      </c>
      <c r="D433" s="138"/>
      <c r="E433" s="138">
        <v>807.94</v>
      </c>
    </row>
    <row r="434" spans="1:5" x14ac:dyDescent="0.25">
      <c r="A434" s="91" t="s">
        <v>8647</v>
      </c>
      <c r="B434" s="138">
        <v>16810.88</v>
      </c>
      <c r="C434" s="138">
        <v>13735.97</v>
      </c>
      <c r="D434" s="138"/>
      <c r="E434" s="138">
        <v>30546.85</v>
      </c>
    </row>
    <row r="435" spans="1:5" x14ac:dyDescent="0.25">
      <c r="A435" s="91" t="s">
        <v>8648</v>
      </c>
      <c r="B435" s="138">
        <v>4200</v>
      </c>
      <c r="C435" s="138">
        <v>3150</v>
      </c>
      <c r="D435" s="138"/>
      <c r="E435" s="138">
        <v>7350</v>
      </c>
    </row>
    <row r="436" spans="1:5" x14ac:dyDescent="0.25">
      <c r="A436" s="91" t="s">
        <v>7924</v>
      </c>
      <c r="B436" s="138">
        <v>74190</v>
      </c>
      <c r="C436" s="138">
        <v>46583.649999999994</v>
      </c>
      <c r="D436" s="138">
        <v>84190</v>
      </c>
      <c r="E436" s="138">
        <v>204963.65</v>
      </c>
    </row>
    <row r="437" spans="1:5" x14ac:dyDescent="0.25">
      <c r="A437" s="91" t="s">
        <v>8185</v>
      </c>
      <c r="B437" s="138">
        <v>80</v>
      </c>
      <c r="C437" s="138">
        <v>335.86</v>
      </c>
      <c r="D437" s="138">
        <v>80</v>
      </c>
      <c r="E437" s="138">
        <v>495.86</v>
      </c>
    </row>
    <row r="438" spans="1:5" x14ac:dyDescent="0.25">
      <c r="A438" s="91" t="s">
        <v>8291</v>
      </c>
      <c r="B438" s="138">
        <v>7500</v>
      </c>
      <c r="C438" s="138">
        <v>11232.2</v>
      </c>
      <c r="D438" s="138">
        <v>31500</v>
      </c>
      <c r="E438" s="138">
        <v>50232.2</v>
      </c>
    </row>
    <row r="439" spans="1:5" x14ac:dyDescent="0.25">
      <c r="A439" s="91" t="s">
        <v>8649</v>
      </c>
      <c r="B439" s="138">
        <v>175753.23</v>
      </c>
      <c r="C439" s="138">
        <v>145450.87</v>
      </c>
      <c r="D439" s="138"/>
      <c r="E439" s="138">
        <v>321204.09999999998</v>
      </c>
    </row>
    <row r="440" spans="1:5" x14ac:dyDescent="0.25">
      <c r="A440" s="91" t="s">
        <v>7815</v>
      </c>
      <c r="B440" s="138">
        <v>1750</v>
      </c>
      <c r="C440" s="138">
        <v>0</v>
      </c>
      <c r="D440" s="138">
        <v>1750</v>
      </c>
      <c r="E440" s="138">
        <v>3500</v>
      </c>
    </row>
    <row r="441" spans="1:5" x14ac:dyDescent="0.25">
      <c r="A441" s="91" t="s">
        <v>8650</v>
      </c>
      <c r="B441" s="138">
        <v>36380.92</v>
      </c>
      <c r="C441" s="138">
        <v>29994.44</v>
      </c>
      <c r="D441" s="138"/>
      <c r="E441" s="138">
        <v>66375.360000000001</v>
      </c>
    </row>
    <row r="442" spans="1:5" x14ac:dyDescent="0.25">
      <c r="A442" s="91" t="s">
        <v>8651</v>
      </c>
      <c r="B442" s="138">
        <v>11005.21</v>
      </c>
      <c r="C442" s="138">
        <v>8971.16</v>
      </c>
      <c r="D442" s="138"/>
      <c r="E442" s="138">
        <v>19976.37</v>
      </c>
    </row>
    <row r="443" spans="1:5" x14ac:dyDescent="0.25">
      <c r="A443" s="91" t="s">
        <v>8652</v>
      </c>
      <c r="B443" s="138">
        <v>2573.81</v>
      </c>
      <c r="C443" s="138">
        <v>2098.04</v>
      </c>
      <c r="D443" s="138"/>
      <c r="E443" s="138">
        <v>4671.8500000000004</v>
      </c>
    </row>
    <row r="444" spans="1:5" x14ac:dyDescent="0.25">
      <c r="A444" s="91" t="s">
        <v>8653</v>
      </c>
      <c r="B444" s="138">
        <v>64144.34</v>
      </c>
      <c r="C444" s="138">
        <v>48896.35</v>
      </c>
      <c r="D444" s="138"/>
      <c r="E444" s="138">
        <v>113040.69</v>
      </c>
    </row>
    <row r="445" spans="1:5" x14ac:dyDescent="0.25">
      <c r="A445" s="91" t="s">
        <v>8654</v>
      </c>
      <c r="B445" s="138">
        <v>88.76</v>
      </c>
      <c r="C445" s="138">
        <v>72.680000000000007</v>
      </c>
      <c r="D445" s="138"/>
      <c r="E445" s="138">
        <v>161.44</v>
      </c>
    </row>
    <row r="446" spans="1:5" x14ac:dyDescent="0.25">
      <c r="A446" s="91" t="s">
        <v>8655</v>
      </c>
      <c r="B446" s="138">
        <v>3356.23</v>
      </c>
      <c r="C446" s="138">
        <v>2750.14</v>
      </c>
      <c r="D446" s="138"/>
      <c r="E446" s="138">
        <v>6106.37</v>
      </c>
    </row>
    <row r="447" spans="1:5" x14ac:dyDescent="0.25">
      <c r="A447" s="91" t="s">
        <v>8656</v>
      </c>
      <c r="B447" s="138">
        <v>0</v>
      </c>
      <c r="C447" s="138">
        <v>1800</v>
      </c>
      <c r="D447" s="138"/>
      <c r="E447" s="138">
        <v>1800</v>
      </c>
    </row>
    <row r="448" spans="1:5" x14ac:dyDescent="0.25">
      <c r="A448" s="91" t="s">
        <v>7925</v>
      </c>
      <c r="B448" s="138">
        <v>2500</v>
      </c>
      <c r="C448" s="138">
        <v>1527.98</v>
      </c>
      <c r="D448" s="138">
        <v>12500</v>
      </c>
      <c r="E448" s="138">
        <v>16527.98</v>
      </c>
    </row>
    <row r="449" spans="1:5" x14ac:dyDescent="0.25">
      <c r="A449" s="91" t="s">
        <v>7986</v>
      </c>
      <c r="B449" s="138">
        <v>10000</v>
      </c>
      <c r="C449" s="138">
        <v>26607.059999999998</v>
      </c>
      <c r="D449" s="138">
        <v>32500</v>
      </c>
      <c r="E449" s="138">
        <v>69107.06</v>
      </c>
    </row>
    <row r="450" spans="1:5" x14ac:dyDescent="0.25">
      <c r="A450" s="91" t="s">
        <v>8186</v>
      </c>
      <c r="B450" s="138">
        <v>0.7</v>
      </c>
      <c r="C450" s="138">
        <v>0.01</v>
      </c>
      <c r="D450" s="138">
        <v>6</v>
      </c>
      <c r="E450" s="138">
        <v>6.71</v>
      </c>
    </row>
    <row r="451" spans="1:5" x14ac:dyDescent="0.25">
      <c r="A451" s="91" t="s">
        <v>8292</v>
      </c>
      <c r="B451" s="138">
        <v>7000</v>
      </c>
      <c r="C451" s="138">
        <v>4770.3999999999996</v>
      </c>
      <c r="D451" s="138">
        <v>17000</v>
      </c>
      <c r="E451" s="138">
        <v>28770.400000000001</v>
      </c>
    </row>
    <row r="452" spans="1:5" x14ac:dyDescent="0.25">
      <c r="A452" s="91" t="s">
        <v>8313</v>
      </c>
      <c r="B452" s="138">
        <v>13000</v>
      </c>
      <c r="C452" s="138">
        <v>12741.88</v>
      </c>
      <c r="D452" s="138">
        <v>23000</v>
      </c>
      <c r="E452" s="138">
        <v>48741.88</v>
      </c>
    </row>
    <row r="453" spans="1:5" x14ac:dyDescent="0.25">
      <c r="A453" s="91" t="s">
        <v>8120</v>
      </c>
      <c r="B453" s="138"/>
      <c r="C453" s="138"/>
      <c r="D453" s="138">
        <v>845000</v>
      </c>
      <c r="E453" s="138">
        <v>845000</v>
      </c>
    </row>
    <row r="454" spans="1:5" x14ac:dyDescent="0.25">
      <c r="A454" s="91" t="s">
        <v>8125</v>
      </c>
      <c r="B454" s="138"/>
      <c r="C454" s="138"/>
      <c r="D454" s="138">
        <v>155661</v>
      </c>
      <c r="E454" s="138">
        <v>155661</v>
      </c>
    </row>
    <row r="455" spans="1:5" x14ac:dyDescent="0.25">
      <c r="A455" s="91" t="s">
        <v>8137</v>
      </c>
      <c r="B455" s="138"/>
      <c r="C455" s="138"/>
      <c r="D455" s="138">
        <v>59200</v>
      </c>
      <c r="E455" s="138">
        <v>59200</v>
      </c>
    </row>
    <row r="456" spans="1:5" x14ac:dyDescent="0.25">
      <c r="A456" s="91" t="s">
        <v>8140</v>
      </c>
      <c r="B456" s="138"/>
      <c r="C456" s="138"/>
      <c r="D456" s="138">
        <v>31838</v>
      </c>
      <c r="E456" s="138">
        <v>31838</v>
      </c>
    </row>
    <row r="457" spans="1:5" x14ac:dyDescent="0.25">
      <c r="A457" s="91" t="s">
        <v>8142</v>
      </c>
      <c r="B457" s="138"/>
      <c r="C457" s="138"/>
      <c r="D457" s="138">
        <v>2000</v>
      </c>
      <c r="E457" s="138">
        <v>2000</v>
      </c>
    </row>
    <row r="458" spans="1:5" x14ac:dyDescent="0.25">
      <c r="A458" s="91" t="s">
        <v>8147</v>
      </c>
      <c r="B458" s="138"/>
      <c r="C458" s="138"/>
      <c r="D458" s="138">
        <v>50000</v>
      </c>
      <c r="E458" s="138">
        <v>50000</v>
      </c>
    </row>
    <row r="459" spans="1:5" x14ac:dyDescent="0.25">
      <c r="A459" s="91" t="s">
        <v>8657</v>
      </c>
      <c r="B459" s="138">
        <v>40196.800000000003</v>
      </c>
      <c r="C459" s="138">
        <v>32953.24</v>
      </c>
      <c r="D459" s="138"/>
      <c r="E459" s="138">
        <v>73150.040000000008</v>
      </c>
    </row>
    <row r="460" spans="1:5" x14ac:dyDescent="0.25">
      <c r="A460" s="91" t="s">
        <v>8658</v>
      </c>
      <c r="B460" s="138">
        <v>11278.75</v>
      </c>
      <c r="C460" s="138">
        <v>9310.08</v>
      </c>
      <c r="D460" s="138"/>
      <c r="E460" s="138">
        <v>20588.830000000002</v>
      </c>
    </row>
    <row r="461" spans="1:5" x14ac:dyDescent="0.25">
      <c r="A461" s="91" t="s">
        <v>8659</v>
      </c>
      <c r="B461" s="138">
        <v>138351.4</v>
      </c>
      <c r="C461" s="138">
        <v>115292.8</v>
      </c>
      <c r="D461" s="138"/>
      <c r="E461" s="138">
        <v>253644.2</v>
      </c>
    </row>
    <row r="462" spans="1:5" x14ac:dyDescent="0.25">
      <c r="A462" s="91" t="s">
        <v>7863</v>
      </c>
      <c r="B462" s="138">
        <v>14000</v>
      </c>
      <c r="C462" s="138">
        <v>0</v>
      </c>
      <c r="D462" s="138">
        <v>14000</v>
      </c>
      <c r="E462" s="138">
        <v>28000</v>
      </c>
    </row>
    <row r="463" spans="1:5" x14ac:dyDescent="0.25">
      <c r="A463" s="91" t="s">
        <v>8660</v>
      </c>
      <c r="B463" s="138">
        <v>39294.18</v>
      </c>
      <c r="C463" s="138">
        <v>32591.72</v>
      </c>
      <c r="D463" s="138"/>
      <c r="E463" s="138">
        <v>71885.899999999994</v>
      </c>
    </row>
    <row r="464" spans="1:5" x14ac:dyDescent="0.25">
      <c r="A464" s="91" t="s">
        <v>8661</v>
      </c>
      <c r="B464" s="138">
        <v>12637.26</v>
      </c>
      <c r="C464" s="138">
        <v>9623.27</v>
      </c>
      <c r="D464" s="138"/>
      <c r="E464" s="138">
        <v>22260.53</v>
      </c>
    </row>
    <row r="465" spans="1:5" x14ac:dyDescent="0.25">
      <c r="A465" s="91" t="s">
        <v>8662</v>
      </c>
      <c r="B465" s="138">
        <v>2955.48</v>
      </c>
      <c r="C465" s="138">
        <v>2275.0500000000002</v>
      </c>
      <c r="D465" s="138"/>
      <c r="E465" s="138">
        <v>5230.5300000000007</v>
      </c>
    </row>
    <row r="466" spans="1:5" x14ac:dyDescent="0.25">
      <c r="A466" s="91" t="s">
        <v>8663</v>
      </c>
      <c r="B466" s="138">
        <v>40545.29</v>
      </c>
      <c r="C466" s="138">
        <v>32055.05</v>
      </c>
      <c r="D466" s="138"/>
      <c r="E466" s="138">
        <v>72600.34</v>
      </c>
    </row>
    <row r="467" spans="1:5" x14ac:dyDescent="0.25">
      <c r="A467" s="91" t="s">
        <v>8664</v>
      </c>
      <c r="B467" s="138">
        <v>101.92</v>
      </c>
      <c r="C467" s="138">
        <v>78.819999999999993</v>
      </c>
      <c r="D467" s="138"/>
      <c r="E467" s="138">
        <v>180.74</v>
      </c>
    </row>
    <row r="468" spans="1:5" x14ac:dyDescent="0.25">
      <c r="A468" s="91" t="s">
        <v>8665</v>
      </c>
      <c r="B468" s="138">
        <v>3853.96</v>
      </c>
      <c r="C468" s="138">
        <v>2980.7</v>
      </c>
      <c r="D468" s="138"/>
      <c r="E468" s="138">
        <v>6834.66</v>
      </c>
    </row>
    <row r="469" spans="1:5" x14ac:dyDescent="0.25">
      <c r="A469" s="91" t="s">
        <v>8666</v>
      </c>
      <c r="B469" s="138">
        <v>1920</v>
      </c>
      <c r="C469" s="138">
        <v>1440</v>
      </c>
      <c r="D469" s="138"/>
      <c r="E469" s="138">
        <v>3360</v>
      </c>
    </row>
    <row r="470" spans="1:5" x14ac:dyDescent="0.25">
      <c r="A470" s="91" t="s">
        <v>7926</v>
      </c>
      <c r="B470" s="138">
        <v>28000</v>
      </c>
      <c r="C470" s="138">
        <v>29075.22</v>
      </c>
      <c r="D470" s="138">
        <v>38000</v>
      </c>
      <c r="E470" s="138">
        <v>95075.22</v>
      </c>
    </row>
    <row r="471" spans="1:5" x14ac:dyDescent="0.25">
      <c r="A471" s="91" t="s">
        <v>8008</v>
      </c>
      <c r="B471" s="138">
        <v>20700</v>
      </c>
      <c r="C471" s="138">
        <v>9388.35</v>
      </c>
      <c r="D471" s="138">
        <v>20700</v>
      </c>
      <c r="E471" s="138">
        <v>50788.35</v>
      </c>
    </row>
    <row r="472" spans="1:5" x14ac:dyDescent="0.25">
      <c r="A472" s="91" t="s">
        <v>8131</v>
      </c>
      <c r="B472" s="138">
        <v>0</v>
      </c>
      <c r="C472" s="138">
        <v>436.99</v>
      </c>
      <c r="D472" s="138">
        <v>0</v>
      </c>
      <c r="E472" s="138">
        <v>436.99</v>
      </c>
    </row>
    <row r="473" spans="1:5" x14ac:dyDescent="0.25">
      <c r="A473" s="91" t="s">
        <v>8149</v>
      </c>
      <c r="B473" s="138">
        <v>800</v>
      </c>
      <c r="C473" s="138">
        <v>0</v>
      </c>
      <c r="D473" s="138">
        <v>800</v>
      </c>
      <c r="E473" s="138">
        <v>1600</v>
      </c>
    </row>
    <row r="474" spans="1:5" x14ac:dyDescent="0.25">
      <c r="A474" s="91" t="s">
        <v>8187</v>
      </c>
      <c r="B474" s="138">
        <v>500</v>
      </c>
      <c r="C474" s="138">
        <v>286.27999999999997</v>
      </c>
      <c r="D474" s="138">
        <v>500</v>
      </c>
      <c r="E474" s="138">
        <v>1286.28</v>
      </c>
    </row>
    <row r="475" spans="1:5" x14ac:dyDescent="0.25">
      <c r="A475" s="91" t="s">
        <v>8293</v>
      </c>
      <c r="B475" s="138">
        <v>18500</v>
      </c>
      <c r="C475" s="138">
        <v>19617.3</v>
      </c>
      <c r="D475" s="138">
        <v>28500</v>
      </c>
      <c r="E475" s="138">
        <v>66617.3</v>
      </c>
    </row>
    <row r="476" spans="1:5" x14ac:dyDescent="0.25">
      <c r="A476" s="91" t="s">
        <v>8314</v>
      </c>
      <c r="B476" s="138">
        <v>2500</v>
      </c>
      <c r="C476" s="138">
        <v>0</v>
      </c>
      <c r="D476" s="138">
        <v>2500</v>
      </c>
      <c r="E476" s="138">
        <v>5000</v>
      </c>
    </row>
    <row r="477" spans="1:5" x14ac:dyDescent="0.25">
      <c r="A477" s="91" t="s">
        <v>8349</v>
      </c>
      <c r="B477" s="138">
        <v>500</v>
      </c>
      <c r="C477" s="138">
        <v>500</v>
      </c>
      <c r="D477" s="138">
        <v>500</v>
      </c>
      <c r="E477" s="138">
        <v>1500</v>
      </c>
    </row>
    <row r="478" spans="1:5" x14ac:dyDescent="0.25">
      <c r="A478" s="91" t="s">
        <v>8356</v>
      </c>
      <c r="B478" s="138">
        <v>425</v>
      </c>
      <c r="C478" s="138">
        <v>424.79</v>
      </c>
      <c r="D478" s="138">
        <v>425</v>
      </c>
      <c r="E478" s="138">
        <v>1274.79</v>
      </c>
    </row>
    <row r="479" spans="1:5" x14ac:dyDescent="0.25">
      <c r="A479" s="91" t="s">
        <v>7927</v>
      </c>
      <c r="B479" s="138">
        <v>500</v>
      </c>
      <c r="C479" s="138">
        <v>0</v>
      </c>
      <c r="D479" s="138">
        <v>500</v>
      </c>
      <c r="E479" s="138">
        <v>1000</v>
      </c>
    </row>
    <row r="480" spans="1:5" x14ac:dyDescent="0.25">
      <c r="A480" s="91" t="s">
        <v>8009</v>
      </c>
      <c r="B480" s="138">
        <v>500</v>
      </c>
      <c r="C480" s="138">
        <v>0</v>
      </c>
      <c r="D480" s="138">
        <v>500</v>
      </c>
      <c r="E480" s="138">
        <v>1000</v>
      </c>
    </row>
    <row r="481" spans="1:5" x14ac:dyDescent="0.25">
      <c r="A481" s="91" t="s">
        <v>8143</v>
      </c>
      <c r="B481" s="138">
        <v>14500</v>
      </c>
      <c r="C481" s="138">
        <v>10659.9</v>
      </c>
      <c r="D481" s="138">
        <v>14500</v>
      </c>
      <c r="E481" s="138">
        <v>39659.9</v>
      </c>
    </row>
    <row r="482" spans="1:5" x14ac:dyDescent="0.25">
      <c r="A482" s="91" t="s">
        <v>8357</v>
      </c>
      <c r="B482" s="138">
        <v>5500</v>
      </c>
      <c r="C482" s="138">
        <v>3059</v>
      </c>
      <c r="D482" s="138">
        <v>5500</v>
      </c>
      <c r="E482" s="138">
        <v>14059</v>
      </c>
    </row>
    <row r="483" spans="1:5" x14ac:dyDescent="0.25">
      <c r="A483" s="91" t="s">
        <v>8667</v>
      </c>
      <c r="B483" s="138">
        <v>52280</v>
      </c>
      <c r="C483" s="138">
        <v>43455.040000000001</v>
      </c>
      <c r="D483" s="138"/>
      <c r="E483" s="138">
        <v>95735.040000000008</v>
      </c>
    </row>
    <row r="484" spans="1:5" x14ac:dyDescent="0.25">
      <c r="A484" s="91" t="s">
        <v>7816</v>
      </c>
      <c r="B484" s="138">
        <v>0</v>
      </c>
      <c r="C484" s="138">
        <v>60.15</v>
      </c>
      <c r="D484" s="138">
        <v>0</v>
      </c>
      <c r="E484" s="138">
        <v>60.15</v>
      </c>
    </row>
    <row r="485" spans="1:5" x14ac:dyDescent="0.25">
      <c r="A485" s="91" t="s">
        <v>8668</v>
      </c>
      <c r="B485" s="138">
        <v>10821.96</v>
      </c>
      <c r="C485" s="138">
        <v>8892.83</v>
      </c>
      <c r="D485" s="138"/>
      <c r="E485" s="138">
        <v>19714.79</v>
      </c>
    </row>
    <row r="486" spans="1:5" x14ac:dyDescent="0.25">
      <c r="A486" s="91" t="s">
        <v>8669</v>
      </c>
      <c r="B486" s="138">
        <v>3241.36</v>
      </c>
      <c r="C486" s="138">
        <v>2620.37</v>
      </c>
      <c r="D486" s="138"/>
      <c r="E486" s="138">
        <v>5861.73</v>
      </c>
    </row>
    <row r="487" spans="1:5" x14ac:dyDescent="0.25">
      <c r="A487" s="91" t="s">
        <v>8670</v>
      </c>
      <c r="B487" s="138">
        <v>758.06</v>
      </c>
      <c r="C487" s="138">
        <v>612.84</v>
      </c>
      <c r="D487" s="138"/>
      <c r="E487" s="138">
        <v>1370.9</v>
      </c>
    </row>
    <row r="488" spans="1:5" x14ac:dyDescent="0.25">
      <c r="A488" s="91" t="s">
        <v>8671</v>
      </c>
      <c r="B488" s="138">
        <v>25240.73</v>
      </c>
      <c r="C488" s="138">
        <v>28432.36</v>
      </c>
      <c r="D488" s="138"/>
      <c r="E488" s="138">
        <v>53673.09</v>
      </c>
    </row>
    <row r="489" spans="1:5" x14ac:dyDescent="0.25">
      <c r="A489" s="91" t="s">
        <v>8672</v>
      </c>
      <c r="B489" s="138">
        <v>26.14</v>
      </c>
      <c r="C489" s="138">
        <v>21.54</v>
      </c>
      <c r="D489" s="138"/>
      <c r="E489" s="138">
        <v>47.68</v>
      </c>
    </row>
    <row r="490" spans="1:5" x14ac:dyDescent="0.25">
      <c r="A490" s="91" t="s">
        <v>8673</v>
      </c>
      <c r="B490" s="138">
        <v>988.51</v>
      </c>
      <c r="C490" s="138">
        <v>824.83</v>
      </c>
      <c r="D490" s="138"/>
      <c r="E490" s="138">
        <v>1813.3400000000001</v>
      </c>
    </row>
    <row r="491" spans="1:5" x14ac:dyDescent="0.25">
      <c r="A491" s="91" t="s">
        <v>8188</v>
      </c>
      <c r="B491" s="138">
        <v>115.27</v>
      </c>
      <c r="C491" s="138">
        <v>55.85</v>
      </c>
      <c r="D491" s="138">
        <v>150</v>
      </c>
      <c r="E491" s="138">
        <v>321.12</v>
      </c>
    </row>
    <row r="492" spans="1:5" x14ac:dyDescent="0.25">
      <c r="A492" s="91" t="s">
        <v>7991</v>
      </c>
      <c r="B492" s="138">
        <v>12000</v>
      </c>
      <c r="C492" s="138">
        <v>6461.32</v>
      </c>
      <c r="D492" s="138">
        <v>12000</v>
      </c>
      <c r="E492" s="138">
        <v>30461.32</v>
      </c>
    </row>
    <row r="493" spans="1:5" x14ac:dyDescent="0.25">
      <c r="A493" s="91" t="s">
        <v>8315</v>
      </c>
      <c r="B493" s="138">
        <v>3300</v>
      </c>
      <c r="C493" s="138">
        <v>1755.6</v>
      </c>
      <c r="D493" s="138">
        <v>3300</v>
      </c>
      <c r="E493" s="138">
        <v>8355.6</v>
      </c>
    </row>
    <row r="494" spans="1:5" x14ac:dyDescent="0.25">
      <c r="A494" s="91" t="s">
        <v>8674</v>
      </c>
      <c r="B494" s="138">
        <v>73961.3</v>
      </c>
      <c r="C494" s="138">
        <v>62880.86</v>
      </c>
      <c r="D494" s="138"/>
      <c r="E494" s="138">
        <v>136842.16</v>
      </c>
    </row>
    <row r="495" spans="1:5" x14ac:dyDescent="0.25">
      <c r="A495" s="91" t="s">
        <v>8675</v>
      </c>
      <c r="B495" s="138">
        <v>16748</v>
      </c>
      <c r="C495" s="138">
        <v>13920.5</v>
      </c>
      <c r="D495" s="138"/>
      <c r="E495" s="138">
        <v>30668.5</v>
      </c>
    </row>
    <row r="496" spans="1:5" x14ac:dyDescent="0.25">
      <c r="A496" s="91" t="s">
        <v>8676</v>
      </c>
      <c r="B496" s="138">
        <v>41462</v>
      </c>
      <c r="C496" s="138">
        <v>34376.17</v>
      </c>
      <c r="D496" s="138"/>
      <c r="E496" s="138">
        <v>75838.17</v>
      </c>
    </row>
    <row r="497" spans="1:5" x14ac:dyDescent="0.25">
      <c r="A497" s="91" t="s">
        <v>7817</v>
      </c>
      <c r="B497" s="138">
        <v>1350</v>
      </c>
      <c r="C497" s="138">
        <v>8.68</v>
      </c>
      <c r="D497" s="138">
        <v>1350</v>
      </c>
      <c r="E497" s="138">
        <v>2708.6800000000003</v>
      </c>
    </row>
    <row r="498" spans="1:5" x14ac:dyDescent="0.25">
      <c r="A498" s="91" t="s">
        <v>8677</v>
      </c>
      <c r="B498" s="138">
        <v>27359.45</v>
      </c>
      <c r="C498" s="138">
        <v>22910.38</v>
      </c>
      <c r="D498" s="138"/>
      <c r="E498" s="138">
        <v>50269.83</v>
      </c>
    </row>
    <row r="499" spans="1:5" x14ac:dyDescent="0.25">
      <c r="A499" s="91" t="s">
        <v>8678</v>
      </c>
      <c r="B499" s="138">
        <v>8278.32</v>
      </c>
      <c r="C499" s="138">
        <v>6864.8</v>
      </c>
      <c r="D499" s="138"/>
      <c r="E499" s="138">
        <v>15143.119999999999</v>
      </c>
    </row>
    <row r="500" spans="1:5" x14ac:dyDescent="0.25">
      <c r="A500" s="91" t="s">
        <v>8679</v>
      </c>
      <c r="B500" s="138">
        <v>1936.07</v>
      </c>
      <c r="C500" s="138">
        <v>1605.51</v>
      </c>
      <c r="D500" s="138"/>
      <c r="E500" s="138">
        <v>3541.58</v>
      </c>
    </row>
    <row r="501" spans="1:5" x14ac:dyDescent="0.25">
      <c r="A501" s="91" t="s">
        <v>8680</v>
      </c>
      <c r="B501" s="138">
        <v>39896.39</v>
      </c>
      <c r="C501" s="138">
        <v>32533.57</v>
      </c>
      <c r="D501" s="138"/>
      <c r="E501" s="138">
        <v>72429.959999999992</v>
      </c>
    </row>
    <row r="502" spans="1:5" x14ac:dyDescent="0.25">
      <c r="A502" s="91" t="s">
        <v>8681</v>
      </c>
      <c r="B502" s="138">
        <v>66.760000000000005</v>
      </c>
      <c r="C502" s="138">
        <v>55.55</v>
      </c>
      <c r="D502" s="138"/>
      <c r="E502" s="138">
        <v>122.31</v>
      </c>
    </row>
    <row r="503" spans="1:5" x14ac:dyDescent="0.25">
      <c r="A503" s="91" t="s">
        <v>8682</v>
      </c>
      <c r="B503" s="138">
        <v>2524.62</v>
      </c>
      <c r="C503" s="138">
        <v>2105.16</v>
      </c>
      <c r="D503" s="138"/>
      <c r="E503" s="138">
        <v>4629.78</v>
      </c>
    </row>
    <row r="504" spans="1:5" x14ac:dyDescent="0.25">
      <c r="A504" s="91" t="s">
        <v>8683</v>
      </c>
      <c r="B504" s="138">
        <v>3480</v>
      </c>
      <c r="C504" s="138">
        <v>2610</v>
      </c>
      <c r="D504" s="138"/>
      <c r="E504" s="138">
        <v>6090</v>
      </c>
    </row>
    <row r="505" spans="1:5" x14ac:dyDescent="0.25">
      <c r="A505" s="91" t="s">
        <v>7990</v>
      </c>
      <c r="B505" s="138">
        <v>18000</v>
      </c>
      <c r="C505" s="138">
        <v>21890</v>
      </c>
      <c r="D505" s="138">
        <v>18000</v>
      </c>
      <c r="E505" s="138">
        <v>57890</v>
      </c>
    </row>
    <row r="506" spans="1:5" x14ac:dyDescent="0.25">
      <c r="A506" s="91" t="s">
        <v>8189</v>
      </c>
      <c r="B506" s="138">
        <v>700</v>
      </c>
      <c r="C506" s="138">
        <v>192.41</v>
      </c>
      <c r="D506" s="138">
        <v>200</v>
      </c>
      <c r="E506" s="138">
        <v>1092.4099999999999</v>
      </c>
    </row>
    <row r="507" spans="1:5" x14ac:dyDescent="0.25">
      <c r="A507" s="91" t="s">
        <v>8121</v>
      </c>
      <c r="B507" s="138">
        <v>0</v>
      </c>
      <c r="C507" s="138">
        <v>1331.78</v>
      </c>
      <c r="D507" s="138"/>
      <c r="E507" s="138">
        <v>1331.78</v>
      </c>
    </row>
    <row r="508" spans="1:5" x14ac:dyDescent="0.25">
      <c r="A508" s="91" t="s">
        <v>7928</v>
      </c>
      <c r="B508" s="138">
        <v>22000</v>
      </c>
      <c r="C508" s="138">
        <v>0</v>
      </c>
      <c r="D508" s="138"/>
      <c r="E508" s="138">
        <v>22000</v>
      </c>
    </row>
    <row r="509" spans="1:5" x14ac:dyDescent="0.25">
      <c r="A509" s="91" t="s">
        <v>8155</v>
      </c>
      <c r="B509" s="138">
        <v>61300</v>
      </c>
      <c r="C509" s="138">
        <v>0</v>
      </c>
      <c r="D509" s="138"/>
      <c r="E509" s="138">
        <v>61300</v>
      </c>
    </row>
    <row r="510" spans="1:5" x14ac:dyDescent="0.25">
      <c r="A510" s="91" t="s">
        <v>8372</v>
      </c>
      <c r="B510" s="138">
        <v>105650</v>
      </c>
      <c r="C510" s="138">
        <v>1.1200000000000001</v>
      </c>
      <c r="D510" s="138"/>
      <c r="E510" s="138">
        <v>105651.12</v>
      </c>
    </row>
    <row r="511" spans="1:5" x14ac:dyDescent="0.25">
      <c r="A511" s="91" t="s">
        <v>8386</v>
      </c>
      <c r="B511" s="138">
        <v>200000</v>
      </c>
      <c r="C511" s="138">
        <v>0</v>
      </c>
      <c r="D511" s="138"/>
      <c r="E511" s="138">
        <v>200000</v>
      </c>
    </row>
    <row r="512" spans="1:5" x14ac:dyDescent="0.25">
      <c r="A512" s="91" t="s">
        <v>8684</v>
      </c>
      <c r="B512" s="138">
        <v>33443.85</v>
      </c>
      <c r="C512" s="138">
        <v>27328.05</v>
      </c>
      <c r="D512" s="138"/>
      <c r="E512" s="138">
        <v>60771.899999999994</v>
      </c>
    </row>
    <row r="513" spans="1:5" x14ac:dyDescent="0.25">
      <c r="A513" s="91" t="s">
        <v>8685</v>
      </c>
      <c r="B513" s="138">
        <v>166232</v>
      </c>
      <c r="C513" s="138">
        <v>154583.82999999999</v>
      </c>
      <c r="D513" s="138"/>
      <c r="E513" s="138">
        <v>320815.82999999996</v>
      </c>
    </row>
    <row r="514" spans="1:5" x14ac:dyDescent="0.25">
      <c r="A514" s="91" t="s">
        <v>7784</v>
      </c>
      <c r="B514" s="138">
        <v>221600</v>
      </c>
      <c r="C514" s="138">
        <v>133341.46</v>
      </c>
      <c r="D514" s="138">
        <v>273600</v>
      </c>
      <c r="E514" s="138">
        <v>628541.46</v>
      </c>
    </row>
    <row r="515" spans="1:5" x14ac:dyDescent="0.25">
      <c r="A515" s="91" t="s">
        <v>8686</v>
      </c>
      <c r="B515" s="138">
        <v>211892.09</v>
      </c>
      <c r="C515" s="138">
        <v>229971.82</v>
      </c>
      <c r="D515" s="138"/>
      <c r="E515" s="138">
        <v>441863.91000000003</v>
      </c>
    </row>
    <row r="516" spans="1:5" x14ac:dyDescent="0.25">
      <c r="A516" s="91" t="s">
        <v>8687</v>
      </c>
      <c r="B516" s="138">
        <v>71280</v>
      </c>
      <c r="C516" s="138">
        <v>59400</v>
      </c>
      <c r="D516" s="138"/>
      <c r="E516" s="138">
        <v>130680</v>
      </c>
    </row>
    <row r="517" spans="1:5" x14ac:dyDescent="0.25">
      <c r="A517" s="91" t="s">
        <v>7818</v>
      </c>
      <c r="B517" s="138">
        <v>0</v>
      </c>
      <c r="C517" s="138">
        <v>174.59</v>
      </c>
      <c r="D517" s="138">
        <v>0</v>
      </c>
      <c r="E517" s="138">
        <v>174.59</v>
      </c>
    </row>
    <row r="518" spans="1:5" x14ac:dyDescent="0.25">
      <c r="A518" s="91" t="s">
        <v>7852</v>
      </c>
      <c r="B518" s="138">
        <v>4000</v>
      </c>
      <c r="C518" s="138">
        <v>5040.5</v>
      </c>
      <c r="D518" s="138">
        <v>4000</v>
      </c>
      <c r="E518" s="138">
        <v>13040.5</v>
      </c>
    </row>
    <row r="519" spans="1:5" x14ac:dyDescent="0.25">
      <c r="A519" s="91" t="s">
        <v>7864</v>
      </c>
      <c r="B519" s="138">
        <v>0</v>
      </c>
      <c r="C519" s="138">
        <v>0</v>
      </c>
      <c r="D519" s="138">
        <v>20000</v>
      </c>
      <c r="E519" s="138">
        <v>20000</v>
      </c>
    </row>
    <row r="520" spans="1:5" x14ac:dyDescent="0.25">
      <c r="A520" s="91" t="s">
        <v>8688</v>
      </c>
      <c r="B520" s="138">
        <v>67939.149999999994</v>
      </c>
      <c r="C520" s="138">
        <v>43613.93</v>
      </c>
      <c r="D520" s="138"/>
      <c r="E520" s="138">
        <v>111553.07999999999</v>
      </c>
    </row>
    <row r="521" spans="1:5" x14ac:dyDescent="0.25">
      <c r="A521" s="91" t="s">
        <v>8689</v>
      </c>
      <c r="B521" s="138">
        <v>58616.63</v>
      </c>
      <c r="C521" s="138">
        <v>59858.19</v>
      </c>
      <c r="D521" s="138"/>
      <c r="E521" s="138">
        <v>118474.82</v>
      </c>
    </row>
    <row r="522" spans="1:5" x14ac:dyDescent="0.25">
      <c r="A522" s="91" t="s">
        <v>8690</v>
      </c>
      <c r="B522" s="138">
        <v>18796.68</v>
      </c>
      <c r="C522" s="138">
        <v>19753.7</v>
      </c>
      <c r="D522" s="138"/>
      <c r="E522" s="138">
        <v>38550.380000000005</v>
      </c>
    </row>
    <row r="523" spans="1:5" x14ac:dyDescent="0.25">
      <c r="A523" s="91" t="s">
        <v>8691</v>
      </c>
      <c r="B523" s="138">
        <v>10495.79</v>
      </c>
      <c r="C523" s="138">
        <v>8745.25</v>
      </c>
      <c r="D523" s="138"/>
      <c r="E523" s="138">
        <v>19241.04</v>
      </c>
    </row>
    <row r="524" spans="1:5" x14ac:dyDescent="0.25">
      <c r="A524" s="91" t="s">
        <v>8692</v>
      </c>
      <c r="B524" s="138">
        <v>123204.92</v>
      </c>
      <c r="C524" s="138">
        <v>110090.31</v>
      </c>
      <c r="D524" s="138"/>
      <c r="E524" s="138">
        <v>233295.22999999998</v>
      </c>
    </row>
    <row r="525" spans="1:5" x14ac:dyDescent="0.25">
      <c r="A525" s="91" t="s">
        <v>8693</v>
      </c>
      <c r="B525" s="138">
        <v>361.93</v>
      </c>
      <c r="C525" s="138">
        <v>302.5</v>
      </c>
      <c r="D525" s="138"/>
      <c r="E525" s="138">
        <v>664.43000000000006</v>
      </c>
    </row>
    <row r="526" spans="1:5" x14ac:dyDescent="0.25">
      <c r="A526" s="91" t="s">
        <v>8694</v>
      </c>
      <c r="B526" s="138">
        <v>13761.85</v>
      </c>
      <c r="C526" s="138">
        <v>11541.05</v>
      </c>
      <c r="D526" s="138"/>
      <c r="E526" s="138">
        <v>25302.9</v>
      </c>
    </row>
    <row r="527" spans="1:5" x14ac:dyDescent="0.25">
      <c r="A527" s="91" t="s">
        <v>8695</v>
      </c>
      <c r="B527" s="138">
        <v>2400</v>
      </c>
      <c r="C527" s="138">
        <v>3378.26</v>
      </c>
      <c r="D527" s="138"/>
      <c r="E527" s="138">
        <v>5778.26</v>
      </c>
    </row>
    <row r="528" spans="1:5" x14ac:dyDescent="0.25">
      <c r="A528" s="91" t="s">
        <v>7911</v>
      </c>
      <c r="B528" s="138">
        <v>0</v>
      </c>
      <c r="C528" s="138">
        <v>0</v>
      </c>
      <c r="D528" s="138">
        <v>0</v>
      </c>
      <c r="E528" s="138">
        <v>0</v>
      </c>
    </row>
    <row r="529" spans="1:5" x14ac:dyDescent="0.25">
      <c r="A529" s="91" t="s">
        <v>7929</v>
      </c>
      <c r="B529" s="138">
        <v>39400</v>
      </c>
      <c r="C529" s="138">
        <v>80.12</v>
      </c>
      <c r="D529" s="138">
        <v>39400</v>
      </c>
      <c r="E529" s="138">
        <v>78880.12</v>
      </c>
    </row>
    <row r="530" spans="1:5" x14ac:dyDescent="0.25">
      <c r="A530" s="91" t="s">
        <v>8010</v>
      </c>
      <c r="B530" s="138">
        <v>561260</v>
      </c>
      <c r="C530" s="138">
        <v>513152</v>
      </c>
      <c r="D530" s="138">
        <v>498453</v>
      </c>
      <c r="E530" s="138">
        <v>1572865</v>
      </c>
    </row>
    <row r="531" spans="1:5" x14ac:dyDescent="0.25">
      <c r="A531" s="91" t="s">
        <v>8045</v>
      </c>
      <c r="B531" s="138">
        <v>4000</v>
      </c>
      <c r="C531" s="138">
        <v>3250</v>
      </c>
      <c r="D531" s="138">
        <v>6000</v>
      </c>
      <c r="E531" s="138">
        <v>13250</v>
      </c>
    </row>
    <row r="532" spans="1:5" x14ac:dyDescent="0.25">
      <c r="A532" s="91" t="s">
        <v>8085</v>
      </c>
      <c r="B532" s="138">
        <v>400</v>
      </c>
      <c r="C532" s="138">
        <v>300</v>
      </c>
      <c r="D532" s="138">
        <v>400</v>
      </c>
      <c r="E532" s="138">
        <v>1100</v>
      </c>
    </row>
    <row r="533" spans="1:5" x14ac:dyDescent="0.25">
      <c r="A533" s="91" t="s">
        <v>8190</v>
      </c>
      <c r="B533" s="138">
        <v>112.46</v>
      </c>
      <c r="C533" s="138">
        <v>5.4</v>
      </c>
      <c r="D533" s="138">
        <v>1076</v>
      </c>
      <c r="E533" s="138">
        <v>1193.8599999999999</v>
      </c>
    </row>
    <row r="534" spans="1:5" x14ac:dyDescent="0.25">
      <c r="A534" s="91" t="s">
        <v>8278</v>
      </c>
      <c r="B534" s="138">
        <v>0</v>
      </c>
      <c r="C534" s="138">
        <v>0</v>
      </c>
      <c r="D534" s="138">
        <v>18450</v>
      </c>
      <c r="E534" s="138">
        <v>18450</v>
      </c>
    </row>
    <row r="535" spans="1:5" x14ac:dyDescent="0.25">
      <c r="A535" s="91" t="s">
        <v>8294</v>
      </c>
      <c r="B535" s="138">
        <v>160</v>
      </c>
      <c r="C535" s="138">
        <v>0</v>
      </c>
      <c r="D535" s="138">
        <v>160</v>
      </c>
      <c r="E535" s="138">
        <v>320</v>
      </c>
    </row>
    <row r="536" spans="1:5" x14ac:dyDescent="0.25">
      <c r="A536" s="91" t="s">
        <v>8363</v>
      </c>
      <c r="B536" s="138">
        <v>129</v>
      </c>
      <c r="C536" s="138">
        <v>129.47999999999999</v>
      </c>
      <c r="D536" s="138">
        <v>129</v>
      </c>
      <c r="E536" s="138">
        <v>387.48</v>
      </c>
    </row>
    <row r="537" spans="1:5" x14ac:dyDescent="0.25">
      <c r="A537" s="91" t="s">
        <v>8696</v>
      </c>
      <c r="B537" s="138">
        <v>192084.4</v>
      </c>
      <c r="C537" s="138">
        <v>109666.91</v>
      </c>
      <c r="D537" s="138"/>
      <c r="E537" s="138">
        <v>301751.31</v>
      </c>
    </row>
    <row r="538" spans="1:5" x14ac:dyDescent="0.25">
      <c r="A538" s="91" t="s">
        <v>8697</v>
      </c>
      <c r="B538" s="138">
        <v>31021.64</v>
      </c>
      <c r="C538" s="138">
        <v>17711.22</v>
      </c>
      <c r="D538" s="138"/>
      <c r="E538" s="138">
        <v>48732.86</v>
      </c>
    </row>
    <row r="539" spans="1:5" x14ac:dyDescent="0.25">
      <c r="A539" s="91" t="s">
        <v>8698</v>
      </c>
      <c r="B539" s="138">
        <v>2785.22</v>
      </c>
      <c r="C539" s="138">
        <v>1581.34</v>
      </c>
      <c r="D539" s="138"/>
      <c r="E539" s="138">
        <v>4366.5599999999995</v>
      </c>
    </row>
    <row r="540" spans="1:5" x14ac:dyDescent="0.25">
      <c r="A540" s="91" t="s">
        <v>8699</v>
      </c>
      <c r="B540" s="138">
        <v>44485.38</v>
      </c>
      <c r="C540" s="138">
        <v>24103.23</v>
      </c>
      <c r="D540" s="138"/>
      <c r="E540" s="138">
        <v>68588.61</v>
      </c>
    </row>
    <row r="541" spans="1:5" x14ac:dyDescent="0.25">
      <c r="A541" s="91" t="s">
        <v>8700</v>
      </c>
      <c r="B541" s="138">
        <v>96.04</v>
      </c>
      <c r="C541" s="138">
        <v>54.85</v>
      </c>
      <c r="D541" s="138"/>
      <c r="E541" s="138">
        <v>150.89000000000001</v>
      </c>
    </row>
    <row r="542" spans="1:5" x14ac:dyDescent="0.25">
      <c r="A542" s="91" t="s">
        <v>8701</v>
      </c>
      <c r="B542" s="138">
        <v>3631.93</v>
      </c>
      <c r="C542" s="138">
        <v>2073.61</v>
      </c>
      <c r="D542" s="138"/>
      <c r="E542" s="138">
        <v>5705.54</v>
      </c>
    </row>
    <row r="543" spans="1:5" x14ac:dyDescent="0.25">
      <c r="A543" s="91" t="s">
        <v>8191</v>
      </c>
      <c r="B543" s="138">
        <v>0</v>
      </c>
      <c r="C543" s="138">
        <v>1.63</v>
      </c>
      <c r="D543" s="138">
        <v>0</v>
      </c>
      <c r="E543" s="138">
        <v>1.63</v>
      </c>
    </row>
    <row r="544" spans="1:5" x14ac:dyDescent="0.25">
      <c r="A544" s="91" t="s">
        <v>7718</v>
      </c>
      <c r="B544" s="138">
        <v>0</v>
      </c>
      <c r="C544" s="138">
        <v>0</v>
      </c>
      <c r="D544" s="138">
        <v>86356.26</v>
      </c>
      <c r="E544" s="138">
        <v>86356.26</v>
      </c>
    </row>
    <row r="545" spans="1:5" x14ac:dyDescent="0.25">
      <c r="A545" s="91" t="s">
        <v>8702</v>
      </c>
      <c r="B545" s="138">
        <v>0</v>
      </c>
      <c r="C545" s="138">
        <v>0</v>
      </c>
      <c r="D545" s="138"/>
      <c r="E545" s="138">
        <v>0</v>
      </c>
    </row>
    <row r="546" spans="1:5" x14ac:dyDescent="0.25">
      <c r="A546" s="91" t="s">
        <v>8703</v>
      </c>
      <c r="B546" s="138">
        <v>0</v>
      </c>
      <c r="C546" s="138">
        <v>0</v>
      </c>
      <c r="D546" s="138"/>
      <c r="E546" s="138">
        <v>0</v>
      </c>
    </row>
    <row r="547" spans="1:5" x14ac:dyDescent="0.25">
      <c r="A547" s="91" t="s">
        <v>8704</v>
      </c>
      <c r="B547" s="138">
        <v>0</v>
      </c>
      <c r="C547" s="138">
        <v>0</v>
      </c>
      <c r="D547" s="138"/>
      <c r="E547" s="138">
        <v>0</v>
      </c>
    </row>
    <row r="548" spans="1:5" x14ac:dyDescent="0.25">
      <c r="A548" s="91" t="s">
        <v>8705</v>
      </c>
      <c r="B548" s="138">
        <v>0</v>
      </c>
      <c r="C548" s="138">
        <v>0</v>
      </c>
      <c r="D548" s="138"/>
      <c r="E548" s="138">
        <v>0</v>
      </c>
    </row>
    <row r="549" spans="1:5" x14ac:dyDescent="0.25">
      <c r="A549" s="91" t="s">
        <v>8295</v>
      </c>
      <c r="B549" s="138">
        <v>-23000</v>
      </c>
      <c r="C549" s="138">
        <v>0</v>
      </c>
      <c r="D549" s="138">
        <v>23000</v>
      </c>
      <c r="E549" s="138">
        <v>0</v>
      </c>
    </row>
    <row r="550" spans="1:5" x14ac:dyDescent="0.25">
      <c r="A550" s="91" t="s">
        <v>8706</v>
      </c>
      <c r="B550" s="138">
        <v>131204</v>
      </c>
      <c r="C550" s="138">
        <v>109336.7</v>
      </c>
      <c r="D550" s="138"/>
      <c r="E550" s="138">
        <v>240540.7</v>
      </c>
    </row>
    <row r="551" spans="1:5" x14ac:dyDescent="0.25">
      <c r="A551" s="91" t="s">
        <v>7785</v>
      </c>
      <c r="B551" s="138">
        <v>12000</v>
      </c>
      <c r="C551" s="138">
        <v>0</v>
      </c>
      <c r="D551" s="138">
        <v>40000</v>
      </c>
      <c r="E551" s="138">
        <v>52000</v>
      </c>
    </row>
    <row r="552" spans="1:5" x14ac:dyDescent="0.25">
      <c r="A552" s="91" t="s">
        <v>8707</v>
      </c>
      <c r="B552" s="138">
        <v>61049.279999999999</v>
      </c>
      <c r="C552" s="138">
        <v>53079.19</v>
      </c>
      <c r="D552" s="138"/>
      <c r="E552" s="138">
        <v>114128.47</v>
      </c>
    </row>
    <row r="553" spans="1:5" x14ac:dyDescent="0.25">
      <c r="A553" s="91" t="s">
        <v>7819</v>
      </c>
      <c r="B553" s="138">
        <v>395</v>
      </c>
      <c r="C553" s="138">
        <v>0</v>
      </c>
      <c r="D553" s="138">
        <v>12000</v>
      </c>
      <c r="E553" s="138">
        <v>12395</v>
      </c>
    </row>
    <row r="554" spans="1:5" x14ac:dyDescent="0.25">
      <c r="A554" s="91" t="s">
        <v>7865</v>
      </c>
      <c r="B554" s="138">
        <v>0</v>
      </c>
      <c r="C554" s="138">
        <v>3551.39</v>
      </c>
      <c r="D554" s="138">
        <v>0</v>
      </c>
      <c r="E554" s="138">
        <v>3551.39</v>
      </c>
    </row>
    <row r="555" spans="1:5" x14ac:dyDescent="0.25">
      <c r="A555" s="91" t="s">
        <v>8708</v>
      </c>
      <c r="B555" s="138">
        <v>23127.45</v>
      </c>
      <c r="C555" s="138">
        <v>0</v>
      </c>
      <c r="D555" s="138"/>
      <c r="E555" s="138">
        <v>23127.45</v>
      </c>
    </row>
    <row r="556" spans="1:5" x14ac:dyDescent="0.25">
      <c r="A556" s="91" t="s">
        <v>8709</v>
      </c>
      <c r="B556" s="138">
        <v>12637.2</v>
      </c>
      <c r="C556" s="138">
        <v>34115.68</v>
      </c>
      <c r="D556" s="138"/>
      <c r="E556" s="138">
        <v>46752.880000000005</v>
      </c>
    </row>
    <row r="557" spans="1:5" x14ac:dyDescent="0.25">
      <c r="A557" s="91" t="s">
        <v>8710</v>
      </c>
      <c r="B557" s="138">
        <v>3809.55</v>
      </c>
      <c r="C557" s="138">
        <v>10163.08</v>
      </c>
      <c r="D557" s="138"/>
      <c r="E557" s="138">
        <v>13972.630000000001</v>
      </c>
    </row>
    <row r="558" spans="1:5" x14ac:dyDescent="0.25">
      <c r="A558" s="91" t="s">
        <v>8711</v>
      </c>
      <c r="B558" s="138">
        <v>2967.4</v>
      </c>
      <c r="C558" s="138">
        <v>2376.84</v>
      </c>
      <c r="D558" s="138"/>
      <c r="E558" s="138">
        <v>5344.24</v>
      </c>
    </row>
    <row r="559" spans="1:5" x14ac:dyDescent="0.25">
      <c r="A559" s="91" t="s">
        <v>8712</v>
      </c>
      <c r="B559" s="138">
        <v>57176.67</v>
      </c>
      <c r="C559" s="138">
        <v>45923.22</v>
      </c>
      <c r="D559" s="138"/>
      <c r="E559" s="138">
        <v>103099.89</v>
      </c>
    </row>
    <row r="560" spans="1:5" x14ac:dyDescent="0.25">
      <c r="A560" s="91" t="s">
        <v>8713</v>
      </c>
      <c r="B560" s="138">
        <v>102.32</v>
      </c>
      <c r="C560" s="138">
        <v>82.46</v>
      </c>
      <c r="D560" s="138"/>
      <c r="E560" s="138">
        <v>184.77999999999997</v>
      </c>
    </row>
    <row r="561" spans="1:5" x14ac:dyDescent="0.25">
      <c r="A561" s="91" t="s">
        <v>8714</v>
      </c>
      <c r="B561" s="138">
        <v>3869.5</v>
      </c>
      <c r="C561" s="138">
        <v>3140.49</v>
      </c>
      <c r="D561" s="138"/>
      <c r="E561" s="138">
        <v>7009.99</v>
      </c>
    </row>
    <row r="562" spans="1:5" x14ac:dyDescent="0.25">
      <c r="A562" s="91" t="s">
        <v>8715</v>
      </c>
      <c r="B562" s="138">
        <v>0</v>
      </c>
      <c r="C562" s="138">
        <v>1800</v>
      </c>
      <c r="D562" s="138"/>
      <c r="E562" s="138">
        <v>1800</v>
      </c>
    </row>
    <row r="563" spans="1:5" x14ac:dyDescent="0.25">
      <c r="A563" s="91" t="s">
        <v>7930</v>
      </c>
      <c r="B563" s="138">
        <v>403</v>
      </c>
      <c r="C563" s="138">
        <v>60.08</v>
      </c>
      <c r="D563" s="138">
        <v>10000</v>
      </c>
      <c r="E563" s="138">
        <v>10463.08</v>
      </c>
    </row>
    <row r="564" spans="1:5" x14ac:dyDescent="0.25">
      <c r="A564" s="91" t="s">
        <v>8046</v>
      </c>
      <c r="B564" s="138">
        <v>500</v>
      </c>
      <c r="C564" s="138">
        <v>950</v>
      </c>
      <c r="D564" s="138">
        <v>5000</v>
      </c>
      <c r="E564" s="138">
        <v>6450</v>
      </c>
    </row>
    <row r="565" spans="1:5" x14ac:dyDescent="0.25">
      <c r="A565" s="91" t="s">
        <v>8192</v>
      </c>
      <c r="B565" s="138">
        <v>167.76</v>
      </c>
      <c r="C565" s="138">
        <v>30.84</v>
      </c>
      <c r="D565" s="138">
        <v>1400</v>
      </c>
      <c r="E565" s="138">
        <v>1598.6</v>
      </c>
    </row>
    <row r="566" spans="1:5" x14ac:dyDescent="0.25">
      <c r="A566" s="91" t="s">
        <v>8716</v>
      </c>
      <c r="B566" s="138">
        <v>147407</v>
      </c>
      <c r="C566" s="138">
        <v>129917.25</v>
      </c>
      <c r="D566" s="138"/>
      <c r="E566" s="138">
        <v>277324.25</v>
      </c>
    </row>
    <row r="567" spans="1:5" x14ac:dyDescent="0.25">
      <c r="A567" s="91" t="s">
        <v>8717</v>
      </c>
      <c r="B567" s="138">
        <v>59036.28</v>
      </c>
      <c r="C567" s="138">
        <v>50485.120000000003</v>
      </c>
      <c r="D567" s="138"/>
      <c r="E567" s="138">
        <v>109521.4</v>
      </c>
    </row>
    <row r="568" spans="1:5" x14ac:dyDescent="0.25">
      <c r="A568" s="91" t="s">
        <v>8718</v>
      </c>
      <c r="B568" s="138">
        <v>23806.23</v>
      </c>
      <c r="C568" s="138">
        <v>20386.46</v>
      </c>
      <c r="D568" s="138"/>
      <c r="E568" s="138">
        <v>44192.69</v>
      </c>
    </row>
    <row r="569" spans="1:5" x14ac:dyDescent="0.25">
      <c r="A569" s="91" t="s">
        <v>8719</v>
      </c>
      <c r="B569" s="138">
        <v>12220.51</v>
      </c>
      <c r="C569" s="138">
        <v>10449.74</v>
      </c>
      <c r="D569" s="138"/>
      <c r="E569" s="138">
        <v>22670.25</v>
      </c>
    </row>
    <row r="570" spans="1:5" x14ac:dyDescent="0.25">
      <c r="A570" s="91" t="s">
        <v>8720</v>
      </c>
      <c r="B570" s="138">
        <v>3660.25</v>
      </c>
      <c r="C570" s="138">
        <v>3133.45</v>
      </c>
      <c r="D570" s="138"/>
      <c r="E570" s="138">
        <v>6793.7</v>
      </c>
    </row>
    <row r="571" spans="1:5" x14ac:dyDescent="0.25">
      <c r="A571" s="91" t="s">
        <v>8721</v>
      </c>
      <c r="B571" s="138">
        <v>2993.43</v>
      </c>
      <c r="C571" s="138">
        <v>2616.7800000000002</v>
      </c>
      <c r="D571" s="138"/>
      <c r="E571" s="138">
        <v>5610.21</v>
      </c>
    </row>
    <row r="572" spans="1:5" x14ac:dyDescent="0.25">
      <c r="A572" s="91" t="s">
        <v>8722</v>
      </c>
      <c r="B572" s="138">
        <v>36248.22</v>
      </c>
      <c r="C572" s="138">
        <v>16572.32</v>
      </c>
      <c r="D572" s="138"/>
      <c r="E572" s="138">
        <v>52820.54</v>
      </c>
    </row>
    <row r="573" spans="1:5" x14ac:dyDescent="0.25">
      <c r="A573" s="91" t="s">
        <v>8723</v>
      </c>
      <c r="B573" s="138">
        <v>103.22</v>
      </c>
      <c r="C573" s="138">
        <v>90.19</v>
      </c>
      <c r="D573" s="138"/>
      <c r="E573" s="138">
        <v>193.41</v>
      </c>
    </row>
    <row r="574" spans="1:5" x14ac:dyDescent="0.25">
      <c r="A574" s="91" t="s">
        <v>8724</v>
      </c>
      <c r="B574" s="138">
        <v>3903.43</v>
      </c>
      <c r="C574" s="138">
        <v>3413.27</v>
      </c>
      <c r="D574" s="138"/>
      <c r="E574" s="138">
        <v>7316.7</v>
      </c>
    </row>
    <row r="575" spans="1:5" x14ac:dyDescent="0.25">
      <c r="A575" s="91" t="s">
        <v>8725</v>
      </c>
      <c r="B575" s="138">
        <v>2400</v>
      </c>
      <c r="C575" s="138">
        <v>2145.44</v>
      </c>
      <c r="D575" s="138"/>
      <c r="E575" s="138">
        <v>4545.4400000000005</v>
      </c>
    </row>
    <row r="576" spans="1:5" x14ac:dyDescent="0.25">
      <c r="A576" s="91" t="s">
        <v>7931</v>
      </c>
      <c r="B576" s="138">
        <v>3204</v>
      </c>
      <c r="C576" s="138">
        <v>100.65</v>
      </c>
      <c r="D576" s="138">
        <v>3204</v>
      </c>
      <c r="E576" s="138">
        <v>6508.65</v>
      </c>
    </row>
    <row r="577" spans="1:5" x14ac:dyDescent="0.25">
      <c r="A577" s="91" t="s">
        <v>8047</v>
      </c>
      <c r="B577" s="138">
        <v>0</v>
      </c>
      <c r="C577" s="138">
        <v>0</v>
      </c>
      <c r="D577" s="138">
        <v>651</v>
      </c>
      <c r="E577" s="138">
        <v>651</v>
      </c>
    </row>
    <row r="578" spans="1:5" x14ac:dyDescent="0.25">
      <c r="A578" s="91" t="s">
        <v>8193</v>
      </c>
      <c r="B578" s="138">
        <v>27.9</v>
      </c>
      <c r="C578" s="138">
        <v>0</v>
      </c>
      <c r="D578" s="138">
        <v>279</v>
      </c>
      <c r="E578" s="138">
        <v>306.89999999999998</v>
      </c>
    </row>
    <row r="579" spans="1:5" x14ac:dyDescent="0.25">
      <c r="A579" s="91" t="s">
        <v>8296</v>
      </c>
      <c r="B579" s="138">
        <v>3000</v>
      </c>
      <c r="C579" s="138">
        <v>684.15</v>
      </c>
      <c r="D579" s="138">
        <v>3000</v>
      </c>
      <c r="E579" s="138">
        <v>6684.15</v>
      </c>
    </row>
    <row r="580" spans="1:5" x14ac:dyDescent="0.25">
      <c r="A580" s="91" t="s">
        <v>8726</v>
      </c>
      <c r="B580" s="138">
        <v>0</v>
      </c>
      <c r="C580" s="138">
        <v>1</v>
      </c>
      <c r="D580" s="138"/>
      <c r="E580" s="138">
        <v>1</v>
      </c>
    </row>
    <row r="581" spans="1:5" x14ac:dyDescent="0.25">
      <c r="A581" s="91" t="s">
        <v>8727</v>
      </c>
      <c r="B581" s="138">
        <v>0</v>
      </c>
      <c r="C581" s="138">
        <v>0.23</v>
      </c>
      <c r="D581" s="138"/>
      <c r="E581" s="138">
        <v>0.23</v>
      </c>
    </row>
    <row r="582" spans="1:5" x14ac:dyDescent="0.25">
      <c r="A582" s="91" t="s">
        <v>8728</v>
      </c>
      <c r="B582" s="138">
        <v>0</v>
      </c>
      <c r="C582" s="138">
        <v>-2038</v>
      </c>
      <c r="D582" s="138"/>
      <c r="E582" s="138">
        <v>-2038</v>
      </c>
    </row>
    <row r="583" spans="1:5" x14ac:dyDescent="0.25">
      <c r="A583" s="91" t="s">
        <v>7932</v>
      </c>
      <c r="B583" s="138">
        <v>282</v>
      </c>
      <c r="C583" s="138">
        <v>0</v>
      </c>
      <c r="D583" s="138">
        <v>282</v>
      </c>
      <c r="E583" s="138">
        <v>564</v>
      </c>
    </row>
    <row r="584" spans="1:5" x14ac:dyDescent="0.25">
      <c r="A584" s="91" t="s">
        <v>8194</v>
      </c>
      <c r="B584" s="138">
        <v>9.3000000000000007</v>
      </c>
      <c r="C584" s="138">
        <v>0</v>
      </c>
      <c r="D584" s="138">
        <v>93</v>
      </c>
      <c r="E584" s="138">
        <v>102.3</v>
      </c>
    </row>
    <row r="585" spans="1:5" x14ac:dyDescent="0.25">
      <c r="A585" s="91" t="s">
        <v>8729</v>
      </c>
      <c r="B585" s="138">
        <v>0</v>
      </c>
      <c r="C585" s="138">
        <v>1832</v>
      </c>
      <c r="D585" s="138"/>
      <c r="E585" s="138">
        <v>1832</v>
      </c>
    </row>
    <row r="586" spans="1:5" x14ac:dyDescent="0.25">
      <c r="A586" s="91" t="s">
        <v>8730</v>
      </c>
      <c r="B586" s="138">
        <v>90385.600000000006</v>
      </c>
      <c r="C586" s="138">
        <v>27858.15</v>
      </c>
      <c r="D586" s="138"/>
      <c r="E586" s="138">
        <v>118243.75</v>
      </c>
    </row>
    <row r="587" spans="1:5" x14ac:dyDescent="0.25">
      <c r="A587" s="91" t="s">
        <v>7853</v>
      </c>
      <c r="B587" s="138">
        <v>0</v>
      </c>
      <c r="C587" s="138">
        <v>1859.34</v>
      </c>
      <c r="D587" s="138">
        <v>0</v>
      </c>
      <c r="E587" s="138">
        <v>1859.34</v>
      </c>
    </row>
    <row r="588" spans="1:5" x14ac:dyDescent="0.25">
      <c r="A588" s="91" t="s">
        <v>7866</v>
      </c>
      <c r="B588" s="138">
        <v>8500</v>
      </c>
      <c r="C588" s="138">
        <v>6550</v>
      </c>
      <c r="D588" s="138">
        <v>8500</v>
      </c>
      <c r="E588" s="138">
        <v>23550</v>
      </c>
    </row>
    <row r="589" spans="1:5" x14ac:dyDescent="0.25">
      <c r="A589" s="91" t="s">
        <v>8731</v>
      </c>
      <c r="B589" s="138">
        <v>0</v>
      </c>
      <c r="C589" s="138">
        <v>323</v>
      </c>
      <c r="D589" s="138"/>
      <c r="E589" s="138">
        <v>323</v>
      </c>
    </row>
    <row r="590" spans="1:5" x14ac:dyDescent="0.25">
      <c r="A590" s="91" t="s">
        <v>8732</v>
      </c>
      <c r="B590" s="138">
        <v>18709.82</v>
      </c>
      <c r="C590" s="138">
        <v>6322.09</v>
      </c>
      <c r="D590" s="138"/>
      <c r="E590" s="138">
        <v>25031.91</v>
      </c>
    </row>
    <row r="591" spans="1:5" x14ac:dyDescent="0.25">
      <c r="A591" s="91" t="s">
        <v>8733</v>
      </c>
      <c r="B591" s="138">
        <v>6130.91</v>
      </c>
      <c r="C591" s="138">
        <v>1829.31</v>
      </c>
      <c r="D591" s="138"/>
      <c r="E591" s="138">
        <v>7960.2199999999993</v>
      </c>
    </row>
    <row r="592" spans="1:5" x14ac:dyDescent="0.25">
      <c r="A592" s="91" t="s">
        <v>8734</v>
      </c>
      <c r="B592" s="138">
        <v>1433.84</v>
      </c>
      <c r="C592" s="138">
        <v>522.80999999999995</v>
      </c>
      <c r="D592" s="138"/>
      <c r="E592" s="138">
        <v>1956.6499999999999</v>
      </c>
    </row>
    <row r="593" spans="1:5" x14ac:dyDescent="0.25">
      <c r="A593" s="91" t="s">
        <v>8735</v>
      </c>
      <c r="B593" s="138">
        <v>19640.61</v>
      </c>
      <c r="C593" s="138">
        <v>12225.16</v>
      </c>
      <c r="D593" s="138"/>
      <c r="E593" s="138">
        <v>31865.77</v>
      </c>
    </row>
    <row r="594" spans="1:5" x14ac:dyDescent="0.25">
      <c r="A594" s="91" t="s">
        <v>8736</v>
      </c>
      <c r="B594" s="138">
        <v>49.44</v>
      </c>
      <c r="C594" s="138">
        <v>18.13</v>
      </c>
      <c r="D594" s="138"/>
      <c r="E594" s="138">
        <v>67.569999999999993</v>
      </c>
    </row>
    <row r="595" spans="1:5" x14ac:dyDescent="0.25">
      <c r="A595" s="91" t="s">
        <v>8737</v>
      </c>
      <c r="B595" s="138">
        <v>1869.73</v>
      </c>
      <c r="C595" s="138">
        <v>720.4</v>
      </c>
      <c r="D595" s="138"/>
      <c r="E595" s="138">
        <v>2590.13</v>
      </c>
    </row>
    <row r="596" spans="1:5" x14ac:dyDescent="0.25">
      <c r="A596" s="91" t="s">
        <v>8738</v>
      </c>
      <c r="B596" s="138">
        <v>2040</v>
      </c>
      <c r="C596" s="138">
        <v>0</v>
      </c>
      <c r="D596" s="138"/>
      <c r="E596" s="138">
        <v>2040</v>
      </c>
    </row>
    <row r="597" spans="1:5" x14ac:dyDescent="0.25">
      <c r="A597" s="91" t="s">
        <v>8195</v>
      </c>
      <c r="B597" s="138">
        <v>23.3</v>
      </c>
      <c r="C597" s="138">
        <v>0</v>
      </c>
      <c r="D597" s="138">
        <v>233</v>
      </c>
      <c r="E597" s="138">
        <v>256.3</v>
      </c>
    </row>
    <row r="598" spans="1:5" x14ac:dyDescent="0.25">
      <c r="A598" s="91" t="s">
        <v>7645</v>
      </c>
      <c r="B598" s="138">
        <v>0</v>
      </c>
      <c r="C598" s="138">
        <v>14123.08</v>
      </c>
      <c r="D598" s="138">
        <v>12000</v>
      </c>
      <c r="E598" s="138">
        <v>26123.08</v>
      </c>
    </row>
    <row r="599" spans="1:5" x14ac:dyDescent="0.25">
      <c r="A599" s="91" t="s">
        <v>7719</v>
      </c>
      <c r="B599" s="138">
        <v>0</v>
      </c>
      <c r="C599" s="138">
        <v>26949.360000000001</v>
      </c>
      <c r="D599" s="138">
        <v>37000</v>
      </c>
      <c r="E599" s="138">
        <v>63949.36</v>
      </c>
    </row>
    <row r="600" spans="1:5" x14ac:dyDescent="0.25">
      <c r="A600" s="91" t="s">
        <v>8739</v>
      </c>
      <c r="B600" s="138">
        <v>0</v>
      </c>
      <c r="C600" s="138">
        <v>2280.84</v>
      </c>
      <c r="D600" s="138"/>
      <c r="E600" s="138">
        <v>2280.84</v>
      </c>
    </row>
    <row r="601" spans="1:5" x14ac:dyDescent="0.25">
      <c r="A601" s="91" t="s">
        <v>8740</v>
      </c>
      <c r="B601" s="138">
        <v>0</v>
      </c>
      <c r="C601" s="138">
        <v>807.33</v>
      </c>
      <c r="D601" s="138"/>
      <c r="E601" s="138">
        <v>807.33</v>
      </c>
    </row>
    <row r="602" spans="1:5" x14ac:dyDescent="0.25">
      <c r="A602" s="91" t="s">
        <v>8741</v>
      </c>
      <c r="B602" s="138">
        <v>0</v>
      </c>
      <c r="C602" s="138">
        <v>595.55999999999995</v>
      </c>
      <c r="D602" s="138"/>
      <c r="E602" s="138">
        <v>595.55999999999995</v>
      </c>
    </row>
    <row r="603" spans="1:5" x14ac:dyDescent="0.25">
      <c r="A603" s="91" t="s">
        <v>8742</v>
      </c>
      <c r="B603" s="138">
        <v>0</v>
      </c>
      <c r="C603" s="138">
        <v>20.53</v>
      </c>
      <c r="D603" s="138"/>
      <c r="E603" s="138">
        <v>20.53</v>
      </c>
    </row>
    <row r="604" spans="1:5" x14ac:dyDescent="0.25">
      <c r="A604" s="91" t="s">
        <v>8743</v>
      </c>
      <c r="B604" s="138">
        <v>0</v>
      </c>
      <c r="C604" s="138">
        <v>776.58</v>
      </c>
      <c r="D604" s="138"/>
      <c r="E604" s="138">
        <v>776.58</v>
      </c>
    </row>
    <row r="605" spans="1:5" x14ac:dyDescent="0.25">
      <c r="A605" s="91" t="s">
        <v>7720</v>
      </c>
      <c r="B605" s="138">
        <v>0</v>
      </c>
      <c r="C605" s="138">
        <v>2160.42</v>
      </c>
      <c r="D605" s="138"/>
      <c r="E605" s="138">
        <v>2160.42</v>
      </c>
    </row>
    <row r="606" spans="1:5" x14ac:dyDescent="0.25">
      <c r="A606" s="91" t="s">
        <v>8744</v>
      </c>
      <c r="B606" s="138">
        <v>0</v>
      </c>
      <c r="C606" s="138">
        <v>348.9</v>
      </c>
      <c r="D606" s="138"/>
      <c r="E606" s="138">
        <v>348.9</v>
      </c>
    </row>
    <row r="607" spans="1:5" x14ac:dyDescent="0.25">
      <c r="A607" s="91" t="s">
        <v>8745</v>
      </c>
      <c r="B607" s="138">
        <v>0</v>
      </c>
      <c r="C607" s="138">
        <v>31.32</v>
      </c>
      <c r="D607" s="138"/>
      <c r="E607" s="138">
        <v>31.32</v>
      </c>
    </row>
    <row r="608" spans="1:5" x14ac:dyDescent="0.25">
      <c r="A608" s="91" t="s">
        <v>8746</v>
      </c>
      <c r="B608" s="138">
        <v>0</v>
      </c>
      <c r="C608" s="138">
        <v>1.08</v>
      </c>
      <c r="D608" s="138"/>
      <c r="E608" s="138">
        <v>1.08</v>
      </c>
    </row>
    <row r="609" spans="1:5" x14ac:dyDescent="0.25">
      <c r="A609" s="91" t="s">
        <v>8747</v>
      </c>
      <c r="B609" s="138">
        <v>0</v>
      </c>
      <c r="C609" s="138">
        <v>40.86</v>
      </c>
      <c r="D609" s="138"/>
      <c r="E609" s="138">
        <v>40.86</v>
      </c>
    </row>
    <row r="610" spans="1:5" x14ac:dyDescent="0.25">
      <c r="A610" s="91" t="s">
        <v>8748</v>
      </c>
      <c r="B610" s="138">
        <v>87576</v>
      </c>
      <c r="C610" s="138">
        <v>71655.570000000007</v>
      </c>
      <c r="D610" s="138"/>
      <c r="E610" s="138">
        <v>159231.57</v>
      </c>
    </row>
    <row r="611" spans="1:5" x14ac:dyDescent="0.25">
      <c r="A611" s="91" t="s">
        <v>7646</v>
      </c>
      <c r="B611" s="138">
        <v>4293</v>
      </c>
      <c r="C611" s="138">
        <v>2864.5</v>
      </c>
      <c r="D611" s="138">
        <v>4293</v>
      </c>
      <c r="E611" s="138">
        <v>11450.5</v>
      </c>
    </row>
    <row r="612" spans="1:5" x14ac:dyDescent="0.25">
      <c r="A612" s="91" t="s">
        <v>7721</v>
      </c>
      <c r="B612" s="138">
        <v>176100</v>
      </c>
      <c r="C612" s="138">
        <v>132043.07999999999</v>
      </c>
      <c r="D612" s="138">
        <v>176100</v>
      </c>
      <c r="E612" s="138">
        <v>484243.07999999996</v>
      </c>
    </row>
    <row r="613" spans="1:5" x14ac:dyDescent="0.25">
      <c r="A613" s="91" t="s">
        <v>8749</v>
      </c>
      <c r="B613" s="138">
        <v>28110</v>
      </c>
      <c r="C613" s="138">
        <v>23424.93</v>
      </c>
      <c r="D613" s="138"/>
      <c r="E613" s="138">
        <v>51534.93</v>
      </c>
    </row>
    <row r="614" spans="1:5" x14ac:dyDescent="0.25">
      <c r="A614" s="91" t="s">
        <v>7867</v>
      </c>
      <c r="B614" s="138">
        <v>1394</v>
      </c>
      <c r="C614" s="138">
        <v>0</v>
      </c>
      <c r="D614" s="138">
        <v>7700</v>
      </c>
      <c r="E614" s="138">
        <v>9094</v>
      </c>
    </row>
    <row r="615" spans="1:5" x14ac:dyDescent="0.25">
      <c r="A615" s="91" t="s">
        <v>8750</v>
      </c>
      <c r="B615" s="138">
        <v>43276.99</v>
      </c>
      <c r="C615" s="138">
        <v>28180.81</v>
      </c>
      <c r="D615" s="138"/>
      <c r="E615" s="138">
        <v>71457.8</v>
      </c>
    </row>
    <row r="616" spans="1:5" x14ac:dyDescent="0.25">
      <c r="A616" s="91" t="s">
        <v>8751</v>
      </c>
      <c r="B616" s="138">
        <v>5818.77</v>
      </c>
      <c r="C616" s="138">
        <v>4797.29</v>
      </c>
      <c r="D616" s="138"/>
      <c r="E616" s="138">
        <v>10616.060000000001</v>
      </c>
    </row>
    <row r="617" spans="1:5" x14ac:dyDescent="0.25">
      <c r="A617" s="91" t="s">
        <v>8752</v>
      </c>
      <c r="B617" s="138">
        <v>1742.82</v>
      </c>
      <c r="C617" s="138">
        <v>3442.16</v>
      </c>
      <c r="D617" s="138"/>
      <c r="E617" s="138">
        <v>5184.9799999999996</v>
      </c>
    </row>
    <row r="618" spans="1:5" x14ac:dyDescent="0.25">
      <c r="A618" s="91" t="s">
        <v>8753</v>
      </c>
      <c r="B618" s="138">
        <v>86.43</v>
      </c>
      <c r="C618" s="138">
        <v>0</v>
      </c>
      <c r="D618" s="138"/>
      <c r="E618" s="138">
        <v>86.43</v>
      </c>
    </row>
    <row r="619" spans="1:5" x14ac:dyDescent="0.25">
      <c r="A619" s="91" t="s">
        <v>8754</v>
      </c>
      <c r="B619" s="138">
        <v>4293.1499999999996</v>
      </c>
      <c r="C619" s="138">
        <v>3334.89</v>
      </c>
      <c r="D619" s="138"/>
      <c r="E619" s="138">
        <v>7628.0399999999991</v>
      </c>
    </row>
    <row r="620" spans="1:5" x14ac:dyDescent="0.25">
      <c r="A620" s="91" t="s">
        <v>8755</v>
      </c>
      <c r="B620" s="138">
        <v>20.21</v>
      </c>
      <c r="C620" s="138">
        <v>0</v>
      </c>
      <c r="D620" s="138"/>
      <c r="E620" s="138">
        <v>20.21</v>
      </c>
    </row>
    <row r="621" spans="1:5" x14ac:dyDescent="0.25">
      <c r="A621" s="91" t="s">
        <v>8756</v>
      </c>
      <c r="B621" s="138">
        <v>23938.65</v>
      </c>
      <c r="C621" s="138">
        <v>19305.849999999999</v>
      </c>
      <c r="D621" s="138"/>
      <c r="E621" s="138">
        <v>43244.5</v>
      </c>
    </row>
    <row r="622" spans="1:5" x14ac:dyDescent="0.25">
      <c r="A622" s="91" t="s">
        <v>8757</v>
      </c>
      <c r="B622" s="138">
        <v>148.05000000000001</v>
      </c>
      <c r="C622" s="138">
        <v>115.01</v>
      </c>
      <c r="D622" s="138"/>
      <c r="E622" s="138">
        <v>263.06</v>
      </c>
    </row>
    <row r="623" spans="1:5" x14ac:dyDescent="0.25">
      <c r="A623" s="91" t="s">
        <v>8758</v>
      </c>
      <c r="B623" s="138">
        <v>0.7</v>
      </c>
      <c r="C623" s="138">
        <v>0</v>
      </c>
      <c r="D623" s="138"/>
      <c r="E623" s="138">
        <v>0.7</v>
      </c>
    </row>
    <row r="624" spans="1:5" x14ac:dyDescent="0.25">
      <c r="A624" s="91" t="s">
        <v>8759</v>
      </c>
      <c r="B624" s="138">
        <v>5598.26</v>
      </c>
      <c r="C624" s="138">
        <v>4349.78</v>
      </c>
      <c r="D624" s="138"/>
      <c r="E624" s="138">
        <v>9948.0400000000009</v>
      </c>
    </row>
    <row r="625" spans="1:5" x14ac:dyDescent="0.25">
      <c r="A625" s="91" t="s">
        <v>8760</v>
      </c>
      <c r="B625" s="138">
        <v>26.36</v>
      </c>
      <c r="C625" s="138">
        <v>0</v>
      </c>
      <c r="D625" s="138"/>
      <c r="E625" s="138">
        <v>26.36</v>
      </c>
    </row>
    <row r="626" spans="1:5" x14ac:dyDescent="0.25">
      <c r="A626" s="91" t="s">
        <v>8761</v>
      </c>
      <c r="B626" s="138">
        <v>2400</v>
      </c>
      <c r="C626" s="138">
        <v>1745.44</v>
      </c>
      <c r="D626" s="138"/>
      <c r="E626" s="138">
        <v>4145.4400000000005</v>
      </c>
    </row>
    <row r="627" spans="1:5" x14ac:dyDescent="0.25">
      <c r="A627" s="91" t="s">
        <v>7933</v>
      </c>
      <c r="B627" s="138">
        <v>1775</v>
      </c>
      <c r="C627" s="138">
        <v>-1.49</v>
      </c>
      <c r="D627" s="138">
        <v>3975</v>
      </c>
      <c r="E627" s="138">
        <v>5748.51</v>
      </c>
    </row>
    <row r="628" spans="1:5" x14ac:dyDescent="0.25">
      <c r="A628" s="91" t="s">
        <v>8196</v>
      </c>
      <c r="B628" s="138">
        <v>25</v>
      </c>
      <c r="C628" s="138">
        <v>0</v>
      </c>
      <c r="D628" s="138">
        <v>600</v>
      </c>
      <c r="E628" s="138">
        <v>625</v>
      </c>
    </row>
    <row r="629" spans="1:5" x14ac:dyDescent="0.25">
      <c r="A629" s="91" t="s">
        <v>8316</v>
      </c>
      <c r="B629" s="138">
        <v>10</v>
      </c>
      <c r="C629" s="138">
        <v>0</v>
      </c>
      <c r="D629" s="138">
        <v>10</v>
      </c>
      <c r="E629" s="138">
        <v>20</v>
      </c>
    </row>
    <row r="630" spans="1:5" x14ac:dyDescent="0.25">
      <c r="A630" s="91" t="s">
        <v>8373</v>
      </c>
      <c r="B630" s="138">
        <v>200</v>
      </c>
      <c r="C630" s="138">
        <v>0</v>
      </c>
      <c r="D630" s="138">
        <v>2500</v>
      </c>
      <c r="E630" s="138">
        <v>2700</v>
      </c>
    </row>
    <row r="631" spans="1:5" x14ac:dyDescent="0.25">
      <c r="A631" s="91" t="s">
        <v>8762</v>
      </c>
      <c r="B631" s="138">
        <v>105451</v>
      </c>
      <c r="C631" s="138">
        <v>86278.14</v>
      </c>
      <c r="D631" s="138"/>
      <c r="E631" s="138">
        <v>191729.14</v>
      </c>
    </row>
    <row r="632" spans="1:5" x14ac:dyDescent="0.25">
      <c r="A632" s="91" t="s">
        <v>7647</v>
      </c>
      <c r="B632" s="138">
        <v>4293</v>
      </c>
      <c r="C632" s="138">
        <v>1289.04</v>
      </c>
      <c r="D632" s="138">
        <v>4443.2550000000001</v>
      </c>
      <c r="E632" s="138">
        <v>10025.295</v>
      </c>
    </row>
    <row r="633" spans="1:5" x14ac:dyDescent="0.25">
      <c r="A633" s="91" t="s">
        <v>7722</v>
      </c>
      <c r="B633" s="138">
        <v>123560</v>
      </c>
      <c r="C633" s="138">
        <v>124742.43</v>
      </c>
      <c r="D633" s="138">
        <v>123560</v>
      </c>
      <c r="E633" s="138">
        <v>371862.43</v>
      </c>
    </row>
    <row r="634" spans="1:5" x14ac:dyDescent="0.25">
      <c r="A634" s="91" t="s">
        <v>7887</v>
      </c>
      <c r="B634" s="138">
        <v>5000</v>
      </c>
      <c r="C634" s="138">
        <v>5009.13</v>
      </c>
      <c r="D634" s="138">
        <v>10350</v>
      </c>
      <c r="E634" s="138">
        <v>20359.13</v>
      </c>
    </row>
    <row r="635" spans="1:5" x14ac:dyDescent="0.25">
      <c r="A635" s="91" t="s">
        <v>8763</v>
      </c>
      <c r="B635" s="138">
        <v>37678.6</v>
      </c>
      <c r="C635" s="138">
        <v>28165.57</v>
      </c>
      <c r="D635" s="138"/>
      <c r="E635" s="138">
        <v>65844.17</v>
      </c>
    </row>
    <row r="636" spans="1:5" x14ac:dyDescent="0.25">
      <c r="A636" s="91" t="s">
        <v>8764</v>
      </c>
      <c r="B636" s="138">
        <v>310</v>
      </c>
      <c r="C636" s="138">
        <v>2660.95</v>
      </c>
      <c r="D636" s="138"/>
      <c r="E636" s="138">
        <v>2970.95</v>
      </c>
    </row>
    <row r="637" spans="1:5" x14ac:dyDescent="0.25">
      <c r="A637" s="91" t="s">
        <v>8765</v>
      </c>
      <c r="B637" s="138">
        <v>3455.41</v>
      </c>
      <c r="C637" s="138">
        <v>3138.96</v>
      </c>
      <c r="D637" s="138"/>
      <c r="E637" s="138">
        <v>6594.37</v>
      </c>
    </row>
    <row r="638" spans="1:5" x14ac:dyDescent="0.25">
      <c r="A638" s="91" t="s">
        <v>8766</v>
      </c>
      <c r="B638" s="138">
        <v>33121.43</v>
      </c>
      <c r="C638" s="138">
        <v>26666.240000000002</v>
      </c>
      <c r="D638" s="138"/>
      <c r="E638" s="138">
        <v>59787.67</v>
      </c>
    </row>
    <row r="639" spans="1:5" x14ac:dyDescent="0.25">
      <c r="A639" s="91" t="s">
        <v>8767</v>
      </c>
      <c r="B639" s="138">
        <v>119.16</v>
      </c>
      <c r="C639" s="138">
        <v>108.69</v>
      </c>
      <c r="D639" s="138"/>
      <c r="E639" s="138">
        <v>227.85</v>
      </c>
    </row>
    <row r="640" spans="1:5" x14ac:dyDescent="0.25">
      <c r="A640" s="91" t="s">
        <v>8768</v>
      </c>
      <c r="B640" s="138">
        <v>4505.8500000000004</v>
      </c>
      <c r="C640" s="138">
        <v>4109.08</v>
      </c>
      <c r="D640" s="138"/>
      <c r="E640" s="138">
        <v>8614.93</v>
      </c>
    </row>
    <row r="641" spans="1:5" x14ac:dyDescent="0.25">
      <c r="A641" s="91" t="s">
        <v>7934</v>
      </c>
      <c r="B641" s="138">
        <v>880</v>
      </c>
      <c r="C641" s="138">
        <v>1738.5900000000001</v>
      </c>
      <c r="D641" s="138">
        <v>3000</v>
      </c>
      <c r="E641" s="138">
        <v>5618.59</v>
      </c>
    </row>
    <row r="642" spans="1:5" x14ac:dyDescent="0.25">
      <c r="A642" s="91" t="s">
        <v>8197</v>
      </c>
      <c r="B642" s="138">
        <v>26.05</v>
      </c>
      <c r="C642" s="138">
        <v>1.1599999999999999</v>
      </c>
      <c r="D642" s="138">
        <v>600</v>
      </c>
      <c r="E642" s="138">
        <v>627.21</v>
      </c>
    </row>
    <row r="643" spans="1:5" x14ac:dyDescent="0.25">
      <c r="A643" s="91" t="s">
        <v>8317</v>
      </c>
      <c r="B643" s="138">
        <v>500</v>
      </c>
      <c r="C643" s="138">
        <v>0</v>
      </c>
      <c r="D643" s="138">
        <v>3000</v>
      </c>
      <c r="E643" s="138">
        <v>3500</v>
      </c>
    </row>
    <row r="644" spans="1:5" x14ac:dyDescent="0.25">
      <c r="A644" s="91" t="s">
        <v>8769</v>
      </c>
      <c r="B644" s="138">
        <v>102880</v>
      </c>
      <c r="C644" s="138">
        <v>9352.73</v>
      </c>
      <c r="D644" s="138"/>
      <c r="E644" s="138">
        <v>112232.73</v>
      </c>
    </row>
    <row r="645" spans="1:5" x14ac:dyDescent="0.25">
      <c r="A645" s="91" t="s">
        <v>7648</v>
      </c>
      <c r="B645" s="138">
        <v>23246</v>
      </c>
      <c r="C645" s="138">
        <v>11574.27</v>
      </c>
      <c r="D645" s="138">
        <v>23246</v>
      </c>
      <c r="E645" s="138">
        <v>58066.270000000004</v>
      </c>
    </row>
    <row r="646" spans="1:5" x14ac:dyDescent="0.25">
      <c r="A646" s="91" t="s">
        <v>7723</v>
      </c>
      <c r="B646" s="138">
        <v>120985</v>
      </c>
      <c r="C646" s="138">
        <v>70953.039999999994</v>
      </c>
      <c r="D646" s="138">
        <v>120000</v>
      </c>
      <c r="E646" s="138">
        <v>311938.03999999998</v>
      </c>
    </row>
    <row r="647" spans="1:5" x14ac:dyDescent="0.25">
      <c r="A647" s="91" t="s">
        <v>7854</v>
      </c>
      <c r="B647" s="138">
        <v>435</v>
      </c>
      <c r="C647" s="138">
        <v>0</v>
      </c>
      <c r="D647" s="138">
        <v>435</v>
      </c>
      <c r="E647" s="138">
        <v>870</v>
      </c>
    </row>
    <row r="648" spans="1:5" x14ac:dyDescent="0.25">
      <c r="A648" s="91" t="s">
        <v>7868</v>
      </c>
      <c r="B648" s="138">
        <v>1500</v>
      </c>
      <c r="C648" s="138">
        <v>0</v>
      </c>
      <c r="D648" s="138">
        <v>1500</v>
      </c>
      <c r="E648" s="138">
        <v>3000</v>
      </c>
    </row>
    <row r="649" spans="1:5" x14ac:dyDescent="0.25">
      <c r="A649" s="91" t="s">
        <v>8770</v>
      </c>
      <c r="B649" s="138">
        <v>39908.43</v>
      </c>
      <c r="C649" s="138">
        <v>13471.46</v>
      </c>
      <c r="D649" s="138"/>
      <c r="E649" s="138">
        <v>53379.89</v>
      </c>
    </row>
    <row r="650" spans="1:5" x14ac:dyDescent="0.25">
      <c r="A650" s="91" t="s">
        <v>8771</v>
      </c>
      <c r="B650" s="138">
        <v>0</v>
      </c>
      <c r="C650" s="138">
        <v>218.18</v>
      </c>
      <c r="D650" s="138"/>
      <c r="E650" s="138">
        <v>218.18</v>
      </c>
    </row>
    <row r="651" spans="1:5" x14ac:dyDescent="0.25">
      <c r="A651" s="91" t="s">
        <v>8772</v>
      </c>
      <c r="B651" s="138">
        <v>93</v>
      </c>
      <c r="C651" s="138">
        <v>0</v>
      </c>
      <c r="D651" s="138"/>
      <c r="E651" s="138">
        <v>93</v>
      </c>
    </row>
    <row r="652" spans="1:5" x14ac:dyDescent="0.25">
      <c r="A652" s="91" t="s">
        <v>8773</v>
      </c>
      <c r="B652" s="138">
        <v>3583.11</v>
      </c>
      <c r="C652" s="138">
        <v>1330.84</v>
      </c>
      <c r="D652" s="138"/>
      <c r="E652" s="138">
        <v>4913.95</v>
      </c>
    </row>
    <row r="653" spans="1:5" x14ac:dyDescent="0.25">
      <c r="A653" s="91" t="s">
        <v>8774</v>
      </c>
      <c r="B653" s="138">
        <v>21.75</v>
      </c>
      <c r="C653" s="138">
        <v>0</v>
      </c>
      <c r="D653" s="138"/>
      <c r="E653" s="138">
        <v>21.75</v>
      </c>
    </row>
    <row r="654" spans="1:5" x14ac:dyDescent="0.25">
      <c r="A654" s="91" t="s">
        <v>8775</v>
      </c>
      <c r="B654" s="138">
        <v>33121.43</v>
      </c>
      <c r="C654" s="138">
        <v>3057.63</v>
      </c>
      <c r="D654" s="138"/>
      <c r="E654" s="138">
        <v>36179.06</v>
      </c>
    </row>
    <row r="655" spans="1:5" x14ac:dyDescent="0.25">
      <c r="A655" s="91" t="s">
        <v>8776</v>
      </c>
      <c r="B655" s="138">
        <v>123.55</v>
      </c>
      <c r="C655" s="138">
        <v>46</v>
      </c>
      <c r="D655" s="138"/>
      <c r="E655" s="138">
        <v>169.55</v>
      </c>
    </row>
    <row r="656" spans="1:5" x14ac:dyDescent="0.25">
      <c r="A656" s="91" t="s">
        <v>8777</v>
      </c>
      <c r="B656" s="138">
        <v>0.75</v>
      </c>
      <c r="C656" s="138">
        <v>0</v>
      </c>
      <c r="D656" s="138"/>
      <c r="E656" s="138">
        <v>0.75</v>
      </c>
    </row>
    <row r="657" spans="1:5" x14ac:dyDescent="0.25">
      <c r="A657" s="91" t="s">
        <v>8778</v>
      </c>
      <c r="B657" s="138">
        <v>4672.38</v>
      </c>
      <c r="C657" s="138">
        <v>1737.31</v>
      </c>
      <c r="D657" s="138"/>
      <c r="E657" s="138">
        <v>6409.6900000000005</v>
      </c>
    </row>
    <row r="658" spans="1:5" x14ac:dyDescent="0.25">
      <c r="A658" s="91" t="s">
        <v>8779</v>
      </c>
      <c r="B658" s="138">
        <v>36.58</v>
      </c>
      <c r="C658" s="138">
        <v>0</v>
      </c>
      <c r="D658" s="138"/>
      <c r="E658" s="138">
        <v>36.58</v>
      </c>
    </row>
    <row r="659" spans="1:5" x14ac:dyDescent="0.25">
      <c r="A659" s="91" t="s">
        <v>8011</v>
      </c>
      <c r="B659" s="138">
        <v>1420</v>
      </c>
      <c r="C659" s="138">
        <v>1420</v>
      </c>
      <c r="D659" s="138">
        <v>1420</v>
      </c>
      <c r="E659" s="138">
        <v>4260</v>
      </c>
    </row>
    <row r="660" spans="1:5" x14ac:dyDescent="0.25">
      <c r="A660" s="91" t="s">
        <v>8048</v>
      </c>
      <c r="B660" s="138">
        <v>0</v>
      </c>
      <c r="C660" s="138">
        <v>0</v>
      </c>
      <c r="D660" s="138">
        <v>2000</v>
      </c>
      <c r="E660" s="138">
        <v>2000</v>
      </c>
    </row>
    <row r="661" spans="1:5" x14ac:dyDescent="0.25">
      <c r="A661" s="91" t="s">
        <v>8086</v>
      </c>
      <c r="B661" s="138">
        <v>0</v>
      </c>
      <c r="C661" s="138">
        <v>0</v>
      </c>
      <c r="D661" s="138">
        <v>200</v>
      </c>
      <c r="E661" s="138">
        <v>200</v>
      </c>
    </row>
    <row r="662" spans="1:5" x14ac:dyDescent="0.25">
      <c r="A662" s="91" t="s">
        <v>8198</v>
      </c>
      <c r="B662" s="138">
        <v>0</v>
      </c>
      <c r="C662" s="138">
        <v>0</v>
      </c>
      <c r="D662" s="138">
        <v>600</v>
      </c>
      <c r="E662" s="138">
        <v>600</v>
      </c>
    </row>
    <row r="663" spans="1:5" x14ac:dyDescent="0.25">
      <c r="A663" s="91" t="s">
        <v>8395</v>
      </c>
      <c r="B663" s="138"/>
      <c r="C663" s="138"/>
      <c r="D663" s="138">
        <v>2000</v>
      </c>
      <c r="E663" s="138">
        <v>2000</v>
      </c>
    </row>
    <row r="664" spans="1:5" x14ac:dyDescent="0.25">
      <c r="A664" s="91" t="s">
        <v>8396</v>
      </c>
      <c r="B664" s="138">
        <v>0</v>
      </c>
      <c r="C664" s="138">
        <v>0</v>
      </c>
      <c r="D664" s="138"/>
      <c r="E664" s="138">
        <v>0</v>
      </c>
    </row>
    <row r="665" spans="1:5" x14ac:dyDescent="0.25">
      <c r="A665" s="91" t="s">
        <v>7649</v>
      </c>
      <c r="B665" s="138">
        <v>4293</v>
      </c>
      <c r="C665" s="138">
        <v>6546.65</v>
      </c>
      <c r="D665" s="138">
        <v>7000</v>
      </c>
      <c r="E665" s="138">
        <v>17839.650000000001</v>
      </c>
    </row>
    <row r="666" spans="1:5" x14ac:dyDescent="0.25">
      <c r="A666" s="91" t="s">
        <v>7724</v>
      </c>
      <c r="B666" s="138">
        <v>55907</v>
      </c>
      <c r="C666" s="138">
        <v>26648.06</v>
      </c>
      <c r="D666" s="138">
        <v>40000</v>
      </c>
      <c r="E666" s="138">
        <v>122555.06</v>
      </c>
    </row>
    <row r="667" spans="1:5" x14ac:dyDescent="0.25">
      <c r="A667" s="91" t="s">
        <v>8780</v>
      </c>
      <c r="B667" s="138">
        <v>28110</v>
      </c>
      <c r="C667" s="138">
        <v>23425.03</v>
      </c>
      <c r="D667" s="138"/>
      <c r="E667" s="138">
        <v>51535.03</v>
      </c>
    </row>
    <row r="668" spans="1:5" x14ac:dyDescent="0.25">
      <c r="A668" s="91" t="s">
        <v>8781</v>
      </c>
      <c r="B668" s="138">
        <v>9722.2999999999993</v>
      </c>
      <c r="C668" s="138">
        <v>5367.6</v>
      </c>
      <c r="D668" s="138"/>
      <c r="E668" s="138">
        <v>15089.9</v>
      </c>
    </row>
    <row r="669" spans="1:5" x14ac:dyDescent="0.25">
      <c r="A669" s="91" t="s">
        <v>8782</v>
      </c>
      <c r="B669" s="138">
        <v>5818.77</v>
      </c>
      <c r="C669" s="138">
        <v>4797.2</v>
      </c>
      <c r="D669" s="138"/>
      <c r="E669" s="138">
        <v>10615.970000000001</v>
      </c>
    </row>
    <row r="670" spans="1:5" x14ac:dyDescent="0.25">
      <c r="A670" s="91" t="s">
        <v>8783</v>
      </c>
      <c r="B670" s="138">
        <v>1742.82</v>
      </c>
      <c r="C670" s="138">
        <v>1453.86</v>
      </c>
      <c r="D670" s="138"/>
      <c r="E670" s="138">
        <v>3196.68</v>
      </c>
    </row>
    <row r="671" spans="1:5" x14ac:dyDescent="0.25">
      <c r="A671" s="91" t="s">
        <v>8784</v>
      </c>
      <c r="B671" s="138">
        <v>1280.5</v>
      </c>
      <c r="C671" s="138">
        <v>821.34</v>
      </c>
      <c r="D671" s="138"/>
      <c r="E671" s="138">
        <v>2101.84</v>
      </c>
    </row>
    <row r="672" spans="1:5" x14ac:dyDescent="0.25">
      <c r="A672" s="91" t="s">
        <v>8785</v>
      </c>
      <c r="B672" s="138">
        <v>6570.81</v>
      </c>
      <c r="C672" s="138">
        <v>5363.17</v>
      </c>
      <c r="D672" s="138"/>
      <c r="E672" s="138">
        <v>11933.98</v>
      </c>
    </row>
    <row r="673" spans="1:5" x14ac:dyDescent="0.25">
      <c r="A673" s="91" t="s">
        <v>8786</v>
      </c>
      <c r="B673" s="138">
        <v>44.16</v>
      </c>
      <c r="C673" s="138">
        <v>28.33</v>
      </c>
      <c r="D673" s="138"/>
      <c r="E673" s="138">
        <v>72.489999999999995</v>
      </c>
    </row>
    <row r="674" spans="1:5" x14ac:dyDescent="0.25">
      <c r="A674" s="91" t="s">
        <v>8787</v>
      </c>
      <c r="B674" s="138">
        <v>1669.76</v>
      </c>
      <c r="C674" s="138">
        <v>1071.68</v>
      </c>
      <c r="D674" s="138"/>
      <c r="E674" s="138">
        <v>2741.44</v>
      </c>
    </row>
    <row r="675" spans="1:5" x14ac:dyDescent="0.25">
      <c r="A675" s="91" t="s">
        <v>7935</v>
      </c>
      <c r="B675" s="138">
        <v>684</v>
      </c>
      <c r="C675" s="138">
        <v>0</v>
      </c>
      <c r="D675" s="138">
        <v>2500</v>
      </c>
      <c r="E675" s="138">
        <v>3184</v>
      </c>
    </row>
    <row r="676" spans="1:5" x14ac:dyDescent="0.25">
      <c r="A676" s="91" t="s">
        <v>8199</v>
      </c>
      <c r="B676" s="138">
        <v>25</v>
      </c>
      <c r="C676" s="138">
        <v>0</v>
      </c>
      <c r="D676" s="138">
        <v>600</v>
      </c>
      <c r="E676" s="138">
        <v>625</v>
      </c>
    </row>
    <row r="677" spans="1:5" x14ac:dyDescent="0.25">
      <c r="A677" s="91" t="s">
        <v>7650</v>
      </c>
      <c r="B677" s="138">
        <v>0</v>
      </c>
      <c r="C677" s="138">
        <v>7734.24</v>
      </c>
      <c r="D677" s="138">
        <v>7000</v>
      </c>
      <c r="E677" s="138">
        <v>14734.24</v>
      </c>
    </row>
    <row r="678" spans="1:5" x14ac:dyDescent="0.25">
      <c r="A678" s="91" t="s">
        <v>8788</v>
      </c>
      <c r="B678" s="138">
        <v>0</v>
      </c>
      <c r="C678" s="138">
        <v>977.81</v>
      </c>
      <c r="D678" s="138"/>
      <c r="E678" s="138">
        <v>977.81</v>
      </c>
    </row>
    <row r="679" spans="1:5" x14ac:dyDescent="0.25">
      <c r="A679" s="91" t="s">
        <v>8789</v>
      </c>
      <c r="B679" s="138">
        <v>0</v>
      </c>
      <c r="C679" s="138">
        <v>1249.08</v>
      </c>
      <c r="D679" s="138"/>
      <c r="E679" s="138">
        <v>1249.08</v>
      </c>
    </row>
    <row r="680" spans="1:5" x14ac:dyDescent="0.25">
      <c r="A680" s="91" t="s">
        <v>8790</v>
      </c>
      <c r="B680" s="138">
        <v>0</v>
      </c>
      <c r="C680" s="138">
        <v>192.83</v>
      </c>
      <c r="D680" s="138"/>
      <c r="E680" s="138">
        <v>192.83</v>
      </c>
    </row>
    <row r="681" spans="1:5" x14ac:dyDescent="0.25">
      <c r="A681" s="91" t="s">
        <v>8791</v>
      </c>
      <c r="B681" s="138">
        <v>0</v>
      </c>
      <c r="C681" s="138">
        <v>60.63</v>
      </c>
      <c r="D681" s="138"/>
      <c r="E681" s="138">
        <v>60.63</v>
      </c>
    </row>
    <row r="682" spans="1:5" x14ac:dyDescent="0.25">
      <c r="A682" s="91" t="s">
        <v>8792</v>
      </c>
      <c r="B682" s="138">
        <v>0</v>
      </c>
      <c r="C682" s="138">
        <v>126.32</v>
      </c>
      <c r="D682" s="138"/>
      <c r="E682" s="138">
        <v>126.32</v>
      </c>
    </row>
    <row r="683" spans="1:5" x14ac:dyDescent="0.25">
      <c r="A683" s="91" t="s">
        <v>8793</v>
      </c>
      <c r="B683" s="138">
        <v>0</v>
      </c>
      <c r="C683" s="138">
        <v>4.3600000000000003</v>
      </c>
      <c r="D683" s="138"/>
      <c r="E683" s="138">
        <v>4.3600000000000003</v>
      </c>
    </row>
    <row r="684" spans="1:5" x14ac:dyDescent="0.25">
      <c r="A684" s="91" t="s">
        <v>8794</v>
      </c>
      <c r="B684" s="138">
        <v>0</v>
      </c>
      <c r="C684" s="138">
        <v>164.74</v>
      </c>
      <c r="D684" s="138"/>
      <c r="E684" s="138">
        <v>164.74</v>
      </c>
    </row>
    <row r="685" spans="1:5" x14ac:dyDescent="0.25">
      <c r="A685" s="91" t="s">
        <v>8200</v>
      </c>
      <c r="B685" s="138">
        <v>0</v>
      </c>
      <c r="C685" s="138">
        <v>62.74</v>
      </c>
      <c r="D685" s="138">
        <v>600</v>
      </c>
      <c r="E685" s="138">
        <v>662.74</v>
      </c>
    </row>
    <row r="686" spans="1:5" x14ac:dyDescent="0.25">
      <c r="A686" s="91" t="s">
        <v>8087</v>
      </c>
      <c r="B686" s="138">
        <v>5000</v>
      </c>
      <c r="C686" s="138">
        <v>0</v>
      </c>
      <c r="D686" s="138">
        <v>5000</v>
      </c>
      <c r="E686" s="138">
        <v>10000</v>
      </c>
    </row>
    <row r="687" spans="1:5" x14ac:dyDescent="0.25">
      <c r="A687" s="91" t="s">
        <v>8795</v>
      </c>
      <c r="B687" s="138">
        <v>85006</v>
      </c>
      <c r="C687" s="138">
        <v>69550.38</v>
      </c>
      <c r="D687" s="138"/>
      <c r="E687" s="138">
        <v>154556.38</v>
      </c>
    </row>
    <row r="688" spans="1:5" x14ac:dyDescent="0.25">
      <c r="A688" s="91" t="s">
        <v>7651</v>
      </c>
      <c r="B688" s="138">
        <v>25758</v>
      </c>
      <c r="C688" s="138">
        <v>9858.7999999999993</v>
      </c>
      <c r="D688" s="138">
        <v>20000</v>
      </c>
      <c r="E688" s="138">
        <v>55616.800000000003</v>
      </c>
    </row>
    <row r="689" spans="1:5" x14ac:dyDescent="0.25">
      <c r="A689" s="91" t="s">
        <v>7725</v>
      </c>
      <c r="B689" s="138">
        <v>3000</v>
      </c>
      <c r="C689" s="138">
        <v>0</v>
      </c>
      <c r="D689" s="138">
        <v>8000</v>
      </c>
      <c r="E689" s="138">
        <v>11000</v>
      </c>
    </row>
    <row r="690" spans="1:5" x14ac:dyDescent="0.25">
      <c r="A690" s="91" t="s">
        <v>7786</v>
      </c>
      <c r="B690" s="138">
        <v>4000</v>
      </c>
      <c r="C690" s="138">
        <v>0</v>
      </c>
      <c r="D690" s="138">
        <v>4000</v>
      </c>
      <c r="E690" s="138">
        <v>8000</v>
      </c>
    </row>
    <row r="691" spans="1:5" x14ac:dyDescent="0.25">
      <c r="A691" s="91" t="s">
        <v>8796</v>
      </c>
      <c r="B691" s="138">
        <v>18372.89</v>
      </c>
      <c r="C691" s="138">
        <v>12824.57</v>
      </c>
      <c r="D691" s="138"/>
      <c r="E691" s="138">
        <v>31197.46</v>
      </c>
    </row>
    <row r="692" spans="1:5" x14ac:dyDescent="0.25">
      <c r="A692" s="91" t="s">
        <v>8797</v>
      </c>
      <c r="B692" s="138">
        <v>646</v>
      </c>
      <c r="C692" s="138">
        <v>0</v>
      </c>
      <c r="D692" s="138"/>
      <c r="E692" s="138">
        <v>646</v>
      </c>
    </row>
    <row r="693" spans="1:5" x14ac:dyDescent="0.25">
      <c r="A693" s="91" t="s">
        <v>8798</v>
      </c>
      <c r="B693" s="138">
        <v>1649.58</v>
      </c>
      <c r="C693" s="138">
        <v>1144.68</v>
      </c>
      <c r="D693" s="138"/>
      <c r="E693" s="138">
        <v>2794.26</v>
      </c>
    </row>
    <row r="694" spans="1:5" x14ac:dyDescent="0.25">
      <c r="A694" s="91" t="s">
        <v>8799</v>
      </c>
      <c r="B694" s="138">
        <v>58</v>
      </c>
      <c r="C694" s="138">
        <v>0</v>
      </c>
      <c r="D694" s="138"/>
      <c r="E694" s="138">
        <v>58</v>
      </c>
    </row>
    <row r="695" spans="1:5" x14ac:dyDescent="0.25">
      <c r="A695" s="91" t="s">
        <v>8800</v>
      </c>
      <c r="B695" s="138">
        <v>25240.73</v>
      </c>
      <c r="C695" s="138">
        <v>20318.509999999998</v>
      </c>
      <c r="D695" s="138"/>
      <c r="E695" s="138">
        <v>45559.24</v>
      </c>
    </row>
    <row r="696" spans="1:5" x14ac:dyDescent="0.25">
      <c r="A696" s="91" t="s">
        <v>8801</v>
      </c>
      <c r="B696" s="138">
        <v>56.88</v>
      </c>
      <c r="C696" s="138">
        <v>39.67</v>
      </c>
      <c r="D696" s="138"/>
      <c r="E696" s="138">
        <v>96.550000000000011</v>
      </c>
    </row>
    <row r="697" spans="1:5" x14ac:dyDescent="0.25">
      <c r="A697" s="91" t="s">
        <v>8802</v>
      </c>
      <c r="B697" s="138">
        <v>2</v>
      </c>
      <c r="C697" s="138">
        <v>0</v>
      </c>
      <c r="D697" s="138"/>
      <c r="E697" s="138">
        <v>2</v>
      </c>
    </row>
    <row r="698" spans="1:5" x14ac:dyDescent="0.25">
      <c r="A698" s="91" t="s">
        <v>8803</v>
      </c>
      <c r="B698" s="138">
        <v>2151.04</v>
      </c>
      <c r="C698" s="138">
        <v>1501.49</v>
      </c>
      <c r="D698" s="138"/>
      <c r="E698" s="138">
        <v>3652.5299999999997</v>
      </c>
    </row>
    <row r="699" spans="1:5" x14ac:dyDescent="0.25">
      <c r="A699" s="91" t="s">
        <v>8804</v>
      </c>
      <c r="B699" s="138">
        <v>75.63</v>
      </c>
      <c r="C699" s="138">
        <v>0</v>
      </c>
      <c r="D699" s="138"/>
      <c r="E699" s="138">
        <v>75.63</v>
      </c>
    </row>
    <row r="700" spans="1:5" x14ac:dyDescent="0.25">
      <c r="A700" s="91" t="s">
        <v>8201</v>
      </c>
      <c r="B700" s="138">
        <v>25</v>
      </c>
      <c r="C700" s="138">
        <v>0</v>
      </c>
      <c r="D700" s="138">
        <v>600</v>
      </c>
      <c r="E700" s="138">
        <v>625</v>
      </c>
    </row>
    <row r="701" spans="1:5" x14ac:dyDescent="0.25">
      <c r="A701" s="91" t="s">
        <v>8805</v>
      </c>
      <c r="B701" s="138">
        <v>195597</v>
      </c>
      <c r="C701" s="138">
        <v>126434.4</v>
      </c>
      <c r="D701" s="138"/>
      <c r="E701" s="138">
        <v>322031.40000000002</v>
      </c>
    </row>
    <row r="702" spans="1:5" x14ac:dyDescent="0.25">
      <c r="A702" s="91" t="s">
        <v>7652</v>
      </c>
      <c r="B702" s="138">
        <v>4293</v>
      </c>
      <c r="C702" s="138">
        <v>3819.95</v>
      </c>
      <c r="D702" s="138">
        <v>10000</v>
      </c>
      <c r="E702" s="138">
        <v>18112.95</v>
      </c>
    </row>
    <row r="703" spans="1:5" x14ac:dyDescent="0.25">
      <c r="A703" s="91" t="s">
        <v>7726</v>
      </c>
      <c r="B703" s="138">
        <v>186940</v>
      </c>
      <c r="C703" s="138">
        <v>162220.4</v>
      </c>
      <c r="D703" s="138">
        <v>160000</v>
      </c>
      <c r="E703" s="138">
        <v>509160.4</v>
      </c>
    </row>
    <row r="704" spans="1:5" x14ac:dyDescent="0.25">
      <c r="A704" s="91" t="s">
        <v>7787</v>
      </c>
      <c r="B704" s="138">
        <v>300</v>
      </c>
      <c r="C704" s="138">
        <v>0</v>
      </c>
      <c r="D704" s="138">
        <v>300</v>
      </c>
      <c r="E704" s="138">
        <v>600</v>
      </c>
    </row>
    <row r="705" spans="1:5" x14ac:dyDescent="0.25">
      <c r="A705" s="91" t="s">
        <v>8806</v>
      </c>
      <c r="B705" s="138">
        <v>62473.04</v>
      </c>
      <c r="C705" s="138">
        <v>38538.78</v>
      </c>
      <c r="D705" s="138"/>
      <c r="E705" s="138">
        <v>101011.82</v>
      </c>
    </row>
    <row r="706" spans="1:5" x14ac:dyDescent="0.25">
      <c r="A706" s="91" t="s">
        <v>8807</v>
      </c>
      <c r="B706" s="138">
        <v>48.45</v>
      </c>
      <c r="C706" s="138">
        <v>0</v>
      </c>
      <c r="D706" s="138"/>
      <c r="E706" s="138">
        <v>48.45</v>
      </c>
    </row>
    <row r="707" spans="1:5" x14ac:dyDescent="0.25">
      <c r="A707" s="91" t="s">
        <v>8808</v>
      </c>
      <c r="B707" s="138">
        <v>0</v>
      </c>
      <c r="C707" s="138">
        <v>4156.72</v>
      </c>
      <c r="D707" s="138"/>
      <c r="E707" s="138">
        <v>4156.72</v>
      </c>
    </row>
    <row r="708" spans="1:5" x14ac:dyDescent="0.25">
      <c r="A708" s="91" t="s">
        <v>8809</v>
      </c>
      <c r="B708" s="138">
        <v>5609.03</v>
      </c>
      <c r="C708" s="138">
        <v>4196.59</v>
      </c>
      <c r="D708" s="138"/>
      <c r="E708" s="138">
        <v>9805.619999999999</v>
      </c>
    </row>
    <row r="709" spans="1:5" x14ac:dyDescent="0.25">
      <c r="A709" s="91" t="s">
        <v>8810</v>
      </c>
      <c r="B709" s="138">
        <v>4.3499999999999996</v>
      </c>
      <c r="C709" s="138">
        <v>0</v>
      </c>
      <c r="D709" s="138"/>
      <c r="E709" s="138">
        <v>4.3499999999999996</v>
      </c>
    </row>
    <row r="710" spans="1:5" x14ac:dyDescent="0.25">
      <c r="A710" s="91" t="s">
        <v>8811</v>
      </c>
      <c r="B710" s="138">
        <v>39645.019999999997</v>
      </c>
      <c r="C710" s="138">
        <v>32413.63</v>
      </c>
      <c r="D710" s="138"/>
      <c r="E710" s="138">
        <v>72058.649999999994</v>
      </c>
    </row>
    <row r="711" spans="1:5" x14ac:dyDescent="0.25">
      <c r="A711" s="91" t="s">
        <v>8812</v>
      </c>
      <c r="B711" s="138">
        <v>193.42</v>
      </c>
      <c r="C711" s="138">
        <v>145.04</v>
      </c>
      <c r="D711" s="138"/>
      <c r="E711" s="138">
        <v>338.46</v>
      </c>
    </row>
    <row r="712" spans="1:5" x14ac:dyDescent="0.25">
      <c r="A712" s="91" t="s">
        <v>8813</v>
      </c>
      <c r="B712" s="138">
        <v>0.15</v>
      </c>
      <c r="C712" s="138">
        <v>0</v>
      </c>
      <c r="D712" s="138"/>
      <c r="E712" s="138">
        <v>0.15</v>
      </c>
    </row>
    <row r="713" spans="1:5" x14ac:dyDescent="0.25">
      <c r="A713" s="91" t="s">
        <v>8814</v>
      </c>
      <c r="B713" s="138">
        <v>7314.18</v>
      </c>
      <c r="C713" s="138">
        <v>6165.32</v>
      </c>
      <c r="D713" s="138"/>
      <c r="E713" s="138">
        <v>13479.5</v>
      </c>
    </row>
    <row r="714" spans="1:5" x14ac:dyDescent="0.25">
      <c r="A714" s="91" t="s">
        <v>8815</v>
      </c>
      <c r="B714" s="138">
        <v>5.67</v>
      </c>
      <c r="C714" s="138">
        <v>0</v>
      </c>
      <c r="D714" s="138"/>
      <c r="E714" s="138">
        <v>5.67</v>
      </c>
    </row>
    <row r="715" spans="1:5" x14ac:dyDescent="0.25">
      <c r="A715" s="91" t="s">
        <v>8816</v>
      </c>
      <c r="B715" s="138">
        <v>2400</v>
      </c>
      <c r="C715" s="138">
        <v>1745.44</v>
      </c>
      <c r="D715" s="138"/>
      <c r="E715" s="138">
        <v>4145.4400000000005</v>
      </c>
    </row>
    <row r="716" spans="1:5" x14ac:dyDescent="0.25">
      <c r="A716" s="91" t="s">
        <v>8202</v>
      </c>
      <c r="B716" s="138">
        <v>250</v>
      </c>
      <c r="C716" s="138">
        <v>207.9</v>
      </c>
      <c r="D716" s="138">
        <v>600</v>
      </c>
      <c r="E716" s="138">
        <v>1057.9000000000001</v>
      </c>
    </row>
    <row r="717" spans="1:5" x14ac:dyDescent="0.25">
      <c r="A717" s="91" t="s">
        <v>8817</v>
      </c>
      <c r="B717" s="138">
        <v>0</v>
      </c>
      <c r="C717" s="138">
        <v>0</v>
      </c>
      <c r="D717" s="138"/>
      <c r="E717" s="138">
        <v>0</v>
      </c>
    </row>
    <row r="718" spans="1:5" x14ac:dyDescent="0.25">
      <c r="A718" s="91" t="s">
        <v>8818</v>
      </c>
      <c r="B718" s="138">
        <v>0</v>
      </c>
      <c r="C718" s="138">
        <v>0</v>
      </c>
      <c r="D718" s="138"/>
      <c r="E718" s="138">
        <v>0</v>
      </c>
    </row>
    <row r="719" spans="1:5" x14ac:dyDescent="0.25">
      <c r="A719" s="91" t="s">
        <v>8819</v>
      </c>
      <c r="B719" s="138">
        <v>0</v>
      </c>
      <c r="C719" s="138">
        <v>0</v>
      </c>
      <c r="D719" s="138"/>
      <c r="E719" s="138">
        <v>0</v>
      </c>
    </row>
    <row r="720" spans="1:5" x14ac:dyDescent="0.25">
      <c r="A720" s="91" t="s">
        <v>8820</v>
      </c>
      <c r="B720" s="138">
        <v>0</v>
      </c>
      <c r="C720" s="138">
        <v>0</v>
      </c>
      <c r="D720" s="138"/>
      <c r="E720" s="138">
        <v>0</v>
      </c>
    </row>
    <row r="721" spans="1:5" x14ac:dyDescent="0.25">
      <c r="A721" s="91" t="s">
        <v>8821</v>
      </c>
      <c r="B721" s="138">
        <v>0</v>
      </c>
      <c r="C721" s="138">
        <v>0</v>
      </c>
      <c r="D721" s="138"/>
      <c r="E721" s="138">
        <v>0</v>
      </c>
    </row>
    <row r="722" spans="1:5" x14ac:dyDescent="0.25">
      <c r="A722" s="91" t="s">
        <v>8822</v>
      </c>
      <c r="B722" s="138">
        <v>0</v>
      </c>
      <c r="C722" s="138">
        <v>0</v>
      </c>
      <c r="D722" s="138"/>
      <c r="E722" s="138">
        <v>0</v>
      </c>
    </row>
    <row r="723" spans="1:5" x14ac:dyDescent="0.25">
      <c r="A723" s="91" t="s">
        <v>8203</v>
      </c>
      <c r="B723" s="138">
        <v>0</v>
      </c>
      <c r="C723" s="138">
        <v>1.23</v>
      </c>
      <c r="D723" s="138"/>
      <c r="E723" s="138">
        <v>1.23</v>
      </c>
    </row>
    <row r="724" spans="1:5" x14ac:dyDescent="0.25">
      <c r="A724" s="91" t="s">
        <v>7653</v>
      </c>
      <c r="B724" s="138">
        <v>0</v>
      </c>
      <c r="C724" s="138">
        <v>4296.8</v>
      </c>
      <c r="D724" s="138"/>
      <c r="E724" s="138">
        <v>4296.8</v>
      </c>
    </row>
    <row r="725" spans="1:5" x14ac:dyDescent="0.25">
      <c r="A725" s="91" t="s">
        <v>7727</v>
      </c>
      <c r="B725" s="138">
        <v>0</v>
      </c>
      <c r="C725" s="138">
        <v>1032.75</v>
      </c>
      <c r="D725" s="138"/>
      <c r="E725" s="138">
        <v>1032.75</v>
      </c>
    </row>
    <row r="726" spans="1:5" x14ac:dyDescent="0.25">
      <c r="A726" s="91" t="s">
        <v>8823</v>
      </c>
      <c r="B726" s="138">
        <v>0</v>
      </c>
      <c r="C726" s="138">
        <v>860.75</v>
      </c>
      <c r="D726" s="138"/>
      <c r="E726" s="138">
        <v>860.75</v>
      </c>
    </row>
    <row r="727" spans="1:5" x14ac:dyDescent="0.25">
      <c r="A727" s="91" t="s">
        <v>8824</v>
      </c>
      <c r="B727" s="138">
        <v>0</v>
      </c>
      <c r="C727" s="138">
        <v>77.3</v>
      </c>
      <c r="D727" s="138"/>
      <c r="E727" s="138">
        <v>77.3</v>
      </c>
    </row>
    <row r="728" spans="1:5" x14ac:dyDescent="0.25">
      <c r="A728" s="91" t="s">
        <v>8825</v>
      </c>
      <c r="B728" s="138">
        <v>0</v>
      </c>
      <c r="C728" s="138">
        <v>2.63</v>
      </c>
      <c r="D728" s="138"/>
      <c r="E728" s="138">
        <v>2.63</v>
      </c>
    </row>
    <row r="729" spans="1:5" x14ac:dyDescent="0.25">
      <c r="A729" s="91" t="s">
        <v>8826</v>
      </c>
      <c r="B729" s="138">
        <v>0</v>
      </c>
      <c r="C729" s="138">
        <v>100.75</v>
      </c>
      <c r="D729" s="138"/>
      <c r="E729" s="138">
        <v>100.75</v>
      </c>
    </row>
    <row r="730" spans="1:5" x14ac:dyDescent="0.25">
      <c r="A730" s="91" t="s">
        <v>8827</v>
      </c>
      <c r="B730" s="138">
        <v>120754</v>
      </c>
      <c r="C730" s="138">
        <v>96603.199999999997</v>
      </c>
      <c r="D730" s="138"/>
      <c r="E730" s="138">
        <v>217357.2</v>
      </c>
    </row>
    <row r="731" spans="1:5" x14ac:dyDescent="0.25">
      <c r="A731" s="91" t="s">
        <v>7654</v>
      </c>
      <c r="B731" s="138">
        <v>17172</v>
      </c>
      <c r="C731" s="138">
        <v>4296.8</v>
      </c>
      <c r="D731" s="138">
        <v>15000</v>
      </c>
      <c r="E731" s="138">
        <v>36468.800000000003</v>
      </c>
    </row>
    <row r="732" spans="1:5" x14ac:dyDescent="0.25">
      <c r="A732" s="91" t="s">
        <v>7728</v>
      </c>
      <c r="B732" s="138">
        <v>35828</v>
      </c>
      <c r="C732" s="138">
        <v>36125.32</v>
      </c>
      <c r="D732" s="138">
        <v>35828</v>
      </c>
      <c r="E732" s="138">
        <v>107781.32</v>
      </c>
    </row>
    <row r="733" spans="1:5" x14ac:dyDescent="0.25">
      <c r="A733" s="91" t="s">
        <v>8828</v>
      </c>
      <c r="B733" s="138">
        <v>28061.27</v>
      </c>
      <c r="C733" s="138">
        <v>16295.39</v>
      </c>
      <c r="D733" s="138"/>
      <c r="E733" s="138">
        <v>44356.66</v>
      </c>
    </row>
    <row r="734" spans="1:5" x14ac:dyDescent="0.25">
      <c r="A734" s="91" t="s">
        <v>8829</v>
      </c>
      <c r="B734" s="138">
        <v>0</v>
      </c>
      <c r="C734" s="138">
        <v>1150.5999999999999</v>
      </c>
      <c r="D734" s="138"/>
      <c r="E734" s="138">
        <v>1150.5999999999999</v>
      </c>
    </row>
    <row r="735" spans="1:5" x14ac:dyDescent="0.25">
      <c r="A735" s="91" t="s">
        <v>8830</v>
      </c>
      <c r="B735" s="138">
        <v>2519.4299999999998</v>
      </c>
      <c r="C735" s="138">
        <v>1974.75</v>
      </c>
      <c r="D735" s="138"/>
      <c r="E735" s="138">
        <v>4494.18</v>
      </c>
    </row>
    <row r="736" spans="1:5" x14ac:dyDescent="0.25">
      <c r="A736" s="91" t="s">
        <v>8831</v>
      </c>
      <c r="B736" s="138">
        <v>33121.43</v>
      </c>
      <c r="C736" s="138">
        <v>26198.92</v>
      </c>
      <c r="D736" s="138"/>
      <c r="E736" s="138">
        <v>59320.35</v>
      </c>
    </row>
    <row r="737" spans="1:5" x14ac:dyDescent="0.25">
      <c r="A737" s="91" t="s">
        <v>8832</v>
      </c>
      <c r="B737" s="138">
        <v>86.88</v>
      </c>
      <c r="C737" s="138">
        <v>68.5</v>
      </c>
      <c r="D737" s="138"/>
      <c r="E737" s="138">
        <v>155.38</v>
      </c>
    </row>
    <row r="738" spans="1:5" x14ac:dyDescent="0.25">
      <c r="A738" s="91" t="s">
        <v>8833</v>
      </c>
      <c r="B738" s="138">
        <v>3285.35</v>
      </c>
      <c r="C738" s="138">
        <v>2590.87</v>
      </c>
      <c r="D738" s="138"/>
      <c r="E738" s="138">
        <v>5876.2199999999993</v>
      </c>
    </row>
    <row r="739" spans="1:5" x14ac:dyDescent="0.25">
      <c r="A739" s="91" t="s">
        <v>8204</v>
      </c>
      <c r="B739" s="138">
        <v>25</v>
      </c>
      <c r="C739" s="138">
        <v>0</v>
      </c>
      <c r="D739" s="138">
        <v>600</v>
      </c>
      <c r="E739" s="138">
        <v>625</v>
      </c>
    </row>
    <row r="740" spans="1:5" x14ac:dyDescent="0.25">
      <c r="A740" s="91" t="s">
        <v>8834</v>
      </c>
      <c r="B740" s="138">
        <v>117367</v>
      </c>
      <c r="C740" s="138">
        <v>95511.96</v>
      </c>
      <c r="D740" s="138"/>
      <c r="E740" s="138">
        <v>212878.96000000002</v>
      </c>
    </row>
    <row r="741" spans="1:5" x14ac:dyDescent="0.25">
      <c r="A741" s="91" t="s">
        <v>7655</v>
      </c>
      <c r="B741" s="138">
        <v>2430</v>
      </c>
      <c r="C741" s="138">
        <v>2578.08</v>
      </c>
      <c r="D741" s="138">
        <v>3000</v>
      </c>
      <c r="E741" s="138">
        <v>8008.08</v>
      </c>
    </row>
    <row r="742" spans="1:5" x14ac:dyDescent="0.25">
      <c r="A742" s="91" t="s">
        <v>7729</v>
      </c>
      <c r="B742" s="138">
        <v>38721</v>
      </c>
      <c r="C742" s="138">
        <v>30987.99</v>
      </c>
      <c r="D742" s="138">
        <v>38721</v>
      </c>
      <c r="E742" s="138">
        <v>108429.99</v>
      </c>
    </row>
    <row r="743" spans="1:5" x14ac:dyDescent="0.25">
      <c r="A743" s="91" t="s">
        <v>8835</v>
      </c>
      <c r="B743" s="138">
        <v>25600.66</v>
      </c>
      <c r="C743" s="138">
        <v>20846.09</v>
      </c>
      <c r="D743" s="138"/>
      <c r="E743" s="138">
        <v>46446.75</v>
      </c>
    </row>
    <row r="744" spans="1:5" x14ac:dyDescent="0.25">
      <c r="A744" s="91" t="s">
        <v>8836</v>
      </c>
      <c r="B744" s="138">
        <v>2298.5100000000002</v>
      </c>
      <c r="C744" s="138">
        <v>1859.31</v>
      </c>
      <c r="D744" s="138"/>
      <c r="E744" s="138">
        <v>4157.82</v>
      </c>
    </row>
    <row r="745" spans="1:5" x14ac:dyDescent="0.25">
      <c r="A745" s="91" t="s">
        <v>8837</v>
      </c>
      <c r="B745" s="138">
        <v>33121.43</v>
      </c>
      <c r="C745" s="138">
        <v>26666.240000000002</v>
      </c>
      <c r="D745" s="138"/>
      <c r="E745" s="138">
        <v>59787.67</v>
      </c>
    </row>
    <row r="746" spans="1:5" x14ac:dyDescent="0.25">
      <c r="A746" s="91" t="s">
        <v>8838</v>
      </c>
      <c r="B746" s="138">
        <v>79.260000000000005</v>
      </c>
      <c r="C746" s="138">
        <v>64.53</v>
      </c>
      <c r="D746" s="138"/>
      <c r="E746" s="138">
        <v>143.79000000000002</v>
      </c>
    </row>
    <row r="747" spans="1:5" x14ac:dyDescent="0.25">
      <c r="A747" s="91" t="s">
        <v>8839</v>
      </c>
      <c r="B747" s="138">
        <v>2997.27</v>
      </c>
      <c r="C747" s="138">
        <v>2440.56</v>
      </c>
      <c r="D747" s="138"/>
      <c r="E747" s="138">
        <v>5437.83</v>
      </c>
    </row>
    <row r="748" spans="1:5" x14ac:dyDescent="0.25">
      <c r="A748" s="91" t="s">
        <v>8049</v>
      </c>
      <c r="B748" s="138">
        <v>0</v>
      </c>
      <c r="C748" s="138">
        <v>0</v>
      </c>
      <c r="D748" s="138">
        <v>2500</v>
      </c>
      <c r="E748" s="138">
        <v>2500</v>
      </c>
    </row>
    <row r="749" spans="1:5" x14ac:dyDescent="0.25">
      <c r="A749" s="91" t="s">
        <v>8205</v>
      </c>
      <c r="B749" s="138">
        <v>25</v>
      </c>
      <c r="C749" s="138">
        <v>0</v>
      </c>
      <c r="D749" s="138">
        <v>600</v>
      </c>
      <c r="E749" s="138">
        <v>625</v>
      </c>
    </row>
    <row r="750" spans="1:5" x14ac:dyDescent="0.25">
      <c r="A750" s="91" t="s">
        <v>8840</v>
      </c>
      <c r="B750" s="138">
        <v>105042</v>
      </c>
      <c r="C750" s="138">
        <v>85943.52</v>
      </c>
      <c r="D750" s="138"/>
      <c r="E750" s="138">
        <v>190985.52000000002</v>
      </c>
    </row>
    <row r="751" spans="1:5" x14ac:dyDescent="0.25">
      <c r="A751" s="91" t="s">
        <v>7656</v>
      </c>
      <c r="B751" s="138">
        <v>17172</v>
      </c>
      <c r="C751" s="138">
        <v>0</v>
      </c>
      <c r="D751" s="138">
        <v>17172</v>
      </c>
      <c r="E751" s="138">
        <v>34344</v>
      </c>
    </row>
    <row r="752" spans="1:5" x14ac:dyDescent="0.25">
      <c r="A752" s="91" t="s">
        <v>7730</v>
      </c>
      <c r="B752" s="138">
        <v>17500</v>
      </c>
      <c r="C752" s="138">
        <v>24451.919999999998</v>
      </c>
      <c r="D752" s="138">
        <v>25000</v>
      </c>
      <c r="E752" s="138">
        <v>66951.92</v>
      </c>
    </row>
    <row r="753" spans="1:5" x14ac:dyDescent="0.25">
      <c r="A753" s="91" t="s">
        <v>8841</v>
      </c>
      <c r="B753" s="138">
        <v>22563.81</v>
      </c>
      <c r="C753" s="138">
        <v>17828.91</v>
      </c>
      <c r="D753" s="138"/>
      <c r="E753" s="138">
        <v>40392.720000000001</v>
      </c>
    </row>
    <row r="754" spans="1:5" x14ac:dyDescent="0.25">
      <c r="A754" s="91" t="s">
        <v>8842</v>
      </c>
      <c r="B754" s="138">
        <v>2025.85</v>
      </c>
      <c r="C754" s="138">
        <v>1588.99</v>
      </c>
      <c r="D754" s="138"/>
      <c r="E754" s="138">
        <v>3614.84</v>
      </c>
    </row>
    <row r="755" spans="1:5" x14ac:dyDescent="0.25">
      <c r="A755" s="91" t="s">
        <v>8843</v>
      </c>
      <c r="B755" s="138">
        <v>33121.43</v>
      </c>
      <c r="C755" s="138">
        <v>26666.240000000002</v>
      </c>
      <c r="D755" s="138"/>
      <c r="E755" s="138">
        <v>59787.67</v>
      </c>
    </row>
    <row r="756" spans="1:5" x14ac:dyDescent="0.25">
      <c r="A756" s="91" t="s">
        <v>8844</v>
      </c>
      <c r="B756" s="138">
        <v>69.86</v>
      </c>
      <c r="C756" s="138">
        <v>55.2</v>
      </c>
      <c r="D756" s="138"/>
      <c r="E756" s="138">
        <v>125.06</v>
      </c>
    </row>
    <row r="757" spans="1:5" x14ac:dyDescent="0.25">
      <c r="A757" s="91" t="s">
        <v>8845</v>
      </c>
      <c r="B757" s="138">
        <v>2641.71</v>
      </c>
      <c r="C757" s="138">
        <v>2087.42</v>
      </c>
      <c r="D757" s="138"/>
      <c r="E757" s="138">
        <v>4729.13</v>
      </c>
    </row>
    <row r="758" spans="1:5" x14ac:dyDescent="0.25">
      <c r="A758" s="91" t="s">
        <v>8206</v>
      </c>
      <c r="B758" s="138">
        <v>25</v>
      </c>
      <c r="C758" s="138">
        <v>0</v>
      </c>
      <c r="D758" s="138">
        <v>600</v>
      </c>
      <c r="E758" s="138">
        <v>625</v>
      </c>
    </row>
    <row r="759" spans="1:5" x14ac:dyDescent="0.25">
      <c r="A759" s="91" t="s">
        <v>8846</v>
      </c>
      <c r="B759" s="138">
        <v>203717</v>
      </c>
      <c r="C759" s="138">
        <v>166677.57</v>
      </c>
      <c r="D759" s="138"/>
      <c r="E759" s="138">
        <v>370394.57</v>
      </c>
    </row>
    <row r="760" spans="1:5" x14ac:dyDescent="0.25">
      <c r="A760" s="91" t="s">
        <v>7657</v>
      </c>
      <c r="B760" s="138">
        <v>51516</v>
      </c>
      <c r="C760" s="138">
        <v>58622.2</v>
      </c>
      <c r="D760" s="138">
        <v>65000</v>
      </c>
      <c r="E760" s="138">
        <v>175138.2</v>
      </c>
    </row>
    <row r="761" spans="1:5" x14ac:dyDescent="0.25">
      <c r="A761" s="91" t="s">
        <v>7731</v>
      </c>
      <c r="B761" s="138">
        <v>139590</v>
      </c>
      <c r="C761" s="138">
        <v>106801.73</v>
      </c>
      <c r="D761" s="138">
        <v>130000</v>
      </c>
      <c r="E761" s="138">
        <v>376391.73</v>
      </c>
    </row>
    <row r="762" spans="1:5" x14ac:dyDescent="0.25">
      <c r="A762" s="91" t="s">
        <v>8847</v>
      </c>
      <c r="B762" s="138">
        <v>63763.92</v>
      </c>
      <c r="C762" s="138">
        <v>47321.26</v>
      </c>
      <c r="D762" s="138"/>
      <c r="E762" s="138">
        <v>111085.18</v>
      </c>
    </row>
    <row r="763" spans="1:5" x14ac:dyDescent="0.25">
      <c r="A763" s="91" t="s">
        <v>8848</v>
      </c>
      <c r="B763" s="138">
        <v>0</v>
      </c>
      <c r="C763" s="138">
        <v>2438.8000000000002</v>
      </c>
      <c r="D763" s="138"/>
      <c r="E763" s="138">
        <v>2438.8000000000002</v>
      </c>
    </row>
    <row r="764" spans="1:5" x14ac:dyDescent="0.25">
      <c r="A764" s="91" t="s">
        <v>8849</v>
      </c>
      <c r="B764" s="138">
        <v>5724.94</v>
      </c>
      <c r="C764" s="138">
        <v>4803.12</v>
      </c>
      <c r="D764" s="138"/>
      <c r="E764" s="138">
        <v>10528.06</v>
      </c>
    </row>
    <row r="765" spans="1:5" x14ac:dyDescent="0.25">
      <c r="A765" s="91" t="s">
        <v>8850</v>
      </c>
      <c r="B765" s="138">
        <v>46335.74</v>
      </c>
      <c r="C765" s="138">
        <v>37235.760000000002</v>
      </c>
      <c r="D765" s="138"/>
      <c r="E765" s="138">
        <v>83571.5</v>
      </c>
    </row>
    <row r="766" spans="1:5" x14ac:dyDescent="0.25">
      <c r="A766" s="91" t="s">
        <v>8851</v>
      </c>
      <c r="B766" s="138">
        <v>197.42</v>
      </c>
      <c r="C766" s="138">
        <v>166</v>
      </c>
      <c r="D766" s="138"/>
      <c r="E766" s="138">
        <v>363.41999999999996</v>
      </c>
    </row>
    <row r="767" spans="1:5" x14ac:dyDescent="0.25">
      <c r="A767" s="91" t="s">
        <v>8852</v>
      </c>
      <c r="B767" s="138">
        <v>7465.31</v>
      </c>
      <c r="C767" s="138">
        <v>6279.41</v>
      </c>
      <c r="D767" s="138"/>
      <c r="E767" s="138">
        <v>13744.720000000001</v>
      </c>
    </row>
    <row r="768" spans="1:5" x14ac:dyDescent="0.25">
      <c r="A768" s="91" t="s">
        <v>8207</v>
      </c>
      <c r="B768" s="138">
        <v>25</v>
      </c>
      <c r="C768" s="138">
        <v>0</v>
      </c>
      <c r="D768" s="138">
        <v>600</v>
      </c>
      <c r="E768" s="138">
        <v>625</v>
      </c>
    </row>
    <row r="769" spans="1:5" x14ac:dyDescent="0.25">
      <c r="A769" s="91" t="s">
        <v>8853</v>
      </c>
      <c r="B769" s="138">
        <v>104196</v>
      </c>
      <c r="C769" s="138">
        <v>85251.33</v>
      </c>
      <c r="D769" s="138"/>
      <c r="E769" s="138">
        <v>189447.33000000002</v>
      </c>
    </row>
    <row r="770" spans="1:5" x14ac:dyDescent="0.25">
      <c r="A770" s="91" t="s">
        <v>7658</v>
      </c>
      <c r="B770" s="138">
        <v>17172</v>
      </c>
      <c r="C770" s="138">
        <v>12233.96</v>
      </c>
      <c r="D770" s="138">
        <v>17172</v>
      </c>
      <c r="E770" s="138">
        <v>46577.96</v>
      </c>
    </row>
    <row r="771" spans="1:5" x14ac:dyDescent="0.25">
      <c r="A771" s="91" t="s">
        <v>7732</v>
      </c>
      <c r="B771" s="138">
        <v>101500</v>
      </c>
      <c r="C771" s="138">
        <v>68214.05</v>
      </c>
      <c r="D771" s="138">
        <v>101500</v>
      </c>
      <c r="E771" s="138">
        <v>271214.05</v>
      </c>
    </row>
    <row r="772" spans="1:5" x14ac:dyDescent="0.25">
      <c r="A772" s="91" t="s">
        <v>8854</v>
      </c>
      <c r="B772" s="138">
        <v>35993.18</v>
      </c>
      <c r="C772" s="138">
        <v>25413.22</v>
      </c>
      <c r="D772" s="138"/>
      <c r="E772" s="138">
        <v>61406.400000000001</v>
      </c>
    </row>
    <row r="773" spans="1:5" x14ac:dyDescent="0.25">
      <c r="A773" s="91" t="s">
        <v>8855</v>
      </c>
      <c r="B773" s="138">
        <v>3231.58</v>
      </c>
      <c r="C773" s="138">
        <v>2390.29</v>
      </c>
      <c r="D773" s="138"/>
      <c r="E773" s="138">
        <v>5621.87</v>
      </c>
    </row>
    <row r="774" spans="1:5" x14ac:dyDescent="0.25">
      <c r="A774" s="91" t="s">
        <v>8856</v>
      </c>
      <c r="B774" s="138">
        <v>33121.43</v>
      </c>
      <c r="C774" s="138">
        <v>26666.240000000002</v>
      </c>
      <c r="D774" s="138"/>
      <c r="E774" s="138">
        <v>59787.67</v>
      </c>
    </row>
    <row r="775" spans="1:5" x14ac:dyDescent="0.25">
      <c r="A775" s="91" t="s">
        <v>8857</v>
      </c>
      <c r="B775" s="138">
        <v>111.44</v>
      </c>
      <c r="C775" s="138">
        <v>82.83</v>
      </c>
      <c r="D775" s="138"/>
      <c r="E775" s="138">
        <v>194.26999999999998</v>
      </c>
    </row>
    <row r="776" spans="1:5" x14ac:dyDescent="0.25">
      <c r="A776" s="91" t="s">
        <v>8858</v>
      </c>
      <c r="B776" s="138">
        <v>4213.99</v>
      </c>
      <c r="C776" s="138">
        <v>3133.06</v>
      </c>
      <c r="D776" s="138"/>
      <c r="E776" s="138">
        <v>7347.0499999999993</v>
      </c>
    </row>
    <row r="777" spans="1:5" x14ac:dyDescent="0.25">
      <c r="A777" s="91" t="s">
        <v>8208</v>
      </c>
      <c r="B777" s="138">
        <v>25</v>
      </c>
      <c r="C777" s="138">
        <v>0</v>
      </c>
      <c r="D777" s="138">
        <v>600</v>
      </c>
      <c r="E777" s="138">
        <v>625</v>
      </c>
    </row>
    <row r="778" spans="1:5" x14ac:dyDescent="0.25">
      <c r="A778" s="91" t="s">
        <v>8859</v>
      </c>
      <c r="B778" s="138">
        <v>99900</v>
      </c>
      <c r="C778" s="138">
        <v>81736.38</v>
      </c>
      <c r="D778" s="138"/>
      <c r="E778" s="138">
        <v>181636.38</v>
      </c>
    </row>
    <row r="779" spans="1:5" x14ac:dyDescent="0.25">
      <c r="A779" s="91" t="s">
        <v>7659</v>
      </c>
      <c r="B779" s="138">
        <v>21465</v>
      </c>
      <c r="C779" s="138">
        <v>11046.38</v>
      </c>
      <c r="D779" s="138">
        <v>21465</v>
      </c>
      <c r="E779" s="138">
        <v>53976.38</v>
      </c>
    </row>
    <row r="780" spans="1:5" x14ac:dyDescent="0.25">
      <c r="A780" s="91" t="s">
        <v>7733</v>
      </c>
      <c r="B780" s="138">
        <v>49035</v>
      </c>
      <c r="C780" s="138">
        <v>39974.29</v>
      </c>
      <c r="D780" s="138">
        <v>49035</v>
      </c>
      <c r="E780" s="138">
        <v>138044.29</v>
      </c>
    </row>
    <row r="781" spans="1:5" x14ac:dyDescent="0.25">
      <c r="A781" s="91" t="s">
        <v>8860</v>
      </c>
      <c r="B781" s="138">
        <v>27519.599999999999</v>
      </c>
      <c r="C781" s="138">
        <v>19887.8</v>
      </c>
      <c r="D781" s="138"/>
      <c r="E781" s="138">
        <v>47407.399999999994</v>
      </c>
    </row>
    <row r="782" spans="1:5" x14ac:dyDescent="0.25">
      <c r="A782" s="91" t="s">
        <v>8861</v>
      </c>
      <c r="B782" s="138">
        <v>0</v>
      </c>
      <c r="C782" s="138">
        <v>603.59</v>
      </c>
      <c r="D782" s="138"/>
      <c r="E782" s="138">
        <v>603.59</v>
      </c>
    </row>
    <row r="783" spans="1:5" x14ac:dyDescent="0.25">
      <c r="A783" s="91" t="s">
        <v>8862</v>
      </c>
      <c r="B783" s="138">
        <v>2470.8000000000002</v>
      </c>
      <c r="C783" s="138">
        <v>1913.2</v>
      </c>
      <c r="D783" s="138"/>
      <c r="E783" s="138">
        <v>4384</v>
      </c>
    </row>
    <row r="784" spans="1:5" x14ac:dyDescent="0.25">
      <c r="A784" s="91" t="s">
        <v>8863</v>
      </c>
      <c r="B784" s="138">
        <v>33121.43</v>
      </c>
      <c r="C784" s="138">
        <v>26666.240000000002</v>
      </c>
      <c r="D784" s="138"/>
      <c r="E784" s="138">
        <v>59787.67</v>
      </c>
    </row>
    <row r="785" spans="1:5" x14ac:dyDescent="0.25">
      <c r="A785" s="91" t="s">
        <v>8864</v>
      </c>
      <c r="B785" s="138">
        <v>85.2</v>
      </c>
      <c r="C785" s="138">
        <v>66.36</v>
      </c>
      <c r="D785" s="138"/>
      <c r="E785" s="138">
        <v>151.56</v>
      </c>
    </row>
    <row r="786" spans="1:5" x14ac:dyDescent="0.25">
      <c r="A786" s="91" t="s">
        <v>8865</v>
      </c>
      <c r="B786" s="138">
        <v>3221.92</v>
      </c>
      <c r="C786" s="138">
        <v>2510.23</v>
      </c>
      <c r="D786" s="138"/>
      <c r="E786" s="138">
        <v>5732.15</v>
      </c>
    </row>
    <row r="787" spans="1:5" x14ac:dyDescent="0.25">
      <c r="A787" s="91" t="s">
        <v>8209</v>
      </c>
      <c r="B787" s="138">
        <v>26.84</v>
      </c>
      <c r="C787" s="138">
        <v>2.04</v>
      </c>
      <c r="D787" s="138">
        <v>600</v>
      </c>
      <c r="E787" s="138">
        <v>628.88</v>
      </c>
    </row>
    <row r="788" spans="1:5" x14ac:dyDescent="0.25">
      <c r="A788" s="91" t="s">
        <v>8866</v>
      </c>
      <c r="B788" s="138">
        <v>268582.95</v>
      </c>
      <c r="C788" s="138">
        <v>222093.72</v>
      </c>
      <c r="D788" s="138"/>
      <c r="E788" s="138">
        <v>490676.67000000004</v>
      </c>
    </row>
    <row r="789" spans="1:5" x14ac:dyDescent="0.25">
      <c r="A789" s="91" t="s">
        <v>7660</v>
      </c>
      <c r="B789" s="138">
        <v>36000</v>
      </c>
      <c r="C789" s="138">
        <v>41662.660000000003</v>
      </c>
      <c r="D789" s="138">
        <v>36000</v>
      </c>
      <c r="E789" s="138">
        <v>113662.66</v>
      </c>
    </row>
    <row r="790" spans="1:5" x14ac:dyDescent="0.25">
      <c r="A790" s="91" t="s">
        <v>7734</v>
      </c>
      <c r="B790" s="138">
        <v>235000</v>
      </c>
      <c r="C790" s="138">
        <v>40113.5</v>
      </c>
      <c r="D790" s="138">
        <v>235000</v>
      </c>
      <c r="E790" s="138">
        <v>510113.5</v>
      </c>
    </row>
    <row r="791" spans="1:5" x14ac:dyDescent="0.25">
      <c r="A791" s="91" t="s">
        <v>7788</v>
      </c>
      <c r="B791" s="138">
        <v>500</v>
      </c>
      <c r="C791" s="138">
        <v>0</v>
      </c>
      <c r="D791" s="138">
        <v>500</v>
      </c>
      <c r="E791" s="138">
        <v>1000</v>
      </c>
    </row>
    <row r="792" spans="1:5" x14ac:dyDescent="0.25">
      <c r="A792" s="91" t="s">
        <v>7869</v>
      </c>
      <c r="B792" s="138">
        <v>13000</v>
      </c>
      <c r="C792" s="138">
        <v>0</v>
      </c>
      <c r="D792" s="138">
        <v>13000</v>
      </c>
      <c r="E792" s="138">
        <v>26000</v>
      </c>
    </row>
    <row r="793" spans="1:5" x14ac:dyDescent="0.25">
      <c r="A793" s="91" t="s">
        <v>7888</v>
      </c>
      <c r="B793" s="138">
        <v>4000</v>
      </c>
      <c r="C793" s="138">
        <v>0</v>
      </c>
      <c r="D793" s="138">
        <v>4000</v>
      </c>
      <c r="E793" s="138">
        <v>8000</v>
      </c>
    </row>
    <row r="794" spans="1:5" x14ac:dyDescent="0.25">
      <c r="A794" s="91" t="s">
        <v>8867</v>
      </c>
      <c r="B794" s="138">
        <v>87142.65</v>
      </c>
      <c r="C794" s="138">
        <v>49075.05</v>
      </c>
      <c r="D794" s="138"/>
      <c r="E794" s="138">
        <v>136217.70000000001</v>
      </c>
    </row>
    <row r="795" spans="1:5" x14ac:dyDescent="0.25">
      <c r="A795" s="91" t="s">
        <v>8868</v>
      </c>
      <c r="B795" s="138">
        <v>80.75</v>
      </c>
      <c r="C795" s="138">
        <v>0</v>
      </c>
      <c r="D795" s="138"/>
      <c r="E795" s="138">
        <v>80.75</v>
      </c>
    </row>
    <row r="796" spans="1:5" x14ac:dyDescent="0.25">
      <c r="A796" s="91" t="s">
        <v>8869</v>
      </c>
      <c r="B796" s="138">
        <v>248</v>
      </c>
      <c r="C796" s="138">
        <v>0</v>
      </c>
      <c r="D796" s="138"/>
      <c r="E796" s="138">
        <v>248</v>
      </c>
    </row>
    <row r="797" spans="1:5" x14ac:dyDescent="0.25">
      <c r="A797" s="91" t="s">
        <v>8870</v>
      </c>
      <c r="B797" s="138">
        <v>806</v>
      </c>
      <c r="C797" s="138">
        <v>0</v>
      </c>
      <c r="D797" s="138"/>
      <c r="E797" s="138">
        <v>806</v>
      </c>
    </row>
    <row r="798" spans="1:5" x14ac:dyDescent="0.25">
      <c r="A798" s="91" t="s">
        <v>8871</v>
      </c>
      <c r="B798" s="138">
        <v>7881.96</v>
      </c>
      <c r="C798" s="138">
        <v>4386.88</v>
      </c>
      <c r="D798" s="138"/>
      <c r="E798" s="138">
        <v>12268.84</v>
      </c>
    </row>
    <row r="799" spans="1:5" x14ac:dyDescent="0.25">
      <c r="A799" s="91" t="s">
        <v>8872</v>
      </c>
      <c r="B799" s="138">
        <v>195.75</v>
      </c>
      <c r="C799" s="138">
        <v>0</v>
      </c>
      <c r="D799" s="138"/>
      <c r="E799" s="138">
        <v>195.75</v>
      </c>
    </row>
    <row r="800" spans="1:5" x14ac:dyDescent="0.25">
      <c r="A800" s="91" t="s">
        <v>8873</v>
      </c>
      <c r="B800" s="138">
        <v>64580.89</v>
      </c>
      <c r="C800" s="138">
        <v>57148.88</v>
      </c>
      <c r="D800" s="138"/>
      <c r="E800" s="138">
        <v>121729.76999999999</v>
      </c>
    </row>
    <row r="801" spans="1:5" x14ac:dyDescent="0.25">
      <c r="A801" s="91" t="s">
        <v>8874</v>
      </c>
      <c r="B801" s="138">
        <v>271.8</v>
      </c>
      <c r="C801" s="138">
        <v>151.91</v>
      </c>
      <c r="D801" s="138"/>
      <c r="E801" s="138">
        <v>423.71000000000004</v>
      </c>
    </row>
    <row r="802" spans="1:5" x14ac:dyDescent="0.25">
      <c r="A802" s="91" t="s">
        <v>8875</v>
      </c>
      <c r="B802" s="138">
        <v>6.75</v>
      </c>
      <c r="C802" s="138">
        <v>0</v>
      </c>
      <c r="D802" s="138"/>
      <c r="E802" s="138">
        <v>6.75</v>
      </c>
    </row>
    <row r="803" spans="1:5" x14ac:dyDescent="0.25">
      <c r="A803" s="91" t="s">
        <v>8876</v>
      </c>
      <c r="B803" s="138">
        <v>10278.07</v>
      </c>
      <c r="C803" s="138">
        <v>5745.44</v>
      </c>
      <c r="D803" s="138"/>
      <c r="E803" s="138">
        <v>16023.509999999998</v>
      </c>
    </row>
    <row r="804" spans="1:5" x14ac:dyDescent="0.25">
      <c r="A804" s="91" t="s">
        <v>8877</v>
      </c>
      <c r="B804" s="138">
        <v>255.25</v>
      </c>
      <c r="C804" s="138">
        <v>0</v>
      </c>
      <c r="D804" s="138"/>
      <c r="E804" s="138">
        <v>255.25</v>
      </c>
    </row>
    <row r="805" spans="1:5" x14ac:dyDescent="0.25">
      <c r="A805" s="91" t="s">
        <v>7936</v>
      </c>
      <c r="B805" s="138">
        <v>1300</v>
      </c>
      <c r="C805" s="138">
        <v>0</v>
      </c>
      <c r="D805" s="138">
        <v>1300</v>
      </c>
      <c r="E805" s="138">
        <v>2600</v>
      </c>
    </row>
    <row r="806" spans="1:5" x14ac:dyDescent="0.25">
      <c r="A806" s="91" t="s">
        <v>8105</v>
      </c>
      <c r="B806" s="138">
        <v>700</v>
      </c>
      <c r="C806" s="138">
        <v>528.23</v>
      </c>
      <c r="D806" s="138">
        <v>700</v>
      </c>
      <c r="E806" s="138">
        <v>1928.23</v>
      </c>
    </row>
    <row r="807" spans="1:5" x14ac:dyDescent="0.25">
      <c r="A807" s="91" t="s">
        <v>8210</v>
      </c>
      <c r="B807" s="138">
        <v>483.23</v>
      </c>
      <c r="C807" s="138">
        <v>248.03</v>
      </c>
      <c r="D807" s="138">
        <v>2600</v>
      </c>
      <c r="E807" s="138">
        <v>3331.26</v>
      </c>
    </row>
    <row r="808" spans="1:5" x14ac:dyDescent="0.25">
      <c r="A808" s="91" t="s">
        <v>8318</v>
      </c>
      <c r="B808" s="138">
        <v>3500</v>
      </c>
      <c r="C808" s="138">
        <v>2500</v>
      </c>
      <c r="D808" s="138">
        <v>5000</v>
      </c>
      <c r="E808" s="138">
        <v>11000</v>
      </c>
    </row>
    <row r="809" spans="1:5" x14ac:dyDescent="0.25">
      <c r="A809" s="91" t="s">
        <v>8878</v>
      </c>
      <c r="B809" s="138">
        <v>86758</v>
      </c>
      <c r="C809" s="138">
        <v>70983.899999999994</v>
      </c>
      <c r="D809" s="138"/>
      <c r="E809" s="138">
        <v>157741.9</v>
      </c>
    </row>
    <row r="810" spans="1:5" x14ac:dyDescent="0.25">
      <c r="A810" s="91" t="s">
        <v>7661</v>
      </c>
      <c r="B810" s="138">
        <v>5000</v>
      </c>
      <c r="C810" s="138">
        <v>5133.32</v>
      </c>
      <c r="D810" s="138">
        <v>5000</v>
      </c>
      <c r="E810" s="138">
        <v>15133.32</v>
      </c>
    </row>
    <row r="811" spans="1:5" x14ac:dyDescent="0.25">
      <c r="A811" s="91" t="s">
        <v>7735</v>
      </c>
      <c r="B811" s="138">
        <v>500</v>
      </c>
      <c r="C811" s="138">
        <v>0</v>
      </c>
      <c r="D811" s="138">
        <v>500</v>
      </c>
      <c r="E811" s="138">
        <v>1000</v>
      </c>
    </row>
    <row r="812" spans="1:5" x14ac:dyDescent="0.25">
      <c r="A812" s="91" t="s">
        <v>7789</v>
      </c>
      <c r="B812" s="138">
        <v>500</v>
      </c>
      <c r="C812" s="138">
        <v>0</v>
      </c>
      <c r="D812" s="138">
        <v>500</v>
      </c>
      <c r="E812" s="138">
        <v>1000</v>
      </c>
    </row>
    <row r="813" spans="1:5" x14ac:dyDescent="0.25">
      <c r="A813" s="91" t="s">
        <v>8879</v>
      </c>
      <c r="B813" s="138">
        <v>14899.67</v>
      </c>
      <c r="C813" s="138">
        <v>12292.95</v>
      </c>
      <c r="D813" s="138"/>
      <c r="E813" s="138">
        <v>27192.620000000003</v>
      </c>
    </row>
    <row r="814" spans="1:5" x14ac:dyDescent="0.25">
      <c r="A814" s="91" t="s">
        <v>8880</v>
      </c>
      <c r="B814" s="138">
        <v>80.75</v>
      </c>
      <c r="C814" s="138">
        <v>0</v>
      </c>
      <c r="D814" s="138"/>
      <c r="E814" s="138">
        <v>80.75</v>
      </c>
    </row>
    <row r="815" spans="1:5" x14ac:dyDescent="0.25">
      <c r="A815" s="91" t="s">
        <v>8881</v>
      </c>
      <c r="B815" s="138">
        <v>1337.74</v>
      </c>
      <c r="C815" s="138">
        <v>1092.1300000000001</v>
      </c>
      <c r="D815" s="138"/>
      <c r="E815" s="138">
        <v>2429.87</v>
      </c>
    </row>
    <row r="816" spans="1:5" x14ac:dyDescent="0.25">
      <c r="A816" s="91" t="s">
        <v>8882</v>
      </c>
      <c r="B816" s="138">
        <v>7.25</v>
      </c>
      <c r="C816" s="138">
        <v>0</v>
      </c>
      <c r="D816" s="138"/>
      <c r="E816" s="138">
        <v>7.25</v>
      </c>
    </row>
    <row r="817" spans="1:5" x14ac:dyDescent="0.25">
      <c r="A817" s="91" t="s">
        <v>8883</v>
      </c>
      <c r="B817" s="138">
        <v>33121.43</v>
      </c>
      <c r="C817" s="138">
        <v>26666.240000000002</v>
      </c>
      <c r="D817" s="138"/>
      <c r="E817" s="138">
        <v>59787.67</v>
      </c>
    </row>
    <row r="818" spans="1:5" x14ac:dyDescent="0.25">
      <c r="A818" s="91" t="s">
        <v>8884</v>
      </c>
      <c r="B818" s="138">
        <v>46.13</v>
      </c>
      <c r="C818" s="138">
        <v>38.06</v>
      </c>
      <c r="D818" s="138"/>
      <c r="E818" s="138">
        <v>84.19</v>
      </c>
    </row>
    <row r="819" spans="1:5" x14ac:dyDescent="0.25">
      <c r="A819" s="91" t="s">
        <v>8885</v>
      </c>
      <c r="B819" s="138">
        <v>0.25</v>
      </c>
      <c r="C819" s="138">
        <v>0</v>
      </c>
      <c r="D819" s="138"/>
      <c r="E819" s="138">
        <v>0.25</v>
      </c>
    </row>
    <row r="820" spans="1:5" x14ac:dyDescent="0.25">
      <c r="A820" s="91" t="s">
        <v>8886</v>
      </c>
      <c r="B820" s="138">
        <v>1744.41</v>
      </c>
      <c r="C820" s="138">
        <v>1439.21</v>
      </c>
      <c r="D820" s="138"/>
      <c r="E820" s="138">
        <v>3183.62</v>
      </c>
    </row>
    <row r="821" spans="1:5" x14ac:dyDescent="0.25">
      <c r="A821" s="91" t="s">
        <v>8887</v>
      </c>
      <c r="B821" s="138">
        <v>9.4499999999999993</v>
      </c>
      <c r="C821" s="138">
        <v>0</v>
      </c>
      <c r="D821" s="138"/>
      <c r="E821" s="138">
        <v>9.4499999999999993</v>
      </c>
    </row>
    <row r="822" spans="1:5" x14ac:dyDescent="0.25">
      <c r="A822" s="91" t="s">
        <v>8211</v>
      </c>
      <c r="B822" s="138">
        <v>50</v>
      </c>
      <c r="C822" s="138">
        <v>0</v>
      </c>
      <c r="D822" s="138">
        <v>500</v>
      </c>
      <c r="E822" s="138">
        <v>550</v>
      </c>
    </row>
    <row r="823" spans="1:5" x14ac:dyDescent="0.25">
      <c r="A823" s="91" t="s">
        <v>8888</v>
      </c>
      <c r="B823" s="138">
        <v>533046.05000000005</v>
      </c>
      <c r="C823" s="138">
        <v>441391.5</v>
      </c>
      <c r="D823" s="138"/>
      <c r="E823" s="138">
        <v>974437.55</v>
      </c>
    </row>
    <row r="824" spans="1:5" x14ac:dyDescent="0.25">
      <c r="A824" s="91" t="s">
        <v>7662</v>
      </c>
      <c r="B824" s="138">
        <v>8500</v>
      </c>
      <c r="C824" s="138">
        <v>60715.06</v>
      </c>
      <c r="D824" s="138">
        <v>8500</v>
      </c>
      <c r="E824" s="138">
        <v>77715.06</v>
      </c>
    </row>
    <row r="825" spans="1:5" x14ac:dyDescent="0.25">
      <c r="A825" s="91" t="s">
        <v>7736</v>
      </c>
      <c r="B825" s="138">
        <v>64000</v>
      </c>
      <c r="C825" s="138">
        <v>51253.7</v>
      </c>
      <c r="D825" s="138">
        <v>64000</v>
      </c>
      <c r="E825" s="138">
        <v>179253.7</v>
      </c>
    </row>
    <row r="826" spans="1:5" x14ac:dyDescent="0.25">
      <c r="A826" s="91" t="s">
        <v>7889</v>
      </c>
      <c r="B826" s="138">
        <v>8000</v>
      </c>
      <c r="C826" s="138">
        <v>2000</v>
      </c>
      <c r="D826" s="138">
        <v>8000</v>
      </c>
      <c r="E826" s="138">
        <v>18000</v>
      </c>
    </row>
    <row r="827" spans="1:5" x14ac:dyDescent="0.25">
      <c r="A827" s="91" t="s">
        <v>8889</v>
      </c>
      <c r="B827" s="138">
        <v>97795.69</v>
      </c>
      <c r="C827" s="138">
        <v>87625.04</v>
      </c>
      <c r="D827" s="138"/>
      <c r="E827" s="138">
        <v>185420.72999999998</v>
      </c>
    </row>
    <row r="828" spans="1:5" x14ac:dyDescent="0.25">
      <c r="A828" s="91" t="s">
        <v>8890</v>
      </c>
      <c r="B828" s="138">
        <v>496</v>
      </c>
      <c r="C828" s="138">
        <v>792.99</v>
      </c>
      <c r="D828" s="138"/>
      <c r="E828" s="138">
        <v>1288.99</v>
      </c>
    </row>
    <row r="829" spans="1:5" x14ac:dyDescent="0.25">
      <c r="A829" s="91" t="s">
        <v>8891</v>
      </c>
      <c r="B829" s="138">
        <v>8896.41</v>
      </c>
      <c r="C829" s="138">
        <v>8009.01</v>
      </c>
      <c r="D829" s="138"/>
      <c r="E829" s="138">
        <v>16905.419999999998</v>
      </c>
    </row>
    <row r="830" spans="1:5" x14ac:dyDescent="0.25">
      <c r="A830" s="91" t="s">
        <v>8892</v>
      </c>
      <c r="B830" s="138">
        <v>141344.72</v>
      </c>
      <c r="C830" s="138">
        <v>114979.31</v>
      </c>
      <c r="D830" s="138"/>
      <c r="E830" s="138">
        <v>256324.03</v>
      </c>
    </row>
    <row r="831" spans="1:5" x14ac:dyDescent="0.25">
      <c r="A831" s="91" t="s">
        <v>8893</v>
      </c>
      <c r="B831" s="138">
        <v>306.77999999999997</v>
      </c>
      <c r="C831" s="138">
        <v>277.67</v>
      </c>
      <c r="D831" s="138"/>
      <c r="E831" s="138">
        <v>584.45000000000005</v>
      </c>
    </row>
    <row r="832" spans="1:5" x14ac:dyDescent="0.25">
      <c r="A832" s="91" t="s">
        <v>8894</v>
      </c>
      <c r="B832" s="138">
        <v>11600.94</v>
      </c>
      <c r="C832" s="138">
        <v>10500.88</v>
      </c>
      <c r="D832" s="138"/>
      <c r="E832" s="138">
        <v>22101.82</v>
      </c>
    </row>
    <row r="833" spans="1:5" x14ac:dyDescent="0.25">
      <c r="A833" s="91" t="s">
        <v>8212</v>
      </c>
      <c r="B833" s="138">
        <v>168</v>
      </c>
      <c r="C833" s="138">
        <v>64.44</v>
      </c>
      <c r="D833" s="138">
        <v>1100</v>
      </c>
      <c r="E833" s="138">
        <v>1332.44</v>
      </c>
    </row>
    <row r="834" spans="1:5" x14ac:dyDescent="0.25">
      <c r="A834" s="91" t="s">
        <v>7663</v>
      </c>
      <c r="B834" s="138">
        <v>4800</v>
      </c>
      <c r="C834" s="138">
        <v>0</v>
      </c>
      <c r="D834" s="138">
        <v>4800</v>
      </c>
      <c r="E834" s="138">
        <v>9600</v>
      </c>
    </row>
    <row r="835" spans="1:5" x14ac:dyDescent="0.25">
      <c r="A835" s="91" t="s">
        <v>7737</v>
      </c>
      <c r="B835" s="138">
        <v>32000</v>
      </c>
      <c r="C835" s="138">
        <v>10660.7</v>
      </c>
      <c r="D835" s="138">
        <v>32000</v>
      </c>
      <c r="E835" s="138">
        <v>74660.7</v>
      </c>
    </row>
    <row r="836" spans="1:5" x14ac:dyDescent="0.25">
      <c r="A836" s="91" t="s">
        <v>8895</v>
      </c>
      <c r="B836" s="138">
        <v>5943.2</v>
      </c>
      <c r="C836" s="138">
        <v>1721.69</v>
      </c>
      <c r="D836" s="138"/>
      <c r="E836" s="138">
        <v>7664.8899999999994</v>
      </c>
    </row>
    <row r="837" spans="1:5" x14ac:dyDescent="0.25">
      <c r="A837" s="91" t="s">
        <v>8896</v>
      </c>
      <c r="B837" s="138">
        <v>533.6</v>
      </c>
      <c r="C837" s="138">
        <v>154.56</v>
      </c>
      <c r="D837" s="138"/>
      <c r="E837" s="138">
        <v>688.16000000000008</v>
      </c>
    </row>
    <row r="838" spans="1:5" x14ac:dyDescent="0.25">
      <c r="A838" s="91" t="s">
        <v>8897</v>
      </c>
      <c r="B838" s="138">
        <v>18.399999999999999</v>
      </c>
      <c r="C838" s="138">
        <v>5.33</v>
      </c>
      <c r="D838" s="138"/>
      <c r="E838" s="138">
        <v>23.729999999999997</v>
      </c>
    </row>
    <row r="839" spans="1:5" x14ac:dyDescent="0.25">
      <c r="A839" s="91" t="s">
        <v>8898</v>
      </c>
      <c r="B839" s="138">
        <v>695.82</v>
      </c>
      <c r="C839" s="138">
        <v>201.58</v>
      </c>
      <c r="D839" s="138"/>
      <c r="E839" s="138">
        <v>897.40000000000009</v>
      </c>
    </row>
    <row r="840" spans="1:5" x14ac:dyDescent="0.25">
      <c r="A840" s="91" t="s">
        <v>8213</v>
      </c>
      <c r="B840" s="138">
        <v>5.47</v>
      </c>
      <c r="C840" s="138">
        <v>0.52</v>
      </c>
      <c r="D840" s="138">
        <v>50</v>
      </c>
      <c r="E840" s="138">
        <v>55.99</v>
      </c>
    </row>
    <row r="841" spans="1:5" x14ac:dyDescent="0.25">
      <c r="A841" s="91" t="s">
        <v>7738</v>
      </c>
      <c r="B841" s="138">
        <v>35000</v>
      </c>
      <c r="C841" s="138">
        <v>29901.66</v>
      </c>
      <c r="D841" s="138">
        <v>35000</v>
      </c>
      <c r="E841" s="138">
        <v>99901.66</v>
      </c>
    </row>
    <row r="842" spans="1:5" x14ac:dyDescent="0.25">
      <c r="A842" s="91" t="s">
        <v>8899</v>
      </c>
      <c r="B842" s="138">
        <v>5652.5</v>
      </c>
      <c r="C842" s="138">
        <v>4829.17</v>
      </c>
      <c r="D842" s="138"/>
      <c r="E842" s="138">
        <v>10481.67</v>
      </c>
    </row>
    <row r="843" spans="1:5" x14ac:dyDescent="0.25">
      <c r="A843" s="91" t="s">
        <v>8900</v>
      </c>
      <c r="B843" s="138">
        <v>507.5</v>
      </c>
      <c r="C843" s="138">
        <v>433.6</v>
      </c>
      <c r="D843" s="138"/>
      <c r="E843" s="138">
        <v>941.1</v>
      </c>
    </row>
    <row r="844" spans="1:5" x14ac:dyDescent="0.25">
      <c r="A844" s="91" t="s">
        <v>8901</v>
      </c>
      <c r="B844" s="138">
        <v>17.5</v>
      </c>
      <c r="C844" s="138">
        <v>14.88</v>
      </c>
      <c r="D844" s="138"/>
      <c r="E844" s="138">
        <v>32.380000000000003</v>
      </c>
    </row>
    <row r="845" spans="1:5" x14ac:dyDescent="0.25">
      <c r="A845" s="91" t="s">
        <v>8902</v>
      </c>
      <c r="B845" s="138">
        <v>661.78</v>
      </c>
      <c r="C845" s="138">
        <v>565.42999999999995</v>
      </c>
      <c r="D845" s="138"/>
      <c r="E845" s="138">
        <v>1227.21</v>
      </c>
    </row>
    <row r="846" spans="1:5" x14ac:dyDescent="0.25">
      <c r="A846" s="91" t="s">
        <v>8214</v>
      </c>
      <c r="B846" s="138">
        <v>4.5</v>
      </c>
      <c r="C846" s="138">
        <v>0</v>
      </c>
      <c r="D846" s="138">
        <v>45</v>
      </c>
      <c r="E846" s="138">
        <v>49.5</v>
      </c>
    </row>
    <row r="847" spans="1:5" x14ac:dyDescent="0.25">
      <c r="A847" s="91" t="s">
        <v>8903</v>
      </c>
      <c r="B847" s="138">
        <v>36851.75</v>
      </c>
      <c r="C847" s="138">
        <v>30709.8</v>
      </c>
      <c r="D847" s="138"/>
      <c r="E847" s="138">
        <v>67561.55</v>
      </c>
    </row>
    <row r="848" spans="1:5" x14ac:dyDescent="0.25">
      <c r="A848" s="91" t="s">
        <v>8904</v>
      </c>
      <c r="B848" s="138">
        <v>87994.05</v>
      </c>
      <c r="C848" s="138">
        <v>72898.86</v>
      </c>
      <c r="D848" s="138"/>
      <c r="E848" s="138">
        <v>160892.91</v>
      </c>
    </row>
    <row r="849" spans="1:5" x14ac:dyDescent="0.25">
      <c r="A849" s="91" t="s">
        <v>7820</v>
      </c>
      <c r="B849" s="138">
        <v>0</v>
      </c>
      <c r="C849" s="138">
        <v>377.76</v>
      </c>
      <c r="D849" s="138">
        <v>0</v>
      </c>
      <c r="E849" s="138">
        <v>377.76</v>
      </c>
    </row>
    <row r="850" spans="1:5" x14ac:dyDescent="0.25">
      <c r="A850" s="91" t="s">
        <v>8905</v>
      </c>
      <c r="B850" s="138">
        <v>5951.56</v>
      </c>
      <c r="C850" s="138">
        <v>4959.6000000000004</v>
      </c>
      <c r="D850" s="138"/>
      <c r="E850" s="138">
        <v>10911.16</v>
      </c>
    </row>
    <row r="851" spans="1:5" x14ac:dyDescent="0.25">
      <c r="A851" s="91" t="s">
        <v>8906</v>
      </c>
      <c r="B851" s="138">
        <v>18214.77</v>
      </c>
      <c r="C851" s="138">
        <v>15093.42</v>
      </c>
      <c r="D851" s="138"/>
      <c r="E851" s="138">
        <v>33308.19</v>
      </c>
    </row>
    <row r="852" spans="1:5" x14ac:dyDescent="0.25">
      <c r="A852" s="91" t="s">
        <v>8907</v>
      </c>
      <c r="B852" s="138">
        <v>5455.63</v>
      </c>
      <c r="C852" s="138">
        <v>4518.87</v>
      </c>
      <c r="D852" s="138"/>
      <c r="E852" s="138">
        <v>9974.5</v>
      </c>
    </row>
    <row r="853" spans="1:5" x14ac:dyDescent="0.25">
      <c r="A853" s="91" t="s">
        <v>8908</v>
      </c>
      <c r="B853" s="138">
        <v>1810.27</v>
      </c>
      <c r="C853" s="138">
        <v>1501.31</v>
      </c>
      <c r="D853" s="138"/>
      <c r="E853" s="138">
        <v>3311.58</v>
      </c>
    </row>
    <row r="854" spans="1:5" x14ac:dyDescent="0.25">
      <c r="A854" s="91" t="s">
        <v>8909</v>
      </c>
      <c r="B854" s="138">
        <v>34019.370000000003</v>
      </c>
      <c r="C854" s="138">
        <v>33083.800000000003</v>
      </c>
      <c r="D854" s="138"/>
      <c r="E854" s="138">
        <v>67103.170000000013</v>
      </c>
    </row>
    <row r="855" spans="1:5" x14ac:dyDescent="0.25">
      <c r="A855" s="91" t="s">
        <v>8910</v>
      </c>
      <c r="B855" s="138">
        <v>62.43</v>
      </c>
      <c r="C855" s="138">
        <v>52.02</v>
      </c>
      <c r="D855" s="138"/>
      <c r="E855" s="138">
        <v>114.45</v>
      </c>
    </row>
    <row r="856" spans="1:5" x14ac:dyDescent="0.25">
      <c r="A856" s="91" t="s">
        <v>8911</v>
      </c>
      <c r="B856" s="138">
        <v>2360.58</v>
      </c>
      <c r="C856" s="138">
        <v>1969.67</v>
      </c>
      <c r="D856" s="138"/>
      <c r="E856" s="138">
        <v>4330.25</v>
      </c>
    </row>
    <row r="857" spans="1:5" x14ac:dyDescent="0.25">
      <c r="A857" s="91" t="s">
        <v>8912</v>
      </c>
      <c r="B857" s="138">
        <v>3000</v>
      </c>
      <c r="C857" s="138">
        <v>1500</v>
      </c>
      <c r="D857" s="138"/>
      <c r="E857" s="138">
        <v>4500</v>
      </c>
    </row>
    <row r="858" spans="1:5" x14ac:dyDescent="0.25">
      <c r="A858" s="91" t="s">
        <v>8215</v>
      </c>
      <c r="B858" s="138">
        <v>1000</v>
      </c>
      <c r="C858" s="138">
        <v>664.83</v>
      </c>
      <c r="D858" s="138">
        <v>1000</v>
      </c>
      <c r="E858" s="138">
        <v>2664.83</v>
      </c>
    </row>
    <row r="859" spans="1:5" x14ac:dyDescent="0.25">
      <c r="A859" s="91" t="s">
        <v>8913</v>
      </c>
      <c r="B859" s="138">
        <v>110555.25</v>
      </c>
      <c r="C859" s="138">
        <v>92129.4</v>
      </c>
      <c r="D859" s="138"/>
      <c r="E859" s="138">
        <v>202684.65</v>
      </c>
    </row>
    <row r="860" spans="1:5" x14ac:dyDescent="0.25">
      <c r="A860" s="91" t="s">
        <v>7790</v>
      </c>
      <c r="B860" s="138">
        <v>141000</v>
      </c>
      <c r="C860" s="138">
        <v>68315.039999999994</v>
      </c>
      <c r="D860" s="138">
        <v>169000</v>
      </c>
      <c r="E860" s="138">
        <v>378315.04</v>
      </c>
    </row>
    <row r="861" spans="1:5" x14ac:dyDescent="0.25">
      <c r="A861" s="91" t="s">
        <v>8914</v>
      </c>
      <c r="B861" s="138">
        <v>149210.70000000001</v>
      </c>
      <c r="C861" s="138">
        <v>127443.46</v>
      </c>
      <c r="D861" s="138"/>
      <c r="E861" s="138">
        <v>276654.16000000003</v>
      </c>
    </row>
    <row r="862" spans="1:5" x14ac:dyDescent="0.25">
      <c r="A862" s="91" t="s">
        <v>7821</v>
      </c>
      <c r="B862" s="138">
        <v>0</v>
      </c>
      <c r="C862" s="138">
        <v>152.16</v>
      </c>
      <c r="D862" s="138">
        <v>0</v>
      </c>
      <c r="E862" s="138">
        <v>152.16</v>
      </c>
    </row>
    <row r="863" spans="1:5" x14ac:dyDescent="0.25">
      <c r="A863" s="91" t="s">
        <v>7870</v>
      </c>
      <c r="B863" s="138">
        <v>15000</v>
      </c>
      <c r="C863" s="138">
        <v>15666.8</v>
      </c>
      <c r="D863" s="138">
        <v>15000</v>
      </c>
      <c r="E863" s="138">
        <v>45666.8</v>
      </c>
    </row>
    <row r="864" spans="1:5" x14ac:dyDescent="0.25">
      <c r="A864" s="91" t="s">
        <v>8915</v>
      </c>
      <c r="B864" s="138">
        <v>40626.17</v>
      </c>
      <c r="C864" s="138">
        <v>21247.71</v>
      </c>
      <c r="D864" s="138"/>
      <c r="E864" s="138">
        <v>61873.88</v>
      </c>
    </row>
    <row r="865" spans="1:5" x14ac:dyDescent="0.25">
      <c r="A865" s="91" t="s">
        <v>8916</v>
      </c>
      <c r="B865" s="138">
        <v>30886.62</v>
      </c>
      <c r="C865" s="138">
        <v>26382.49</v>
      </c>
      <c r="D865" s="138"/>
      <c r="E865" s="138">
        <v>57269.11</v>
      </c>
    </row>
    <row r="866" spans="1:5" x14ac:dyDescent="0.25">
      <c r="A866" s="91" t="s">
        <v>8917</v>
      </c>
      <c r="B866" s="138">
        <v>10181.07</v>
      </c>
      <c r="C866" s="138">
        <v>10295.120000000001</v>
      </c>
      <c r="D866" s="138"/>
      <c r="E866" s="138">
        <v>20476.190000000002</v>
      </c>
    </row>
    <row r="867" spans="1:5" x14ac:dyDescent="0.25">
      <c r="A867" s="91" t="s">
        <v>8918</v>
      </c>
      <c r="B867" s="138">
        <v>6028.61</v>
      </c>
      <c r="C867" s="138">
        <v>4394.83</v>
      </c>
      <c r="D867" s="138"/>
      <c r="E867" s="138">
        <v>10423.439999999999</v>
      </c>
    </row>
    <row r="868" spans="1:5" x14ac:dyDescent="0.25">
      <c r="A868" s="91" t="s">
        <v>8919</v>
      </c>
      <c r="B868" s="138">
        <v>57979.040000000001</v>
      </c>
      <c r="C868" s="138">
        <v>49935</v>
      </c>
      <c r="D868" s="138"/>
      <c r="E868" s="138">
        <v>107914.04000000001</v>
      </c>
    </row>
    <row r="869" spans="1:5" x14ac:dyDescent="0.25">
      <c r="A869" s="91" t="s">
        <v>8920</v>
      </c>
      <c r="B869" s="138">
        <v>207.88</v>
      </c>
      <c r="C869" s="138">
        <v>151.87</v>
      </c>
      <c r="D869" s="138"/>
      <c r="E869" s="138">
        <v>359.75</v>
      </c>
    </row>
    <row r="870" spans="1:5" x14ac:dyDescent="0.25">
      <c r="A870" s="91" t="s">
        <v>8921</v>
      </c>
      <c r="B870" s="138">
        <v>7861.31</v>
      </c>
      <c r="C870" s="138">
        <v>5748.32</v>
      </c>
      <c r="D870" s="138"/>
      <c r="E870" s="138">
        <v>13609.630000000001</v>
      </c>
    </row>
    <row r="871" spans="1:5" x14ac:dyDescent="0.25">
      <c r="A871" s="91" t="s">
        <v>8922</v>
      </c>
      <c r="B871" s="138">
        <v>1800</v>
      </c>
      <c r="C871" s="138">
        <v>900</v>
      </c>
      <c r="D871" s="138"/>
      <c r="E871" s="138">
        <v>2700</v>
      </c>
    </row>
    <row r="872" spans="1:5" x14ac:dyDescent="0.25">
      <c r="A872" s="91" t="s">
        <v>7937</v>
      </c>
      <c r="B872" s="138">
        <v>112967.77</v>
      </c>
      <c r="C872" s="138">
        <v>59549.21</v>
      </c>
      <c r="D872" s="138">
        <v>112967.77</v>
      </c>
      <c r="E872" s="138">
        <v>285484.75</v>
      </c>
    </row>
    <row r="873" spans="1:5" x14ac:dyDescent="0.25">
      <c r="A873" s="91" t="s">
        <v>7997</v>
      </c>
      <c r="B873" s="138">
        <v>0</v>
      </c>
      <c r="C873" s="138">
        <v>0</v>
      </c>
      <c r="D873" s="138">
        <v>8333</v>
      </c>
      <c r="E873" s="138">
        <v>8333</v>
      </c>
    </row>
    <row r="874" spans="1:5" x14ac:dyDescent="0.25">
      <c r="A874" s="91" t="s">
        <v>8012</v>
      </c>
      <c r="B874" s="138">
        <v>41447</v>
      </c>
      <c r="C874" s="138">
        <v>10050</v>
      </c>
      <c r="D874" s="138">
        <v>96667</v>
      </c>
      <c r="E874" s="138">
        <v>148164</v>
      </c>
    </row>
    <row r="875" spans="1:5" x14ac:dyDescent="0.25">
      <c r="A875" s="91" t="s">
        <v>8026</v>
      </c>
      <c r="B875" s="138">
        <v>-20925.97</v>
      </c>
      <c r="C875" s="138">
        <v>167.11</v>
      </c>
      <c r="D875" s="138">
        <v>60000</v>
      </c>
      <c r="E875" s="138">
        <v>39241.14</v>
      </c>
    </row>
    <row r="876" spans="1:5" x14ac:dyDescent="0.25">
      <c r="A876" s="91" t="s">
        <v>8030</v>
      </c>
      <c r="B876" s="138">
        <v>0</v>
      </c>
      <c r="C876" s="138">
        <v>290</v>
      </c>
      <c r="D876" s="138"/>
      <c r="E876" s="138">
        <v>290</v>
      </c>
    </row>
    <row r="877" spans="1:5" x14ac:dyDescent="0.25">
      <c r="A877" s="91" t="s">
        <v>8050</v>
      </c>
      <c r="B877" s="138">
        <v>-10000</v>
      </c>
      <c r="C877" s="138">
        <v>0</v>
      </c>
      <c r="D877" s="138">
        <v>15000</v>
      </c>
      <c r="E877" s="138">
        <v>5000</v>
      </c>
    </row>
    <row r="878" spans="1:5" x14ac:dyDescent="0.25">
      <c r="A878" s="91" t="s">
        <v>8075</v>
      </c>
      <c r="B878" s="138">
        <v>125000</v>
      </c>
      <c r="C878" s="138">
        <v>86500</v>
      </c>
      <c r="D878" s="138">
        <v>125000</v>
      </c>
      <c r="E878" s="138">
        <v>336500</v>
      </c>
    </row>
    <row r="879" spans="1:5" x14ac:dyDescent="0.25">
      <c r="A879" s="91" t="s">
        <v>8076</v>
      </c>
      <c r="B879" s="138">
        <v>0</v>
      </c>
      <c r="C879" s="138">
        <v>0</v>
      </c>
      <c r="D879" s="138">
        <v>10000</v>
      </c>
      <c r="E879" s="138">
        <v>10000</v>
      </c>
    </row>
    <row r="880" spans="1:5" x14ac:dyDescent="0.25">
      <c r="A880" s="91" t="s">
        <v>8088</v>
      </c>
      <c r="B880" s="138">
        <v>25000</v>
      </c>
      <c r="C880" s="138">
        <v>19170</v>
      </c>
      <c r="D880" s="138">
        <v>25000</v>
      </c>
      <c r="E880" s="138">
        <v>69170</v>
      </c>
    </row>
    <row r="881" spans="1:5" x14ac:dyDescent="0.25">
      <c r="A881" s="91" t="s">
        <v>8106</v>
      </c>
      <c r="B881" s="138">
        <v>800</v>
      </c>
      <c r="C881" s="138">
        <v>800</v>
      </c>
      <c r="D881" s="138">
        <v>800</v>
      </c>
      <c r="E881" s="138">
        <v>2400</v>
      </c>
    </row>
    <row r="882" spans="1:5" x14ac:dyDescent="0.25">
      <c r="A882" s="91" t="s">
        <v>8114</v>
      </c>
      <c r="B882" s="138">
        <v>69570</v>
      </c>
      <c r="C882" s="138">
        <v>0</v>
      </c>
      <c r="D882" s="138">
        <v>69570</v>
      </c>
      <c r="E882" s="138">
        <v>139140</v>
      </c>
    </row>
    <row r="883" spans="1:5" x14ac:dyDescent="0.25">
      <c r="A883" s="91" t="s">
        <v>8150</v>
      </c>
      <c r="B883" s="138">
        <v>0</v>
      </c>
      <c r="C883" s="138">
        <v>0</v>
      </c>
      <c r="D883" s="138">
        <v>10000</v>
      </c>
      <c r="E883" s="138">
        <v>10000</v>
      </c>
    </row>
    <row r="884" spans="1:5" x14ac:dyDescent="0.25">
      <c r="A884" s="91" t="s">
        <v>8216</v>
      </c>
      <c r="B884" s="138">
        <v>317.42</v>
      </c>
      <c r="C884" s="138">
        <v>163.79</v>
      </c>
      <c r="D884" s="138">
        <v>1700</v>
      </c>
      <c r="E884" s="138">
        <v>2181.21</v>
      </c>
    </row>
    <row r="885" spans="1:5" x14ac:dyDescent="0.25">
      <c r="A885" s="91" t="s">
        <v>8319</v>
      </c>
      <c r="B885" s="138">
        <v>12000</v>
      </c>
      <c r="C885" s="138">
        <v>4047.19</v>
      </c>
      <c r="D885" s="138">
        <v>12000</v>
      </c>
      <c r="E885" s="138">
        <v>28047.190000000002</v>
      </c>
    </row>
    <row r="886" spans="1:5" x14ac:dyDescent="0.25">
      <c r="A886" s="91" t="s">
        <v>8374</v>
      </c>
      <c r="B886" s="138">
        <v>9158.2000000000007</v>
      </c>
      <c r="C886" s="138">
        <v>8917.3799999999992</v>
      </c>
      <c r="D886" s="138">
        <v>9158.2000000000007</v>
      </c>
      <c r="E886" s="138">
        <v>27233.780000000002</v>
      </c>
    </row>
    <row r="887" spans="1:5" x14ac:dyDescent="0.25">
      <c r="A887" s="91" t="s">
        <v>8923</v>
      </c>
      <c r="B887" s="138"/>
      <c r="C887" s="138"/>
      <c r="D887" s="138">
        <v>38000</v>
      </c>
      <c r="E887" s="138">
        <v>38000</v>
      </c>
    </row>
    <row r="888" spans="1:5" x14ac:dyDescent="0.25">
      <c r="A888" s="91" t="s">
        <v>8397</v>
      </c>
      <c r="B888" s="138">
        <v>19000</v>
      </c>
      <c r="C888" s="138">
        <v>9126.5</v>
      </c>
      <c r="D888" s="138"/>
      <c r="E888" s="138">
        <v>28126.5</v>
      </c>
    </row>
    <row r="889" spans="1:5" x14ac:dyDescent="0.25">
      <c r="A889" s="91" t="s">
        <v>8924</v>
      </c>
      <c r="B889" s="138">
        <v>600769</v>
      </c>
      <c r="C889" s="138">
        <v>522272.6</v>
      </c>
      <c r="D889" s="138"/>
      <c r="E889" s="138">
        <v>1123041.6000000001</v>
      </c>
    </row>
    <row r="890" spans="1:5" x14ac:dyDescent="0.25">
      <c r="A890" s="91" t="s">
        <v>7664</v>
      </c>
      <c r="B890" s="138">
        <v>32000</v>
      </c>
      <c r="C890" s="138">
        <v>43958.01</v>
      </c>
      <c r="D890" s="138">
        <v>56000</v>
      </c>
      <c r="E890" s="138">
        <v>131958.01</v>
      </c>
    </row>
    <row r="891" spans="1:5" x14ac:dyDescent="0.25">
      <c r="A891" s="91" t="s">
        <v>7739</v>
      </c>
      <c r="B891" s="138">
        <v>231000</v>
      </c>
      <c r="C891" s="138">
        <v>193029.25</v>
      </c>
      <c r="D891" s="138">
        <v>240240</v>
      </c>
      <c r="E891" s="138">
        <v>664269.25</v>
      </c>
    </row>
    <row r="892" spans="1:5" x14ac:dyDescent="0.25">
      <c r="A892" s="91" t="s">
        <v>8925</v>
      </c>
      <c r="B892" s="138">
        <v>134040.9</v>
      </c>
      <c r="C892" s="138">
        <v>110550.64</v>
      </c>
      <c r="D892" s="138"/>
      <c r="E892" s="138">
        <v>244591.53999999998</v>
      </c>
    </row>
    <row r="893" spans="1:5" x14ac:dyDescent="0.25">
      <c r="A893" s="91" t="s">
        <v>7822</v>
      </c>
      <c r="B893" s="138">
        <v>0</v>
      </c>
      <c r="C893" s="138">
        <v>17.899999999999999</v>
      </c>
      <c r="D893" s="138">
        <v>2682.8999999999996</v>
      </c>
      <c r="E893" s="138">
        <v>2700.7999999999997</v>
      </c>
    </row>
    <row r="894" spans="1:5" x14ac:dyDescent="0.25">
      <c r="A894" s="91" t="s">
        <v>8926</v>
      </c>
      <c r="B894" s="138">
        <v>139498.70000000001</v>
      </c>
      <c r="C894" s="138">
        <v>107536.62</v>
      </c>
      <c r="D894" s="138"/>
      <c r="E894" s="138">
        <v>247035.32</v>
      </c>
    </row>
    <row r="895" spans="1:5" x14ac:dyDescent="0.25">
      <c r="A895" s="91" t="s">
        <v>8927</v>
      </c>
      <c r="B895" s="138">
        <v>27746.46</v>
      </c>
      <c r="C895" s="138">
        <v>22894.97</v>
      </c>
      <c r="D895" s="138"/>
      <c r="E895" s="138">
        <v>50641.43</v>
      </c>
    </row>
    <row r="896" spans="1:5" x14ac:dyDescent="0.25">
      <c r="A896" s="91" t="s">
        <v>8928</v>
      </c>
      <c r="B896" s="138">
        <v>8310.5400000000009</v>
      </c>
      <c r="C896" s="138">
        <v>12823.06</v>
      </c>
      <c r="D896" s="138"/>
      <c r="E896" s="138">
        <v>21133.599999999999</v>
      </c>
    </row>
    <row r="897" spans="1:5" x14ac:dyDescent="0.25">
      <c r="A897" s="91" t="s">
        <v>8929</v>
      </c>
      <c r="B897" s="138">
        <v>0</v>
      </c>
      <c r="C897" s="138">
        <v>1.1100000000000001</v>
      </c>
      <c r="D897" s="138"/>
      <c r="E897" s="138">
        <v>1.1100000000000001</v>
      </c>
    </row>
    <row r="898" spans="1:5" x14ac:dyDescent="0.25">
      <c r="A898" s="91" t="s">
        <v>8930</v>
      </c>
      <c r="B898" s="138">
        <v>14468.24</v>
      </c>
      <c r="C898" s="138">
        <v>12582.14</v>
      </c>
      <c r="D898" s="138"/>
      <c r="E898" s="138">
        <v>27050.379999999997</v>
      </c>
    </row>
    <row r="899" spans="1:5" x14ac:dyDescent="0.25">
      <c r="A899" s="91" t="s">
        <v>8931</v>
      </c>
      <c r="B899" s="138">
        <v>0</v>
      </c>
      <c r="C899" s="138">
        <v>0.26</v>
      </c>
      <c r="D899" s="138"/>
      <c r="E899" s="138">
        <v>0.26</v>
      </c>
    </row>
    <row r="900" spans="1:5" x14ac:dyDescent="0.25">
      <c r="A900" s="91" t="s">
        <v>8932</v>
      </c>
      <c r="B900" s="138">
        <v>171023.48</v>
      </c>
      <c r="C900" s="138">
        <v>145593.53</v>
      </c>
      <c r="D900" s="138"/>
      <c r="E900" s="138">
        <v>316617.01</v>
      </c>
    </row>
    <row r="901" spans="1:5" x14ac:dyDescent="0.25">
      <c r="A901" s="91" t="s">
        <v>8933</v>
      </c>
      <c r="B901" s="138">
        <v>498.91</v>
      </c>
      <c r="C901" s="138">
        <v>434.84</v>
      </c>
      <c r="D901" s="138"/>
      <c r="E901" s="138">
        <v>933.75</v>
      </c>
    </row>
    <row r="902" spans="1:5" x14ac:dyDescent="0.25">
      <c r="A902" s="91" t="s">
        <v>8934</v>
      </c>
      <c r="B902" s="138">
        <v>18866.599999999999</v>
      </c>
      <c r="C902" s="138">
        <v>16451.830000000002</v>
      </c>
      <c r="D902" s="138"/>
      <c r="E902" s="138">
        <v>35318.43</v>
      </c>
    </row>
    <row r="903" spans="1:5" x14ac:dyDescent="0.25">
      <c r="A903" s="91" t="s">
        <v>8935</v>
      </c>
      <c r="B903" s="138">
        <v>0</v>
      </c>
      <c r="C903" s="138">
        <v>0.35</v>
      </c>
      <c r="D903" s="138"/>
      <c r="E903" s="138">
        <v>0.35</v>
      </c>
    </row>
    <row r="904" spans="1:5" x14ac:dyDescent="0.25">
      <c r="A904" s="91" t="s">
        <v>8936</v>
      </c>
      <c r="B904" s="138">
        <v>7800</v>
      </c>
      <c r="C904" s="138">
        <v>5740.88</v>
      </c>
      <c r="D904" s="138"/>
      <c r="E904" s="138">
        <v>13540.880000000001</v>
      </c>
    </row>
    <row r="905" spans="1:5" x14ac:dyDescent="0.25">
      <c r="A905" s="91" t="s">
        <v>7938</v>
      </c>
      <c r="B905" s="138">
        <v>34660</v>
      </c>
      <c r="C905" s="138">
        <v>18474.169999999998</v>
      </c>
      <c r="D905" s="138">
        <v>41592</v>
      </c>
      <c r="E905" s="138">
        <v>94726.17</v>
      </c>
    </row>
    <row r="906" spans="1:5" x14ac:dyDescent="0.25">
      <c r="A906" s="91" t="s">
        <v>8217</v>
      </c>
      <c r="B906" s="138">
        <v>339.23</v>
      </c>
      <c r="C906" s="138">
        <v>35.92</v>
      </c>
      <c r="D906" s="138">
        <v>3682.7999999999997</v>
      </c>
      <c r="E906" s="138">
        <v>4057.95</v>
      </c>
    </row>
    <row r="907" spans="1:5" x14ac:dyDescent="0.25">
      <c r="A907" s="91" t="s">
        <v>8297</v>
      </c>
      <c r="B907" s="138">
        <v>-3965</v>
      </c>
      <c r="C907" s="138">
        <v>4000</v>
      </c>
      <c r="D907" s="138">
        <v>14358</v>
      </c>
      <c r="E907" s="138">
        <v>14393</v>
      </c>
    </row>
    <row r="908" spans="1:5" x14ac:dyDescent="0.25">
      <c r="A908" s="91" t="s">
        <v>7939</v>
      </c>
      <c r="B908" s="138">
        <v>470</v>
      </c>
      <c r="C908" s="138">
        <v>0</v>
      </c>
      <c r="D908" s="138">
        <v>564</v>
      </c>
      <c r="E908" s="138">
        <v>1034</v>
      </c>
    </row>
    <row r="909" spans="1:5" x14ac:dyDescent="0.25">
      <c r="A909" s="91" t="s">
        <v>8218</v>
      </c>
      <c r="B909" s="138">
        <v>27.9</v>
      </c>
      <c r="C909" s="138">
        <v>0</v>
      </c>
      <c r="D909" s="138">
        <v>334.8</v>
      </c>
      <c r="E909" s="138">
        <v>362.7</v>
      </c>
    </row>
    <row r="910" spans="1:5" x14ac:dyDescent="0.25">
      <c r="A910" s="91" t="s">
        <v>8937</v>
      </c>
      <c r="B910" s="138">
        <v>120754</v>
      </c>
      <c r="C910" s="138">
        <v>98798.76</v>
      </c>
      <c r="D910" s="138"/>
      <c r="E910" s="138">
        <v>219552.76</v>
      </c>
    </row>
    <row r="911" spans="1:5" x14ac:dyDescent="0.25">
      <c r="A911" s="91" t="s">
        <v>7665</v>
      </c>
      <c r="B911" s="138">
        <v>34000</v>
      </c>
      <c r="C911" s="138">
        <v>5729.98</v>
      </c>
      <c r="D911" s="138">
        <v>34000</v>
      </c>
      <c r="E911" s="138">
        <v>73729.98</v>
      </c>
    </row>
    <row r="912" spans="1:5" x14ac:dyDescent="0.25">
      <c r="A912" s="91" t="s">
        <v>7740</v>
      </c>
      <c r="B912" s="138">
        <v>620</v>
      </c>
      <c r="C912" s="138">
        <v>0</v>
      </c>
      <c r="D912" s="138">
        <v>644.80000000000007</v>
      </c>
      <c r="E912" s="138">
        <v>1264.8000000000002</v>
      </c>
    </row>
    <row r="913" spans="1:5" x14ac:dyDescent="0.25">
      <c r="A913" s="91" t="s">
        <v>7791</v>
      </c>
      <c r="B913" s="138">
        <v>0</v>
      </c>
      <c r="C913" s="138">
        <v>300</v>
      </c>
      <c r="D913" s="138">
        <v>0</v>
      </c>
      <c r="E913" s="138">
        <v>300</v>
      </c>
    </row>
    <row r="914" spans="1:5" x14ac:dyDescent="0.25">
      <c r="A914" s="91" t="s">
        <v>8938</v>
      </c>
      <c r="B914" s="138">
        <v>13012.74</v>
      </c>
      <c r="C914" s="138">
        <v>10843.59</v>
      </c>
      <c r="D914" s="138"/>
      <c r="E914" s="138">
        <v>23856.33</v>
      </c>
    </row>
    <row r="915" spans="1:5" x14ac:dyDescent="0.25">
      <c r="A915" s="91" t="s">
        <v>7823</v>
      </c>
      <c r="B915" s="138">
        <v>0</v>
      </c>
      <c r="C915" s="138">
        <v>430.75</v>
      </c>
      <c r="D915" s="138">
        <v>1341.4499999999998</v>
      </c>
      <c r="E915" s="138">
        <v>1772.1999999999998</v>
      </c>
    </row>
    <row r="916" spans="1:5" x14ac:dyDescent="0.25">
      <c r="A916" s="91" t="s">
        <v>8939</v>
      </c>
      <c r="B916" s="138">
        <v>25092.9</v>
      </c>
      <c r="C916" s="138">
        <v>16881.419999999998</v>
      </c>
      <c r="D916" s="138"/>
      <c r="E916" s="138">
        <v>41974.32</v>
      </c>
    </row>
    <row r="917" spans="1:5" x14ac:dyDescent="0.25">
      <c r="A917" s="91" t="s">
        <v>8940</v>
      </c>
      <c r="B917" s="138">
        <v>0</v>
      </c>
      <c r="C917" s="138">
        <v>48.45</v>
      </c>
      <c r="D917" s="138"/>
      <c r="E917" s="138">
        <v>48.45</v>
      </c>
    </row>
    <row r="918" spans="1:5" x14ac:dyDescent="0.25">
      <c r="A918" s="91" t="s">
        <v>8941</v>
      </c>
      <c r="B918" s="138">
        <v>2693.64</v>
      </c>
      <c r="C918" s="138">
        <v>2244.6</v>
      </c>
      <c r="D918" s="138"/>
      <c r="E918" s="138">
        <v>4938.24</v>
      </c>
    </row>
    <row r="919" spans="1:5" x14ac:dyDescent="0.25">
      <c r="A919" s="91" t="s">
        <v>8942</v>
      </c>
      <c r="B919" s="138">
        <v>806.79</v>
      </c>
      <c r="C919" s="138">
        <v>672.25</v>
      </c>
      <c r="D919" s="138"/>
      <c r="E919" s="138">
        <v>1479.04</v>
      </c>
    </row>
    <row r="920" spans="1:5" x14ac:dyDescent="0.25">
      <c r="A920" s="91" t="s">
        <v>8943</v>
      </c>
      <c r="B920" s="138">
        <v>0</v>
      </c>
      <c r="C920" s="138">
        <v>26.7</v>
      </c>
      <c r="D920" s="138"/>
      <c r="E920" s="138">
        <v>26.7</v>
      </c>
    </row>
    <row r="921" spans="1:5" x14ac:dyDescent="0.25">
      <c r="A921" s="91" t="s">
        <v>8944</v>
      </c>
      <c r="B921" s="138">
        <v>2441.6</v>
      </c>
      <c r="C921" s="138">
        <v>1661.06</v>
      </c>
      <c r="D921" s="138"/>
      <c r="E921" s="138">
        <v>4102.66</v>
      </c>
    </row>
    <row r="922" spans="1:5" x14ac:dyDescent="0.25">
      <c r="A922" s="91" t="s">
        <v>8945</v>
      </c>
      <c r="B922" s="138">
        <v>0</v>
      </c>
      <c r="C922" s="138">
        <v>10.59</v>
      </c>
      <c r="D922" s="138"/>
      <c r="E922" s="138">
        <v>10.59</v>
      </c>
    </row>
    <row r="923" spans="1:5" x14ac:dyDescent="0.25">
      <c r="A923" s="91" t="s">
        <v>8946</v>
      </c>
      <c r="B923" s="138">
        <v>37742.75</v>
      </c>
      <c r="C923" s="138">
        <v>30439.48</v>
      </c>
      <c r="D923" s="138"/>
      <c r="E923" s="138">
        <v>68182.23</v>
      </c>
    </row>
    <row r="924" spans="1:5" x14ac:dyDescent="0.25">
      <c r="A924" s="91" t="s">
        <v>8947</v>
      </c>
      <c r="B924" s="138">
        <v>84.2</v>
      </c>
      <c r="C924" s="138">
        <v>57.72</v>
      </c>
      <c r="D924" s="138"/>
      <c r="E924" s="138">
        <v>141.92000000000002</v>
      </c>
    </row>
    <row r="925" spans="1:5" x14ac:dyDescent="0.25">
      <c r="A925" s="91" t="s">
        <v>8948</v>
      </c>
      <c r="B925" s="138">
        <v>0</v>
      </c>
      <c r="C925" s="138">
        <v>0.37</v>
      </c>
      <c r="D925" s="138"/>
      <c r="E925" s="138">
        <v>0.37</v>
      </c>
    </row>
    <row r="926" spans="1:5" x14ac:dyDescent="0.25">
      <c r="A926" s="91" t="s">
        <v>8949</v>
      </c>
      <c r="B926" s="138">
        <v>3183.85</v>
      </c>
      <c r="C926" s="138">
        <v>2181.96</v>
      </c>
      <c r="D926" s="138"/>
      <c r="E926" s="138">
        <v>5365.8099999999995</v>
      </c>
    </row>
    <row r="927" spans="1:5" x14ac:dyDescent="0.25">
      <c r="A927" s="91" t="s">
        <v>8950</v>
      </c>
      <c r="B927" s="138">
        <v>0</v>
      </c>
      <c r="C927" s="138">
        <v>13.81</v>
      </c>
      <c r="D927" s="138"/>
      <c r="E927" s="138">
        <v>13.81</v>
      </c>
    </row>
    <row r="928" spans="1:5" x14ac:dyDescent="0.25">
      <c r="A928" s="91" t="s">
        <v>8951</v>
      </c>
      <c r="B928" s="138">
        <v>480</v>
      </c>
      <c r="C928" s="138">
        <v>360</v>
      </c>
      <c r="D928" s="138"/>
      <c r="E928" s="138">
        <v>840</v>
      </c>
    </row>
    <row r="929" spans="1:5" x14ac:dyDescent="0.25">
      <c r="A929" s="91" t="s">
        <v>7940</v>
      </c>
      <c r="B929" s="138">
        <v>1674</v>
      </c>
      <c r="C929" s="138">
        <v>1072.99</v>
      </c>
      <c r="D929" s="138">
        <v>2008.8</v>
      </c>
      <c r="E929" s="138">
        <v>4755.79</v>
      </c>
    </row>
    <row r="930" spans="1:5" x14ac:dyDescent="0.25">
      <c r="A930" s="91" t="s">
        <v>8219</v>
      </c>
      <c r="B930" s="138">
        <v>27.9</v>
      </c>
      <c r="C930" s="138">
        <v>0</v>
      </c>
      <c r="D930" s="138">
        <v>446.4</v>
      </c>
      <c r="E930" s="138">
        <v>474.29999999999995</v>
      </c>
    </row>
    <row r="931" spans="1:5" x14ac:dyDescent="0.25">
      <c r="A931" s="91" t="s">
        <v>8952</v>
      </c>
      <c r="B931" s="138">
        <v>1601955.82</v>
      </c>
      <c r="C931" s="138">
        <v>1224889.49</v>
      </c>
      <c r="D931" s="138"/>
      <c r="E931" s="138">
        <v>2826845.31</v>
      </c>
    </row>
    <row r="932" spans="1:5" x14ac:dyDescent="0.25">
      <c r="A932" s="91" t="s">
        <v>7666</v>
      </c>
      <c r="B932" s="138">
        <v>271000</v>
      </c>
      <c r="C932" s="138">
        <v>165308.10999999999</v>
      </c>
      <c r="D932" s="138">
        <v>271000</v>
      </c>
      <c r="E932" s="138">
        <v>707308.11</v>
      </c>
    </row>
    <row r="933" spans="1:5" x14ac:dyDescent="0.25">
      <c r="A933" s="91" t="s">
        <v>7741</v>
      </c>
      <c r="B933" s="138">
        <v>240000</v>
      </c>
      <c r="C933" s="138">
        <v>77003.59</v>
      </c>
      <c r="D933" s="138">
        <v>240000</v>
      </c>
      <c r="E933" s="138">
        <v>557003.59</v>
      </c>
    </row>
    <row r="934" spans="1:5" x14ac:dyDescent="0.25">
      <c r="A934" s="91" t="s">
        <v>7792</v>
      </c>
      <c r="B934" s="138">
        <v>0</v>
      </c>
      <c r="C934" s="138">
        <v>300</v>
      </c>
      <c r="D934" s="138">
        <v>0</v>
      </c>
      <c r="E934" s="138">
        <v>300</v>
      </c>
    </row>
    <row r="935" spans="1:5" x14ac:dyDescent="0.25">
      <c r="A935" s="91" t="s">
        <v>8953</v>
      </c>
      <c r="B935" s="138">
        <v>341242.36</v>
      </c>
      <c r="C935" s="138">
        <v>238031.44</v>
      </c>
      <c r="D935" s="138"/>
      <c r="E935" s="138">
        <v>579273.80000000005</v>
      </c>
    </row>
    <row r="936" spans="1:5" x14ac:dyDescent="0.25">
      <c r="A936" s="91" t="s">
        <v>8954</v>
      </c>
      <c r="B936" s="138">
        <v>0</v>
      </c>
      <c r="C936" s="138">
        <v>48.45</v>
      </c>
      <c r="D936" s="138"/>
      <c r="E936" s="138">
        <v>48.45</v>
      </c>
    </row>
    <row r="937" spans="1:5" x14ac:dyDescent="0.25">
      <c r="A937" s="91" t="s">
        <v>8955</v>
      </c>
      <c r="B937" s="138">
        <v>0</v>
      </c>
      <c r="C937" s="138">
        <v>1536.68</v>
      </c>
      <c r="D937" s="138"/>
      <c r="E937" s="138">
        <v>1536.68</v>
      </c>
    </row>
    <row r="938" spans="1:5" x14ac:dyDescent="0.25">
      <c r="A938" s="91" t="s">
        <v>8956</v>
      </c>
      <c r="B938" s="138">
        <v>30637.85</v>
      </c>
      <c r="C938" s="138">
        <v>20887.990000000002</v>
      </c>
      <c r="D938" s="138"/>
      <c r="E938" s="138">
        <v>51525.84</v>
      </c>
    </row>
    <row r="939" spans="1:5" x14ac:dyDescent="0.25">
      <c r="A939" s="91" t="s">
        <v>8957</v>
      </c>
      <c r="B939" s="138">
        <v>0</v>
      </c>
      <c r="C939" s="138">
        <v>4.3499999999999996</v>
      </c>
      <c r="D939" s="138"/>
      <c r="E939" s="138">
        <v>4.3499999999999996</v>
      </c>
    </row>
    <row r="940" spans="1:5" x14ac:dyDescent="0.25">
      <c r="A940" s="91" t="s">
        <v>8958</v>
      </c>
      <c r="B940" s="138">
        <v>380293.15</v>
      </c>
      <c r="C940" s="138">
        <v>311311.71999999997</v>
      </c>
      <c r="D940" s="138"/>
      <c r="E940" s="138">
        <v>691604.87</v>
      </c>
    </row>
    <row r="941" spans="1:5" x14ac:dyDescent="0.25">
      <c r="A941" s="91" t="s">
        <v>8959</v>
      </c>
      <c r="B941" s="138">
        <v>1056.48</v>
      </c>
      <c r="C941" s="138">
        <v>723.99</v>
      </c>
      <c r="D941" s="138"/>
      <c r="E941" s="138">
        <v>1780.47</v>
      </c>
    </row>
    <row r="942" spans="1:5" x14ac:dyDescent="0.25">
      <c r="A942" s="91" t="s">
        <v>8960</v>
      </c>
      <c r="B942" s="138">
        <v>0</v>
      </c>
      <c r="C942" s="138">
        <v>0.15</v>
      </c>
      <c r="D942" s="138"/>
      <c r="E942" s="138">
        <v>0.15</v>
      </c>
    </row>
    <row r="943" spans="1:5" x14ac:dyDescent="0.25">
      <c r="A943" s="91" t="s">
        <v>8961</v>
      </c>
      <c r="B943" s="138">
        <v>39951.78</v>
      </c>
      <c r="C943" s="138">
        <v>27741.71</v>
      </c>
      <c r="D943" s="138"/>
      <c r="E943" s="138">
        <v>67693.489999999991</v>
      </c>
    </row>
    <row r="944" spans="1:5" x14ac:dyDescent="0.25">
      <c r="A944" s="91" t="s">
        <v>8962</v>
      </c>
      <c r="B944" s="138">
        <v>0</v>
      </c>
      <c r="C944" s="138">
        <v>5.67</v>
      </c>
      <c r="D944" s="138"/>
      <c r="E944" s="138">
        <v>5.67</v>
      </c>
    </row>
    <row r="945" spans="1:5" x14ac:dyDescent="0.25">
      <c r="A945" s="91" t="s">
        <v>8963</v>
      </c>
      <c r="B945" s="138">
        <v>4800</v>
      </c>
      <c r="C945" s="138">
        <v>5236.32</v>
      </c>
      <c r="D945" s="138"/>
      <c r="E945" s="138">
        <v>10036.32</v>
      </c>
    </row>
    <row r="946" spans="1:5" x14ac:dyDescent="0.25">
      <c r="A946" s="91" t="s">
        <v>7941</v>
      </c>
      <c r="B946" s="138">
        <v>930</v>
      </c>
      <c r="C946" s="138">
        <v>0</v>
      </c>
      <c r="D946" s="138">
        <v>1116</v>
      </c>
      <c r="E946" s="138">
        <v>2046</v>
      </c>
    </row>
    <row r="947" spans="1:5" x14ac:dyDescent="0.25">
      <c r="A947" s="91" t="s">
        <v>8220</v>
      </c>
      <c r="B947" s="138">
        <v>976.3</v>
      </c>
      <c r="C947" s="138">
        <v>0</v>
      </c>
      <c r="D947" s="138">
        <v>11718</v>
      </c>
      <c r="E947" s="138">
        <v>12694.3</v>
      </c>
    </row>
    <row r="948" spans="1:5" x14ac:dyDescent="0.25">
      <c r="A948" s="91" t="s">
        <v>8298</v>
      </c>
      <c r="B948" s="138">
        <v>470</v>
      </c>
      <c r="C948" s="138">
        <v>0</v>
      </c>
      <c r="D948" s="138">
        <v>564</v>
      </c>
      <c r="E948" s="138">
        <v>1034</v>
      </c>
    </row>
    <row r="949" spans="1:5" x14ac:dyDescent="0.25">
      <c r="A949" s="91" t="s">
        <v>8964</v>
      </c>
      <c r="B949" s="138">
        <v>95696</v>
      </c>
      <c r="C949" s="138">
        <v>78296.759999999995</v>
      </c>
      <c r="D949" s="138"/>
      <c r="E949" s="138">
        <v>173992.76</v>
      </c>
    </row>
    <row r="950" spans="1:5" x14ac:dyDescent="0.25">
      <c r="A950" s="91" t="s">
        <v>7667</v>
      </c>
      <c r="B950" s="138">
        <v>7287</v>
      </c>
      <c r="C950" s="138">
        <v>8785.91</v>
      </c>
      <c r="D950" s="138">
        <v>10930.5</v>
      </c>
      <c r="E950" s="138">
        <v>27003.41</v>
      </c>
    </row>
    <row r="951" spans="1:5" x14ac:dyDescent="0.25">
      <c r="A951" s="91" t="s">
        <v>7742</v>
      </c>
      <c r="B951" s="138">
        <v>39000</v>
      </c>
      <c r="C951" s="138">
        <v>46242.34</v>
      </c>
      <c r="D951" s="138">
        <v>48672</v>
      </c>
      <c r="E951" s="138">
        <v>133914.34</v>
      </c>
    </row>
    <row r="952" spans="1:5" x14ac:dyDescent="0.25">
      <c r="A952" s="91" t="s">
        <v>8965</v>
      </c>
      <c r="B952" s="138">
        <v>48797.78</v>
      </c>
      <c r="C952" s="138">
        <v>40663.47</v>
      </c>
      <c r="D952" s="138"/>
      <c r="E952" s="138">
        <v>89461.25</v>
      </c>
    </row>
    <row r="953" spans="1:5" x14ac:dyDescent="0.25">
      <c r="A953" s="91" t="s">
        <v>7824</v>
      </c>
      <c r="B953" s="138">
        <v>0</v>
      </c>
      <c r="C953" s="138">
        <v>1615.3</v>
      </c>
      <c r="D953" s="138">
        <v>2012.1749999999997</v>
      </c>
      <c r="E953" s="138">
        <v>3627.4749999999995</v>
      </c>
    </row>
    <row r="954" spans="1:5" x14ac:dyDescent="0.25">
      <c r="A954" s="91" t="s">
        <v>8966</v>
      </c>
      <c r="B954" s="138">
        <v>22930.25</v>
      </c>
      <c r="C954" s="138">
        <v>21532.01</v>
      </c>
      <c r="D954" s="138"/>
      <c r="E954" s="138">
        <v>44462.259999999995</v>
      </c>
    </row>
    <row r="955" spans="1:5" x14ac:dyDescent="0.25">
      <c r="A955" s="91" t="s">
        <v>8967</v>
      </c>
      <c r="B955" s="138">
        <v>10101.14</v>
      </c>
      <c r="C955" s="138">
        <v>8417.2900000000009</v>
      </c>
      <c r="D955" s="138"/>
      <c r="E955" s="138">
        <v>18518.43</v>
      </c>
    </row>
    <row r="956" spans="1:5" x14ac:dyDescent="0.25">
      <c r="A956" s="91" t="s">
        <v>8968</v>
      </c>
      <c r="B956" s="138">
        <v>3025.46</v>
      </c>
      <c r="C956" s="138">
        <v>2521.15</v>
      </c>
      <c r="D956" s="138"/>
      <c r="E956" s="138">
        <v>5546.6100000000006</v>
      </c>
    </row>
    <row r="957" spans="1:5" x14ac:dyDescent="0.25">
      <c r="A957" s="91" t="s">
        <v>8969</v>
      </c>
      <c r="B957" s="138">
        <v>0</v>
      </c>
      <c r="C957" s="138">
        <v>100.16</v>
      </c>
      <c r="D957" s="138"/>
      <c r="E957" s="138">
        <v>100.16</v>
      </c>
    </row>
    <row r="958" spans="1:5" x14ac:dyDescent="0.25">
      <c r="A958" s="91" t="s">
        <v>8970</v>
      </c>
      <c r="B958" s="138">
        <v>2766.32</v>
      </c>
      <c r="C958" s="138">
        <v>2522.7800000000002</v>
      </c>
      <c r="D958" s="138"/>
      <c r="E958" s="138">
        <v>5289.1</v>
      </c>
    </row>
    <row r="959" spans="1:5" x14ac:dyDescent="0.25">
      <c r="A959" s="91" t="s">
        <v>8971</v>
      </c>
      <c r="B959" s="138">
        <v>0</v>
      </c>
      <c r="C959" s="138">
        <v>23.42</v>
      </c>
      <c r="D959" s="138"/>
      <c r="E959" s="138">
        <v>23.42</v>
      </c>
    </row>
    <row r="960" spans="1:5" x14ac:dyDescent="0.25">
      <c r="A960" s="91" t="s">
        <v>8972</v>
      </c>
      <c r="B960" s="138">
        <v>18988.59</v>
      </c>
      <c r="C960" s="138">
        <v>15452.99</v>
      </c>
      <c r="D960" s="138"/>
      <c r="E960" s="138">
        <v>34441.58</v>
      </c>
    </row>
    <row r="961" spans="1:5" x14ac:dyDescent="0.25">
      <c r="A961" s="91" t="s">
        <v>8973</v>
      </c>
      <c r="B961" s="138">
        <v>95.39</v>
      </c>
      <c r="C961" s="138">
        <v>87.12</v>
      </c>
      <c r="D961" s="138"/>
      <c r="E961" s="138">
        <v>182.51</v>
      </c>
    </row>
    <row r="962" spans="1:5" x14ac:dyDescent="0.25">
      <c r="A962" s="91" t="s">
        <v>8974</v>
      </c>
      <c r="B962" s="138">
        <v>0</v>
      </c>
      <c r="C962" s="138">
        <v>0.8</v>
      </c>
      <c r="D962" s="138"/>
      <c r="E962" s="138">
        <v>0.8</v>
      </c>
    </row>
    <row r="963" spans="1:5" x14ac:dyDescent="0.25">
      <c r="A963" s="91" t="s">
        <v>8975</v>
      </c>
      <c r="B963" s="138">
        <v>3607.28</v>
      </c>
      <c r="C963" s="138">
        <v>3291.7</v>
      </c>
      <c r="D963" s="138"/>
      <c r="E963" s="138">
        <v>6898.98</v>
      </c>
    </row>
    <row r="964" spans="1:5" x14ac:dyDescent="0.25">
      <c r="A964" s="91" t="s">
        <v>8976</v>
      </c>
      <c r="B964" s="138">
        <v>0</v>
      </c>
      <c r="C964" s="138">
        <v>30.54</v>
      </c>
      <c r="D964" s="138"/>
      <c r="E964" s="138">
        <v>30.54</v>
      </c>
    </row>
    <row r="965" spans="1:5" x14ac:dyDescent="0.25">
      <c r="A965" s="91" t="s">
        <v>8977</v>
      </c>
      <c r="B965" s="138">
        <v>4200</v>
      </c>
      <c r="C965" s="138">
        <v>3313.62</v>
      </c>
      <c r="D965" s="138"/>
      <c r="E965" s="138">
        <v>7513.62</v>
      </c>
    </row>
    <row r="966" spans="1:5" x14ac:dyDescent="0.25">
      <c r="A966" s="91" t="s">
        <v>7942</v>
      </c>
      <c r="B966" s="138">
        <v>1750</v>
      </c>
      <c r="C966" s="138">
        <v>1666.06</v>
      </c>
      <c r="D966" s="138">
        <v>2100</v>
      </c>
      <c r="E966" s="138">
        <v>5516.0599999999995</v>
      </c>
    </row>
    <row r="967" spans="1:5" x14ac:dyDescent="0.25">
      <c r="A967" s="91" t="s">
        <v>8221</v>
      </c>
      <c r="B967" s="138">
        <v>37.200000000000003</v>
      </c>
      <c r="C967" s="138">
        <v>0</v>
      </c>
      <c r="D967" s="138">
        <v>446.4</v>
      </c>
      <c r="E967" s="138">
        <v>483.59999999999997</v>
      </c>
    </row>
    <row r="968" spans="1:5" x14ac:dyDescent="0.25">
      <c r="A968" s="91" t="s">
        <v>8978</v>
      </c>
      <c r="B968" s="138">
        <v>286968</v>
      </c>
      <c r="C968" s="138">
        <v>234794.52</v>
      </c>
      <c r="D968" s="138"/>
      <c r="E968" s="138">
        <v>521762.52</v>
      </c>
    </row>
    <row r="969" spans="1:5" x14ac:dyDescent="0.25">
      <c r="A969" s="91" t="s">
        <v>7668</v>
      </c>
      <c r="B969" s="138">
        <v>26000</v>
      </c>
      <c r="C969" s="138">
        <v>48175.55</v>
      </c>
      <c r="D969" s="138">
        <v>52000</v>
      </c>
      <c r="E969" s="138">
        <v>126175.55</v>
      </c>
    </row>
    <row r="970" spans="1:5" x14ac:dyDescent="0.25">
      <c r="A970" s="91" t="s">
        <v>7743</v>
      </c>
      <c r="B970" s="138">
        <v>81500</v>
      </c>
      <c r="C970" s="138">
        <v>51212.27</v>
      </c>
      <c r="D970" s="138">
        <v>84760</v>
      </c>
      <c r="E970" s="138">
        <v>217472.27</v>
      </c>
    </row>
    <row r="971" spans="1:5" x14ac:dyDescent="0.25">
      <c r="A971" s="91" t="s">
        <v>8979</v>
      </c>
      <c r="B971" s="138">
        <v>114778.9</v>
      </c>
      <c r="C971" s="138">
        <v>99369.05</v>
      </c>
      <c r="D971" s="138"/>
      <c r="E971" s="138">
        <v>214147.95</v>
      </c>
    </row>
    <row r="972" spans="1:5" x14ac:dyDescent="0.25">
      <c r="A972" s="91" t="s">
        <v>7825</v>
      </c>
      <c r="B972" s="138">
        <v>0</v>
      </c>
      <c r="C972" s="138">
        <v>1466.27</v>
      </c>
      <c r="D972" s="138">
        <v>1341.4499999999998</v>
      </c>
      <c r="E972" s="138">
        <v>2807.72</v>
      </c>
    </row>
    <row r="973" spans="1:5" x14ac:dyDescent="0.25">
      <c r="A973" s="91" t="s">
        <v>8980</v>
      </c>
      <c r="B973" s="138">
        <v>63706.58</v>
      </c>
      <c r="C973" s="138">
        <v>53970.47</v>
      </c>
      <c r="D973" s="138"/>
      <c r="E973" s="138">
        <v>117677.05</v>
      </c>
    </row>
    <row r="974" spans="1:5" x14ac:dyDescent="0.25">
      <c r="A974" s="91" t="s">
        <v>8981</v>
      </c>
      <c r="B974" s="138">
        <v>23759.23</v>
      </c>
      <c r="C974" s="138">
        <v>20551.66</v>
      </c>
      <c r="D974" s="138"/>
      <c r="E974" s="138">
        <v>44310.89</v>
      </c>
    </row>
    <row r="975" spans="1:5" x14ac:dyDescent="0.25">
      <c r="A975" s="91" t="s">
        <v>8982</v>
      </c>
      <c r="B975" s="138">
        <v>7116.29</v>
      </c>
      <c r="C975" s="138">
        <v>6063.87</v>
      </c>
      <c r="D975" s="138"/>
      <c r="E975" s="138">
        <v>13180.16</v>
      </c>
    </row>
    <row r="976" spans="1:5" x14ac:dyDescent="0.25">
      <c r="A976" s="91" t="s">
        <v>8983</v>
      </c>
      <c r="B976" s="138">
        <v>0</v>
      </c>
      <c r="C976" s="138">
        <v>90.93</v>
      </c>
      <c r="D976" s="138"/>
      <c r="E976" s="138">
        <v>90.93</v>
      </c>
    </row>
    <row r="977" spans="1:5" x14ac:dyDescent="0.25">
      <c r="A977" s="91" t="s">
        <v>8984</v>
      </c>
      <c r="B977" s="138">
        <v>7384.07</v>
      </c>
      <c r="C977" s="138">
        <v>6263.85</v>
      </c>
      <c r="D977" s="138"/>
      <c r="E977" s="138">
        <v>13647.92</v>
      </c>
    </row>
    <row r="978" spans="1:5" x14ac:dyDescent="0.25">
      <c r="A978" s="91" t="s">
        <v>8985</v>
      </c>
      <c r="B978" s="138">
        <v>0</v>
      </c>
      <c r="C978" s="138">
        <v>21.24</v>
      </c>
      <c r="D978" s="138"/>
      <c r="E978" s="138">
        <v>21.24</v>
      </c>
    </row>
    <row r="979" spans="1:5" x14ac:dyDescent="0.25">
      <c r="A979" s="91" t="s">
        <v>8986</v>
      </c>
      <c r="B979" s="138">
        <v>73211.78</v>
      </c>
      <c r="C979" s="138">
        <v>56823.92</v>
      </c>
      <c r="D979" s="138"/>
      <c r="E979" s="138">
        <v>130035.7</v>
      </c>
    </row>
    <row r="980" spans="1:5" x14ac:dyDescent="0.25">
      <c r="A980" s="91" t="s">
        <v>8987</v>
      </c>
      <c r="B980" s="138">
        <v>254.62</v>
      </c>
      <c r="C980" s="138">
        <v>216.72</v>
      </c>
      <c r="D980" s="138"/>
      <c r="E980" s="138">
        <v>471.34000000000003</v>
      </c>
    </row>
    <row r="981" spans="1:5" x14ac:dyDescent="0.25">
      <c r="A981" s="91" t="s">
        <v>8988</v>
      </c>
      <c r="B981" s="138">
        <v>0</v>
      </c>
      <c r="C981" s="138">
        <v>0.76</v>
      </c>
      <c r="D981" s="138"/>
      <c r="E981" s="138">
        <v>0.76</v>
      </c>
    </row>
    <row r="982" spans="1:5" x14ac:dyDescent="0.25">
      <c r="A982" s="91" t="s">
        <v>8989</v>
      </c>
      <c r="B982" s="138">
        <v>9628.85</v>
      </c>
      <c r="C982" s="138">
        <v>8202.1299999999992</v>
      </c>
      <c r="D982" s="138"/>
      <c r="E982" s="138">
        <v>17830.98</v>
      </c>
    </row>
    <row r="983" spans="1:5" x14ac:dyDescent="0.25">
      <c r="A983" s="91" t="s">
        <v>8990</v>
      </c>
      <c r="B983" s="138">
        <v>0</v>
      </c>
      <c r="C983" s="138">
        <v>27.73</v>
      </c>
      <c r="D983" s="138"/>
      <c r="E983" s="138">
        <v>27.73</v>
      </c>
    </row>
    <row r="984" spans="1:5" x14ac:dyDescent="0.25">
      <c r="A984" s="91" t="s">
        <v>8991</v>
      </c>
      <c r="B984" s="138">
        <v>4200</v>
      </c>
      <c r="C984" s="138">
        <v>3095.44</v>
      </c>
      <c r="D984" s="138"/>
      <c r="E984" s="138">
        <v>7295.4400000000005</v>
      </c>
    </row>
    <row r="985" spans="1:5" x14ac:dyDescent="0.25">
      <c r="A985" s="91" t="s">
        <v>7943</v>
      </c>
      <c r="B985" s="138">
        <v>10500</v>
      </c>
      <c r="C985" s="138">
        <v>9957.26</v>
      </c>
      <c r="D985" s="138">
        <v>12600</v>
      </c>
      <c r="E985" s="138">
        <v>33057.26</v>
      </c>
    </row>
    <row r="986" spans="1:5" x14ac:dyDescent="0.25">
      <c r="A986" s="91" t="s">
        <v>8222</v>
      </c>
      <c r="B986" s="138">
        <v>193.73</v>
      </c>
      <c r="C986" s="138">
        <v>99.81</v>
      </c>
      <c r="D986" s="138">
        <v>1246.8</v>
      </c>
      <c r="E986" s="138">
        <v>1540.34</v>
      </c>
    </row>
    <row r="987" spans="1:5" x14ac:dyDescent="0.25">
      <c r="A987" s="91" t="s">
        <v>8299</v>
      </c>
      <c r="B987" s="138">
        <v>2400</v>
      </c>
      <c r="C987" s="138">
        <v>606.07000000000005</v>
      </c>
      <c r="D987" s="138">
        <v>2880</v>
      </c>
      <c r="E987" s="138">
        <v>5886.07</v>
      </c>
    </row>
    <row r="988" spans="1:5" x14ac:dyDescent="0.25">
      <c r="A988" s="91" t="s">
        <v>8992</v>
      </c>
      <c r="B988" s="138">
        <v>117774</v>
      </c>
      <c r="C988" s="138">
        <v>96360.57</v>
      </c>
      <c r="D988" s="138"/>
      <c r="E988" s="138">
        <v>214134.57</v>
      </c>
    </row>
    <row r="989" spans="1:5" x14ac:dyDescent="0.25">
      <c r="A989" s="91" t="s">
        <v>7669</v>
      </c>
      <c r="B989" s="138">
        <v>1300</v>
      </c>
      <c r="C989" s="138">
        <v>2781</v>
      </c>
      <c r="D989" s="138">
        <v>2600</v>
      </c>
      <c r="E989" s="138">
        <v>6681</v>
      </c>
    </row>
    <row r="990" spans="1:5" x14ac:dyDescent="0.25">
      <c r="A990" s="91" t="s">
        <v>7744</v>
      </c>
      <c r="B990" s="138">
        <v>33400</v>
      </c>
      <c r="C990" s="138">
        <v>36071.589999999997</v>
      </c>
      <c r="D990" s="138">
        <v>34736</v>
      </c>
      <c r="E990" s="138">
        <v>104207.59</v>
      </c>
    </row>
    <row r="991" spans="1:5" x14ac:dyDescent="0.25">
      <c r="A991" s="91" t="s">
        <v>8993</v>
      </c>
      <c r="B991" s="138">
        <v>24624.55</v>
      </c>
      <c r="C991" s="138">
        <v>21836.97</v>
      </c>
      <c r="D991" s="138"/>
      <c r="E991" s="138">
        <v>46461.520000000004</v>
      </c>
    </row>
    <row r="992" spans="1:5" x14ac:dyDescent="0.25">
      <c r="A992" s="91" t="s">
        <v>8994</v>
      </c>
      <c r="B992" s="138">
        <v>2210.87</v>
      </c>
      <c r="C992" s="138">
        <v>1948.78</v>
      </c>
      <c r="D992" s="138"/>
      <c r="E992" s="138">
        <v>4159.6499999999996</v>
      </c>
    </row>
    <row r="993" spans="1:5" x14ac:dyDescent="0.25">
      <c r="A993" s="91" t="s">
        <v>8995</v>
      </c>
      <c r="B993" s="138">
        <v>33121.43</v>
      </c>
      <c r="C993" s="138">
        <v>26666.240000000002</v>
      </c>
      <c r="D993" s="138"/>
      <c r="E993" s="138">
        <v>59787.67</v>
      </c>
    </row>
    <row r="994" spans="1:5" x14ac:dyDescent="0.25">
      <c r="A994" s="91" t="s">
        <v>8996</v>
      </c>
      <c r="B994" s="138">
        <v>76.239999999999995</v>
      </c>
      <c r="C994" s="138">
        <v>67.58</v>
      </c>
      <c r="D994" s="138"/>
      <c r="E994" s="138">
        <v>143.82</v>
      </c>
    </row>
    <row r="995" spans="1:5" x14ac:dyDescent="0.25">
      <c r="A995" s="91" t="s">
        <v>8997</v>
      </c>
      <c r="B995" s="138">
        <v>2882.98</v>
      </c>
      <c r="C995" s="138">
        <v>2556.5500000000002</v>
      </c>
      <c r="D995" s="138"/>
      <c r="E995" s="138">
        <v>5439.5300000000007</v>
      </c>
    </row>
    <row r="996" spans="1:5" x14ac:dyDescent="0.25">
      <c r="A996" s="91" t="s">
        <v>7944</v>
      </c>
      <c r="B996" s="138">
        <v>930</v>
      </c>
      <c r="C996" s="138">
        <v>1204.45</v>
      </c>
      <c r="D996" s="138">
        <v>1116</v>
      </c>
      <c r="E996" s="138">
        <v>3250.45</v>
      </c>
    </row>
    <row r="997" spans="1:5" x14ac:dyDescent="0.25">
      <c r="A997" s="91" t="s">
        <v>8223</v>
      </c>
      <c r="B997" s="138">
        <v>51.75</v>
      </c>
      <c r="C997" s="138">
        <v>1.94</v>
      </c>
      <c r="D997" s="138">
        <v>600</v>
      </c>
      <c r="E997" s="138">
        <v>653.69000000000005</v>
      </c>
    </row>
    <row r="998" spans="1:5" x14ac:dyDescent="0.25">
      <c r="A998" s="91" t="s">
        <v>8998</v>
      </c>
      <c r="B998" s="138">
        <v>83356.800000000003</v>
      </c>
      <c r="C998" s="138">
        <v>68201.100000000006</v>
      </c>
      <c r="D998" s="138"/>
      <c r="E998" s="138">
        <v>151557.90000000002</v>
      </c>
    </row>
    <row r="999" spans="1:5" x14ac:dyDescent="0.25">
      <c r="A999" s="91" t="s">
        <v>7745</v>
      </c>
      <c r="B999" s="138">
        <v>2900</v>
      </c>
      <c r="C999" s="138">
        <v>0</v>
      </c>
      <c r="D999" s="138">
        <v>2900</v>
      </c>
      <c r="E999" s="138">
        <v>5800</v>
      </c>
    </row>
    <row r="1000" spans="1:5" x14ac:dyDescent="0.25">
      <c r="A1000" s="91" t="s">
        <v>8999</v>
      </c>
      <c r="B1000" s="138">
        <v>3253.19</v>
      </c>
      <c r="C1000" s="138">
        <v>2710.9</v>
      </c>
      <c r="D1000" s="138"/>
      <c r="E1000" s="138">
        <v>5964.09</v>
      </c>
    </row>
    <row r="1001" spans="1:5" x14ac:dyDescent="0.25">
      <c r="A1001" s="91" t="s">
        <v>7826</v>
      </c>
      <c r="B1001" s="138">
        <v>0</v>
      </c>
      <c r="C1001" s="138">
        <v>107.69</v>
      </c>
      <c r="D1001" s="138">
        <v>1404.6749999999997</v>
      </c>
      <c r="E1001" s="138">
        <v>1512.3649999999998</v>
      </c>
    </row>
    <row r="1002" spans="1:5" x14ac:dyDescent="0.25">
      <c r="A1002" s="91" t="s">
        <v>9000</v>
      </c>
      <c r="B1002" s="138">
        <v>13930.47</v>
      </c>
      <c r="C1002" s="138">
        <v>11014.47</v>
      </c>
      <c r="D1002" s="138"/>
      <c r="E1002" s="138">
        <v>24944.94</v>
      </c>
    </row>
    <row r="1003" spans="1:5" x14ac:dyDescent="0.25">
      <c r="A1003" s="91" t="s">
        <v>9001</v>
      </c>
      <c r="B1003" s="138">
        <v>673.41</v>
      </c>
      <c r="C1003" s="138">
        <v>561.20000000000005</v>
      </c>
      <c r="D1003" s="138"/>
      <c r="E1003" s="138">
        <v>1234.6100000000001</v>
      </c>
    </row>
    <row r="1004" spans="1:5" x14ac:dyDescent="0.25">
      <c r="A1004" s="91" t="s">
        <v>9002</v>
      </c>
      <c r="B1004" s="138">
        <v>201.7</v>
      </c>
      <c r="C1004" s="138">
        <v>175.25</v>
      </c>
      <c r="D1004" s="138"/>
      <c r="E1004" s="138">
        <v>376.95</v>
      </c>
    </row>
    <row r="1005" spans="1:5" x14ac:dyDescent="0.25">
      <c r="A1005" s="91" t="s">
        <v>9003</v>
      </c>
      <c r="B1005" s="138">
        <v>0</v>
      </c>
      <c r="C1005" s="138">
        <v>6.66</v>
      </c>
      <c r="D1005" s="138"/>
      <c r="E1005" s="138">
        <v>6.66</v>
      </c>
    </row>
    <row r="1006" spans="1:5" x14ac:dyDescent="0.25">
      <c r="A1006" s="91" t="s">
        <v>9004</v>
      </c>
      <c r="B1006" s="138">
        <v>1297.8900000000001</v>
      </c>
      <c r="C1006" s="138">
        <v>1015.2</v>
      </c>
      <c r="D1006" s="138"/>
      <c r="E1006" s="138">
        <v>2313.09</v>
      </c>
    </row>
    <row r="1007" spans="1:5" x14ac:dyDescent="0.25">
      <c r="A1007" s="91" t="s">
        <v>9005</v>
      </c>
      <c r="B1007" s="138">
        <v>0</v>
      </c>
      <c r="C1007" s="138">
        <v>1.6</v>
      </c>
      <c r="D1007" s="138"/>
      <c r="E1007" s="138">
        <v>1.6</v>
      </c>
    </row>
    <row r="1008" spans="1:5" x14ac:dyDescent="0.25">
      <c r="A1008" s="91" t="s">
        <v>9006</v>
      </c>
      <c r="B1008" s="138">
        <v>21347.91</v>
      </c>
      <c r="C1008" s="138">
        <v>17198.18</v>
      </c>
      <c r="D1008" s="138"/>
      <c r="E1008" s="138">
        <v>38546.089999999997</v>
      </c>
    </row>
    <row r="1009" spans="1:5" x14ac:dyDescent="0.25">
      <c r="A1009" s="91" t="s">
        <v>9007</v>
      </c>
      <c r="B1009" s="138">
        <v>44.76</v>
      </c>
      <c r="C1009" s="138">
        <v>35.39</v>
      </c>
      <c r="D1009" s="138"/>
      <c r="E1009" s="138">
        <v>80.150000000000006</v>
      </c>
    </row>
    <row r="1010" spans="1:5" x14ac:dyDescent="0.25">
      <c r="A1010" s="91" t="s">
        <v>9008</v>
      </c>
      <c r="B1010" s="138">
        <v>0</v>
      </c>
      <c r="C1010" s="138">
        <v>0.05</v>
      </c>
      <c r="D1010" s="138"/>
      <c r="E1010" s="138">
        <v>0.05</v>
      </c>
    </row>
    <row r="1011" spans="1:5" x14ac:dyDescent="0.25">
      <c r="A1011" s="91" t="s">
        <v>9009</v>
      </c>
      <c r="B1011" s="138">
        <v>1692.45</v>
      </c>
      <c r="C1011" s="138">
        <v>1340.96</v>
      </c>
      <c r="D1011" s="138"/>
      <c r="E1011" s="138">
        <v>3033.41</v>
      </c>
    </row>
    <row r="1012" spans="1:5" x14ac:dyDescent="0.25">
      <c r="A1012" s="91" t="s">
        <v>9010</v>
      </c>
      <c r="B1012" s="138">
        <v>0</v>
      </c>
      <c r="C1012" s="138">
        <v>2.0299999999999998</v>
      </c>
      <c r="D1012" s="138"/>
      <c r="E1012" s="138">
        <v>2.0299999999999998</v>
      </c>
    </row>
    <row r="1013" spans="1:5" x14ac:dyDescent="0.25">
      <c r="A1013" s="91" t="s">
        <v>9011</v>
      </c>
      <c r="B1013" s="138">
        <v>120</v>
      </c>
      <c r="C1013" s="138">
        <v>90</v>
      </c>
      <c r="D1013" s="138"/>
      <c r="E1013" s="138">
        <v>210</v>
      </c>
    </row>
    <row r="1014" spans="1:5" x14ac:dyDescent="0.25">
      <c r="A1014" s="91" t="s">
        <v>7945</v>
      </c>
      <c r="B1014" s="138">
        <v>1000</v>
      </c>
      <c r="C1014" s="138">
        <v>537.79</v>
      </c>
      <c r="D1014" s="138">
        <v>1200</v>
      </c>
      <c r="E1014" s="138">
        <v>2737.79</v>
      </c>
    </row>
    <row r="1015" spans="1:5" x14ac:dyDescent="0.25">
      <c r="A1015" s="91" t="s">
        <v>8224</v>
      </c>
      <c r="B1015" s="138">
        <v>55.8</v>
      </c>
      <c r="C1015" s="138">
        <v>0</v>
      </c>
      <c r="D1015" s="138">
        <v>669.6</v>
      </c>
      <c r="E1015" s="138">
        <v>725.4</v>
      </c>
    </row>
    <row r="1016" spans="1:5" x14ac:dyDescent="0.25">
      <c r="A1016" s="91" t="s">
        <v>9012</v>
      </c>
      <c r="B1016" s="138">
        <v>20839.2</v>
      </c>
      <c r="C1016" s="138">
        <v>17050.23</v>
      </c>
      <c r="D1016" s="138"/>
      <c r="E1016" s="138">
        <v>37889.43</v>
      </c>
    </row>
    <row r="1017" spans="1:5" x14ac:dyDescent="0.25">
      <c r="A1017" s="91" t="s">
        <v>7746</v>
      </c>
      <c r="B1017" s="138">
        <v>3400</v>
      </c>
      <c r="C1017" s="138">
        <v>0</v>
      </c>
      <c r="D1017" s="138">
        <v>3400</v>
      </c>
      <c r="E1017" s="138">
        <v>6800</v>
      </c>
    </row>
    <row r="1018" spans="1:5" x14ac:dyDescent="0.25">
      <c r="A1018" s="91" t="s">
        <v>9013</v>
      </c>
      <c r="B1018" s="138">
        <v>3914.63</v>
      </c>
      <c r="C1018" s="138">
        <v>2753.64</v>
      </c>
      <c r="D1018" s="138"/>
      <c r="E1018" s="138">
        <v>6668.27</v>
      </c>
    </row>
    <row r="1019" spans="1:5" x14ac:dyDescent="0.25">
      <c r="A1019" s="91" t="s">
        <v>9014</v>
      </c>
      <c r="B1019" s="138">
        <v>351.47</v>
      </c>
      <c r="C1019" s="138">
        <v>245.78</v>
      </c>
      <c r="D1019" s="138"/>
      <c r="E1019" s="138">
        <v>597.25</v>
      </c>
    </row>
    <row r="1020" spans="1:5" x14ac:dyDescent="0.25">
      <c r="A1020" s="91" t="s">
        <v>9015</v>
      </c>
      <c r="B1020" s="138">
        <v>5048.1499999999996</v>
      </c>
      <c r="C1020" s="138">
        <v>4063.7</v>
      </c>
      <c r="D1020" s="138"/>
      <c r="E1020" s="138">
        <v>9111.8499999999985</v>
      </c>
    </row>
    <row r="1021" spans="1:5" x14ac:dyDescent="0.25">
      <c r="A1021" s="91" t="s">
        <v>9016</v>
      </c>
      <c r="B1021" s="138">
        <v>12.12</v>
      </c>
      <c r="C1021" s="138">
        <v>8.5500000000000007</v>
      </c>
      <c r="D1021" s="138"/>
      <c r="E1021" s="138">
        <v>20.67</v>
      </c>
    </row>
    <row r="1022" spans="1:5" x14ac:dyDescent="0.25">
      <c r="A1022" s="91" t="s">
        <v>9017</v>
      </c>
      <c r="B1022" s="138">
        <v>458.32</v>
      </c>
      <c r="C1022" s="138">
        <v>322.38</v>
      </c>
      <c r="D1022" s="138"/>
      <c r="E1022" s="138">
        <v>780.7</v>
      </c>
    </row>
    <row r="1023" spans="1:5" x14ac:dyDescent="0.25">
      <c r="A1023" s="91" t="s">
        <v>8225</v>
      </c>
      <c r="B1023" s="138">
        <v>18.600000000000001</v>
      </c>
      <c r="C1023" s="138">
        <v>0</v>
      </c>
      <c r="D1023" s="138">
        <v>223.2</v>
      </c>
      <c r="E1023" s="138">
        <v>241.79999999999998</v>
      </c>
    </row>
    <row r="1024" spans="1:5" x14ac:dyDescent="0.25">
      <c r="A1024" s="91" t="s">
        <v>7747</v>
      </c>
      <c r="B1024" s="138">
        <v>3500</v>
      </c>
      <c r="C1024" s="138">
        <v>2336.6999999999998</v>
      </c>
      <c r="D1024" s="138">
        <v>3640</v>
      </c>
      <c r="E1024" s="138">
        <v>9476.7000000000007</v>
      </c>
    </row>
    <row r="1025" spans="1:5" x14ac:dyDescent="0.25">
      <c r="A1025" s="91" t="s">
        <v>9018</v>
      </c>
      <c r="B1025" s="138">
        <v>565.25</v>
      </c>
      <c r="C1025" s="138">
        <v>0</v>
      </c>
      <c r="D1025" s="138"/>
      <c r="E1025" s="138">
        <v>565.25</v>
      </c>
    </row>
    <row r="1026" spans="1:5" x14ac:dyDescent="0.25">
      <c r="A1026" s="91" t="s">
        <v>9019</v>
      </c>
      <c r="B1026" s="138">
        <v>0</v>
      </c>
      <c r="C1026" s="138">
        <v>144.87</v>
      </c>
      <c r="D1026" s="138"/>
      <c r="E1026" s="138">
        <v>144.87</v>
      </c>
    </row>
    <row r="1027" spans="1:5" x14ac:dyDescent="0.25">
      <c r="A1027" s="91" t="s">
        <v>9020</v>
      </c>
      <c r="B1027" s="138">
        <v>50.75</v>
      </c>
      <c r="C1027" s="138">
        <v>33.869999999999997</v>
      </c>
      <c r="D1027" s="138"/>
      <c r="E1027" s="138">
        <v>84.62</v>
      </c>
    </row>
    <row r="1028" spans="1:5" x14ac:dyDescent="0.25">
      <c r="A1028" s="91" t="s">
        <v>9021</v>
      </c>
      <c r="B1028" s="138">
        <v>1.75</v>
      </c>
      <c r="C1028" s="138">
        <v>1.17</v>
      </c>
      <c r="D1028" s="138"/>
      <c r="E1028" s="138">
        <v>2.92</v>
      </c>
    </row>
    <row r="1029" spans="1:5" x14ac:dyDescent="0.25">
      <c r="A1029" s="91" t="s">
        <v>9022</v>
      </c>
      <c r="B1029" s="138">
        <v>66.180000000000007</v>
      </c>
      <c r="C1029" s="138">
        <v>44.19</v>
      </c>
      <c r="D1029" s="138"/>
      <c r="E1029" s="138">
        <v>110.37</v>
      </c>
    </row>
    <row r="1030" spans="1:5" x14ac:dyDescent="0.25">
      <c r="A1030" s="91" t="s">
        <v>8226</v>
      </c>
      <c r="B1030" s="138">
        <v>93</v>
      </c>
      <c r="C1030" s="138">
        <v>0</v>
      </c>
      <c r="D1030" s="138">
        <v>1116</v>
      </c>
      <c r="E1030" s="138">
        <v>1209</v>
      </c>
    </row>
    <row r="1031" spans="1:5" x14ac:dyDescent="0.25">
      <c r="A1031" s="91" t="s">
        <v>9023</v>
      </c>
      <c r="B1031" s="138">
        <v>12302.1</v>
      </c>
      <c r="C1031" s="138">
        <v>10251.799999999999</v>
      </c>
      <c r="D1031" s="138"/>
      <c r="E1031" s="138">
        <v>22553.9</v>
      </c>
    </row>
    <row r="1032" spans="1:5" x14ac:dyDescent="0.25">
      <c r="A1032" s="91" t="s">
        <v>9024</v>
      </c>
      <c r="B1032" s="138">
        <v>2546.5300000000002</v>
      </c>
      <c r="C1032" s="138">
        <v>2122.1</v>
      </c>
      <c r="D1032" s="138"/>
      <c r="E1032" s="138">
        <v>4668.63</v>
      </c>
    </row>
    <row r="1033" spans="1:5" x14ac:dyDescent="0.25">
      <c r="A1033" s="91" t="s">
        <v>9025</v>
      </c>
      <c r="B1033" s="138">
        <v>762.73</v>
      </c>
      <c r="C1033" s="138">
        <v>635.63</v>
      </c>
      <c r="D1033" s="138"/>
      <c r="E1033" s="138">
        <v>1398.3600000000001</v>
      </c>
    </row>
    <row r="1034" spans="1:5" x14ac:dyDescent="0.25">
      <c r="A1034" s="91" t="s">
        <v>9026</v>
      </c>
      <c r="B1034" s="138">
        <v>178.38</v>
      </c>
      <c r="C1034" s="138">
        <v>148.71</v>
      </c>
      <c r="D1034" s="138"/>
      <c r="E1034" s="138">
        <v>327.09000000000003</v>
      </c>
    </row>
    <row r="1035" spans="1:5" x14ac:dyDescent="0.25">
      <c r="A1035" s="91" t="s">
        <v>9027</v>
      </c>
      <c r="B1035" s="138">
        <v>1314.16</v>
      </c>
      <c r="C1035" s="138">
        <v>1072.6600000000001</v>
      </c>
      <c r="D1035" s="138"/>
      <c r="E1035" s="138">
        <v>2386.8200000000002</v>
      </c>
    </row>
    <row r="1036" spans="1:5" x14ac:dyDescent="0.25">
      <c r="A1036" s="91" t="s">
        <v>9028</v>
      </c>
      <c r="B1036" s="138">
        <v>6.15</v>
      </c>
      <c r="C1036" s="138">
        <v>5.0999999999999996</v>
      </c>
      <c r="D1036" s="138"/>
      <c r="E1036" s="138">
        <v>11.25</v>
      </c>
    </row>
    <row r="1037" spans="1:5" x14ac:dyDescent="0.25">
      <c r="A1037" s="91" t="s">
        <v>9029</v>
      </c>
      <c r="B1037" s="138">
        <v>232.61</v>
      </c>
      <c r="C1037" s="138">
        <v>193.8</v>
      </c>
      <c r="D1037" s="138"/>
      <c r="E1037" s="138">
        <v>426.41</v>
      </c>
    </row>
    <row r="1038" spans="1:5" x14ac:dyDescent="0.25">
      <c r="A1038" s="91" t="s">
        <v>8227</v>
      </c>
      <c r="B1038" s="138">
        <v>9.3000000000000007</v>
      </c>
      <c r="C1038" s="138">
        <v>0</v>
      </c>
      <c r="D1038" s="138">
        <v>93</v>
      </c>
      <c r="E1038" s="138">
        <v>102.3</v>
      </c>
    </row>
    <row r="1039" spans="1:5" x14ac:dyDescent="0.25">
      <c r="A1039" s="91" t="s">
        <v>9030</v>
      </c>
      <c r="B1039" s="138">
        <v>0</v>
      </c>
      <c r="C1039" s="138">
        <v>3388.57</v>
      </c>
      <c r="D1039" s="138"/>
      <c r="E1039" s="138">
        <v>3388.57</v>
      </c>
    </row>
    <row r="1040" spans="1:5" x14ac:dyDescent="0.25">
      <c r="A1040" s="91" t="s">
        <v>9031</v>
      </c>
      <c r="B1040" s="138">
        <v>0</v>
      </c>
      <c r="C1040" s="138">
        <v>693.23</v>
      </c>
      <c r="D1040" s="138"/>
      <c r="E1040" s="138">
        <v>693.23</v>
      </c>
    </row>
    <row r="1041" spans="1:5" x14ac:dyDescent="0.25">
      <c r="A1041" s="91" t="s">
        <v>9032</v>
      </c>
      <c r="B1041" s="138">
        <v>0</v>
      </c>
      <c r="C1041" s="138">
        <v>207.62</v>
      </c>
      <c r="D1041" s="138"/>
      <c r="E1041" s="138">
        <v>207.62</v>
      </c>
    </row>
    <row r="1042" spans="1:5" x14ac:dyDescent="0.25">
      <c r="A1042" s="91" t="s">
        <v>9033</v>
      </c>
      <c r="B1042" s="138">
        <v>0</v>
      </c>
      <c r="C1042" s="138">
        <v>48.56</v>
      </c>
      <c r="D1042" s="138"/>
      <c r="E1042" s="138">
        <v>48.56</v>
      </c>
    </row>
    <row r="1043" spans="1:5" x14ac:dyDescent="0.25">
      <c r="A1043" s="91" t="s">
        <v>9034</v>
      </c>
      <c r="B1043" s="138">
        <v>0</v>
      </c>
      <c r="C1043" s="138">
        <v>1571.54</v>
      </c>
      <c r="D1043" s="138"/>
      <c r="E1043" s="138">
        <v>1571.54</v>
      </c>
    </row>
    <row r="1044" spans="1:5" x14ac:dyDescent="0.25">
      <c r="A1044" s="91" t="s">
        <v>9035</v>
      </c>
      <c r="B1044" s="138">
        <v>0</v>
      </c>
      <c r="C1044" s="138">
        <v>1.7</v>
      </c>
      <c r="D1044" s="138"/>
      <c r="E1044" s="138">
        <v>1.7</v>
      </c>
    </row>
    <row r="1045" spans="1:5" x14ac:dyDescent="0.25">
      <c r="A1045" s="91" t="s">
        <v>9036</v>
      </c>
      <c r="B1045" s="138">
        <v>0</v>
      </c>
      <c r="C1045" s="138">
        <v>64.069999999999993</v>
      </c>
      <c r="D1045" s="138"/>
      <c r="E1045" s="138">
        <v>64.069999999999993</v>
      </c>
    </row>
    <row r="1046" spans="1:5" x14ac:dyDescent="0.25">
      <c r="A1046" s="91" t="s">
        <v>9037</v>
      </c>
      <c r="B1046" s="138">
        <v>258523</v>
      </c>
      <c r="C1046" s="138">
        <v>211518.99</v>
      </c>
      <c r="D1046" s="138"/>
      <c r="E1046" s="138">
        <v>470041.99</v>
      </c>
    </row>
    <row r="1047" spans="1:5" x14ac:dyDescent="0.25">
      <c r="A1047" s="91" t="s">
        <v>7670</v>
      </c>
      <c r="B1047" s="138">
        <v>33000</v>
      </c>
      <c r="C1047" s="138">
        <v>29606.76</v>
      </c>
      <c r="D1047" s="138">
        <v>41250</v>
      </c>
      <c r="E1047" s="138">
        <v>103856.76</v>
      </c>
    </row>
    <row r="1048" spans="1:5" x14ac:dyDescent="0.25">
      <c r="A1048" s="91" t="s">
        <v>9038</v>
      </c>
      <c r="B1048" s="138">
        <v>47080.97</v>
      </c>
      <c r="C1048" s="138">
        <v>38941.879999999997</v>
      </c>
      <c r="D1048" s="138"/>
      <c r="E1048" s="138">
        <v>86022.85</v>
      </c>
    </row>
    <row r="1049" spans="1:5" x14ac:dyDescent="0.25">
      <c r="A1049" s="91" t="s">
        <v>9039</v>
      </c>
      <c r="B1049" s="138">
        <v>4227.08</v>
      </c>
      <c r="C1049" s="138">
        <v>3491</v>
      </c>
      <c r="D1049" s="138"/>
      <c r="E1049" s="138">
        <v>7718.08</v>
      </c>
    </row>
    <row r="1050" spans="1:5" x14ac:dyDescent="0.25">
      <c r="A1050" s="91" t="s">
        <v>9040</v>
      </c>
      <c r="B1050" s="138">
        <v>61561.64</v>
      </c>
      <c r="C1050" s="138">
        <v>49477.91</v>
      </c>
      <c r="D1050" s="138"/>
      <c r="E1050" s="138">
        <v>111039.55</v>
      </c>
    </row>
    <row r="1051" spans="1:5" x14ac:dyDescent="0.25">
      <c r="A1051" s="91" t="s">
        <v>9041</v>
      </c>
      <c r="B1051" s="138">
        <v>145.76</v>
      </c>
      <c r="C1051" s="138">
        <v>120.56</v>
      </c>
      <c r="D1051" s="138"/>
      <c r="E1051" s="138">
        <v>266.32</v>
      </c>
    </row>
    <row r="1052" spans="1:5" x14ac:dyDescent="0.25">
      <c r="A1052" s="91" t="s">
        <v>9042</v>
      </c>
      <c r="B1052" s="138">
        <v>5512.12</v>
      </c>
      <c r="C1052" s="138">
        <v>4559.2299999999996</v>
      </c>
      <c r="D1052" s="138"/>
      <c r="E1052" s="138">
        <v>10071.349999999999</v>
      </c>
    </row>
    <row r="1053" spans="1:5" x14ac:dyDescent="0.25">
      <c r="A1053" s="91" t="s">
        <v>9043</v>
      </c>
      <c r="B1053" s="138">
        <v>2400</v>
      </c>
      <c r="C1053" s="138">
        <v>1745.44</v>
      </c>
      <c r="D1053" s="138"/>
      <c r="E1053" s="138">
        <v>4145.4400000000005</v>
      </c>
    </row>
    <row r="1054" spans="1:5" x14ac:dyDescent="0.25">
      <c r="A1054" s="91" t="s">
        <v>7946</v>
      </c>
      <c r="B1054" s="138">
        <v>744</v>
      </c>
      <c r="C1054" s="138">
        <v>0</v>
      </c>
      <c r="D1054" s="138">
        <v>892.8</v>
      </c>
      <c r="E1054" s="138">
        <v>1636.8</v>
      </c>
    </row>
    <row r="1055" spans="1:5" x14ac:dyDescent="0.25">
      <c r="A1055" s="91" t="s">
        <v>8228</v>
      </c>
      <c r="B1055" s="138">
        <v>32.5</v>
      </c>
      <c r="C1055" s="138">
        <v>0</v>
      </c>
      <c r="D1055" s="138">
        <v>390</v>
      </c>
      <c r="E1055" s="138">
        <v>422.5</v>
      </c>
    </row>
    <row r="1056" spans="1:5" x14ac:dyDescent="0.25">
      <c r="A1056" s="91" t="s">
        <v>8300</v>
      </c>
      <c r="B1056" s="138">
        <v>300</v>
      </c>
      <c r="C1056" s="138">
        <v>0</v>
      </c>
      <c r="D1056" s="138">
        <v>360</v>
      </c>
      <c r="E1056" s="138">
        <v>660</v>
      </c>
    </row>
    <row r="1057" spans="1:5" x14ac:dyDescent="0.25">
      <c r="A1057" s="91" t="s">
        <v>9044</v>
      </c>
      <c r="B1057" s="138">
        <v>20839.2</v>
      </c>
      <c r="C1057" s="138">
        <v>17050.23</v>
      </c>
      <c r="D1057" s="138"/>
      <c r="E1057" s="138">
        <v>37889.43</v>
      </c>
    </row>
    <row r="1058" spans="1:5" x14ac:dyDescent="0.25">
      <c r="A1058" s="91" t="s">
        <v>9045</v>
      </c>
      <c r="B1058" s="138">
        <v>3365.53</v>
      </c>
      <c r="C1058" s="138">
        <v>2753.64</v>
      </c>
      <c r="D1058" s="138"/>
      <c r="E1058" s="138">
        <v>6119.17</v>
      </c>
    </row>
    <row r="1059" spans="1:5" x14ac:dyDescent="0.25">
      <c r="A1059" s="91" t="s">
        <v>9046</v>
      </c>
      <c r="B1059" s="138">
        <v>302.17</v>
      </c>
      <c r="C1059" s="138">
        <v>244.79</v>
      </c>
      <c r="D1059" s="138"/>
      <c r="E1059" s="138">
        <v>546.96</v>
      </c>
    </row>
    <row r="1060" spans="1:5" x14ac:dyDescent="0.25">
      <c r="A1060" s="91" t="s">
        <v>9047</v>
      </c>
      <c r="B1060" s="138">
        <v>6624.29</v>
      </c>
      <c r="C1060" s="138">
        <v>5333.19</v>
      </c>
      <c r="D1060" s="138"/>
      <c r="E1060" s="138">
        <v>11957.48</v>
      </c>
    </row>
    <row r="1061" spans="1:5" x14ac:dyDescent="0.25">
      <c r="A1061" s="91" t="s">
        <v>9048</v>
      </c>
      <c r="B1061" s="138">
        <v>10.42</v>
      </c>
      <c r="C1061" s="138">
        <v>8.5500000000000007</v>
      </c>
      <c r="D1061" s="138"/>
      <c r="E1061" s="138">
        <v>18.97</v>
      </c>
    </row>
    <row r="1062" spans="1:5" x14ac:dyDescent="0.25">
      <c r="A1062" s="91" t="s">
        <v>9049</v>
      </c>
      <c r="B1062" s="138">
        <v>394.03</v>
      </c>
      <c r="C1062" s="138">
        <v>322.38</v>
      </c>
      <c r="D1062" s="138"/>
      <c r="E1062" s="138">
        <v>716.41</v>
      </c>
    </row>
    <row r="1063" spans="1:5" x14ac:dyDescent="0.25">
      <c r="A1063" s="91" t="s">
        <v>8229</v>
      </c>
      <c r="B1063" s="138">
        <v>9.3000000000000007</v>
      </c>
      <c r="C1063" s="138">
        <v>0</v>
      </c>
      <c r="D1063" s="138"/>
      <c r="E1063" s="138">
        <v>9.3000000000000007</v>
      </c>
    </row>
    <row r="1064" spans="1:5" x14ac:dyDescent="0.25">
      <c r="A1064" s="91" t="s">
        <v>9050</v>
      </c>
      <c r="B1064" s="138">
        <v>652791.5</v>
      </c>
      <c r="C1064" s="138">
        <v>534102.39</v>
      </c>
      <c r="D1064" s="138"/>
      <c r="E1064" s="138">
        <v>1186893.8900000001</v>
      </c>
    </row>
    <row r="1065" spans="1:5" x14ac:dyDescent="0.25">
      <c r="A1065" s="91" t="s">
        <v>7671</v>
      </c>
      <c r="B1065" s="138">
        <v>19123</v>
      </c>
      <c r="C1065" s="138">
        <v>5365.62</v>
      </c>
      <c r="D1065" s="138">
        <v>19123</v>
      </c>
      <c r="E1065" s="138">
        <v>43611.619999999995</v>
      </c>
    </row>
    <row r="1066" spans="1:5" x14ac:dyDescent="0.25">
      <c r="A1066" s="91" t="s">
        <v>7748</v>
      </c>
      <c r="B1066" s="138">
        <v>142438</v>
      </c>
      <c r="C1066" s="138">
        <v>76968.210000000006</v>
      </c>
      <c r="D1066" s="138">
        <v>142438</v>
      </c>
      <c r="E1066" s="138">
        <v>361844.21</v>
      </c>
    </row>
    <row r="1067" spans="1:5" x14ac:dyDescent="0.25">
      <c r="A1067" s="91" t="s">
        <v>7793</v>
      </c>
      <c r="B1067" s="138">
        <v>1800</v>
      </c>
      <c r="C1067" s="138">
        <v>1800</v>
      </c>
      <c r="D1067" s="138">
        <v>1800</v>
      </c>
      <c r="E1067" s="138">
        <v>5400</v>
      </c>
    </row>
    <row r="1068" spans="1:5" x14ac:dyDescent="0.25">
      <c r="A1068" s="91" t="s">
        <v>7871</v>
      </c>
      <c r="B1068" s="138">
        <v>2687</v>
      </c>
      <c r="C1068" s="138">
        <v>0</v>
      </c>
      <c r="D1068" s="138">
        <v>2687</v>
      </c>
      <c r="E1068" s="138">
        <v>5374</v>
      </c>
    </row>
    <row r="1069" spans="1:5" x14ac:dyDescent="0.25">
      <c r="A1069" s="91" t="s">
        <v>9051</v>
      </c>
      <c r="B1069" s="138">
        <v>131931.69</v>
      </c>
      <c r="C1069" s="138">
        <v>91693.63</v>
      </c>
      <c r="D1069" s="138"/>
      <c r="E1069" s="138">
        <v>223625.32</v>
      </c>
    </row>
    <row r="1070" spans="1:5" x14ac:dyDescent="0.25">
      <c r="A1070" s="91" t="s">
        <v>9052</v>
      </c>
      <c r="B1070" s="138">
        <v>310.89</v>
      </c>
      <c r="C1070" s="138">
        <v>0</v>
      </c>
      <c r="D1070" s="138"/>
      <c r="E1070" s="138">
        <v>310.89</v>
      </c>
    </row>
    <row r="1071" spans="1:5" x14ac:dyDescent="0.25">
      <c r="A1071" s="91" t="s">
        <v>9053</v>
      </c>
      <c r="B1071" s="138">
        <v>0</v>
      </c>
      <c r="C1071" s="138">
        <v>3017.83</v>
      </c>
      <c r="D1071" s="138"/>
      <c r="E1071" s="138">
        <v>3017.83</v>
      </c>
    </row>
    <row r="1072" spans="1:5" x14ac:dyDescent="0.25">
      <c r="A1072" s="91" t="s">
        <v>9054</v>
      </c>
      <c r="B1072" s="138">
        <v>0</v>
      </c>
      <c r="C1072" s="138">
        <v>111.6</v>
      </c>
      <c r="D1072" s="138"/>
      <c r="E1072" s="138">
        <v>111.6</v>
      </c>
    </row>
    <row r="1073" spans="1:5" x14ac:dyDescent="0.25">
      <c r="A1073" s="91" t="s">
        <v>9055</v>
      </c>
      <c r="B1073" s="138">
        <v>11845.26</v>
      </c>
      <c r="C1073" s="138">
        <v>8860.56</v>
      </c>
      <c r="D1073" s="138"/>
      <c r="E1073" s="138">
        <v>20705.82</v>
      </c>
    </row>
    <row r="1074" spans="1:5" x14ac:dyDescent="0.25">
      <c r="A1074" s="91" t="s">
        <v>9056</v>
      </c>
      <c r="B1074" s="138">
        <v>27.91</v>
      </c>
      <c r="C1074" s="138">
        <v>26.1</v>
      </c>
      <c r="D1074" s="138"/>
      <c r="E1074" s="138">
        <v>54.010000000000005</v>
      </c>
    </row>
    <row r="1075" spans="1:5" x14ac:dyDescent="0.25">
      <c r="A1075" s="91" t="s">
        <v>9057</v>
      </c>
      <c r="B1075" s="138">
        <v>146499.35</v>
      </c>
      <c r="C1075" s="138">
        <v>111524.54</v>
      </c>
      <c r="D1075" s="138"/>
      <c r="E1075" s="138">
        <v>258023.89</v>
      </c>
    </row>
    <row r="1076" spans="1:5" x14ac:dyDescent="0.25">
      <c r="A1076" s="91" t="s">
        <v>9058</v>
      </c>
      <c r="B1076" s="138">
        <v>0</v>
      </c>
      <c r="C1076" s="138">
        <v>-714.54</v>
      </c>
      <c r="D1076" s="138"/>
      <c r="E1076" s="138">
        <v>-714.54</v>
      </c>
    </row>
    <row r="1077" spans="1:5" x14ac:dyDescent="0.25">
      <c r="A1077" s="91" t="s">
        <v>9059</v>
      </c>
      <c r="B1077" s="138">
        <v>408.47</v>
      </c>
      <c r="C1077" s="138">
        <v>307.14999999999998</v>
      </c>
      <c r="D1077" s="138"/>
      <c r="E1077" s="138">
        <v>715.62</v>
      </c>
    </row>
    <row r="1078" spans="1:5" x14ac:dyDescent="0.25">
      <c r="A1078" s="91" t="s">
        <v>9060</v>
      </c>
      <c r="B1078" s="138">
        <v>0.96</v>
      </c>
      <c r="C1078" s="138">
        <v>0.9</v>
      </c>
      <c r="D1078" s="138"/>
      <c r="E1078" s="138">
        <v>1.8599999999999999</v>
      </c>
    </row>
    <row r="1079" spans="1:5" x14ac:dyDescent="0.25">
      <c r="A1079" s="91" t="s">
        <v>9061</v>
      </c>
      <c r="B1079" s="138">
        <v>15446.23</v>
      </c>
      <c r="C1079" s="138">
        <v>11655.68</v>
      </c>
      <c r="D1079" s="138"/>
      <c r="E1079" s="138">
        <v>27101.91</v>
      </c>
    </row>
    <row r="1080" spans="1:5" x14ac:dyDescent="0.25">
      <c r="A1080" s="91" t="s">
        <v>9062</v>
      </c>
      <c r="B1080" s="138">
        <v>36.4</v>
      </c>
      <c r="C1080" s="138">
        <v>34.03</v>
      </c>
      <c r="D1080" s="138"/>
      <c r="E1080" s="138">
        <v>70.430000000000007</v>
      </c>
    </row>
    <row r="1081" spans="1:5" x14ac:dyDescent="0.25">
      <c r="A1081" s="91" t="s">
        <v>7947</v>
      </c>
      <c r="B1081" s="138">
        <v>2100</v>
      </c>
      <c r="C1081" s="138">
        <v>2007.4499999999998</v>
      </c>
      <c r="D1081" s="138">
        <v>5000</v>
      </c>
      <c r="E1081" s="138">
        <v>9107.4500000000007</v>
      </c>
    </row>
    <row r="1082" spans="1:5" x14ac:dyDescent="0.25">
      <c r="A1082" s="91" t="s">
        <v>8051</v>
      </c>
      <c r="B1082" s="138">
        <v>0</v>
      </c>
      <c r="C1082" s="138">
        <v>0</v>
      </c>
      <c r="D1082" s="138">
        <v>1000</v>
      </c>
      <c r="E1082" s="138">
        <v>1000</v>
      </c>
    </row>
    <row r="1083" spans="1:5" x14ac:dyDescent="0.25">
      <c r="A1083" s="91" t="s">
        <v>8074</v>
      </c>
      <c r="B1083" s="138"/>
      <c r="C1083" s="138"/>
      <c r="D1083" s="138">
        <v>1500</v>
      </c>
      <c r="E1083" s="138">
        <v>1500</v>
      </c>
    </row>
    <row r="1084" spans="1:5" x14ac:dyDescent="0.25">
      <c r="A1084" s="91" t="s">
        <v>8089</v>
      </c>
      <c r="B1084" s="138">
        <v>12143</v>
      </c>
      <c r="C1084" s="138">
        <v>10591.96</v>
      </c>
      <c r="D1084" s="138">
        <v>12143</v>
      </c>
      <c r="E1084" s="138">
        <v>34877.96</v>
      </c>
    </row>
    <row r="1085" spans="1:5" x14ac:dyDescent="0.25">
      <c r="A1085" s="91" t="s">
        <v>8157</v>
      </c>
      <c r="B1085" s="138">
        <v>250</v>
      </c>
      <c r="C1085" s="138">
        <v>38.5</v>
      </c>
      <c r="D1085" s="138">
        <v>250</v>
      </c>
      <c r="E1085" s="138">
        <v>538.5</v>
      </c>
    </row>
    <row r="1086" spans="1:5" x14ac:dyDescent="0.25">
      <c r="A1086" s="91" t="s">
        <v>8230</v>
      </c>
      <c r="B1086" s="138">
        <v>900</v>
      </c>
      <c r="C1086" s="138">
        <v>123.59</v>
      </c>
      <c r="D1086" s="138">
        <v>900</v>
      </c>
      <c r="E1086" s="138">
        <v>1923.5900000000001</v>
      </c>
    </row>
    <row r="1087" spans="1:5" x14ac:dyDescent="0.25">
      <c r="A1087" s="91" t="s">
        <v>8301</v>
      </c>
      <c r="B1087" s="138">
        <v>10635</v>
      </c>
      <c r="C1087" s="138">
        <v>10299.99</v>
      </c>
      <c r="D1087" s="138">
        <v>15000</v>
      </c>
      <c r="E1087" s="138">
        <v>35934.99</v>
      </c>
    </row>
    <row r="1088" spans="1:5" x14ac:dyDescent="0.25">
      <c r="A1088" s="91" t="s">
        <v>9063</v>
      </c>
      <c r="B1088" s="138">
        <v>174157.5</v>
      </c>
      <c r="C1088" s="138">
        <v>142492.5</v>
      </c>
      <c r="D1088" s="138"/>
      <c r="E1088" s="138">
        <v>316650</v>
      </c>
    </row>
    <row r="1089" spans="1:5" x14ac:dyDescent="0.25">
      <c r="A1089" s="91" t="s">
        <v>7672</v>
      </c>
      <c r="B1089" s="138">
        <v>12000</v>
      </c>
      <c r="C1089" s="138">
        <v>3746.15</v>
      </c>
      <c r="D1089" s="138">
        <v>12000</v>
      </c>
      <c r="E1089" s="138">
        <v>27746.15</v>
      </c>
    </row>
    <row r="1090" spans="1:5" x14ac:dyDescent="0.25">
      <c r="A1090" s="91" t="s">
        <v>7749</v>
      </c>
      <c r="B1090" s="138">
        <v>95000</v>
      </c>
      <c r="C1090" s="138">
        <v>71994.87</v>
      </c>
      <c r="D1090" s="138">
        <v>95000</v>
      </c>
      <c r="E1090" s="138">
        <v>261994.87</v>
      </c>
    </row>
    <row r="1091" spans="1:5" x14ac:dyDescent="0.25">
      <c r="A1091" s="91" t="s">
        <v>9064</v>
      </c>
      <c r="B1091" s="138">
        <v>45406.94</v>
      </c>
      <c r="C1091" s="138">
        <v>32231.49</v>
      </c>
      <c r="D1091" s="138"/>
      <c r="E1091" s="138">
        <v>77638.430000000008</v>
      </c>
    </row>
    <row r="1092" spans="1:5" x14ac:dyDescent="0.25">
      <c r="A1092" s="91" t="s">
        <v>9065</v>
      </c>
      <c r="B1092" s="138">
        <v>0</v>
      </c>
      <c r="C1092" s="138">
        <v>1161.27</v>
      </c>
      <c r="D1092" s="138"/>
      <c r="E1092" s="138">
        <v>1161.27</v>
      </c>
    </row>
    <row r="1093" spans="1:5" x14ac:dyDescent="0.25">
      <c r="A1093" s="91" t="s">
        <v>9066</v>
      </c>
      <c r="B1093" s="138">
        <v>4076.78</v>
      </c>
      <c r="C1093" s="138">
        <v>3146.01</v>
      </c>
      <c r="D1093" s="138"/>
      <c r="E1093" s="138">
        <v>7222.7900000000009</v>
      </c>
    </row>
    <row r="1094" spans="1:5" x14ac:dyDescent="0.25">
      <c r="A1094" s="91" t="s">
        <v>9067</v>
      </c>
      <c r="B1094" s="138">
        <v>49682.15</v>
      </c>
      <c r="C1094" s="138">
        <v>39999.230000000003</v>
      </c>
      <c r="D1094" s="138"/>
      <c r="E1094" s="138">
        <v>89681.38</v>
      </c>
    </row>
    <row r="1095" spans="1:5" x14ac:dyDescent="0.25">
      <c r="A1095" s="91" t="s">
        <v>9068</v>
      </c>
      <c r="B1095" s="138">
        <v>140.58000000000001</v>
      </c>
      <c r="C1095" s="138">
        <v>109.14</v>
      </c>
      <c r="D1095" s="138"/>
      <c r="E1095" s="138">
        <v>249.72000000000003</v>
      </c>
    </row>
    <row r="1096" spans="1:5" x14ac:dyDescent="0.25">
      <c r="A1096" s="91" t="s">
        <v>9069</v>
      </c>
      <c r="B1096" s="138">
        <v>5316.13</v>
      </c>
      <c r="C1096" s="138">
        <v>4126.3100000000004</v>
      </c>
      <c r="D1096" s="138"/>
      <c r="E1096" s="138">
        <v>9442.44</v>
      </c>
    </row>
    <row r="1097" spans="1:5" x14ac:dyDescent="0.25">
      <c r="A1097" s="91" t="s">
        <v>8052</v>
      </c>
      <c r="B1097" s="138">
        <v>0</v>
      </c>
      <c r="C1097" s="138">
        <v>0</v>
      </c>
      <c r="D1097" s="138">
        <v>700</v>
      </c>
      <c r="E1097" s="138">
        <v>700</v>
      </c>
    </row>
    <row r="1098" spans="1:5" x14ac:dyDescent="0.25">
      <c r="A1098" s="91" t="s">
        <v>8231</v>
      </c>
      <c r="B1098" s="138">
        <v>40.700000000000003</v>
      </c>
      <c r="C1098" s="138">
        <v>11.88</v>
      </c>
      <c r="D1098" s="138">
        <v>300</v>
      </c>
      <c r="E1098" s="138">
        <v>352.58</v>
      </c>
    </row>
    <row r="1099" spans="1:5" x14ac:dyDescent="0.25">
      <c r="A1099" s="91" t="s">
        <v>9070</v>
      </c>
      <c r="B1099" s="138">
        <v>189515.15</v>
      </c>
      <c r="C1099" s="138">
        <v>154859.04</v>
      </c>
      <c r="D1099" s="138"/>
      <c r="E1099" s="138">
        <v>344374.19</v>
      </c>
    </row>
    <row r="1100" spans="1:5" x14ac:dyDescent="0.25">
      <c r="A1100" s="91" t="s">
        <v>7673</v>
      </c>
      <c r="B1100" s="138">
        <v>2520</v>
      </c>
      <c r="C1100" s="138">
        <v>5986.44</v>
      </c>
      <c r="D1100" s="138">
        <v>2520</v>
      </c>
      <c r="E1100" s="138">
        <v>11026.439999999999</v>
      </c>
    </row>
    <row r="1101" spans="1:5" x14ac:dyDescent="0.25">
      <c r="A1101" s="91" t="s">
        <v>7750</v>
      </c>
      <c r="B1101" s="138">
        <v>64500</v>
      </c>
      <c r="C1101" s="138">
        <v>72719.850000000006</v>
      </c>
      <c r="D1101" s="138">
        <v>76000</v>
      </c>
      <c r="E1101" s="138">
        <v>213219.85</v>
      </c>
    </row>
    <row r="1102" spans="1:5" x14ac:dyDescent="0.25">
      <c r="A1102" s="91" t="s">
        <v>9071</v>
      </c>
      <c r="B1102" s="138">
        <v>41430.43</v>
      </c>
      <c r="C1102" s="138">
        <v>35859.050000000003</v>
      </c>
      <c r="D1102" s="138"/>
      <c r="E1102" s="138">
        <v>77289.48000000001</v>
      </c>
    </row>
    <row r="1103" spans="1:5" x14ac:dyDescent="0.25">
      <c r="A1103" s="91" t="s">
        <v>9072</v>
      </c>
      <c r="B1103" s="138">
        <v>0</v>
      </c>
      <c r="C1103" s="138">
        <v>714.76</v>
      </c>
      <c r="D1103" s="138"/>
      <c r="E1103" s="138">
        <v>714.76</v>
      </c>
    </row>
    <row r="1104" spans="1:5" x14ac:dyDescent="0.25">
      <c r="A1104" s="91" t="s">
        <v>9073</v>
      </c>
      <c r="B1104" s="138">
        <v>3719.76</v>
      </c>
      <c r="C1104" s="138">
        <v>3374.88</v>
      </c>
      <c r="D1104" s="138"/>
      <c r="E1104" s="138">
        <v>7094.64</v>
      </c>
    </row>
    <row r="1105" spans="1:5" x14ac:dyDescent="0.25">
      <c r="A1105" s="91" t="s">
        <v>9074</v>
      </c>
      <c r="B1105" s="138">
        <v>42909.22</v>
      </c>
      <c r="C1105" s="138">
        <v>34541.339999999997</v>
      </c>
      <c r="D1105" s="138"/>
      <c r="E1105" s="138">
        <v>77450.559999999998</v>
      </c>
    </row>
    <row r="1106" spans="1:5" x14ac:dyDescent="0.25">
      <c r="A1106" s="91" t="s">
        <v>9075</v>
      </c>
      <c r="B1106" s="138">
        <v>128.27000000000001</v>
      </c>
      <c r="C1106" s="138">
        <v>116.79</v>
      </c>
      <c r="D1106" s="138"/>
      <c r="E1106" s="138">
        <v>245.06</v>
      </c>
    </row>
    <row r="1107" spans="1:5" x14ac:dyDescent="0.25">
      <c r="A1107" s="91" t="s">
        <v>9076</v>
      </c>
      <c r="B1107" s="138">
        <v>4850.57</v>
      </c>
      <c r="C1107" s="138">
        <v>4416.25</v>
      </c>
      <c r="D1107" s="138"/>
      <c r="E1107" s="138">
        <v>9266.82</v>
      </c>
    </row>
    <row r="1108" spans="1:5" x14ac:dyDescent="0.25">
      <c r="A1108" s="91" t="s">
        <v>7912</v>
      </c>
      <c r="B1108" s="138">
        <v>0</v>
      </c>
      <c r="C1108" s="138">
        <v>0</v>
      </c>
      <c r="D1108" s="138">
        <v>0</v>
      </c>
      <c r="E1108" s="138">
        <v>0</v>
      </c>
    </row>
    <row r="1109" spans="1:5" x14ac:dyDescent="0.25">
      <c r="A1109" s="91" t="s">
        <v>7948</v>
      </c>
      <c r="B1109" s="138">
        <v>2600</v>
      </c>
      <c r="C1109" s="138">
        <v>2599.92</v>
      </c>
      <c r="D1109" s="138">
        <v>3000</v>
      </c>
      <c r="E1109" s="138">
        <v>8199.92</v>
      </c>
    </row>
    <row r="1110" spans="1:5" x14ac:dyDescent="0.25">
      <c r="A1110" s="91" t="s">
        <v>8107</v>
      </c>
      <c r="B1110" s="138">
        <v>4952</v>
      </c>
      <c r="C1110" s="138">
        <v>1275</v>
      </c>
      <c r="D1110" s="138">
        <v>4952</v>
      </c>
      <c r="E1110" s="138">
        <v>11179</v>
      </c>
    </row>
    <row r="1111" spans="1:5" x14ac:dyDescent="0.25">
      <c r="A1111" s="91" t="s">
        <v>8232</v>
      </c>
      <c r="B1111" s="138">
        <v>21.1</v>
      </c>
      <c r="C1111" s="138">
        <v>0</v>
      </c>
      <c r="D1111" s="138">
        <v>211</v>
      </c>
      <c r="E1111" s="138">
        <v>232.1</v>
      </c>
    </row>
    <row r="1112" spans="1:5" x14ac:dyDescent="0.25">
      <c r="A1112" s="91" t="s">
        <v>8302</v>
      </c>
      <c r="B1112" s="138">
        <v>5000</v>
      </c>
      <c r="C1112" s="138">
        <v>2500.0100000000002</v>
      </c>
      <c r="D1112" s="138">
        <v>5000</v>
      </c>
      <c r="E1112" s="138">
        <v>12500.01</v>
      </c>
    </row>
    <row r="1113" spans="1:5" x14ac:dyDescent="0.25">
      <c r="A1113" s="91" t="s">
        <v>7674</v>
      </c>
      <c r="B1113" s="138">
        <v>0</v>
      </c>
      <c r="C1113" s="138">
        <v>1113.98</v>
      </c>
      <c r="D1113" s="138">
        <v>0</v>
      </c>
      <c r="E1113" s="138">
        <v>1113.98</v>
      </c>
    </row>
    <row r="1114" spans="1:5" x14ac:dyDescent="0.25">
      <c r="A1114" s="91" t="s">
        <v>7751</v>
      </c>
      <c r="B1114" s="138">
        <v>13000</v>
      </c>
      <c r="C1114" s="138">
        <v>4635.96</v>
      </c>
      <c r="D1114" s="138">
        <v>13000</v>
      </c>
      <c r="E1114" s="138">
        <v>30635.96</v>
      </c>
    </row>
    <row r="1115" spans="1:5" x14ac:dyDescent="0.25">
      <c r="A1115" s="91" t="s">
        <v>7890</v>
      </c>
      <c r="B1115" s="138">
        <v>34500</v>
      </c>
      <c r="C1115" s="138">
        <v>7050.3</v>
      </c>
      <c r="D1115" s="138">
        <v>34500</v>
      </c>
      <c r="E1115" s="138">
        <v>76050.3</v>
      </c>
    </row>
    <row r="1116" spans="1:5" x14ac:dyDescent="0.25">
      <c r="A1116" s="91" t="s">
        <v>9077</v>
      </c>
      <c r="B1116" s="138">
        <v>2099.5</v>
      </c>
      <c r="C1116" s="138">
        <v>781</v>
      </c>
      <c r="D1116" s="138"/>
      <c r="E1116" s="138">
        <v>2880.5</v>
      </c>
    </row>
    <row r="1117" spans="1:5" x14ac:dyDescent="0.25">
      <c r="A1117" s="91" t="s">
        <v>9078</v>
      </c>
      <c r="B1117" s="138">
        <v>2139</v>
      </c>
      <c r="C1117" s="138">
        <v>464.67</v>
      </c>
      <c r="D1117" s="138"/>
      <c r="E1117" s="138">
        <v>2603.67</v>
      </c>
    </row>
    <row r="1118" spans="1:5" x14ac:dyDescent="0.25">
      <c r="A1118" s="91" t="s">
        <v>9079</v>
      </c>
      <c r="B1118" s="138">
        <v>688.75</v>
      </c>
      <c r="C1118" s="138">
        <v>178.83</v>
      </c>
      <c r="D1118" s="138"/>
      <c r="E1118" s="138">
        <v>867.58</v>
      </c>
    </row>
    <row r="1119" spans="1:5" x14ac:dyDescent="0.25">
      <c r="A1119" s="91" t="s">
        <v>9080</v>
      </c>
      <c r="B1119" s="138">
        <v>0</v>
      </c>
      <c r="C1119" s="138">
        <v>220.9</v>
      </c>
      <c r="D1119" s="138"/>
      <c r="E1119" s="138">
        <v>220.9</v>
      </c>
    </row>
    <row r="1120" spans="1:5" x14ac:dyDescent="0.25">
      <c r="A1120" s="91" t="s">
        <v>9081</v>
      </c>
      <c r="B1120" s="138">
        <v>23.75</v>
      </c>
      <c r="C1120" s="138">
        <v>6.15</v>
      </c>
      <c r="D1120" s="138"/>
      <c r="E1120" s="138">
        <v>29.9</v>
      </c>
    </row>
    <row r="1121" spans="1:5" x14ac:dyDescent="0.25">
      <c r="A1121" s="91" t="s">
        <v>9082</v>
      </c>
      <c r="B1121" s="138">
        <v>898.13</v>
      </c>
      <c r="C1121" s="138">
        <v>242.06</v>
      </c>
      <c r="D1121" s="138"/>
      <c r="E1121" s="138">
        <v>1140.19</v>
      </c>
    </row>
    <row r="1122" spans="1:5" x14ac:dyDescent="0.25">
      <c r="A1122" s="91" t="s">
        <v>9083</v>
      </c>
      <c r="B1122" s="138">
        <v>0</v>
      </c>
      <c r="C1122" s="138">
        <v>22.64</v>
      </c>
      <c r="D1122" s="138"/>
      <c r="E1122" s="138">
        <v>22.64</v>
      </c>
    </row>
    <row r="1123" spans="1:5" x14ac:dyDescent="0.25">
      <c r="A1123" s="91" t="s">
        <v>7949</v>
      </c>
      <c r="B1123" s="138">
        <v>3000</v>
      </c>
      <c r="C1123" s="138">
        <v>2715.03</v>
      </c>
      <c r="D1123" s="138">
        <v>4000</v>
      </c>
      <c r="E1123" s="138">
        <v>9715.0300000000007</v>
      </c>
    </row>
    <row r="1124" spans="1:5" x14ac:dyDescent="0.25">
      <c r="A1124" s="91" t="s">
        <v>8233</v>
      </c>
      <c r="B1124" s="138">
        <v>84</v>
      </c>
      <c r="C1124" s="138">
        <v>33.409999999999997</v>
      </c>
      <c r="D1124" s="138">
        <v>84</v>
      </c>
      <c r="E1124" s="138">
        <v>201.41</v>
      </c>
    </row>
    <row r="1125" spans="1:5" x14ac:dyDescent="0.25">
      <c r="A1125" s="91" t="s">
        <v>7675</v>
      </c>
      <c r="B1125" s="138">
        <v>6000</v>
      </c>
      <c r="C1125" s="138">
        <v>3425.52</v>
      </c>
      <c r="D1125" s="138">
        <v>6000</v>
      </c>
      <c r="E1125" s="138">
        <v>15425.52</v>
      </c>
    </row>
    <row r="1126" spans="1:5" x14ac:dyDescent="0.25">
      <c r="A1126" s="91" t="s">
        <v>7752</v>
      </c>
      <c r="B1126" s="138">
        <v>30000</v>
      </c>
      <c r="C1126" s="138">
        <v>16801.400000000001</v>
      </c>
      <c r="D1126" s="138">
        <v>30000</v>
      </c>
      <c r="E1126" s="138">
        <v>76801.399999999994</v>
      </c>
    </row>
    <row r="1127" spans="1:5" x14ac:dyDescent="0.25">
      <c r="A1127" s="91" t="s">
        <v>7891</v>
      </c>
      <c r="B1127" s="138">
        <v>1000</v>
      </c>
      <c r="C1127" s="138">
        <v>0</v>
      </c>
      <c r="D1127" s="138">
        <v>1000</v>
      </c>
      <c r="E1127" s="138">
        <v>2000</v>
      </c>
    </row>
    <row r="1128" spans="1:5" x14ac:dyDescent="0.25">
      <c r="A1128" s="91" t="s">
        <v>9084</v>
      </c>
      <c r="B1128" s="138">
        <v>5814</v>
      </c>
      <c r="C1128" s="138">
        <v>104.1</v>
      </c>
      <c r="D1128" s="138"/>
      <c r="E1128" s="138">
        <v>5918.1</v>
      </c>
    </row>
    <row r="1129" spans="1:5" x14ac:dyDescent="0.25">
      <c r="A1129" s="91" t="s">
        <v>9085</v>
      </c>
      <c r="B1129" s="138">
        <v>62</v>
      </c>
      <c r="C1129" s="138">
        <v>467.49</v>
      </c>
      <c r="D1129" s="138"/>
      <c r="E1129" s="138">
        <v>529.49</v>
      </c>
    </row>
    <row r="1130" spans="1:5" x14ac:dyDescent="0.25">
      <c r="A1130" s="91" t="s">
        <v>9086</v>
      </c>
      <c r="B1130" s="138">
        <v>536.5</v>
      </c>
      <c r="C1130" s="138">
        <v>293.3</v>
      </c>
      <c r="D1130" s="138"/>
      <c r="E1130" s="138">
        <v>829.8</v>
      </c>
    </row>
    <row r="1131" spans="1:5" x14ac:dyDescent="0.25">
      <c r="A1131" s="91" t="s">
        <v>9087</v>
      </c>
      <c r="B1131" s="138">
        <v>0</v>
      </c>
      <c r="C1131" s="138">
        <v>172.85</v>
      </c>
      <c r="D1131" s="138"/>
      <c r="E1131" s="138">
        <v>172.85</v>
      </c>
    </row>
    <row r="1132" spans="1:5" x14ac:dyDescent="0.25">
      <c r="A1132" s="91" t="s">
        <v>9088</v>
      </c>
      <c r="B1132" s="138">
        <v>18.5</v>
      </c>
      <c r="C1132" s="138">
        <v>10.09</v>
      </c>
      <c r="D1132" s="138"/>
      <c r="E1132" s="138">
        <v>28.59</v>
      </c>
    </row>
    <row r="1133" spans="1:5" x14ac:dyDescent="0.25">
      <c r="A1133" s="91" t="s">
        <v>9089</v>
      </c>
      <c r="B1133" s="138">
        <v>699.6</v>
      </c>
      <c r="C1133" s="138">
        <v>382.47</v>
      </c>
      <c r="D1133" s="138"/>
      <c r="E1133" s="138">
        <v>1082.0700000000002</v>
      </c>
    </row>
    <row r="1134" spans="1:5" x14ac:dyDescent="0.25">
      <c r="A1134" s="91" t="s">
        <v>9090</v>
      </c>
      <c r="B1134" s="138">
        <v>0</v>
      </c>
      <c r="C1134" s="138">
        <v>19.07</v>
      </c>
      <c r="D1134" s="138"/>
      <c r="E1134" s="138">
        <v>19.07</v>
      </c>
    </row>
    <row r="1135" spans="1:5" x14ac:dyDescent="0.25">
      <c r="A1135" s="91" t="s">
        <v>7950</v>
      </c>
      <c r="B1135" s="138">
        <v>2000</v>
      </c>
      <c r="C1135" s="138">
        <v>465.17</v>
      </c>
      <c r="D1135" s="138">
        <v>2000</v>
      </c>
      <c r="E1135" s="138">
        <v>4465.17</v>
      </c>
    </row>
    <row r="1136" spans="1:5" x14ac:dyDescent="0.25">
      <c r="A1136" s="91" t="s">
        <v>9091</v>
      </c>
      <c r="B1136" s="138">
        <v>148907</v>
      </c>
      <c r="C1136" s="138">
        <v>120274.24000000001</v>
      </c>
      <c r="D1136" s="138"/>
      <c r="E1136" s="138">
        <v>269181.24</v>
      </c>
    </row>
    <row r="1137" spans="1:5" x14ac:dyDescent="0.25">
      <c r="A1137" s="91" t="s">
        <v>9092</v>
      </c>
      <c r="B1137" s="138">
        <v>107815.39</v>
      </c>
      <c r="C1137" s="138">
        <v>85954.25</v>
      </c>
      <c r="D1137" s="138"/>
      <c r="E1137" s="138">
        <v>193769.64</v>
      </c>
    </row>
    <row r="1138" spans="1:5" x14ac:dyDescent="0.25">
      <c r="A1138" s="91" t="s">
        <v>9093</v>
      </c>
      <c r="B1138" s="138">
        <v>24048.48</v>
      </c>
      <c r="C1138" s="138">
        <v>19425.21</v>
      </c>
      <c r="D1138" s="138"/>
      <c r="E1138" s="138">
        <v>43473.69</v>
      </c>
    </row>
    <row r="1139" spans="1:5" x14ac:dyDescent="0.25">
      <c r="A1139" s="91" t="s">
        <v>9094</v>
      </c>
      <c r="B1139" s="138">
        <v>22317.78</v>
      </c>
      <c r="C1139" s="138">
        <v>17793.75</v>
      </c>
      <c r="D1139" s="138"/>
      <c r="E1139" s="138">
        <v>40111.53</v>
      </c>
    </row>
    <row r="1140" spans="1:5" x14ac:dyDescent="0.25">
      <c r="A1140" s="91" t="s">
        <v>9095</v>
      </c>
      <c r="B1140" s="138">
        <v>6684.55</v>
      </c>
      <c r="C1140" s="138">
        <v>5265.36</v>
      </c>
      <c r="D1140" s="138"/>
      <c r="E1140" s="138">
        <v>11949.91</v>
      </c>
    </row>
    <row r="1141" spans="1:5" x14ac:dyDescent="0.25">
      <c r="A1141" s="91" t="s">
        <v>9096</v>
      </c>
      <c r="B1141" s="138">
        <v>3722.47</v>
      </c>
      <c r="C1141" s="138">
        <v>2975.34</v>
      </c>
      <c r="D1141" s="138"/>
      <c r="E1141" s="138">
        <v>6697.8099999999995</v>
      </c>
    </row>
    <row r="1142" spans="1:5" x14ac:dyDescent="0.25">
      <c r="A1142" s="91" t="s">
        <v>9097</v>
      </c>
      <c r="B1142" s="138">
        <v>54876.63</v>
      </c>
      <c r="C1142" s="138">
        <v>44774.38</v>
      </c>
      <c r="D1142" s="138"/>
      <c r="E1142" s="138">
        <v>99651.01</v>
      </c>
    </row>
    <row r="1143" spans="1:5" x14ac:dyDescent="0.25">
      <c r="A1143" s="91" t="s">
        <v>9098</v>
      </c>
      <c r="B1143" s="138">
        <v>128.36000000000001</v>
      </c>
      <c r="C1143" s="138">
        <v>103.13</v>
      </c>
      <c r="D1143" s="138"/>
      <c r="E1143" s="138">
        <v>231.49</v>
      </c>
    </row>
    <row r="1144" spans="1:5" x14ac:dyDescent="0.25">
      <c r="A1144" s="91" t="s">
        <v>9099</v>
      </c>
      <c r="B1144" s="138">
        <v>4854.1000000000004</v>
      </c>
      <c r="C1144" s="138">
        <v>3903.52</v>
      </c>
      <c r="D1144" s="138"/>
      <c r="E1144" s="138">
        <v>8757.6200000000008</v>
      </c>
    </row>
    <row r="1145" spans="1:5" x14ac:dyDescent="0.25">
      <c r="A1145" s="91" t="s">
        <v>9100</v>
      </c>
      <c r="B1145" s="138">
        <v>2400</v>
      </c>
      <c r="C1145" s="138">
        <v>1738.51</v>
      </c>
      <c r="D1145" s="138"/>
      <c r="E1145" s="138">
        <v>4138.51</v>
      </c>
    </row>
    <row r="1146" spans="1:5" x14ac:dyDescent="0.25">
      <c r="A1146" s="91" t="s">
        <v>8234</v>
      </c>
      <c r="B1146" s="138">
        <v>457.32</v>
      </c>
      <c r="C1146" s="138">
        <v>147.91</v>
      </c>
      <c r="D1146" s="138">
        <v>3000</v>
      </c>
      <c r="E1146" s="138">
        <v>3605.23</v>
      </c>
    </row>
    <row r="1147" spans="1:5" x14ac:dyDescent="0.25">
      <c r="A1147" s="91" t="s">
        <v>9101</v>
      </c>
      <c r="B1147" s="138">
        <v>197859</v>
      </c>
      <c r="C1147" s="138">
        <v>140325.31</v>
      </c>
      <c r="D1147" s="138"/>
      <c r="E1147" s="138">
        <v>338184.31</v>
      </c>
    </row>
    <row r="1148" spans="1:5" x14ac:dyDescent="0.25">
      <c r="A1148" s="91" t="s">
        <v>7872</v>
      </c>
      <c r="B1148" s="138">
        <v>378500</v>
      </c>
      <c r="C1148" s="138">
        <v>188188.5</v>
      </c>
      <c r="D1148" s="138">
        <v>378500</v>
      </c>
      <c r="E1148" s="138">
        <v>945188.5</v>
      </c>
    </row>
    <row r="1149" spans="1:5" x14ac:dyDescent="0.25">
      <c r="A1149" s="91" t="s">
        <v>9102</v>
      </c>
      <c r="B1149" s="138">
        <v>31954.23</v>
      </c>
      <c r="C1149" s="138">
        <v>20800.75</v>
      </c>
      <c r="D1149" s="138"/>
      <c r="E1149" s="138">
        <v>52754.979999999996</v>
      </c>
    </row>
    <row r="1150" spans="1:5" x14ac:dyDescent="0.25">
      <c r="A1150" s="91" t="s">
        <v>9103</v>
      </c>
      <c r="B1150" s="138">
        <v>0</v>
      </c>
      <c r="C1150" s="138">
        <v>5317.32</v>
      </c>
      <c r="D1150" s="138"/>
      <c r="E1150" s="138">
        <v>5317.32</v>
      </c>
    </row>
    <row r="1151" spans="1:5" x14ac:dyDescent="0.25">
      <c r="A1151" s="91" t="s">
        <v>9104</v>
      </c>
      <c r="B1151" s="138">
        <v>23467</v>
      </c>
      <c r="C1151" s="138">
        <v>10590.59</v>
      </c>
      <c r="D1151" s="138"/>
      <c r="E1151" s="138">
        <v>34057.589999999997</v>
      </c>
    </row>
    <row r="1152" spans="1:5" x14ac:dyDescent="0.25">
      <c r="A1152" s="91" t="s">
        <v>9105</v>
      </c>
      <c r="B1152" s="138">
        <v>8357.2099999999991</v>
      </c>
      <c r="C1152" s="138">
        <v>4756.01</v>
      </c>
      <c r="D1152" s="138"/>
      <c r="E1152" s="138">
        <v>13113.22</v>
      </c>
    </row>
    <row r="1153" spans="1:5" x14ac:dyDescent="0.25">
      <c r="A1153" s="91" t="s">
        <v>9106</v>
      </c>
      <c r="B1153" s="138">
        <v>42608.57</v>
      </c>
      <c r="C1153" s="138">
        <v>26092.87</v>
      </c>
      <c r="D1153" s="138"/>
      <c r="E1153" s="138">
        <v>68701.440000000002</v>
      </c>
    </row>
    <row r="1154" spans="1:5" x14ac:dyDescent="0.25">
      <c r="A1154" s="91" t="s">
        <v>9107</v>
      </c>
      <c r="B1154" s="138">
        <v>288.18</v>
      </c>
      <c r="C1154" s="138">
        <v>164.45</v>
      </c>
      <c r="D1154" s="138"/>
      <c r="E1154" s="138">
        <v>452.63</v>
      </c>
    </row>
    <row r="1155" spans="1:5" x14ac:dyDescent="0.25">
      <c r="A1155" s="91" t="s">
        <v>9108</v>
      </c>
      <c r="B1155" s="138">
        <v>10897.79</v>
      </c>
      <c r="C1155" s="138">
        <v>6211.63</v>
      </c>
      <c r="D1155" s="138"/>
      <c r="E1155" s="138">
        <v>17109.420000000002</v>
      </c>
    </row>
    <row r="1156" spans="1:5" x14ac:dyDescent="0.25">
      <c r="A1156" s="91" t="s">
        <v>9109</v>
      </c>
      <c r="B1156" s="138">
        <v>2400</v>
      </c>
      <c r="C1156" s="138">
        <v>1200</v>
      </c>
      <c r="D1156" s="138"/>
      <c r="E1156" s="138">
        <v>3600</v>
      </c>
    </row>
    <row r="1157" spans="1:5" x14ac:dyDescent="0.25">
      <c r="A1157" s="91" t="s">
        <v>7951</v>
      </c>
      <c r="B1157" s="138">
        <v>0</v>
      </c>
      <c r="C1157" s="138">
        <v>0</v>
      </c>
      <c r="D1157" s="138">
        <v>46500</v>
      </c>
      <c r="E1157" s="138">
        <v>46500</v>
      </c>
    </row>
    <row r="1158" spans="1:5" x14ac:dyDescent="0.25">
      <c r="A1158" s="91" t="s">
        <v>7984</v>
      </c>
      <c r="B1158" s="138">
        <v>0</v>
      </c>
      <c r="C1158" s="138">
        <v>0</v>
      </c>
      <c r="D1158" s="138">
        <v>2500</v>
      </c>
      <c r="E1158" s="138">
        <v>2500</v>
      </c>
    </row>
    <row r="1159" spans="1:5" x14ac:dyDescent="0.25">
      <c r="A1159" s="91" t="s">
        <v>8013</v>
      </c>
      <c r="B1159" s="138">
        <v>28085</v>
      </c>
      <c r="C1159" s="138">
        <v>5874.2300000000005</v>
      </c>
      <c r="D1159" s="138">
        <v>28085</v>
      </c>
      <c r="E1159" s="138">
        <v>62044.23</v>
      </c>
    </row>
    <row r="1160" spans="1:5" x14ac:dyDescent="0.25">
      <c r="A1160" s="91" t="s">
        <v>8053</v>
      </c>
      <c r="B1160" s="138">
        <v>-1000</v>
      </c>
      <c r="C1160" s="138">
        <v>0</v>
      </c>
      <c r="D1160" s="138">
        <v>1000</v>
      </c>
      <c r="E1160" s="138">
        <v>0</v>
      </c>
    </row>
    <row r="1161" spans="1:5" x14ac:dyDescent="0.25">
      <c r="A1161" s="91" t="s">
        <v>8151</v>
      </c>
      <c r="B1161" s="138">
        <v>-20600</v>
      </c>
      <c r="C1161" s="138">
        <v>1637.28</v>
      </c>
      <c r="D1161" s="138">
        <v>25000</v>
      </c>
      <c r="E1161" s="138">
        <v>6037.2799999999988</v>
      </c>
    </row>
    <row r="1162" spans="1:5" x14ac:dyDescent="0.25">
      <c r="A1162" s="91" t="s">
        <v>8235</v>
      </c>
      <c r="B1162" s="138">
        <v>57.5</v>
      </c>
      <c r="C1162" s="138">
        <v>0</v>
      </c>
      <c r="D1162" s="138">
        <v>575</v>
      </c>
      <c r="E1162" s="138">
        <v>632.5</v>
      </c>
    </row>
    <row r="1163" spans="1:5" x14ac:dyDescent="0.25">
      <c r="A1163" s="91" t="s">
        <v>8279</v>
      </c>
      <c r="B1163" s="138">
        <v>0</v>
      </c>
      <c r="C1163" s="138">
        <v>0</v>
      </c>
      <c r="D1163" s="138">
        <v>15500</v>
      </c>
      <c r="E1163" s="138">
        <v>15500</v>
      </c>
    </row>
    <row r="1164" spans="1:5" x14ac:dyDescent="0.25">
      <c r="A1164" s="91" t="s">
        <v>8303</v>
      </c>
      <c r="B1164" s="138">
        <v>0</v>
      </c>
      <c r="C1164" s="138">
        <v>0</v>
      </c>
      <c r="D1164" s="138">
        <v>1600</v>
      </c>
      <c r="E1164" s="138">
        <v>1600</v>
      </c>
    </row>
    <row r="1165" spans="1:5" x14ac:dyDescent="0.25">
      <c r="A1165" s="91" t="s">
        <v>8320</v>
      </c>
      <c r="B1165" s="138">
        <v>0</v>
      </c>
      <c r="C1165" s="138">
        <v>0</v>
      </c>
      <c r="D1165" s="138">
        <v>3500</v>
      </c>
      <c r="E1165" s="138">
        <v>3500</v>
      </c>
    </row>
    <row r="1166" spans="1:5" x14ac:dyDescent="0.25">
      <c r="A1166" s="91" t="s">
        <v>8339</v>
      </c>
      <c r="B1166" s="138">
        <v>0</v>
      </c>
      <c r="C1166" s="138">
        <v>0</v>
      </c>
      <c r="D1166" s="138">
        <v>3500</v>
      </c>
      <c r="E1166" s="138">
        <v>3500</v>
      </c>
    </row>
    <row r="1167" spans="1:5" x14ac:dyDescent="0.25">
      <c r="A1167" s="91" t="s">
        <v>8342</v>
      </c>
      <c r="B1167" s="138">
        <v>0</v>
      </c>
      <c r="C1167" s="138">
        <v>0</v>
      </c>
      <c r="D1167" s="138">
        <v>500</v>
      </c>
      <c r="E1167" s="138">
        <v>500</v>
      </c>
    </row>
    <row r="1168" spans="1:5" x14ac:dyDescent="0.25">
      <c r="A1168" s="91" t="s">
        <v>8350</v>
      </c>
      <c r="B1168" s="138">
        <v>-36500</v>
      </c>
      <c r="C1168" s="138">
        <v>0</v>
      </c>
      <c r="D1168" s="138">
        <v>36500</v>
      </c>
      <c r="E1168" s="138">
        <v>0</v>
      </c>
    </row>
    <row r="1169" spans="1:5" x14ac:dyDescent="0.25">
      <c r="A1169" s="91" t="s">
        <v>9110</v>
      </c>
      <c r="B1169" s="138">
        <v>312963</v>
      </c>
      <c r="C1169" s="138">
        <v>211794.6</v>
      </c>
      <c r="D1169" s="138"/>
      <c r="E1169" s="138">
        <v>524757.6</v>
      </c>
    </row>
    <row r="1170" spans="1:5" x14ac:dyDescent="0.25">
      <c r="A1170" s="91" t="s">
        <v>7676</v>
      </c>
      <c r="B1170" s="138">
        <v>111716</v>
      </c>
      <c r="C1170" s="138">
        <v>63391.98</v>
      </c>
      <c r="D1170" s="138">
        <v>99716</v>
      </c>
      <c r="E1170" s="138">
        <v>274823.98</v>
      </c>
    </row>
    <row r="1171" spans="1:5" x14ac:dyDescent="0.25">
      <c r="A1171" s="91" t="s">
        <v>7753</v>
      </c>
      <c r="B1171" s="138">
        <v>101500</v>
      </c>
      <c r="C1171" s="138">
        <v>51298.74</v>
      </c>
      <c r="D1171" s="138">
        <v>74500</v>
      </c>
      <c r="E1171" s="138">
        <v>227298.74</v>
      </c>
    </row>
    <row r="1172" spans="1:5" x14ac:dyDescent="0.25">
      <c r="A1172" s="91" t="s">
        <v>9111</v>
      </c>
      <c r="B1172" s="138">
        <v>84977.9</v>
      </c>
      <c r="C1172" s="138">
        <v>46690.52</v>
      </c>
      <c r="D1172" s="138"/>
      <c r="E1172" s="138">
        <v>131668.41999999998</v>
      </c>
    </row>
    <row r="1173" spans="1:5" x14ac:dyDescent="0.25">
      <c r="A1173" s="91" t="s">
        <v>9112</v>
      </c>
      <c r="B1173" s="138">
        <v>0</v>
      </c>
      <c r="C1173" s="138">
        <v>1898.18</v>
      </c>
      <c r="D1173" s="138"/>
      <c r="E1173" s="138">
        <v>1898.18</v>
      </c>
    </row>
    <row r="1174" spans="1:5" x14ac:dyDescent="0.25">
      <c r="A1174" s="91" t="s">
        <v>9113</v>
      </c>
      <c r="B1174" s="138">
        <v>7629.59</v>
      </c>
      <c r="C1174" s="138">
        <v>4718.74</v>
      </c>
      <c r="D1174" s="138"/>
      <c r="E1174" s="138">
        <v>12348.33</v>
      </c>
    </row>
    <row r="1175" spans="1:5" x14ac:dyDescent="0.25">
      <c r="A1175" s="91" t="s">
        <v>9114</v>
      </c>
      <c r="B1175" s="138">
        <v>49622.43</v>
      </c>
      <c r="C1175" s="138">
        <v>36169.64</v>
      </c>
      <c r="D1175" s="138"/>
      <c r="E1175" s="138">
        <v>85792.07</v>
      </c>
    </row>
    <row r="1176" spans="1:5" x14ac:dyDescent="0.25">
      <c r="A1176" s="91" t="s">
        <v>9115</v>
      </c>
      <c r="B1176" s="138">
        <v>263.08999999999997</v>
      </c>
      <c r="C1176" s="138">
        <v>162.74</v>
      </c>
      <c r="D1176" s="138"/>
      <c r="E1176" s="138">
        <v>425.83</v>
      </c>
    </row>
    <row r="1177" spans="1:5" x14ac:dyDescent="0.25">
      <c r="A1177" s="91" t="s">
        <v>9116</v>
      </c>
      <c r="B1177" s="138">
        <v>9949</v>
      </c>
      <c r="C1177" s="138">
        <v>6182.18</v>
      </c>
      <c r="D1177" s="138"/>
      <c r="E1177" s="138">
        <v>16131.18</v>
      </c>
    </row>
    <row r="1178" spans="1:5" x14ac:dyDescent="0.25">
      <c r="A1178" s="91" t="s">
        <v>9117</v>
      </c>
      <c r="B1178" s="138">
        <v>2400</v>
      </c>
      <c r="C1178" s="138">
        <v>1745.44</v>
      </c>
      <c r="D1178" s="138"/>
      <c r="E1178" s="138">
        <v>4145.4400000000005</v>
      </c>
    </row>
    <row r="1179" spans="1:5" x14ac:dyDescent="0.25">
      <c r="A1179" s="91" t="s">
        <v>7952</v>
      </c>
      <c r="B1179" s="138">
        <v>250</v>
      </c>
      <c r="C1179" s="138">
        <v>120.51</v>
      </c>
      <c r="D1179" s="138">
        <v>535</v>
      </c>
      <c r="E1179" s="138">
        <v>905.51</v>
      </c>
    </row>
    <row r="1180" spans="1:5" x14ac:dyDescent="0.25">
      <c r="A1180" s="91" t="s">
        <v>8236</v>
      </c>
      <c r="B1180" s="138">
        <v>25</v>
      </c>
      <c r="C1180" s="138">
        <v>0</v>
      </c>
      <c r="D1180" s="138">
        <v>250</v>
      </c>
      <c r="E1180" s="138">
        <v>275</v>
      </c>
    </row>
    <row r="1181" spans="1:5" x14ac:dyDescent="0.25">
      <c r="A1181" s="91" t="s">
        <v>8375</v>
      </c>
      <c r="B1181" s="138">
        <v>0</v>
      </c>
      <c r="C1181" s="138">
        <v>2359.98</v>
      </c>
      <c r="D1181" s="138">
        <v>0</v>
      </c>
      <c r="E1181" s="138">
        <v>2359.98</v>
      </c>
    </row>
    <row r="1182" spans="1:5" x14ac:dyDescent="0.25">
      <c r="A1182" s="91" t="s">
        <v>8237</v>
      </c>
      <c r="B1182" s="138">
        <v>2.7</v>
      </c>
      <c r="C1182" s="138">
        <v>0</v>
      </c>
      <c r="D1182" s="138"/>
      <c r="E1182" s="138">
        <v>2.7</v>
      </c>
    </row>
    <row r="1183" spans="1:5" x14ac:dyDescent="0.25">
      <c r="A1183" s="91" t="s">
        <v>9118</v>
      </c>
      <c r="B1183" s="138">
        <v>300610</v>
      </c>
      <c r="C1183" s="138">
        <v>244061.7</v>
      </c>
      <c r="D1183" s="138"/>
      <c r="E1183" s="138">
        <v>544671.69999999995</v>
      </c>
    </row>
    <row r="1184" spans="1:5" x14ac:dyDescent="0.25">
      <c r="A1184" s="91" t="s">
        <v>7677</v>
      </c>
      <c r="B1184" s="138">
        <v>17658</v>
      </c>
      <c r="C1184" s="138">
        <v>4171.5</v>
      </c>
      <c r="D1184" s="138">
        <v>12000</v>
      </c>
      <c r="E1184" s="138">
        <v>33829.5</v>
      </c>
    </row>
    <row r="1185" spans="1:5" x14ac:dyDescent="0.25">
      <c r="A1185" s="91" t="s">
        <v>7754</v>
      </c>
      <c r="B1185" s="138">
        <v>8480</v>
      </c>
      <c r="C1185" s="138">
        <v>2077.17</v>
      </c>
      <c r="D1185" s="138">
        <v>8480</v>
      </c>
      <c r="E1185" s="138">
        <v>19037.169999999998</v>
      </c>
    </row>
    <row r="1186" spans="1:5" x14ac:dyDescent="0.25">
      <c r="A1186" s="91" t="s">
        <v>9119</v>
      </c>
      <c r="B1186" s="138">
        <v>20098</v>
      </c>
      <c r="C1186" s="138">
        <v>17023.37</v>
      </c>
      <c r="D1186" s="138"/>
      <c r="E1186" s="138">
        <v>37121.369999999995</v>
      </c>
    </row>
    <row r="1187" spans="1:5" x14ac:dyDescent="0.25">
      <c r="A1187" s="91" t="s">
        <v>9120</v>
      </c>
      <c r="B1187" s="138">
        <v>52769.8</v>
      </c>
      <c r="C1187" s="138">
        <v>40102.92</v>
      </c>
      <c r="D1187" s="138"/>
      <c r="E1187" s="138">
        <v>92872.72</v>
      </c>
    </row>
    <row r="1188" spans="1:5" x14ac:dyDescent="0.25">
      <c r="A1188" s="91" t="s">
        <v>9121</v>
      </c>
      <c r="B1188" s="138">
        <v>4160.29</v>
      </c>
      <c r="C1188" s="138">
        <v>3532.95</v>
      </c>
      <c r="D1188" s="138"/>
      <c r="E1188" s="138">
        <v>7693.24</v>
      </c>
    </row>
    <row r="1189" spans="1:5" x14ac:dyDescent="0.25">
      <c r="A1189" s="91" t="s">
        <v>9122</v>
      </c>
      <c r="B1189" s="138">
        <v>1246.08</v>
      </c>
      <c r="C1189" s="138">
        <v>1168.06</v>
      </c>
      <c r="D1189" s="138"/>
      <c r="E1189" s="138">
        <v>2414.14</v>
      </c>
    </row>
    <row r="1190" spans="1:5" x14ac:dyDescent="0.25">
      <c r="A1190" s="91" t="s">
        <v>9123</v>
      </c>
      <c r="B1190" s="138">
        <v>5029.26</v>
      </c>
      <c r="C1190" s="138">
        <v>3855.12</v>
      </c>
      <c r="D1190" s="138"/>
      <c r="E1190" s="138">
        <v>8884.380000000001</v>
      </c>
    </row>
    <row r="1191" spans="1:5" x14ac:dyDescent="0.25">
      <c r="A1191" s="91" t="s">
        <v>9124</v>
      </c>
      <c r="B1191" s="138">
        <v>66406.850000000006</v>
      </c>
      <c r="C1191" s="138">
        <v>53266.52</v>
      </c>
      <c r="D1191" s="138"/>
      <c r="E1191" s="138">
        <v>119673.37</v>
      </c>
    </row>
    <row r="1192" spans="1:5" x14ac:dyDescent="0.25">
      <c r="A1192" s="91" t="s">
        <v>9125</v>
      </c>
      <c r="B1192" s="138">
        <v>173.43</v>
      </c>
      <c r="C1192" s="138">
        <v>133.52000000000001</v>
      </c>
      <c r="D1192" s="138"/>
      <c r="E1192" s="138">
        <v>306.95000000000005</v>
      </c>
    </row>
    <row r="1193" spans="1:5" x14ac:dyDescent="0.25">
      <c r="A1193" s="91" t="s">
        <v>9126</v>
      </c>
      <c r="B1193" s="138">
        <v>6558.17</v>
      </c>
      <c r="C1193" s="138">
        <v>5055.53</v>
      </c>
      <c r="D1193" s="138"/>
      <c r="E1193" s="138">
        <v>11613.7</v>
      </c>
    </row>
    <row r="1194" spans="1:5" x14ac:dyDescent="0.25">
      <c r="A1194" s="91" t="s">
        <v>8238</v>
      </c>
      <c r="B1194" s="138">
        <v>25</v>
      </c>
      <c r="C1194" s="138">
        <v>0</v>
      </c>
      <c r="D1194" s="138"/>
      <c r="E1194" s="138">
        <v>25</v>
      </c>
    </row>
    <row r="1195" spans="1:5" x14ac:dyDescent="0.25">
      <c r="A1195" s="91" t="s">
        <v>9127</v>
      </c>
      <c r="B1195" s="138">
        <v>84189</v>
      </c>
      <c r="C1195" s="138">
        <v>69454.83</v>
      </c>
      <c r="D1195" s="138"/>
      <c r="E1195" s="138">
        <v>153643.83000000002</v>
      </c>
    </row>
    <row r="1196" spans="1:5" x14ac:dyDescent="0.25">
      <c r="A1196" s="91" t="s">
        <v>7678</v>
      </c>
      <c r="B1196" s="138">
        <v>0</v>
      </c>
      <c r="C1196" s="138">
        <v>2291.62</v>
      </c>
      <c r="D1196" s="138">
        <v>3000</v>
      </c>
      <c r="E1196" s="138">
        <v>5291.62</v>
      </c>
    </row>
    <row r="1197" spans="1:5" x14ac:dyDescent="0.25">
      <c r="A1197" s="91" t="s">
        <v>7755</v>
      </c>
      <c r="B1197" s="138">
        <v>9572</v>
      </c>
      <c r="C1197" s="138">
        <v>0</v>
      </c>
      <c r="D1197" s="138">
        <v>11000</v>
      </c>
      <c r="E1197" s="138">
        <v>20572</v>
      </c>
    </row>
    <row r="1198" spans="1:5" x14ac:dyDescent="0.25">
      <c r="A1198" s="91" t="s">
        <v>7794</v>
      </c>
      <c r="B1198" s="138">
        <v>75</v>
      </c>
      <c r="C1198" s="138">
        <v>0</v>
      </c>
      <c r="D1198" s="138">
        <v>75</v>
      </c>
      <c r="E1198" s="138">
        <v>150</v>
      </c>
    </row>
    <row r="1199" spans="1:5" x14ac:dyDescent="0.25">
      <c r="A1199" s="91" t="s">
        <v>9128</v>
      </c>
      <c r="B1199" s="138">
        <v>15142.4</v>
      </c>
      <c r="C1199" s="138">
        <v>11587.07</v>
      </c>
      <c r="D1199" s="138"/>
      <c r="E1199" s="138">
        <v>26729.47</v>
      </c>
    </row>
    <row r="1200" spans="1:5" x14ac:dyDescent="0.25">
      <c r="A1200" s="91" t="s">
        <v>9129</v>
      </c>
      <c r="B1200" s="138">
        <v>12.11</v>
      </c>
      <c r="C1200" s="138">
        <v>0</v>
      </c>
      <c r="D1200" s="138"/>
      <c r="E1200" s="138">
        <v>12.11</v>
      </c>
    </row>
    <row r="1201" spans="1:5" x14ac:dyDescent="0.25">
      <c r="A1201" s="91" t="s">
        <v>9130</v>
      </c>
      <c r="B1201" s="138">
        <v>1359.53</v>
      </c>
      <c r="C1201" s="138">
        <v>1041.07</v>
      </c>
      <c r="D1201" s="138"/>
      <c r="E1201" s="138">
        <v>2400.6</v>
      </c>
    </row>
    <row r="1202" spans="1:5" x14ac:dyDescent="0.25">
      <c r="A1202" s="91" t="s">
        <v>9131</v>
      </c>
      <c r="B1202" s="138">
        <v>1.0900000000000001</v>
      </c>
      <c r="C1202" s="138">
        <v>0</v>
      </c>
      <c r="D1202" s="138"/>
      <c r="E1202" s="138">
        <v>1.0900000000000001</v>
      </c>
    </row>
    <row r="1203" spans="1:5" x14ac:dyDescent="0.25">
      <c r="A1203" s="91" t="s">
        <v>9132</v>
      </c>
      <c r="B1203" s="138">
        <v>13214.31</v>
      </c>
      <c r="C1203" s="138">
        <v>10424.84</v>
      </c>
      <c r="D1203" s="138"/>
      <c r="E1203" s="138">
        <v>23639.15</v>
      </c>
    </row>
    <row r="1204" spans="1:5" x14ac:dyDescent="0.25">
      <c r="A1204" s="91" t="s">
        <v>9133</v>
      </c>
      <c r="B1204" s="138">
        <v>46.88</v>
      </c>
      <c r="C1204" s="138">
        <v>35.9</v>
      </c>
      <c r="D1204" s="138"/>
      <c r="E1204" s="138">
        <v>82.78</v>
      </c>
    </row>
    <row r="1205" spans="1:5" x14ac:dyDescent="0.25">
      <c r="A1205" s="91" t="s">
        <v>9134</v>
      </c>
      <c r="B1205" s="138">
        <v>0.04</v>
      </c>
      <c r="C1205" s="138">
        <v>0</v>
      </c>
      <c r="D1205" s="138"/>
      <c r="E1205" s="138">
        <v>0.04</v>
      </c>
    </row>
    <row r="1206" spans="1:5" x14ac:dyDescent="0.25">
      <c r="A1206" s="91" t="s">
        <v>9135</v>
      </c>
      <c r="B1206" s="138">
        <v>1772.84</v>
      </c>
      <c r="C1206" s="138">
        <v>1356.56</v>
      </c>
      <c r="D1206" s="138"/>
      <c r="E1206" s="138">
        <v>3129.3999999999996</v>
      </c>
    </row>
    <row r="1207" spans="1:5" x14ac:dyDescent="0.25">
      <c r="A1207" s="91" t="s">
        <v>9136</v>
      </c>
      <c r="B1207" s="138">
        <v>1.42</v>
      </c>
      <c r="C1207" s="138">
        <v>0</v>
      </c>
      <c r="D1207" s="138"/>
      <c r="E1207" s="138">
        <v>1.42</v>
      </c>
    </row>
    <row r="1208" spans="1:5" x14ac:dyDescent="0.25">
      <c r="A1208" s="91" t="s">
        <v>8239</v>
      </c>
      <c r="B1208" s="138">
        <v>15</v>
      </c>
      <c r="C1208" s="138">
        <v>0</v>
      </c>
      <c r="D1208" s="138">
        <v>150</v>
      </c>
      <c r="E1208" s="138">
        <v>165</v>
      </c>
    </row>
    <row r="1209" spans="1:5" x14ac:dyDescent="0.25">
      <c r="A1209" s="91" t="s">
        <v>9137</v>
      </c>
      <c r="B1209" s="138">
        <v>224950</v>
      </c>
      <c r="C1209" s="138">
        <v>184050.09</v>
      </c>
      <c r="D1209" s="138"/>
      <c r="E1209" s="138">
        <v>409000.08999999997</v>
      </c>
    </row>
    <row r="1210" spans="1:5" x14ac:dyDescent="0.25">
      <c r="A1210" s="91" t="s">
        <v>7679</v>
      </c>
      <c r="B1210" s="138">
        <v>32521</v>
      </c>
      <c r="C1210" s="138">
        <v>8510.0400000000009</v>
      </c>
      <c r="D1210" s="138">
        <v>32521</v>
      </c>
      <c r="E1210" s="138">
        <v>73552.040000000008</v>
      </c>
    </row>
    <row r="1211" spans="1:5" x14ac:dyDescent="0.25">
      <c r="A1211" s="91" t="s">
        <v>7756</v>
      </c>
      <c r="B1211" s="138">
        <v>176227</v>
      </c>
      <c r="C1211" s="138">
        <v>104802.85</v>
      </c>
      <c r="D1211" s="138">
        <v>176842</v>
      </c>
      <c r="E1211" s="138">
        <v>457871.85</v>
      </c>
    </row>
    <row r="1212" spans="1:5" x14ac:dyDescent="0.25">
      <c r="A1212" s="91" t="s">
        <v>7795</v>
      </c>
      <c r="B1212" s="138">
        <v>5350</v>
      </c>
      <c r="C1212" s="138">
        <v>0</v>
      </c>
      <c r="D1212" s="138">
        <v>5350</v>
      </c>
      <c r="E1212" s="138">
        <v>10700</v>
      </c>
    </row>
    <row r="1213" spans="1:5" x14ac:dyDescent="0.25">
      <c r="A1213" s="91" t="s">
        <v>7873</v>
      </c>
      <c r="B1213" s="138">
        <v>100</v>
      </c>
      <c r="C1213" s="138">
        <v>0</v>
      </c>
      <c r="D1213" s="138">
        <v>100</v>
      </c>
      <c r="E1213" s="138">
        <v>200</v>
      </c>
    </row>
    <row r="1214" spans="1:5" x14ac:dyDescent="0.25">
      <c r="A1214" s="91" t="s">
        <v>9138</v>
      </c>
      <c r="B1214" s="138">
        <v>70141.539999999994</v>
      </c>
      <c r="C1214" s="138">
        <v>38586.35</v>
      </c>
      <c r="D1214" s="138"/>
      <c r="E1214" s="138">
        <v>108727.88999999998</v>
      </c>
    </row>
    <row r="1215" spans="1:5" x14ac:dyDescent="0.25">
      <c r="A1215" s="91" t="s">
        <v>9139</v>
      </c>
      <c r="B1215" s="138">
        <v>864.03</v>
      </c>
      <c r="C1215" s="138">
        <v>0</v>
      </c>
      <c r="D1215" s="138"/>
      <c r="E1215" s="138">
        <v>864.03</v>
      </c>
    </row>
    <row r="1216" spans="1:5" x14ac:dyDescent="0.25">
      <c r="A1216" s="91" t="s">
        <v>9140</v>
      </c>
      <c r="B1216" s="138">
        <v>0</v>
      </c>
      <c r="C1216" s="138">
        <v>3623.21</v>
      </c>
      <c r="D1216" s="138"/>
      <c r="E1216" s="138">
        <v>3623.21</v>
      </c>
    </row>
    <row r="1217" spans="1:5" x14ac:dyDescent="0.25">
      <c r="A1217" s="91" t="s">
        <v>9141</v>
      </c>
      <c r="B1217" s="138">
        <v>6.2</v>
      </c>
      <c r="C1217" s="138">
        <v>0</v>
      </c>
      <c r="D1217" s="138"/>
      <c r="E1217" s="138">
        <v>6.2</v>
      </c>
    </row>
    <row r="1218" spans="1:5" x14ac:dyDescent="0.25">
      <c r="A1218" s="91" t="s">
        <v>9142</v>
      </c>
      <c r="B1218" s="138">
        <v>6297.53</v>
      </c>
      <c r="C1218" s="138">
        <v>4292.01</v>
      </c>
      <c r="D1218" s="138"/>
      <c r="E1218" s="138">
        <v>10589.54</v>
      </c>
    </row>
    <row r="1219" spans="1:5" x14ac:dyDescent="0.25">
      <c r="A1219" s="91" t="s">
        <v>9143</v>
      </c>
      <c r="B1219" s="138">
        <v>79.03</v>
      </c>
      <c r="C1219" s="138">
        <v>0</v>
      </c>
      <c r="D1219" s="138"/>
      <c r="E1219" s="138">
        <v>79.03</v>
      </c>
    </row>
    <row r="1220" spans="1:5" x14ac:dyDescent="0.25">
      <c r="A1220" s="91" t="s">
        <v>9144</v>
      </c>
      <c r="B1220" s="138">
        <v>58362.16</v>
      </c>
      <c r="C1220" s="138">
        <v>46984.75</v>
      </c>
      <c r="D1220" s="138"/>
      <c r="E1220" s="138">
        <v>105346.91</v>
      </c>
    </row>
    <row r="1221" spans="1:5" x14ac:dyDescent="0.25">
      <c r="A1221" s="91" t="s">
        <v>9145</v>
      </c>
      <c r="B1221" s="138">
        <v>217.16</v>
      </c>
      <c r="C1221" s="138">
        <v>148.69</v>
      </c>
      <c r="D1221" s="138"/>
      <c r="E1221" s="138">
        <v>365.85</v>
      </c>
    </row>
    <row r="1222" spans="1:5" x14ac:dyDescent="0.25">
      <c r="A1222" s="91" t="s">
        <v>9146</v>
      </c>
      <c r="B1222" s="138">
        <v>2.73</v>
      </c>
      <c r="C1222" s="138">
        <v>0</v>
      </c>
      <c r="D1222" s="138"/>
      <c r="E1222" s="138">
        <v>2.73</v>
      </c>
    </row>
    <row r="1223" spans="1:5" x14ac:dyDescent="0.25">
      <c r="A1223" s="91" t="s">
        <v>9147</v>
      </c>
      <c r="B1223" s="138">
        <v>8212</v>
      </c>
      <c r="C1223" s="138">
        <v>5622.68</v>
      </c>
      <c r="D1223" s="138"/>
      <c r="E1223" s="138">
        <v>13834.68</v>
      </c>
    </row>
    <row r="1224" spans="1:5" x14ac:dyDescent="0.25">
      <c r="A1224" s="91" t="s">
        <v>9148</v>
      </c>
      <c r="B1224" s="138">
        <v>103.05</v>
      </c>
      <c r="C1224" s="138">
        <v>0</v>
      </c>
      <c r="D1224" s="138"/>
      <c r="E1224" s="138">
        <v>103.05</v>
      </c>
    </row>
    <row r="1225" spans="1:5" x14ac:dyDescent="0.25">
      <c r="A1225" s="91" t="s">
        <v>8108</v>
      </c>
      <c r="B1225" s="138">
        <v>5700</v>
      </c>
      <c r="C1225" s="138">
        <v>0</v>
      </c>
      <c r="D1225" s="138">
        <v>5700</v>
      </c>
      <c r="E1225" s="138">
        <v>11400</v>
      </c>
    </row>
    <row r="1226" spans="1:5" x14ac:dyDescent="0.25">
      <c r="A1226" s="91" t="s">
        <v>8240</v>
      </c>
      <c r="B1226" s="138">
        <v>25</v>
      </c>
      <c r="C1226" s="138">
        <v>0</v>
      </c>
      <c r="D1226" s="138">
        <v>250</v>
      </c>
      <c r="E1226" s="138">
        <v>275</v>
      </c>
    </row>
    <row r="1227" spans="1:5" x14ac:dyDescent="0.25">
      <c r="A1227" s="91" t="s">
        <v>9149</v>
      </c>
      <c r="B1227" s="138">
        <v>21806</v>
      </c>
      <c r="C1227" s="138">
        <v>18105.18</v>
      </c>
      <c r="D1227" s="138"/>
      <c r="E1227" s="138">
        <v>39911.18</v>
      </c>
    </row>
    <row r="1228" spans="1:5" x14ac:dyDescent="0.25">
      <c r="A1228" s="91" t="s">
        <v>9150</v>
      </c>
      <c r="B1228" s="138">
        <v>5283.12</v>
      </c>
      <c r="C1228" s="138">
        <v>4507.13</v>
      </c>
      <c r="D1228" s="138"/>
      <c r="E1228" s="138">
        <v>9790.25</v>
      </c>
    </row>
    <row r="1229" spans="1:5" x14ac:dyDescent="0.25">
      <c r="A1229" s="91" t="s">
        <v>7874</v>
      </c>
      <c r="B1229" s="138">
        <v>250</v>
      </c>
      <c r="C1229" s="138">
        <v>0</v>
      </c>
      <c r="D1229" s="138">
        <v>250</v>
      </c>
      <c r="E1229" s="138">
        <v>500</v>
      </c>
    </row>
    <row r="1230" spans="1:5" x14ac:dyDescent="0.25">
      <c r="A1230" s="91" t="s">
        <v>9151</v>
      </c>
      <c r="B1230" s="138">
        <v>3521.67</v>
      </c>
      <c r="C1230" s="138">
        <v>2923.98</v>
      </c>
      <c r="D1230" s="138"/>
      <c r="E1230" s="138">
        <v>6445.65</v>
      </c>
    </row>
    <row r="1231" spans="1:5" x14ac:dyDescent="0.25">
      <c r="A1231" s="91" t="s">
        <v>9152</v>
      </c>
      <c r="B1231" s="138">
        <v>1093.6099999999999</v>
      </c>
      <c r="C1231" s="138">
        <v>932.46</v>
      </c>
      <c r="D1231" s="138"/>
      <c r="E1231" s="138">
        <v>2026.07</v>
      </c>
    </row>
    <row r="1232" spans="1:5" x14ac:dyDescent="0.25">
      <c r="A1232" s="91" t="s">
        <v>9153</v>
      </c>
      <c r="B1232" s="138">
        <v>343.05</v>
      </c>
      <c r="C1232" s="138">
        <v>268.39</v>
      </c>
      <c r="D1232" s="138"/>
      <c r="E1232" s="138">
        <v>611.44000000000005</v>
      </c>
    </row>
    <row r="1233" spans="1:5" x14ac:dyDescent="0.25">
      <c r="A1233" s="91" t="s">
        <v>9154</v>
      </c>
      <c r="B1233" s="138">
        <v>396.43</v>
      </c>
      <c r="C1233" s="138">
        <v>325.26</v>
      </c>
      <c r="D1233" s="138"/>
      <c r="E1233" s="138">
        <v>721.69</v>
      </c>
    </row>
    <row r="1234" spans="1:5" x14ac:dyDescent="0.25">
      <c r="A1234" s="91" t="s">
        <v>9155</v>
      </c>
      <c r="B1234" s="138">
        <v>5940.47</v>
      </c>
      <c r="C1234" s="138">
        <v>4850.8999999999996</v>
      </c>
      <c r="D1234" s="138"/>
      <c r="E1234" s="138">
        <v>10791.369999999999</v>
      </c>
    </row>
    <row r="1235" spans="1:5" x14ac:dyDescent="0.25">
      <c r="A1235" s="91" t="s">
        <v>9156</v>
      </c>
      <c r="B1235" s="138">
        <v>13.67</v>
      </c>
      <c r="C1235" s="138">
        <v>11.23</v>
      </c>
      <c r="D1235" s="138"/>
      <c r="E1235" s="138">
        <v>24.9</v>
      </c>
    </row>
    <row r="1236" spans="1:5" x14ac:dyDescent="0.25">
      <c r="A1236" s="91" t="s">
        <v>9157</v>
      </c>
      <c r="B1236" s="138">
        <v>516.92999999999995</v>
      </c>
      <c r="C1236" s="138">
        <v>427.75</v>
      </c>
      <c r="D1236" s="138"/>
      <c r="E1236" s="138">
        <v>944.68</v>
      </c>
    </row>
    <row r="1237" spans="1:5" x14ac:dyDescent="0.25">
      <c r="A1237" s="91" t="s">
        <v>7992</v>
      </c>
      <c r="B1237" s="138">
        <v>200</v>
      </c>
      <c r="C1237" s="138">
        <v>0</v>
      </c>
      <c r="D1237" s="138">
        <v>200</v>
      </c>
      <c r="E1237" s="138">
        <v>400</v>
      </c>
    </row>
    <row r="1238" spans="1:5" x14ac:dyDescent="0.25">
      <c r="A1238" s="91" t="s">
        <v>8241</v>
      </c>
      <c r="B1238" s="138">
        <v>10</v>
      </c>
      <c r="C1238" s="138">
        <v>0</v>
      </c>
      <c r="D1238" s="138">
        <v>100</v>
      </c>
      <c r="E1238" s="138">
        <v>110</v>
      </c>
    </row>
    <row r="1239" spans="1:5" x14ac:dyDescent="0.25">
      <c r="A1239" s="91" t="s">
        <v>7796</v>
      </c>
      <c r="B1239" s="138">
        <v>0</v>
      </c>
      <c r="C1239" s="138">
        <v>3500</v>
      </c>
      <c r="D1239" s="138">
        <v>0</v>
      </c>
      <c r="E1239" s="138">
        <v>3500</v>
      </c>
    </row>
    <row r="1240" spans="1:5" x14ac:dyDescent="0.25">
      <c r="A1240" s="91" t="s">
        <v>9158</v>
      </c>
      <c r="B1240" s="138">
        <v>0</v>
      </c>
      <c r="C1240" s="138">
        <v>1832</v>
      </c>
      <c r="D1240" s="138"/>
      <c r="E1240" s="138">
        <v>1832</v>
      </c>
    </row>
    <row r="1241" spans="1:5" x14ac:dyDescent="0.25">
      <c r="A1241" s="91" t="s">
        <v>9159</v>
      </c>
      <c r="B1241" s="138">
        <v>0</v>
      </c>
      <c r="C1241" s="138">
        <v>565.25</v>
      </c>
      <c r="D1241" s="138"/>
      <c r="E1241" s="138">
        <v>565.25</v>
      </c>
    </row>
    <row r="1242" spans="1:5" x14ac:dyDescent="0.25">
      <c r="A1242" s="91" t="s">
        <v>9160</v>
      </c>
      <c r="B1242" s="138">
        <v>0</v>
      </c>
      <c r="C1242" s="138">
        <v>375.08</v>
      </c>
      <c r="D1242" s="138"/>
      <c r="E1242" s="138">
        <v>375.08</v>
      </c>
    </row>
    <row r="1243" spans="1:5" x14ac:dyDescent="0.25">
      <c r="A1243" s="91" t="s">
        <v>9161</v>
      </c>
      <c r="B1243" s="138">
        <v>0</v>
      </c>
      <c r="C1243" s="138">
        <v>112.25</v>
      </c>
      <c r="D1243" s="138"/>
      <c r="E1243" s="138">
        <v>112.25</v>
      </c>
    </row>
    <row r="1244" spans="1:5" x14ac:dyDescent="0.25">
      <c r="A1244" s="91" t="s">
        <v>9162</v>
      </c>
      <c r="B1244" s="138">
        <v>0</v>
      </c>
      <c r="C1244" s="138">
        <v>77</v>
      </c>
      <c r="D1244" s="138"/>
      <c r="E1244" s="138">
        <v>77</v>
      </c>
    </row>
    <row r="1245" spans="1:5" x14ac:dyDescent="0.25">
      <c r="A1245" s="91" t="s">
        <v>9163</v>
      </c>
      <c r="B1245" s="138">
        <v>0</v>
      </c>
      <c r="C1245" s="138">
        <v>855.33</v>
      </c>
      <c r="D1245" s="138"/>
      <c r="E1245" s="138">
        <v>855.33</v>
      </c>
    </row>
    <row r="1246" spans="1:5" x14ac:dyDescent="0.25">
      <c r="A1246" s="91" t="s">
        <v>9164</v>
      </c>
      <c r="B1246" s="138">
        <v>0</v>
      </c>
      <c r="C1246" s="138">
        <v>2.67</v>
      </c>
      <c r="D1246" s="138"/>
      <c r="E1246" s="138">
        <v>2.67</v>
      </c>
    </row>
    <row r="1247" spans="1:5" x14ac:dyDescent="0.25">
      <c r="A1247" s="91" t="s">
        <v>9165</v>
      </c>
      <c r="B1247" s="138">
        <v>0</v>
      </c>
      <c r="C1247" s="138">
        <v>100.82</v>
      </c>
      <c r="D1247" s="138"/>
      <c r="E1247" s="138">
        <v>100.82</v>
      </c>
    </row>
    <row r="1248" spans="1:5" x14ac:dyDescent="0.25">
      <c r="A1248" s="91" t="s">
        <v>9166</v>
      </c>
      <c r="B1248" s="138">
        <v>187884</v>
      </c>
      <c r="C1248" s="138">
        <v>153723.42000000001</v>
      </c>
      <c r="D1248" s="138"/>
      <c r="E1248" s="138">
        <v>341607.42000000004</v>
      </c>
    </row>
    <row r="1249" spans="1:5" x14ac:dyDescent="0.25">
      <c r="A1249" s="91" t="s">
        <v>7680</v>
      </c>
      <c r="B1249" s="138">
        <v>25000</v>
      </c>
      <c r="C1249" s="138">
        <v>13978.39</v>
      </c>
      <c r="D1249" s="138">
        <v>27540</v>
      </c>
      <c r="E1249" s="138">
        <v>66518.39</v>
      </c>
    </row>
    <row r="1250" spans="1:5" x14ac:dyDescent="0.25">
      <c r="A1250" s="91" t="s">
        <v>7757</v>
      </c>
      <c r="B1250" s="138">
        <v>100266</v>
      </c>
      <c r="C1250" s="138">
        <v>80362.960000000006</v>
      </c>
      <c r="D1250" s="138">
        <v>100266</v>
      </c>
      <c r="E1250" s="138">
        <v>280894.96000000002</v>
      </c>
    </row>
    <row r="1251" spans="1:5" x14ac:dyDescent="0.25">
      <c r="A1251" s="91" t="s">
        <v>7797</v>
      </c>
      <c r="B1251" s="138">
        <v>100</v>
      </c>
      <c r="C1251" s="138">
        <v>0</v>
      </c>
      <c r="D1251" s="138">
        <v>100</v>
      </c>
      <c r="E1251" s="138">
        <v>200</v>
      </c>
    </row>
    <row r="1252" spans="1:5" x14ac:dyDescent="0.25">
      <c r="A1252" s="91" t="s">
        <v>9167</v>
      </c>
      <c r="B1252" s="138">
        <v>67893</v>
      </c>
      <c r="C1252" s="138">
        <v>46839.57</v>
      </c>
      <c r="D1252" s="138"/>
      <c r="E1252" s="138">
        <v>114732.57</v>
      </c>
    </row>
    <row r="1253" spans="1:5" x14ac:dyDescent="0.25">
      <c r="A1253" s="91" t="s">
        <v>7827</v>
      </c>
      <c r="B1253" s="138">
        <v>0</v>
      </c>
      <c r="C1253" s="138">
        <v>14.96</v>
      </c>
      <c r="D1253" s="138">
        <v>0</v>
      </c>
      <c r="E1253" s="138">
        <v>14.96</v>
      </c>
    </row>
    <row r="1254" spans="1:5" x14ac:dyDescent="0.25">
      <c r="A1254" s="91" t="s">
        <v>9168</v>
      </c>
      <c r="B1254" s="138">
        <v>50573.72</v>
      </c>
      <c r="C1254" s="138">
        <v>33751.24</v>
      </c>
      <c r="D1254" s="138"/>
      <c r="E1254" s="138">
        <v>84324.959999999992</v>
      </c>
    </row>
    <row r="1255" spans="1:5" x14ac:dyDescent="0.25">
      <c r="A1255" s="91" t="s">
        <v>9169</v>
      </c>
      <c r="B1255" s="138">
        <v>16.149999999999999</v>
      </c>
      <c r="C1255" s="138">
        <v>0</v>
      </c>
      <c r="D1255" s="138"/>
      <c r="E1255" s="138">
        <v>16.149999999999999</v>
      </c>
    </row>
    <row r="1256" spans="1:5" x14ac:dyDescent="0.25">
      <c r="A1256" s="91" t="s">
        <v>9170</v>
      </c>
      <c r="B1256" s="138">
        <v>14053.85</v>
      </c>
      <c r="C1256" s="138">
        <v>9606.6200000000008</v>
      </c>
      <c r="D1256" s="138"/>
      <c r="E1256" s="138">
        <v>23660.47</v>
      </c>
    </row>
    <row r="1257" spans="1:5" x14ac:dyDescent="0.25">
      <c r="A1257" s="91" t="s">
        <v>9171</v>
      </c>
      <c r="B1257" s="138">
        <v>4209.37</v>
      </c>
      <c r="C1257" s="138">
        <v>5335.41</v>
      </c>
      <c r="D1257" s="138"/>
      <c r="E1257" s="138">
        <v>9544.7799999999988</v>
      </c>
    </row>
    <row r="1258" spans="1:5" x14ac:dyDescent="0.25">
      <c r="A1258" s="91" t="s">
        <v>9172</v>
      </c>
      <c r="B1258" s="138">
        <v>0</v>
      </c>
      <c r="C1258" s="138">
        <v>0.92</v>
      </c>
      <c r="D1258" s="138"/>
      <c r="E1258" s="138">
        <v>0.92</v>
      </c>
    </row>
    <row r="1259" spans="1:5" x14ac:dyDescent="0.25">
      <c r="A1259" s="91" t="s">
        <v>9173</v>
      </c>
      <c r="B1259" s="138">
        <v>5525.13</v>
      </c>
      <c r="C1259" s="138">
        <v>4265.29</v>
      </c>
      <c r="D1259" s="138"/>
      <c r="E1259" s="138">
        <v>9790.42</v>
      </c>
    </row>
    <row r="1260" spans="1:5" x14ac:dyDescent="0.25">
      <c r="A1260" s="91" t="s">
        <v>9174</v>
      </c>
      <c r="B1260" s="138">
        <v>1.45</v>
      </c>
      <c r="C1260" s="138">
        <v>0.21</v>
      </c>
      <c r="D1260" s="138"/>
      <c r="E1260" s="138">
        <v>1.66</v>
      </c>
    </row>
    <row r="1261" spans="1:5" x14ac:dyDescent="0.25">
      <c r="A1261" s="91" t="s">
        <v>9175</v>
      </c>
      <c r="B1261" s="138">
        <v>63703.58</v>
      </c>
      <c r="C1261" s="138">
        <v>51412.12</v>
      </c>
      <c r="D1261" s="138"/>
      <c r="E1261" s="138">
        <v>115115.70000000001</v>
      </c>
    </row>
    <row r="1262" spans="1:5" x14ac:dyDescent="0.25">
      <c r="A1262" s="91" t="s">
        <v>9176</v>
      </c>
      <c r="B1262" s="138">
        <v>190.52</v>
      </c>
      <c r="C1262" s="138">
        <v>147.41999999999999</v>
      </c>
      <c r="D1262" s="138"/>
      <c r="E1262" s="138">
        <v>337.94</v>
      </c>
    </row>
    <row r="1263" spans="1:5" x14ac:dyDescent="0.25">
      <c r="A1263" s="91" t="s">
        <v>9177</v>
      </c>
      <c r="B1263" s="138">
        <v>0.05</v>
      </c>
      <c r="C1263" s="138">
        <v>0.03</v>
      </c>
      <c r="D1263" s="138"/>
      <c r="E1263" s="138">
        <v>0.08</v>
      </c>
    </row>
    <row r="1264" spans="1:5" x14ac:dyDescent="0.25">
      <c r="A1264" s="91" t="s">
        <v>9178</v>
      </c>
      <c r="B1264" s="138">
        <v>9604.76</v>
      </c>
      <c r="C1264" s="138">
        <v>5576.69</v>
      </c>
      <c r="D1264" s="138"/>
      <c r="E1264" s="138">
        <v>15181.45</v>
      </c>
    </row>
    <row r="1265" spans="1:5" x14ac:dyDescent="0.25">
      <c r="A1265" s="91" t="s">
        <v>9179</v>
      </c>
      <c r="B1265" s="138">
        <v>1.89</v>
      </c>
      <c r="C1265" s="138">
        <v>0.26</v>
      </c>
      <c r="D1265" s="138"/>
      <c r="E1265" s="138">
        <v>2.15</v>
      </c>
    </row>
    <row r="1266" spans="1:5" x14ac:dyDescent="0.25">
      <c r="A1266" s="91" t="s">
        <v>9180</v>
      </c>
      <c r="B1266" s="138">
        <v>0</v>
      </c>
      <c r="C1266" s="138">
        <v>1800</v>
      </c>
      <c r="D1266" s="138"/>
      <c r="E1266" s="138">
        <v>1800</v>
      </c>
    </row>
    <row r="1267" spans="1:5" x14ac:dyDescent="0.25">
      <c r="A1267" s="91" t="s">
        <v>7953</v>
      </c>
      <c r="B1267" s="138">
        <v>1000</v>
      </c>
      <c r="C1267" s="138">
        <v>0.01</v>
      </c>
      <c r="D1267" s="138">
        <v>5350</v>
      </c>
      <c r="E1267" s="138">
        <v>6350.01</v>
      </c>
    </row>
    <row r="1268" spans="1:5" x14ac:dyDescent="0.25">
      <c r="A1268" s="91" t="s">
        <v>8054</v>
      </c>
      <c r="B1268" s="138">
        <v>0</v>
      </c>
      <c r="C1268" s="138">
        <v>0</v>
      </c>
      <c r="D1268" s="138">
        <v>1070</v>
      </c>
      <c r="E1268" s="138">
        <v>1070</v>
      </c>
    </row>
    <row r="1269" spans="1:5" x14ac:dyDescent="0.25">
      <c r="A1269" s="91" t="s">
        <v>8090</v>
      </c>
      <c r="B1269" s="138">
        <v>250</v>
      </c>
      <c r="C1269" s="138">
        <v>0</v>
      </c>
      <c r="D1269" s="138">
        <v>250</v>
      </c>
      <c r="E1269" s="138">
        <v>500</v>
      </c>
    </row>
    <row r="1270" spans="1:5" x14ac:dyDescent="0.25">
      <c r="A1270" s="91" t="s">
        <v>8138</v>
      </c>
      <c r="B1270" s="138">
        <v>1000</v>
      </c>
      <c r="C1270" s="138">
        <v>0</v>
      </c>
      <c r="D1270" s="138">
        <v>1000</v>
      </c>
      <c r="E1270" s="138">
        <v>2000</v>
      </c>
    </row>
    <row r="1271" spans="1:5" x14ac:dyDescent="0.25">
      <c r="A1271" s="91" t="s">
        <v>8242</v>
      </c>
      <c r="B1271" s="138">
        <v>35</v>
      </c>
      <c r="C1271" s="138">
        <v>0</v>
      </c>
      <c r="D1271" s="138">
        <v>600</v>
      </c>
      <c r="E1271" s="138">
        <v>635</v>
      </c>
    </row>
    <row r="1272" spans="1:5" x14ac:dyDescent="0.25">
      <c r="A1272" s="91" t="s">
        <v>8280</v>
      </c>
      <c r="B1272" s="138">
        <v>107</v>
      </c>
      <c r="C1272" s="138">
        <v>0</v>
      </c>
      <c r="D1272" s="138">
        <v>107</v>
      </c>
      <c r="E1272" s="138">
        <v>214</v>
      </c>
    </row>
    <row r="1273" spans="1:5" x14ac:dyDescent="0.25">
      <c r="A1273" s="91" t="s">
        <v>8304</v>
      </c>
      <c r="B1273" s="138">
        <v>1150</v>
      </c>
      <c r="C1273" s="138">
        <v>0</v>
      </c>
      <c r="D1273" s="138">
        <v>535</v>
      </c>
      <c r="E1273" s="138">
        <v>1685</v>
      </c>
    </row>
    <row r="1274" spans="1:5" x14ac:dyDescent="0.25">
      <c r="A1274" s="91" t="s">
        <v>9181</v>
      </c>
      <c r="B1274" s="138">
        <v>72937.2</v>
      </c>
      <c r="C1274" s="138">
        <v>63938.52</v>
      </c>
      <c r="D1274" s="138"/>
      <c r="E1274" s="138">
        <v>136875.72</v>
      </c>
    </row>
    <row r="1275" spans="1:5" x14ac:dyDescent="0.25">
      <c r="A1275" s="91" t="s">
        <v>9182</v>
      </c>
      <c r="B1275" s="138">
        <v>20839.2</v>
      </c>
      <c r="C1275" s="138">
        <v>21312.81</v>
      </c>
      <c r="D1275" s="138"/>
      <c r="E1275" s="138">
        <v>42152.01</v>
      </c>
    </row>
    <row r="1276" spans="1:5" x14ac:dyDescent="0.25">
      <c r="A1276" s="91" t="s">
        <v>7758</v>
      </c>
      <c r="B1276" s="138">
        <v>0</v>
      </c>
      <c r="C1276" s="138">
        <v>25561.02</v>
      </c>
      <c r="D1276" s="138"/>
      <c r="E1276" s="138">
        <v>25561.02</v>
      </c>
    </row>
    <row r="1277" spans="1:5" x14ac:dyDescent="0.25">
      <c r="A1277" s="91" t="s">
        <v>9183</v>
      </c>
      <c r="B1277" s="138">
        <v>11779.36</v>
      </c>
      <c r="C1277" s="138">
        <v>10915.56</v>
      </c>
      <c r="D1277" s="138"/>
      <c r="E1277" s="138">
        <v>22694.92</v>
      </c>
    </row>
    <row r="1278" spans="1:5" x14ac:dyDescent="0.25">
      <c r="A1278" s="91" t="s">
        <v>9184</v>
      </c>
      <c r="B1278" s="138">
        <v>3365.53</v>
      </c>
      <c r="C1278" s="138">
        <v>3442.05</v>
      </c>
      <c r="D1278" s="138"/>
      <c r="E1278" s="138">
        <v>6807.58</v>
      </c>
    </row>
    <row r="1279" spans="1:5" x14ac:dyDescent="0.25">
      <c r="A1279" s="91" t="s">
        <v>9185</v>
      </c>
      <c r="B1279" s="138">
        <v>1057.5899999999999</v>
      </c>
      <c r="C1279" s="138">
        <v>1292.1500000000001</v>
      </c>
      <c r="D1279" s="138"/>
      <c r="E1279" s="138">
        <v>2349.7399999999998</v>
      </c>
    </row>
    <row r="1280" spans="1:5" x14ac:dyDescent="0.25">
      <c r="A1280" s="91" t="s">
        <v>9186</v>
      </c>
      <c r="B1280" s="138">
        <v>302.17</v>
      </c>
      <c r="C1280" s="138">
        <v>307.19</v>
      </c>
      <c r="D1280" s="138"/>
      <c r="E1280" s="138">
        <v>609.36</v>
      </c>
    </row>
    <row r="1281" spans="1:5" x14ac:dyDescent="0.25">
      <c r="A1281" s="91" t="s">
        <v>9187</v>
      </c>
      <c r="B1281" s="138">
        <v>17668.509999999998</v>
      </c>
      <c r="C1281" s="138">
        <v>15238.92</v>
      </c>
      <c r="D1281" s="138"/>
      <c r="E1281" s="138">
        <v>32907.43</v>
      </c>
    </row>
    <row r="1282" spans="1:5" x14ac:dyDescent="0.25">
      <c r="A1282" s="91" t="s">
        <v>9188</v>
      </c>
      <c r="B1282" s="138">
        <v>5048.1499999999996</v>
      </c>
      <c r="C1282" s="138">
        <v>5079.59</v>
      </c>
      <c r="D1282" s="138"/>
      <c r="E1282" s="138">
        <v>10127.74</v>
      </c>
    </row>
    <row r="1283" spans="1:5" x14ac:dyDescent="0.25">
      <c r="A1283" s="91" t="s">
        <v>9189</v>
      </c>
      <c r="B1283" s="138">
        <v>36.47</v>
      </c>
      <c r="C1283" s="138">
        <v>44.71</v>
      </c>
      <c r="D1283" s="138"/>
      <c r="E1283" s="138">
        <v>81.180000000000007</v>
      </c>
    </row>
    <row r="1284" spans="1:5" x14ac:dyDescent="0.25">
      <c r="A1284" s="91" t="s">
        <v>9190</v>
      </c>
      <c r="B1284" s="138">
        <v>10.42</v>
      </c>
      <c r="C1284" s="138">
        <v>10.68</v>
      </c>
      <c r="D1284" s="138"/>
      <c r="E1284" s="138">
        <v>21.1</v>
      </c>
    </row>
    <row r="1285" spans="1:5" x14ac:dyDescent="0.25">
      <c r="A1285" s="91" t="s">
        <v>9191</v>
      </c>
      <c r="B1285" s="138">
        <v>1379.1</v>
      </c>
      <c r="C1285" s="138">
        <v>1692.28</v>
      </c>
      <c r="D1285" s="138"/>
      <c r="E1285" s="138">
        <v>3071.38</v>
      </c>
    </row>
    <row r="1286" spans="1:5" x14ac:dyDescent="0.25">
      <c r="A1286" s="91" t="s">
        <v>9192</v>
      </c>
      <c r="B1286" s="138">
        <v>394.03</v>
      </c>
      <c r="C1286" s="138">
        <v>402.96</v>
      </c>
      <c r="D1286" s="138"/>
      <c r="E1286" s="138">
        <v>796.99</v>
      </c>
    </row>
    <row r="1287" spans="1:5" x14ac:dyDescent="0.25">
      <c r="A1287" s="91" t="s">
        <v>9193</v>
      </c>
      <c r="B1287" s="138">
        <v>29895.75</v>
      </c>
      <c r="C1287" s="138">
        <v>24913.1</v>
      </c>
      <c r="D1287" s="138"/>
      <c r="E1287" s="138">
        <v>54808.85</v>
      </c>
    </row>
    <row r="1288" spans="1:5" x14ac:dyDescent="0.25">
      <c r="A1288" s="91" t="s">
        <v>9194</v>
      </c>
      <c r="B1288" s="138">
        <v>6188.42</v>
      </c>
      <c r="C1288" s="138">
        <v>5157.13</v>
      </c>
      <c r="D1288" s="138"/>
      <c r="E1288" s="138">
        <v>11345.55</v>
      </c>
    </row>
    <row r="1289" spans="1:5" x14ac:dyDescent="0.25">
      <c r="A1289" s="91" t="s">
        <v>9195</v>
      </c>
      <c r="B1289" s="138">
        <v>1853.54</v>
      </c>
      <c r="C1289" s="138">
        <v>1544.6</v>
      </c>
      <c r="D1289" s="138"/>
      <c r="E1289" s="138">
        <v>3398.14</v>
      </c>
    </row>
    <row r="1290" spans="1:5" x14ac:dyDescent="0.25">
      <c r="A1290" s="91" t="s">
        <v>9196</v>
      </c>
      <c r="B1290" s="138">
        <v>433.49</v>
      </c>
      <c r="C1290" s="138">
        <v>361.29</v>
      </c>
      <c r="D1290" s="138"/>
      <c r="E1290" s="138">
        <v>794.78</v>
      </c>
    </row>
    <row r="1291" spans="1:5" x14ac:dyDescent="0.25">
      <c r="A1291" s="91" t="s">
        <v>9197</v>
      </c>
      <c r="B1291" s="138">
        <v>6570.81</v>
      </c>
      <c r="C1291" s="138">
        <v>5363.14</v>
      </c>
      <c r="D1291" s="138"/>
      <c r="E1291" s="138">
        <v>11933.95</v>
      </c>
    </row>
    <row r="1292" spans="1:5" x14ac:dyDescent="0.25">
      <c r="A1292" s="91" t="s">
        <v>9198</v>
      </c>
      <c r="B1292" s="138">
        <v>14.95</v>
      </c>
      <c r="C1292" s="138">
        <v>12.45</v>
      </c>
      <c r="D1292" s="138"/>
      <c r="E1292" s="138">
        <v>27.4</v>
      </c>
    </row>
    <row r="1293" spans="1:5" x14ac:dyDescent="0.25">
      <c r="A1293" s="91" t="s">
        <v>9199</v>
      </c>
      <c r="B1293" s="138">
        <v>565.27</v>
      </c>
      <c r="C1293" s="138">
        <v>472.28</v>
      </c>
      <c r="D1293" s="138"/>
      <c r="E1293" s="138">
        <v>1037.55</v>
      </c>
    </row>
    <row r="1294" spans="1:5" x14ac:dyDescent="0.25">
      <c r="A1294" s="91" t="s">
        <v>7954</v>
      </c>
      <c r="B1294" s="138">
        <v>1660</v>
      </c>
      <c r="C1294" s="138">
        <v>1575.14</v>
      </c>
      <c r="D1294" s="138">
        <v>8560</v>
      </c>
      <c r="E1294" s="138">
        <v>11795.14</v>
      </c>
    </row>
    <row r="1295" spans="1:5" x14ac:dyDescent="0.25">
      <c r="A1295" s="91" t="s">
        <v>8055</v>
      </c>
      <c r="B1295" s="138">
        <v>390</v>
      </c>
      <c r="C1295" s="138">
        <v>250</v>
      </c>
      <c r="D1295" s="138">
        <v>535</v>
      </c>
      <c r="E1295" s="138">
        <v>1175</v>
      </c>
    </row>
    <row r="1296" spans="1:5" x14ac:dyDescent="0.25">
      <c r="A1296" s="91" t="s">
        <v>8091</v>
      </c>
      <c r="B1296" s="138">
        <v>0</v>
      </c>
      <c r="C1296" s="138">
        <v>140</v>
      </c>
      <c r="D1296" s="138"/>
      <c r="E1296" s="138">
        <v>140</v>
      </c>
    </row>
    <row r="1297" spans="1:5" x14ac:dyDescent="0.25">
      <c r="A1297" s="91" t="s">
        <v>8243</v>
      </c>
      <c r="B1297" s="138">
        <v>10</v>
      </c>
      <c r="C1297" s="138">
        <v>0</v>
      </c>
      <c r="D1297" s="138">
        <v>250</v>
      </c>
      <c r="E1297" s="138">
        <v>260</v>
      </c>
    </row>
    <row r="1298" spans="1:5" x14ac:dyDescent="0.25">
      <c r="A1298" s="91" t="s">
        <v>8321</v>
      </c>
      <c r="B1298" s="138">
        <v>0</v>
      </c>
      <c r="C1298" s="138">
        <v>0</v>
      </c>
      <c r="D1298" s="138">
        <v>700</v>
      </c>
      <c r="E1298" s="138">
        <v>700</v>
      </c>
    </row>
    <row r="1299" spans="1:5" x14ac:dyDescent="0.25">
      <c r="A1299" s="91" t="s">
        <v>9200</v>
      </c>
      <c r="B1299" s="138">
        <v>185435</v>
      </c>
      <c r="C1299" s="138">
        <v>151719.39000000001</v>
      </c>
      <c r="D1299" s="138"/>
      <c r="E1299" s="138">
        <v>337154.39</v>
      </c>
    </row>
    <row r="1300" spans="1:5" x14ac:dyDescent="0.25">
      <c r="A1300" s="91" t="s">
        <v>7681</v>
      </c>
      <c r="B1300" s="138">
        <v>34380</v>
      </c>
      <c r="C1300" s="138">
        <v>15661.66</v>
      </c>
      <c r="D1300" s="138">
        <v>34380</v>
      </c>
      <c r="E1300" s="138">
        <v>84421.66</v>
      </c>
    </row>
    <row r="1301" spans="1:5" x14ac:dyDescent="0.25">
      <c r="A1301" s="91" t="s">
        <v>7759</v>
      </c>
      <c r="B1301" s="138">
        <v>46109</v>
      </c>
      <c r="C1301" s="138">
        <v>8419.7000000000007</v>
      </c>
      <c r="D1301" s="138"/>
      <c r="E1301" s="138">
        <v>54528.7</v>
      </c>
    </row>
    <row r="1302" spans="1:5" x14ac:dyDescent="0.25">
      <c r="A1302" s="91" t="s">
        <v>7798</v>
      </c>
      <c r="B1302" s="138">
        <v>1350</v>
      </c>
      <c r="C1302" s="138">
        <v>0</v>
      </c>
      <c r="D1302" s="138">
        <v>250</v>
      </c>
      <c r="E1302" s="138">
        <v>1600</v>
      </c>
    </row>
    <row r="1303" spans="1:5" x14ac:dyDescent="0.25">
      <c r="A1303" s="91" t="s">
        <v>9201</v>
      </c>
      <c r="B1303" s="138">
        <v>0</v>
      </c>
      <c r="C1303" s="138">
        <v>0</v>
      </c>
      <c r="D1303" s="138"/>
      <c r="E1303" s="138">
        <v>0</v>
      </c>
    </row>
    <row r="1304" spans="1:5" x14ac:dyDescent="0.25">
      <c r="A1304" s="91" t="s">
        <v>7875</v>
      </c>
      <c r="B1304" s="138">
        <v>50</v>
      </c>
      <c r="C1304" s="138">
        <v>0</v>
      </c>
      <c r="D1304" s="138">
        <v>50</v>
      </c>
      <c r="E1304" s="138">
        <v>100</v>
      </c>
    </row>
    <row r="1305" spans="1:5" x14ac:dyDescent="0.25">
      <c r="A1305" s="91" t="s">
        <v>9202</v>
      </c>
      <c r="B1305" s="138">
        <v>43156.67</v>
      </c>
      <c r="C1305" s="138">
        <v>28391.86</v>
      </c>
      <c r="D1305" s="138"/>
      <c r="E1305" s="138">
        <v>71548.53</v>
      </c>
    </row>
    <row r="1306" spans="1:5" x14ac:dyDescent="0.25">
      <c r="A1306" s="91" t="s">
        <v>9203</v>
      </c>
      <c r="B1306" s="138">
        <v>8.08</v>
      </c>
      <c r="C1306" s="138">
        <v>0</v>
      </c>
      <c r="D1306" s="138"/>
      <c r="E1306" s="138">
        <v>8.08</v>
      </c>
    </row>
    <row r="1307" spans="1:5" x14ac:dyDescent="0.25">
      <c r="A1307" s="91" t="s">
        <v>9204</v>
      </c>
      <c r="B1307" s="138">
        <v>0</v>
      </c>
      <c r="C1307" s="138">
        <v>0</v>
      </c>
      <c r="D1307" s="138"/>
      <c r="E1307" s="138">
        <v>0</v>
      </c>
    </row>
    <row r="1308" spans="1:5" x14ac:dyDescent="0.25">
      <c r="A1308" s="91" t="s">
        <v>9205</v>
      </c>
      <c r="B1308" s="138">
        <v>0</v>
      </c>
      <c r="C1308" s="138">
        <v>0</v>
      </c>
      <c r="D1308" s="138"/>
      <c r="E1308" s="138">
        <v>0</v>
      </c>
    </row>
    <row r="1309" spans="1:5" x14ac:dyDescent="0.25">
      <c r="A1309" s="91" t="s">
        <v>9206</v>
      </c>
      <c r="B1309" s="138">
        <v>3.1</v>
      </c>
      <c r="C1309" s="138">
        <v>0</v>
      </c>
      <c r="D1309" s="138"/>
      <c r="E1309" s="138">
        <v>3.1</v>
      </c>
    </row>
    <row r="1310" spans="1:5" x14ac:dyDescent="0.25">
      <c r="A1310" s="91" t="s">
        <v>9207</v>
      </c>
      <c r="B1310" s="138">
        <v>3874.75</v>
      </c>
      <c r="C1310" s="138">
        <v>2537.6799999999998</v>
      </c>
      <c r="D1310" s="138"/>
      <c r="E1310" s="138">
        <v>6412.43</v>
      </c>
    </row>
    <row r="1311" spans="1:5" x14ac:dyDescent="0.25">
      <c r="A1311" s="91" t="s">
        <v>9208</v>
      </c>
      <c r="B1311" s="138">
        <v>1.46</v>
      </c>
      <c r="C1311" s="138">
        <v>0</v>
      </c>
      <c r="D1311" s="138"/>
      <c r="E1311" s="138">
        <v>1.46</v>
      </c>
    </row>
    <row r="1312" spans="1:5" x14ac:dyDescent="0.25">
      <c r="A1312" s="91" t="s">
        <v>9209</v>
      </c>
      <c r="B1312" s="138">
        <v>34128.17</v>
      </c>
      <c r="C1312" s="138">
        <v>27449.19</v>
      </c>
      <c r="D1312" s="138"/>
      <c r="E1312" s="138">
        <v>61577.36</v>
      </c>
    </row>
    <row r="1313" spans="1:5" x14ac:dyDescent="0.25">
      <c r="A1313" s="91" t="s">
        <v>9210</v>
      </c>
      <c r="B1313" s="138">
        <v>133.6</v>
      </c>
      <c r="C1313" s="138">
        <v>87.97</v>
      </c>
      <c r="D1313" s="138"/>
      <c r="E1313" s="138">
        <v>221.57</v>
      </c>
    </row>
    <row r="1314" spans="1:5" x14ac:dyDescent="0.25">
      <c r="A1314" s="91" t="s">
        <v>9211</v>
      </c>
      <c r="B1314" s="138">
        <v>0.06</v>
      </c>
      <c r="C1314" s="138">
        <v>0</v>
      </c>
      <c r="D1314" s="138"/>
      <c r="E1314" s="138">
        <v>0.06</v>
      </c>
    </row>
    <row r="1315" spans="1:5" x14ac:dyDescent="0.25">
      <c r="A1315" s="91" t="s">
        <v>9212</v>
      </c>
      <c r="B1315" s="138">
        <v>5052.67</v>
      </c>
      <c r="C1315" s="138">
        <v>3326</v>
      </c>
      <c r="D1315" s="138"/>
      <c r="E1315" s="138">
        <v>8378.67</v>
      </c>
    </row>
    <row r="1316" spans="1:5" x14ac:dyDescent="0.25">
      <c r="A1316" s="91" t="s">
        <v>9213</v>
      </c>
      <c r="B1316" s="138">
        <v>1.9</v>
      </c>
      <c r="C1316" s="138">
        <v>0</v>
      </c>
      <c r="D1316" s="138"/>
      <c r="E1316" s="138">
        <v>1.9</v>
      </c>
    </row>
    <row r="1317" spans="1:5" x14ac:dyDescent="0.25">
      <c r="A1317" s="91" t="s">
        <v>9214</v>
      </c>
      <c r="B1317" s="138">
        <v>2400</v>
      </c>
      <c r="C1317" s="138">
        <v>1963.62</v>
      </c>
      <c r="D1317" s="138"/>
      <c r="E1317" s="138">
        <v>4363.62</v>
      </c>
    </row>
    <row r="1318" spans="1:5" x14ac:dyDescent="0.25">
      <c r="A1318" s="91" t="s">
        <v>7955</v>
      </c>
      <c r="B1318" s="138">
        <v>1500</v>
      </c>
      <c r="C1318" s="138">
        <v>-492.54999999999995</v>
      </c>
      <c r="D1318" s="138">
        <v>10165</v>
      </c>
      <c r="E1318" s="138">
        <v>11172.45</v>
      </c>
    </row>
    <row r="1319" spans="1:5" x14ac:dyDescent="0.25">
      <c r="A1319" s="91" t="s">
        <v>8031</v>
      </c>
      <c r="B1319" s="138">
        <v>656</v>
      </c>
      <c r="C1319" s="138">
        <v>0</v>
      </c>
      <c r="D1319" s="138">
        <v>656</v>
      </c>
      <c r="E1319" s="138">
        <v>1312</v>
      </c>
    </row>
    <row r="1320" spans="1:5" x14ac:dyDescent="0.25">
      <c r="A1320" s="91" t="s">
        <v>8144</v>
      </c>
      <c r="B1320" s="138">
        <v>139</v>
      </c>
      <c r="C1320" s="138">
        <v>0</v>
      </c>
      <c r="D1320" s="138">
        <v>139</v>
      </c>
      <c r="E1320" s="138">
        <v>278</v>
      </c>
    </row>
    <row r="1321" spans="1:5" x14ac:dyDescent="0.25">
      <c r="A1321" s="91" t="s">
        <v>8244</v>
      </c>
      <c r="B1321" s="138">
        <v>20</v>
      </c>
      <c r="C1321" s="138">
        <v>0</v>
      </c>
      <c r="D1321" s="138">
        <v>200</v>
      </c>
      <c r="E1321" s="138">
        <v>220</v>
      </c>
    </row>
    <row r="1322" spans="1:5" x14ac:dyDescent="0.25">
      <c r="A1322" s="91" t="s">
        <v>8305</v>
      </c>
      <c r="B1322" s="138">
        <v>4100</v>
      </c>
      <c r="C1322" s="138">
        <v>3397.14</v>
      </c>
      <c r="D1322" s="138">
        <v>4100</v>
      </c>
      <c r="E1322" s="138">
        <v>11597.14</v>
      </c>
    </row>
    <row r="1323" spans="1:5" x14ac:dyDescent="0.25">
      <c r="A1323" s="91" t="s">
        <v>8322</v>
      </c>
      <c r="B1323" s="138">
        <v>642</v>
      </c>
      <c r="C1323" s="138">
        <v>0</v>
      </c>
      <c r="D1323" s="138">
        <v>642</v>
      </c>
      <c r="E1323" s="138">
        <v>1284</v>
      </c>
    </row>
    <row r="1324" spans="1:5" x14ac:dyDescent="0.25">
      <c r="A1324" s="91" t="s">
        <v>8336</v>
      </c>
      <c r="B1324" s="138">
        <v>27</v>
      </c>
      <c r="C1324" s="138">
        <v>0</v>
      </c>
      <c r="D1324" s="138">
        <v>27</v>
      </c>
      <c r="E1324" s="138">
        <v>54</v>
      </c>
    </row>
    <row r="1325" spans="1:5" x14ac:dyDescent="0.25">
      <c r="A1325" s="91" t="s">
        <v>8376</v>
      </c>
      <c r="B1325" s="138">
        <v>300</v>
      </c>
      <c r="C1325" s="138">
        <v>0</v>
      </c>
      <c r="D1325" s="138">
        <v>300</v>
      </c>
      <c r="E1325" s="138">
        <v>600</v>
      </c>
    </row>
    <row r="1326" spans="1:5" x14ac:dyDescent="0.25">
      <c r="A1326" s="91" t="s">
        <v>7682</v>
      </c>
      <c r="B1326" s="138">
        <v>36528</v>
      </c>
      <c r="C1326" s="138">
        <v>18771.22</v>
      </c>
      <c r="D1326" s="138">
        <v>36786.095999999998</v>
      </c>
      <c r="E1326" s="138">
        <v>92085.315999999992</v>
      </c>
    </row>
    <row r="1327" spans="1:5" x14ac:dyDescent="0.25">
      <c r="A1327" s="91" t="s">
        <v>7760</v>
      </c>
      <c r="B1327" s="138">
        <v>75234</v>
      </c>
      <c r="C1327" s="138">
        <v>24624.21</v>
      </c>
      <c r="D1327" s="138">
        <v>75736.08</v>
      </c>
      <c r="E1327" s="138">
        <v>175594.28999999998</v>
      </c>
    </row>
    <row r="1328" spans="1:5" x14ac:dyDescent="0.25">
      <c r="A1328" s="91" t="s">
        <v>7799</v>
      </c>
      <c r="B1328" s="138">
        <v>0</v>
      </c>
      <c r="C1328" s="138">
        <v>1417.4</v>
      </c>
      <c r="D1328" s="138">
        <v>100</v>
      </c>
      <c r="E1328" s="138">
        <v>1517.4</v>
      </c>
    </row>
    <row r="1329" spans="1:5" x14ac:dyDescent="0.25">
      <c r="A1329" s="91" t="s">
        <v>9215</v>
      </c>
      <c r="B1329" s="138">
        <v>18049.560000000001</v>
      </c>
      <c r="C1329" s="138">
        <v>4675.72</v>
      </c>
      <c r="D1329" s="138"/>
      <c r="E1329" s="138">
        <v>22725.280000000002</v>
      </c>
    </row>
    <row r="1330" spans="1:5" x14ac:dyDescent="0.25">
      <c r="A1330" s="91" t="s">
        <v>9216</v>
      </c>
      <c r="B1330" s="138">
        <v>0</v>
      </c>
      <c r="C1330" s="138">
        <v>114.25</v>
      </c>
      <c r="D1330" s="138"/>
      <c r="E1330" s="138">
        <v>114.25</v>
      </c>
    </row>
    <row r="1331" spans="1:5" x14ac:dyDescent="0.25">
      <c r="A1331" s="91" t="s">
        <v>9217</v>
      </c>
      <c r="B1331" s="138">
        <v>0</v>
      </c>
      <c r="C1331" s="138">
        <v>939.52</v>
      </c>
      <c r="D1331" s="138"/>
      <c r="E1331" s="138">
        <v>939.52</v>
      </c>
    </row>
    <row r="1332" spans="1:5" x14ac:dyDescent="0.25">
      <c r="A1332" s="91" t="s">
        <v>9218</v>
      </c>
      <c r="B1332" s="138">
        <v>1620.55</v>
      </c>
      <c r="C1332" s="138">
        <v>639.59</v>
      </c>
      <c r="D1332" s="138"/>
      <c r="E1332" s="138">
        <v>2260.14</v>
      </c>
    </row>
    <row r="1333" spans="1:5" x14ac:dyDescent="0.25">
      <c r="A1333" s="91" t="s">
        <v>9219</v>
      </c>
      <c r="B1333" s="138">
        <v>0</v>
      </c>
      <c r="C1333" s="138">
        <v>10.26</v>
      </c>
      <c r="D1333" s="138"/>
      <c r="E1333" s="138">
        <v>10.26</v>
      </c>
    </row>
    <row r="1334" spans="1:5" x14ac:dyDescent="0.25">
      <c r="A1334" s="91" t="s">
        <v>9220</v>
      </c>
      <c r="B1334" s="138">
        <v>55.88</v>
      </c>
      <c r="C1334" s="138">
        <v>22.13</v>
      </c>
      <c r="D1334" s="138"/>
      <c r="E1334" s="138">
        <v>78.010000000000005</v>
      </c>
    </row>
    <row r="1335" spans="1:5" x14ac:dyDescent="0.25">
      <c r="A1335" s="91" t="s">
        <v>9221</v>
      </c>
      <c r="B1335" s="138">
        <v>0</v>
      </c>
      <c r="C1335" s="138">
        <v>0.35</v>
      </c>
      <c r="D1335" s="138"/>
      <c r="E1335" s="138">
        <v>0.35</v>
      </c>
    </row>
    <row r="1336" spans="1:5" x14ac:dyDescent="0.25">
      <c r="A1336" s="91" t="s">
        <v>9222</v>
      </c>
      <c r="B1336" s="138">
        <v>2113.19</v>
      </c>
      <c r="C1336" s="138">
        <v>833.99</v>
      </c>
      <c r="D1336" s="138"/>
      <c r="E1336" s="138">
        <v>2947.1800000000003</v>
      </c>
    </row>
    <row r="1337" spans="1:5" x14ac:dyDescent="0.25">
      <c r="A1337" s="91" t="s">
        <v>9223</v>
      </c>
      <c r="B1337" s="138">
        <v>0</v>
      </c>
      <c r="C1337" s="138">
        <v>13.38</v>
      </c>
      <c r="D1337" s="138"/>
      <c r="E1337" s="138">
        <v>13.38</v>
      </c>
    </row>
    <row r="1338" spans="1:5" x14ac:dyDescent="0.25">
      <c r="A1338" s="91" t="s">
        <v>7956</v>
      </c>
      <c r="B1338" s="138">
        <v>4500</v>
      </c>
      <c r="C1338" s="138">
        <v>2956.28</v>
      </c>
      <c r="D1338" s="138">
        <v>9630</v>
      </c>
      <c r="E1338" s="138">
        <v>17086.28</v>
      </c>
    </row>
    <row r="1339" spans="1:5" x14ac:dyDescent="0.25">
      <c r="A1339" s="91" t="s">
        <v>8245</v>
      </c>
      <c r="B1339" s="138">
        <v>4.5</v>
      </c>
      <c r="C1339" s="138">
        <v>0</v>
      </c>
      <c r="D1339" s="138">
        <v>45</v>
      </c>
      <c r="E1339" s="138">
        <v>49.5</v>
      </c>
    </row>
    <row r="1340" spans="1:5" x14ac:dyDescent="0.25">
      <c r="A1340" s="91" t="s">
        <v>8306</v>
      </c>
      <c r="B1340" s="138">
        <v>1800</v>
      </c>
      <c r="C1340" s="138">
        <v>1800</v>
      </c>
      <c r="D1340" s="138">
        <v>800</v>
      </c>
      <c r="E1340" s="138">
        <v>4400</v>
      </c>
    </row>
    <row r="1341" spans="1:5" x14ac:dyDescent="0.25">
      <c r="A1341" s="91" t="s">
        <v>8323</v>
      </c>
      <c r="B1341" s="138">
        <v>2000</v>
      </c>
      <c r="C1341" s="138">
        <v>0</v>
      </c>
      <c r="D1341" s="138">
        <v>2000</v>
      </c>
      <c r="E1341" s="138">
        <v>4000</v>
      </c>
    </row>
    <row r="1342" spans="1:5" x14ac:dyDescent="0.25">
      <c r="A1342" s="91" t="s">
        <v>8366</v>
      </c>
      <c r="B1342" s="138">
        <v>6720</v>
      </c>
      <c r="C1342" s="138">
        <v>975</v>
      </c>
      <c r="D1342" s="138">
        <v>6720</v>
      </c>
      <c r="E1342" s="138">
        <v>14415</v>
      </c>
    </row>
    <row r="1343" spans="1:5" x14ac:dyDescent="0.25">
      <c r="A1343" s="91" t="s">
        <v>9224</v>
      </c>
      <c r="B1343" s="138">
        <v>102880</v>
      </c>
      <c r="C1343" s="138">
        <v>84174.57</v>
      </c>
      <c r="D1343" s="138"/>
      <c r="E1343" s="138">
        <v>187054.57</v>
      </c>
    </row>
    <row r="1344" spans="1:5" x14ac:dyDescent="0.25">
      <c r="A1344" s="91" t="s">
        <v>7683</v>
      </c>
      <c r="B1344" s="138">
        <v>13381</v>
      </c>
      <c r="C1344" s="138">
        <v>0</v>
      </c>
      <c r="D1344" s="138">
        <v>2500</v>
      </c>
      <c r="E1344" s="138">
        <v>15881</v>
      </c>
    </row>
    <row r="1345" spans="1:5" x14ac:dyDescent="0.25">
      <c r="A1345" s="91" t="s">
        <v>7761</v>
      </c>
      <c r="B1345" s="138">
        <v>13944</v>
      </c>
      <c r="C1345" s="138">
        <v>3288.6</v>
      </c>
      <c r="D1345" s="138">
        <v>103275</v>
      </c>
      <c r="E1345" s="138">
        <v>120507.6</v>
      </c>
    </row>
    <row r="1346" spans="1:5" x14ac:dyDescent="0.25">
      <c r="A1346" s="91" t="s">
        <v>9225</v>
      </c>
      <c r="B1346" s="138">
        <v>21028.11</v>
      </c>
      <c r="C1346" s="138">
        <v>14125.33</v>
      </c>
      <c r="D1346" s="138"/>
      <c r="E1346" s="138">
        <v>35153.440000000002</v>
      </c>
    </row>
    <row r="1347" spans="1:5" x14ac:dyDescent="0.25">
      <c r="A1347" s="91" t="s">
        <v>9226</v>
      </c>
      <c r="B1347" s="138">
        <v>1887.97</v>
      </c>
      <c r="C1347" s="138">
        <v>1268.19</v>
      </c>
      <c r="D1347" s="138"/>
      <c r="E1347" s="138">
        <v>3156.16</v>
      </c>
    </row>
    <row r="1348" spans="1:5" x14ac:dyDescent="0.25">
      <c r="A1348" s="91" t="s">
        <v>9227</v>
      </c>
      <c r="B1348" s="138">
        <v>207.24</v>
      </c>
      <c r="C1348" s="138">
        <v>144.76</v>
      </c>
      <c r="D1348" s="138"/>
      <c r="E1348" s="138">
        <v>352</v>
      </c>
    </row>
    <row r="1349" spans="1:5" x14ac:dyDescent="0.25">
      <c r="A1349" s="91" t="s">
        <v>9228</v>
      </c>
      <c r="B1349" s="138">
        <v>65.099999999999994</v>
      </c>
      <c r="C1349" s="138">
        <v>43.77</v>
      </c>
      <c r="D1349" s="138"/>
      <c r="E1349" s="138">
        <v>108.87</v>
      </c>
    </row>
    <row r="1350" spans="1:5" x14ac:dyDescent="0.25">
      <c r="A1350" s="91" t="s">
        <v>9229</v>
      </c>
      <c r="B1350" s="138">
        <v>2461.92</v>
      </c>
      <c r="C1350" s="138">
        <v>1653.75</v>
      </c>
      <c r="D1350" s="138"/>
      <c r="E1350" s="138">
        <v>4115.67</v>
      </c>
    </row>
    <row r="1351" spans="1:5" x14ac:dyDescent="0.25">
      <c r="A1351" s="91" t="s">
        <v>9230</v>
      </c>
      <c r="B1351" s="138">
        <v>2400</v>
      </c>
      <c r="C1351" s="138">
        <v>1963.62</v>
      </c>
      <c r="D1351" s="138"/>
      <c r="E1351" s="138">
        <v>4363.62</v>
      </c>
    </row>
    <row r="1352" spans="1:5" x14ac:dyDescent="0.25">
      <c r="A1352" s="91" t="s">
        <v>7957</v>
      </c>
      <c r="B1352" s="138">
        <v>3000</v>
      </c>
      <c r="C1352" s="138">
        <v>0</v>
      </c>
      <c r="D1352" s="138">
        <v>3000</v>
      </c>
      <c r="E1352" s="138">
        <v>6000</v>
      </c>
    </row>
    <row r="1353" spans="1:5" x14ac:dyDescent="0.25">
      <c r="A1353" s="91" t="s">
        <v>8092</v>
      </c>
      <c r="B1353" s="138">
        <v>150</v>
      </c>
      <c r="C1353" s="138">
        <v>0</v>
      </c>
      <c r="D1353" s="138">
        <v>150</v>
      </c>
      <c r="E1353" s="138">
        <v>300</v>
      </c>
    </row>
    <row r="1354" spans="1:5" x14ac:dyDescent="0.25">
      <c r="A1354" s="91" t="s">
        <v>8109</v>
      </c>
      <c r="B1354" s="138">
        <v>150</v>
      </c>
      <c r="C1354" s="138">
        <v>0</v>
      </c>
      <c r="D1354" s="138">
        <v>150</v>
      </c>
      <c r="E1354" s="138">
        <v>300</v>
      </c>
    </row>
    <row r="1355" spans="1:5" x14ac:dyDescent="0.25">
      <c r="A1355" s="91" t="s">
        <v>8246</v>
      </c>
      <c r="B1355" s="138">
        <v>15</v>
      </c>
      <c r="C1355" s="138">
        <v>0</v>
      </c>
      <c r="D1355" s="138">
        <v>150</v>
      </c>
      <c r="E1355" s="138">
        <v>165</v>
      </c>
    </row>
    <row r="1356" spans="1:5" x14ac:dyDescent="0.25">
      <c r="A1356" s="91" t="s">
        <v>8377</v>
      </c>
      <c r="B1356" s="138">
        <v>200</v>
      </c>
      <c r="C1356" s="138">
        <v>0</v>
      </c>
      <c r="D1356" s="138">
        <v>200</v>
      </c>
      <c r="E1356" s="138">
        <v>400</v>
      </c>
    </row>
    <row r="1357" spans="1:5" x14ac:dyDescent="0.25">
      <c r="A1357" s="91" t="s">
        <v>8014</v>
      </c>
      <c r="B1357" s="138">
        <v>67000</v>
      </c>
      <c r="C1357" s="138">
        <v>0</v>
      </c>
      <c r="D1357" s="138">
        <v>67000</v>
      </c>
      <c r="E1357" s="138">
        <v>134000</v>
      </c>
    </row>
    <row r="1358" spans="1:5" x14ac:dyDescent="0.25">
      <c r="A1358" s="91" t="s">
        <v>9231</v>
      </c>
      <c r="B1358" s="138">
        <v>83356.800000000003</v>
      </c>
      <c r="C1358" s="138">
        <v>68201.100000000006</v>
      </c>
      <c r="D1358" s="138"/>
      <c r="E1358" s="138">
        <v>151557.90000000002</v>
      </c>
    </row>
    <row r="1359" spans="1:5" x14ac:dyDescent="0.25">
      <c r="A1359" s="91" t="s">
        <v>9232</v>
      </c>
      <c r="B1359" s="138">
        <v>13462.12</v>
      </c>
      <c r="C1359" s="138">
        <v>11014.47</v>
      </c>
      <c r="D1359" s="138"/>
      <c r="E1359" s="138">
        <v>24476.59</v>
      </c>
    </row>
    <row r="1360" spans="1:5" x14ac:dyDescent="0.25">
      <c r="A1360" s="91" t="s">
        <v>9233</v>
      </c>
      <c r="B1360" s="138">
        <v>1208.67</v>
      </c>
      <c r="C1360" s="138">
        <v>979.07</v>
      </c>
      <c r="D1360" s="138"/>
      <c r="E1360" s="138">
        <v>2187.7400000000002</v>
      </c>
    </row>
    <row r="1361" spans="1:5" x14ac:dyDescent="0.25">
      <c r="A1361" s="91" t="s">
        <v>9234</v>
      </c>
      <c r="B1361" s="138">
        <v>26497.14</v>
      </c>
      <c r="C1361" s="138">
        <v>21333.05</v>
      </c>
      <c r="D1361" s="138"/>
      <c r="E1361" s="138">
        <v>47830.19</v>
      </c>
    </row>
    <row r="1362" spans="1:5" x14ac:dyDescent="0.25">
      <c r="A1362" s="91" t="s">
        <v>9235</v>
      </c>
      <c r="B1362" s="138">
        <v>41.68</v>
      </c>
      <c r="C1362" s="138">
        <v>34.11</v>
      </c>
      <c r="D1362" s="138"/>
      <c r="E1362" s="138">
        <v>75.789999999999992</v>
      </c>
    </row>
    <row r="1363" spans="1:5" x14ac:dyDescent="0.25">
      <c r="A1363" s="91" t="s">
        <v>9236</v>
      </c>
      <c r="B1363" s="138">
        <v>1576.11</v>
      </c>
      <c r="C1363" s="138">
        <v>1289.52</v>
      </c>
      <c r="D1363" s="138"/>
      <c r="E1363" s="138">
        <v>2865.63</v>
      </c>
    </row>
    <row r="1364" spans="1:5" x14ac:dyDescent="0.25">
      <c r="A1364" s="91" t="s">
        <v>7958</v>
      </c>
      <c r="B1364" s="138">
        <v>107</v>
      </c>
      <c r="C1364" s="138">
        <v>0</v>
      </c>
      <c r="D1364" s="138">
        <v>107</v>
      </c>
      <c r="E1364" s="138">
        <v>214</v>
      </c>
    </row>
    <row r="1365" spans="1:5" x14ac:dyDescent="0.25">
      <c r="A1365" s="91" t="s">
        <v>8247</v>
      </c>
      <c r="B1365" s="138">
        <v>15</v>
      </c>
      <c r="C1365" s="138">
        <v>0</v>
      </c>
      <c r="D1365" s="138">
        <v>150</v>
      </c>
      <c r="E1365" s="138">
        <v>165</v>
      </c>
    </row>
    <row r="1366" spans="1:5" x14ac:dyDescent="0.25">
      <c r="A1366" s="91" t="s">
        <v>8324</v>
      </c>
      <c r="B1366" s="138">
        <v>54</v>
      </c>
      <c r="C1366" s="138">
        <v>0</v>
      </c>
      <c r="D1366" s="138">
        <v>54</v>
      </c>
      <c r="E1366" s="138">
        <v>108</v>
      </c>
    </row>
    <row r="1367" spans="1:5" x14ac:dyDescent="0.25">
      <c r="A1367" s="91" t="s">
        <v>8358</v>
      </c>
      <c r="B1367" s="138">
        <v>3000</v>
      </c>
      <c r="C1367" s="138">
        <v>2000</v>
      </c>
      <c r="D1367" s="138">
        <v>3000</v>
      </c>
      <c r="E1367" s="138">
        <v>8000</v>
      </c>
    </row>
    <row r="1368" spans="1:5" x14ac:dyDescent="0.25">
      <c r="A1368" s="91" t="s">
        <v>9237</v>
      </c>
      <c r="B1368" s="138">
        <v>92310</v>
      </c>
      <c r="C1368" s="138">
        <v>75526.38</v>
      </c>
      <c r="D1368" s="138"/>
      <c r="E1368" s="138">
        <v>167836.38</v>
      </c>
    </row>
    <row r="1369" spans="1:5" x14ac:dyDescent="0.25">
      <c r="A1369" s="91" t="s">
        <v>7684</v>
      </c>
      <c r="B1369" s="138">
        <v>10000</v>
      </c>
      <c r="C1369" s="138">
        <v>0</v>
      </c>
      <c r="D1369" s="138">
        <v>16229.16</v>
      </c>
      <c r="E1369" s="138">
        <v>26229.16</v>
      </c>
    </row>
    <row r="1370" spans="1:5" x14ac:dyDescent="0.25">
      <c r="A1370" s="91" t="s">
        <v>7762</v>
      </c>
      <c r="B1370" s="138">
        <v>23000</v>
      </c>
      <c r="C1370" s="138">
        <v>2525.91</v>
      </c>
      <c r="D1370" s="138">
        <v>40572.9</v>
      </c>
      <c r="E1370" s="138">
        <v>66098.81</v>
      </c>
    </row>
    <row r="1371" spans="1:5" x14ac:dyDescent="0.25">
      <c r="A1371" s="91" t="s">
        <v>9238</v>
      </c>
      <c r="B1371" s="138">
        <v>27810</v>
      </c>
      <c r="C1371" s="138">
        <v>25010.48</v>
      </c>
      <c r="D1371" s="138"/>
      <c r="E1371" s="138">
        <v>52820.479999999996</v>
      </c>
    </row>
    <row r="1372" spans="1:5" x14ac:dyDescent="0.25">
      <c r="A1372" s="91" t="s">
        <v>9239</v>
      </c>
      <c r="B1372" s="138">
        <v>20237.57</v>
      </c>
      <c r="C1372" s="138">
        <v>12605.43</v>
      </c>
      <c r="D1372" s="138"/>
      <c r="E1372" s="138">
        <v>32843</v>
      </c>
    </row>
    <row r="1373" spans="1:5" x14ac:dyDescent="0.25">
      <c r="A1373" s="91" t="s">
        <v>9240</v>
      </c>
      <c r="B1373" s="138">
        <v>5756.67</v>
      </c>
      <c r="C1373" s="138">
        <v>5176.1499999999996</v>
      </c>
      <c r="D1373" s="138"/>
      <c r="E1373" s="138">
        <v>10932.82</v>
      </c>
    </row>
    <row r="1374" spans="1:5" x14ac:dyDescent="0.25">
      <c r="A1374" s="91" t="s">
        <v>9241</v>
      </c>
      <c r="B1374" s="138">
        <v>1724.22</v>
      </c>
      <c r="C1374" s="138">
        <v>1550.65</v>
      </c>
      <c r="D1374" s="138"/>
      <c r="E1374" s="138">
        <v>3274.87</v>
      </c>
    </row>
    <row r="1375" spans="1:5" x14ac:dyDescent="0.25">
      <c r="A1375" s="91" t="s">
        <v>9242</v>
      </c>
      <c r="B1375" s="138">
        <v>2220.25</v>
      </c>
      <c r="C1375" s="138">
        <v>1487</v>
      </c>
      <c r="D1375" s="138"/>
      <c r="E1375" s="138">
        <v>3707.25</v>
      </c>
    </row>
    <row r="1376" spans="1:5" x14ac:dyDescent="0.25">
      <c r="A1376" s="91" t="s">
        <v>9243</v>
      </c>
      <c r="B1376" s="138">
        <v>31811.54</v>
      </c>
      <c r="C1376" s="138">
        <v>25681.73</v>
      </c>
      <c r="D1376" s="138"/>
      <c r="E1376" s="138">
        <v>57493.270000000004</v>
      </c>
    </row>
    <row r="1377" spans="1:5" x14ac:dyDescent="0.25">
      <c r="A1377" s="91" t="s">
        <v>9244</v>
      </c>
      <c r="B1377" s="138">
        <v>76.569999999999993</v>
      </c>
      <c r="C1377" s="138">
        <v>51.58</v>
      </c>
      <c r="D1377" s="138"/>
      <c r="E1377" s="138">
        <v>128.14999999999998</v>
      </c>
    </row>
    <row r="1378" spans="1:5" x14ac:dyDescent="0.25">
      <c r="A1378" s="91" t="s">
        <v>9245</v>
      </c>
      <c r="B1378" s="138">
        <v>2895.19</v>
      </c>
      <c r="C1378" s="138">
        <v>1949.7</v>
      </c>
      <c r="D1378" s="138"/>
      <c r="E1378" s="138">
        <v>4844.8900000000003</v>
      </c>
    </row>
    <row r="1379" spans="1:5" x14ac:dyDescent="0.25">
      <c r="A1379" s="91" t="s">
        <v>7959</v>
      </c>
      <c r="B1379" s="138">
        <v>13735</v>
      </c>
      <c r="C1379" s="138">
        <v>273.3</v>
      </c>
      <c r="D1379" s="138">
        <v>33170</v>
      </c>
      <c r="E1379" s="138">
        <v>47178.3</v>
      </c>
    </row>
    <row r="1380" spans="1:5" x14ac:dyDescent="0.25">
      <c r="A1380" s="91" t="s">
        <v>8248</v>
      </c>
      <c r="B1380" s="138">
        <v>60</v>
      </c>
      <c r="C1380" s="138">
        <v>0</v>
      </c>
      <c r="D1380" s="138">
        <v>600</v>
      </c>
      <c r="E1380" s="138">
        <v>660</v>
      </c>
    </row>
    <row r="1381" spans="1:5" x14ac:dyDescent="0.25">
      <c r="A1381" s="91" t="s">
        <v>8325</v>
      </c>
      <c r="B1381" s="138">
        <v>2800</v>
      </c>
      <c r="C1381" s="138">
        <v>2800</v>
      </c>
      <c r="D1381" s="138">
        <v>2000</v>
      </c>
      <c r="E1381" s="138">
        <v>7600</v>
      </c>
    </row>
    <row r="1382" spans="1:5" x14ac:dyDescent="0.25">
      <c r="A1382" s="91" t="s">
        <v>8378</v>
      </c>
      <c r="B1382" s="138">
        <v>600</v>
      </c>
      <c r="C1382" s="138">
        <v>0</v>
      </c>
      <c r="D1382" s="138">
        <v>600</v>
      </c>
      <c r="E1382" s="138">
        <v>1200</v>
      </c>
    </row>
    <row r="1383" spans="1:5" x14ac:dyDescent="0.25">
      <c r="A1383" s="91" t="s">
        <v>9246</v>
      </c>
      <c r="B1383" s="138">
        <v>0</v>
      </c>
      <c r="C1383" s="138">
        <v>122839.2</v>
      </c>
      <c r="D1383" s="138"/>
      <c r="E1383" s="138">
        <v>122839.2</v>
      </c>
    </row>
    <row r="1384" spans="1:5" x14ac:dyDescent="0.25">
      <c r="A1384" s="91" t="s">
        <v>9247</v>
      </c>
      <c r="B1384" s="138">
        <v>61886.83</v>
      </c>
      <c r="C1384" s="138">
        <v>52930.42</v>
      </c>
      <c r="D1384" s="138"/>
      <c r="E1384" s="138">
        <v>114817.25</v>
      </c>
    </row>
    <row r="1385" spans="1:5" x14ac:dyDescent="0.25">
      <c r="A1385" s="91" t="s">
        <v>7828</v>
      </c>
      <c r="B1385" s="138">
        <v>0</v>
      </c>
      <c r="C1385" s="138">
        <v>0.56999999999999995</v>
      </c>
      <c r="D1385" s="138">
        <v>0</v>
      </c>
      <c r="E1385" s="138">
        <v>0.56999999999999995</v>
      </c>
    </row>
    <row r="1386" spans="1:5" x14ac:dyDescent="0.25">
      <c r="A1386" s="91" t="s">
        <v>7855</v>
      </c>
      <c r="B1386" s="138">
        <v>3500</v>
      </c>
      <c r="C1386" s="138">
        <v>8986</v>
      </c>
      <c r="D1386" s="138">
        <v>6151</v>
      </c>
      <c r="E1386" s="138">
        <v>18637</v>
      </c>
    </row>
    <row r="1387" spans="1:5" x14ac:dyDescent="0.25">
      <c r="A1387" s="91" t="s">
        <v>9248</v>
      </c>
      <c r="B1387" s="138">
        <v>0</v>
      </c>
      <c r="C1387" s="138">
        <v>19838.5</v>
      </c>
      <c r="D1387" s="138"/>
      <c r="E1387" s="138">
        <v>19838.5</v>
      </c>
    </row>
    <row r="1388" spans="1:5" x14ac:dyDescent="0.25">
      <c r="A1388" s="91" t="s">
        <v>9249</v>
      </c>
      <c r="B1388" s="138">
        <v>12810.57</v>
      </c>
      <c r="C1388" s="138">
        <v>10954.48</v>
      </c>
      <c r="D1388" s="138"/>
      <c r="E1388" s="138">
        <v>23765.05</v>
      </c>
    </row>
    <row r="1389" spans="1:5" x14ac:dyDescent="0.25">
      <c r="A1389" s="91" t="s">
        <v>9250</v>
      </c>
      <c r="B1389" s="138">
        <v>3836.98</v>
      </c>
      <c r="C1389" s="138">
        <v>3281.74</v>
      </c>
      <c r="D1389" s="138"/>
      <c r="E1389" s="138">
        <v>7118.7199999999993</v>
      </c>
    </row>
    <row r="1390" spans="1:5" x14ac:dyDescent="0.25">
      <c r="A1390" s="91" t="s">
        <v>9251</v>
      </c>
      <c r="B1390" s="138">
        <v>897.36</v>
      </c>
      <c r="C1390" s="138">
        <v>2549.15</v>
      </c>
      <c r="D1390" s="138"/>
      <c r="E1390" s="138">
        <v>3446.51</v>
      </c>
    </row>
    <row r="1391" spans="1:5" x14ac:dyDescent="0.25">
      <c r="A1391" s="91" t="s">
        <v>9252</v>
      </c>
      <c r="B1391" s="138">
        <v>13141.62</v>
      </c>
      <c r="C1391" s="138">
        <v>29592.720000000001</v>
      </c>
      <c r="D1391" s="138"/>
      <c r="E1391" s="138">
        <v>42734.340000000004</v>
      </c>
    </row>
    <row r="1392" spans="1:5" x14ac:dyDescent="0.25">
      <c r="A1392" s="91" t="s">
        <v>9253</v>
      </c>
      <c r="B1392" s="138">
        <v>30.94</v>
      </c>
      <c r="C1392" s="138">
        <v>87.86</v>
      </c>
      <c r="D1392" s="138"/>
      <c r="E1392" s="138">
        <v>118.8</v>
      </c>
    </row>
    <row r="1393" spans="1:5" x14ac:dyDescent="0.25">
      <c r="A1393" s="91" t="s">
        <v>9254</v>
      </c>
      <c r="B1393" s="138">
        <v>1236.3399999999999</v>
      </c>
      <c r="C1393" s="138">
        <v>3495.71</v>
      </c>
      <c r="D1393" s="138"/>
      <c r="E1393" s="138">
        <v>4732.05</v>
      </c>
    </row>
    <row r="1394" spans="1:5" x14ac:dyDescent="0.25">
      <c r="A1394" s="91" t="s">
        <v>9255</v>
      </c>
      <c r="B1394" s="138">
        <v>0</v>
      </c>
      <c r="C1394" s="138">
        <v>1800</v>
      </c>
      <c r="D1394" s="138"/>
      <c r="E1394" s="138">
        <v>1800</v>
      </c>
    </row>
    <row r="1395" spans="1:5" x14ac:dyDescent="0.25">
      <c r="A1395" s="91" t="s">
        <v>7960</v>
      </c>
      <c r="B1395" s="138">
        <v>3300</v>
      </c>
      <c r="C1395" s="138">
        <v>68.150000000000006</v>
      </c>
      <c r="D1395" s="138">
        <v>3300</v>
      </c>
      <c r="E1395" s="138">
        <v>6668.15</v>
      </c>
    </row>
    <row r="1396" spans="1:5" x14ac:dyDescent="0.25">
      <c r="A1396" s="91" t="s">
        <v>7993</v>
      </c>
      <c r="B1396" s="138">
        <v>1000</v>
      </c>
      <c r="C1396" s="138">
        <v>0</v>
      </c>
      <c r="D1396" s="138">
        <v>1000</v>
      </c>
      <c r="E1396" s="138">
        <v>2000</v>
      </c>
    </row>
    <row r="1397" spans="1:5" x14ac:dyDescent="0.25">
      <c r="A1397" s="91" t="s">
        <v>8032</v>
      </c>
      <c r="B1397" s="138">
        <v>0</v>
      </c>
      <c r="C1397" s="138">
        <v>0</v>
      </c>
      <c r="D1397" s="138">
        <v>1000</v>
      </c>
      <c r="E1397" s="138">
        <v>1000</v>
      </c>
    </row>
    <row r="1398" spans="1:5" x14ac:dyDescent="0.25">
      <c r="A1398" s="91" t="s">
        <v>8056</v>
      </c>
      <c r="B1398" s="138">
        <v>0</v>
      </c>
      <c r="C1398" s="138">
        <v>0</v>
      </c>
      <c r="D1398" s="138">
        <v>2400</v>
      </c>
      <c r="E1398" s="138">
        <v>2400</v>
      </c>
    </row>
    <row r="1399" spans="1:5" x14ac:dyDescent="0.25">
      <c r="A1399" s="91" t="s">
        <v>8093</v>
      </c>
      <c r="B1399" s="138">
        <v>1500</v>
      </c>
      <c r="C1399" s="138">
        <v>915</v>
      </c>
      <c r="D1399" s="138">
        <v>3210</v>
      </c>
      <c r="E1399" s="138">
        <v>5625</v>
      </c>
    </row>
    <row r="1400" spans="1:5" x14ac:dyDescent="0.25">
      <c r="A1400" s="91" t="s">
        <v>8110</v>
      </c>
      <c r="B1400" s="138">
        <v>107</v>
      </c>
      <c r="C1400" s="138">
        <v>0</v>
      </c>
      <c r="D1400" s="138">
        <v>107</v>
      </c>
      <c r="E1400" s="138">
        <v>214</v>
      </c>
    </row>
    <row r="1401" spans="1:5" x14ac:dyDescent="0.25">
      <c r="A1401" s="91" t="s">
        <v>8152</v>
      </c>
      <c r="B1401" s="138">
        <v>0</v>
      </c>
      <c r="C1401" s="138">
        <v>694.51</v>
      </c>
      <c r="D1401" s="138">
        <v>0</v>
      </c>
      <c r="E1401" s="138">
        <v>694.51</v>
      </c>
    </row>
    <row r="1402" spans="1:5" x14ac:dyDescent="0.25">
      <c r="A1402" s="91" t="s">
        <v>8249</v>
      </c>
      <c r="B1402" s="138">
        <v>32.1</v>
      </c>
      <c r="C1402" s="138">
        <v>0</v>
      </c>
      <c r="D1402" s="138">
        <v>800</v>
      </c>
      <c r="E1402" s="138">
        <v>832.1</v>
      </c>
    </row>
    <row r="1403" spans="1:5" x14ac:dyDescent="0.25">
      <c r="A1403" s="91" t="s">
        <v>8281</v>
      </c>
      <c r="B1403" s="138">
        <v>214</v>
      </c>
      <c r="C1403" s="138">
        <v>0</v>
      </c>
      <c r="D1403" s="138">
        <v>214</v>
      </c>
      <c r="E1403" s="138">
        <v>428</v>
      </c>
    </row>
    <row r="1404" spans="1:5" x14ac:dyDescent="0.25">
      <c r="A1404" s="91" t="s">
        <v>8307</v>
      </c>
      <c r="B1404" s="138">
        <v>9800</v>
      </c>
      <c r="C1404" s="138">
        <v>0</v>
      </c>
      <c r="D1404" s="138">
        <v>15083.93</v>
      </c>
      <c r="E1404" s="138">
        <v>24883.93</v>
      </c>
    </row>
    <row r="1405" spans="1:5" x14ac:dyDescent="0.25">
      <c r="A1405" s="91" t="s">
        <v>8337</v>
      </c>
      <c r="B1405" s="138">
        <v>500</v>
      </c>
      <c r="C1405" s="138">
        <v>0</v>
      </c>
      <c r="D1405" s="138">
        <v>1000</v>
      </c>
      <c r="E1405" s="138">
        <v>1500</v>
      </c>
    </row>
    <row r="1406" spans="1:5" x14ac:dyDescent="0.25">
      <c r="A1406" s="91" t="s">
        <v>8351</v>
      </c>
      <c r="B1406" s="138">
        <v>0</v>
      </c>
      <c r="C1406" s="138">
        <v>1433.75</v>
      </c>
      <c r="D1406" s="138">
        <v>2500</v>
      </c>
      <c r="E1406" s="138">
        <v>3933.75</v>
      </c>
    </row>
    <row r="1407" spans="1:5" x14ac:dyDescent="0.25">
      <c r="A1407" s="91" t="s">
        <v>8359</v>
      </c>
      <c r="B1407" s="138">
        <v>2660</v>
      </c>
      <c r="C1407" s="138">
        <v>0</v>
      </c>
      <c r="D1407" s="138">
        <v>2660</v>
      </c>
      <c r="E1407" s="138">
        <v>5320</v>
      </c>
    </row>
    <row r="1408" spans="1:5" x14ac:dyDescent="0.25">
      <c r="A1408" s="91" t="s">
        <v>9256</v>
      </c>
      <c r="B1408" s="138">
        <v>117785.9</v>
      </c>
      <c r="C1408" s="138">
        <v>96370.38</v>
      </c>
      <c r="D1408" s="138"/>
      <c r="E1408" s="138">
        <v>214156.28</v>
      </c>
    </row>
    <row r="1409" spans="1:5" x14ac:dyDescent="0.25">
      <c r="A1409" s="91" t="s">
        <v>7685</v>
      </c>
      <c r="B1409" s="138">
        <v>7000</v>
      </c>
      <c r="C1409" s="138">
        <v>0</v>
      </c>
      <c r="D1409" s="138">
        <v>7000</v>
      </c>
      <c r="E1409" s="138">
        <v>14000</v>
      </c>
    </row>
    <row r="1410" spans="1:5" x14ac:dyDescent="0.25">
      <c r="A1410" s="91" t="s">
        <v>7763</v>
      </c>
      <c r="B1410" s="138">
        <v>3000</v>
      </c>
      <c r="C1410" s="138">
        <v>4297.68</v>
      </c>
      <c r="D1410" s="138">
        <v>14000</v>
      </c>
      <c r="E1410" s="138">
        <v>21297.68</v>
      </c>
    </row>
    <row r="1411" spans="1:5" x14ac:dyDescent="0.25">
      <c r="A1411" s="91" t="s">
        <v>9257</v>
      </c>
      <c r="B1411" s="138">
        <v>15692.47</v>
      </c>
      <c r="C1411" s="138">
        <v>12212.02</v>
      </c>
      <c r="D1411" s="138"/>
      <c r="E1411" s="138">
        <v>27904.489999999998</v>
      </c>
    </row>
    <row r="1412" spans="1:5" x14ac:dyDescent="0.25">
      <c r="A1412" s="91" t="s">
        <v>9258</v>
      </c>
      <c r="B1412" s="138">
        <v>6338.11</v>
      </c>
      <c r="C1412" s="138">
        <v>5185.71</v>
      </c>
      <c r="D1412" s="138"/>
      <c r="E1412" s="138">
        <v>11523.82</v>
      </c>
    </row>
    <row r="1413" spans="1:5" x14ac:dyDescent="0.25">
      <c r="A1413" s="91" t="s">
        <v>9259</v>
      </c>
      <c r="B1413" s="138">
        <v>1898.37</v>
      </c>
      <c r="C1413" s="138">
        <v>1543.64</v>
      </c>
      <c r="D1413" s="138"/>
      <c r="E1413" s="138">
        <v>3442.01</v>
      </c>
    </row>
    <row r="1414" spans="1:5" x14ac:dyDescent="0.25">
      <c r="A1414" s="91" t="s">
        <v>9260</v>
      </c>
      <c r="B1414" s="138">
        <v>1852.89</v>
      </c>
      <c r="C1414" s="138">
        <v>1450.01</v>
      </c>
      <c r="D1414" s="138"/>
      <c r="E1414" s="138">
        <v>3302.9</v>
      </c>
    </row>
    <row r="1415" spans="1:5" x14ac:dyDescent="0.25">
      <c r="A1415" s="91" t="s">
        <v>9261</v>
      </c>
      <c r="B1415" s="138">
        <v>32812.949999999997</v>
      </c>
      <c r="C1415" s="138">
        <v>26414.05</v>
      </c>
      <c r="D1415" s="138"/>
      <c r="E1415" s="138">
        <v>59227</v>
      </c>
    </row>
    <row r="1416" spans="1:5" x14ac:dyDescent="0.25">
      <c r="A1416" s="91" t="s">
        <v>9262</v>
      </c>
      <c r="B1416" s="138">
        <v>63.89</v>
      </c>
      <c r="C1416" s="138">
        <v>50.29</v>
      </c>
      <c r="D1416" s="138"/>
      <c r="E1416" s="138">
        <v>114.18</v>
      </c>
    </row>
    <row r="1417" spans="1:5" x14ac:dyDescent="0.25">
      <c r="A1417" s="91" t="s">
        <v>9263</v>
      </c>
      <c r="B1417" s="138">
        <v>2416.17</v>
      </c>
      <c r="C1417" s="138">
        <v>1903.42</v>
      </c>
      <c r="D1417" s="138"/>
      <c r="E1417" s="138">
        <v>4319.59</v>
      </c>
    </row>
    <row r="1418" spans="1:5" x14ac:dyDescent="0.25">
      <c r="A1418" s="91" t="s">
        <v>7961</v>
      </c>
      <c r="B1418" s="138">
        <v>505</v>
      </c>
      <c r="C1418" s="138">
        <v>-14</v>
      </c>
      <c r="D1418" s="138">
        <v>505</v>
      </c>
      <c r="E1418" s="138">
        <v>996</v>
      </c>
    </row>
    <row r="1419" spans="1:5" x14ac:dyDescent="0.25">
      <c r="A1419" s="91" t="s">
        <v>8057</v>
      </c>
      <c r="B1419" s="138">
        <v>0</v>
      </c>
      <c r="C1419" s="138">
        <v>0</v>
      </c>
      <c r="D1419" s="138">
        <v>500</v>
      </c>
      <c r="E1419" s="138">
        <v>500</v>
      </c>
    </row>
    <row r="1420" spans="1:5" x14ac:dyDescent="0.25">
      <c r="A1420" s="91" t="s">
        <v>8250</v>
      </c>
      <c r="B1420" s="138">
        <v>51</v>
      </c>
      <c r="C1420" s="138">
        <v>0</v>
      </c>
      <c r="D1420" s="138">
        <v>510</v>
      </c>
      <c r="E1420" s="138">
        <v>561</v>
      </c>
    </row>
    <row r="1421" spans="1:5" x14ac:dyDescent="0.25">
      <c r="A1421" s="91" t="s">
        <v>7962</v>
      </c>
      <c r="B1421" s="138">
        <v>705</v>
      </c>
      <c r="C1421" s="138">
        <v>0</v>
      </c>
      <c r="D1421" s="138">
        <v>705</v>
      </c>
      <c r="E1421" s="138">
        <v>1410</v>
      </c>
    </row>
    <row r="1422" spans="1:5" x14ac:dyDescent="0.25">
      <c r="A1422" s="91" t="s">
        <v>8058</v>
      </c>
      <c r="B1422" s="138">
        <v>0</v>
      </c>
      <c r="C1422" s="138">
        <v>0</v>
      </c>
      <c r="D1422" s="138">
        <v>250</v>
      </c>
      <c r="E1422" s="138">
        <v>250</v>
      </c>
    </row>
    <row r="1423" spans="1:5" x14ac:dyDescent="0.25">
      <c r="A1423" s="91" t="s">
        <v>8360</v>
      </c>
      <c r="B1423" s="138">
        <v>500</v>
      </c>
      <c r="C1423" s="138">
        <v>92.86</v>
      </c>
      <c r="D1423" s="138">
        <v>500</v>
      </c>
      <c r="E1423" s="138">
        <v>1092.8600000000001</v>
      </c>
    </row>
    <row r="1424" spans="1:5" x14ac:dyDescent="0.25">
      <c r="A1424" s="91" t="s">
        <v>9264</v>
      </c>
      <c r="B1424" s="138">
        <v>142041</v>
      </c>
      <c r="C1424" s="138">
        <v>117924.2</v>
      </c>
      <c r="D1424" s="138"/>
      <c r="E1424" s="138">
        <v>259965.2</v>
      </c>
    </row>
    <row r="1425" spans="1:5" x14ac:dyDescent="0.25">
      <c r="A1425" s="91" t="s">
        <v>9265</v>
      </c>
      <c r="B1425" s="138">
        <v>127776.55</v>
      </c>
      <c r="C1425" s="138">
        <v>107633.63</v>
      </c>
      <c r="D1425" s="138"/>
      <c r="E1425" s="138">
        <v>235410.18</v>
      </c>
    </row>
    <row r="1426" spans="1:5" x14ac:dyDescent="0.25">
      <c r="A1426" s="91" t="s">
        <v>7829</v>
      </c>
      <c r="B1426" s="138">
        <v>0</v>
      </c>
      <c r="C1426" s="138">
        <v>3.17</v>
      </c>
      <c r="D1426" s="138">
        <v>1000</v>
      </c>
      <c r="E1426" s="138">
        <v>1003.17</v>
      </c>
    </row>
    <row r="1427" spans="1:5" x14ac:dyDescent="0.25">
      <c r="A1427" s="91" t="s">
        <v>7876</v>
      </c>
      <c r="B1427" s="138">
        <v>0</v>
      </c>
      <c r="C1427" s="138">
        <v>282.88</v>
      </c>
      <c r="D1427" s="138">
        <v>1000</v>
      </c>
      <c r="E1427" s="138">
        <v>1282.8800000000001</v>
      </c>
    </row>
    <row r="1428" spans="1:5" x14ac:dyDescent="0.25">
      <c r="A1428" s="91" t="s">
        <v>9266</v>
      </c>
      <c r="B1428" s="138">
        <v>22939.62</v>
      </c>
      <c r="C1428" s="138">
        <v>19044.8</v>
      </c>
      <c r="D1428" s="138"/>
      <c r="E1428" s="138">
        <v>41984.42</v>
      </c>
    </row>
    <row r="1429" spans="1:5" x14ac:dyDescent="0.25">
      <c r="A1429" s="91" t="s">
        <v>9267</v>
      </c>
      <c r="B1429" s="138">
        <v>26449.75</v>
      </c>
      <c r="C1429" s="138">
        <v>22272.38</v>
      </c>
      <c r="D1429" s="138"/>
      <c r="E1429" s="138">
        <v>48722.130000000005</v>
      </c>
    </row>
    <row r="1430" spans="1:5" x14ac:dyDescent="0.25">
      <c r="A1430" s="91" t="s">
        <v>9268</v>
      </c>
      <c r="B1430" s="138">
        <v>7922.15</v>
      </c>
      <c r="C1430" s="138">
        <v>6609.58</v>
      </c>
      <c r="D1430" s="138"/>
      <c r="E1430" s="138">
        <v>14531.73</v>
      </c>
    </row>
    <row r="1431" spans="1:5" x14ac:dyDescent="0.25">
      <c r="A1431" s="91" t="s">
        <v>9269</v>
      </c>
      <c r="B1431" s="138">
        <v>3912.35</v>
      </c>
      <c r="C1431" s="138">
        <v>3255.74</v>
      </c>
      <c r="D1431" s="138"/>
      <c r="E1431" s="138">
        <v>7168.09</v>
      </c>
    </row>
    <row r="1432" spans="1:5" x14ac:dyDescent="0.25">
      <c r="A1432" s="91" t="s">
        <v>9270</v>
      </c>
      <c r="B1432" s="138">
        <v>58569.4</v>
      </c>
      <c r="C1432" s="138">
        <v>47824.08</v>
      </c>
      <c r="D1432" s="138"/>
      <c r="E1432" s="138">
        <v>106393.48000000001</v>
      </c>
    </row>
    <row r="1433" spans="1:5" x14ac:dyDescent="0.25">
      <c r="A1433" s="91" t="s">
        <v>9271</v>
      </c>
      <c r="B1433" s="138">
        <v>134.91</v>
      </c>
      <c r="C1433" s="138">
        <v>112.9</v>
      </c>
      <c r="D1433" s="138"/>
      <c r="E1433" s="138">
        <v>247.81</v>
      </c>
    </row>
    <row r="1434" spans="1:5" x14ac:dyDescent="0.25">
      <c r="A1434" s="91" t="s">
        <v>9272</v>
      </c>
      <c r="B1434" s="138">
        <v>5101.71</v>
      </c>
      <c r="C1434" s="138">
        <v>4275.16</v>
      </c>
      <c r="D1434" s="138"/>
      <c r="E1434" s="138">
        <v>9376.869999999999</v>
      </c>
    </row>
    <row r="1435" spans="1:5" x14ac:dyDescent="0.25">
      <c r="A1435" s="91" t="s">
        <v>9273</v>
      </c>
      <c r="B1435" s="138">
        <v>2400</v>
      </c>
      <c r="C1435" s="138">
        <v>1800</v>
      </c>
      <c r="D1435" s="138"/>
      <c r="E1435" s="138">
        <v>4200</v>
      </c>
    </row>
    <row r="1436" spans="1:5" x14ac:dyDescent="0.25">
      <c r="A1436" s="91" t="s">
        <v>7963</v>
      </c>
      <c r="B1436" s="138">
        <v>500</v>
      </c>
      <c r="C1436" s="138">
        <v>0</v>
      </c>
      <c r="D1436" s="138">
        <v>500</v>
      </c>
      <c r="E1436" s="138">
        <v>1000</v>
      </c>
    </row>
    <row r="1437" spans="1:5" x14ac:dyDescent="0.25">
      <c r="A1437" s="91" t="s">
        <v>8251</v>
      </c>
      <c r="B1437" s="138">
        <v>0</v>
      </c>
      <c r="C1437" s="138">
        <v>4.22</v>
      </c>
      <c r="D1437" s="138">
        <v>1500</v>
      </c>
      <c r="E1437" s="138">
        <v>1504.22</v>
      </c>
    </row>
    <row r="1438" spans="1:5" x14ac:dyDescent="0.25">
      <c r="A1438" s="91" t="s">
        <v>9274</v>
      </c>
      <c r="B1438" s="138">
        <v>71444.100000000006</v>
      </c>
      <c r="C1438" s="138">
        <v>58454.28</v>
      </c>
      <c r="D1438" s="138"/>
      <c r="E1438" s="138">
        <v>129898.38</v>
      </c>
    </row>
    <row r="1439" spans="1:5" x14ac:dyDescent="0.25">
      <c r="A1439" s="91" t="s">
        <v>7777</v>
      </c>
      <c r="B1439" s="138">
        <v>164000</v>
      </c>
      <c r="C1439" s="138">
        <v>82894.94</v>
      </c>
      <c r="D1439" s="138">
        <v>164000</v>
      </c>
      <c r="E1439" s="138">
        <v>410894.94</v>
      </c>
    </row>
    <row r="1440" spans="1:5" x14ac:dyDescent="0.25">
      <c r="A1440" s="91" t="s">
        <v>7800</v>
      </c>
      <c r="B1440" s="138">
        <v>3001</v>
      </c>
      <c r="C1440" s="138">
        <v>0</v>
      </c>
      <c r="D1440" s="138">
        <v>12000</v>
      </c>
      <c r="E1440" s="138">
        <v>15001</v>
      </c>
    </row>
    <row r="1441" spans="1:5" x14ac:dyDescent="0.25">
      <c r="A1441" s="91" t="s">
        <v>9275</v>
      </c>
      <c r="B1441" s="138">
        <v>183164.66</v>
      </c>
      <c r="C1441" s="138">
        <v>147001.14000000001</v>
      </c>
      <c r="D1441" s="138"/>
      <c r="E1441" s="138">
        <v>330165.80000000005</v>
      </c>
    </row>
    <row r="1442" spans="1:5" x14ac:dyDescent="0.25">
      <c r="A1442" s="91" t="s">
        <v>7830</v>
      </c>
      <c r="B1442" s="138">
        <v>1800</v>
      </c>
      <c r="C1442" s="138">
        <v>90.31</v>
      </c>
      <c r="D1442" s="138">
        <v>1800</v>
      </c>
      <c r="E1442" s="138">
        <v>3690.31</v>
      </c>
    </row>
    <row r="1443" spans="1:5" x14ac:dyDescent="0.25">
      <c r="A1443" s="91" t="s">
        <v>7856</v>
      </c>
      <c r="B1443" s="138">
        <v>9000</v>
      </c>
      <c r="C1443" s="138">
        <v>0</v>
      </c>
      <c r="D1443" s="138">
        <v>9000</v>
      </c>
      <c r="E1443" s="138">
        <v>18000</v>
      </c>
    </row>
    <row r="1444" spans="1:5" x14ac:dyDescent="0.25">
      <c r="A1444" s="91" t="s">
        <v>9276</v>
      </c>
      <c r="B1444" s="138">
        <v>26970.66</v>
      </c>
      <c r="C1444" s="138">
        <v>12096.32</v>
      </c>
      <c r="D1444" s="138"/>
      <c r="E1444" s="138">
        <v>39066.979999999996</v>
      </c>
    </row>
    <row r="1445" spans="1:5" x14ac:dyDescent="0.25">
      <c r="A1445" s="91" t="s">
        <v>9277</v>
      </c>
      <c r="B1445" s="138">
        <v>52704.01</v>
      </c>
      <c r="C1445" s="138">
        <v>42533.25</v>
      </c>
      <c r="D1445" s="138"/>
      <c r="E1445" s="138">
        <v>95237.260000000009</v>
      </c>
    </row>
    <row r="1446" spans="1:5" x14ac:dyDescent="0.25">
      <c r="A1446" s="91" t="s">
        <v>9278</v>
      </c>
      <c r="B1446" s="138">
        <v>15897.34</v>
      </c>
      <c r="C1446" s="138">
        <v>13087.2</v>
      </c>
      <c r="D1446" s="138"/>
      <c r="E1446" s="138">
        <v>28984.54</v>
      </c>
    </row>
    <row r="1447" spans="1:5" x14ac:dyDescent="0.25">
      <c r="A1447" s="91" t="s">
        <v>9279</v>
      </c>
      <c r="B1447" s="138">
        <v>6139.44</v>
      </c>
      <c r="C1447" s="138">
        <v>4156.4399999999996</v>
      </c>
      <c r="D1447" s="138"/>
      <c r="E1447" s="138">
        <v>10295.879999999999</v>
      </c>
    </row>
    <row r="1448" spans="1:5" x14ac:dyDescent="0.25">
      <c r="A1448" s="91" t="s">
        <v>9280</v>
      </c>
      <c r="B1448" s="138">
        <v>67226.38</v>
      </c>
      <c r="C1448" s="138">
        <v>52873.72</v>
      </c>
      <c r="D1448" s="138"/>
      <c r="E1448" s="138">
        <v>120100.1</v>
      </c>
    </row>
    <row r="1449" spans="1:5" x14ac:dyDescent="0.25">
      <c r="A1449" s="91" t="s">
        <v>9281</v>
      </c>
      <c r="B1449" s="138">
        <v>211.7</v>
      </c>
      <c r="C1449" s="138">
        <v>143.86000000000001</v>
      </c>
      <c r="D1449" s="138"/>
      <c r="E1449" s="138">
        <v>355.56</v>
      </c>
    </row>
    <row r="1450" spans="1:5" x14ac:dyDescent="0.25">
      <c r="A1450" s="91" t="s">
        <v>9282</v>
      </c>
      <c r="B1450" s="138">
        <v>8175.99</v>
      </c>
      <c r="C1450" s="138">
        <v>5460.97</v>
      </c>
      <c r="D1450" s="138"/>
      <c r="E1450" s="138">
        <v>13636.96</v>
      </c>
    </row>
    <row r="1451" spans="1:5" x14ac:dyDescent="0.25">
      <c r="A1451" s="91" t="s">
        <v>7964</v>
      </c>
      <c r="B1451" s="138">
        <v>4551</v>
      </c>
      <c r="C1451" s="138">
        <v>542.21</v>
      </c>
      <c r="D1451" s="138">
        <v>4551</v>
      </c>
      <c r="E1451" s="138">
        <v>9644.2099999999991</v>
      </c>
    </row>
    <row r="1452" spans="1:5" x14ac:dyDescent="0.25">
      <c r="A1452" s="91" t="s">
        <v>8059</v>
      </c>
      <c r="B1452" s="138">
        <v>-3100</v>
      </c>
      <c r="C1452" s="138">
        <v>0</v>
      </c>
      <c r="D1452" s="138">
        <v>3100</v>
      </c>
      <c r="E1452" s="138">
        <v>0</v>
      </c>
    </row>
    <row r="1453" spans="1:5" x14ac:dyDescent="0.25">
      <c r="A1453" s="91" t="s">
        <v>8094</v>
      </c>
      <c r="B1453" s="138">
        <v>3000</v>
      </c>
      <c r="C1453" s="138">
        <v>1650</v>
      </c>
      <c r="D1453" s="138">
        <v>3000</v>
      </c>
      <c r="E1453" s="138">
        <v>7650</v>
      </c>
    </row>
    <row r="1454" spans="1:5" x14ac:dyDescent="0.25">
      <c r="A1454" s="91" t="s">
        <v>8252</v>
      </c>
      <c r="B1454" s="138">
        <v>184.43</v>
      </c>
      <c r="C1454" s="138">
        <v>44.7</v>
      </c>
      <c r="D1454" s="138">
        <v>1442</v>
      </c>
      <c r="E1454" s="138">
        <v>1671.13</v>
      </c>
    </row>
    <row r="1455" spans="1:5" x14ac:dyDescent="0.25">
      <c r="A1455" s="91" t="s">
        <v>8308</v>
      </c>
      <c r="B1455" s="138">
        <v>5000</v>
      </c>
      <c r="C1455" s="138">
        <v>0</v>
      </c>
      <c r="D1455" s="138">
        <v>5000</v>
      </c>
      <c r="E1455" s="138">
        <v>10000</v>
      </c>
    </row>
    <row r="1456" spans="1:5" x14ac:dyDescent="0.25">
      <c r="A1456" s="91" t="s">
        <v>8361</v>
      </c>
      <c r="B1456" s="138">
        <v>24000</v>
      </c>
      <c r="C1456" s="138">
        <v>17747.429999999997</v>
      </c>
      <c r="D1456" s="138">
        <v>30000</v>
      </c>
      <c r="E1456" s="138">
        <v>71747.429999999993</v>
      </c>
    </row>
    <row r="1457" spans="1:5" x14ac:dyDescent="0.25">
      <c r="A1457" s="91" t="s">
        <v>8364</v>
      </c>
      <c r="B1457" s="138">
        <v>20871</v>
      </c>
      <c r="C1457" s="138">
        <v>17859.849999999999</v>
      </c>
      <c r="D1457" s="138">
        <v>20871</v>
      </c>
      <c r="E1457" s="138">
        <v>59601.85</v>
      </c>
    </row>
    <row r="1458" spans="1:5" x14ac:dyDescent="0.25">
      <c r="A1458" s="91" t="s">
        <v>8365</v>
      </c>
      <c r="B1458" s="138">
        <v>7350</v>
      </c>
      <c r="C1458" s="138">
        <v>7350</v>
      </c>
      <c r="D1458" s="138">
        <v>7717</v>
      </c>
      <c r="E1458" s="138">
        <v>22417</v>
      </c>
    </row>
    <row r="1459" spans="1:5" x14ac:dyDescent="0.25">
      <c r="A1459" s="91" t="s">
        <v>8367</v>
      </c>
      <c r="B1459" s="138">
        <v>1150</v>
      </c>
      <c r="C1459" s="138">
        <v>2239.98</v>
      </c>
      <c r="D1459" s="138">
        <v>1150</v>
      </c>
      <c r="E1459" s="138">
        <v>4539.9799999999996</v>
      </c>
    </row>
    <row r="1460" spans="1:5" x14ac:dyDescent="0.25">
      <c r="A1460" s="91" t="s">
        <v>9283</v>
      </c>
      <c r="B1460" s="138">
        <v>117591.54</v>
      </c>
      <c r="C1460" s="138">
        <v>104509.48</v>
      </c>
      <c r="D1460" s="138"/>
      <c r="E1460" s="138">
        <v>222101.02</v>
      </c>
    </row>
    <row r="1461" spans="1:5" x14ac:dyDescent="0.25">
      <c r="A1461" s="91" t="s">
        <v>7831</v>
      </c>
      <c r="B1461" s="138">
        <v>700</v>
      </c>
      <c r="C1461" s="138">
        <v>0</v>
      </c>
      <c r="D1461" s="138">
        <v>700</v>
      </c>
      <c r="E1461" s="138">
        <v>1400</v>
      </c>
    </row>
    <row r="1462" spans="1:5" x14ac:dyDescent="0.25">
      <c r="A1462" s="91" t="s">
        <v>9284</v>
      </c>
      <c r="B1462" s="138">
        <v>24341.46</v>
      </c>
      <c r="C1462" s="138">
        <v>21631.96</v>
      </c>
      <c r="D1462" s="138"/>
      <c r="E1462" s="138">
        <v>45973.42</v>
      </c>
    </row>
    <row r="1463" spans="1:5" x14ac:dyDescent="0.25">
      <c r="A1463" s="91" t="s">
        <v>9285</v>
      </c>
      <c r="B1463" s="138">
        <v>7334.07</v>
      </c>
      <c r="C1463" s="138">
        <v>6442.51</v>
      </c>
      <c r="D1463" s="138"/>
      <c r="E1463" s="138">
        <v>13776.58</v>
      </c>
    </row>
    <row r="1464" spans="1:5" x14ac:dyDescent="0.25">
      <c r="A1464" s="91" t="s">
        <v>9286</v>
      </c>
      <c r="B1464" s="138">
        <v>1715.23</v>
      </c>
      <c r="C1464" s="138">
        <v>1506.67</v>
      </c>
      <c r="D1464" s="138"/>
      <c r="E1464" s="138">
        <v>3221.9</v>
      </c>
    </row>
    <row r="1465" spans="1:5" x14ac:dyDescent="0.25">
      <c r="A1465" s="91" t="s">
        <v>9287</v>
      </c>
      <c r="B1465" s="138">
        <v>23244.5</v>
      </c>
      <c r="C1465" s="138">
        <v>20604.55</v>
      </c>
      <c r="D1465" s="138"/>
      <c r="E1465" s="138">
        <v>43849.05</v>
      </c>
    </row>
    <row r="1466" spans="1:5" x14ac:dyDescent="0.25">
      <c r="A1466" s="91" t="s">
        <v>9288</v>
      </c>
      <c r="B1466" s="138">
        <v>59.15</v>
      </c>
      <c r="C1466" s="138">
        <v>52.03</v>
      </c>
      <c r="D1466" s="138"/>
      <c r="E1466" s="138">
        <v>111.18</v>
      </c>
    </row>
    <row r="1467" spans="1:5" x14ac:dyDescent="0.25">
      <c r="A1467" s="91" t="s">
        <v>9289</v>
      </c>
      <c r="B1467" s="138">
        <v>2236.66</v>
      </c>
      <c r="C1467" s="138">
        <v>1980.76</v>
      </c>
      <c r="D1467" s="138"/>
      <c r="E1467" s="138">
        <v>4217.42</v>
      </c>
    </row>
    <row r="1468" spans="1:5" x14ac:dyDescent="0.25">
      <c r="A1468" s="91" t="s">
        <v>7965</v>
      </c>
      <c r="B1468" s="138">
        <v>4615</v>
      </c>
      <c r="C1468" s="138">
        <v>0</v>
      </c>
      <c r="D1468" s="138">
        <v>4615</v>
      </c>
      <c r="E1468" s="138">
        <v>9230</v>
      </c>
    </row>
    <row r="1469" spans="1:5" x14ac:dyDescent="0.25">
      <c r="A1469" s="91" t="s">
        <v>8253</v>
      </c>
      <c r="B1469" s="138">
        <v>60.75</v>
      </c>
      <c r="C1469" s="138">
        <v>11.94</v>
      </c>
      <c r="D1469" s="138">
        <v>500</v>
      </c>
      <c r="E1469" s="138">
        <v>572.69000000000005</v>
      </c>
    </row>
    <row r="1470" spans="1:5" x14ac:dyDescent="0.25">
      <c r="A1470" s="91" t="s">
        <v>8362</v>
      </c>
      <c r="B1470" s="138">
        <v>600</v>
      </c>
      <c r="C1470" s="138">
        <v>0</v>
      </c>
      <c r="D1470" s="138">
        <v>600</v>
      </c>
      <c r="E1470" s="138">
        <v>1200</v>
      </c>
    </row>
    <row r="1471" spans="1:5" x14ac:dyDescent="0.25">
      <c r="A1471" s="91" t="s">
        <v>8379</v>
      </c>
      <c r="B1471" s="138">
        <v>500</v>
      </c>
      <c r="C1471" s="138">
        <v>0</v>
      </c>
      <c r="D1471" s="138">
        <v>500</v>
      </c>
      <c r="E1471" s="138">
        <v>1000</v>
      </c>
    </row>
    <row r="1472" spans="1:5" x14ac:dyDescent="0.25">
      <c r="A1472" s="91" t="s">
        <v>7764</v>
      </c>
      <c r="B1472" s="138">
        <v>3000</v>
      </c>
      <c r="C1472" s="138">
        <v>28.44</v>
      </c>
      <c r="D1472" s="138">
        <v>3000</v>
      </c>
      <c r="E1472" s="138">
        <v>6028.4400000000005</v>
      </c>
    </row>
    <row r="1473" spans="1:5" x14ac:dyDescent="0.25">
      <c r="A1473" s="91" t="s">
        <v>7857</v>
      </c>
      <c r="B1473" s="138">
        <v>23000</v>
      </c>
      <c r="C1473" s="138">
        <v>10760.63</v>
      </c>
      <c r="D1473" s="138">
        <v>23000</v>
      </c>
      <c r="E1473" s="138">
        <v>56760.63</v>
      </c>
    </row>
    <row r="1474" spans="1:5" x14ac:dyDescent="0.25">
      <c r="A1474" s="91" t="s">
        <v>7894</v>
      </c>
      <c r="B1474" s="138">
        <v>0</v>
      </c>
      <c r="C1474" s="138">
        <v>0</v>
      </c>
      <c r="D1474" s="138">
        <v>0</v>
      </c>
      <c r="E1474" s="138">
        <v>0</v>
      </c>
    </row>
    <row r="1475" spans="1:5" x14ac:dyDescent="0.25">
      <c r="A1475" s="91" t="s">
        <v>9290</v>
      </c>
      <c r="B1475" s="138">
        <v>484.5</v>
      </c>
      <c r="C1475" s="138">
        <v>0</v>
      </c>
      <c r="D1475" s="138"/>
      <c r="E1475" s="138">
        <v>484.5</v>
      </c>
    </row>
    <row r="1476" spans="1:5" x14ac:dyDescent="0.25">
      <c r="A1476" s="91" t="s">
        <v>9291</v>
      </c>
      <c r="B1476" s="138">
        <v>0</v>
      </c>
      <c r="C1476" s="138">
        <v>1.76</v>
      </c>
      <c r="D1476" s="138"/>
      <c r="E1476" s="138">
        <v>1.76</v>
      </c>
    </row>
    <row r="1477" spans="1:5" x14ac:dyDescent="0.25">
      <c r="A1477" s="91" t="s">
        <v>9292</v>
      </c>
      <c r="B1477" s="138">
        <v>43.5</v>
      </c>
      <c r="C1477" s="138">
        <v>0.41</v>
      </c>
      <c r="D1477" s="138"/>
      <c r="E1477" s="138">
        <v>43.91</v>
      </c>
    </row>
    <row r="1478" spans="1:5" x14ac:dyDescent="0.25">
      <c r="A1478" s="91" t="s">
        <v>9293</v>
      </c>
      <c r="B1478" s="138">
        <v>1.5</v>
      </c>
      <c r="C1478" s="138">
        <v>0</v>
      </c>
      <c r="D1478" s="138"/>
      <c r="E1478" s="138">
        <v>1.5</v>
      </c>
    </row>
    <row r="1479" spans="1:5" x14ac:dyDescent="0.25">
      <c r="A1479" s="91" t="s">
        <v>9294</v>
      </c>
      <c r="B1479" s="138">
        <v>56.72</v>
      </c>
      <c r="C1479" s="138">
        <v>0.54</v>
      </c>
      <c r="D1479" s="138"/>
      <c r="E1479" s="138">
        <v>57.26</v>
      </c>
    </row>
    <row r="1480" spans="1:5" x14ac:dyDescent="0.25">
      <c r="A1480" s="91" t="s">
        <v>9295</v>
      </c>
      <c r="B1480" s="138">
        <v>434.88</v>
      </c>
      <c r="C1480" s="138">
        <v>203.45</v>
      </c>
      <c r="D1480" s="138"/>
      <c r="E1480" s="138">
        <v>638.32999999999993</v>
      </c>
    </row>
    <row r="1481" spans="1:5" x14ac:dyDescent="0.25">
      <c r="A1481" s="91" t="s">
        <v>8254</v>
      </c>
      <c r="B1481" s="138">
        <v>10</v>
      </c>
      <c r="C1481" s="138">
        <v>0</v>
      </c>
      <c r="D1481" s="138">
        <v>1500</v>
      </c>
      <c r="E1481" s="138">
        <v>1510</v>
      </c>
    </row>
    <row r="1482" spans="1:5" x14ac:dyDescent="0.25">
      <c r="A1482" s="91" t="s">
        <v>9296</v>
      </c>
      <c r="B1482" s="138">
        <v>67315</v>
      </c>
      <c r="C1482" s="138">
        <v>61918.74</v>
      </c>
      <c r="D1482" s="138"/>
      <c r="E1482" s="138">
        <v>129233.73999999999</v>
      </c>
    </row>
    <row r="1483" spans="1:5" x14ac:dyDescent="0.25">
      <c r="A1483" s="91" t="s">
        <v>7858</v>
      </c>
      <c r="B1483" s="138">
        <v>3800</v>
      </c>
      <c r="C1483" s="138">
        <v>3482</v>
      </c>
      <c r="D1483" s="138">
        <v>3800</v>
      </c>
      <c r="E1483" s="138">
        <v>11082</v>
      </c>
    </row>
    <row r="1484" spans="1:5" x14ac:dyDescent="0.25">
      <c r="A1484" s="91" t="s">
        <v>7877</v>
      </c>
      <c r="B1484" s="138">
        <v>1000</v>
      </c>
      <c r="C1484" s="138">
        <v>0</v>
      </c>
      <c r="D1484" s="138">
        <v>1000</v>
      </c>
      <c r="E1484" s="138">
        <v>2000</v>
      </c>
    </row>
    <row r="1485" spans="1:5" x14ac:dyDescent="0.25">
      <c r="A1485" s="91" t="s">
        <v>9297</v>
      </c>
      <c r="B1485" s="138">
        <v>13934.21</v>
      </c>
      <c r="C1485" s="138">
        <v>12814.19</v>
      </c>
      <c r="D1485" s="138"/>
      <c r="E1485" s="138">
        <v>26748.400000000001</v>
      </c>
    </row>
    <row r="1486" spans="1:5" x14ac:dyDescent="0.25">
      <c r="A1486" s="91" t="s">
        <v>9298</v>
      </c>
      <c r="B1486" s="138">
        <v>4235.53</v>
      </c>
      <c r="C1486" s="138">
        <v>3806.69</v>
      </c>
      <c r="D1486" s="138"/>
      <c r="E1486" s="138">
        <v>8042.2199999999993</v>
      </c>
    </row>
    <row r="1487" spans="1:5" x14ac:dyDescent="0.25">
      <c r="A1487" s="91" t="s">
        <v>9299</v>
      </c>
      <c r="B1487" s="138">
        <v>990.57</v>
      </c>
      <c r="C1487" s="138">
        <v>890.24</v>
      </c>
      <c r="D1487" s="138"/>
      <c r="E1487" s="138">
        <v>1880.81</v>
      </c>
    </row>
    <row r="1488" spans="1:5" x14ac:dyDescent="0.25">
      <c r="A1488" s="91" t="s">
        <v>9300</v>
      </c>
      <c r="B1488" s="138">
        <v>25240.73</v>
      </c>
      <c r="C1488" s="138">
        <v>20615.86</v>
      </c>
      <c r="D1488" s="138"/>
      <c r="E1488" s="138">
        <v>45856.59</v>
      </c>
    </row>
    <row r="1489" spans="1:5" x14ac:dyDescent="0.25">
      <c r="A1489" s="91" t="s">
        <v>9301</v>
      </c>
      <c r="B1489" s="138">
        <v>34.159999999999997</v>
      </c>
      <c r="C1489" s="138">
        <v>30.97</v>
      </c>
      <c r="D1489" s="138"/>
      <c r="E1489" s="138">
        <v>65.13</v>
      </c>
    </row>
    <row r="1490" spans="1:5" x14ac:dyDescent="0.25">
      <c r="A1490" s="91" t="s">
        <v>9302</v>
      </c>
      <c r="B1490" s="138">
        <v>1363.55</v>
      </c>
      <c r="C1490" s="138">
        <v>1239.22</v>
      </c>
      <c r="D1490" s="138"/>
      <c r="E1490" s="138">
        <v>2602.77</v>
      </c>
    </row>
    <row r="1491" spans="1:5" x14ac:dyDescent="0.25">
      <c r="A1491" s="91" t="s">
        <v>7966</v>
      </c>
      <c r="B1491" s="138">
        <v>2500</v>
      </c>
      <c r="C1491" s="138">
        <v>18.48</v>
      </c>
      <c r="D1491" s="138">
        <v>2575</v>
      </c>
      <c r="E1491" s="138">
        <v>5093.4799999999996</v>
      </c>
    </row>
    <row r="1492" spans="1:5" x14ac:dyDescent="0.25">
      <c r="A1492" s="91" t="s">
        <v>8095</v>
      </c>
      <c r="B1492" s="138">
        <v>55</v>
      </c>
      <c r="C1492" s="138">
        <v>75</v>
      </c>
      <c r="D1492" s="138">
        <v>75</v>
      </c>
      <c r="E1492" s="138">
        <v>205</v>
      </c>
    </row>
    <row r="1493" spans="1:5" x14ac:dyDescent="0.25">
      <c r="A1493" s="91" t="s">
        <v>9303</v>
      </c>
      <c r="B1493" s="138">
        <v>9529.2000000000007</v>
      </c>
      <c r="C1493" s="138">
        <v>13504.16</v>
      </c>
      <c r="D1493" s="138"/>
      <c r="E1493" s="138">
        <v>23033.360000000001</v>
      </c>
    </row>
    <row r="1494" spans="1:5" x14ac:dyDescent="0.25">
      <c r="A1494" s="91" t="s">
        <v>9304</v>
      </c>
      <c r="B1494" s="138">
        <v>18532.310000000001</v>
      </c>
      <c r="C1494" s="138">
        <v>13899.24</v>
      </c>
      <c r="D1494" s="138"/>
      <c r="E1494" s="138">
        <v>32431.550000000003</v>
      </c>
    </row>
    <row r="1495" spans="1:5" x14ac:dyDescent="0.25">
      <c r="A1495" s="91" t="s">
        <v>7832</v>
      </c>
      <c r="B1495" s="138">
        <v>0</v>
      </c>
      <c r="C1495" s="138">
        <v>1.27</v>
      </c>
      <c r="D1495" s="138"/>
      <c r="E1495" s="138">
        <v>1.27</v>
      </c>
    </row>
    <row r="1496" spans="1:5" x14ac:dyDescent="0.25">
      <c r="A1496" s="91" t="s">
        <v>7878</v>
      </c>
      <c r="B1496" s="138">
        <v>24000</v>
      </c>
      <c r="C1496" s="138">
        <v>7109.49</v>
      </c>
      <c r="D1496" s="138">
        <v>24000</v>
      </c>
      <c r="E1496" s="138">
        <v>55109.49</v>
      </c>
    </row>
    <row r="1497" spans="1:5" x14ac:dyDescent="0.25">
      <c r="A1497" s="91" t="s">
        <v>9305</v>
      </c>
      <c r="B1497" s="138">
        <v>5808.73</v>
      </c>
      <c r="C1497" s="138">
        <v>6298.88</v>
      </c>
      <c r="D1497" s="138"/>
      <c r="E1497" s="138">
        <v>12107.61</v>
      </c>
    </row>
    <row r="1498" spans="1:5" x14ac:dyDescent="0.25">
      <c r="A1498" s="91" t="s">
        <v>9306</v>
      </c>
      <c r="B1498" s="138">
        <v>3227.81</v>
      </c>
      <c r="C1498" s="138">
        <v>2130.62</v>
      </c>
      <c r="D1498" s="138"/>
      <c r="E1498" s="138">
        <v>5358.43</v>
      </c>
    </row>
    <row r="1499" spans="1:5" x14ac:dyDescent="0.25">
      <c r="A1499" s="91" t="s">
        <v>9307</v>
      </c>
      <c r="B1499" s="138">
        <v>754.89</v>
      </c>
      <c r="C1499" s="138">
        <v>498.28</v>
      </c>
      <c r="D1499" s="138"/>
      <c r="E1499" s="138">
        <v>1253.17</v>
      </c>
    </row>
    <row r="1500" spans="1:5" x14ac:dyDescent="0.25">
      <c r="A1500" s="91" t="s">
        <v>9308</v>
      </c>
      <c r="B1500" s="138">
        <v>6250.17</v>
      </c>
      <c r="C1500" s="138">
        <v>7638.7</v>
      </c>
      <c r="D1500" s="138"/>
      <c r="E1500" s="138">
        <v>13888.869999999999</v>
      </c>
    </row>
    <row r="1501" spans="1:5" x14ac:dyDescent="0.25">
      <c r="A1501" s="91" t="s">
        <v>9309</v>
      </c>
      <c r="B1501" s="138">
        <v>26.03</v>
      </c>
      <c r="C1501" s="138">
        <v>17.25</v>
      </c>
      <c r="D1501" s="138"/>
      <c r="E1501" s="138">
        <v>43.28</v>
      </c>
    </row>
    <row r="1502" spans="1:5" x14ac:dyDescent="0.25">
      <c r="A1502" s="91" t="s">
        <v>9310</v>
      </c>
      <c r="B1502" s="138">
        <v>984.38</v>
      </c>
      <c r="C1502" s="138">
        <v>664.96</v>
      </c>
      <c r="D1502" s="138"/>
      <c r="E1502" s="138">
        <v>1649.3400000000001</v>
      </c>
    </row>
    <row r="1503" spans="1:5" x14ac:dyDescent="0.25">
      <c r="A1503" s="91" t="s">
        <v>7913</v>
      </c>
      <c r="B1503" s="138">
        <v>0</v>
      </c>
      <c r="C1503" s="138">
        <v>0</v>
      </c>
      <c r="D1503" s="138"/>
      <c r="E1503" s="138">
        <v>0</v>
      </c>
    </row>
    <row r="1504" spans="1:5" x14ac:dyDescent="0.25">
      <c r="A1504" s="91" t="s">
        <v>7967</v>
      </c>
      <c r="B1504" s="138">
        <v>3000</v>
      </c>
      <c r="C1504" s="138">
        <v>2509.27</v>
      </c>
      <c r="D1504" s="138">
        <v>5295.4299999999994</v>
      </c>
      <c r="E1504" s="138">
        <v>10804.7</v>
      </c>
    </row>
    <row r="1505" spans="1:5" x14ac:dyDescent="0.25">
      <c r="A1505" s="91" t="s">
        <v>7998</v>
      </c>
      <c r="B1505" s="138">
        <v>2500</v>
      </c>
      <c r="C1505" s="138">
        <v>1050</v>
      </c>
      <c r="D1505" s="138">
        <v>2500</v>
      </c>
      <c r="E1505" s="138">
        <v>6050</v>
      </c>
    </row>
    <row r="1506" spans="1:5" x14ac:dyDescent="0.25">
      <c r="A1506" s="91" t="s">
        <v>8015</v>
      </c>
      <c r="B1506" s="138">
        <v>58658</v>
      </c>
      <c r="C1506" s="138">
        <v>105451.07</v>
      </c>
      <c r="D1506" s="138">
        <v>58658</v>
      </c>
      <c r="E1506" s="138">
        <v>222767.07</v>
      </c>
    </row>
    <row r="1507" spans="1:5" x14ac:dyDescent="0.25">
      <c r="A1507" s="91" t="s">
        <v>8060</v>
      </c>
      <c r="B1507" s="138">
        <v>91.52</v>
      </c>
      <c r="C1507" s="138">
        <v>185.79</v>
      </c>
      <c r="D1507" s="138">
        <v>1800</v>
      </c>
      <c r="E1507" s="138">
        <v>2077.31</v>
      </c>
    </row>
    <row r="1508" spans="1:5" x14ac:dyDescent="0.25">
      <c r="A1508" s="91" t="s">
        <v>8153</v>
      </c>
      <c r="B1508" s="138">
        <v>3000</v>
      </c>
      <c r="C1508" s="138">
        <v>4147.6499999999996</v>
      </c>
      <c r="D1508" s="138">
        <v>3000</v>
      </c>
      <c r="E1508" s="138">
        <v>10147.65</v>
      </c>
    </row>
    <row r="1509" spans="1:5" x14ac:dyDescent="0.25">
      <c r="A1509" s="91" t="s">
        <v>8255</v>
      </c>
      <c r="B1509" s="138">
        <v>100.3</v>
      </c>
      <c r="C1509" s="138">
        <v>175.99</v>
      </c>
      <c r="D1509" s="138">
        <v>1000</v>
      </c>
      <c r="E1509" s="138">
        <v>1276.29</v>
      </c>
    </row>
    <row r="1510" spans="1:5" x14ac:dyDescent="0.25">
      <c r="A1510" s="91" t="s">
        <v>8282</v>
      </c>
      <c r="B1510" s="138">
        <v>3000</v>
      </c>
      <c r="C1510" s="138">
        <v>50.26</v>
      </c>
      <c r="D1510" s="138">
        <v>3000</v>
      </c>
      <c r="E1510" s="138">
        <v>6050.26</v>
      </c>
    </row>
    <row r="1511" spans="1:5" x14ac:dyDescent="0.25">
      <c r="A1511" s="91" t="s">
        <v>8343</v>
      </c>
      <c r="B1511" s="138">
        <v>0</v>
      </c>
      <c r="C1511" s="138">
        <v>124.18</v>
      </c>
      <c r="D1511" s="138"/>
      <c r="E1511" s="138">
        <v>124.18</v>
      </c>
    </row>
    <row r="1512" spans="1:5" x14ac:dyDescent="0.25">
      <c r="A1512" s="91" t="s">
        <v>8390</v>
      </c>
      <c r="B1512" s="138">
        <v>41448</v>
      </c>
      <c r="C1512" s="138">
        <v>28383.66</v>
      </c>
      <c r="D1512" s="138">
        <v>43132</v>
      </c>
      <c r="E1512" s="138">
        <v>112963.66</v>
      </c>
    </row>
    <row r="1513" spans="1:5" x14ac:dyDescent="0.25">
      <c r="A1513" s="91" t="s">
        <v>7801</v>
      </c>
      <c r="B1513" s="138">
        <v>1663</v>
      </c>
      <c r="C1513" s="138">
        <v>0</v>
      </c>
      <c r="D1513" s="138">
        <v>7663</v>
      </c>
      <c r="E1513" s="138">
        <v>9326</v>
      </c>
    </row>
    <row r="1514" spans="1:5" x14ac:dyDescent="0.25">
      <c r="A1514" s="91" t="s">
        <v>9311</v>
      </c>
      <c r="B1514" s="138">
        <v>591.57000000000005</v>
      </c>
      <c r="C1514" s="138">
        <v>0</v>
      </c>
      <c r="D1514" s="138"/>
      <c r="E1514" s="138">
        <v>591.57000000000005</v>
      </c>
    </row>
    <row r="1515" spans="1:5" x14ac:dyDescent="0.25">
      <c r="A1515" s="91" t="s">
        <v>9312</v>
      </c>
      <c r="B1515" s="138">
        <v>53.11</v>
      </c>
      <c r="C1515" s="138">
        <v>0</v>
      </c>
      <c r="D1515" s="138"/>
      <c r="E1515" s="138">
        <v>53.11</v>
      </c>
    </row>
    <row r="1516" spans="1:5" x14ac:dyDescent="0.25">
      <c r="A1516" s="91" t="s">
        <v>9313</v>
      </c>
      <c r="B1516" s="138">
        <v>1.83</v>
      </c>
      <c r="C1516" s="138">
        <v>0</v>
      </c>
      <c r="D1516" s="138"/>
      <c r="E1516" s="138">
        <v>1.83</v>
      </c>
    </row>
    <row r="1517" spans="1:5" x14ac:dyDescent="0.25">
      <c r="A1517" s="91" t="s">
        <v>9314</v>
      </c>
      <c r="B1517" s="138">
        <v>69.260000000000005</v>
      </c>
      <c r="C1517" s="138">
        <v>0</v>
      </c>
      <c r="D1517" s="138"/>
      <c r="E1517" s="138">
        <v>69.260000000000005</v>
      </c>
    </row>
    <row r="1518" spans="1:5" x14ac:dyDescent="0.25">
      <c r="A1518" s="91" t="s">
        <v>7968</v>
      </c>
      <c r="B1518" s="138">
        <v>3150</v>
      </c>
      <c r="C1518" s="138">
        <v>2387.29</v>
      </c>
      <c r="D1518" s="138">
        <v>15650</v>
      </c>
      <c r="E1518" s="138">
        <v>21187.29</v>
      </c>
    </row>
    <row r="1519" spans="1:5" x14ac:dyDescent="0.25">
      <c r="A1519" s="91" t="s">
        <v>8061</v>
      </c>
      <c r="B1519" s="138">
        <v>2000</v>
      </c>
      <c r="C1519" s="138">
        <v>1296</v>
      </c>
      <c r="D1519" s="138">
        <v>6500</v>
      </c>
      <c r="E1519" s="138">
        <v>9796</v>
      </c>
    </row>
    <row r="1520" spans="1:5" x14ac:dyDescent="0.25">
      <c r="A1520" s="91" t="s">
        <v>8345</v>
      </c>
      <c r="B1520" s="138">
        <v>1000</v>
      </c>
      <c r="C1520" s="138">
        <v>439.91</v>
      </c>
      <c r="D1520" s="138">
        <v>1000</v>
      </c>
      <c r="E1520" s="138">
        <v>2439.91</v>
      </c>
    </row>
    <row r="1521" spans="1:5" x14ac:dyDescent="0.25">
      <c r="A1521" s="91" t="s">
        <v>8380</v>
      </c>
      <c r="B1521" s="138">
        <v>350</v>
      </c>
      <c r="C1521" s="138">
        <v>367.94</v>
      </c>
      <c r="D1521" s="138">
        <v>350</v>
      </c>
      <c r="E1521" s="138">
        <v>1067.94</v>
      </c>
    </row>
    <row r="1522" spans="1:5" x14ac:dyDescent="0.25">
      <c r="A1522" s="91" t="s">
        <v>9315</v>
      </c>
      <c r="B1522" s="138">
        <v>19300.400000000001</v>
      </c>
      <c r="C1522" s="138">
        <v>0</v>
      </c>
      <c r="D1522" s="138"/>
      <c r="E1522" s="138">
        <v>19300.400000000001</v>
      </c>
    </row>
    <row r="1523" spans="1:5" x14ac:dyDescent="0.25">
      <c r="A1523" s="91" t="s">
        <v>9316</v>
      </c>
      <c r="B1523" s="138">
        <v>57311.25</v>
      </c>
      <c r="C1523" s="138">
        <v>0</v>
      </c>
      <c r="D1523" s="138"/>
      <c r="E1523" s="138">
        <v>57311.25</v>
      </c>
    </row>
    <row r="1524" spans="1:5" x14ac:dyDescent="0.25">
      <c r="A1524" s="91" t="s">
        <v>9317</v>
      </c>
      <c r="B1524" s="138">
        <v>3117.01</v>
      </c>
      <c r="C1524" s="138">
        <v>0</v>
      </c>
      <c r="D1524" s="138"/>
      <c r="E1524" s="138">
        <v>3117.01</v>
      </c>
    </row>
    <row r="1525" spans="1:5" x14ac:dyDescent="0.25">
      <c r="A1525" s="91" t="s">
        <v>9318</v>
      </c>
      <c r="B1525" s="138">
        <v>11863.43</v>
      </c>
      <c r="C1525" s="138">
        <v>0</v>
      </c>
      <c r="D1525" s="138"/>
      <c r="E1525" s="138">
        <v>11863.43</v>
      </c>
    </row>
    <row r="1526" spans="1:5" x14ac:dyDescent="0.25">
      <c r="A1526" s="91" t="s">
        <v>9319</v>
      </c>
      <c r="B1526" s="138">
        <v>3553.3</v>
      </c>
      <c r="C1526" s="138">
        <v>0</v>
      </c>
      <c r="D1526" s="138"/>
      <c r="E1526" s="138">
        <v>3553.3</v>
      </c>
    </row>
    <row r="1527" spans="1:5" x14ac:dyDescent="0.25">
      <c r="A1527" s="91" t="s">
        <v>9320</v>
      </c>
      <c r="B1527" s="138">
        <v>1110.8800000000001</v>
      </c>
      <c r="C1527" s="138">
        <v>0</v>
      </c>
      <c r="D1527" s="138"/>
      <c r="E1527" s="138">
        <v>1110.8800000000001</v>
      </c>
    </row>
    <row r="1528" spans="1:5" x14ac:dyDescent="0.25">
      <c r="A1528" s="91" t="s">
        <v>9321</v>
      </c>
      <c r="B1528" s="138">
        <v>12175.19</v>
      </c>
      <c r="C1528" s="138">
        <v>0</v>
      </c>
      <c r="D1528" s="138"/>
      <c r="E1528" s="138">
        <v>12175.19</v>
      </c>
    </row>
    <row r="1529" spans="1:5" x14ac:dyDescent="0.25">
      <c r="A1529" s="91" t="s">
        <v>9322</v>
      </c>
      <c r="B1529" s="138">
        <v>38.299999999999997</v>
      </c>
      <c r="C1529" s="138">
        <v>0</v>
      </c>
      <c r="D1529" s="138"/>
      <c r="E1529" s="138">
        <v>38.299999999999997</v>
      </c>
    </row>
    <row r="1530" spans="1:5" x14ac:dyDescent="0.25">
      <c r="A1530" s="91" t="s">
        <v>9323</v>
      </c>
      <c r="B1530" s="138">
        <v>1448.57</v>
      </c>
      <c r="C1530" s="138">
        <v>0</v>
      </c>
      <c r="D1530" s="138"/>
      <c r="E1530" s="138">
        <v>1448.57</v>
      </c>
    </row>
    <row r="1531" spans="1:5" x14ac:dyDescent="0.25">
      <c r="A1531" s="91" t="s">
        <v>9324</v>
      </c>
      <c r="B1531" s="138">
        <v>2160</v>
      </c>
      <c r="C1531" s="138">
        <v>0</v>
      </c>
      <c r="D1531" s="138"/>
      <c r="E1531" s="138">
        <v>2160</v>
      </c>
    </row>
    <row r="1532" spans="1:5" x14ac:dyDescent="0.25">
      <c r="A1532" s="91" t="s">
        <v>7765</v>
      </c>
      <c r="B1532" s="138">
        <v>33050</v>
      </c>
      <c r="C1532" s="138">
        <v>31184.81</v>
      </c>
      <c r="D1532" s="138">
        <v>54527</v>
      </c>
      <c r="E1532" s="138">
        <v>118761.81</v>
      </c>
    </row>
    <row r="1533" spans="1:5" x14ac:dyDescent="0.25">
      <c r="A1533" s="91" t="s">
        <v>7802</v>
      </c>
      <c r="B1533" s="138">
        <v>0</v>
      </c>
      <c r="C1533" s="138">
        <v>63.35</v>
      </c>
      <c r="D1533" s="138">
        <v>1200</v>
      </c>
      <c r="E1533" s="138">
        <v>1263.3499999999999</v>
      </c>
    </row>
    <row r="1534" spans="1:5" x14ac:dyDescent="0.25">
      <c r="A1534" s="91" t="s">
        <v>9325</v>
      </c>
      <c r="B1534" s="138">
        <v>5337.58</v>
      </c>
      <c r="C1534" s="138">
        <v>5036.3999999999996</v>
      </c>
      <c r="D1534" s="138"/>
      <c r="E1534" s="138">
        <v>10373.98</v>
      </c>
    </row>
    <row r="1535" spans="1:5" x14ac:dyDescent="0.25">
      <c r="A1535" s="91" t="s">
        <v>9326</v>
      </c>
      <c r="B1535" s="138">
        <v>0</v>
      </c>
      <c r="C1535" s="138">
        <v>10.23</v>
      </c>
      <c r="D1535" s="138"/>
      <c r="E1535" s="138">
        <v>10.23</v>
      </c>
    </row>
    <row r="1536" spans="1:5" x14ac:dyDescent="0.25">
      <c r="A1536" s="91" t="s">
        <v>9327</v>
      </c>
      <c r="B1536" s="138">
        <v>479.23</v>
      </c>
      <c r="C1536" s="138">
        <v>452.19</v>
      </c>
      <c r="D1536" s="138"/>
      <c r="E1536" s="138">
        <v>931.42000000000007</v>
      </c>
    </row>
    <row r="1537" spans="1:5" x14ac:dyDescent="0.25">
      <c r="A1537" s="91" t="s">
        <v>9328</v>
      </c>
      <c r="B1537" s="138">
        <v>0</v>
      </c>
      <c r="C1537" s="138">
        <v>0.92</v>
      </c>
      <c r="D1537" s="138"/>
      <c r="E1537" s="138">
        <v>0.92</v>
      </c>
    </row>
    <row r="1538" spans="1:5" x14ac:dyDescent="0.25">
      <c r="A1538" s="91" t="s">
        <v>9329</v>
      </c>
      <c r="B1538" s="138">
        <v>16.53</v>
      </c>
      <c r="C1538" s="138">
        <v>15.56</v>
      </c>
      <c r="D1538" s="138"/>
      <c r="E1538" s="138">
        <v>32.090000000000003</v>
      </c>
    </row>
    <row r="1539" spans="1:5" x14ac:dyDescent="0.25">
      <c r="A1539" s="91" t="s">
        <v>9330</v>
      </c>
      <c r="B1539" s="138">
        <v>0</v>
      </c>
      <c r="C1539" s="138">
        <v>0.03</v>
      </c>
      <c r="D1539" s="138"/>
      <c r="E1539" s="138">
        <v>0.03</v>
      </c>
    </row>
    <row r="1540" spans="1:5" x14ac:dyDescent="0.25">
      <c r="A1540" s="91" t="s">
        <v>9331</v>
      </c>
      <c r="B1540" s="138">
        <v>624.91</v>
      </c>
      <c r="C1540" s="138">
        <v>589.62</v>
      </c>
      <c r="D1540" s="138"/>
      <c r="E1540" s="138">
        <v>1214.53</v>
      </c>
    </row>
    <row r="1541" spans="1:5" x14ac:dyDescent="0.25">
      <c r="A1541" s="91" t="s">
        <v>9332</v>
      </c>
      <c r="B1541" s="138">
        <v>0</v>
      </c>
      <c r="C1541" s="138">
        <v>1.2</v>
      </c>
      <c r="D1541" s="138"/>
      <c r="E1541" s="138">
        <v>1.2</v>
      </c>
    </row>
    <row r="1542" spans="1:5" x14ac:dyDescent="0.25">
      <c r="A1542" s="91" t="s">
        <v>8016</v>
      </c>
      <c r="B1542" s="138">
        <v>1800</v>
      </c>
      <c r="C1542" s="138">
        <v>0</v>
      </c>
      <c r="D1542" s="138">
        <v>2000</v>
      </c>
      <c r="E1542" s="138">
        <v>3800</v>
      </c>
    </row>
    <row r="1543" spans="1:5" x14ac:dyDescent="0.25">
      <c r="A1543" s="91" t="s">
        <v>9333</v>
      </c>
      <c r="B1543" s="138">
        <v>173927</v>
      </c>
      <c r="C1543" s="138">
        <v>152329.76999999999</v>
      </c>
      <c r="D1543" s="138"/>
      <c r="E1543" s="138">
        <v>326256.77</v>
      </c>
    </row>
    <row r="1544" spans="1:5" x14ac:dyDescent="0.25">
      <c r="A1544" s="91" t="s">
        <v>7686</v>
      </c>
      <c r="B1544" s="138">
        <v>6000</v>
      </c>
      <c r="C1544" s="138">
        <v>1432.26</v>
      </c>
      <c r="D1544" s="138">
        <v>6060</v>
      </c>
      <c r="E1544" s="138">
        <v>13492.26</v>
      </c>
    </row>
    <row r="1545" spans="1:5" x14ac:dyDescent="0.25">
      <c r="A1545" s="91" t="s">
        <v>7766</v>
      </c>
      <c r="B1545" s="138">
        <v>142912</v>
      </c>
      <c r="C1545" s="138">
        <v>155405.46</v>
      </c>
      <c r="D1545" s="138">
        <v>144341.12</v>
      </c>
      <c r="E1545" s="138">
        <v>442658.57999999996</v>
      </c>
    </row>
    <row r="1546" spans="1:5" x14ac:dyDescent="0.25">
      <c r="A1546" s="91" t="s">
        <v>9334</v>
      </c>
      <c r="B1546" s="138">
        <v>52138.5</v>
      </c>
      <c r="C1546" s="138">
        <v>43400.54</v>
      </c>
      <c r="D1546" s="138"/>
      <c r="E1546" s="138">
        <v>95539.040000000008</v>
      </c>
    </row>
    <row r="1547" spans="1:5" x14ac:dyDescent="0.25">
      <c r="A1547" s="91" t="s">
        <v>9335</v>
      </c>
      <c r="B1547" s="138">
        <v>0</v>
      </c>
      <c r="C1547" s="138">
        <v>1955.85</v>
      </c>
      <c r="D1547" s="138"/>
      <c r="E1547" s="138">
        <v>1955.85</v>
      </c>
    </row>
    <row r="1548" spans="1:5" x14ac:dyDescent="0.25">
      <c r="A1548" s="91" t="s">
        <v>9336</v>
      </c>
      <c r="B1548" s="138">
        <v>4681.16</v>
      </c>
      <c r="C1548" s="138">
        <v>4471.95</v>
      </c>
      <c r="D1548" s="138"/>
      <c r="E1548" s="138">
        <v>9153.11</v>
      </c>
    </row>
    <row r="1549" spans="1:5" x14ac:dyDescent="0.25">
      <c r="A1549" s="91" t="s">
        <v>9337</v>
      </c>
      <c r="B1549" s="138">
        <v>46335.74</v>
      </c>
      <c r="C1549" s="138">
        <v>37235.760000000002</v>
      </c>
      <c r="D1549" s="138"/>
      <c r="E1549" s="138">
        <v>83571.5</v>
      </c>
    </row>
    <row r="1550" spans="1:5" x14ac:dyDescent="0.25">
      <c r="A1550" s="91" t="s">
        <v>9338</v>
      </c>
      <c r="B1550" s="138">
        <v>161.41999999999999</v>
      </c>
      <c r="C1550" s="138">
        <v>154.52000000000001</v>
      </c>
      <c r="D1550" s="138"/>
      <c r="E1550" s="138">
        <v>315.94</v>
      </c>
    </row>
    <row r="1551" spans="1:5" x14ac:dyDescent="0.25">
      <c r="A1551" s="91" t="s">
        <v>9339</v>
      </c>
      <c r="B1551" s="138">
        <v>6104.25</v>
      </c>
      <c r="C1551" s="138">
        <v>5845.75</v>
      </c>
      <c r="D1551" s="138"/>
      <c r="E1551" s="138">
        <v>11950</v>
      </c>
    </row>
    <row r="1552" spans="1:5" x14ac:dyDescent="0.25">
      <c r="A1552" s="91" t="s">
        <v>7969</v>
      </c>
      <c r="B1552" s="138">
        <v>303</v>
      </c>
      <c r="C1552" s="138">
        <v>0</v>
      </c>
      <c r="D1552" s="138">
        <v>303</v>
      </c>
      <c r="E1552" s="138">
        <v>606</v>
      </c>
    </row>
    <row r="1553" spans="1:5" x14ac:dyDescent="0.25">
      <c r="A1553" s="91" t="s">
        <v>8256</v>
      </c>
      <c r="B1553" s="138">
        <v>300</v>
      </c>
      <c r="C1553" s="138">
        <v>0</v>
      </c>
      <c r="D1553" s="138">
        <v>3000</v>
      </c>
      <c r="E1553" s="138">
        <v>3300</v>
      </c>
    </row>
    <row r="1554" spans="1:5" x14ac:dyDescent="0.25">
      <c r="A1554" s="91" t="s">
        <v>9340</v>
      </c>
      <c r="B1554" s="138">
        <v>1293861.2</v>
      </c>
      <c r="C1554" s="138">
        <v>1038998.91</v>
      </c>
      <c r="D1554" s="138"/>
      <c r="E1554" s="138">
        <v>2332860.11</v>
      </c>
    </row>
    <row r="1555" spans="1:5" x14ac:dyDescent="0.25">
      <c r="A1555" s="91" t="s">
        <v>7687</v>
      </c>
      <c r="B1555" s="138">
        <v>71000</v>
      </c>
      <c r="C1555" s="138">
        <v>50980.49</v>
      </c>
      <c r="D1555" s="138">
        <v>71710</v>
      </c>
      <c r="E1555" s="138">
        <v>193690.49</v>
      </c>
    </row>
    <row r="1556" spans="1:5" x14ac:dyDescent="0.25">
      <c r="A1556" s="91" t="s">
        <v>7767</v>
      </c>
      <c r="B1556" s="138">
        <v>300000</v>
      </c>
      <c r="C1556" s="138">
        <v>148597.1</v>
      </c>
      <c r="D1556" s="138">
        <v>375360</v>
      </c>
      <c r="E1556" s="138">
        <v>823957.1</v>
      </c>
    </row>
    <row r="1557" spans="1:5" x14ac:dyDescent="0.25">
      <c r="A1557" s="91" t="s">
        <v>9341</v>
      </c>
      <c r="B1557" s="138">
        <v>268875.06</v>
      </c>
      <c r="C1557" s="138">
        <v>198103.66</v>
      </c>
      <c r="D1557" s="138"/>
      <c r="E1557" s="138">
        <v>466978.72</v>
      </c>
    </row>
    <row r="1558" spans="1:5" x14ac:dyDescent="0.25">
      <c r="A1558" s="91" t="s">
        <v>9342</v>
      </c>
      <c r="B1558" s="138">
        <v>0</v>
      </c>
      <c r="C1558" s="138">
        <v>2653.09</v>
      </c>
      <c r="D1558" s="138"/>
      <c r="E1558" s="138">
        <v>2653.09</v>
      </c>
    </row>
    <row r="1559" spans="1:5" x14ac:dyDescent="0.25">
      <c r="A1559" s="91" t="s">
        <v>9343</v>
      </c>
      <c r="B1559" s="138">
        <v>24140.47</v>
      </c>
      <c r="C1559" s="138">
        <v>17775.650000000001</v>
      </c>
      <c r="D1559" s="138"/>
      <c r="E1559" s="138">
        <v>41916.120000000003</v>
      </c>
    </row>
    <row r="1560" spans="1:5" x14ac:dyDescent="0.25">
      <c r="A1560" s="91" t="s">
        <v>9344</v>
      </c>
      <c r="B1560" s="138">
        <v>325963.31</v>
      </c>
      <c r="C1560" s="138">
        <v>263562.84999999998</v>
      </c>
      <c r="D1560" s="138"/>
      <c r="E1560" s="138">
        <v>589526.15999999992</v>
      </c>
    </row>
    <row r="1561" spans="1:5" x14ac:dyDescent="0.25">
      <c r="A1561" s="91" t="s">
        <v>9345</v>
      </c>
      <c r="B1561" s="138">
        <v>832.45</v>
      </c>
      <c r="C1561" s="138">
        <v>616.44000000000005</v>
      </c>
      <c r="D1561" s="138"/>
      <c r="E1561" s="138">
        <v>1448.89</v>
      </c>
    </row>
    <row r="1562" spans="1:5" x14ac:dyDescent="0.25">
      <c r="A1562" s="91" t="s">
        <v>9346</v>
      </c>
      <c r="B1562" s="138">
        <v>31479.22</v>
      </c>
      <c r="C1562" s="138">
        <v>23419.11</v>
      </c>
      <c r="D1562" s="138"/>
      <c r="E1562" s="138">
        <v>54898.33</v>
      </c>
    </row>
    <row r="1563" spans="1:5" x14ac:dyDescent="0.25">
      <c r="A1563" s="91" t="s">
        <v>9347</v>
      </c>
      <c r="B1563" s="138">
        <v>4800</v>
      </c>
      <c r="C1563" s="138">
        <v>3490.88</v>
      </c>
      <c r="D1563" s="138"/>
      <c r="E1563" s="138">
        <v>8290.880000000001</v>
      </c>
    </row>
    <row r="1564" spans="1:5" x14ac:dyDescent="0.25">
      <c r="A1564" s="91" t="s">
        <v>7970</v>
      </c>
      <c r="B1564" s="138">
        <v>910</v>
      </c>
      <c r="C1564" s="138">
        <v>0</v>
      </c>
      <c r="D1564" s="138">
        <v>910</v>
      </c>
      <c r="E1564" s="138">
        <v>1820</v>
      </c>
    </row>
    <row r="1565" spans="1:5" x14ac:dyDescent="0.25">
      <c r="A1565" s="91" t="s">
        <v>8096</v>
      </c>
      <c r="B1565" s="138">
        <v>100</v>
      </c>
      <c r="C1565" s="138">
        <v>0</v>
      </c>
      <c r="D1565" s="138">
        <v>100</v>
      </c>
      <c r="E1565" s="138">
        <v>200</v>
      </c>
    </row>
    <row r="1566" spans="1:5" x14ac:dyDescent="0.25">
      <c r="A1566" s="91" t="s">
        <v>8257</v>
      </c>
      <c r="B1566" s="138">
        <v>1100</v>
      </c>
      <c r="C1566" s="138">
        <v>0</v>
      </c>
      <c r="D1566" s="138">
        <v>11000</v>
      </c>
      <c r="E1566" s="138">
        <v>12100</v>
      </c>
    </row>
    <row r="1567" spans="1:5" x14ac:dyDescent="0.25">
      <c r="A1567" s="91" t="s">
        <v>9348</v>
      </c>
      <c r="B1567" s="138">
        <v>173232.8</v>
      </c>
      <c r="C1567" s="138">
        <v>234855.07</v>
      </c>
      <c r="D1567" s="138"/>
      <c r="E1567" s="138">
        <v>408087.87</v>
      </c>
    </row>
    <row r="1568" spans="1:5" x14ac:dyDescent="0.25">
      <c r="A1568" s="91" t="s">
        <v>7688</v>
      </c>
      <c r="B1568" s="138">
        <v>35000</v>
      </c>
      <c r="C1568" s="138">
        <v>26138.93</v>
      </c>
      <c r="D1568" s="138">
        <v>35350</v>
      </c>
      <c r="E1568" s="138">
        <v>96488.93</v>
      </c>
    </row>
    <row r="1569" spans="1:5" x14ac:dyDescent="0.25">
      <c r="A1569" s="91" t="s">
        <v>7768</v>
      </c>
      <c r="B1569" s="138">
        <v>127000</v>
      </c>
      <c r="C1569" s="138">
        <v>113968.04</v>
      </c>
      <c r="D1569" s="138">
        <v>140330</v>
      </c>
      <c r="E1569" s="138">
        <v>381298.04</v>
      </c>
    </row>
    <row r="1570" spans="1:5" x14ac:dyDescent="0.25">
      <c r="A1570" s="91" t="s">
        <v>9349</v>
      </c>
      <c r="B1570" s="138">
        <v>54140.1</v>
      </c>
      <c r="C1570" s="138">
        <v>53934.69</v>
      </c>
      <c r="D1570" s="138"/>
      <c r="E1570" s="138">
        <v>108074.79000000001</v>
      </c>
    </row>
    <row r="1571" spans="1:5" x14ac:dyDescent="0.25">
      <c r="A1571" s="91" t="s">
        <v>9350</v>
      </c>
      <c r="B1571" s="138">
        <v>0</v>
      </c>
      <c r="C1571" s="138">
        <v>2542.1</v>
      </c>
      <c r="D1571" s="138"/>
      <c r="E1571" s="138">
        <v>2542.1</v>
      </c>
    </row>
    <row r="1572" spans="1:5" x14ac:dyDescent="0.25">
      <c r="A1572" s="91" t="s">
        <v>9351</v>
      </c>
      <c r="B1572" s="138">
        <v>4860.88</v>
      </c>
      <c r="C1572" s="138">
        <v>5407.81</v>
      </c>
      <c r="D1572" s="138"/>
      <c r="E1572" s="138">
        <v>10268.69</v>
      </c>
    </row>
    <row r="1573" spans="1:5" x14ac:dyDescent="0.25">
      <c r="A1573" s="91" t="s">
        <v>9352</v>
      </c>
      <c r="B1573" s="138">
        <v>51737.87</v>
      </c>
      <c r="C1573" s="138">
        <v>70593.36</v>
      </c>
      <c r="D1573" s="138"/>
      <c r="E1573" s="138">
        <v>122331.23000000001</v>
      </c>
    </row>
    <row r="1574" spans="1:5" x14ac:dyDescent="0.25">
      <c r="A1574" s="91" t="s">
        <v>9353</v>
      </c>
      <c r="B1574" s="138">
        <v>167.62</v>
      </c>
      <c r="C1574" s="138">
        <v>187.51</v>
      </c>
      <c r="D1574" s="138"/>
      <c r="E1574" s="138">
        <v>355.13</v>
      </c>
    </row>
    <row r="1575" spans="1:5" x14ac:dyDescent="0.25">
      <c r="A1575" s="91" t="s">
        <v>9354</v>
      </c>
      <c r="B1575" s="138">
        <v>6338.58</v>
      </c>
      <c r="C1575" s="138">
        <v>7089.84</v>
      </c>
      <c r="D1575" s="138"/>
      <c r="E1575" s="138">
        <v>13428.42</v>
      </c>
    </row>
    <row r="1576" spans="1:5" x14ac:dyDescent="0.25">
      <c r="A1576" s="91" t="s">
        <v>7971</v>
      </c>
      <c r="B1576" s="138">
        <v>303</v>
      </c>
      <c r="C1576" s="138">
        <v>0</v>
      </c>
      <c r="D1576" s="138">
        <v>303</v>
      </c>
      <c r="E1576" s="138">
        <v>606</v>
      </c>
    </row>
    <row r="1577" spans="1:5" x14ac:dyDescent="0.25">
      <c r="A1577" s="91" t="s">
        <v>8062</v>
      </c>
      <c r="B1577" s="138">
        <v>-3000</v>
      </c>
      <c r="C1577" s="138">
        <v>0</v>
      </c>
      <c r="D1577" s="138">
        <v>3000</v>
      </c>
      <c r="E1577" s="138">
        <v>0</v>
      </c>
    </row>
    <row r="1578" spans="1:5" x14ac:dyDescent="0.25">
      <c r="A1578" s="91" t="s">
        <v>8258</v>
      </c>
      <c r="B1578" s="138">
        <v>162.19999999999999</v>
      </c>
      <c r="C1578" s="138">
        <v>2.44</v>
      </c>
      <c r="D1578" s="138">
        <v>1600</v>
      </c>
      <c r="E1578" s="138">
        <v>1764.6399999999999</v>
      </c>
    </row>
    <row r="1579" spans="1:5" x14ac:dyDescent="0.25">
      <c r="A1579" s="91" t="s">
        <v>9355</v>
      </c>
      <c r="B1579" s="138">
        <v>321463</v>
      </c>
      <c r="C1579" s="138">
        <v>263015.28000000003</v>
      </c>
      <c r="D1579" s="138"/>
      <c r="E1579" s="138">
        <v>584478.28</v>
      </c>
    </row>
    <row r="1580" spans="1:5" x14ac:dyDescent="0.25">
      <c r="A1580" s="91" t="s">
        <v>7689</v>
      </c>
      <c r="B1580" s="138">
        <v>7600</v>
      </c>
      <c r="C1580" s="138">
        <v>6352.64</v>
      </c>
      <c r="D1580" s="138">
        <v>7676</v>
      </c>
      <c r="E1580" s="138">
        <v>21628.639999999999</v>
      </c>
    </row>
    <row r="1581" spans="1:5" x14ac:dyDescent="0.25">
      <c r="A1581" s="91" t="s">
        <v>7769</v>
      </c>
      <c r="B1581" s="138">
        <v>175000</v>
      </c>
      <c r="C1581" s="138">
        <v>81713.87</v>
      </c>
      <c r="D1581" s="138">
        <v>176750</v>
      </c>
      <c r="E1581" s="138">
        <v>433463.87</v>
      </c>
    </row>
    <row r="1582" spans="1:5" x14ac:dyDescent="0.25">
      <c r="A1582" s="91" t="s">
        <v>9356</v>
      </c>
      <c r="B1582" s="138">
        <v>81406.17</v>
      </c>
      <c r="C1582" s="138">
        <v>55653.2</v>
      </c>
      <c r="D1582" s="138"/>
      <c r="E1582" s="138">
        <v>137059.37</v>
      </c>
    </row>
    <row r="1583" spans="1:5" x14ac:dyDescent="0.25">
      <c r="A1583" s="91" t="s">
        <v>9357</v>
      </c>
      <c r="B1583" s="138">
        <v>7308.91</v>
      </c>
      <c r="C1583" s="138">
        <v>3762.44</v>
      </c>
      <c r="D1583" s="138"/>
      <c r="E1583" s="138">
        <v>11071.35</v>
      </c>
    </row>
    <row r="1584" spans="1:5" x14ac:dyDescent="0.25">
      <c r="A1584" s="91" t="s">
        <v>9358</v>
      </c>
      <c r="B1584" s="138">
        <v>39642.93</v>
      </c>
      <c r="C1584" s="138">
        <v>31708.560000000001</v>
      </c>
      <c r="D1584" s="138"/>
      <c r="E1584" s="138">
        <v>71351.490000000005</v>
      </c>
    </row>
    <row r="1585" spans="1:5" x14ac:dyDescent="0.25">
      <c r="A1585" s="91" t="s">
        <v>9359</v>
      </c>
      <c r="B1585" s="138">
        <v>252.03</v>
      </c>
      <c r="C1585" s="138">
        <v>175.61</v>
      </c>
      <c r="D1585" s="138"/>
      <c r="E1585" s="138">
        <v>427.64</v>
      </c>
    </row>
    <row r="1586" spans="1:5" x14ac:dyDescent="0.25">
      <c r="A1586" s="91" t="s">
        <v>9360</v>
      </c>
      <c r="B1586" s="138">
        <v>9530.83</v>
      </c>
      <c r="C1586" s="138">
        <v>6638.29</v>
      </c>
      <c r="D1586" s="138"/>
      <c r="E1586" s="138">
        <v>16169.119999999999</v>
      </c>
    </row>
    <row r="1587" spans="1:5" x14ac:dyDescent="0.25">
      <c r="A1587" s="91" t="s">
        <v>7972</v>
      </c>
      <c r="B1587" s="138">
        <v>600</v>
      </c>
      <c r="C1587" s="138">
        <v>0</v>
      </c>
      <c r="D1587" s="138">
        <v>600</v>
      </c>
      <c r="E1587" s="138">
        <v>1200</v>
      </c>
    </row>
    <row r="1588" spans="1:5" x14ac:dyDescent="0.25">
      <c r="A1588" s="91" t="s">
        <v>8259</v>
      </c>
      <c r="B1588" s="138">
        <v>220</v>
      </c>
      <c r="C1588" s="138">
        <v>0</v>
      </c>
      <c r="D1588" s="138">
        <v>2200</v>
      </c>
      <c r="E1588" s="138">
        <v>2420</v>
      </c>
    </row>
    <row r="1589" spans="1:5" x14ac:dyDescent="0.25">
      <c r="A1589" s="91" t="s">
        <v>7803</v>
      </c>
      <c r="B1589" s="138">
        <v>2000</v>
      </c>
      <c r="C1589" s="138">
        <v>2036.19</v>
      </c>
      <c r="D1589" s="138">
        <v>2000</v>
      </c>
      <c r="E1589" s="138">
        <v>6036.1900000000005</v>
      </c>
    </row>
    <row r="1590" spans="1:5" x14ac:dyDescent="0.25">
      <c r="A1590" s="91" t="s">
        <v>9361</v>
      </c>
      <c r="B1590" s="138">
        <v>35210.5</v>
      </c>
      <c r="C1590" s="138">
        <v>59892.62</v>
      </c>
      <c r="D1590" s="138"/>
      <c r="E1590" s="138">
        <v>95103.12</v>
      </c>
    </row>
    <row r="1591" spans="1:5" x14ac:dyDescent="0.25">
      <c r="A1591" s="91" t="s">
        <v>7859</v>
      </c>
      <c r="B1591" s="138">
        <v>14000</v>
      </c>
      <c r="C1591" s="138">
        <v>17631.5</v>
      </c>
      <c r="D1591" s="138">
        <v>14000</v>
      </c>
      <c r="E1591" s="138">
        <v>45631.5</v>
      </c>
    </row>
    <row r="1592" spans="1:5" x14ac:dyDescent="0.25">
      <c r="A1592" s="91" t="s">
        <v>7879</v>
      </c>
      <c r="B1592" s="138">
        <v>0</v>
      </c>
      <c r="C1592" s="138">
        <v>12188.16</v>
      </c>
      <c r="D1592" s="138"/>
      <c r="E1592" s="138">
        <v>12188.16</v>
      </c>
    </row>
    <row r="1593" spans="1:5" x14ac:dyDescent="0.25">
      <c r="A1593" s="91" t="s">
        <v>9362</v>
      </c>
      <c r="B1593" s="138">
        <v>323</v>
      </c>
      <c r="C1593" s="138">
        <v>328.84</v>
      </c>
      <c r="D1593" s="138"/>
      <c r="E1593" s="138">
        <v>651.83999999999992</v>
      </c>
    </row>
    <row r="1594" spans="1:5" x14ac:dyDescent="0.25">
      <c r="A1594" s="91" t="s">
        <v>9363</v>
      </c>
      <c r="B1594" s="138">
        <v>7288.57</v>
      </c>
      <c r="C1594" s="138">
        <v>14235.82</v>
      </c>
      <c r="D1594" s="138"/>
      <c r="E1594" s="138">
        <v>21524.39</v>
      </c>
    </row>
    <row r="1595" spans="1:5" x14ac:dyDescent="0.25">
      <c r="A1595" s="91" t="s">
        <v>9364</v>
      </c>
      <c r="B1595" s="138">
        <v>2183.0500000000002</v>
      </c>
      <c r="C1595" s="138">
        <v>4310.8599999999997</v>
      </c>
      <c r="D1595" s="138"/>
      <c r="E1595" s="138">
        <v>6493.91</v>
      </c>
    </row>
    <row r="1596" spans="1:5" x14ac:dyDescent="0.25">
      <c r="A1596" s="91" t="s">
        <v>9365</v>
      </c>
      <c r="B1596" s="138">
        <v>539.54999999999995</v>
      </c>
      <c r="C1596" s="138">
        <v>1037.6600000000001</v>
      </c>
      <c r="D1596" s="138"/>
      <c r="E1596" s="138">
        <v>1577.21</v>
      </c>
    </row>
    <row r="1597" spans="1:5" x14ac:dyDescent="0.25">
      <c r="A1597" s="91" t="s">
        <v>9366</v>
      </c>
      <c r="B1597" s="138">
        <v>16560.72</v>
      </c>
      <c r="C1597" s="138">
        <v>26446.560000000001</v>
      </c>
      <c r="D1597" s="138"/>
      <c r="E1597" s="138">
        <v>43007.28</v>
      </c>
    </row>
    <row r="1598" spans="1:5" x14ac:dyDescent="0.25">
      <c r="A1598" s="91" t="s">
        <v>9367</v>
      </c>
      <c r="B1598" s="138">
        <v>18.61</v>
      </c>
      <c r="C1598" s="138">
        <v>36.130000000000003</v>
      </c>
      <c r="D1598" s="138"/>
      <c r="E1598" s="138">
        <v>54.74</v>
      </c>
    </row>
    <row r="1599" spans="1:5" x14ac:dyDescent="0.25">
      <c r="A1599" s="91" t="s">
        <v>9368</v>
      </c>
      <c r="B1599" s="138">
        <v>968.29</v>
      </c>
      <c r="C1599" s="138">
        <v>1736.16</v>
      </c>
      <c r="D1599" s="138"/>
      <c r="E1599" s="138">
        <v>2704.45</v>
      </c>
    </row>
    <row r="1600" spans="1:5" x14ac:dyDescent="0.25">
      <c r="A1600" s="91" t="s">
        <v>7914</v>
      </c>
      <c r="B1600" s="138">
        <v>0</v>
      </c>
      <c r="C1600" s="138">
        <v>0</v>
      </c>
      <c r="D1600" s="138"/>
      <c r="E1600" s="138">
        <v>0</v>
      </c>
    </row>
    <row r="1601" spans="1:5" x14ac:dyDescent="0.25">
      <c r="A1601" s="91" t="s">
        <v>7973</v>
      </c>
      <c r="B1601" s="138">
        <v>3000</v>
      </c>
      <c r="C1601" s="138">
        <v>2052.56</v>
      </c>
      <c r="D1601" s="138">
        <v>3000</v>
      </c>
      <c r="E1601" s="138">
        <v>8052.5599999999995</v>
      </c>
    </row>
    <row r="1602" spans="1:5" x14ac:dyDescent="0.25">
      <c r="A1602" s="91" t="s">
        <v>8017</v>
      </c>
      <c r="B1602" s="138">
        <v>450</v>
      </c>
      <c r="C1602" s="138">
        <v>0</v>
      </c>
      <c r="D1602" s="138">
        <v>450</v>
      </c>
      <c r="E1602" s="138">
        <v>900</v>
      </c>
    </row>
    <row r="1603" spans="1:5" x14ac:dyDescent="0.25">
      <c r="A1603" s="91" t="s">
        <v>8033</v>
      </c>
      <c r="B1603" s="138">
        <v>350</v>
      </c>
      <c r="C1603" s="138">
        <v>0</v>
      </c>
      <c r="D1603" s="138">
        <v>350</v>
      </c>
      <c r="E1603" s="138">
        <v>700</v>
      </c>
    </row>
    <row r="1604" spans="1:5" x14ac:dyDescent="0.25">
      <c r="A1604" s="91" t="s">
        <v>8063</v>
      </c>
      <c r="B1604" s="138">
        <v>100</v>
      </c>
      <c r="C1604" s="138">
        <v>100</v>
      </c>
      <c r="D1604" s="138">
        <v>1600</v>
      </c>
      <c r="E1604" s="138">
        <v>1800</v>
      </c>
    </row>
    <row r="1605" spans="1:5" x14ac:dyDescent="0.25">
      <c r="A1605" s="91" t="s">
        <v>8260</v>
      </c>
      <c r="B1605" s="138">
        <v>62.7</v>
      </c>
      <c r="C1605" s="138">
        <v>14.66</v>
      </c>
      <c r="D1605" s="138">
        <v>495</v>
      </c>
      <c r="E1605" s="138">
        <v>572.36</v>
      </c>
    </row>
    <row r="1606" spans="1:5" x14ac:dyDescent="0.25">
      <c r="A1606" s="91" t="s">
        <v>8309</v>
      </c>
      <c r="B1606" s="138">
        <v>160</v>
      </c>
      <c r="C1606" s="138">
        <v>21.5</v>
      </c>
      <c r="D1606" s="138">
        <v>160</v>
      </c>
      <c r="E1606" s="138">
        <v>341.5</v>
      </c>
    </row>
    <row r="1607" spans="1:5" x14ac:dyDescent="0.25">
      <c r="A1607" s="91" t="s">
        <v>8381</v>
      </c>
      <c r="B1607" s="138">
        <v>2224</v>
      </c>
      <c r="C1607" s="138">
        <v>2176.2600000000002</v>
      </c>
      <c r="D1607" s="138">
        <v>2224</v>
      </c>
      <c r="E1607" s="138">
        <v>6624.26</v>
      </c>
    </row>
    <row r="1608" spans="1:5" x14ac:dyDescent="0.25">
      <c r="A1608" s="91" t="s">
        <v>9369</v>
      </c>
      <c r="B1608" s="138">
        <v>111022</v>
      </c>
      <c r="C1608" s="138">
        <v>92518.399999999994</v>
      </c>
      <c r="D1608" s="138"/>
      <c r="E1608" s="138">
        <v>203540.4</v>
      </c>
    </row>
    <row r="1609" spans="1:5" x14ac:dyDescent="0.25">
      <c r="A1609" s="91" t="s">
        <v>9370</v>
      </c>
      <c r="B1609" s="138">
        <v>22981.55</v>
      </c>
      <c r="C1609" s="138">
        <v>19151.3</v>
      </c>
      <c r="D1609" s="138"/>
      <c r="E1609" s="138">
        <v>42132.85</v>
      </c>
    </row>
    <row r="1610" spans="1:5" x14ac:dyDescent="0.25">
      <c r="A1610" s="91" t="s">
        <v>9371</v>
      </c>
      <c r="B1610" s="138">
        <v>6883.36</v>
      </c>
      <c r="C1610" s="138">
        <v>5738.37</v>
      </c>
      <c r="D1610" s="138"/>
      <c r="E1610" s="138">
        <v>12621.73</v>
      </c>
    </row>
    <row r="1611" spans="1:5" x14ac:dyDescent="0.25">
      <c r="A1611" s="91" t="s">
        <v>9372</v>
      </c>
      <c r="B1611" s="138">
        <v>1609.82</v>
      </c>
      <c r="C1611" s="138">
        <v>1342.03</v>
      </c>
      <c r="D1611" s="138"/>
      <c r="E1611" s="138">
        <v>2951.85</v>
      </c>
    </row>
    <row r="1612" spans="1:5" x14ac:dyDescent="0.25">
      <c r="A1612" s="91" t="s">
        <v>9373</v>
      </c>
      <c r="B1612" s="138">
        <v>23106.6</v>
      </c>
      <c r="C1612" s="138">
        <v>18866.36</v>
      </c>
      <c r="D1612" s="138"/>
      <c r="E1612" s="138">
        <v>41972.959999999999</v>
      </c>
    </row>
    <row r="1613" spans="1:5" x14ac:dyDescent="0.25">
      <c r="A1613" s="91" t="s">
        <v>9374</v>
      </c>
      <c r="B1613" s="138">
        <v>55.51</v>
      </c>
      <c r="C1613" s="138">
        <v>46.3</v>
      </c>
      <c r="D1613" s="138"/>
      <c r="E1613" s="138">
        <v>101.81</v>
      </c>
    </row>
    <row r="1614" spans="1:5" x14ac:dyDescent="0.25">
      <c r="A1614" s="91" t="s">
        <v>9375</v>
      </c>
      <c r="B1614" s="138">
        <v>2099.1999999999998</v>
      </c>
      <c r="C1614" s="138">
        <v>1749.3</v>
      </c>
      <c r="D1614" s="138"/>
      <c r="E1614" s="138">
        <v>3848.5</v>
      </c>
    </row>
    <row r="1615" spans="1:5" x14ac:dyDescent="0.25">
      <c r="A1615" s="91" t="s">
        <v>9376</v>
      </c>
      <c r="B1615" s="138">
        <v>2400</v>
      </c>
      <c r="C1615" s="138">
        <v>1800</v>
      </c>
      <c r="D1615" s="138"/>
      <c r="E1615" s="138">
        <v>4200</v>
      </c>
    </row>
    <row r="1616" spans="1:5" x14ac:dyDescent="0.25">
      <c r="A1616" s="91" t="s">
        <v>8261</v>
      </c>
      <c r="B1616" s="138">
        <v>60</v>
      </c>
      <c r="C1616" s="138">
        <v>0</v>
      </c>
      <c r="D1616" s="138">
        <v>600</v>
      </c>
      <c r="E1616" s="138">
        <v>660</v>
      </c>
    </row>
    <row r="1617" spans="1:5" x14ac:dyDescent="0.25">
      <c r="A1617" s="91" t="s">
        <v>7690</v>
      </c>
      <c r="B1617" s="138">
        <v>0</v>
      </c>
      <c r="C1617" s="138">
        <v>1373.6</v>
      </c>
      <c r="D1617" s="138">
        <v>2000</v>
      </c>
      <c r="E1617" s="138">
        <v>3373.6</v>
      </c>
    </row>
    <row r="1618" spans="1:5" x14ac:dyDescent="0.25">
      <c r="A1618" s="91" t="s">
        <v>9377</v>
      </c>
      <c r="B1618" s="138">
        <v>0</v>
      </c>
      <c r="C1618" s="138">
        <v>221.84</v>
      </c>
      <c r="D1618" s="138"/>
      <c r="E1618" s="138">
        <v>221.84</v>
      </c>
    </row>
    <row r="1619" spans="1:5" x14ac:dyDescent="0.25">
      <c r="A1619" s="91" t="s">
        <v>9378</v>
      </c>
      <c r="B1619" s="138">
        <v>0</v>
      </c>
      <c r="C1619" s="138">
        <v>19.920000000000002</v>
      </c>
      <c r="D1619" s="138"/>
      <c r="E1619" s="138">
        <v>19.920000000000002</v>
      </c>
    </row>
    <row r="1620" spans="1:5" x14ac:dyDescent="0.25">
      <c r="A1620" s="91" t="s">
        <v>9379</v>
      </c>
      <c r="B1620" s="138">
        <v>0</v>
      </c>
      <c r="C1620" s="138">
        <v>0.69</v>
      </c>
      <c r="D1620" s="138"/>
      <c r="E1620" s="138">
        <v>0.69</v>
      </c>
    </row>
    <row r="1621" spans="1:5" x14ac:dyDescent="0.25">
      <c r="A1621" s="91" t="s">
        <v>9380</v>
      </c>
      <c r="B1621" s="138">
        <v>0</v>
      </c>
      <c r="C1621" s="138">
        <v>25.97</v>
      </c>
      <c r="D1621" s="138"/>
      <c r="E1621" s="138">
        <v>25.97</v>
      </c>
    </row>
    <row r="1622" spans="1:5" x14ac:dyDescent="0.25">
      <c r="A1622" s="91" t="s">
        <v>7833</v>
      </c>
      <c r="B1622" s="138">
        <v>3000</v>
      </c>
      <c r="C1622" s="138">
        <v>0</v>
      </c>
      <c r="D1622" s="138">
        <v>3000</v>
      </c>
      <c r="E1622" s="138">
        <v>6000</v>
      </c>
    </row>
    <row r="1623" spans="1:5" x14ac:dyDescent="0.25">
      <c r="A1623" s="91" t="s">
        <v>9381</v>
      </c>
      <c r="B1623" s="138">
        <v>186</v>
      </c>
      <c r="C1623" s="138">
        <v>0</v>
      </c>
      <c r="D1623" s="138"/>
      <c r="E1623" s="138">
        <v>186</v>
      </c>
    </row>
    <row r="1624" spans="1:5" x14ac:dyDescent="0.25">
      <c r="A1624" s="91" t="s">
        <v>9382</v>
      </c>
      <c r="B1624" s="138">
        <v>43.5</v>
      </c>
      <c r="C1624" s="138">
        <v>0</v>
      </c>
      <c r="D1624" s="138"/>
      <c r="E1624" s="138">
        <v>43.5</v>
      </c>
    </row>
    <row r="1625" spans="1:5" x14ac:dyDescent="0.25">
      <c r="A1625" s="91" t="s">
        <v>9383</v>
      </c>
      <c r="B1625" s="138">
        <v>1.5</v>
      </c>
      <c r="C1625" s="138">
        <v>0</v>
      </c>
      <c r="D1625" s="138"/>
      <c r="E1625" s="138">
        <v>1.5</v>
      </c>
    </row>
    <row r="1626" spans="1:5" x14ac:dyDescent="0.25">
      <c r="A1626" s="91" t="s">
        <v>9384</v>
      </c>
      <c r="B1626" s="138">
        <v>56.72</v>
      </c>
      <c r="C1626" s="138">
        <v>0</v>
      </c>
      <c r="D1626" s="138"/>
      <c r="E1626" s="138">
        <v>56.72</v>
      </c>
    </row>
    <row r="1627" spans="1:5" x14ac:dyDescent="0.25">
      <c r="A1627" s="91" t="s">
        <v>7974</v>
      </c>
      <c r="B1627" s="138">
        <v>3000</v>
      </c>
      <c r="C1627" s="138">
        <v>0</v>
      </c>
      <c r="D1627" s="138">
        <v>3000</v>
      </c>
      <c r="E1627" s="138">
        <v>6000</v>
      </c>
    </row>
    <row r="1628" spans="1:5" x14ac:dyDescent="0.25">
      <c r="A1628" s="91" t="s">
        <v>7999</v>
      </c>
      <c r="B1628" s="138">
        <v>5000</v>
      </c>
      <c r="C1628" s="138">
        <v>0</v>
      </c>
      <c r="D1628" s="138">
        <v>5000</v>
      </c>
      <c r="E1628" s="138">
        <v>10000</v>
      </c>
    </row>
    <row r="1629" spans="1:5" x14ac:dyDescent="0.25">
      <c r="A1629" s="91" t="s">
        <v>8283</v>
      </c>
      <c r="B1629" s="138">
        <v>12000</v>
      </c>
      <c r="C1629" s="138">
        <v>0</v>
      </c>
      <c r="D1629" s="138">
        <v>12000</v>
      </c>
      <c r="E1629" s="138">
        <v>24000</v>
      </c>
    </row>
    <row r="1630" spans="1:5" x14ac:dyDescent="0.25">
      <c r="A1630" s="91" t="s">
        <v>9385</v>
      </c>
      <c r="B1630" s="138">
        <v>615758.4</v>
      </c>
      <c r="C1630" s="138">
        <v>505940.04</v>
      </c>
      <c r="D1630" s="138"/>
      <c r="E1630" s="138">
        <v>1121698.44</v>
      </c>
    </row>
    <row r="1631" spans="1:5" x14ac:dyDescent="0.25">
      <c r="A1631" s="91" t="s">
        <v>9386</v>
      </c>
      <c r="B1631" s="138">
        <v>137207</v>
      </c>
      <c r="C1631" s="138">
        <v>114005.68</v>
      </c>
      <c r="D1631" s="138"/>
      <c r="E1631" s="138">
        <v>251212.68</v>
      </c>
    </row>
    <row r="1632" spans="1:5" x14ac:dyDescent="0.25">
      <c r="A1632" s="91" t="s">
        <v>7691</v>
      </c>
      <c r="B1632" s="138">
        <v>148000</v>
      </c>
      <c r="C1632" s="138">
        <v>69534.53</v>
      </c>
      <c r="D1632" s="138">
        <v>148000</v>
      </c>
      <c r="E1632" s="138">
        <v>365534.53</v>
      </c>
    </row>
    <row r="1633" spans="1:5" x14ac:dyDescent="0.25">
      <c r="A1633" s="91" t="s">
        <v>7770</v>
      </c>
      <c r="B1633" s="138">
        <v>58317</v>
      </c>
      <c r="C1633" s="138">
        <v>36751.64</v>
      </c>
      <c r="D1633" s="138">
        <v>58317</v>
      </c>
      <c r="E1633" s="138">
        <v>153385.64000000001</v>
      </c>
    </row>
    <row r="1634" spans="1:5" x14ac:dyDescent="0.25">
      <c r="A1634" s="91" t="s">
        <v>7773</v>
      </c>
      <c r="B1634" s="138">
        <v>140000</v>
      </c>
      <c r="C1634" s="138">
        <v>33734.42</v>
      </c>
      <c r="D1634" s="138">
        <v>140000</v>
      </c>
      <c r="E1634" s="138">
        <v>313734.42</v>
      </c>
    </row>
    <row r="1635" spans="1:5" x14ac:dyDescent="0.25">
      <c r="A1635" s="91" t="s">
        <v>7778</v>
      </c>
      <c r="B1635" s="138">
        <v>110000</v>
      </c>
      <c r="C1635" s="138">
        <v>60426.97</v>
      </c>
      <c r="D1635" s="138">
        <v>110000</v>
      </c>
      <c r="E1635" s="138">
        <v>280426.96999999997</v>
      </c>
    </row>
    <row r="1636" spans="1:5" x14ac:dyDescent="0.25">
      <c r="A1636" s="91" t="s">
        <v>9387</v>
      </c>
      <c r="B1636" s="138">
        <v>54767.1</v>
      </c>
      <c r="C1636" s="138">
        <v>46739.13</v>
      </c>
      <c r="D1636" s="138"/>
      <c r="E1636" s="138">
        <v>101506.23</v>
      </c>
    </row>
    <row r="1637" spans="1:5" x14ac:dyDescent="0.25">
      <c r="A1637" s="91" t="s">
        <v>7834</v>
      </c>
      <c r="B1637" s="138">
        <v>726.23</v>
      </c>
      <c r="C1637" s="138">
        <v>726.23</v>
      </c>
      <c r="D1637" s="138">
        <v>726.23</v>
      </c>
      <c r="E1637" s="138">
        <v>2178.69</v>
      </c>
    </row>
    <row r="1638" spans="1:5" x14ac:dyDescent="0.25">
      <c r="A1638" s="91" t="s">
        <v>7880</v>
      </c>
      <c r="B1638" s="138">
        <v>3253.12</v>
      </c>
      <c r="C1638" s="138">
        <v>3253.12</v>
      </c>
      <c r="D1638" s="138">
        <v>3253.12</v>
      </c>
      <c r="E1638" s="138">
        <v>9759.36</v>
      </c>
    </row>
    <row r="1639" spans="1:5" x14ac:dyDescent="0.25">
      <c r="A1639" s="91" t="s">
        <v>9388</v>
      </c>
      <c r="B1639" s="138">
        <v>33320.199999999997</v>
      </c>
      <c r="C1639" s="138">
        <v>14462.95</v>
      </c>
      <c r="D1639" s="138"/>
      <c r="E1639" s="138">
        <v>47783.149999999994</v>
      </c>
    </row>
    <row r="1640" spans="1:5" x14ac:dyDescent="0.25">
      <c r="A1640" s="91" t="s">
        <v>9389</v>
      </c>
      <c r="B1640" s="138">
        <v>145570.99</v>
      </c>
      <c r="C1640" s="138">
        <v>83491.679999999993</v>
      </c>
      <c r="D1640" s="138"/>
      <c r="E1640" s="138">
        <v>229062.66999999998</v>
      </c>
    </row>
    <row r="1641" spans="1:5" x14ac:dyDescent="0.25">
      <c r="A1641" s="91" t="s">
        <v>9390</v>
      </c>
      <c r="B1641" s="138">
        <v>32367.37</v>
      </c>
      <c r="C1641" s="138">
        <v>50471.93</v>
      </c>
      <c r="D1641" s="138"/>
      <c r="E1641" s="138">
        <v>82839.3</v>
      </c>
    </row>
    <row r="1642" spans="1:5" x14ac:dyDescent="0.25">
      <c r="A1642" s="91" t="s">
        <v>9391</v>
      </c>
      <c r="B1642" s="138">
        <v>0</v>
      </c>
      <c r="C1642" s="138">
        <v>1037.48</v>
      </c>
      <c r="D1642" s="138"/>
      <c r="E1642" s="138">
        <v>1037.48</v>
      </c>
    </row>
    <row r="1643" spans="1:5" x14ac:dyDescent="0.25">
      <c r="A1643" s="91" t="s">
        <v>9392</v>
      </c>
      <c r="B1643" s="138">
        <v>9694.57</v>
      </c>
      <c r="C1643" s="138">
        <v>15249.59</v>
      </c>
      <c r="D1643" s="138"/>
      <c r="E1643" s="138">
        <v>24944.16</v>
      </c>
    </row>
    <row r="1644" spans="1:5" x14ac:dyDescent="0.25">
      <c r="A1644" s="91" t="s">
        <v>9393</v>
      </c>
      <c r="B1644" s="138">
        <v>2991.6</v>
      </c>
      <c r="C1644" s="138">
        <v>1541.19</v>
      </c>
      <c r="D1644" s="138"/>
      <c r="E1644" s="138">
        <v>4532.79</v>
      </c>
    </row>
    <row r="1645" spans="1:5" x14ac:dyDescent="0.25">
      <c r="A1645" s="91" t="s">
        <v>9394</v>
      </c>
      <c r="B1645" s="138">
        <v>15337.11</v>
      </c>
      <c r="C1645" s="138">
        <v>11044.51</v>
      </c>
      <c r="D1645" s="138"/>
      <c r="E1645" s="138">
        <v>26381.620000000003</v>
      </c>
    </row>
    <row r="1646" spans="1:5" x14ac:dyDescent="0.25">
      <c r="A1646" s="91" t="s">
        <v>9395</v>
      </c>
      <c r="B1646" s="138">
        <v>0</v>
      </c>
      <c r="C1646" s="138">
        <v>941.28</v>
      </c>
      <c r="D1646" s="138"/>
      <c r="E1646" s="138">
        <v>941.28</v>
      </c>
    </row>
    <row r="1647" spans="1:5" x14ac:dyDescent="0.25">
      <c r="A1647" s="91" t="s">
        <v>9396</v>
      </c>
      <c r="B1647" s="138">
        <v>149763.62</v>
      </c>
      <c r="C1647" s="138">
        <v>120142.95</v>
      </c>
      <c r="D1647" s="138"/>
      <c r="E1647" s="138">
        <v>269906.57</v>
      </c>
    </row>
    <row r="1648" spans="1:5" x14ac:dyDescent="0.25">
      <c r="A1648" s="91" t="s">
        <v>9397</v>
      </c>
      <c r="B1648" s="138">
        <v>103.16</v>
      </c>
      <c r="C1648" s="138">
        <v>53.05</v>
      </c>
      <c r="D1648" s="138"/>
      <c r="E1648" s="138">
        <v>156.20999999999998</v>
      </c>
    </row>
    <row r="1649" spans="1:5" x14ac:dyDescent="0.25">
      <c r="A1649" s="91" t="s">
        <v>9398</v>
      </c>
      <c r="B1649" s="138">
        <v>528.86</v>
      </c>
      <c r="C1649" s="138">
        <v>381.9</v>
      </c>
      <c r="D1649" s="138"/>
      <c r="E1649" s="138">
        <v>910.76</v>
      </c>
    </row>
    <row r="1650" spans="1:5" x14ac:dyDescent="0.25">
      <c r="A1650" s="91" t="s">
        <v>9399</v>
      </c>
      <c r="B1650" s="138">
        <v>3901.04</v>
      </c>
      <c r="C1650" s="138">
        <v>2009.31</v>
      </c>
      <c r="D1650" s="138"/>
      <c r="E1650" s="138">
        <v>5910.35</v>
      </c>
    </row>
    <row r="1651" spans="1:5" x14ac:dyDescent="0.25">
      <c r="A1651" s="91" t="s">
        <v>9400</v>
      </c>
      <c r="B1651" s="138">
        <v>19999.61</v>
      </c>
      <c r="C1651" s="138">
        <v>14463.53</v>
      </c>
      <c r="D1651" s="138"/>
      <c r="E1651" s="138">
        <v>34463.14</v>
      </c>
    </row>
    <row r="1652" spans="1:5" x14ac:dyDescent="0.25">
      <c r="A1652" s="91" t="s">
        <v>9401</v>
      </c>
      <c r="B1652" s="138">
        <v>7200</v>
      </c>
      <c r="C1652" s="138">
        <v>4723.54</v>
      </c>
      <c r="D1652" s="138"/>
      <c r="E1652" s="138">
        <v>11923.54</v>
      </c>
    </row>
    <row r="1653" spans="1:5" x14ac:dyDescent="0.25">
      <c r="A1653" s="91" t="s">
        <v>7975</v>
      </c>
      <c r="B1653" s="138">
        <v>40</v>
      </c>
      <c r="C1653" s="138">
        <v>0</v>
      </c>
      <c r="D1653" s="138">
        <v>40</v>
      </c>
      <c r="E1653" s="138">
        <v>80</v>
      </c>
    </row>
    <row r="1654" spans="1:5" x14ac:dyDescent="0.25">
      <c r="A1654" s="91" t="s">
        <v>8262</v>
      </c>
      <c r="B1654" s="138">
        <v>20.65</v>
      </c>
      <c r="C1654" s="138">
        <v>282.23</v>
      </c>
      <c r="D1654" s="138">
        <v>20.65</v>
      </c>
      <c r="E1654" s="138">
        <v>323.52999999999997</v>
      </c>
    </row>
    <row r="1655" spans="1:5" x14ac:dyDescent="0.25">
      <c r="A1655" s="91" t="s">
        <v>7881</v>
      </c>
      <c r="B1655" s="138">
        <v>71000</v>
      </c>
      <c r="C1655" s="138">
        <v>119337.5</v>
      </c>
      <c r="D1655" s="138">
        <v>155075</v>
      </c>
      <c r="E1655" s="138">
        <v>345412.5</v>
      </c>
    </row>
    <row r="1656" spans="1:5" x14ac:dyDescent="0.25">
      <c r="A1656" s="91" t="s">
        <v>9402</v>
      </c>
      <c r="B1656" s="138">
        <v>0</v>
      </c>
      <c r="C1656" s="138">
        <v>254.37</v>
      </c>
      <c r="D1656" s="138"/>
      <c r="E1656" s="138">
        <v>254.37</v>
      </c>
    </row>
    <row r="1657" spans="1:5" x14ac:dyDescent="0.25">
      <c r="A1657" s="91" t="s">
        <v>9403</v>
      </c>
      <c r="B1657" s="138">
        <v>0</v>
      </c>
      <c r="C1657" s="138">
        <v>8306.14</v>
      </c>
      <c r="D1657" s="138"/>
      <c r="E1657" s="138">
        <v>8306.14</v>
      </c>
    </row>
    <row r="1658" spans="1:5" x14ac:dyDescent="0.25">
      <c r="A1658" s="91" t="s">
        <v>9404</v>
      </c>
      <c r="B1658" s="138">
        <v>4402</v>
      </c>
      <c r="C1658" s="138">
        <v>6840.95</v>
      </c>
      <c r="D1658" s="138"/>
      <c r="E1658" s="138">
        <v>11242.95</v>
      </c>
    </row>
    <row r="1659" spans="1:5" x14ac:dyDescent="0.25">
      <c r="A1659" s="91" t="s">
        <v>9405</v>
      </c>
      <c r="B1659" s="138">
        <v>1029.5</v>
      </c>
      <c r="C1659" s="138">
        <v>1730.45</v>
      </c>
      <c r="D1659" s="138"/>
      <c r="E1659" s="138">
        <v>2759.95</v>
      </c>
    </row>
    <row r="1660" spans="1:5" x14ac:dyDescent="0.25">
      <c r="A1660" s="91" t="s">
        <v>9406</v>
      </c>
      <c r="B1660" s="138">
        <v>0</v>
      </c>
      <c r="C1660" s="138">
        <v>144.68</v>
      </c>
      <c r="D1660" s="138"/>
      <c r="E1660" s="138">
        <v>144.68</v>
      </c>
    </row>
    <row r="1661" spans="1:5" x14ac:dyDescent="0.25">
      <c r="A1661" s="91" t="s">
        <v>9407</v>
      </c>
      <c r="B1661" s="138">
        <v>35.5</v>
      </c>
      <c r="C1661" s="138">
        <v>59.75</v>
      </c>
      <c r="D1661" s="138"/>
      <c r="E1661" s="138">
        <v>95.25</v>
      </c>
    </row>
    <row r="1662" spans="1:5" x14ac:dyDescent="0.25">
      <c r="A1662" s="91" t="s">
        <v>9408</v>
      </c>
      <c r="B1662" s="138">
        <v>1342.47</v>
      </c>
      <c r="C1662" s="138">
        <v>2256.4499999999998</v>
      </c>
      <c r="D1662" s="138"/>
      <c r="E1662" s="138">
        <v>3598.92</v>
      </c>
    </row>
    <row r="1663" spans="1:5" x14ac:dyDescent="0.25">
      <c r="A1663" s="91" t="s">
        <v>8263</v>
      </c>
      <c r="B1663" s="138">
        <v>200</v>
      </c>
      <c r="C1663" s="138">
        <v>53.14</v>
      </c>
      <c r="D1663" s="138">
        <v>200</v>
      </c>
      <c r="E1663" s="138">
        <v>453.14</v>
      </c>
    </row>
    <row r="1664" spans="1:5" x14ac:dyDescent="0.25">
      <c r="A1664" s="91" t="s">
        <v>7845</v>
      </c>
      <c r="B1664" s="138">
        <v>1000</v>
      </c>
      <c r="C1664" s="138">
        <v>0</v>
      </c>
      <c r="D1664" s="138">
        <v>1000</v>
      </c>
      <c r="E1664" s="138">
        <v>2000</v>
      </c>
    </row>
    <row r="1665" spans="1:5" x14ac:dyDescent="0.25">
      <c r="A1665" s="91" t="s">
        <v>9409</v>
      </c>
      <c r="B1665" s="138">
        <v>18.91</v>
      </c>
      <c r="C1665" s="138">
        <v>0</v>
      </c>
      <c r="D1665" s="138"/>
      <c r="E1665" s="138">
        <v>18.91</v>
      </c>
    </row>
    <row r="1666" spans="1:5" x14ac:dyDescent="0.25">
      <c r="A1666" s="91" t="s">
        <v>9410</v>
      </c>
      <c r="B1666" s="138">
        <v>92149</v>
      </c>
      <c r="C1666" s="138">
        <v>75394.710000000006</v>
      </c>
      <c r="D1666" s="138"/>
      <c r="E1666" s="138">
        <v>167543.71000000002</v>
      </c>
    </row>
    <row r="1667" spans="1:5" x14ac:dyDescent="0.25">
      <c r="A1667" s="91" t="s">
        <v>9411</v>
      </c>
      <c r="B1667" s="138">
        <v>52849</v>
      </c>
      <c r="C1667" s="138">
        <v>31659.599999999999</v>
      </c>
      <c r="D1667" s="138"/>
      <c r="E1667" s="138">
        <v>84508.6</v>
      </c>
    </row>
    <row r="1668" spans="1:5" x14ac:dyDescent="0.25">
      <c r="A1668" s="91" t="s">
        <v>7835</v>
      </c>
      <c r="B1668" s="138">
        <v>0</v>
      </c>
      <c r="C1668" s="138">
        <v>20.88</v>
      </c>
      <c r="D1668" s="138">
        <v>0</v>
      </c>
      <c r="E1668" s="138">
        <v>20.88</v>
      </c>
    </row>
    <row r="1669" spans="1:5" x14ac:dyDescent="0.25">
      <c r="A1669" s="91" t="s">
        <v>9412</v>
      </c>
      <c r="B1669" s="138">
        <v>14882.06</v>
      </c>
      <c r="C1669" s="138">
        <v>12176.28</v>
      </c>
      <c r="D1669" s="138"/>
      <c r="E1669" s="138">
        <v>27058.34</v>
      </c>
    </row>
    <row r="1670" spans="1:5" x14ac:dyDescent="0.25">
      <c r="A1670" s="91" t="s">
        <v>9413</v>
      </c>
      <c r="B1670" s="138">
        <v>10939.74</v>
      </c>
      <c r="C1670" s="138">
        <v>6187.58</v>
      </c>
      <c r="D1670" s="138"/>
      <c r="E1670" s="138">
        <v>17127.32</v>
      </c>
    </row>
    <row r="1671" spans="1:5" x14ac:dyDescent="0.25">
      <c r="A1671" s="91" t="s">
        <v>9414</v>
      </c>
      <c r="B1671" s="138">
        <v>3276.64</v>
      </c>
      <c r="C1671" s="138">
        <v>1967.04</v>
      </c>
      <c r="D1671" s="138"/>
      <c r="E1671" s="138">
        <v>5243.68</v>
      </c>
    </row>
    <row r="1672" spans="1:5" x14ac:dyDescent="0.25">
      <c r="A1672" s="91" t="s">
        <v>9415</v>
      </c>
      <c r="B1672" s="138">
        <v>2102.4699999999998</v>
      </c>
      <c r="C1672" s="138">
        <v>1553.97</v>
      </c>
      <c r="D1672" s="138"/>
      <c r="E1672" s="138">
        <v>3656.4399999999996</v>
      </c>
    </row>
    <row r="1673" spans="1:5" x14ac:dyDescent="0.25">
      <c r="A1673" s="91" t="s">
        <v>9416</v>
      </c>
      <c r="B1673" s="138">
        <v>31999.74</v>
      </c>
      <c r="C1673" s="138">
        <v>23747.01</v>
      </c>
      <c r="D1673" s="138"/>
      <c r="E1673" s="138">
        <v>55746.75</v>
      </c>
    </row>
    <row r="1674" spans="1:5" x14ac:dyDescent="0.25">
      <c r="A1674" s="91" t="s">
        <v>9417</v>
      </c>
      <c r="B1674" s="138">
        <v>72.489999999999995</v>
      </c>
      <c r="C1674" s="138">
        <v>53.53</v>
      </c>
      <c r="D1674" s="138"/>
      <c r="E1674" s="138">
        <v>126.02</v>
      </c>
    </row>
    <row r="1675" spans="1:5" x14ac:dyDescent="0.25">
      <c r="A1675" s="91" t="s">
        <v>9418</v>
      </c>
      <c r="B1675" s="138">
        <v>2741.62</v>
      </c>
      <c r="C1675" s="138">
        <v>2026.72</v>
      </c>
      <c r="D1675" s="138"/>
      <c r="E1675" s="138">
        <v>4768.34</v>
      </c>
    </row>
    <row r="1676" spans="1:5" x14ac:dyDescent="0.25">
      <c r="A1676" s="91" t="s">
        <v>9419</v>
      </c>
      <c r="B1676" s="138">
        <v>4800</v>
      </c>
      <c r="C1676" s="138">
        <v>3145.44</v>
      </c>
      <c r="D1676" s="138"/>
      <c r="E1676" s="138">
        <v>7945.4400000000005</v>
      </c>
    </row>
    <row r="1677" spans="1:5" x14ac:dyDescent="0.25">
      <c r="A1677" s="91" t="s">
        <v>7976</v>
      </c>
      <c r="B1677" s="138">
        <v>600</v>
      </c>
      <c r="C1677" s="138">
        <v>0</v>
      </c>
      <c r="D1677" s="138">
        <v>600</v>
      </c>
      <c r="E1677" s="138">
        <v>1200</v>
      </c>
    </row>
    <row r="1678" spans="1:5" x14ac:dyDescent="0.25">
      <c r="A1678" s="91" t="s">
        <v>8064</v>
      </c>
      <c r="B1678" s="138">
        <v>0</v>
      </c>
      <c r="C1678" s="138">
        <v>0</v>
      </c>
      <c r="D1678" s="138">
        <v>500</v>
      </c>
      <c r="E1678" s="138">
        <v>500</v>
      </c>
    </row>
    <row r="1679" spans="1:5" x14ac:dyDescent="0.25">
      <c r="A1679" s="91" t="s">
        <v>8264</v>
      </c>
      <c r="B1679" s="138">
        <v>387.69</v>
      </c>
      <c r="C1679" s="138">
        <v>97.43</v>
      </c>
      <c r="D1679" s="138">
        <v>3000</v>
      </c>
      <c r="E1679" s="138">
        <v>3485.12</v>
      </c>
    </row>
    <row r="1680" spans="1:5" x14ac:dyDescent="0.25">
      <c r="A1680" s="91" t="s">
        <v>8018</v>
      </c>
      <c r="B1680" s="138">
        <v>90000</v>
      </c>
      <c r="C1680" s="138">
        <v>0</v>
      </c>
      <c r="D1680" s="138"/>
      <c r="E1680" s="138">
        <v>90000</v>
      </c>
    </row>
    <row r="1681" spans="1:5" x14ac:dyDescent="0.25">
      <c r="A1681" s="91" t="s">
        <v>8065</v>
      </c>
      <c r="B1681" s="138">
        <v>5000</v>
      </c>
      <c r="C1681" s="138">
        <v>0</v>
      </c>
      <c r="D1681" s="138"/>
      <c r="E1681" s="138">
        <v>5000</v>
      </c>
    </row>
    <row r="1682" spans="1:5" x14ac:dyDescent="0.25">
      <c r="A1682" s="91" t="s">
        <v>9420</v>
      </c>
      <c r="B1682" s="138">
        <v>172303</v>
      </c>
      <c r="C1682" s="138">
        <v>143585.9</v>
      </c>
      <c r="D1682" s="138"/>
      <c r="E1682" s="138">
        <v>315888.90000000002</v>
      </c>
    </row>
    <row r="1683" spans="1:5" x14ac:dyDescent="0.25">
      <c r="A1683" s="91" t="s">
        <v>9421</v>
      </c>
      <c r="B1683" s="138">
        <v>71880</v>
      </c>
      <c r="C1683" s="138">
        <v>59900</v>
      </c>
      <c r="D1683" s="138"/>
      <c r="E1683" s="138">
        <v>131780</v>
      </c>
    </row>
    <row r="1684" spans="1:5" x14ac:dyDescent="0.25">
      <c r="A1684" s="91" t="s">
        <v>7836</v>
      </c>
      <c r="B1684" s="138">
        <v>0</v>
      </c>
      <c r="C1684" s="138">
        <v>13.02</v>
      </c>
      <c r="D1684" s="138">
        <v>0</v>
      </c>
      <c r="E1684" s="138">
        <v>13.02</v>
      </c>
    </row>
    <row r="1685" spans="1:5" x14ac:dyDescent="0.25">
      <c r="A1685" s="91" t="s">
        <v>7882</v>
      </c>
      <c r="B1685" s="138">
        <v>49000</v>
      </c>
      <c r="C1685" s="138">
        <v>32130</v>
      </c>
      <c r="D1685" s="138">
        <v>49000</v>
      </c>
      <c r="E1685" s="138">
        <v>130130</v>
      </c>
    </row>
    <row r="1686" spans="1:5" x14ac:dyDescent="0.25">
      <c r="A1686" s="91" t="s">
        <v>9422</v>
      </c>
      <c r="B1686" s="138">
        <v>27826.93</v>
      </c>
      <c r="C1686" s="138">
        <v>23189.1</v>
      </c>
      <c r="D1686" s="138"/>
      <c r="E1686" s="138">
        <v>51016.03</v>
      </c>
    </row>
    <row r="1687" spans="1:5" x14ac:dyDescent="0.25">
      <c r="A1687" s="91" t="s">
        <v>9423</v>
      </c>
      <c r="B1687" s="138">
        <v>14879.16</v>
      </c>
      <c r="C1687" s="138">
        <v>12399.3</v>
      </c>
      <c r="D1687" s="138"/>
      <c r="E1687" s="138">
        <v>27278.46</v>
      </c>
    </row>
    <row r="1688" spans="1:5" x14ac:dyDescent="0.25">
      <c r="A1688" s="91" t="s">
        <v>9424</v>
      </c>
      <c r="B1688" s="138">
        <v>7494.56</v>
      </c>
      <c r="C1688" s="138">
        <v>3717.6</v>
      </c>
      <c r="D1688" s="138"/>
      <c r="E1688" s="138">
        <v>11212.16</v>
      </c>
    </row>
    <row r="1689" spans="1:5" x14ac:dyDescent="0.25">
      <c r="A1689" s="91" t="s">
        <v>9425</v>
      </c>
      <c r="B1689" s="138">
        <v>4251.1499999999996</v>
      </c>
      <c r="C1689" s="138">
        <v>3403.46</v>
      </c>
      <c r="D1689" s="138"/>
      <c r="E1689" s="138">
        <v>7654.61</v>
      </c>
    </row>
    <row r="1690" spans="1:5" x14ac:dyDescent="0.25">
      <c r="A1690" s="91" t="s">
        <v>9426</v>
      </c>
      <c r="B1690" s="138">
        <v>46213.2</v>
      </c>
      <c r="C1690" s="138">
        <v>37732.720000000001</v>
      </c>
      <c r="D1690" s="138"/>
      <c r="E1690" s="138">
        <v>83945.919999999998</v>
      </c>
    </row>
    <row r="1691" spans="1:5" x14ac:dyDescent="0.25">
      <c r="A1691" s="91" t="s">
        <v>9427</v>
      </c>
      <c r="B1691" s="138">
        <v>146.59</v>
      </c>
      <c r="C1691" s="138">
        <v>117.49</v>
      </c>
      <c r="D1691" s="138"/>
      <c r="E1691" s="138">
        <v>264.08</v>
      </c>
    </row>
    <row r="1692" spans="1:5" x14ac:dyDescent="0.25">
      <c r="A1692" s="91" t="s">
        <v>9428</v>
      </c>
      <c r="B1692" s="138">
        <v>5543.51</v>
      </c>
      <c r="C1692" s="138">
        <v>4455.25</v>
      </c>
      <c r="D1692" s="138"/>
      <c r="E1692" s="138">
        <v>9998.76</v>
      </c>
    </row>
    <row r="1693" spans="1:5" x14ac:dyDescent="0.25">
      <c r="A1693" s="91" t="s">
        <v>9429</v>
      </c>
      <c r="B1693" s="138">
        <v>2400</v>
      </c>
      <c r="C1693" s="138">
        <v>3600</v>
      </c>
      <c r="D1693" s="138"/>
      <c r="E1693" s="138">
        <v>6000</v>
      </c>
    </row>
    <row r="1694" spans="1:5" x14ac:dyDescent="0.25">
      <c r="A1694" s="91" t="s">
        <v>7977</v>
      </c>
      <c r="B1694" s="138">
        <v>1800</v>
      </c>
      <c r="C1694" s="138">
        <v>0</v>
      </c>
      <c r="D1694" s="138">
        <v>1800</v>
      </c>
      <c r="E1694" s="138">
        <v>3600</v>
      </c>
    </row>
    <row r="1695" spans="1:5" x14ac:dyDescent="0.25">
      <c r="A1695" s="91" t="s">
        <v>8000</v>
      </c>
      <c r="B1695" s="138">
        <v>0</v>
      </c>
      <c r="C1695" s="138">
        <v>200</v>
      </c>
      <c r="D1695" s="138">
        <v>0</v>
      </c>
      <c r="E1695" s="138">
        <v>200</v>
      </c>
    </row>
    <row r="1696" spans="1:5" x14ac:dyDescent="0.25">
      <c r="A1696" s="91" t="s">
        <v>8019</v>
      </c>
      <c r="B1696" s="138">
        <v>200</v>
      </c>
      <c r="C1696" s="138">
        <v>0</v>
      </c>
      <c r="D1696" s="138">
        <v>200</v>
      </c>
      <c r="E1696" s="138">
        <v>400</v>
      </c>
    </row>
    <row r="1697" spans="1:5" x14ac:dyDescent="0.25">
      <c r="A1697" s="91" t="s">
        <v>8066</v>
      </c>
      <c r="B1697" s="138">
        <v>565</v>
      </c>
      <c r="C1697" s="138">
        <v>565</v>
      </c>
      <c r="D1697" s="138">
        <v>6000</v>
      </c>
      <c r="E1697" s="138">
        <v>7130</v>
      </c>
    </row>
    <row r="1698" spans="1:5" x14ac:dyDescent="0.25">
      <c r="A1698" s="91" t="s">
        <v>8097</v>
      </c>
      <c r="B1698" s="138">
        <v>300</v>
      </c>
      <c r="C1698" s="138">
        <v>300</v>
      </c>
      <c r="D1698" s="138">
        <v>300</v>
      </c>
      <c r="E1698" s="138">
        <v>900</v>
      </c>
    </row>
    <row r="1699" spans="1:5" x14ac:dyDescent="0.25">
      <c r="A1699" s="91" t="s">
        <v>8115</v>
      </c>
      <c r="B1699" s="138">
        <v>119651</v>
      </c>
      <c r="C1699" s="138">
        <v>117067</v>
      </c>
      <c r="D1699" s="138">
        <v>119651</v>
      </c>
      <c r="E1699" s="138">
        <v>356369</v>
      </c>
    </row>
    <row r="1700" spans="1:5" x14ac:dyDescent="0.25">
      <c r="A1700" s="91" t="s">
        <v>8265</v>
      </c>
      <c r="B1700" s="138">
        <v>500</v>
      </c>
      <c r="C1700" s="138">
        <v>71.19</v>
      </c>
      <c r="D1700" s="138">
        <v>500</v>
      </c>
      <c r="E1700" s="138">
        <v>1071.19</v>
      </c>
    </row>
    <row r="1701" spans="1:5" x14ac:dyDescent="0.25">
      <c r="A1701" s="91" t="s">
        <v>9430</v>
      </c>
      <c r="B1701" s="138">
        <v>31764</v>
      </c>
      <c r="C1701" s="138">
        <v>23187.040000000001</v>
      </c>
      <c r="D1701" s="138"/>
      <c r="E1701" s="138">
        <v>54951.040000000001</v>
      </c>
    </row>
    <row r="1702" spans="1:5" x14ac:dyDescent="0.25">
      <c r="A1702" s="91" t="s">
        <v>9431</v>
      </c>
      <c r="B1702" s="138">
        <v>111022</v>
      </c>
      <c r="C1702" s="138">
        <v>92518.399999999994</v>
      </c>
      <c r="D1702" s="138"/>
      <c r="E1702" s="138">
        <v>203540.4</v>
      </c>
    </row>
    <row r="1703" spans="1:5" x14ac:dyDescent="0.25">
      <c r="A1703" s="91" t="s">
        <v>7837</v>
      </c>
      <c r="B1703" s="138">
        <v>0</v>
      </c>
      <c r="C1703" s="138">
        <v>33.76</v>
      </c>
      <c r="D1703" s="138">
        <v>0</v>
      </c>
      <c r="E1703" s="138">
        <v>33.76</v>
      </c>
    </row>
    <row r="1704" spans="1:5" x14ac:dyDescent="0.25">
      <c r="A1704" s="91" t="s">
        <v>9432</v>
      </c>
      <c r="B1704" s="138">
        <v>29556.7</v>
      </c>
      <c r="C1704" s="138">
        <v>23905.42</v>
      </c>
      <c r="D1704" s="138"/>
      <c r="E1704" s="138">
        <v>53462.119999999995</v>
      </c>
    </row>
    <row r="1705" spans="1:5" x14ac:dyDescent="0.25">
      <c r="A1705" s="91" t="s">
        <v>9433</v>
      </c>
      <c r="B1705" s="138">
        <v>8852.73</v>
      </c>
      <c r="C1705" s="138">
        <v>7064.28</v>
      </c>
      <c r="D1705" s="138"/>
      <c r="E1705" s="138">
        <v>15917.009999999998</v>
      </c>
    </row>
    <row r="1706" spans="1:5" x14ac:dyDescent="0.25">
      <c r="A1706" s="91" t="s">
        <v>9434</v>
      </c>
      <c r="B1706" s="138">
        <v>2070.4</v>
      </c>
      <c r="C1706" s="138">
        <v>1652.11</v>
      </c>
      <c r="D1706" s="138"/>
      <c r="E1706" s="138">
        <v>3722.51</v>
      </c>
    </row>
    <row r="1707" spans="1:5" x14ac:dyDescent="0.25">
      <c r="A1707" s="91" t="s">
        <v>9435</v>
      </c>
      <c r="B1707" s="138">
        <v>39667.32</v>
      </c>
      <c r="C1707" s="138">
        <v>32742.28</v>
      </c>
      <c r="D1707" s="138"/>
      <c r="E1707" s="138">
        <v>72409.600000000006</v>
      </c>
    </row>
    <row r="1708" spans="1:5" x14ac:dyDescent="0.25">
      <c r="A1708" s="91" t="s">
        <v>9436</v>
      </c>
      <c r="B1708" s="138">
        <v>71.39</v>
      </c>
      <c r="C1708" s="138">
        <v>57.38</v>
      </c>
      <c r="D1708" s="138"/>
      <c r="E1708" s="138">
        <v>128.77000000000001</v>
      </c>
    </row>
    <row r="1709" spans="1:5" x14ac:dyDescent="0.25">
      <c r="A1709" s="91" t="s">
        <v>9437</v>
      </c>
      <c r="B1709" s="138">
        <v>2699.79</v>
      </c>
      <c r="C1709" s="138">
        <v>2189.58</v>
      </c>
      <c r="D1709" s="138"/>
      <c r="E1709" s="138">
        <v>4889.37</v>
      </c>
    </row>
    <row r="1710" spans="1:5" x14ac:dyDescent="0.25">
      <c r="A1710" s="91" t="s">
        <v>9438</v>
      </c>
      <c r="B1710" s="138">
        <v>2400</v>
      </c>
      <c r="C1710" s="138">
        <v>0</v>
      </c>
      <c r="D1710" s="138"/>
      <c r="E1710" s="138">
        <v>2400</v>
      </c>
    </row>
    <row r="1711" spans="1:5" x14ac:dyDescent="0.25">
      <c r="A1711" s="91" t="s">
        <v>7978</v>
      </c>
      <c r="B1711" s="138">
        <v>100</v>
      </c>
      <c r="C1711" s="138">
        <v>0</v>
      </c>
      <c r="D1711" s="138">
        <v>100</v>
      </c>
      <c r="E1711" s="138">
        <v>200</v>
      </c>
    </row>
    <row r="1712" spans="1:5" x14ac:dyDescent="0.25">
      <c r="A1712" s="91" t="s">
        <v>8266</v>
      </c>
      <c r="B1712" s="138">
        <v>150.72999999999999</v>
      </c>
      <c r="C1712" s="138">
        <v>34.14</v>
      </c>
      <c r="D1712" s="138">
        <v>1200</v>
      </c>
      <c r="E1712" s="138">
        <v>1384.87</v>
      </c>
    </row>
    <row r="1713" spans="1:5" x14ac:dyDescent="0.25">
      <c r="A1713" s="91" t="s">
        <v>9439</v>
      </c>
      <c r="B1713" s="138">
        <v>44149.14</v>
      </c>
      <c r="C1713" s="138">
        <v>12047.58</v>
      </c>
      <c r="D1713" s="138"/>
      <c r="E1713" s="138">
        <v>56196.72</v>
      </c>
    </row>
    <row r="1714" spans="1:5" x14ac:dyDescent="0.25">
      <c r="A1714" s="91" t="s">
        <v>9440</v>
      </c>
      <c r="B1714" s="138">
        <v>7130.09</v>
      </c>
      <c r="C1714" s="138">
        <v>1945.71</v>
      </c>
      <c r="D1714" s="138"/>
      <c r="E1714" s="138">
        <v>9075.7999999999993</v>
      </c>
    </row>
    <row r="1715" spans="1:5" x14ac:dyDescent="0.25">
      <c r="A1715" s="91" t="s">
        <v>9441</v>
      </c>
      <c r="B1715" s="138">
        <v>640.16</v>
      </c>
      <c r="C1715" s="138">
        <v>173.07</v>
      </c>
      <c r="D1715" s="138"/>
      <c r="E1715" s="138">
        <v>813.23</v>
      </c>
    </row>
    <row r="1716" spans="1:5" x14ac:dyDescent="0.25">
      <c r="A1716" s="91" t="s">
        <v>9442</v>
      </c>
      <c r="B1716" s="138">
        <v>13911</v>
      </c>
      <c r="C1716" s="138">
        <v>3733.21</v>
      </c>
      <c r="D1716" s="138"/>
      <c r="E1716" s="138">
        <v>17644.21</v>
      </c>
    </row>
    <row r="1717" spans="1:5" x14ac:dyDescent="0.25">
      <c r="A1717" s="91" t="s">
        <v>9443</v>
      </c>
      <c r="B1717" s="138">
        <v>22.07</v>
      </c>
      <c r="C1717" s="138">
        <v>6.03</v>
      </c>
      <c r="D1717" s="138"/>
      <c r="E1717" s="138">
        <v>28.1</v>
      </c>
    </row>
    <row r="1718" spans="1:5" x14ac:dyDescent="0.25">
      <c r="A1718" s="91" t="s">
        <v>9444</v>
      </c>
      <c r="B1718" s="138">
        <v>834.77</v>
      </c>
      <c r="C1718" s="138">
        <v>227.79</v>
      </c>
      <c r="D1718" s="138"/>
      <c r="E1718" s="138">
        <v>1062.56</v>
      </c>
    </row>
    <row r="1719" spans="1:5" x14ac:dyDescent="0.25">
      <c r="A1719" s="91" t="s">
        <v>9445</v>
      </c>
      <c r="B1719" s="138">
        <v>0</v>
      </c>
      <c r="C1719" s="138">
        <v>7181.86</v>
      </c>
      <c r="D1719" s="138"/>
      <c r="E1719" s="138">
        <v>7181.86</v>
      </c>
    </row>
    <row r="1720" spans="1:5" x14ac:dyDescent="0.25">
      <c r="A1720" s="91" t="s">
        <v>9446</v>
      </c>
      <c r="B1720" s="138">
        <v>0</v>
      </c>
      <c r="C1720" s="138">
        <v>1486.6</v>
      </c>
      <c r="D1720" s="138"/>
      <c r="E1720" s="138">
        <v>1486.6</v>
      </c>
    </row>
    <row r="1721" spans="1:5" x14ac:dyDescent="0.25">
      <c r="A1721" s="91" t="s">
        <v>9447</v>
      </c>
      <c r="B1721" s="138">
        <v>0</v>
      </c>
      <c r="C1721" s="138">
        <v>438.92</v>
      </c>
      <c r="D1721" s="138"/>
      <c r="E1721" s="138">
        <v>438.92</v>
      </c>
    </row>
    <row r="1722" spans="1:5" x14ac:dyDescent="0.25">
      <c r="A1722" s="91" t="s">
        <v>9448</v>
      </c>
      <c r="B1722" s="138">
        <v>0</v>
      </c>
      <c r="C1722" s="138">
        <v>102.7</v>
      </c>
      <c r="D1722" s="138"/>
      <c r="E1722" s="138">
        <v>102.7</v>
      </c>
    </row>
    <row r="1723" spans="1:5" x14ac:dyDescent="0.25">
      <c r="A1723" s="91" t="s">
        <v>9449</v>
      </c>
      <c r="B1723" s="138">
        <v>0</v>
      </c>
      <c r="C1723" s="138">
        <v>2061.77</v>
      </c>
      <c r="D1723" s="138"/>
      <c r="E1723" s="138">
        <v>2061.77</v>
      </c>
    </row>
    <row r="1724" spans="1:5" x14ac:dyDescent="0.25">
      <c r="A1724" s="91" t="s">
        <v>9450</v>
      </c>
      <c r="B1724" s="138">
        <v>0</v>
      </c>
      <c r="C1724" s="138">
        <v>3.49</v>
      </c>
      <c r="D1724" s="138"/>
      <c r="E1724" s="138">
        <v>3.49</v>
      </c>
    </row>
    <row r="1725" spans="1:5" x14ac:dyDescent="0.25">
      <c r="A1725" s="91" t="s">
        <v>9451</v>
      </c>
      <c r="B1725" s="138">
        <v>0</v>
      </c>
      <c r="C1725" s="138">
        <v>135.78</v>
      </c>
      <c r="D1725" s="138"/>
      <c r="E1725" s="138">
        <v>135.78</v>
      </c>
    </row>
    <row r="1726" spans="1:5" x14ac:dyDescent="0.25">
      <c r="A1726" s="91" t="s">
        <v>9452</v>
      </c>
      <c r="B1726" s="138">
        <v>421395.7</v>
      </c>
      <c r="C1726" s="138">
        <v>342236.97</v>
      </c>
      <c r="D1726" s="138"/>
      <c r="E1726" s="138">
        <v>763632.66999999993</v>
      </c>
    </row>
    <row r="1727" spans="1:5" x14ac:dyDescent="0.25">
      <c r="A1727" s="91" t="s">
        <v>9453</v>
      </c>
      <c r="B1727" s="138">
        <v>69104.5</v>
      </c>
      <c r="C1727" s="138">
        <v>57503.73</v>
      </c>
      <c r="D1727" s="138"/>
      <c r="E1727" s="138">
        <v>126608.23000000001</v>
      </c>
    </row>
    <row r="1728" spans="1:5" x14ac:dyDescent="0.25">
      <c r="A1728" s="91" t="s">
        <v>7838</v>
      </c>
      <c r="B1728" s="138">
        <v>500</v>
      </c>
      <c r="C1728" s="138">
        <v>92.28</v>
      </c>
      <c r="D1728" s="138">
        <v>500</v>
      </c>
      <c r="E1728" s="138">
        <v>1092.28</v>
      </c>
    </row>
    <row r="1729" spans="1:5" x14ac:dyDescent="0.25">
      <c r="A1729" s="91" t="s">
        <v>7883</v>
      </c>
      <c r="B1729" s="138">
        <v>18000</v>
      </c>
      <c r="C1729" s="138">
        <v>12086.04</v>
      </c>
      <c r="D1729" s="138">
        <v>18000</v>
      </c>
      <c r="E1729" s="138">
        <v>48086.04</v>
      </c>
    </row>
    <row r="1730" spans="1:5" x14ac:dyDescent="0.25">
      <c r="A1730" s="91" t="s">
        <v>9454</v>
      </c>
      <c r="B1730" s="138">
        <v>101533.54</v>
      </c>
      <c r="C1730" s="138">
        <v>82435.55</v>
      </c>
      <c r="D1730" s="138"/>
      <c r="E1730" s="138">
        <v>183969.09</v>
      </c>
    </row>
    <row r="1731" spans="1:5" x14ac:dyDescent="0.25">
      <c r="A1731" s="91" t="s">
        <v>9455</v>
      </c>
      <c r="B1731" s="138">
        <v>31558.02</v>
      </c>
      <c r="C1731" s="138">
        <v>25208.26</v>
      </c>
      <c r="D1731" s="138"/>
      <c r="E1731" s="138">
        <v>56766.28</v>
      </c>
    </row>
    <row r="1732" spans="1:5" x14ac:dyDescent="0.25">
      <c r="A1732" s="91" t="s">
        <v>9456</v>
      </c>
      <c r="B1732" s="138">
        <v>7380.52</v>
      </c>
      <c r="C1732" s="138">
        <v>5895.46</v>
      </c>
      <c r="D1732" s="138"/>
      <c r="E1732" s="138">
        <v>13275.98</v>
      </c>
    </row>
    <row r="1733" spans="1:5" x14ac:dyDescent="0.25">
      <c r="A1733" s="91" t="s">
        <v>9457</v>
      </c>
      <c r="B1733" s="138">
        <v>170628.12</v>
      </c>
      <c r="C1733" s="138">
        <v>137046.41</v>
      </c>
      <c r="D1733" s="138"/>
      <c r="E1733" s="138">
        <v>307674.53000000003</v>
      </c>
    </row>
    <row r="1734" spans="1:5" x14ac:dyDescent="0.25">
      <c r="A1734" s="91" t="s">
        <v>9458</v>
      </c>
      <c r="B1734" s="138">
        <v>254.51</v>
      </c>
      <c r="C1734" s="138">
        <v>205.51</v>
      </c>
      <c r="D1734" s="138"/>
      <c r="E1734" s="138">
        <v>460.02</v>
      </c>
    </row>
    <row r="1735" spans="1:5" x14ac:dyDescent="0.25">
      <c r="A1735" s="91" t="s">
        <v>9459</v>
      </c>
      <c r="B1735" s="138">
        <v>9624.17</v>
      </c>
      <c r="C1735" s="138">
        <v>7805.23</v>
      </c>
      <c r="D1735" s="138"/>
      <c r="E1735" s="138">
        <v>17429.400000000001</v>
      </c>
    </row>
    <row r="1736" spans="1:5" x14ac:dyDescent="0.25">
      <c r="A1736" s="91" t="s">
        <v>9460</v>
      </c>
      <c r="B1736" s="138">
        <v>2400</v>
      </c>
      <c r="C1736" s="138">
        <v>1799.99</v>
      </c>
      <c r="D1736" s="138"/>
      <c r="E1736" s="138">
        <v>4199.99</v>
      </c>
    </row>
    <row r="1737" spans="1:5" x14ac:dyDescent="0.25">
      <c r="A1737" s="91" t="s">
        <v>7979</v>
      </c>
      <c r="B1737" s="138">
        <v>1649</v>
      </c>
      <c r="C1737" s="138">
        <v>1539.87</v>
      </c>
      <c r="D1737" s="138">
        <v>1649</v>
      </c>
      <c r="E1737" s="138">
        <v>4837.87</v>
      </c>
    </row>
    <row r="1738" spans="1:5" x14ac:dyDescent="0.25">
      <c r="A1738" s="91" t="s">
        <v>8067</v>
      </c>
      <c r="B1738" s="138">
        <v>50</v>
      </c>
      <c r="C1738" s="138">
        <v>50</v>
      </c>
      <c r="D1738" s="138">
        <v>2910</v>
      </c>
      <c r="E1738" s="138">
        <v>3010</v>
      </c>
    </row>
    <row r="1739" spans="1:5" x14ac:dyDescent="0.25">
      <c r="A1739" s="91" t="s">
        <v>8098</v>
      </c>
      <c r="B1739" s="138">
        <v>0</v>
      </c>
      <c r="C1739" s="138">
        <v>300</v>
      </c>
      <c r="D1739" s="138">
        <v>0</v>
      </c>
      <c r="E1739" s="138">
        <v>300</v>
      </c>
    </row>
    <row r="1740" spans="1:5" x14ac:dyDescent="0.25">
      <c r="A1740" s="91" t="s">
        <v>8267</v>
      </c>
      <c r="B1740" s="138">
        <v>3820</v>
      </c>
      <c r="C1740" s="138">
        <v>3554.39</v>
      </c>
      <c r="D1740" s="138">
        <v>3820</v>
      </c>
      <c r="E1740" s="138">
        <v>11194.39</v>
      </c>
    </row>
    <row r="1741" spans="1:5" x14ac:dyDescent="0.25">
      <c r="A1741" s="91" t="s">
        <v>8284</v>
      </c>
      <c r="B1741" s="138">
        <v>4074</v>
      </c>
      <c r="C1741" s="138">
        <v>3288.16</v>
      </c>
      <c r="D1741" s="138">
        <v>4074</v>
      </c>
      <c r="E1741" s="138">
        <v>11436.16</v>
      </c>
    </row>
    <row r="1742" spans="1:5" x14ac:dyDescent="0.25">
      <c r="A1742" s="91" t="s">
        <v>8310</v>
      </c>
      <c r="B1742" s="138">
        <v>3820</v>
      </c>
      <c r="C1742" s="138">
        <v>1250</v>
      </c>
      <c r="D1742" s="138">
        <v>3820</v>
      </c>
      <c r="E1742" s="138">
        <v>8890</v>
      </c>
    </row>
    <row r="1743" spans="1:5" x14ac:dyDescent="0.25">
      <c r="A1743" s="91" t="s">
        <v>9461</v>
      </c>
      <c r="B1743" s="138">
        <v>570948.55000000005</v>
      </c>
      <c r="C1743" s="138">
        <v>438523.43</v>
      </c>
      <c r="D1743" s="138"/>
      <c r="E1743" s="138">
        <v>1009471.98</v>
      </c>
    </row>
    <row r="1744" spans="1:5" x14ac:dyDescent="0.25">
      <c r="A1744" s="91" t="s">
        <v>9462</v>
      </c>
      <c r="B1744" s="138">
        <v>182797.5</v>
      </c>
      <c r="C1744" s="138">
        <v>198430.17</v>
      </c>
      <c r="D1744" s="138"/>
      <c r="E1744" s="138">
        <v>381227.67000000004</v>
      </c>
    </row>
    <row r="1745" spans="1:5" x14ac:dyDescent="0.25">
      <c r="A1745" s="91" t="s">
        <v>7839</v>
      </c>
      <c r="B1745" s="138">
        <v>6000</v>
      </c>
      <c r="C1745" s="138">
        <v>1347.36</v>
      </c>
      <c r="D1745" s="138">
        <v>6000</v>
      </c>
      <c r="E1745" s="138">
        <v>13347.36</v>
      </c>
    </row>
    <row r="1746" spans="1:5" x14ac:dyDescent="0.25">
      <c r="A1746" s="91" t="s">
        <v>7846</v>
      </c>
      <c r="B1746" s="138">
        <v>45000</v>
      </c>
      <c r="C1746" s="138">
        <v>17628.43</v>
      </c>
      <c r="D1746" s="138">
        <v>45000</v>
      </c>
      <c r="E1746" s="138">
        <v>107628.43</v>
      </c>
    </row>
    <row r="1747" spans="1:5" x14ac:dyDescent="0.25">
      <c r="A1747" s="91" t="s">
        <v>7884</v>
      </c>
      <c r="B1747" s="138">
        <v>200</v>
      </c>
      <c r="C1747" s="138">
        <v>0</v>
      </c>
      <c r="D1747" s="138">
        <v>200</v>
      </c>
      <c r="E1747" s="138">
        <v>400</v>
      </c>
    </row>
    <row r="1748" spans="1:5" x14ac:dyDescent="0.25">
      <c r="A1748" s="91" t="s">
        <v>9463</v>
      </c>
      <c r="B1748" s="138">
        <v>156025.44</v>
      </c>
      <c r="C1748" s="138">
        <v>131690.60999999999</v>
      </c>
      <c r="D1748" s="138"/>
      <c r="E1748" s="138">
        <v>287716.05</v>
      </c>
    </row>
    <row r="1749" spans="1:5" x14ac:dyDescent="0.25">
      <c r="A1749" s="91" t="s">
        <v>9464</v>
      </c>
      <c r="B1749" s="138">
        <v>47116.67</v>
      </c>
      <c r="C1749" s="138">
        <v>39089.64</v>
      </c>
      <c r="D1749" s="138"/>
      <c r="E1749" s="138">
        <v>86206.31</v>
      </c>
    </row>
    <row r="1750" spans="1:5" x14ac:dyDescent="0.25">
      <c r="A1750" s="91" t="s">
        <v>9465</v>
      </c>
      <c r="B1750" s="138">
        <v>11019.23</v>
      </c>
      <c r="C1750" s="138">
        <v>9141.99</v>
      </c>
      <c r="D1750" s="138"/>
      <c r="E1750" s="138">
        <v>20161.22</v>
      </c>
    </row>
    <row r="1751" spans="1:5" x14ac:dyDescent="0.25">
      <c r="A1751" s="91" t="s">
        <v>9466</v>
      </c>
      <c r="B1751" s="138">
        <v>257368.26</v>
      </c>
      <c r="C1751" s="138">
        <v>219943.12</v>
      </c>
      <c r="D1751" s="138"/>
      <c r="E1751" s="138">
        <v>477311.38</v>
      </c>
    </row>
    <row r="1752" spans="1:5" x14ac:dyDescent="0.25">
      <c r="A1752" s="91" t="s">
        <v>9467</v>
      </c>
      <c r="B1752" s="138">
        <v>379.98</v>
      </c>
      <c r="C1752" s="138">
        <v>318.49</v>
      </c>
      <c r="D1752" s="138"/>
      <c r="E1752" s="138">
        <v>698.47</v>
      </c>
    </row>
    <row r="1753" spans="1:5" x14ac:dyDescent="0.25">
      <c r="A1753" s="91" t="s">
        <v>9468</v>
      </c>
      <c r="B1753" s="138">
        <v>15219.93</v>
      </c>
      <c r="C1753" s="138">
        <v>13424.9</v>
      </c>
      <c r="D1753" s="138"/>
      <c r="E1753" s="138">
        <v>28644.83</v>
      </c>
    </row>
    <row r="1754" spans="1:5" x14ac:dyDescent="0.25">
      <c r="A1754" s="91" t="s">
        <v>9469</v>
      </c>
      <c r="B1754" s="138">
        <v>2400</v>
      </c>
      <c r="C1754" s="138">
        <v>1800.01</v>
      </c>
      <c r="D1754" s="138"/>
      <c r="E1754" s="138">
        <v>4200.01</v>
      </c>
    </row>
    <row r="1755" spans="1:5" x14ac:dyDescent="0.25">
      <c r="A1755" s="91" t="s">
        <v>7980</v>
      </c>
      <c r="B1755" s="138">
        <v>2820</v>
      </c>
      <c r="C1755" s="138">
        <v>779.93000000000006</v>
      </c>
      <c r="D1755" s="138">
        <v>2820</v>
      </c>
      <c r="E1755" s="138">
        <v>6419.93</v>
      </c>
    </row>
    <row r="1756" spans="1:5" x14ac:dyDescent="0.25">
      <c r="A1756" s="91" t="s">
        <v>8020</v>
      </c>
      <c r="B1756" s="138">
        <v>10000</v>
      </c>
      <c r="C1756" s="138">
        <v>0</v>
      </c>
      <c r="D1756" s="138"/>
      <c r="E1756" s="138">
        <v>10000</v>
      </c>
    </row>
    <row r="1757" spans="1:5" x14ac:dyDescent="0.25">
      <c r="A1757" s="91" t="s">
        <v>8068</v>
      </c>
      <c r="B1757" s="138">
        <v>0</v>
      </c>
      <c r="C1757" s="138">
        <v>0</v>
      </c>
      <c r="D1757" s="138">
        <v>4850</v>
      </c>
      <c r="E1757" s="138">
        <v>4850</v>
      </c>
    </row>
    <row r="1758" spans="1:5" x14ac:dyDescent="0.25">
      <c r="A1758" s="91" t="s">
        <v>8099</v>
      </c>
      <c r="B1758" s="138">
        <v>1509</v>
      </c>
      <c r="C1758" s="138">
        <v>1460</v>
      </c>
      <c r="D1758" s="138">
        <v>1509</v>
      </c>
      <c r="E1758" s="138">
        <v>4478</v>
      </c>
    </row>
    <row r="1759" spans="1:5" x14ac:dyDescent="0.25">
      <c r="A1759" s="91" t="s">
        <v>8111</v>
      </c>
      <c r="B1759" s="138">
        <v>12100</v>
      </c>
      <c r="C1759" s="138">
        <v>16463.099999999999</v>
      </c>
      <c r="D1759" s="138">
        <v>16500</v>
      </c>
      <c r="E1759" s="138">
        <v>45063.1</v>
      </c>
    </row>
    <row r="1760" spans="1:5" x14ac:dyDescent="0.25">
      <c r="A1760" s="91" t="s">
        <v>8268</v>
      </c>
      <c r="B1760" s="138">
        <v>5828</v>
      </c>
      <c r="C1760" s="138">
        <v>1530.28</v>
      </c>
      <c r="D1760" s="138">
        <v>5828</v>
      </c>
      <c r="E1760" s="138">
        <v>13186.279999999999</v>
      </c>
    </row>
    <row r="1761" spans="1:5" x14ac:dyDescent="0.25">
      <c r="A1761" s="91" t="s">
        <v>9470</v>
      </c>
      <c r="B1761" s="138">
        <v>40235.870000000003</v>
      </c>
      <c r="C1761" s="138">
        <v>33400.879999999997</v>
      </c>
      <c r="D1761" s="138"/>
      <c r="E1761" s="138">
        <v>73636.75</v>
      </c>
    </row>
    <row r="1762" spans="1:5" x14ac:dyDescent="0.25">
      <c r="A1762" s="91" t="s">
        <v>7840</v>
      </c>
      <c r="B1762" s="138">
        <v>200</v>
      </c>
      <c r="C1762" s="138">
        <v>2.67</v>
      </c>
      <c r="D1762" s="138">
        <v>200</v>
      </c>
      <c r="E1762" s="138">
        <v>402.66999999999996</v>
      </c>
    </row>
    <row r="1763" spans="1:5" x14ac:dyDescent="0.25">
      <c r="A1763" s="91" t="s">
        <v>9471</v>
      </c>
      <c r="B1763" s="138">
        <v>8328.83</v>
      </c>
      <c r="C1763" s="138">
        <v>6914.03</v>
      </c>
      <c r="D1763" s="138"/>
      <c r="E1763" s="138">
        <v>15242.86</v>
      </c>
    </row>
    <row r="1764" spans="1:5" x14ac:dyDescent="0.25">
      <c r="A1764" s="91" t="s">
        <v>9472</v>
      </c>
      <c r="B1764" s="138">
        <v>2507.02</v>
      </c>
      <c r="C1764" s="138">
        <v>2072.77</v>
      </c>
      <c r="D1764" s="138"/>
      <c r="E1764" s="138">
        <v>4579.79</v>
      </c>
    </row>
    <row r="1765" spans="1:5" x14ac:dyDescent="0.25">
      <c r="A1765" s="91" t="s">
        <v>9473</v>
      </c>
      <c r="B1765" s="138">
        <v>586.32000000000005</v>
      </c>
      <c r="C1765" s="138">
        <v>484.7</v>
      </c>
      <c r="D1765" s="138"/>
      <c r="E1765" s="138">
        <v>1071.02</v>
      </c>
    </row>
    <row r="1766" spans="1:5" x14ac:dyDescent="0.25">
      <c r="A1766" s="91" t="s">
        <v>9474</v>
      </c>
      <c r="B1766" s="138">
        <v>9856.2199999999993</v>
      </c>
      <c r="C1766" s="138">
        <v>8044.83</v>
      </c>
      <c r="D1766" s="138"/>
      <c r="E1766" s="138">
        <v>17901.05</v>
      </c>
    </row>
    <row r="1767" spans="1:5" x14ac:dyDescent="0.25">
      <c r="A1767" s="91" t="s">
        <v>9475</v>
      </c>
      <c r="B1767" s="138">
        <v>20.22</v>
      </c>
      <c r="C1767" s="138">
        <v>16.7</v>
      </c>
      <c r="D1767" s="138"/>
      <c r="E1767" s="138">
        <v>36.92</v>
      </c>
    </row>
    <row r="1768" spans="1:5" x14ac:dyDescent="0.25">
      <c r="A1768" s="91" t="s">
        <v>9476</v>
      </c>
      <c r="B1768" s="138">
        <v>764.56</v>
      </c>
      <c r="C1768" s="138">
        <v>633.20000000000005</v>
      </c>
      <c r="D1768" s="138"/>
      <c r="E1768" s="138">
        <v>1397.76</v>
      </c>
    </row>
    <row r="1769" spans="1:5" x14ac:dyDescent="0.25">
      <c r="A1769" s="91" t="s">
        <v>8269</v>
      </c>
      <c r="B1769" s="138">
        <v>58.21</v>
      </c>
      <c r="C1769" s="138">
        <v>21.56</v>
      </c>
      <c r="D1769" s="138">
        <v>388</v>
      </c>
      <c r="E1769" s="138">
        <v>467.77</v>
      </c>
    </row>
    <row r="1770" spans="1:5" x14ac:dyDescent="0.25">
      <c r="A1770" s="91" t="s">
        <v>9477</v>
      </c>
      <c r="B1770" s="138">
        <v>29542.69</v>
      </c>
      <c r="C1770" s="138">
        <v>24171.3</v>
      </c>
      <c r="D1770" s="138"/>
      <c r="E1770" s="138">
        <v>53713.99</v>
      </c>
    </row>
    <row r="1771" spans="1:5" x14ac:dyDescent="0.25">
      <c r="A1771" s="91" t="s">
        <v>9478</v>
      </c>
      <c r="B1771" s="138">
        <v>26375.27</v>
      </c>
      <c r="C1771" s="138">
        <v>21974.45</v>
      </c>
      <c r="D1771" s="138"/>
      <c r="E1771" s="138">
        <v>48349.72</v>
      </c>
    </row>
    <row r="1772" spans="1:5" x14ac:dyDescent="0.25">
      <c r="A1772" s="91" t="s">
        <v>7841</v>
      </c>
      <c r="B1772" s="138">
        <v>0</v>
      </c>
      <c r="C1772" s="138">
        <v>6.18</v>
      </c>
      <c r="D1772" s="138">
        <v>0</v>
      </c>
      <c r="E1772" s="138">
        <v>6.18</v>
      </c>
    </row>
    <row r="1773" spans="1:5" x14ac:dyDescent="0.25">
      <c r="A1773" s="91" t="s">
        <v>9479</v>
      </c>
      <c r="B1773" s="138">
        <v>4771.1400000000003</v>
      </c>
      <c r="C1773" s="138">
        <v>3903.66</v>
      </c>
      <c r="D1773" s="138"/>
      <c r="E1773" s="138">
        <v>8674.7999999999993</v>
      </c>
    </row>
    <row r="1774" spans="1:5" x14ac:dyDescent="0.25">
      <c r="A1774" s="91" t="s">
        <v>9480</v>
      </c>
      <c r="B1774" s="138">
        <v>5459.68</v>
      </c>
      <c r="C1774" s="138">
        <v>4545.84</v>
      </c>
      <c r="D1774" s="138"/>
      <c r="E1774" s="138">
        <v>10005.52</v>
      </c>
    </row>
    <row r="1775" spans="1:5" x14ac:dyDescent="0.25">
      <c r="A1775" s="91" t="s">
        <v>9481</v>
      </c>
      <c r="B1775" s="138">
        <v>1635.27</v>
      </c>
      <c r="C1775" s="138">
        <v>1357.93</v>
      </c>
      <c r="D1775" s="138"/>
      <c r="E1775" s="138">
        <v>2993.2</v>
      </c>
    </row>
    <row r="1776" spans="1:5" x14ac:dyDescent="0.25">
      <c r="A1776" s="91" t="s">
        <v>9482</v>
      </c>
      <c r="B1776" s="138">
        <v>810.81</v>
      </c>
      <c r="C1776" s="138">
        <v>664.33</v>
      </c>
      <c r="D1776" s="138"/>
      <c r="E1776" s="138">
        <v>1475.1399999999999</v>
      </c>
    </row>
    <row r="1777" spans="1:5" x14ac:dyDescent="0.25">
      <c r="A1777" s="91" t="s">
        <v>9483</v>
      </c>
      <c r="B1777" s="138">
        <v>14867.2</v>
      </c>
      <c r="C1777" s="138">
        <v>12020.87</v>
      </c>
      <c r="D1777" s="138"/>
      <c r="E1777" s="138">
        <v>26888.07</v>
      </c>
    </row>
    <row r="1778" spans="1:5" x14ac:dyDescent="0.25">
      <c r="A1778" s="91" t="s">
        <v>9484</v>
      </c>
      <c r="B1778" s="138">
        <v>27.96</v>
      </c>
      <c r="C1778" s="138">
        <v>23.05</v>
      </c>
      <c r="D1778" s="138"/>
      <c r="E1778" s="138">
        <v>51.010000000000005</v>
      </c>
    </row>
    <row r="1779" spans="1:5" x14ac:dyDescent="0.25">
      <c r="A1779" s="91" t="s">
        <v>9485</v>
      </c>
      <c r="B1779" s="138">
        <v>1057.29</v>
      </c>
      <c r="C1779" s="138">
        <v>873.62</v>
      </c>
      <c r="D1779" s="138"/>
      <c r="E1779" s="138">
        <v>1930.9099999999999</v>
      </c>
    </row>
    <row r="1780" spans="1:5" x14ac:dyDescent="0.25">
      <c r="A1780" s="91" t="s">
        <v>8069</v>
      </c>
      <c r="B1780" s="138">
        <v>0</v>
      </c>
      <c r="C1780" s="138">
        <v>0</v>
      </c>
      <c r="D1780" s="138">
        <v>1000</v>
      </c>
      <c r="E1780" s="138">
        <v>1000</v>
      </c>
    </row>
    <row r="1781" spans="1:5" x14ac:dyDescent="0.25">
      <c r="A1781" s="91" t="s">
        <v>8100</v>
      </c>
      <c r="B1781" s="138">
        <v>100</v>
      </c>
      <c r="C1781" s="138">
        <v>0</v>
      </c>
      <c r="D1781" s="138">
        <v>100</v>
      </c>
      <c r="E1781" s="138">
        <v>200</v>
      </c>
    </row>
    <row r="1782" spans="1:5" x14ac:dyDescent="0.25">
      <c r="A1782" s="91" t="s">
        <v>8270</v>
      </c>
      <c r="B1782" s="138">
        <v>8</v>
      </c>
      <c r="C1782" s="138">
        <v>1.57</v>
      </c>
      <c r="D1782" s="138">
        <v>8</v>
      </c>
      <c r="E1782" s="138">
        <v>17.57</v>
      </c>
    </row>
    <row r="1783" spans="1:5" x14ac:dyDescent="0.25">
      <c r="A1783" s="91" t="s">
        <v>9486</v>
      </c>
      <c r="B1783" s="138">
        <v>123021</v>
      </c>
      <c r="C1783" s="138">
        <v>0</v>
      </c>
      <c r="D1783" s="138"/>
      <c r="E1783" s="138">
        <v>123021</v>
      </c>
    </row>
    <row r="1784" spans="1:5" x14ac:dyDescent="0.25">
      <c r="A1784" s="91" t="s">
        <v>9487</v>
      </c>
      <c r="B1784" s="138">
        <v>25465.35</v>
      </c>
      <c r="C1784" s="138">
        <v>0</v>
      </c>
      <c r="D1784" s="138"/>
      <c r="E1784" s="138">
        <v>25465.35</v>
      </c>
    </row>
    <row r="1785" spans="1:5" x14ac:dyDescent="0.25">
      <c r="A1785" s="91" t="s">
        <v>9488</v>
      </c>
      <c r="B1785" s="138">
        <v>7627.3</v>
      </c>
      <c r="C1785" s="138">
        <v>0</v>
      </c>
      <c r="D1785" s="138"/>
      <c r="E1785" s="138">
        <v>7627.3</v>
      </c>
    </row>
    <row r="1786" spans="1:5" x14ac:dyDescent="0.25">
      <c r="A1786" s="91" t="s">
        <v>9489</v>
      </c>
      <c r="B1786" s="138">
        <v>1783.8</v>
      </c>
      <c r="C1786" s="138">
        <v>0</v>
      </c>
      <c r="D1786" s="138"/>
      <c r="E1786" s="138">
        <v>1783.8</v>
      </c>
    </row>
    <row r="1787" spans="1:5" x14ac:dyDescent="0.25">
      <c r="A1787" s="91" t="s">
        <v>9490</v>
      </c>
      <c r="B1787" s="138">
        <v>13141.62</v>
      </c>
      <c r="C1787" s="138">
        <v>0</v>
      </c>
      <c r="D1787" s="138"/>
      <c r="E1787" s="138">
        <v>13141.62</v>
      </c>
    </row>
    <row r="1788" spans="1:5" x14ac:dyDescent="0.25">
      <c r="A1788" s="91" t="s">
        <v>9491</v>
      </c>
      <c r="B1788" s="138">
        <v>61.51</v>
      </c>
      <c r="C1788" s="138">
        <v>0</v>
      </c>
      <c r="D1788" s="138"/>
      <c r="E1788" s="138">
        <v>61.51</v>
      </c>
    </row>
    <row r="1789" spans="1:5" x14ac:dyDescent="0.25">
      <c r="A1789" s="91" t="s">
        <v>9492</v>
      </c>
      <c r="B1789" s="138">
        <v>2326.08</v>
      </c>
      <c r="C1789" s="138">
        <v>0</v>
      </c>
      <c r="D1789" s="138"/>
      <c r="E1789" s="138">
        <v>2326.08</v>
      </c>
    </row>
    <row r="1790" spans="1:5" x14ac:dyDescent="0.25">
      <c r="A1790" s="91" t="s">
        <v>9493</v>
      </c>
      <c r="B1790" s="138">
        <v>0</v>
      </c>
      <c r="C1790" s="138">
        <v>102517.5</v>
      </c>
      <c r="D1790" s="138"/>
      <c r="E1790" s="138">
        <v>102517.5</v>
      </c>
    </row>
    <row r="1791" spans="1:5" x14ac:dyDescent="0.25">
      <c r="A1791" s="91" t="s">
        <v>9494</v>
      </c>
      <c r="B1791" s="138">
        <v>0</v>
      </c>
      <c r="C1791" s="138">
        <v>21221.1</v>
      </c>
      <c r="D1791" s="138"/>
      <c r="E1791" s="138">
        <v>21221.1</v>
      </c>
    </row>
    <row r="1792" spans="1:5" x14ac:dyDescent="0.25">
      <c r="A1792" s="91" t="s">
        <v>9495</v>
      </c>
      <c r="B1792" s="138">
        <v>0</v>
      </c>
      <c r="C1792" s="138">
        <v>6356.1</v>
      </c>
      <c r="D1792" s="138"/>
      <c r="E1792" s="138">
        <v>6356.1</v>
      </c>
    </row>
    <row r="1793" spans="1:5" x14ac:dyDescent="0.25">
      <c r="A1793" s="91" t="s">
        <v>9496</v>
      </c>
      <c r="B1793" s="138">
        <v>0</v>
      </c>
      <c r="C1793" s="138">
        <v>1486.5</v>
      </c>
      <c r="D1793" s="138"/>
      <c r="E1793" s="138">
        <v>1486.5</v>
      </c>
    </row>
    <row r="1794" spans="1:5" x14ac:dyDescent="0.25">
      <c r="A1794" s="91" t="s">
        <v>9497</v>
      </c>
      <c r="B1794" s="138">
        <v>0</v>
      </c>
      <c r="C1794" s="138">
        <v>10726.36</v>
      </c>
      <c r="D1794" s="138"/>
      <c r="E1794" s="138">
        <v>10726.36</v>
      </c>
    </row>
    <row r="1795" spans="1:5" x14ac:dyDescent="0.25">
      <c r="A1795" s="91" t="s">
        <v>9498</v>
      </c>
      <c r="B1795" s="138">
        <v>0</v>
      </c>
      <c r="C1795" s="138">
        <v>51.3</v>
      </c>
      <c r="D1795" s="138"/>
      <c r="E1795" s="138">
        <v>51.3</v>
      </c>
    </row>
    <row r="1796" spans="1:5" x14ac:dyDescent="0.25">
      <c r="A1796" s="91" t="s">
        <v>9499</v>
      </c>
      <c r="B1796" s="138">
        <v>0</v>
      </c>
      <c r="C1796" s="138">
        <v>1938.4</v>
      </c>
      <c r="D1796" s="138"/>
      <c r="E1796" s="138">
        <v>1938.4</v>
      </c>
    </row>
    <row r="1797" spans="1:5" x14ac:dyDescent="0.25">
      <c r="A1797" s="91" t="s">
        <v>8271</v>
      </c>
      <c r="B1797" s="138">
        <v>0</v>
      </c>
      <c r="C1797" s="138">
        <v>66.760000000000005</v>
      </c>
      <c r="D1797" s="138">
        <v>125</v>
      </c>
      <c r="E1797" s="138">
        <v>191.76</v>
      </c>
    </row>
    <row r="1798" spans="1:5" x14ac:dyDescent="0.25">
      <c r="A1798" s="91" t="s">
        <v>7848</v>
      </c>
      <c r="B1798" s="138">
        <v>15000</v>
      </c>
      <c r="C1798" s="138">
        <v>1571</v>
      </c>
      <c r="D1798" s="138">
        <v>15000</v>
      </c>
      <c r="E1798" s="138">
        <v>31571</v>
      </c>
    </row>
    <row r="1799" spans="1:5" x14ac:dyDescent="0.25">
      <c r="A1799" s="91" t="s">
        <v>9500</v>
      </c>
      <c r="B1799" s="138">
        <v>283.62</v>
      </c>
      <c r="C1799" s="138">
        <v>29.7</v>
      </c>
      <c r="D1799" s="138"/>
      <c r="E1799" s="138">
        <v>313.32</v>
      </c>
    </row>
    <row r="1800" spans="1:5" x14ac:dyDescent="0.25">
      <c r="A1800" s="91" t="s">
        <v>9501</v>
      </c>
      <c r="B1800" s="138">
        <v>70015.8</v>
      </c>
      <c r="C1800" s="138">
        <v>58113.45</v>
      </c>
      <c r="D1800" s="138"/>
      <c r="E1800" s="138">
        <v>128129.25</v>
      </c>
    </row>
    <row r="1801" spans="1:5" x14ac:dyDescent="0.25">
      <c r="A1801" s="91" t="s">
        <v>7771</v>
      </c>
      <c r="B1801" s="138">
        <v>5000</v>
      </c>
      <c r="C1801" s="138">
        <v>0</v>
      </c>
      <c r="D1801" s="138">
        <v>5000</v>
      </c>
      <c r="E1801" s="138">
        <v>10000</v>
      </c>
    </row>
    <row r="1802" spans="1:5" x14ac:dyDescent="0.25">
      <c r="A1802" s="91" t="s">
        <v>7779</v>
      </c>
      <c r="B1802" s="138">
        <v>3850</v>
      </c>
      <c r="C1802" s="138">
        <v>0</v>
      </c>
      <c r="D1802" s="138">
        <v>3850</v>
      </c>
      <c r="E1802" s="138">
        <v>7700</v>
      </c>
    </row>
    <row r="1803" spans="1:5" x14ac:dyDescent="0.25">
      <c r="A1803" s="91" t="s">
        <v>7892</v>
      </c>
      <c r="B1803" s="138">
        <v>0</v>
      </c>
      <c r="C1803" s="138">
        <v>629</v>
      </c>
      <c r="D1803" s="138">
        <v>0</v>
      </c>
      <c r="E1803" s="138">
        <v>629</v>
      </c>
    </row>
    <row r="1804" spans="1:5" x14ac:dyDescent="0.25">
      <c r="A1804" s="91" t="s">
        <v>7895</v>
      </c>
      <c r="B1804" s="138">
        <v>1500</v>
      </c>
      <c r="C1804" s="138">
        <v>0</v>
      </c>
      <c r="D1804" s="138">
        <v>1500</v>
      </c>
      <c r="E1804" s="138">
        <v>3000</v>
      </c>
    </row>
    <row r="1805" spans="1:5" x14ac:dyDescent="0.25">
      <c r="A1805" s="91" t="s">
        <v>9502</v>
      </c>
      <c r="B1805" s="138">
        <v>807.5</v>
      </c>
      <c r="C1805" s="138">
        <v>0</v>
      </c>
      <c r="D1805" s="138"/>
      <c r="E1805" s="138">
        <v>807.5</v>
      </c>
    </row>
    <row r="1806" spans="1:5" x14ac:dyDescent="0.25">
      <c r="A1806" s="91" t="s">
        <v>9503</v>
      </c>
      <c r="B1806" s="138">
        <v>11929.33</v>
      </c>
      <c r="C1806" s="138">
        <v>9385.32</v>
      </c>
      <c r="D1806" s="138"/>
      <c r="E1806" s="138">
        <v>21314.65</v>
      </c>
    </row>
    <row r="1807" spans="1:5" x14ac:dyDescent="0.25">
      <c r="A1807" s="91" t="s">
        <v>9504</v>
      </c>
      <c r="B1807" s="138">
        <v>0</v>
      </c>
      <c r="C1807" s="138">
        <v>38.99</v>
      </c>
      <c r="D1807" s="138"/>
      <c r="E1807" s="138">
        <v>38.99</v>
      </c>
    </row>
    <row r="1808" spans="1:5" x14ac:dyDescent="0.25">
      <c r="A1808" s="91" t="s">
        <v>9505</v>
      </c>
      <c r="B1808" s="138">
        <v>0</v>
      </c>
      <c r="C1808" s="138">
        <v>0</v>
      </c>
      <c r="D1808" s="138"/>
      <c r="E1808" s="138">
        <v>0</v>
      </c>
    </row>
    <row r="1809" spans="1:5" x14ac:dyDescent="0.25">
      <c r="A1809" s="91" t="s">
        <v>9506</v>
      </c>
      <c r="B1809" s="138">
        <v>72.5</v>
      </c>
      <c r="C1809" s="138">
        <v>9.1199999999999992</v>
      </c>
      <c r="D1809" s="138"/>
      <c r="E1809" s="138">
        <v>81.62</v>
      </c>
    </row>
    <row r="1810" spans="1:5" x14ac:dyDescent="0.25">
      <c r="A1810" s="91" t="s">
        <v>9507</v>
      </c>
      <c r="B1810" s="138">
        <v>1071.06</v>
      </c>
      <c r="C1810" s="138">
        <v>822.75</v>
      </c>
      <c r="D1810" s="138"/>
      <c r="E1810" s="138">
        <v>1893.81</v>
      </c>
    </row>
    <row r="1811" spans="1:5" x14ac:dyDescent="0.25">
      <c r="A1811" s="91" t="s">
        <v>9508</v>
      </c>
      <c r="B1811" s="138">
        <v>7884.97</v>
      </c>
      <c r="C1811" s="138">
        <v>6435.81</v>
      </c>
      <c r="D1811" s="138"/>
      <c r="E1811" s="138">
        <v>14320.78</v>
      </c>
    </row>
    <row r="1812" spans="1:5" x14ac:dyDescent="0.25">
      <c r="A1812" s="91" t="s">
        <v>9509</v>
      </c>
      <c r="B1812" s="138">
        <v>2.5</v>
      </c>
      <c r="C1812" s="138">
        <v>0.32</v>
      </c>
      <c r="D1812" s="138"/>
      <c r="E1812" s="138">
        <v>2.82</v>
      </c>
    </row>
    <row r="1813" spans="1:5" x14ac:dyDescent="0.25">
      <c r="A1813" s="91" t="s">
        <v>9510</v>
      </c>
      <c r="B1813" s="138">
        <v>36.94</v>
      </c>
      <c r="C1813" s="138">
        <v>28.37</v>
      </c>
      <c r="D1813" s="138"/>
      <c r="E1813" s="138">
        <v>65.31</v>
      </c>
    </row>
    <row r="1814" spans="1:5" x14ac:dyDescent="0.25">
      <c r="A1814" s="91" t="s">
        <v>9511</v>
      </c>
      <c r="B1814" s="138">
        <v>122.9</v>
      </c>
      <c r="C1814" s="138">
        <v>11.9</v>
      </c>
      <c r="D1814" s="138"/>
      <c r="E1814" s="138">
        <v>134.80000000000001</v>
      </c>
    </row>
    <row r="1815" spans="1:5" x14ac:dyDescent="0.25">
      <c r="A1815" s="91" t="s">
        <v>9512</v>
      </c>
      <c r="B1815" s="138">
        <v>1396.66</v>
      </c>
      <c r="C1815" s="138">
        <v>1098.81</v>
      </c>
      <c r="D1815" s="138"/>
      <c r="E1815" s="138">
        <v>2495.4700000000003</v>
      </c>
    </row>
    <row r="1816" spans="1:5" x14ac:dyDescent="0.25">
      <c r="A1816" s="91" t="s">
        <v>7981</v>
      </c>
      <c r="B1816" s="138">
        <v>1500</v>
      </c>
      <c r="C1816" s="138">
        <v>0</v>
      </c>
      <c r="D1816" s="138">
        <v>1500</v>
      </c>
      <c r="E1816" s="138">
        <v>3000</v>
      </c>
    </row>
    <row r="1817" spans="1:5" x14ac:dyDescent="0.25">
      <c r="A1817" s="91" t="s">
        <v>8021</v>
      </c>
      <c r="B1817" s="138">
        <v>12000</v>
      </c>
      <c r="C1817" s="138">
        <v>0</v>
      </c>
      <c r="D1817" s="138">
        <v>12000</v>
      </c>
      <c r="E1817" s="138">
        <v>24000</v>
      </c>
    </row>
    <row r="1818" spans="1:5" x14ac:dyDescent="0.25">
      <c r="A1818" s="91" t="s">
        <v>8070</v>
      </c>
      <c r="B1818" s="138">
        <v>0</v>
      </c>
      <c r="C1818" s="138">
        <v>0</v>
      </c>
      <c r="D1818" s="138">
        <v>500</v>
      </c>
      <c r="E1818" s="138">
        <v>500</v>
      </c>
    </row>
    <row r="1819" spans="1:5" x14ac:dyDescent="0.25">
      <c r="A1819" s="91" t="s">
        <v>8112</v>
      </c>
      <c r="B1819" s="138">
        <v>500</v>
      </c>
      <c r="C1819" s="138">
        <v>0</v>
      </c>
      <c r="D1819" s="138">
        <v>500</v>
      </c>
      <c r="E1819" s="138">
        <v>1000</v>
      </c>
    </row>
    <row r="1820" spans="1:5" x14ac:dyDescent="0.25">
      <c r="A1820" s="91" t="s">
        <v>8272</v>
      </c>
      <c r="B1820" s="138">
        <v>250</v>
      </c>
      <c r="C1820" s="138">
        <v>277.11</v>
      </c>
      <c r="D1820" s="138">
        <v>250</v>
      </c>
      <c r="E1820" s="138">
        <v>777.11</v>
      </c>
    </row>
    <row r="1821" spans="1:5" x14ac:dyDescent="0.25">
      <c r="A1821" s="91" t="s">
        <v>8022</v>
      </c>
      <c r="B1821" s="138">
        <v>47500</v>
      </c>
      <c r="C1821" s="138">
        <v>15000</v>
      </c>
      <c r="D1821" s="138">
        <v>47500</v>
      </c>
      <c r="E1821" s="138">
        <v>110000</v>
      </c>
    </row>
    <row r="1822" spans="1:5" x14ac:dyDescent="0.25">
      <c r="A1822" s="91" t="s">
        <v>9513</v>
      </c>
      <c r="B1822" s="138">
        <v>384174.5</v>
      </c>
      <c r="C1822" s="138">
        <v>326479.42</v>
      </c>
      <c r="D1822" s="138"/>
      <c r="E1822" s="138">
        <v>710653.91999999993</v>
      </c>
    </row>
    <row r="1823" spans="1:5" x14ac:dyDescent="0.25">
      <c r="A1823" s="91" t="s">
        <v>9514</v>
      </c>
      <c r="B1823" s="138">
        <v>163297</v>
      </c>
      <c r="C1823" s="138">
        <v>135542.95000000001</v>
      </c>
      <c r="D1823" s="138"/>
      <c r="E1823" s="138">
        <v>298839.95</v>
      </c>
    </row>
    <row r="1824" spans="1:5" x14ac:dyDescent="0.25">
      <c r="A1824" s="91" t="s">
        <v>7842</v>
      </c>
      <c r="B1824" s="138">
        <v>3300</v>
      </c>
      <c r="C1824" s="138">
        <v>35156.04</v>
      </c>
      <c r="D1824" s="138">
        <v>3300</v>
      </c>
      <c r="E1824" s="138">
        <v>41756.04</v>
      </c>
    </row>
    <row r="1825" spans="1:5" x14ac:dyDescent="0.25">
      <c r="A1825" s="91" t="s">
        <v>7885</v>
      </c>
      <c r="B1825" s="138">
        <v>6500</v>
      </c>
      <c r="C1825" s="138">
        <v>25605.56</v>
      </c>
      <c r="D1825" s="138">
        <v>6500</v>
      </c>
      <c r="E1825" s="138">
        <v>38605.56</v>
      </c>
    </row>
    <row r="1826" spans="1:5" x14ac:dyDescent="0.25">
      <c r="A1826" s="91" t="s">
        <v>9515</v>
      </c>
      <c r="B1826" s="138">
        <v>113326.6</v>
      </c>
      <c r="C1826" s="138">
        <v>94022.46</v>
      </c>
      <c r="D1826" s="138"/>
      <c r="E1826" s="138">
        <v>207349.06</v>
      </c>
    </row>
    <row r="1827" spans="1:5" x14ac:dyDescent="0.25">
      <c r="A1827" s="91" t="s">
        <v>9516</v>
      </c>
      <c r="B1827" s="138">
        <v>34550.83</v>
      </c>
      <c r="C1827" s="138">
        <v>31846.15</v>
      </c>
      <c r="D1827" s="138"/>
      <c r="E1827" s="138">
        <v>66396.98000000001</v>
      </c>
    </row>
    <row r="1828" spans="1:5" x14ac:dyDescent="0.25">
      <c r="A1828" s="91" t="s">
        <v>9517</v>
      </c>
      <c r="B1828" s="138">
        <v>8080.44</v>
      </c>
      <c r="C1828" s="138">
        <v>7542.52</v>
      </c>
      <c r="D1828" s="138"/>
      <c r="E1828" s="138">
        <v>15622.96</v>
      </c>
    </row>
    <row r="1829" spans="1:5" x14ac:dyDescent="0.25">
      <c r="A1829" s="91" t="s">
        <v>9518</v>
      </c>
      <c r="B1829" s="138">
        <v>130836.34</v>
      </c>
      <c r="C1829" s="138">
        <v>103662.83</v>
      </c>
      <c r="D1829" s="138"/>
      <c r="E1829" s="138">
        <v>234499.16999999998</v>
      </c>
    </row>
    <row r="1830" spans="1:5" x14ac:dyDescent="0.25">
      <c r="A1830" s="91" t="s">
        <v>9519</v>
      </c>
      <c r="B1830" s="138">
        <v>278.63</v>
      </c>
      <c r="C1830" s="138">
        <v>260.60000000000002</v>
      </c>
      <c r="D1830" s="138"/>
      <c r="E1830" s="138">
        <v>539.23</v>
      </c>
    </row>
    <row r="1831" spans="1:5" x14ac:dyDescent="0.25">
      <c r="A1831" s="91" t="s">
        <v>9520</v>
      </c>
      <c r="B1831" s="138">
        <v>10536.9</v>
      </c>
      <c r="C1831" s="138">
        <v>9884.84</v>
      </c>
      <c r="D1831" s="138"/>
      <c r="E1831" s="138">
        <v>20421.739999999998</v>
      </c>
    </row>
    <row r="1832" spans="1:5" x14ac:dyDescent="0.25">
      <c r="A1832" s="91" t="s">
        <v>9521</v>
      </c>
      <c r="B1832" s="138">
        <v>9600</v>
      </c>
      <c r="C1832" s="138">
        <v>7448.84</v>
      </c>
      <c r="D1832" s="138"/>
      <c r="E1832" s="138">
        <v>17048.84</v>
      </c>
    </row>
    <row r="1833" spans="1:5" x14ac:dyDescent="0.25">
      <c r="A1833" s="91" t="s">
        <v>7982</v>
      </c>
      <c r="B1833" s="138">
        <v>3500</v>
      </c>
      <c r="C1833" s="138">
        <v>969.75</v>
      </c>
      <c r="D1833" s="138">
        <v>3500</v>
      </c>
      <c r="E1833" s="138">
        <v>7969.75</v>
      </c>
    </row>
    <row r="1834" spans="1:5" x14ac:dyDescent="0.25">
      <c r="A1834" s="91" t="s">
        <v>8023</v>
      </c>
      <c r="B1834" s="138">
        <v>2000</v>
      </c>
      <c r="C1834" s="138">
        <v>384</v>
      </c>
      <c r="D1834" s="138">
        <v>2000</v>
      </c>
      <c r="E1834" s="138">
        <v>4384</v>
      </c>
    </row>
    <row r="1835" spans="1:5" x14ac:dyDescent="0.25">
      <c r="A1835" s="91" t="s">
        <v>8034</v>
      </c>
      <c r="B1835" s="138">
        <v>35000</v>
      </c>
      <c r="C1835" s="138">
        <v>19620</v>
      </c>
      <c r="D1835" s="138">
        <v>35000</v>
      </c>
      <c r="E1835" s="138">
        <v>89620</v>
      </c>
    </row>
    <row r="1836" spans="1:5" x14ac:dyDescent="0.25">
      <c r="A1836" s="91" t="s">
        <v>8071</v>
      </c>
      <c r="B1836" s="138">
        <v>0</v>
      </c>
      <c r="C1836" s="138">
        <v>0</v>
      </c>
      <c r="D1836" s="138">
        <v>2000</v>
      </c>
      <c r="E1836" s="138">
        <v>2000</v>
      </c>
    </row>
    <row r="1837" spans="1:5" x14ac:dyDescent="0.25">
      <c r="A1837" s="91" t="s">
        <v>8101</v>
      </c>
      <c r="B1837" s="138">
        <v>2695</v>
      </c>
      <c r="C1837" s="138">
        <v>0</v>
      </c>
      <c r="D1837" s="138">
        <v>2695</v>
      </c>
      <c r="E1837" s="138">
        <v>5390</v>
      </c>
    </row>
    <row r="1838" spans="1:5" x14ac:dyDescent="0.25">
      <c r="A1838" s="91" t="s">
        <v>8158</v>
      </c>
      <c r="B1838" s="138">
        <v>15000</v>
      </c>
      <c r="C1838" s="138">
        <v>12380</v>
      </c>
      <c r="D1838" s="138">
        <v>15000</v>
      </c>
      <c r="E1838" s="138">
        <v>42380</v>
      </c>
    </row>
    <row r="1839" spans="1:5" x14ac:dyDescent="0.25">
      <c r="A1839" s="91" t="s">
        <v>8273</v>
      </c>
      <c r="B1839" s="138">
        <v>3000</v>
      </c>
      <c r="C1839" s="138">
        <v>1626.08</v>
      </c>
      <c r="D1839" s="138">
        <v>3000</v>
      </c>
      <c r="E1839" s="138">
        <v>7626.08</v>
      </c>
    </row>
    <row r="1840" spans="1:5" x14ac:dyDescent="0.25">
      <c r="A1840" s="91" t="s">
        <v>8285</v>
      </c>
      <c r="B1840" s="138">
        <v>200</v>
      </c>
      <c r="C1840" s="138">
        <v>0</v>
      </c>
      <c r="D1840" s="138">
        <v>200</v>
      </c>
      <c r="E1840" s="138">
        <v>400</v>
      </c>
    </row>
    <row r="1841" spans="1:5" x14ac:dyDescent="0.25">
      <c r="A1841" s="91" t="s">
        <v>8329</v>
      </c>
      <c r="B1841" s="138">
        <v>75000</v>
      </c>
      <c r="C1841" s="138">
        <v>200665.3</v>
      </c>
      <c r="D1841" s="138">
        <v>75000</v>
      </c>
      <c r="E1841" s="138">
        <v>350665.3</v>
      </c>
    </row>
    <row r="1842" spans="1:5" x14ac:dyDescent="0.25">
      <c r="A1842" s="91" t="s">
        <v>8346</v>
      </c>
      <c r="B1842" s="138">
        <v>0</v>
      </c>
      <c r="C1842" s="138">
        <v>10000.200000000001</v>
      </c>
      <c r="D1842" s="138">
        <v>0</v>
      </c>
      <c r="E1842" s="138">
        <v>10000.200000000001</v>
      </c>
    </row>
    <row r="1843" spans="1:5" x14ac:dyDescent="0.25">
      <c r="A1843" s="91" t="s">
        <v>8382</v>
      </c>
      <c r="B1843" s="138">
        <v>6000</v>
      </c>
      <c r="C1843" s="138">
        <v>0</v>
      </c>
      <c r="D1843" s="138">
        <v>6000</v>
      </c>
      <c r="E1843" s="138">
        <v>12000</v>
      </c>
    </row>
    <row r="1844" spans="1:5" x14ac:dyDescent="0.25">
      <c r="A1844" s="91" t="s">
        <v>9522</v>
      </c>
      <c r="B1844" s="138">
        <v>1213225.72</v>
      </c>
      <c r="C1844" s="138">
        <v>1050225.17</v>
      </c>
      <c r="D1844" s="138"/>
      <c r="E1844" s="138">
        <v>2263450.8899999997</v>
      </c>
    </row>
    <row r="1845" spans="1:5" x14ac:dyDescent="0.25">
      <c r="A1845" s="91" t="s">
        <v>9523</v>
      </c>
      <c r="B1845" s="138">
        <v>312113</v>
      </c>
      <c r="C1845" s="138">
        <v>260094.3</v>
      </c>
      <c r="D1845" s="138"/>
      <c r="E1845" s="138">
        <v>572207.30000000005</v>
      </c>
    </row>
    <row r="1846" spans="1:5" x14ac:dyDescent="0.25">
      <c r="A1846" s="91" t="s">
        <v>7843</v>
      </c>
      <c r="B1846" s="138">
        <v>20000</v>
      </c>
      <c r="C1846" s="138">
        <v>4666.8500000000004</v>
      </c>
      <c r="D1846" s="138">
        <v>20000</v>
      </c>
      <c r="E1846" s="138">
        <v>44666.85</v>
      </c>
    </row>
    <row r="1847" spans="1:5" x14ac:dyDescent="0.25">
      <c r="A1847" s="91" t="s">
        <v>7860</v>
      </c>
      <c r="B1847" s="138">
        <v>30000</v>
      </c>
      <c r="C1847" s="138">
        <v>986</v>
      </c>
      <c r="D1847" s="138">
        <v>30000</v>
      </c>
      <c r="E1847" s="138">
        <v>60986</v>
      </c>
    </row>
    <row r="1848" spans="1:5" x14ac:dyDescent="0.25">
      <c r="A1848" s="91" t="s">
        <v>9524</v>
      </c>
      <c r="B1848" s="138">
        <v>315745.13</v>
      </c>
      <c r="C1848" s="138">
        <v>266953.42</v>
      </c>
      <c r="D1848" s="138"/>
      <c r="E1848" s="138">
        <v>582698.55000000005</v>
      </c>
    </row>
    <row r="1849" spans="1:5" x14ac:dyDescent="0.25">
      <c r="A1849" s="91" t="s">
        <v>9525</v>
      </c>
      <c r="B1849" s="138">
        <v>95811</v>
      </c>
      <c r="C1849" s="138">
        <v>78587.990000000005</v>
      </c>
      <c r="D1849" s="138"/>
      <c r="E1849" s="138">
        <v>174398.99</v>
      </c>
    </row>
    <row r="1850" spans="1:5" x14ac:dyDescent="0.25">
      <c r="A1850" s="91" t="s">
        <v>9526</v>
      </c>
      <c r="B1850" s="138">
        <v>22407.41</v>
      </c>
      <c r="C1850" s="138">
        <v>18965.86</v>
      </c>
      <c r="D1850" s="138"/>
      <c r="E1850" s="138">
        <v>41373.270000000004</v>
      </c>
    </row>
    <row r="1851" spans="1:5" x14ac:dyDescent="0.25">
      <c r="A1851" s="91" t="s">
        <v>9527</v>
      </c>
      <c r="B1851" s="138">
        <v>372703.85</v>
      </c>
      <c r="C1851" s="138">
        <v>305419.64</v>
      </c>
      <c r="D1851" s="138"/>
      <c r="E1851" s="138">
        <v>678123.49</v>
      </c>
    </row>
    <row r="1852" spans="1:5" x14ac:dyDescent="0.25">
      <c r="A1852" s="91" t="s">
        <v>9528</v>
      </c>
      <c r="B1852" s="138">
        <v>772.67</v>
      </c>
      <c r="C1852" s="138">
        <v>657.03</v>
      </c>
      <c r="D1852" s="138"/>
      <c r="E1852" s="138">
        <v>1429.6999999999998</v>
      </c>
    </row>
    <row r="1853" spans="1:5" x14ac:dyDescent="0.25">
      <c r="A1853" s="91" t="s">
        <v>9529</v>
      </c>
      <c r="B1853" s="138">
        <v>29786.5</v>
      </c>
      <c r="C1853" s="138">
        <v>24930.07</v>
      </c>
      <c r="D1853" s="138"/>
      <c r="E1853" s="138">
        <v>54716.57</v>
      </c>
    </row>
    <row r="1854" spans="1:5" x14ac:dyDescent="0.25">
      <c r="A1854" s="91" t="s">
        <v>9530</v>
      </c>
      <c r="B1854" s="138">
        <v>14400</v>
      </c>
      <c r="C1854" s="138">
        <v>10800</v>
      </c>
      <c r="D1854" s="138"/>
      <c r="E1854" s="138">
        <v>25200</v>
      </c>
    </row>
    <row r="1855" spans="1:5" x14ac:dyDescent="0.25">
      <c r="A1855" s="91" t="s">
        <v>7983</v>
      </c>
      <c r="B1855" s="138">
        <v>8500</v>
      </c>
      <c r="C1855" s="138">
        <v>5584.36</v>
      </c>
      <c r="D1855" s="138">
        <v>4500</v>
      </c>
      <c r="E1855" s="138">
        <v>18584.36</v>
      </c>
    </row>
    <row r="1856" spans="1:5" x14ac:dyDescent="0.25">
      <c r="A1856" s="91" t="s">
        <v>8024</v>
      </c>
      <c r="B1856" s="138">
        <v>80170</v>
      </c>
      <c r="C1856" s="138">
        <v>48505</v>
      </c>
      <c r="D1856" s="138">
        <v>80170</v>
      </c>
      <c r="E1856" s="138">
        <v>208845</v>
      </c>
    </row>
    <row r="1857" spans="1:5" x14ac:dyDescent="0.25">
      <c r="A1857" s="91" t="s">
        <v>8035</v>
      </c>
      <c r="B1857" s="138">
        <v>6000</v>
      </c>
      <c r="C1857" s="138">
        <v>0</v>
      </c>
      <c r="D1857" s="138">
        <v>10000</v>
      </c>
      <c r="E1857" s="138">
        <v>16000</v>
      </c>
    </row>
    <row r="1858" spans="1:5" x14ac:dyDescent="0.25">
      <c r="A1858" s="91" t="s">
        <v>8072</v>
      </c>
      <c r="B1858" s="138">
        <v>617.94000000000005</v>
      </c>
      <c r="C1858" s="138">
        <v>617.94000000000005</v>
      </c>
      <c r="D1858" s="138">
        <v>10000</v>
      </c>
      <c r="E1858" s="138">
        <v>11235.880000000001</v>
      </c>
    </row>
    <row r="1859" spans="1:5" x14ac:dyDescent="0.25">
      <c r="A1859" s="91" t="s">
        <v>8102</v>
      </c>
      <c r="B1859" s="138">
        <v>1500</v>
      </c>
      <c r="C1859" s="138">
        <v>1490</v>
      </c>
      <c r="D1859" s="138">
        <v>1500</v>
      </c>
      <c r="E1859" s="138">
        <v>4490</v>
      </c>
    </row>
    <row r="1860" spans="1:5" x14ac:dyDescent="0.25">
      <c r="A1860" s="91" t="s">
        <v>8132</v>
      </c>
      <c r="B1860" s="138">
        <v>139000</v>
      </c>
      <c r="C1860" s="138">
        <v>135051.1</v>
      </c>
      <c r="D1860" s="138">
        <v>139000</v>
      </c>
      <c r="E1860" s="138">
        <v>413051.1</v>
      </c>
    </row>
    <row r="1861" spans="1:5" x14ac:dyDescent="0.25">
      <c r="A1861" s="91" t="s">
        <v>8156</v>
      </c>
      <c r="B1861" s="138">
        <v>50000</v>
      </c>
      <c r="C1861" s="138">
        <v>18442.5</v>
      </c>
      <c r="D1861" s="138">
        <v>50000</v>
      </c>
      <c r="E1861" s="138">
        <v>118442.5</v>
      </c>
    </row>
    <row r="1862" spans="1:5" x14ac:dyDescent="0.25">
      <c r="A1862" s="91" t="s">
        <v>8274</v>
      </c>
      <c r="B1862" s="138">
        <v>108.17</v>
      </c>
      <c r="C1862" s="138">
        <v>9.07</v>
      </c>
      <c r="D1862" s="138">
        <v>1000</v>
      </c>
      <c r="E1862" s="138">
        <v>1117.24</v>
      </c>
    </row>
    <row r="1863" spans="1:5" x14ac:dyDescent="0.25">
      <c r="A1863" s="91" t="s">
        <v>8311</v>
      </c>
      <c r="B1863" s="138">
        <v>1190285</v>
      </c>
      <c r="C1863" s="138">
        <v>1189858.49</v>
      </c>
      <c r="D1863" s="138">
        <v>1256985</v>
      </c>
      <c r="E1863" s="138">
        <v>3637128.49</v>
      </c>
    </row>
    <row r="1864" spans="1:5" x14ac:dyDescent="0.25">
      <c r="A1864" s="91" t="s">
        <v>8326</v>
      </c>
      <c r="B1864" s="138">
        <v>1500</v>
      </c>
      <c r="C1864" s="138">
        <v>0</v>
      </c>
      <c r="D1864" s="138">
        <v>1500</v>
      </c>
      <c r="E1864" s="138">
        <v>3000</v>
      </c>
    </row>
    <row r="1865" spans="1:5" x14ac:dyDescent="0.25">
      <c r="A1865" s="91" t="s">
        <v>8383</v>
      </c>
      <c r="B1865" s="138">
        <v>3300</v>
      </c>
      <c r="C1865" s="138">
        <v>3095.4</v>
      </c>
      <c r="D1865" s="138">
        <v>3300</v>
      </c>
      <c r="E1865" s="138">
        <v>9695.4</v>
      </c>
    </row>
    <row r="1866" spans="1:5" x14ac:dyDescent="0.25">
      <c r="A1866" s="91" t="s">
        <v>8025</v>
      </c>
      <c r="B1866" s="138">
        <v>375000</v>
      </c>
      <c r="C1866" s="138">
        <v>0</v>
      </c>
      <c r="D1866" s="138"/>
      <c r="E1866" s="138">
        <v>375000</v>
      </c>
    </row>
    <row r="1867" spans="1:5" x14ac:dyDescent="0.25">
      <c r="A1867" s="91" t="s">
        <v>8384</v>
      </c>
      <c r="B1867" s="138">
        <v>90000</v>
      </c>
      <c r="C1867" s="138">
        <v>0</v>
      </c>
      <c r="D1867" s="138"/>
      <c r="E1867" s="138">
        <v>90000</v>
      </c>
    </row>
    <row r="1868" spans="1:5" x14ac:dyDescent="0.25">
      <c r="A1868" s="91" t="s">
        <v>7604</v>
      </c>
      <c r="B1868" s="138">
        <v>52999060.349999964</v>
      </c>
      <c r="C1868" s="138">
        <v>40391838.540000089</v>
      </c>
      <c r="D1868" s="138">
        <v>15301922.751</v>
      </c>
      <c r="E1868" s="138">
        <v>108692821.64100006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66"/>
  <sheetViews>
    <sheetView topLeftCell="H1" workbookViewId="0">
      <pane ySplit="1" topLeftCell="A4963" activePane="bottomLeft" state="frozen"/>
      <selection pane="bottomLeft" activeCell="L4984" sqref="L4984"/>
    </sheetView>
  </sheetViews>
  <sheetFormatPr defaultRowHeight="15" x14ac:dyDescent="0.25"/>
  <cols>
    <col min="1" max="1" width="29.85546875" style="148" bestFit="1" customWidth="1"/>
    <col min="2" max="2" width="31.140625" style="148" bestFit="1" customWidth="1"/>
    <col min="3" max="3" width="5.42578125" style="148" bestFit="1" customWidth="1"/>
    <col min="4" max="4" width="5.5703125" style="148" bestFit="1" customWidth="1"/>
    <col min="5" max="7" width="8.42578125" style="148" bestFit="1" customWidth="1"/>
    <col min="8" max="10" width="8.42578125" style="150" customWidth="1"/>
    <col min="11" max="11" width="31.140625" style="150" customWidth="1"/>
    <col min="12" max="12" width="72.85546875" style="148" bestFit="1" customWidth="1"/>
    <col min="13" max="13" width="15" style="170" bestFit="1" customWidth="1"/>
    <col min="14" max="14" width="45.28515625" style="148" customWidth="1"/>
    <col min="15" max="16384" width="9.140625" style="148"/>
  </cols>
  <sheetData>
    <row r="1" spans="1:13" x14ac:dyDescent="0.25">
      <c r="A1" s="145" t="s">
        <v>9531</v>
      </c>
      <c r="B1" s="145" t="s">
        <v>0</v>
      </c>
      <c r="C1" s="145" t="s">
        <v>6665</v>
      </c>
      <c r="D1" s="145" t="s">
        <v>6667</v>
      </c>
      <c r="E1" s="145" t="s">
        <v>6666</v>
      </c>
      <c r="F1" s="145" t="s">
        <v>6668</v>
      </c>
      <c r="G1" s="145" t="s">
        <v>6669</v>
      </c>
      <c r="H1" s="146" t="s">
        <v>6670</v>
      </c>
      <c r="I1" s="146" t="s">
        <v>7605</v>
      </c>
      <c r="J1" s="146" t="s">
        <v>9532</v>
      </c>
      <c r="K1" s="146" t="s">
        <v>9533</v>
      </c>
      <c r="L1" s="145" t="s">
        <v>9534</v>
      </c>
      <c r="M1" s="147" t="s">
        <v>9535</v>
      </c>
    </row>
    <row r="2" spans="1:13" s="149" customFormat="1" x14ac:dyDescent="0.25">
      <c r="A2" s="149" t="s">
        <v>7639</v>
      </c>
      <c r="B2" s="149" t="s">
        <v>2</v>
      </c>
      <c r="C2" s="149">
        <v>11</v>
      </c>
      <c r="D2" s="149">
        <v>0</v>
      </c>
      <c r="E2" s="149">
        <v>0</v>
      </c>
      <c r="F2" s="149">
        <v>0</v>
      </c>
      <c r="G2" s="149">
        <v>48110</v>
      </c>
      <c r="H2" s="150" t="str">
        <f>LEFT(G2,1)</f>
        <v>4</v>
      </c>
      <c r="I2" s="150" t="str">
        <f>LEFT(G2,2)</f>
        <v>48</v>
      </c>
      <c r="J2" s="150" t="str">
        <f>LEFT(G2,3)</f>
        <v>481</v>
      </c>
      <c r="K2" s="150" t="s">
        <v>9536</v>
      </c>
      <c r="L2" s="149" t="s">
        <v>3</v>
      </c>
      <c r="M2" s="151">
        <v>-3500</v>
      </c>
    </row>
    <row r="3" spans="1:13" s="149" customFormat="1" x14ac:dyDescent="0.25">
      <c r="A3" s="149" t="s">
        <v>7639</v>
      </c>
      <c r="B3" s="149" t="s">
        <v>4</v>
      </c>
      <c r="C3" s="149">
        <v>11</v>
      </c>
      <c r="D3" s="149">
        <v>0</v>
      </c>
      <c r="E3" s="149">
        <v>0</v>
      </c>
      <c r="F3" s="149">
        <v>0</v>
      </c>
      <c r="G3" s="149">
        <v>48160</v>
      </c>
      <c r="H3" s="150" t="str">
        <f t="shared" ref="H3:H66" si="0">LEFT(G3,1)</f>
        <v>4</v>
      </c>
      <c r="I3" s="150" t="str">
        <f t="shared" ref="I3:I66" si="1">LEFT(G3,2)</f>
        <v>48</v>
      </c>
      <c r="J3" s="150" t="str">
        <f t="shared" ref="J3:J66" si="2">LEFT(G3,3)</f>
        <v>481</v>
      </c>
      <c r="K3" s="150" t="s">
        <v>9537</v>
      </c>
      <c r="L3" s="149" t="s">
        <v>5</v>
      </c>
      <c r="M3" s="151">
        <v>-1500</v>
      </c>
    </row>
    <row r="4" spans="1:13" s="149" customFormat="1" x14ac:dyDescent="0.25">
      <c r="A4" s="149" t="s">
        <v>7639</v>
      </c>
      <c r="B4" s="149" t="s">
        <v>6</v>
      </c>
      <c r="C4" s="149">
        <v>11</v>
      </c>
      <c r="D4" s="149">
        <v>0</v>
      </c>
      <c r="E4" s="149">
        <v>0</v>
      </c>
      <c r="F4" s="149">
        <v>0</v>
      </c>
      <c r="G4" s="149">
        <v>48180</v>
      </c>
      <c r="H4" s="150" t="str">
        <f t="shared" si="0"/>
        <v>4</v>
      </c>
      <c r="I4" s="150" t="str">
        <f t="shared" si="1"/>
        <v>48</v>
      </c>
      <c r="J4" s="150" t="str">
        <f t="shared" si="2"/>
        <v>481</v>
      </c>
      <c r="K4" s="150" t="s">
        <v>9538</v>
      </c>
      <c r="L4" s="149" t="s">
        <v>7</v>
      </c>
      <c r="M4" s="151">
        <v>-12000</v>
      </c>
    </row>
    <row r="5" spans="1:13" s="149" customFormat="1" x14ac:dyDescent="0.25">
      <c r="A5" s="149" t="s">
        <v>7639</v>
      </c>
      <c r="B5" s="149" t="s">
        <v>8</v>
      </c>
      <c r="C5" s="149">
        <v>11</v>
      </c>
      <c r="D5" s="149">
        <v>0</v>
      </c>
      <c r="E5" s="149">
        <v>0</v>
      </c>
      <c r="F5" s="149">
        <v>0</v>
      </c>
      <c r="G5" s="149">
        <v>48611</v>
      </c>
      <c r="H5" s="150" t="str">
        <f t="shared" si="0"/>
        <v>4</v>
      </c>
      <c r="I5" s="150" t="str">
        <f t="shared" si="1"/>
        <v>48</v>
      </c>
      <c r="J5" s="150" t="str">
        <f t="shared" si="2"/>
        <v>486</v>
      </c>
      <c r="K5" s="150" t="s">
        <v>9539</v>
      </c>
      <c r="L5" s="149" t="s">
        <v>9</v>
      </c>
      <c r="M5" s="151">
        <v>-13535611</v>
      </c>
    </row>
    <row r="6" spans="1:13" s="149" customFormat="1" x14ac:dyDescent="0.25">
      <c r="A6" s="149" t="s">
        <v>7639</v>
      </c>
      <c r="B6" s="149" t="s">
        <v>10</v>
      </c>
      <c r="C6" s="149">
        <v>11</v>
      </c>
      <c r="D6" s="149">
        <v>0</v>
      </c>
      <c r="E6" s="149">
        <v>0</v>
      </c>
      <c r="F6" s="149">
        <v>0</v>
      </c>
      <c r="G6" s="149">
        <v>48613</v>
      </c>
      <c r="H6" s="150" t="str">
        <f t="shared" si="0"/>
        <v>4</v>
      </c>
      <c r="I6" s="150" t="str">
        <f t="shared" si="1"/>
        <v>48</v>
      </c>
      <c r="J6" s="150" t="str">
        <f t="shared" si="2"/>
        <v>486</v>
      </c>
      <c r="K6" s="150" t="s">
        <v>9540</v>
      </c>
      <c r="L6" s="149" t="s">
        <v>11</v>
      </c>
      <c r="M6" s="151">
        <v>-118400</v>
      </c>
    </row>
    <row r="7" spans="1:13" s="149" customFormat="1" x14ac:dyDescent="0.25">
      <c r="A7" s="149" t="s">
        <v>7639</v>
      </c>
      <c r="B7" s="149" t="s">
        <v>12</v>
      </c>
      <c r="C7" s="149">
        <v>11</v>
      </c>
      <c r="D7" s="149">
        <v>0</v>
      </c>
      <c r="E7" s="149">
        <v>0</v>
      </c>
      <c r="F7" s="149">
        <v>0</v>
      </c>
      <c r="G7" s="149">
        <v>48614</v>
      </c>
      <c r="H7" s="150" t="str">
        <f t="shared" si="0"/>
        <v>4</v>
      </c>
      <c r="I7" s="150" t="str">
        <f t="shared" si="1"/>
        <v>48</v>
      </c>
      <c r="J7" s="150" t="str">
        <f t="shared" si="2"/>
        <v>486</v>
      </c>
      <c r="K7" s="150" t="s">
        <v>9541</v>
      </c>
      <c r="L7" s="149" t="s">
        <v>13</v>
      </c>
      <c r="M7" s="151">
        <v>-75533</v>
      </c>
    </row>
    <row r="8" spans="1:13" s="149" customFormat="1" x14ac:dyDescent="0.25">
      <c r="A8" s="149" t="s">
        <v>7639</v>
      </c>
      <c r="B8" s="149" t="s">
        <v>14</v>
      </c>
      <c r="C8" s="149">
        <v>11</v>
      </c>
      <c r="D8" s="149">
        <v>0</v>
      </c>
      <c r="E8" s="149">
        <v>0</v>
      </c>
      <c r="F8" s="149">
        <v>0</v>
      </c>
      <c r="G8" s="149">
        <v>48616</v>
      </c>
      <c r="H8" s="150" t="str">
        <f t="shared" si="0"/>
        <v>4</v>
      </c>
      <c r="I8" s="150" t="str">
        <f t="shared" si="1"/>
        <v>48</v>
      </c>
      <c r="J8" s="150" t="str">
        <f t="shared" si="2"/>
        <v>486</v>
      </c>
      <c r="K8" s="150" t="s">
        <v>9542</v>
      </c>
      <c r="L8" s="149" t="s">
        <v>15</v>
      </c>
      <c r="M8" s="151">
        <v>-206857</v>
      </c>
    </row>
    <row r="9" spans="1:13" s="149" customFormat="1" x14ac:dyDescent="0.25">
      <c r="A9" s="149" t="s">
        <v>7639</v>
      </c>
      <c r="B9" s="149" t="s">
        <v>16</v>
      </c>
      <c r="C9" s="149">
        <v>11</v>
      </c>
      <c r="D9" s="149">
        <v>0</v>
      </c>
      <c r="E9" s="149">
        <v>0</v>
      </c>
      <c r="F9" s="149">
        <v>0</v>
      </c>
      <c r="G9" s="149">
        <v>48617</v>
      </c>
      <c r="H9" s="150" t="str">
        <f t="shared" si="0"/>
        <v>4</v>
      </c>
      <c r="I9" s="150" t="str">
        <f t="shared" si="1"/>
        <v>48</v>
      </c>
      <c r="J9" s="150" t="str">
        <f t="shared" si="2"/>
        <v>486</v>
      </c>
      <c r="K9" s="150" t="s">
        <v>9543</v>
      </c>
      <c r="L9" s="149" t="s">
        <v>17</v>
      </c>
      <c r="M9" s="151">
        <v>0</v>
      </c>
    </row>
    <row r="10" spans="1:13" s="149" customFormat="1" x14ac:dyDescent="0.25">
      <c r="A10" s="149" t="s">
        <v>7639</v>
      </c>
      <c r="B10" s="149" t="s">
        <v>18</v>
      </c>
      <c r="C10" s="149">
        <v>11</v>
      </c>
      <c r="D10" s="149">
        <v>0</v>
      </c>
      <c r="E10" s="149">
        <v>0</v>
      </c>
      <c r="F10" s="149">
        <v>0</v>
      </c>
      <c r="G10" s="149">
        <v>48630</v>
      </c>
      <c r="H10" s="150" t="str">
        <f t="shared" si="0"/>
        <v>4</v>
      </c>
      <c r="I10" s="150" t="str">
        <f t="shared" si="1"/>
        <v>48</v>
      </c>
      <c r="J10" s="150" t="str">
        <f t="shared" si="2"/>
        <v>486</v>
      </c>
      <c r="K10" s="150" t="s">
        <v>9544</v>
      </c>
      <c r="L10" s="149" t="s">
        <v>19</v>
      </c>
      <c r="M10" s="151">
        <v>0</v>
      </c>
    </row>
    <row r="11" spans="1:13" s="149" customFormat="1" x14ac:dyDescent="0.25">
      <c r="A11" s="149" t="s">
        <v>7639</v>
      </c>
      <c r="B11" s="149" t="s">
        <v>20</v>
      </c>
      <c r="C11" s="149">
        <v>11</v>
      </c>
      <c r="D11" s="149">
        <v>0</v>
      </c>
      <c r="E11" s="149">
        <v>0</v>
      </c>
      <c r="F11" s="149">
        <v>0</v>
      </c>
      <c r="G11" s="149">
        <v>48668</v>
      </c>
      <c r="H11" s="150" t="str">
        <f t="shared" si="0"/>
        <v>4</v>
      </c>
      <c r="I11" s="150" t="str">
        <f t="shared" si="1"/>
        <v>48</v>
      </c>
      <c r="J11" s="150" t="str">
        <f t="shared" si="2"/>
        <v>486</v>
      </c>
      <c r="K11" s="150" t="s">
        <v>9545</v>
      </c>
      <c r="L11" s="149" t="s">
        <v>21</v>
      </c>
      <c r="M11" s="151">
        <v>-326873</v>
      </c>
    </row>
    <row r="12" spans="1:13" s="149" customFormat="1" x14ac:dyDescent="0.25">
      <c r="A12" s="149" t="s">
        <v>7639</v>
      </c>
      <c r="B12" s="149" t="s">
        <v>22</v>
      </c>
      <c r="C12" s="149">
        <v>11</v>
      </c>
      <c r="D12" s="149">
        <v>0</v>
      </c>
      <c r="E12" s="149">
        <v>0</v>
      </c>
      <c r="F12" s="149">
        <v>0</v>
      </c>
      <c r="G12" s="149">
        <v>48670</v>
      </c>
      <c r="H12" s="150" t="str">
        <f t="shared" si="0"/>
        <v>4</v>
      </c>
      <c r="I12" s="150" t="str">
        <f t="shared" si="1"/>
        <v>48</v>
      </c>
      <c r="J12" s="150" t="str">
        <f t="shared" si="2"/>
        <v>486</v>
      </c>
      <c r="K12" s="150" t="s">
        <v>9546</v>
      </c>
      <c r="L12" s="149" t="s">
        <v>23</v>
      </c>
      <c r="M12" s="151">
        <v>-105000</v>
      </c>
    </row>
    <row r="13" spans="1:13" s="149" customFormat="1" x14ac:dyDescent="0.25">
      <c r="A13" s="149" t="s">
        <v>7639</v>
      </c>
      <c r="B13" s="149" t="s">
        <v>24</v>
      </c>
      <c r="C13" s="149">
        <v>11</v>
      </c>
      <c r="D13" s="149">
        <v>0</v>
      </c>
      <c r="E13" s="149">
        <v>0</v>
      </c>
      <c r="F13" s="149">
        <v>0</v>
      </c>
      <c r="G13" s="149">
        <v>48681</v>
      </c>
      <c r="H13" s="150" t="str">
        <f t="shared" si="0"/>
        <v>4</v>
      </c>
      <c r="I13" s="150" t="str">
        <f t="shared" si="1"/>
        <v>48</v>
      </c>
      <c r="J13" s="150" t="str">
        <f t="shared" si="2"/>
        <v>486</v>
      </c>
      <c r="K13" s="150" t="s">
        <v>9547</v>
      </c>
      <c r="L13" s="149" t="s">
        <v>25</v>
      </c>
      <c r="M13" s="151">
        <v>-222046</v>
      </c>
    </row>
    <row r="14" spans="1:13" s="149" customFormat="1" x14ac:dyDescent="0.25">
      <c r="A14" s="149" t="s">
        <v>7639</v>
      </c>
      <c r="B14" s="149" t="s">
        <v>26</v>
      </c>
      <c r="C14" s="149">
        <v>11</v>
      </c>
      <c r="D14" s="149">
        <v>0</v>
      </c>
      <c r="E14" s="149">
        <v>0</v>
      </c>
      <c r="F14" s="149">
        <v>0</v>
      </c>
      <c r="G14" s="149">
        <v>48811</v>
      </c>
      <c r="H14" s="150" t="str">
        <f t="shared" si="0"/>
        <v>4</v>
      </c>
      <c r="I14" s="150" t="str">
        <f t="shared" si="1"/>
        <v>48</v>
      </c>
      <c r="J14" s="150" t="str">
        <f t="shared" si="2"/>
        <v>488</v>
      </c>
      <c r="K14" s="150" t="s">
        <v>9548</v>
      </c>
      <c r="L14" s="149" t="s">
        <v>27</v>
      </c>
      <c r="M14" s="151">
        <v>-26452404</v>
      </c>
    </row>
    <row r="15" spans="1:13" s="149" customFormat="1" x14ac:dyDescent="0.25">
      <c r="A15" s="149" t="s">
        <v>7639</v>
      </c>
      <c r="B15" s="149" t="s">
        <v>28</v>
      </c>
      <c r="C15" s="149">
        <v>11</v>
      </c>
      <c r="D15" s="149">
        <v>0</v>
      </c>
      <c r="E15" s="149">
        <v>0</v>
      </c>
      <c r="F15" s="149">
        <v>0</v>
      </c>
      <c r="G15" s="149">
        <v>48812</v>
      </c>
      <c r="H15" s="150" t="str">
        <f t="shared" si="0"/>
        <v>4</v>
      </c>
      <c r="I15" s="150" t="str">
        <f t="shared" si="1"/>
        <v>48</v>
      </c>
      <c r="J15" s="150" t="str">
        <f t="shared" si="2"/>
        <v>488</v>
      </c>
      <c r="K15" s="150" t="s">
        <v>9549</v>
      </c>
      <c r="L15" s="149" t="s">
        <v>29</v>
      </c>
      <c r="M15" s="151">
        <v>0</v>
      </c>
    </row>
    <row r="16" spans="1:13" s="149" customFormat="1" x14ac:dyDescent="0.25">
      <c r="A16" s="149" t="s">
        <v>7639</v>
      </c>
      <c r="B16" s="149" t="s">
        <v>30</v>
      </c>
      <c r="C16" s="149">
        <v>11</v>
      </c>
      <c r="D16" s="149">
        <v>0</v>
      </c>
      <c r="E16" s="149">
        <v>0</v>
      </c>
      <c r="F16" s="149">
        <v>0</v>
      </c>
      <c r="G16" s="149">
        <v>48813</v>
      </c>
      <c r="H16" s="150" t="str">
        <f t="shared" si="0"/>
        <v>4</v>
      </c>
      <c r="I16" s="150" t="str">
        <f t="shared" si="1"/>
        <v>48</v>
      </c>
      <c r="J16" s="150" t="str">
        <f t="shared" si="2"/>
        <v>488</v>
      </c>
      <c r="K16" s="150" t="s">
        <v>9550</v>
      </c>
      <c r="L16" s="149" t="s">
        <v>31</v>
      </c>
      <c r="M16" s="151">
        <v>0</v>
      </c>
    </row>
    <row r="17" spans="1:13" s="149" customFormat="1" x14ac:dyDescent="0.25">
      <c r="A17" s="149" t="s">
        <v>7639</v>
      </c>
      <c r="B17" s="149" t="s">
        <v>32</v>
      </c>
      <c r="C17" s="149">
        <v>11</v>
      </c>
      <c r="D17" s="149">
        <v>0</v>
      </c>
      <c r="E17" s="149">
        <v>0</v>
      </c>
      <c r="F17" s="149">
        <v>0</v>
      </c>
      <c r="G17" s="149">
        <v>48814</v>
      </c>
      <c r="H17" s="150" t="str">
        <f t="shared" si="0"/>
        <v>4</v>
      </c>
      <c r="I17" s="150" t="str">
        <f t="shared" si="1"/>
        <v>48</v>
      </c>
      <c r="J17" s="150" t="str">
        <f t="shared" si="2"/>
        <v>488</v>
      </c>
      <c r="K17" s="150" t="s">
        <v>9551</v>
      </c>
      <c r="L17" s="149" t="s">
        <v>33</v>
      </c>
      <c r="M17" s="151">
        <v>0</v>
      </c>
    </row>
    <row r="18" spans="1:13" s="149" customFormat="1" x14ac:dyDescent="0.25">
      <c r="A18" s="149" t="s">
        <v>7639</v>
      </c>
      <c r="B18" s="149" t="s">
        <v>34</v>
      </c>
      <c r="C18" s="149">
        <v>11</v>
      </c>
      <c r="D18" s="149">
        <v>0</v>
      </c>
      <c r="E18" s="149">
        <v>0</v>
      </c>
      <c r="F18" s="149">
        <v>0</v>
      </c>
      <c r="G18" s="149">
        <v>48817</v>
      </c>
      <c r="H18" s="150" t="str">
        <f t="shared" si="0"/>
        <v>4</v>
      </c>
      <c r="I18" s="150" t="str">
        <f t="shared" si="1"/>
        <v>48</v>
      </c>
      <c r="J18" s="150" t="str">
        <f t="shared" si="2"/>
        <v>488</v>
      </c>
      <c r="K18" s="150" t="s">
        <v>9552</v>
      </c>
      <c r="L18" s="149" t="s">
        <v>35</v>
      </c>
      <c r="M18" s="151">
        <v>0</v>
      </c>
    </row>
    <row r="19" spans="1:13" s="149" customFormat="1" x14ac:dyDescent="0.25">
      <c r="A19" s="149" t="s">
        <v>7639</v>
      </c>
      <c r="B19" s="149" t="s">
        <v>36</v>
      </c>
      <c r="C19" s="149">
        <v>11</v>
      </c>
      <c r="D19" s="149">
        <v>0</v>
      </c>
      <c r="E19" s="149">
        <v>0</v>
      </c>
      <c r="F19" s="149">
        <v>0</v>
      </c>
      <c r="G19" s="149">
        <v>48818</v>
      </c>
      <c r="H19" s="150" t="str">
        <f t="shared" si="0"/>
        <v>4</v>
      </c>
      <c r="I19" s="150" t="str">
        <f t="shared" si="1"/>
        <v>48</v>
      </c>
      <c r="J19" s="150" t="str">
        <f t="shared" si="2"/>
        <v>488</v>
      </c>
      <c r="K19" s="150" t="s">
        <v>9553</v>
      </c>
      <c r="L19" s="149" t="s">
        <v>37</v>
      </c>
      <c r="M19" s="151">
        <v>0</v>
      </c>
    </row>
    <row r="20" spans="1:13" s="149" customFormat="1" x14ac:dyDescent="0.25">
      <c r="A20" s="149" t="s">
        <v>7639</v>
      </c>
      <c r="B20" s="149" t="s">
        <v>38</v>
      </c>
      <c r="C20" s="149">
        <v>11</v>
      </c>
      <c r="D20" s="149">
        <v>0</v>
      </c>
      <c r="E20" s="149">
        <v>0</v>
      </c>
      <c r="F20" s="149">
        <v>0</v>
      </c>
      <c r="G20" s="149">
        <v>48819</v>
      </c>
      <c r="H20" s="150" t="str">
        <f t="shared" si="0"/>
        <v>4</v>
      </c>
      <c r="I20" s="150" t="str">
        <f t="shared" si="1"/>
        <v>48</v>
      </c>
      <c r="J20" s="150" t="str">
        <f t="shared" si="2"/>
        <v>488</v>
      </c>
      <c r="K20" s="150" t="s">
        <v>9554</v>
      </c>
      <c r="L20" s="149" t="s">
        <v>39</v>
      </c>
      <c r="M20" s="151">
        <v>0</v>
      </c>
    </row>
    <row r="21" spans="1:13" s="149" customFormat="1" x14ac:dyDescent="0.25">
      <c r="A21" s="149" t="s">
        <v>7639</v>
      </c>
      <c r="B21" s="149" t="s">
        <v>40</v>
      </c>
      <c r="C21" s="149">
        <v>11</v>
      </c>
      <c r="D21" s="149">
        <v>0</v>
      </c>
      <c r="E21" s="149">
        <v>0</v>
      </c>
      <c r="F21" s="149">
        <v>0</v>
      </c>
      <c r="G21" s="149">
        <v>48860</v>
      </c>
      <c r="H21" s="150" t="str">
        <f t="shared" si="0"/>
        <v>4</v>
      </c>
      <c r="I21" s="150" t="str">
        <f t="shared" si="1"/>
        <v>48</v>
      </c>
      <c r="J21" s="150" t="str">
        <f t="shared" si="2"/>
        <v>488</v>
      </c>
      <c r="K21" s="150" t="s">
        <v>9555</v>
      </c>
      <c r="L21" s="149" t="s">
        <v>41</v>
      </c>
      <c r="M21" s="151">
        <v>-243587.23</v>
      </c>
    </row>
    <row r="22" spans="1:13" s="149" customFormat="1" x14ac:dyDescent="0.25">
      <c r="A22" s="149" t="s">
        <v>7639</v>
      </c>
      <c r="B22" s="149" t="s">
        <v>42</v>
      </c>
      <c r="C22" s="149">
        <v>11</v>
      </c>
      <c r="D22" s="149">
        <v>0</v>
      </c>
      <c r="E22" s="149">
        <v>0</v>
      </c>
      <c r="F22" s="149">
        <v>0</v>
      </c>
      <c r="G22" s="149">
        <v>48872</v>
      </c>
      <c r="H22" s="150" t="str">
        <f t="shared" si="0"/>
        <v>4</v>
      </c>
      <c r="I22" s="150" t="str">
        <f t="shared" si="1"/>
        <v>48</v>
      </c>
      <c r="J22" s="150" t="str">
        <f t="shared" si="2"/>
        <v>488</v>
      </c>
      <c r="K22" s="150" t="s">
        <v>9556</v>
      </c>
      <c r="L22" s="149" t="s">
        <v>43</v>
      </c>
      <c r="M22" s="151">
        <v>0</v>
      </c>
    </row>
    <row r="23" spans="1:13" s="149" customFormat="1" x14ac:dyDescent="0.25">
      <c r="A23" s="149" t="s">
        <v>7639</v>
      </c>
      <c r="B23" s="149" t="s">
        <v>44</v>
      </c>
      <c r="C23" s="149">
        <v>11</v>
      </c>
      <c r="D23" s="149">
        <v>0</v>
      </c>
      <c r="E23" s="149">
        <v>0</v>
      </c>
      <c r="F23" s="149">
        <v>0</v>
      </c>
      <c r="G23" s="149">
        <v>48874</v>
      </c>
      <c r="H23" s="150" t="str">
        <f t="shared" si="0"/>
        <v>4</v>
      </c>
      <c r="I23" s="150" t="str">
        <f t="shared" si="1"/>
        <v>48</v>
      </c>
      <c r="J23" s="150" t="str">
        <f t="shared" si="2"/>
        <v>488</v>
      </c>
      <c r="K23" s="150" t="s">
        <v>9557</v>
      </c>
      <c r="L23" s="149" t="s">
        <v>45</v>
      </c>
      <c r="M23" s="151">
        <v>-2150000</v>
      </c>
    </row>
    <row r="24" spans="1:13" s="149" customFormat="1" x14ac:dyDescent="0.25">
      <c r="A24" s="149" t="s">
        <v>7639</v>
      </c>
      <c r="B24" s="149" t="s">
        <v>46</v>
      </c>
      <c r="C24" s="149">
        <v>11</v>
      </c>
      <c r="D24" s="149">
        <v>0</v>
      </c>
      <c r="E24" s="149">
        <v>0</v>
      </c>
      <c r="F24" s="149">
        <v>0</v>
      </c>
      <c r="G24" s="149">
        <v>48879</v>
      </c>
      <c r="H24" s="150" t="str">
        <f t="shared" si="0"/>
        <v>4</v>
      </c>
      <c r="I24" s="150" t="str">
        <f t="shared" si="1"/>
        <v>48</v>
      </c>
      <c r="J24" s="150" t="str">
        <f t="shared" si="2"/>
        <v>488</v>
      </c>
      <c r="K24" s="150" t="s">
        <v>9558</v>
      </c>
      <c r="L24" s="149" t="s">
        <v>47</v>
      </c>
      <c r="M24" s="151">
        <v>-54000</v>
      </c>
    </row>
    <row r="25" spans="1:13" s="149" customFormat="1" x14ac:dyDescent="0.25">
      <c r="A25" s="149" t="s">
        <v>7639</v>
      </c>
      <c r="B25" s="149" t="s">
        <v>48</v>
      </c>
      <c r="C25" s="149">
        <v>11</v>
      </c>
      <c r="D25" s="149">
        <v>0</v>
      </c>
      <c r="E25" s="149">
        <v>0</v>
      </c>
      <c r="F25" s="149">
        <v>0</v>
      </c>
      <c r="G25" s="149">
        <v>48880</v>
      </c>
      <c r="H25" s="150" t="str">
        <f t="shared" si="0"/>
        <v>4</v>
      </c>
      <c r="I25" s="150" t="str">
        <f t="shared" si="1"/>
        <v>48</v>
      </c>
      <c r="J25" s="150" t="str">
        <f t="shared" si="2"/>
        <v>488</v>
      </c>
      <c r="K25" s="150" t="s">
        <v>9559</v>
      </c>
      <c r="L25" s="149" t="s">
        <v>49</v>
      </c>
      <c r="M25" s="151">
        <v>-116618</v>
      </c>
    </row>
    <row r="26" spans="1:13" s="149" customFormat="1" x14ac:dyDescent="0.25">
      <c r="A26" s="149" t="s">
        <v>7639</v>
      </c>
      <c r="B26" s="149" t="s">
        <v>50</v>
      </c>
      <c r="C26" s="149">
        <v>11</v>
      </c>
      <c r="D26" s="149">
        <v>0</v>
      </c>
      <c r="E26" s="149">
        <v>0</v>
      </c>
      <c r="F26" s="149">
        <v>0</v>
      </c>
      <c r="G26" s="149">
        <v>48890</v>
      </c>
      <c r="H26" s="150" t="str">
        <f t="shared" si="0"/>
        <v>4</v>
      </c>
      <c r="I26" s="150" t="str">
        <f t="shared" si="1"/>
        <v>48</v>
      </c>
      <c r="J26" s="150" t="str">
        <f t="shared" si="2"/>
        <v>488</v>
      </c>
      <c r="K26" s="150" t="s">
        <v>9560</v>
      </c>
      <c r="L26" s="149" t="s">
        <v>51</v>
      </c>
      <c r="M26" s="151">
        <v>-20000</v>
      </c>
    </row>
    <row r="27" spans="1:13" s="149" customFormat="1" x14ac:dyDescent="0.25">
      <c r="A27" s="149" t="s">
        <v>7639</v>
      </c>
      <c r="B27" s="149" t="s">
        <v>52</v>
      </c>
      <c r="C27" s="149">
        <v>11</v>
      </c>
      <c r="D27" s="149">
        <v>0</v>
      </c>
      <c r="E27" s="149">
        <v>0</v>
      </c>
      <c r="F27" s="149">
        <v>0</v>
      </c>
      <c r="G27" s="149">
        <v>48892</v>
      </c>
      <c r="H27" s="150" t="str">
        <f t="shared" si="0"/>
        <v>4</v>
      </c>
      <c r="I27" s="150" t="str">
        <f t="shared" si="1"/>
        <v>48</v>
      </c>
      <c r="J27" s="150" t="str">
        <f t="shared" si="2"/>
        <v>488</v>
      </c>
      <c r="K27" s="150" t="s">
        <v>9561</v>
      </c>
      <c r="L27" s="149" t="s">
        <v>53</v>
      </c>
      <c r="M27" s="151">
        <v>0</v>
      </c>
    </row>
    <row r="28" spans="1:13" s="149" customFormat="1" x14ac:dyDescent="0.25">
      <c r="A28" s="149" t="s">
        <v>7639</v>
      </c>
      <c r="B28" s="149" t="s">
        <v>54</v>
      </c>
      <c r="C28" s="149">
        <v>11</v>
      </c>
      <c r="D28" s="149">
        <v>0</v>
      </c>
      <c r="E28" s="149">
        <v>0</v>
      </c>
      <c r="F28" s="149">
        <v>0</v>
      </c>
      <c r="G28" s="149">
        <v>48980</v>
      </c>
      <c r="H28" s="150" t="str">
        <f t="shared" si="0"/>
        <v>4</v>
      </c>
      <c r="I28" s="150" t="str">
        <f t="shared" si="1"/>
        <v>48</v>
      </c>
      <c r="J28" s="150" t="str">
        <f t="shared" si="2"/>
        <v>489</v>
      </c>
      <c r="K28" s="150" t="s">
        <v>9562</v>
      </c>
      <c r="L28" s="149" t="s">
        <v>55</v>
      </c>
      <c r="M28" s="151">
        <v>-100000</v>
      </c>
    </row>
    <row r="29" spans="1:13" s="149" customFormat="1" x14ac:dyDescent="0.25">
      <c r="A29" s="149" t="s">
        <v>7639</v>
      </c>
      <c r="B29" s="149" t="s">
        <v>56</v>
      </c>
      <c r="C29" s="149">
        <v>11</v>
      </c>
      <c r="D29" s="149">
        <v>0</v>
      </c>
      <c r="E29" s="149">
        <v>0</v>
      </c>
      <c r="F29" s="149">
        <v>677010</v>
      </c>
      <c r="G29" s="149">
        <v>48887</v>
      </c>
      <c r="H29" s="150" t="str">
        <f t="shared" si="0"/>
        <v>4</v>
      </c>
      <c r="I29" s="150" t="str">
        <f t="shared" si="1"/>
        <v>48</v>
      </c>
      <c r="J29" s="150" t="str">
        <f t="shared" si="2"/>
        <v>488</v>
      </c>
      <c r="K29" s="150" t="s">
        <v>9563</v>
      </c>
      <c r="L29" s="149" t="s">
        <v>57</v>
      </c>
      <c r="M29" s="151">
        <v>0</v>
      </c>
    </row>
    <row r="30" spans="1:13" s="149" customFormat="1" x14ac:dyDescent="0.25">
      <c r="A30" s="149" t="s">
        <v>7639</v>
      </c>
      <c r="B30" s="149" t="s">
        <v>58</v>
      </c>
      <c r="C30" s="149">
        <v>11</v>
      </c>
      <c r="D30" s="149">
        <v>100</v>
      </c>
      <c r="E30" s="149">
        <v>0</v>
      </c>
      <c r="F30" s="149">
        <v>661000</v>
      </c>
      <c r="G30" s="149">
        <v>51205</v>
      </c>
      <c r="H30" s="150" t="str">
        <f t="shared" si="0"/>
        <v>5</v>
      </c>
      <c r="I30" s="150" t="str">
        <f t="shared" si="1"/>
        <v>51</v>
      </c>
      <c r="J30" s="150" t="str">
        <f t="shared" si="2"/>
        <v>512</v>
      </c>
      <c r="K30" s="150" t="s">
        <v>8401</v>
      </c>
      <c r="L30" s="149" t="s">
        <v>59</v>
      </c>
      <c r="M30" s="151">
        <v>191917.39</v>
      </c>
    </row>
    <row r="31" spans="1:13" s="149" customFormat="1" x14ac:dyDescent="0.25">
      <c r="A31" s="149" t="s">
        <v>7639</v>
      </c>
      <c r="B31" s="149" t="s">
        <v>60</v>
      </c>
      <c r="C31" s="149">
        <v>11</v>
      </c>
      <c r="D31" s="149">
        <v>100</v>
      </c>
      <c r="E31" s="149">
        <v>0</v>
      </c>
      <c r="F31" s="149">
        <v>661000</v>
      </c>
      <c r="G31" s="149">
        <v>52120</v>
      </c>
      <c r="H31" s="150" t="str">
        <f t="shared" si="0"/>
        <v>5</v>
      </c>
      <c r="I31" s="150" t="str">
        <f t="shared" si="1"/>
        <v>52</v>
      </c>
      <c r="J31" s="150" t="str">
        <f t="shared" si="2"/>
        <v>521</v>
      </c>
      <c r="K31" s="150" t="s">
        <v>8402</v>
      </c>
      <c r="L31" s="149" t="s">
        <v>61</v>
      </c>
      <c r="M31" s="151">
        <v>64103.14</v>
      </c>
    </row>
    <row r="32" spans="1:13" s="149" customFormat="1" x14ac:dyDescent="0.25">
      <c r="A32" s="149" t="s">
        <v>7639</v>
      </c>
      <c r="B32" s="149" t="s">
        <v>62</v>
      </c>
      <c r="C32" s="149">
        <v>11</v>
      </c>
      <c r="D32" s="149">
        <v>100</v>
      </c>
      <c r="E32" s="149">
        <v>0</v>
      </c>
      <c r="F32" s="149">
        <v>661000</v>
      </c>
      <c r="G32" s="149">
        <v>52300</v>
      </c>
      <c r="H32" s="150" t="str">
        <f t="shared" si="0"/>
        <v>5</v>
      </c>
      <c r="I32" s="150" t="str">
        <f t="shared" si="1"/>
        <v>52</v>
      </c>
      <c r="J32" s="150" t="str">
        <f t="shared" si="2"/>
        <v>523</v>
      </c>
      <c r="K32" s="150" t="s">
        <v>7806</v>
      </c>
      <c r="L32" s="149" t="s">
        <v>63</v>
      </c>
      <c r="M32" s="151">
        <v>3120</v>
      </c>
    </row>
    <row r="33" spans="1:13" s="149" customFormat="1" x14ac:dyDescent="0.25">
      <c r="A33" s="149" t="s">
        <v>7639</v>
      </c>
      <c r="B33" s="149" t="s">
        <v>64</v>
      </c>
      <c r="C33" s="149">
        <v>11</v>
      </c>
      <c r="D33" s="149">
        <v>100</v>
      </c>
      <c r="E33" s="149">
        <v>0</v>
      </c>
      <c r="F33" s="149">
        <v>661000</v>
      </c>
      <c r="G33" s="149">
        <v>53120</v>
      </c>
      <c r="H33" s="150" t="str">
        <f t="shared" si="0"/>
        <v>5</v>
      </c>
      <c r="I33" s="150" t="str">
        <f t="shared" si="1"/>
        <v>53</v>
      </c>
      <c r="J33" s="150" t="str">
        <f t="shared" si="2"/>
        <v>531</v>
      </c>
      <c r="K33" s="150" t="s">
        <v>8403</v>
      </c>
      <c r="L33" s="149" t="s">
        <v>65</v>
      </c>
      <c r="M33" s="151">
        <v>24736.5</v>
      </c>
    </row>
    <row r="34" spans="1:13" s="149" customFormat="1" x14ac:dyDescent="0.25">
      <c r="A34" s="149" t="s">
        <v>7639</v>
      </c>
      <c r="B34" s="149" t="s">
        <v>66</v>
      </c>
      <c r="C34" s="149">
        <v>11</v>
      </c>
      <c r="D34" s="149">
        <v>100</v>
      </c>
      <c r="E34" s="149">
        <v>0</v>
      </c>
      <c r="F34" s="149">
        <v>661000</v>
      </c>
      <c r="G34" s="149">
        <v>53220</v>
      </c>
      <c r="H34" s="150" t="str">
        <f t="shared" si="0"/>
        <v>5</v>
      </c>
      <c r="I34" s="150" t="str">
        <f t="shared" si="1"/>
        <v>53</v>
      </c>
      <c r="J34" s="150" t="str">
        <f t="shared" si="2"/>
        <v>532</v>
      </c>
      <c r="K34" s="150" t="s">
        <v>8404</v>
      </c>
      <c r="L34" s="149" t="s">
        <v>67</v>
      </c>
      <c r="M34" s="151">
        <v>13269.35</v>
      </c>
    </row>
    <row r="35" spans="1:13" s="149" customFormat="1" x14ac:dyDescent="0.25">
      <c r="A35" s="149" t="s">
        <v>7639</v>
      </c>
      <c r="B35" s="149" t="s">
        <v>68</v>
      </c>
      <c r="C35" s="149">
        <v>11</v>
      </c>
      <c r="D35" s="149">
        <v>100</v>
      </c>
      <c r="E35" s="149">
        <v>0</v>
      </c>
      <c r="F35" s="149">
        <v>661000</v>
      </c>
      <c r="G35" s="149">
        <v>53320</v>
      </c>
      <c r="H35" s="150" t="str">
        <f t="shared" si="0"/>
        <v>5</v>
      </c>
      <c r="I35" s="150" t="str">
        <f t="shared" si="1"/>
        <v>53</v>
      </c>
      <c r="J35" s="150" t="str">
        <f t="shared" si="2"/>
        <v>533</v>
      </c>
      <c r="K35" s="150" t="s">
        <v>8405</v>
      </c>
      <c r="L35" s="149" t="s">
        <v>69</v>
      </c>
      <c r="M35" s="151">
        <v>11576.83</v>
      </c>
    </row>
    <row r="36" spans="1:13" s="149" customFormat="1" x14ac:dyDescent="0.25">
      <c r="A36" s="149" t="s">
        <v>7639</v>
      </c>
      <c r="B36" s="149" t="s">
        <v>70</v>
      </c>
      <c r="C36" s="149">
        <v>11</v>
      </c>
      <c r="D36" s="149">
        <v>100</v>
      </c>
      <c r="E36" s="149">
        <v>0</v>
      </c>
      <c r="F36" s="149">
        <v>661000</v>
      </c>
      <c r="G36" s="149">
        <v>53340</v>
      </c>
      <c r="H36" s="150" t="str">
        <f t="shared" si="0"/>
        <v>5</v>
      </c>
      <c r="I36" s="150" t="str">
        <f t="shared" si="1"/>
        <v>53</v>
      </c>
      <c r="J36" s="150" t="str">
        <f t="shared" si="2"/>
        <v>533</v>
      </c>
      <c r="K36" s="150" t="s">
        <v>8406</v>
      </c>
      <c r="L36" s="149" t="s">
        <v>71</v>
      </c>
      <c r="M36" s="151">
        <v>3757.53</v>
      </c>
    </row>
    <row r="37" spans="1:13" s="149" customFormat="1" x14ac:dyDescent="0.25">
      <c r="A37" s="149" t="s">
        <v>7639</v>
      </c>
      <c r="B37" s="149" t="s">
        <v>72</v>
      </c>
      <c r="C37" s="149">
        <v>11</v>
      </c>
      <c r="D37" s="149">
        <v>100</v>
      </c>
      <c r="E37" s="149">
        <v>0</v>
      </c>
      <c r="F37" s="149">
        <v>661000</v>
      </c>
      <c r="G37" s="149">
        <v>53420</v>
      </c>
      <c r="H37" s="150" t="str">
        <f t="shared" si="0"/>
        <v>5</v>
      </c>
      <c r="I37" s="150" t="str">
        <f t="shared" si="1"/>
        <v>53</v>
      </c>
      <c r="J37" s="150" t="str">
        <f t="shared" si="2"/>
        <v>534</v>
      </c>
      <c r="K37" s="150" t="s">
        <v>8407</v>
      </c>
      <c r="L37" s="149" t="s">
        <v>73</v>
      </c>
      <c r="M37" s="151">
        <v>41611.279999999999</v>
      </c>
    </row>
    <row r="38" spans="1:13" s="149" customFormat="1" x14ac:dyDescent="0.25">
      <c r="A38" s="149" t="s">
        <v>7639</v>
      </c>
      <c r="B38" s="149" t="s">
        <v>74</v>
      </c>
      <c r="C38" s="149">
        <v>11</v>
      </c>
      <c r="D38" s="149">
        <v>100</v>
      </c>
      <c r="E38" s="149">
        <v>0</v>
      </c>
      <c r="F38" s="149">
        <v>661000</v>
      </c>
      <c r="G38" s="149">
        <v>53520</v>
      </c>
      <c r="H38" s="150" t="str">
        <f t="shared" si="0"/>
        <v>5</v>
      </c>
      <c r="I38" s="150" t="str">
        <f t="shared" si="1"/>
        <v>53</v>
      </c>
      <c r="J38" s="150" t="str">
        <f t="shared" si="2"/>
        <v>535</v>
      </c>
      <c r="K38" s="150" t="s">
        <v>8408</v>
      </c>
      <c r="L38" s="149" t="s">
        <v>75</v>
      </c>
      <c r="M38" s="151">
        <v>129.57</v>
      </c>
    </row>
    <row r="39" spans="1:13" s="149" customFormat="1" x14ac:dyDescent="0.25">
      <c r="A39" s="149" t="s">
        <v>7639</v>
      </c>
      <c r="B39" s="149" t="s">
        <v>76</v>
      </c>
      <c r="C39" s="149">
        <v>11</v>
      </c>
      <c r="D39" s="149">
        <v>100</v>
      </c>
      <c r="E39" s="149">
        <v>0</v>
      </c>
      <c r="F39" s="149">
        <v>661000</v>
      </c>
      <c r="G39" s="149">
        <v>53620</v>
      </c>
      <c r="H39" s="150" t="str">
        <f t="shared" si="0"/>
        <v>5</v>
      </c>
      <c r="I39" s="150" t="str">
        <f t="shared" si="1"/>
        <v>53</v>
      </c>
      <c r="J39" s="150" t="str">
        <f t="shared" si="2"/>
        <v>536</v>
      </c>
      <c r="K39" s="150" t="s">
        <v>8409</v>
      </c>
      <c r="L39" s="149" t="s">
        <v>77</v>
      </c>
      <c r="M39" s="151">
        <v>4899.84</v>
      </c>
    </row>
    <row r="40" spans="1:13" s="149" customFormat="1" x14ac:dyDescent="0.25">
      <c r="A40" s="149" t="s">
        <v>7639</v>
      </c>
      <c r="B40" s="149" t="s">
        <v>78</v>
      </c>
      <c r="C40" s="149">
        <v>11</v>
      </c>
      <c r="D40" s="149">
        <v>100</v>
      </c>
      <c r="E40" s="149">
        <v>0</v>
      </c>
      <c r="F40" s="149">
        <v>661000</v>
      </c>
      <c r="G40" s="149">
        <v>53902</v>
      </c>
      <c r="H40" s="150" t="str">
        <f t="shared" si="0"/>
        <v>5</v>
      </c>
      <c r="I40" s="150" t="str">
        <f t="shared" si="1"/>
        <v>53</v>
      </c>
      <c r="J40" s="150" t="str">
        <f t="shared" si="2"/>
        <v>539</v>
      </c>
      <c r="K40" s="150" t="s">
        <v>7904</v>
      </c>
      <c r="L40" s="149" t="s">
        <v>79</v>
      </c>
      <c r="M40" s="151">
        <v>0</v>
      </c>
    </row>
    <row r="41" spans="1:13" s="149" customFormat="1" x14ac:dyDescent="0.25">
      <c r="A41" s="149" t="s">
        <v>7639</v>
      </c>
      <c r="B41" s="149" t="s">
        <v>80</v>
      </c>
      <c r="C41" s="149">
        <v>11</v>
      </c>
      <c r="D41" s="149">
        <v>100</v>
      </c>
      <c r="E41" s="149">
        <v>0</v>
      </c>
      <c r="F41" s="149">
        <v>661000</v>
      </c>
      <c r="G41" s="149">
        <v>53920</v>
      </c>
      <c r="H41" s="150" t="str">
        <f t="shared" si="0"/>
        <v>5</v>
      </c>
      <c r="I41" s="150" t="str">
        <f t="shared" si="1"/>
        <v>53</v>
      </c>
      <c r="J41" s="150" t="str">
        <f t="shared" si="2"/>
        <v>539</v>
      </c>
      <c r="K41" s="150" t="s">
        <v>8410</v>
      </c>
      <c r="L41" s="149" t="s">
        <v>81</v>
      </c>
      <c r="M41" s="151">
        <v>960</v>
      </c>
    </row>
    <row r="42" spans="1:13" s="149" customFormat="1" x14ac:dyDescent="0.25">
      <c r="A42" s="149" t="s">
        <v>7639</v>
      </c>
      <c r="B42" s="149" t="s">
        <v>82</v>
      </c>
      <c r="C42" s="149">
        <v>11</v>
      </c>
      <c r="D42" s="149">
        <v>100</v>
      </c>
      <c r="E42" s="149">
        <v>0</v>
      </c>
      <c r="F42" s="149">
        <v>661000</v>
      </c>
      <c r="G42" s="149">
        <v>54210</v>
      </c>
      <c r="H42" s="150" t="str">
        <f t="shared" si="0"/>
        <v>5</v>
      </c>
      <c r="I42" s="150" t="str">
        <f t="shared" si="1"/>
        <v>54</v>
      </c>
      <c r="J42" s="150" t="str">
        <f t="shared" si="2"/>
        <v>542</v>
      </c>
      <c r="K42" s="150" t="s">
        <v>7909</v>
      </c>
      <c r="L42" s="149" t="s">
        <v>83</v>
      </c>
      <c r="M42" s="151">
        <v>0</v>
      </c>
    </row>
    <row r="43" spans="1:13" s="149" customFormat="1" x14ac:dyDescent="0.25">
      <c r="A43" s="149" t="s">
        <v>7639</v>
      </c>
      <c r="B43" s="149" t="s">
        <v>84</v>
      </c>
      <c r="C43" s="149">
        <v>11</v>
      </c>
      <c r="D43" s="149">
        <v>100</v>
      </c>
      <c r="E43" s="149">
        <v>0</v>
      </c>
      <c r="F43" s="149">
        <v>661000</v>
      </c>
      <c r="G43" s="149">
        <v>54300</v>
      </c>
      <c r="H43" s="150" t="str">
        <f t="shared" si="0"/>
        <v>5</v>
      </c>
      <c r="I43" s="150" t="str">
        <f t="shared" si="1"/>
        <v>54</v>
      </c>
      <c r="J43" s="150" t="str">
        <f t="shared" si="2"/>
        <v>543</v>
      </c>
      <c r="K43" s="150" t="s">
        <v>7915</v>
      </c>
      <c r="L43" s="149" t="s">
        <v>85</v>
      </c>
      <c r="M43" s="151">
        <v>4000</v>
      </c>
    </row>
    <row r="44" spans="1:13" s="149" customFormat="1" x14ac:dyDescent="0.25">
      <c r="A44" s="149" t="s">
        <v>7639</v>
      </c>
      <c r="B44" s="149" t="s">
        <v>86</v>
      </c>
      <c r="C44" s="149">
        <v>11</v>
      </c>
      <c r="D44" s="149">
        <v>100</v>
      </c>
      <c r="E44" s="149">
        <v>0</v>
      </c>
      <c r="F44" s="149">
        <v>661000</v>
      </c>
      <c r="G44" s="149">
        <v>55100</v>
      </c>
      <c r="H44" s="150" t="str">
        <f t="shared" si="0"/>
        <v>5</v>
      </c>
      <c r="I44" s="150" t="str">
        <f t="shared" si="1"/>
        <v>55</v>
      </c>
      <c r="J44" s="150" t="str">
        <f t="shared" si="2"/>
        <v>551</v>
      </c>
      <c r="K44" s="150" t="s">
        <v>7995</v>
      </c>
      <c r="L44" s="149" t="s">
        <v>87</v>
      </c>
      <c r="M44" s="151">
        <v>12000</v>
      </c>
    </row>
    <row r="45" spans="1:13" s="149" customFormat="1" x14ac:dyDescent="0.25">
      <c r="A45" s="149" t="s">
        <v>7639</v>
      </c>
      <c r="B45" s="149" t="s">
        <v>88</v>
      </c>
      <c r="C45" s="149">
        <v>11</v>
      </c>
      <c r="D45" s="149">
        <v>100</v>
      </c>
      <c r="E45" s="149">
        <v>0</v>
      </c>
      <c r="F45" s="149">
        <v>661000</v>
      </c>
      <c r="G45" s="149">
        <v>55105</v>
      </c>
      <c r="H45" s="150" t="str">
        <f t="shared" si="0"/>
        <v>5</v>
      </c>
      <c r="I45" s="150" t="str">
        <f t="shared" si="1"/>
        <v>55</v>
      </c>
      <c r="J45" s="150" t="str">
        <f t="shared" si="2"/>
        <v>551</v>
      </c>
      <c r="K45" s="150" t="s">
        <v>8001</v>
      </c>
      <c r="L45" s="149" t="s">
        <v>89</v>
      </c>
      <c r="M45" s="151">
        <v>48387</v>
      </c>
    </row>
    <row r="46" spans="1:13" s="149" customFormat="1" x14ac:dyDescent="0.25">
      <c r="A46" s="149" t="s">
        <v>7639</v>
      </c>
      <c r="B46" s="149" t="s">
        <v>90</v>
      </c>
      <c r="C46" s="149">
        <v>11</v>
      </c>
      <c r="D46" s="149">
        <v>100</v>
      </c>
      <c r="E46" s="149">
        <v>0</v>
      </c>
      <c r="F46" s="149">
        <v>661000</v>
      </c>
      <c r="G46" s="149">
        <v>55200</v>
      </c>
      <c r="H46" s="150" t="str">
        <f t="shared" si="0"/>
        <v>5</v>
      </c>
      <c r="I46" s="150" t="str">
        <f t="shared" si="1"/>
        <v>55</v>
      </c>
      <c r="J46" s="150" t="str">
        <f t="shared" si="2"/>
        <v>552</v>
      </c>
      <c r="K46" s="150" t="s">
        <v>8036</v>
      </c>
      <c r="L46" s="149" t="s">
        <v>91</v>
      </c>
      <c r="M46" s="151">
        <v>441.6</v>
      </c>
    </row>
    <row r="47" spans="1:13" s="149" customFormat="1" x14ac:dyDescent="0.25">
      <c r="A47" s="149" t="s">
        <v>7639</v>
      </c>
      <c r="B47" s="149" t="s">
        <v>92</v>
      </c>
      <c r="C47" s="149">
        <v>11</v>
      </c>
      <c r="D47" s="149">
        <v>100</v>
      </c>
      <c r="E47" s="149">
        <v>0</v>
      </c>
      <c r="F47" s="149">
        <v>661000</v>
      </c>
      <c r="G47" s="149">
        <v>55300</v>
      </c>
      <c r="H47" s="150" t="str">
        <f t="shared" si="0"/>
        <v>5</v>
      </c>
      <c r="I47" s="150" t="str">
        <f t="shared" si="1"/>
        <v>55</v>
      </c>
      <c r="J47" s="150" t="str">
        <f t="shared" si="2"/>
        <v>553</v>
      </c>
      <c r="K47" s="150" t="s">
        <v>8077</v>
      </c>
      <c r="L47" s="149" t="s">
        <v>93</v>
      </c>
      <c r="M47" s="151">
        <v>92000</v>
      </c>
    </row>
    <row r="48" spans="1:13" s="149" customFormat="1" x14ac:dyDescent="0.25">
      <c r="A48" s="149" t="s">
        <v>7639</v>
      </c>
      <c r="B48" s="149" t="s">
        <v>94</v>
      </c>
      <c r="C48" s="149">
        <v>11</v>
      </c>
      <c r="D48" s="149">
        <v>100</v>
      </c>
      <c r="E48" s="149">
        <v>0</v>
      </c>
      <c r="F48" s="149">
        <v>661000</v>
      </c>
      <c r="G48" s="149">
        <v>55550</v>
      </c>
      <c r="H48" s="150" t="str">
        <f t="shared" si="0"/>
        <v>5</v>
      </c>
      <c r="I48" s="150" t="str">
        <f t="shared" si="1"/>
        <v>55</v>
      </c>
      <c r="J48" s="150" t="str">
        <f t="shared" si="2"/>
        <v>555</v>
      </c>
      <c r="K48" s="150" t="s">
        <v>8126</v>
      </c>
      <c r="L48" s="149" t="s">
        <v>95</v>
      </c>
      <c r="M48" s="151">
        <v>600</v>
      </c>
    </row>
    <row r="49" spans="1:13" s="149" customFormat="1" x14ac:dyDescent="0.25">
      <c r="A49" s="149" t="s">
        <v>7639</v>
      </c>
      <c r="B49" s="149" t="s">
        <v>96</v>
      </c>
      <c r="C49" s="149">
        <v>11</v>
      </c>
      <c r="D49" s="149">
        <v>100</v>
      </c>
      <c r="E49" s="149">
        <v>0</v>
      </c>
      <c r="F49" s="149">
        <v>661000</v>
      </c>
      <c r="G49" s="149">
        <v>55560</v>
      </c>
      <c r="H49" s="150" t="str">
        <f t="shared" si="0"/>
        <v>5</v>
      </c>
      <c r="I49" s="150" t="str">
        <f t="shared" si="1"/>
        <v>55</v>
      </c>
      <c r="J49" s="150" t="str">
        <f t="shared" si="2"/>
        <v>555</v>
      </c>
      <c r="K49" s="150" t="s">
        <v>8134</v>
      </c>
      <c r="L49" s="149" t="s">
        <v>97</v>
      </c>
      <c r="M49" s="151">
        <v>450</v>
      </c>
    </row>
    <row r="50" spans="1:13" s="149" customFormat="1" x14ac:dyDescent="0.25">
      <c r="A50" s="149" t="s">
        <v>7639</v>
      </c>
      <c r="B50" s="149" t="s">
        <v>98</v>
      </c>
      <c r="C50" s="149">
        <v>11</v>
      </c>
      <c r="D50" s="149">
        <v>100</v>
      </c>
      <c r="E50" s="149">
        <v>0</v>
      </c>
      <c r="F50" s="149">
        <v>661000</v>
      </c>
      <c r="G50" s="149">
        <v>55630</v>
      </c>
      <c r="H50" s="150" t="str">
        <f t="shared" si="0"/>
        <v>5</v>
      </c>
      <c r="I50" s="150" t="str">
        <f t="shared" si="1"/>
        <v>55</v>
      </c>
      <c r="J50" s="150" t="str">
        <f t="shared" si="2"/>
        <v>556</v>
      </c>
      <c r="K50" s="150" t="s">
        <v>8159</v>
      </c>
      <c r="L50" s="149" t="s">
        <v>99</v>
      </c>
      <c r="M50" s="151">
        <v>2200</v>
      </c>
    </row>
    <row r="51" spans="1:13" s="149" customFormat="1" x14ac:dyDescent="0.25">
      <c r="A51" s="149" t="s">
        <v>7639</v>
      </c>
      <c r="B51" s="149" t="s">
        <v>100</v>
      </c>
      <c r="C51" s="149">
        <v>11</v>
      </c>
      <c r="D51" s="149">
        <v>100</v>
      </c>
      <c r="E51" s="149">
        <v>0</v>
      </c>
      <c r="F51" s="149">
        <v>661000</v>
      </c>
      <c r="G51" s="149">
        <v>55635</v>
      </c>
      <c r="H51" s="150" t="str">
        <f t="shared" si="0"/>
        <v>5</v>
      </c>
      <c r="I51" s="150" t="str">
        <f t="shared" si="1"/>
        <v>55</v>
      </c>
      <c r="J51" s="150" t="str">
        <f t="shared" si="2"/>
        <v>556</v>
      </c>
      <c r="K51" s="150" t="s">
        <v>8275</v>
      </c>
      <c r="L51" s="149" t="s">
        <v>101</v>
      </c>
      <c r="M51" s="151">
        <v>1500</v>
      </c>
    </row>
    <row r="52" spans="1:13" s="149" customFormat="1" x14ac:dyDescent="0.25">
      <c r="A52" s="149" t="s">
        <v>7639</v>
      </c>
      <c r="B52" s="149" t="s">
        <v>102</v>
      </c>
      <c r="C52" s="149">
        <v>11</v>
      </c>
      <c r="D52" s="149">
        <v>100</v>
      </c>
      <c r="E52" s="149">
        <v>0</v>
      </c>
      <c r="F52" s="149">
        <v>661000</v>
      </c>
      <c r="G52" s="149">
        <v>55800</v>
      </c>
      <c r="H52" s="150" t="str">
        <f t="shared" si="0"/>
        <v>5</v>
      </c>
      <c r="I52" s="150" t="str">
        <f t="shared" si="1"/>
        <v>55</v>
      </c>
      <c r="J52" s="150" t="str">
        <f t="shared" si="2"/>
        <v>558</v>
      </c>
      <c r="K52" s="150" t="s">
        <v>8331</v>
      </c>
      <c r="L52" s="149" t="s">
        <v>103</v>
      </c>
      <c r="M52" s="151">
        <v>10900</v>
      </c>
    </row>
    <row r="53" spans="1:13" s="149" customFormat="1" x14ac:dyDescent="0.25">
      <c r="A53" s="149" t="s">
        <v>7639</v>
      </c>
      <c r="B53" s="149" t="s">
        <v>104</v>
      </c>
      <c r="C53" s="149">
        <v>11</v>
      </c>
      <c r="D53" s="149">
        <v>100</v>
      </c>
      <c r="E53" s="149">
        <v>0</v>
      </c>
      <c r="F53" s="149">
        <v>661100</v>
      </c>
      <c r="G53" s="149">
        <v>55300</v>
      </c>
      <c r="H53" s="150" t="str">
        <f t="shared" si="0"/>
        <v>5</v>
      </c>
      <c r="I53" s="150" t="str">
        <f t="shared" si="1"/>
        <v>55</v>
      </c>
      <c r="J53" s="150" t="str">
        <f t="shared" si="2"/>
        <v>553</v>
      </c>
      <c r="K53" s="150" t="s">
        <v>8078</v>
      </c>
      <c r="L53" s="149" t="s">
        <v>105</v>
      </c>
      <c r="M53" s="151">
        <v>800</v>
      </c>
    </row>
    <row r="54" spans="1:13" s="149" customFormat="1" x14ac:dyDescent="0.25">
      <c r="A54" s="149" t="s">
        <v>7639</v>
      </c>
      <c r="B54" s="149" t="s">
        <v>106</v>
      </c>
      <c r="C54" s="149">
        <v>11</v>
      </c>
      <c r="D54" s="149">
        <v>100</v>
      </c>
      <c r="E54" s="149">
        <v>0</v>
      </c>
      <c r="F54" s="149">
        <v>662000</v>
      </c>
      <c r="G54" s="149">
        <v>52130</v>
      </c>
      <c r="H54" s="150" t="str">
        <f t="shared" si="0"/>
        <v>5</v>
      </c>
      <c r="I54" s="150" t="str">
        <f t="shared" si="1"/>
        <v>52</v>
      </c>
      <c r="J54" s="150" t="str">
        <f t="shared" si="2"/>
        <v>521</v>
      </c>
      <c r="K54" s="150" t="s">
        <v>8411</v>
      </c>
      <c r="L54" s="149" t="s">
        <v>107</v>
      </c>
      <c r="M54" s="151">
        <v>20160</v>
      </c>
    </row>
    <row r="55" spans="1:13" s="149" customFormat="1" x14ac:dyDescent="0.25">
      <c r="A55" s="149" t="s">
        <v>7639</v>
      </c>
      <c r="B55" s="149" t="s">
        <v>108</v>
      </c>
      <c r="C55" s="149">
        <v>11</v>
      </c>
      <c r="D55" s="149">
        <v>100</v>
      </c>
      <c r="E55" s="149">
        <v>0</v>
      </c>
      <c r="F55" s="149">
        <v>662000</v>
      </c>
      <c r="G55" s="149">
        <v>53220</v>
      </c>
      <c r="H55" s="150" t="str">
        <f t="shared" si="0"/>
        <v>5</v>
      </c>
      <c r="I55" s="150" t="str">
        <f t="shared" si="1"/>
        <v>53</v>
      </c>
      <c r="J55" s="150" t="str">
        <f t="shared" si="2"/>
        <v>532</v>
      </c>
      <c r="K55" s="150" t="s">
        <v>8412</v>
      </c>
      <c r="L55" s="149" t="s">
        <v>109</v>
      </c>
      <c r="M55" s="151">
        <v>0</v>
      </c>
    </row>
    <row r="56" spans="1:13" s="149" customFormat="1" x14ac:dyDescent="0.25">
      <c r="A56" s="149" t="s">
        <v>7639</v>
      </c>
      <c r="B56" s="149" t="s">
        <v>110</v>
      </c>
      <c r="C56" s="149">
        <v>11</v>
      </c>
      <c r="D56" s="149">
        <v>100</v>
      </c>
      <c r="E56" s="149">
        <v>0</v>
      </c>
      <c r="F56" s="149">
        <v>662000</v>
      </c>
      <c r="G56" s="149">
        <v>53320</v>
      </c>
      <c r="H56" s="150" t="str">
        <f t="shared" si="0"/>
        <v>5</v>
      </c>
      <c r="I56" s="150" t="str">
        <f t="shared" si="1"/>
        <v>53</v>
      </c>
      <c r="J56" s="150" t="str">
        <f t="shared" si="2"/>
        <v>533</v>
      </c>
      <c r="K56" s="150" t="s">
        <v>8413</v>
      </c>
      <c r="L56" s="149" t="s">
        <v>111</v>
      </c>
      <c r="M56" s="151">
        <v>1071.3599999999999</v>
      </c>
    </row>
    <row r="57" spans="1:13" s="149" customFormat="1" x14ac:dyDescent="0.25">
      <c r="A57" s="149" t="s">
        <v>7639</v>
      </c>
      <c r="B57" s="149" t="s">
        <v>112</v>
      </c>
      <c r="C57" s="149">
        <v>11</v>
      </c>
      <c r="D57" s="149">
        <v>100</v>
      </c>
      <c r="E57" s="149">
        <v>0</v>
      </c>
      <c r="F57" s="149">
        <v>662000</v>
      </c>
      <c r="G57" s="149">
        <v>53340</v>
      </c>
      <c r="H57" s="150" t="str">
        <f t="shared" si="0"/>
        <v>5</v>
      </c>
      <c r="I57" s="150" t="str">
        <f t="shared" si="1"/>
        <v>53</v>
      </c>
      <c r="J57" s="150" t="str">
        <f t="shared" si="2"/>
        <v>533</v>
      </c>
      <c r="K57" s="150" t="s">
        <v>8414</v>
      </c>
      <c r="L57" s="149" t="s">
        <v>113</v>
      </c>
      <c r="M57" s="151">
        <v>292.32</v>
      </c>
    </row>
    <row r="58" spans="1:13" s="149" customFormat="1" x14ac:dyDescent="0.25">
      <c r="A58" s="149" t="s">
        <v>7639</v>
      </c>
      <c r="B58" s="149" t="s">
        <v>114</v>
      </c>
      <c r="C58" s="149">
        <v>11</v>
      </c>
      <c r="D58" s="149">
        <v>100</v>
      </c>
      <c r="E58" s="149">
        <v>0</v>
      </c>
      <c r="F58" s="149">
        <v>662000</v>
      </c>
      <c r="G58" s="149">
        <v>53420</v>
      </c>
      <c r="H58" s="150" t="str">
        <f t="shared" si="0"/>
        <v>5</v>
      </c>
      <c r="I58" s="150" t="str">
        <f t="shared" si="1"/>
        <v>53</v>
      </c>
      <c r="J58" s="150" t="str">
        <f t="shared" si="2"/>
        <v>534</v>
      </c>
      <c r="K58" s="150" t="s">
        <v>8415</v>
      </c>
      <c r="L58" s="149" t="s">
        <v>115</v>
      </c>
      <c r="M58" s="151">
        <v>154698.5</v>
      </c>
    </row>
    <row r="59" spans="1:13" s="149" customFormat="1" x14ac:dyDescent="0.25">
      <c r="A59" s="149" t="s">
        <v>7639</v>
      </c>
      <c r="B59" s="149" t="s">
        <v>116</v>
      </c>
      <c r="C59" s="149">
        <v>11</v>
      </c>
      <c r="D59" s="149">
        <v>100</v>
      </c>
      <c r="E59" s="149">
        <v>0</v>
      </c>
      <c r="F59" s="149">
        <v>662000</v>
      </c>
      <c r="G59" s="149">
        <v>53430</v>
      </c>
      <c r="H59" s="150" t="str">
        <f t="shared" si="0"/>
        <v>5</v>
      </c>
      <c r="I59" s="150" t="str">
        <f t="shared" si="1"/>
        <v>53</v>
      </c>
      <c r="J59" s="150" t="str">
        <f t="shared" si="2"/>
        <v>534</v>
      </c>
      <c r="K59" s="150" t="s">
        <v>8416</v>
      </c>
      <c r="L59" s="149" t="s">
        <v>117</v>
      </c>
      <c r="M59" s="151">
        <v>0</v>
      </c>
    </row>
    <row r="60" spans="1:13" s="149" customFormat="1" x14ac:dyDescent="0.25">
      <c r="A60" s="149" t="s">
        <v>7639</v>
      </c>
      <c r="B60" s="149" t="s">
        <v>118</v>
      </c>
      <c r="C60" s="149">
        <v>11</v>
      </c>
      <c r="D60" s="149">
        <v>100</v>
      </c>
      <c r="E60" s="149">
        <v>0</v>
      </c>
      <c r="F60" s="149">
        <v>662000</v>
      </c>
      <c r="G60" s="149">
        <v>53520</v>
      </c>
      <c r="H60" s="150" t="str">
        <f t="shared" si="0"/>
        <v>5</v>
      </c>
      <c r="I60" s="150" t="str">
        <f t="shared" si="1"/>
        <v>53</v>
      </c>
      <c r="J60" s="150" t="str">
        <f t="shared" si="2"/>
        <v>535</v>
      </c>
      <c r="K60" s="150" t="s">
        <v>8417</v>
      </c>
      <c r="L60" s="149" t="s">
        <v>119</v>
      </c>
      <c r="M60" s="151">
        <v>10.08</v>
      </c>
    </row>
    <row r="61" spans="1:13" s="149" customFormat="1" x14ac:dyDescent="0.25">
      <c r="A61" s="149" t="s">
        <v>7639</v>
      </c>
      <c r="B61" s="149" t="s">
        <v>120</v>
      </c>
      <c r="C61" s="149">
        <v>11</v>
      </c>
      <c r="D61" s="149">
        <v>100</v>
      </c>
      <c r="E61" s="149">
        <v>0</v>
      </c>
      <c r="F61" s="149">
        <v>662000</v>
      </c>
      <c r="G61" s="149">
        <v>53620</v>
      </c>
      <c r="H61" s="150" t="str">
        <f t="shared" si="0"/>
        <v>5</v>
      </c>
      <c r="I61" s="150" t="str">
        <f t="shared" si="1"/>
        <v>53</v>
      </c>
      <c r="J61" s="150" t="str">
        <f t="shared" si="2"/>
        <v>536</v>
      </c>
      <c r="K61" s="150" t="s">
        <v>8418</v>
      </c>
      <c r="L61" s="149" t="s">
        <v>121</v>
      </c>
      <c r="M61" s="151">
        <v>381.22</v>
      </c>
    </row>
    <row r="62" spans="1:13" s="149" customFormat="1" x14ac:dyDescent="0.25">
      <c r="A62" s="149" t="s">
        <v>7639</v>
      </c>
      <c r="B62" s="149" t="s">
        <v>122</v>
      </c>
      <c r="C62" s="149">
        <v>11</v>
      </c>
      <c r="D62" s="149">
        <v>100</v>
      </c>
      <c r="E62" s="149">
        <v>0</v>
      </c>
      <c r="F62" s="149">
        <v>662000</v>
      </c>
      <c r="G62" s="149">
        <v>54210</v>
      </c>
      <c r="H62" s="150" t="str">
        <f t="shared" si="0"/>
        <v>5</v>
      </c>
      <c r="I62" s="150" t="str">
        <f t="shared" si="1"/>
        <v>54</v>
      </c>
      <c r="J62" s="150" t="str">
        <f t="shared" si="2"/>
        <v>542</v>
      </c>
      <c r="K62" s="150" t="s">
        <v>7910</v>
      </c>
      <c r="L62" s="149" t="s">
        <v>123</v>
      </c>
      <c r="M62" s="151">
        <v>4800</v>
      </c>
    </row>
    <row r="63" spans="1:13" s="149" customFormat="1" x14ac:dyDescent="0.25">
      <c r="A63" s="149" t="s">
        <v>7639</v>
      </c>
      <c r="B63" s="149" t="s">
        <v>124</v>
      </c>
      <c r="C63" s="149">
        <v>11</v>
      </c>
      <c r="D63" s="149">
        <v>100</v>
      </c>
      <c r="E63" s="149">
        <v>0</v>
      </c>
      <c r="F63" s="149">
        <v>662000</v>
      </c>
      <c r="G63" s="149">
        <v>54300</v>
      </c>
      <c r="H63" s="150" t="str">
        <f t="shared" si="0"/>
        <v>5</v>
      </c>
      <c r="I63" s="150" t="str">
        <f t="shared" si="1"/>
        <v>54</v>
      </c>
      <c r="J63" s="150" t="str">
        <f t="shared" si="2"/>
        <v>543</v>
      </c>
      <c r="K63" s="150" t="s">
        <v>7916</v>
      </c>
      <c r="L63" s="149" t="s">
        <v>125</v>
      </c>
      <c r="M63" s="151">
        <v>610</v>
      </c>
    </row>
    <row r="64" spans="1:13" s="149" customFormat="1" x14ac:dyDescent="0.25">
      <c r="A64" s="149" t="s">
        <v>7639</v>
      </c>
      <c r="B64" s="149" t="s">
        <v>126</v>
      </c>
      <c r="C64" s="149">
        <v>11</v>
      </c>
      <c r="D64" s="149">
        <v>100</v>
      </c>
      <c r="E64" s="149">
        <v>0</v>
      </c>
      <c r="F64" s="149">
        <v>662000</v>
      </c>
      <c r="G64" s="149">
        <v>55200</v>
      </c>
      <c r="H64" s="150" t="str">
        <f t="shared" si="0"/>
        <v>5</v>
      </c>
      <c r="I64" s="150" t="str">
        <f t="shared" si="1"/>
        <v>55</v>
      </c>
      <c r="J64" s="150" t="str">
        <f t="shared" si="2"/>
        <v>552</v>
      </c>
      <c r="K64" s="150" t="s">
        <v>8037</v>
      </c>
      <c r="L64" s="149" t="s">
        <v>127</v>
      </c>
      <c r="M64" s="151">
        <v>17500</v>
      </c>
    </row>
    <row r="65" spans="1:13" s="149" customFormat="1" x14ac:dyDescent="0.25">
      <c r="A65" s="149" t="s">
        <v>7639</v>
      </c>
      <c r="B65" s="149" t="s">
        <v>128</v>
      </c>
      <c r="C65" s="149">
        <v>11</v>
      </c>
      <c r="D65" s="149">
        <v>100</v>
      </c>
      <c r="E65" s="149">
        <v>0</v>
      </c>
      <c r="F65" s="149">
        <v>662000</v>
      </c>
      <c r="G65" s="149">
        <v>55300</v>
      </c>
      <c r="H65" s="150" t="str">
        <f t="shared" si="0"/>
        <v>5</v>
      </c>
      <c r="I65" s="150" t="str">
        <f t="shared" si="1"/>
        <v>55</v>
      </c>
      <c r="J65" s="150" t="str">
        <f t="shared" si="2"/>
        <v>553</v>
      </c>
      <c r="K65" s="150" t="s">
        <v>8079</v>
      </c>
      <c r="L65" s="149" t="s">
        <v>129</v>
      </c>
      <c r="M65" s="151">
        <v>600</v>
      </c>
    </row>
    <row r="66" spans="1:13" s="149" customFormat="1" x14ac:dyDescent="0.25">
      <c r="A66" s="149" t="s">
        <v>7639</v>
      </c>
      <c r="B66" s="149" t="s">
        <v>130</v>
      </c>
      <c r="C66" s="149">
        <v>11</v>
      </c>
      <c r="D66" s="149">
        <v>100</v>
      </c>
      <c r="E66" s="149">
        <v>0</v>
      </c>
      <c r="F66" s="149">
        <v>662000</v>
      </c>
      <c r="G66" s="149">
        <v>55710</v>
      </c>
      <c r="H66" s="150" t="str">
        <f t="shared" si="0"/>
        <v>5</v>
      </c>
      <c r="I66" s="150" t="str">
        <f t="shared" si="1"/>
        <v>55</v>
      </c>
      <c r="J66" s="150" t="str">
        <f t="shared" si="2"/>
        <v>557</v>
      </c>
      <c r="K66" s="150" t="s">
        <v>8330</v>
      </c>
      <c r="L66" s="149" t="s">
        <v>131</v>
      </c>
      <c r="M66" s="151">
        <v>320114.25</v>
      </c>
    </row>
    <row r="67" spans="1:13" s="149" customFormat="1" x14ac:dyDescent="0.25">
      <c r="A67" s="149" t="s">
        <v>7639</v>
      </c>
      <c r="B67" s="149" t="s">
        <v>132</v>
      </c>
      <c r="C67" s="149">
        <v>11</v>
      </c>
      <c r="D67" s="149">
        <v>100</v>
      </c>
      <c r="E67" s="149">
        <v>0</v>
      </c>
      <c r="F67" s="149">
        <v>662000</v>
      </c>
      <c r="G67" s="149">
        <v>55800</v>
      </c>
      <c r="H67" s="150" t="str">
        <f t="shared" ref="H67:H130" si="3">LEFT(G67,1)</f>
        <v>5</v>
      </c>
      <c r="I67" s="150" t="str">
        <f t="shared" ref="I67:I130" si="4">LEFT(G67,2)</f>
        <v>55</v>
      </c>
      <c r="J67" s="150" t="str">
        <f t="shared" ref="J67:J130" si="5">LEFT(G67,3)</f>
        <v>558</v>
      </c>
      <c r="K67" s="150" t="s">
        <v>8332</v>
      </c>
      <c r="L67" s="149" t="s">
        <v>133</v>
      </c>
      <c r="M67" s="151">
        <v>1000</v>
      </c>
    </row>
    <row r="68" spans="1:13" s="149" customFormat="1" x14ac:dyDescent="0.25">
      <c r="A68" s="149" t="s">
        <v>7639</v>
      </c>
      <c r="B68" s="149" t="s">
        <v>134</v>
      </c>
      <c r="C68" s="149">
        <v>11</v>
      </c>
      <c r="D68" s="149">
        <v>100</v>
      </c>
      <c r="E68" s="149">
        <v>0</v>
      </c>
      <c r="F68" s="149">
        <v>662000</v>
      </c>
      <c r="G68" s="149">
        <v>57552</v>
      </c>
      <c r="H68" s="150" t="str">
        <f t="shared" si="3"/>
        <v>5</v>
      </c>
      <c r="I68" s="150" t="str">
        <f t="shared" si="4"/>
        <v>57</v>
      </c>
      <c r="J68" s="150" t="str">
        <f t="shared" si="5"/>
        <v>575</v>
      </c>
      <c r="K68" s="150" t="s">
        <v>8394</v>
      </c>
      <c r="L68" s="149" t="s">
        <v>9564</v>
      </c>
      <c r="M68" s="151">
        <v>0</v>
      </c>
    </row>
    <row r="69" spans="1:13" s="149" customFormat="1" x14ac:dyDescent="0.25">
      <c r="A69" s="149" t="s">
        <v>7639</v>
      </c>
      <c r="B69" s="149" t="s">
        <v>136</v>
      </c>
      <c r="C69" s="149">
        <v>11</v>
      </c>
      <c r="D69" s="149">
        <v>100</v>
      </c>
      <c r="E69" s="149">
        <v>0</v>
      </c>
      <c r="F69" s="149">
        <v>671020</v>
      </c>
      <c r="G69" s="149">
        <v>55105</v>
      </c>
      <c r="H69" s="150" t="str">
        <f t="shared" si="3"/>
        <v>5</v>
      </c>
      <c r="I69" s="150" t="str">
        <f t="shared" si="4"/>
        <v>55</v>
      </c>
      <c r="J69" s="150" t="str">
        <f t="shared" si="5"/>
        <v>551</v>
      </c>
      <c r="K69" s="150" t="s">
        <v>8002</v>
      </c>
      <c r="L69" s="149" t="s">
        <v>137</v>
      </c>
      <c r="M69" s="151">
        <v>0</v>
      </c>
    </row>
    <row r="70" spans="1:13" s="149" customFormat="1" x14ac:dyDescent="0.25">
      <c r="A70" s="149" t="s">
        <v>7639</v>
      </c>
      <c r="B70" s="149" t="s">
        <v>138</v>
      </c>
      <c r="C70" s="149">
        <v>11</v>
      </c>
      <c r="D70" s="149">
        <v>100</v>
      </c>
      <c r="E70" s="149">
        <v>0</v>
      </c>
      <c r="F70" s="149">
        <v>675020</v>
      </c>
      <c r="G70" s="149">
        <v>55200</v>
      </c>
      <c r="H70" s="150" t="str">
        <f t="shared" si="3"/>
        <v>5</v>
      </c>
      <c r="I70" s="150" t="str">
        <f t="shared" si="4"/>
        <v>55</v>
      </c>
      <c r="J70" s="150" t="str">
        <f t="shared" si="5"/>
        <v>552</v>
      </c>
      <c r="K70" s="150" t="s">
        <v>8038</v>
      </c>
      <c r="L70" s="149" t="s">
        <v>139</v>
      </c>
      <c r="M70" s="151">
        <v>10000</v>
      </c>
    </row>
    <row r="71" spans="1:13" s="149" customFormat="1" x14ac:dyDescent="0.25">
      <c r="A71" s="149" t="s">
        <v>7639</v>
      </c>
      <c r="B71" s="149" t="s">
        <v>140</v>
      </c>
      <c r="C71" s="149">
        <v>11</v>
      </c>
      <c r="D71" s="149">
        <v>100</v>
      </c>
      <c r="E71" s="149">
        <v>0</v>
      </c>
      <c r="F71" s="149">
        <v>675020</v>
      </c>
      <c r="G71" s="149">
        <v>55300</v>
      </c>
      <c r="H71" s="150" t="str">
        <f t="shared" si="3"/>
        <v>5</v>
      </c>
      <c r="I71" s="150" t="str">
        <f t="shared" si="4"/>
        <v>55</v>
      </c>
      <c r="J71" s="150" t="str">
        <f t="shared" si="5"/>
        <v>553</v>
      </c>
      <c r="K71" s="150" t="s">
        <v>8080</v>
      </c>
      <c r="L71" s="149" t="s">
        <v>141</v>
      </c>
      <c r="M71" s="151">
        <v>3000</v>
      </c>
    </row>
    <row r="72" spans="1:13" s="149" customFormat="1" x14ac:dyDescent="0.25">
      <c r="A72" s="149" t="s">
        <v>7639</v>
      </c>
      <c r="B72" s="149" t="s">
        <v>142</v>
      </c>
      <c r="C72" s="149">
        <v>11</v>
      </c>
      <c r="D72" s="149">
        <v>100</v>
      </c>
      <c r="E72" s="149">
        <v>0</v>
      </c>
      <c r="F72" s="149">
        <v>675020</v>
      </c>
      <c r="G72" s="149">
        <v>55630</v>
      </c>
      <c r="H72" s="150" t="str">
        <f t="shared" si="3"/>
        <v>5</v>
      </c>
      <c r="I72" s="150" t="str">
        <f t="shared" si="4"/>
        <v>55</v>
      </c>
      <c r="J72" s="150" t="str">
        <f t="shared" si="5"/>
        <v>556</v>
      </c>
      <c r="K72" s="150" t="s">
        <v>8160</v>
      </c>
      <c r="L72" s="149" t="s">
        <v>143</v>
      </c>
      <c r="M72" s="151">
        <v>35</v>
      </c>
    </row>
    <row r="73" spans="1:13" s="149" customFormat="1" x14ac:dyDescent="0.25">
      <c r="A73" s="149" t="s">
        <v>7639</v>
      </c>
      <c r="B73" s="149" t="s">
        <v>144</v>
      </c>
      <c r="C73" s="149">
        <v>11</v>
      </c>
      <c r="D73" s="149">
        <v>100</v>
      </c>
      <c r="E73" s="149">
        <v>0</v>
      </c>
      <c r="F73" s="149">
        <v>680500</v>
      </c>
      <c r="G73" s="149">
        <v>51205</v>
      </c>
      <c r="H73" s="150" t="str">
        <f t="shared" si="3"/>
        <v>5</v>
      </c>
      <c r="I73" s="150" t="str">
        <f t="shared" si="4"/>
        <v>51</v>
      </c>
      <c r="J73" s="150" t="str">
        <f t="shared" si="5"/>
        <v>512</v>
      </c>
      <c r="K73" s="150" t="s">
        <v>8419</v>
      </c>
      <c r="L73" s="149" t="s">
        <v>145</v>
      </c>
      <c r="M73" s="151">
        <v>143938.04</v>
      </c>
    </row>
    <row r="74" spans="1:13" s="149" customFormat="1" x14ac:dyDescent="0.25">
      <c r="A74" s="149" t="s">
        <v>7639</v>
      </c>
      <c r="B74" s="149" t="s">
        <v>146</v>
      </c>
      <c r="C74" s="149">
        <v>11</v>
      </c>
      <c r="D74" s="149">
        <v>100</v>
      </c>
      <c r="E74" s="149">
        <v>0</v>
      </c>
      <c r="F74" s="149">
        <v>680500</v>
      </c>
      <c r="G74" s="149">
        <v>52120</v>
      </c>
      <c r="H74" s="150" t="str">
        <f t="shared" si="3"/>
        <v>5</v>
      </c>
      <c r="I74" s="150" t="str">
        <f t="shared" si="4"/>
        <v>52</v>
      </c>
      <c r="J74" s="150" t="str">
        <f t="shared" si="5"/>
        <v>521</v>
      </c>
      <c r="K74" s="150" t="s">
        <v>8420</v>
      </c>
      <c r="L74" s="149" t="s">
        <v>147</v>
      </c>
      <c r="M74" s="151">
        <v>48077.36</v>
      </c>
    </row>
    <row r="75" spans="1:13" s="149" customFormat="1" x14ac:dyDescent="0.25">
      <c r="A75" s="149" t="s">
        <v>7639</v>
      </c>
      <c r="B75" s="149" t="s">
        <v>148</v>
      </c>
      <c r="C75" s="149">
        <v>11</v>
      </c>
      <c r="D75" s="149">
        <v>100</v>
      </c>
      <c r="E75" s="149">
        <v>0</v>
      </c>
      <c r="F75" s="149">
        <v>680500</v>
      </c>
      <c r="G75" s="149">
        <v>52300</v>
      </c>
      <c r="H75" s="150" t="str">
        <f t="shared" si="3"/>
        <v>5</v>
      </c>
      <c r="I75" s="150" t="str">
        <f t="shared" si="4"/>
        <v>52</v>
      </c>
      <c r="J75" s="150" t="str">
        <f t="shared" si="5"/>
        <v>523</v>
      </c>
      <c r="K75" s="150" t="s">
        <v>7807</v>
      </c>
      <c r="L75" s="149" t="s">
        <v>149</v>
      </c>
      <c r="M75" s="151">
        <v>2340</v>
      </c>
    </row>
    <row r="76" spans="1:13" s="149" customFormat="1" x14ac:dyDescent="0.25">
      <c r="A76" s="149" t="s">
        <v>7639</v>
      </c>
      <c r="B76" s="149" t="s">
        <v>150</v>
      </c>
      <c r="C76" s="149">
        <v>11</v>
      </c>
      <c r="D76" s="149">
        <v>100</v>
      </c>
      <c r="E76" s="149">
        <v>0</v>
      </c>
      <c r="F76" s="149">
        <v>680500</v>
      </c>
      <c r="G76" s="149">
        <v>53120</v>
      </c>
      <c r="H76" s="150" t="str">
        <f t="shared" si="3"/>
        <v>5</v>
      </c>
      <c r="I76" s="150" t="str">
        <f t="shared" si="4"/>
        <v>53</v>
      </c>
      <c r="J76" s="150" t="str">
        <f t="shared" si="5"/>
        <v>531</v>
      </c>
      <c r="K76" s="150" t="s">
        <v>8421</v>
      </c>
      <c r="L76" s="149" t="s">
        <v>151</v>
      </c>
      <c r="M76" s="151">
        <v>18552.38</v>
      </c>
    </row>
    <row r="77" spans="1:13" s="149" customFormat="1" x14ac:dyDescent="0.25">
      <c r="A77" s="149" t="s">
        <v>7639</v>
      </c>
      <c r="B77" s="149" t="s">
        <v>152</v>
      </c>
      <c r="C77" s="149">
        <v>11</v>
      </c>
      <c r="D77" s="149">
        <v>100</v>
      </c>
      <c r="E77" s="149">
        <v>0</v>
      </c>
      <c r="F77" s="149">
        <v>680500</v>
      </c>
      <c r="G77" s="149">
        <v>53220</v>
      </c>
      <c r="H77" s="150" t="str">
        <f t="shared" si="3"/>
        <v>5</v>
      </c>
      <c r="I77" s="150" t="str">
        <f t="shared" si="4"/>
        <v>53</v>
      </c>
      <c r="J77" s="150" t="str">
        <f t="shared" si="5"/>
        <v>532</v>
      </c>
      <c r="K77" s="150" t="s">
        <v>8422</v>
      </c>
      <c r="L77" s="149" t="s">
        <v>153</v>
      </c>
      <c r="M77" s="151">
        <v>9952.01</v>
      </c>
    </row>
    <row r="78" spans="1:13" s="149" customFormat="1" x14ac:dyDescent="0.25">
      <c r="A78" s="149" t="s">
        <v>7639</v>
      </c>
      <c r="B78" s="149" t="s">
        <v>154</v>
      </c>
      <c r="C78" s="149">
        <v>11</v>
      </c>
      <c r="D78" s="149">
        <v>100</v>
      </c>
      <c r="E78" s="149">
        <v>0</v>
      </c>
      <c r="F78" s="149">
        <v>680500</v>
      </c>
      <c r="G78" s="149">
        <v>53320</v>
      </c>
      <c r="H78" s="150" t="str">
        <f t="shared" si="3"/>
        <v>5</v>
      </c>
      <c r="I78" s="150" t="str">
        <f t="shared" si="4"/>
        <v>53</v>
      </c>
      <c r="J78" s="150" t="str">
        <f t="shared" si="5"/>
        <v>533</v>
      </c>
      <c r="K78" s="150" t="s">
        <v>8423</v>
      </c>
      <c r="L78" s="149" t="s">
        <v>155</v>
      </c>
      <c r="M78" s="151">
        <v>8682.6200000000008</v>
      </c>
    </row>
    <row r="79" spans="1:13" s="149" customFormat="1" x14ac:dyDescent="0.25">
      <c r="A79" s="149" t="s">
        <v>7639</v>
      </c>
      <c r="B79" s="149" t="s">
        <v>156</v>
      </c>
      <c r="C79" s="149">
        <v>11</v>
      </c>
      <c r="D79" s="149">
        <v>100</v>
      </c>
      <c r="E79" s="149">
        <v>0</v>
      </c>
      <c r="F79" s="149">
        <v>680500</v>
      </c>
      <c r="G79" s="149">
        <v>53340</v>
      </c>
      <c r="H79" s="150" t="str">
        <f t="shared" si="3"/>
        <v>5</v>
      </c>
      <c r="I79" s="150" t="str">
        <f t="shared" si="4"/>
        <v>53</v>
      </c>
      <c r="J79" s="150" t="str">
        <f t="shared" si="5"/>
        <v>533</v>
      </c>
      <c r="K79" s="150" t="s">
        <v>8424</v>
      </c>
      <c r="L79" s="149" t="s">
        <v>157</v>
      </c>
      <c r="M79" s="151">
        <v>2818.16</v>
      </c>
    </row>
    <row r="80" spans="1:13" s="149" customFormat="1" x14ac:dyDescent="0.25">
      <c r="A80" s="149" t="s">
        <v>7639</v>
      </c>
      <c r="B80" s="149" t="s">
        <v>158</v>
      </c>
      <c r="C80" s="149">
        <v>11</v>
      </c>
      <c r="D80" s="149">
        <v>100</v>
      </c>
      <c r="E80" s="149">
        <v>0</v>
      </c>
      <c r="F80" s="149">
        <v>680500</v>
      </c>
      <c r="G80" s="149">
        <v>53420</v>
      </c>
      <c r="H80" s="150" t="str">
        <f t="shared" si="3"/>
        <v>5</v>
      </c>
      <c r="I80" s="150" t="str">
        <f t="shared" si="4"/>
        <v>53</v>
      </c>
      <c r="J80" s="150" t="str">
        <f t="shared" si="5"/>
        <v>534</v>
      </c>
      <c r="K80" s="150" t="s">
        <v>8425</v>
      </c>
      <c r="L80" s="149" t="s">
        <v>159</v>
      </c>
      <c r="M80" s="151">
        <v>31208.45</v>
      </c>
    </row>
    <row r="81" spans="1:13" s="149" customFormat="1" x14ac:dyDescent="0.25">
      <c r="A81" s="149" t="s">
        <v>7639</v>
      </c>
      <c r="B81" s="149" t="s">
        <v>160</v>
      </c>
      <c r="C81" s="149">
        <v>11</v>
      </c>
      <c r="D81" s="149">
        <v>100</v>
      </c>
      <c r="E81" s="149">
        <v>0</v>
      </c>
      <c r="F81" s="149">
        <v>680500</v>
      </c>
      <c r="G81" s="149">
        <v>53520</v>
      </c>
      <c r="H81" s="150" t="str">
        <f t="shared" si="3"/>
        <v>5</v>
      </c>
      <c r="I81" s="150" t="str">
        <f t="shared" si="4"/>
        <v>53</v>
      </c>
      <c r="J81" s="150" t="str">
        <f t="shared" si="5"/>
        <v>535</v>
      </c>
      <c r="K81" s="150" t="s">
        <v>8426</v>
      </c>
      <c r="L81" s="149" t="s">
        <v>161</v>
      </c>
      <c r="M81" s="151">
        <v>97.18</v>
      </c>
    </row>
    <row r="82" spans="1:13" s="149" customFormat="1" x14ac:dyDescent="0.25">
      <c r="A82" s="149" t="s">
        <v>7639</v>
      </c>
      <c r="B82" s="149" t="s">
        <v>162</v>
      </c>
      <c r="C82" s="149">
        <v>11</v>
      </c>
      <c r="D82" s="149">
        <v>100</v>
      </c>
      <c r="E82" s="149">
        <v>0</v>
      </c>
      <c r="F82" s="149">
        <v>680500</v>
      </c>
      <c r="G82" s="149">
        <v>53620</v>
      </c>
      <c r="H82" s="150" t="str">
        <f t="shared" si="3"/>
        <v>5</v>
      </c>
      <c r="I82" s="150" t="str">
        <f t="shared" si="4"/>
        <v>53</v>
      </c>
      <c r="J82" s="150" t="str">
        <f t="shared" si="5"/>
        <v>536</v>
      </c>
      <c r="K82" s="150" t="s">
        <v>8427</v>
      </c>
      <c r="L82" s="149" t="s">
        <v>163</v>
      </c>
      <c r="M82" s="151">
        <v>3674.87</v>
      </c>
    </row>
    <row r="83" spans="1:13" s="149" customFormat="1" x14ac:dyDescent="0.25">
      <c r="A83" s="149" t="s">
        <v>7639</v>
      </c>
      <c r="B83" s="149" t="s">
        <v>164</v>
      </c>
      <c r="C83" s="149">
        <v>11</v>
      </c>
      <c r="D83" s="149">
        <v>100</v>
      </c>
      <c r="E83" s="149">
        <v>0</v>
      </c>
      <c r="F83" s="149">
        <v>680500</v>
      </c>
      <c r="G83" s="149">
        <v>53902</v>
      </c>
      <c r="H83" s="150" t="str">
        <f t="shared" si="3"/>
        <v>5</v>
      </c>
      <c r="I83" s="150" t="str">
        <f t="shared" si="4"/>
        <v>53</v>
      </c>
      <c r="J83" s="150" t="str">
        <f t="shared" si="5"/>
        <v>539</v>
      </c>
      <c r="K83" s="150" t="s">
        <v>7905</v>
      </c>
      <c r="L83" s="149" t="s">
        <v>165</v>
      </c>
      <c r="M83" s="151">
        <v>0</v>
      </c>
    </row>
    <row r="84" spans="1:13" s="149" customFormat="1" x14ac:dyDescent="0.25">
      <c r="A84" s="149" t="s">
        <v>7639</v>
      </c>
      <c r="B84" s="149" t="s">
        <v>166</v>
      </c>
      <c r="C84" s="149">
        <v>11</v>
      </c>
      <c r="D84" s="149">
        <v>100</v>
      </c>
      <c r="E84" s="149">
        <v>0</v>
      </c>
      <c r="F84" s="149">
        <v>680500</v>
      </c>
      <c r="G84" s="149">
        <v>53920</v>
      </c>
      <c r="H84" s="150" t="str">
        <f t="shared" si="3"/>
        <v>5</v>
      </c>
      <c r="I84" s="150" t="str">
        <f t="shared" si="4"/>
        <v>53</v>
      </c>
      <c r="J84" s="150" t="str">
        <f t="shared" si="5"/>
        <v>539</v>
      </c>
      <c r="K84" s="150" t="s">
        <v>8428</v>
      </c>
      <c r="L84" s="149" t="s">
        <v>167</v>
      </c>
      <c r="M84" s="151">
        <v>720</v>
      </c>
    </row>
    <row r="85" spans="1:13" s="149" customFormat="1" x14ac:dyDescent="0.25">
      <c r="A85" s="149" t="s">
        <v>7639</v>
      </c>
      <c r="B85" s="149" t="s">
        <v>168</v>
      </c>
      <c r="C85" s="149">
        <v>11</v>
      </c>
      <c r="D85" s="149">
        <v>100</v>
      </c>
      <c r="E85" s="149">
        <v>0</v>
      </c>
      <c r="F85" s="149">
        <v>680500</v>
      </c>
      <c r="G85" s="149">
        <v>55550</v>
      </c>
      <c r="H85" s="150" t="str">
        <f t="shared" si="3"/>
        <v>5</v>
      </c>
      <c r="I85" s="150" t="str">
        <f t="shared" si="4"/>
        <v>55</v>
      </c>
      <c r="J85" s="150" t="str">
        <f t="shared" si="5"/>
        <v>555</v>
      </c>
      <c r="K85" s="150" t="s">
        <v>8127</v>
      </c>
      <c r="L85" s="149" t="s">
        <v>169</v>
      </c>
      <c r="M85" s="151">
        <v>307</v>
      </c>
    </row>
    <row r="86" spans="1:13" s="149" customFormat="1" x14ac:dyDescent="0.25">
      <c r="A86" s="149" t="s">
        <v>7639</v>
      </c>
      <c r="B86" s="149" t="s">
        <v>170</v>
      </c>
      <c r="C86" s="149">
        <v>11</v>
      </c>
      <c r="D86" s="149">
        <v>100</v>
      </c>
      <c r="E86" s="149">
        <v>0</v>
      </c>
      <c r="F86" s="149">
        <v>680500</v>
      </c>
      <c r="G86" s="149">
        <v>55630</v>
      </c>
      <c r="H86" s="150" t="str">
        <f t="shared" si="3"/>
        <v>5</v>
      </c>
      <c r="I86" s="150" t="str">
        <f t="shared" si="4"/>
        <v>55</v>
      </c>
      <c r="J86" s="150" t="str">
        <f t="shared" si="5"/>
        <v>556</v>
      </c>
      <c r="K86" s="150" t="s">
        <v>8161</v>
      </c>
      <c r="L86" s="149" t="s">
        <v>171</v>
      </c>
      <c r="M86" s="151">
        <v>700</v>
      </c>
    </row>
    <row r="87" spans="1:13" s="149" customFormat="1" x14ac:dyDescent="0.25">
      <c r="A87" s="149" t="s">
        <v>7639</v>
      </c>
      <c r="B87" s="149" t="s">
        <v>172</v>
      </c>
      <c r="C87" s="149">
        <v>11</v>
      </c>
      <c r="D87" s="149">
        <v>100</v>
      </c>
      <c r="E87" s="149">
        <v>0</v>
      </c>
      <c r="F87" s="149">
        <v>682000</v>
      </c>
      <c r="G87" s="149">
        <v>52120</v>
      </c>
      <c r="H87" s="150" t="str">
        <f t="shared" si="3"/>
        <v>5</v>
      </c>
      <c r="I87" s="150" t="str">
        <f t="shared" si="4"/>
        <v>52</v>
      </c>
      <c r="J87" s="150" t="str">
        <f t="shared" si="5"/>
        <v>521</v>
      </c>
      <c r="K87" s="150" t="s">
        <v>8429</v>
      </c>
      <c r="L87" s="149" t="s">
        <v>173</v>
      </c>
      <c r="M87" s="151">
        <v>20037</v>
      </c>
    </row>
    <row r="88" spans="1:13" s="149" customFormat="1" x14ac:dyDescent="0.25">
      <c r="A88" s="149" t="s">
        <v>7639</v>
      </c>
      <c r="B88" s="149" t="s">
        <v>174</v>
      </c>
      <c r="C88" s="149">
        <v>11</v>
      </c>
      <c r="D88" s="149">
        <v>100</v>
      </c>
      <c r="E88" s="149">
        <v>0</v>
      </c>
      <c r="F88" s="149">
        <v>682000</v>
      </c>
      <c r="G88" s="149">
        <v>52300</v>
      </c>
      <c r="H88" s="150" t="str">
        <f t="shared" si="3"/>
        <v>5</v>
      </c>
      <c r="I88" s="150" t="str">
        <f t="shared" si="4"/>
        <v>52</v>
      </c>
      <c r="J88" s="150" t="str">
        <f t="shared" si="5"/>
        <v>523</v>
      </c>
      <c r="K88" s="150" t="s">
        <v>7808</v>
      </c>
      <c r="L88" s="149" t="s">
        <v>175</v>
      </c>
      <c r="M88" s="151">
        <v>0</v>
      </c>
    </row>
    <row r="89" spans="1:13" s="149" customFormat="1" x14ac:dyDescent="0.25">
      <c r="A89" s="149" t="s">
        <v>7639</v>
      </c>
      <c r="B89" s="149" t="s">
        <v>176</v>
      </c>
      <c r="C89" s="149">
        <v>11</v>
      </c>
      <c r="D89" s="149">
        <v>100</v>
      </c>
      <c r="E89" s="149">
        <v>0</v>
      </c>
      <c r="F89" s="149">
        <v>682000</v>
      </c>
      <c r="G89" s="149">
        <v>53220</v>
      </c>
      <c r="H89" s="150" t="str">
        <f t="shared" si="3"/>
        <v>5</v>
      </c>
      <c r="I89" s="150" t="str">
        <f t="shared" si="4"/>
        <v>53</v>
      </c>
      <c r="J89" s="150" t="str">
        <f t="shared" si="5"/>
        <v>532</v>
      </c>
      <c r="K89" s="150" t="s">
        <v>8430</v>
      </c>
      <c r="L89" s="149" t="s">
        <v>177</v>
      </c>
      <c r="M89" s="151">
        <v>4147.66</v>
      </c>
    </row>
    <row r="90" spans="1:13" s="149" customFormat="1" x14ac:dyDescent="0.25">
      <c r="A90" s="149" t="s">
        <v>7639</v>
      </c>
      <c r="B90" s="149" t="s">
        <v>178</v>
      </c>
      <c r="C90" s="149">
        <v>11</v>
      </c>
      <c r="D90" s="149">
        <v>100</v>
      </c>
      <c r="E90" s="149">
        <v>0</v>
      </c>
      <c r="F90" s="149">
        <v>682000</v>
      </c>
      <c r="G90" s="149">
        <v>53320</v>
      </c>
      <c r="H90" s="150" t="str">
        <f t="shared" si="3"/>
        <v>5</v>
      </c>
      <c r="I90" s="150" t="str">
        <f t="shared" si="4"/>
        <v>53</v>
      </c>
      <c r="J90" s="150" t="str">
        <f t="shared" si="5"/>
        <v>533</v>
      </c>
      <c r="K90" s="150" t="s">
        <v>8431</v>
      </c>
      <c r="L90" s="149" t="s">
        <v>179</v>
      </c>
      <c r="M90" s="151">
        <v>1242.29</v>
      </c>
    </row>
    <row r="91" spans="1:13" s="149" customFormat="1" x14ac:dyDescent="0.25">
      <c r="A91" s="149" t="s">
        <v>7639</v>
      </c>
      <c r="B91" s="149" t="s">
        <v>180</v>
      </c>
      <c r="C91" s="149">
        <v>11</v>
      </c>
      <c r="D91" s="149">
        <v>100</v>
      </c>
      <c r="E91" s="149">
        <v>0</v>
      </c>
      <c r="F91" s="149">
        <v>682000</v>
      </c>
      <c r="G91" s="149">
        <v>53340</v>
      </c>
      <c r="H91" s="150" t="str">
        <f t="shared" si="3"/>
        <v>5</v>
      </c>
      <c r="I91" s="150" t="str">
        <f t="shared" si="4"/>
        <v>53</v>
      </c>
      <c r="J91" s="150" t="str">
        <f t="shared" si="5"/>
        <v>533</v>
      </c>
      <c r="K91" s="150" t="s">
        <v>8432</v>
      </c>
      <c r="L91" s="149" t="s">
        <v>181</v>
      </c>
      <c r="M91" s="151">
        <v>290.54000000000002</v>
      </c>
    </row>
    <row r="92" spans="1:13" s="149" customFormat="1" x14ac:dyDescent="0.25">
      <c r="A92" s="149" t="s">
        <v>7639</v>
      </c>
      <c r="B92" s="149" t="s">
        <v>182</v>
      </c>
      <c r="C92" s="149">
        <v>11</v>
      </c>
      <c r="D92" s="149">
        <v>100</v>
      </c>
      <c r="E92" s="149">
        <v>0</v>
      </c>
      <c r="F92" s="149">
        <v>682000</v>
      </c>
      <c r="G92" s="149">
        <v>53420</v>
      </c>
      <c r="H92" s="150" t="str">
        <f t="shared" si="3"/>
        <v>5</v>
      </c>
      <c r="I92" s="150" t="str">
        <f t="shared" si="4"/>
        <v>53</v>
      </c>
      <c r="J92" s="150" t="str">
        <f t="shared" si="5"/>
        <v>534</v>
      </c>
      <c r="K92" s="150" t="s">
        <v>8433</v>
      </c>
      <c r="L92" s="149" t="s">
        <v>183</v>
      </c>
      <c r="M92" s="151">
        <v>6931.98</v>
      </c>
    </row>
    <row r="93" spans="1:13" s="149" customFormat="1" x14ac:dyDescent="0.25">
      <c r="A93" s="149" t="s">
        <v>7639</v>
      </c>
      <c r="B93" s="149" t="s">
        <v>184</v>
      </c>
      <c r="C93" s="149">
        <v>11</v>
      </c>
      <c r="D93" s="149">
        <v>100</v>
      </c>
      <c r="E93" s="149">
        <v>0</v>
      </c>
      <c r="F93" s="149">
        <v>682000</v>
      </c>
      <c r="G93" s="149">
        <v>53520</v>
      </c>
      <c r="H93" s="150" t="str">
        <f t="shared" si="3"/>
        <v>5</v>
      </c>
      <c r="I93" s="150" t="str">
        <f t="shared" si="4"/>
        <v>53</v>
      </c>
      <c r="J93" s="150" t="str">
        <f t="shared" si="5"/>
        <v>535</v>
      </c>
      <c r="K93" s="150" t="s">
        <v>8434</v>
      </c>
      <c r="L93" s="149" t="s">
        <v>185</v>
      </c>
      <c r="M93" s="151">
        <v>10.02</v>
      </c>
    </row>
    <row r="94" spans="1:13" s="149" customFormat="1" x14ac:dyDescent="0.25">
      <c r="A94" s="149" t="s">
        <v>7639</v>
      </c>
      <c r="B94" s="149" t="s">
        <v>186</v>
      </c>
      <c r="C94" s="149">
        <v>11</v>
      </c>
      <c r="D94" s="149">
        <v>100</v>
      </c>
      <c r="E94" s="149">
        <v>0</v>
      </c>
      <c r="F94" s="149">
        <v>682000</v>
      </c>
      <c r="G94" s="149">
        <v>53620</v>
      </c>
      <c r="H94" s="150" t="str">
        <f t="shared" si="3"/>
        <v>5</v>
      </c>
      <c r="I94" s="150" t="str">
        <f t="shared" si="4"/>
        <v>53</v>
      </c>
      <c r="J94" s="150" t="str">
        <f t="shared" si="5"/>
        <v>536</v>
      </c>
      <c r="K94" s="150" t="s">
        <v>8435</v>
      </c>
      <c r="L94" s="149" t="s">
        <v>187</v>
      </c>
      <c r="M94" s="151">
        <v>378.86</v>
      </c>
    </row>
    <row r="95" spans="1:13" s="149" customFormat="1" x14ac:dyDescent="0.25">
      <c r="A95" s="149" t="s">
        <v>7639</v>
      </c>
      <c r="B95" s="149" t="s">
        <v>188</v>
      </c>
      <c r="C95" s="149">
        <v>11</v>
      </c>
      <c r="D95" s="149">
        <v>100</v>
      </c>
      <c r="E95" s="149">
        <v>0</v>
      </c>
      <c r="F95" s="149">
        <v>682000</v>
      </c>
      <c r="G95" s="149">
        <v>53920</v>
      </c>
      <c r="H95" s="150" t="str">
        <f t="shared" si="3"/>
        <v>5</v>
      </c>
      <c r="I95" s="150" t="str">
        <f t="shared" si="4"/>
        <v>53</v>
      </c>
      <c r="J95" s="150" t="str">
        <f t="shared" si="5"/>
        <v>539</v>
      </c>
      <c r="K95" s="150" t="s">
        <v>8436</v>
      </c>
      <c r="L95" s="149" t="s">
        <v>189</v>
      </c>
      <c r="M95" s="151">
        <v>720</v>
      </c>
    </row>
    <row r="96" spans="1:13" s="149" customFormat="1" x14ac:dyDescent="0.25">
      <c r="A96" s="149" t="s">
        <v>7639</v>
      </c>
      <c r="B96" s="149" t="s">
        <v>190</v>
      </c>
      <c r="C96" s="149">
        <v>11</v>
      </c>
      <c r="D96" s="149">
        <v>100</v>
      </c>
      <c r="E96" s="149">
        <v>0</v>
      </c>
      <c r="F96" s="149">
        <v>682000</v>
      </c>
      <c r="G96" s="149">
        <v>55630</v>
      </c>
      <c r="H96" s="150" t="str">
        <f t="shared" si="3"/>
        <v>5</v>
      </c>
      <c r="I96" s="150" t="str">
        <f t="shared" si="4"/>
        <v>55</v>
      </c>
      <c r="J96" s="150" t="str">
        <f t="shared" si="5"/>
        <v>556</v>
      </c>
      <c r="K96" s="150" t="s">
        <v>8162</v>
      </c>
      <c r="L96" s="149" t="s">
        <v>191</v>
      </c>
      <c r="M96" s="151">
        <v>35.909999999999997</v>
      </c>
    </row>
    <row r="97" spans="1:13" s="149" customFormat="1" x14ac:dyDescent="0.25">
      <c r="A97" s="149" t="s">
        <v>7639</v>
      </c>
      <c r="B97" s="149" t="s">
        <v>192</v>
      </c>
      <c r="C97" s="149">
        <v>11</v>
      </c>
      <c r="D97" s="149">
        <v>100</v>
      </c>
      <c r="E97" s="149">
        <v>0</v>
      </c>
      <c r="F97" s="149">
        <v>684000</v>
      </c>
      <c r="G97" s="149">
        <v>51205</v>
      </c>
      <c r="H97" s="150" t="str">
        <f t="shared" si="3"/>
        <v>5</v>
      </c>
      <c r="I97" s="150" t="str">
        <f t="shared" si="4"/>
        <v>51</v>
      </c>
      <c r="J97" s="150" t="str">
        <f t="shared" si="5"/>
        <v>512</v>
      </c>
      <c r="K97" s="150" t="s">
        <v>8437</v>
      </c>
      <c r="L97" s="149" t="s">
        <v>193</v>
      </c>
      <c r="M97" s="151">
        <v>143938.04</v>
      </c>
    </row>
    <row r="98" spans="1:13" s="149" customFormat="1" x14ac:dyDescent="0.25">
      <c r="A98" s="149" t="s">
        <v>7639</v>
      </c>
      <c r="B98" s="149" t="s">
        <v>194</v>
      </c>
      <c r="C98" s="149">
        <v>11</v>
      </c>
      <c r="D98" s="149">
        <v>100</v>
      </c>
      <c r="E98" s="149">
        <v>0</v>
      </c>
      <c r="F98" s="149">
        <v>684000</v>
      </c>
      <c r="G98" s="149">
        <v>52300</v>
      </c>
      <c r="H98" s="150" t="str">
        <f t="shared" si="3"/>
        <v>5</v>
      </c>
      <c r="I98" s="150" t="str">
        <f t="shared" si="4"/>
        <v>52</v>
      </c>
      <c r="J98" s="150" t="str">
        <f t="shared" si="5"/>
        <v>523</v>
      </c>
      <c r="K98" s="150" t="s">
        <v>7809</v>
      </c>
      <c r="L98" s="149" t="s">
        <v>195</v>
      </c>
      <c r="M98" s="151">
        <v>2340</v>
      </c>
    </row>
    <row r="99" spans="1:13" s="149" customFormat="1" x14ac:dyDescent="0.25">
      <c r="A99" s="149" t="s">
        <v>7639</v>
      </c>
      <c r="B99" s="149" t="s">
        <v>196</v>
      </c>
      <c r="C99" s="149">
        <v>11</v>
      </c>
      <c r="D99" s="149">
        <v>100</v>
      </c>
      <c r="E99" s="149">
        <v>0</v>
      </c>
      <c r="F99" s="149">
        <v>684000</v>
      </c>
      <c r="G99" s="149">
        <v>53120</v>
      </c>
      <c r="H99" s="150" t="str">
        <f t="shared" si="3"/>
        <v>5</v>
      </c>
      <c r="I99" s="150" t="str">
        <f t="shared" si="4"/>
        <v>53</v>
      </c>
      <c r="J99" s="150" t="str">
        <f t="shared" si="5"/>
        <v>531</v>
      </c>
      <c r="K99" s="150" t="s">
        <v>8438</v>
      </c>
      <c r="L99" s="149" t="s">
        <v>197</v>
      </c>
      <c r="M99" s="151">
        <v>18552.38</v>
      </c>
    </row>
    <row r="100" spans="1:13" s="149" customFormat="1" x14ac:dyDescent="0.25">
      <c r="A100" s="149" t="s">
        <v>7639</v>
      </c>
      <c r="B100" s="149" t="s">
        <v>198</v>
      </c>
      <c r="C100" s="149">
        <v>11</v>
      </c>
      <c r="D100" s="149">
        <v>100</v>
      </c>
      <c r="E100" s="149">
        <v>0</v>
      </c>
      <c r="F100" s="149">
        <v>684000</v>
      </c>
      <c r="G100" s="149">
        <v>53220</v>
      </c>
      <c r="H100" s="150" t="str">
        <f t="shared" si="3"/>
        <v>5</v>
      </c>
      <c r="I100" s="150" t="str">
        <f t="shared" si="4"/>
        <v>53</v>
      </c>
      <c r="J100" s="150" t="str">
        <f t="shared" si="5"/>
        <v>532</v>
      </c>
      <c r="K100" s="150" t="s">
        <v>8439</v>
      </c>
      <c r="L100" s="149" t="s">
        <v>199</v>
      </c>
      <c r="M100" s="151">
        <v>0</v>
      </c>
    </row>
    <row r="101" spans="1:13" s="149" customFormat="1" x14ac:dyDescent="0.25">
      <c r="A101" s="149" t="s">
        <v>7639</v>
      </c>
      <c r="B101" s="149" t="s">
        <v>200</v>
      </c>
      <c r="C101" s="149">
        <v>11</v>
      </c>
      <c r="D101" s="149">
        <v>100</v>
      </c>
      <c r="E101" s="149">
        <v>0</v>
      </c>
      <c r="F101" s="149">
        <v>684000</v>
      </c>
      <c r="G101" s="149">
        <v>53320</v>
      </c>
      <c r="H101" s="150" t="str">
        <f t="shared" si="3"/>
        <v>5</v>
      </c>
      <c r="I101" s="150" t="str">
        <f t="shared" si="4"/>
        <v>53</v>
      </c>
      <c r="J101" s="150" t="str">
        <f t="shared" si="5"/>
        <v>533</v>
      </c>
      <c r="K101" s="150" t="s">
        <v>8440</v>
      </c>
      <c r="L101" s="149" t="s">
        <v>201</v>
      </c>
      <c r="M101" s="151">
        <v>5701.83</v>
      </c>
    </row>
    <row r="102" spans="1:13" s="149" customFormat="1" x14ac:dyDescent="0.25">
      <c r="A102" s="149" t="s">
        <v>7639</v>
      </c>
      <c r="B102" s="149" t="s">
        <v>202</v>
      </c>
      <c r="C102" s="149">
        <v>11</v>
      </c>
      <c r="D102" s="149">
        <v>100</v>
      </c>
      <c r="E102" s="149">
        <v>0</v>
      </c>
      <c r="F102" s="149">
        <v>684000</v>
      </c>
      <c r="G102" s="149">
        <v>53340</v>
      </c>
      <c r="H102" s="150" t="str">
        <f t="shared" si="3"/>
        <v>5</v>
      </c>
      <c r="I102" s="150" t="str">
        <f t="shared" si="4"/>
        <v>53</v>
      </c>
      <c r="J102" s="150" t="str">
        <f t="shared" si="5"/>
        <v>533</v>
      </c>
      <c r="K102" s="150" t="s">
        <v>8441</v>
      </c>
      <c r="L102" s="149" t="s">
        <v>203</v>
      </c>
      <c r="M102" s="151">
        <v>2121.0300000000002</v>
      </c>
    </row>
    <row r="103" spans="1:13" s="149" customFormat="1" x14ac:dyDescent="0.25">
      <c r="A103" s="149" t="s">
        <v>7639</v>
      </c>
      <c r="B103" s="149" t="s">
        <v>204</v>
      </c>
      <c r="C103" s="149">
        <v>11</v>
      </c>
      <c r="D103" s="149">
        <v>100</v>
      </c>
      <c r="E103" s="149">
        <v>0</v>
      </c>
      <c r="F103" s="149">
        <v>684000</v>
      </c>
      <c r="G103" s="149">
        <v>53420</v>
      </c>
      <c r="H103" s="150" t="str">
        <f t="shared" si="3"/>
        <v>5</v>
      </c>
      <c r="I103" s="150" t="str">
        <f t="shared" si="4"/>
        <v>53</v>
      </c>
      <c r="J103" s="150" t="str">
        <f t="shared" si="5"/>
        <v>534</v>
      </c>
      <c r="K103" s="150" t="s">
        <v>8442</v>
      </c>
      <c r="L103" s="149" t="s">
        <v>205</v>
      </c>
      <c r="M103" s="151">
        <v>14340.04</v>
      </c>
    </row>
    <row r="104" spans="1:13" s="149" customFormat="1" x14ac:dyDescent="0.25">
      <c r="A104" s="149" t="s">
        <v>7639</v>
      </c>
      <c r="B104" s="149" t="s">
        <v>206</v>
      </c>
      <c r="C104" s="149">
        <v>11</v>
      </c>
      <c r="D104" s="149">
        <v>100</v>
      </c>
      <c r="E104" s="149">
        <v>0</v>
      </c>
      <c r="F104" s="149">
        <v>684000</v>
      </c>
      <c r="G104" s="149">
        <v>53520</v>
      </c>
      <c r="H104" s="150" t="str">
        <f t="shared" si="3"/>
        <v>5</v>
      </c>
      <c r="I104" s="150" t="str">
        <f t="shared" si="4"/>
        <v>53</v>
      </c>
      <c r="J104" s="150" t="str">
        <f t="shared" si="5"/>
        <v>535</v>
      </c>
      <c r="K104" s="150" t="s">
        <v>8443</v>
      </c>
      <c r="L104" s="149" t="s">
        <v>207</v>
      </c>
      <c r="M104" s="151">
        <v>73.14</v>
      </c>
    </row>
    <row r="105" spans="1:13" s="149" customFormat="1" x14ac:dyDescent="0.25">
      <c r="A105" s="149" t="s">
        <v>7639</v>
      </c>
      <c r="B105" s="149" t="s">
        <v>208</v>
      </c>
      <c r="C105" s="149">
        <v>11</v>
      </c>
      <c r="D105" s="149">
        <v>100</v>
      </c>
      <c r="E105" s="149">
        <v>0</v>
      </c>
      <c r="F105" s="149">
        <v>684000</v>
      </c>
      <c r="G105" s="149">
        <v>53620</v>
      </c>
      <c r="H105" s="150" t="str">
        <f t="shared" si="3"/>
        <v>5</v>
      </c>
      <c r="I105" s="150" t="str">
        <f t="shared" si="4"/>
        <v>53</v>
      </c>
      <c r="J105" s="150" t="str">
        <f t="shared" si="5"/>
        <v>536</v>
      </c>
      <c r="K105" s="150" t="s">
        <v>8444</v>
      </c>
      <c r="L105" s="149" t="s">
        <v>209</v>
      </c>
      <c r="M105" s="151">
        <v>2765.82</v>
      </c>
    </row>
    <row r="106" spans="1:13" s="149" customFormat="1" x14ac:dyDescent="0.25">
      <c r="A106" s="149" t="s">
        <v>7639</v>
      </c>
      <c r="B106" s="149" t="s">
        <v>210</v>
      </c>
      <c r="C106" s="149">
        <v>11</v>
      </c>
      <c r="D106" s="149">
        <v>100</v>
      </c>
      <c r="E106" s="149">
        <v>0</v>
      </c>
      <c r="F106" s="149">
        <v>684000</v>
      </c>
      <c r="G106" s="149">
        <v>53902</v>
      </c>
      <c r="H106" s="150" t="str">
        <f t="shared" si="3"/>
        <v>5</v>
      </c>
      <c r="I106" s="150" t="str">
        <f t="shared" si="4"/>
        <v>53</v>
      </c>
      <c r="J106" s="150" t="str">
        <f t="shared" si="5"/>
        <v>539</v>
      </c>
      <c r="K106" s="150" t="s">
        <v>7906</v>
      </c>
      <c r="L106" s="149" t="s">
        <v>211</v>
      </c>
      <c r="M106" s="151">
        <v>0</v>
      </c>
    </row>
    <row r="107" spans="1:13" s="149" customFormat="1" x14ac:dyDescent="0.25">
      <c r="A107" s="149" t="s">
        <v>7639</v>
      </c>
      <c r="B107" s="149" t="s">
        <v>212</v>
      </c>
      <c r="C107" s="149">
        <v>11</v>
      </c>
      <c r="D107" s="149">
        <v>100</v>
      </c>
      <c r="E107" s="149">
        <v>0</v>
      </c>
      <c r="F107" s="149">
        <v>684000</v>
      </c>
      <c r="G107" s="149">
        <v>55550</v>
      </c>
      <c r="H107" s="150" t="str">
        <f t="shared" si="3"/>
        <v>5</v>
      </c>
      <c r="I107" s="150" t="str">
        <f t="shared" si="4"/>
        <v>55</v>
      </c>
      <c r="J107" s="150" t="str">
        <f t="shared" si="5"/>
        <v>555</v>
      </c>
      <c r="K107" s="150" t="s">
        <v>8128</v>
      </c>
      <c r="L107" s="149" t="s">
        <v>213</v>
      </c>
      <c r="M107" s="151">
        <v>306</v>
      </c>
    </row>
    <row r="108" spans="1:13" s="149" customFormat="1" x14ac:dyDescent="0.25">
      <c r="A108" s="149" t="s">
        <v>7639</v>
      </c>
      <c r="B108" s="149" t="s">
        <v>214</v>
      </c>
      <c r="C108" s="149">
        <v>11</v>
      </c>
      <c r="D108" s="149">
        <v>100</v>
      </c>
      <c r="E108" s="149">
        <v>0</v>
      </c>
      <c r="F108" s="149">
        <v>684000</v>
      </c>
      <c r="G108" s="149">
        <v>55630</v>
      </c>
      <c r="H108" s="150" t="str">
        <f t="shared" si="3"/>
        <v>5</v>
      </c>
      <c r="I108" s="150" t="str">
        <f t="shared" si="4"/>
        <v>55</v>
      </c>
      <c r="J108" s="150" t="str">
        <f t="shared" si="5"/>
        <v>556</v>
      </c>
      <c r="K108" s="150" t="s">
        <v>8163</v>
      </c>
      <c r="L108" s="149" t="s">
        <v>215</v>
      </c>
      <c r="M108" s="151">
        <v>0</v>
      </c>
    </row>
    <row r="109" spans="1:13" s="149" customFormat="1" x14ac:dyDescent="0.25">
      <c r="A109" s="149" t="s">
        <v>7639</v>
      </c>
      <c r="B109" s="149" t="s">
        <v>9565</v>
      </c>
      <c r="C109" s="149">
        <v>11</v>
      </c>
      <c r="D109" s="149">
        <v>120</v>
      </c>
      <c r="E109" s="149">
        <v>2</v>
      </c>
      <c r="F109" s="149">
        <v>10100</v>
      </c>
      <c r="G109" s="149">
        <v>51311</v>
      </c>
      <c r="H109" s="150" t="str">
        <f t="shared" si="3"/>
        <v>5</v>
      </c>
      <c r="I109" s="150" t="str">
        <f t="shared" si="4"/>
        <v>51</v>
      </c>
      <c r="J109" s="150" t="str">
        <f t="shared" si="5"/>
        <v>513</v>
      </c>
      <c r="K109" s="150" t="s">
        <v>7693</v>
      </c>
      <c r="L109" s="149" t="s">
        <v>2225</v>
      </c>
      <c r="M109" s="151">
        <v>0</v>
      </c>
    </row>
    <row r="110" spans="1:13" s="149" customFormat="1" x14ac:dyDescent="0.25">
      <c r="A110" s="149" t="s">
        <v>7639</v>
      </c>
      <c r="B110" s="149" t="s">
        <v>9566</v>
      </c>
      <c r="C110" s="149">
        <v>11</v>
      </c>
      <c r="D110" s="149">
        <v>120</v>
      </c>
      <c r="E110" s="149">
        <v>2</v>
      </c>
      <c r="F110" s="149">
        <v>10100</v>
      </c>
      <c r="G110" s="149">
        <v>53310</v>
      </c>
      <c r="H110" s="150" t="str">
        <f t="shared" si="3"/>
        <v>5</v>
      </c>
      <c r="I110" s="150" t="str">
        <f t="shared" si="4"/>
        <v>53</v>
      </c>
      <c r="J110" s="150" t="str">
        <f t="shared" si="5"/>
        <v>533</v>
      </c>
      <c r="K110" s="150" t="s">
        <v>8445</v>
      </c>
      <c r="L110" s="149" t="s">
        <v>2239</v>
      </c>
      <c r="M110" s="151">
        <v>0</v>
      </c>
    </row>
    <row r="111" spans="1:13" s="149" customFormat="1" x14ac:dyDescent="0.25">
      <c r="A111" s="149" t="s">
        <v>7639</v>
      </c>
      <c r="B111" s="149" t="s">
        <v>9567</v>
      </c>
      <c r="C111" s="149">
        <v>11</v>
      </c>
      <c r="D111" s="149">
        <v>120</v>
      </c>
      <c r="E111" s="149">
        <v>2</v>
      </c>
      <c r="F111" s="149">
        <v>10100</v>
      </c>
      <c r="G111" s="149">
        <v>53330</v>
      </c>
      <c r="H111" s="150" t="str">
        <f t="shared" si="3"/>
        <v>5</v>
      </c>
      <c r="I111" s="150" t="str">
        <f t="shared" si="4"/>
        <v>53</v>
      </c>
      <c r="J111" s="150" t="str">
        <f t="shared" si="5"/>
        <v>533</v>
      </c>
      <c r="K111" s="150" t="s">
        <v>8446</v>
      </c>
      <c r="L111" s="149" t="s">
        <v>2243</v>
      </c>
      <c r="M111" s="151">
        <v>0</v>
      </c>
    </row>
    <row r="112" spans="1:13" s="149" customFormat="1" x14ac:dyDescent="0.25">
      <c r="A112" s="149" t="s">
        <v>7639</v>
      </c>
      <c r="B112" s="149" t="s">
        <v>9568</v>
      </c>
      <c r="C112" s="149">
        <v>11</v>
      </c>
      <c r="D112" s="149">
        <v>120</v>
      </c>
      <c r="E112" s="149">
        <v>2</v>
      </c>
      <c r="F112" s="149">
        <v>10100</v>
      </c>
      <c r="G112" s="149">
        <v>53510</v>
      </c>
      <c r="H112" s="150" t="str">
        <f t="shared" si="3"/>
        <v>5</v>
      </c>
      <c r="I112" s="150" t="str">
        <f t="shared" si="4"/>
        <v>53</v>
      </c>
      <c r="J112" s="150" t="str">
        <f t="shared" si="5"/>
        <v>535</v>
      </c>
      <c r="K112" s="150" t="s">
        <v>8447</v>
      </c>
      <c r="L112" s="149" t="s">
        <v>2249</v>
      </c>
      <c r="M112" s="151">
        <v>0</v>
      </c>
    </row>
    <row r="113" spans="1:13" s="149" customFormat="1" x14ac:dyDescent="0.25">
      <c r="A113" s="149" t="s">
        <v>7639</v>
      </c>
      <c r="B113" s="149" t="s">
        <v>9569</v>
      </c>
      <c r="C113" s="149">
        <v>11</v>
      </c>
      <c r="D113" s="149">
        <v>120</v>
      </c>
      <c r="E113" s="149">
        <v>2</v>
      </c>
      <c r="F113" s="149">
        <v>10100</v>
      </c>
      <c r="G113" s="149">
        <v>53610</v>
      </c>
      <c r="H113" s="150" t="str">
        <f t="shared" si="3"/>
        <v>5</v>
      </c>
      <c r="I113" s="150" t="str">
        <f t="shared" si="4"/>
        <v>53</v>
      </c>
      <c r="J113" s="150" t="str">
        <f t="shared" si="5"/>
        <v>536</v>
      </c>
      <c r="K113" s="150" t="s">
        <v>8448</v>
      </c>
      <c r="L113" s="149" t="s">
        <v>2253</v>
      </c>
      <c r="M113" s="151">
        <v>0</v>
      </c>
    </row>
    <row r="114" spans="1:13" s="149" customFormat="1" x14ac:dyDescent="0.25">
      <c r="A114" s="149" t="s">
        <v>7639</v>
      </c>
      <c r="B114" s="149" t="s">
        <v>216</v>
      </c>
      <c r="C114" s="149">
        <v>11</v>
      </c>
      <c r="D114" s="149">
        <v>120</v>
      </c>
      <c r="E114" s="149">
        <v>2</v>
      </c>
      <c r="F114" s="149">
        <v>40110</v>
      </c>
      <c r="G114" s="149">
        <v>51311</v>
      </c>
      <c r="H114" s="150" t="str">
        <f t="shared" si="3"/>
        <v>5</v>
      </c>
      <c r="I114" s="150" t="str">
        <f t="shared" si="4"/>
        <v>51</v>
      </c>
      <c r="J114" s="150" t="str">
        <f t="shared" si="5"/>
        <v>513</v>
      </c>
      <c r="K114" s="150" t="s">
        <v>7694</v>
      </c>
      <c r="L114" s="149" t="s">
        <v>217</v>
      </c>
      <c r="M114" s="151">
        <v>32269</v>
      </c>
    </row>
    <row r="115" spans="1:13" s="149" customFormat="1" x14ac:dyDescent="0.25">
      <c r="A115" s="149" t="s">
        <v>7639</v>
      </c>
      <c r="B115" s="149" t="s">
        <v>218</v>
      </c>
      <c r="C115" s="149">
        <v>11</v>
      </c>
      <c r="D115" s="149">
        <v>120</v>
      </c>
      <c r="E115" s="149">
        <v>2</v>
      </c>
      <c r="F115" s="149">
        <v>40110</v>
      </c>
      <c r="G115" s="149">
        <v>53110</v>
      </c>
      <c r="H115" s="150" t="str">
        <f t="shared" si="3"/>
        <v>5</v>
      </c>
      <c r="I115" s="150" t="str">
        <f t="shared" si="4"/>
        <v>53</v>
      </c>
      <c r="J115" s="150" t="str">
        <f t="shared" si="5"/>
        <v>531</v>
      </c>
      <c r="K115" s="150" t="s">
        <v>8449</v>
      </c>
      <c r="L115" s="149" t="s">
        <v>219</v>
      </c>
      <c r="M115" s="151">
        <v>5211.4399999999996</v>
      </c>
    </row>
    <row r="116" spans="1:13" s="149" customFormat="1" x14ac:dyDescent="0.25">
      <c r="A116" s="149" t="s">
        <v>7639</v>
      </c>
      <c r="B116" s="149" t="s">
        <v>220</v>
      </c>
      <c r="C116" s="149">
        <v>11</v>
      </c>
      <c r="D116" s="149">
        <v>120</v>
      </c>
      <c r="E116" s="149">
        <v>2</v>
      </c>
      <c r="F116" s="149">
        <v>40110</v>
      </c>
      <c r="G116" s="149">
        <v>53310</v>
      </c>
      <c r="H116" s="150" t="str">
        <f t="shared" si="3"/>
        <v>5</v>
      </c>
      <c r="I116" s="150" t="str">
        <f t="shared" si="4"/>
        <v>53</v>
      </c>
      <c r="J116" s="150" t="str">
        <f t="shared" si="5"/>
        <v>533</v>
      </c>
      <c r="K116" s="150" t="s">
        <v>8450</v>
      </c>
      <c r="L116" s="149" t="s">
        <v>221</v>
      </c>
      <c r="M116" s="151">
        <v>0</v>
      </c>
    </row>
    <row r="117" spans="1:13" s="149" customFormat="1" x14ac:dyDescent="0.25">
      <c r="A117" s="149" t="s">
        <v>7639</v>
      </c>
      <c r="B117" s="149" t="s">
        <v>222</v>
      </c>
      <c r="C117" s="149">
        <v>11</v>
      </c>
      <c r="D117" s="149">
        <v>120</v>
      </c>
      <c r="E117" s="149">
        <v>2</v>
      </c>
      <c r="F117" s="149">
        <v>40110</v>
      </c>
      <c r="G117" s="149">
        <v>53330</v>
      </c>
      <c r="H117" s="150" t="str">
        <f t="shared" si="3"/>
        <v>5</v>
      </c>
      <c r="I117" s="150" t="str">
        <f t="shared" si="4"/>
        <v>53</v>
      </c>
      <c r="J117" s="150" t="str">
        <f t="shared" si="5"/>
        <v>533</v>
      </c>
      <c r="K117" s="150" t="s">
        <v>8451</v>
      </c>
      <c r="L117" s="149" t="s">
        <v>223</v>
      </c>
      <c r="M117" s="151">
        <v>467.9</v>
      </c>
    </row>
    <row r="118" spans="1:13" s="149" customFormat="1" x14ac:dyDescent="0.25">
      <c r="A118" s="149" t="s">
        <v>7639</v>
      </c>
      <c r="B118" s="149" t="s">
        <v>224</v>
      </c>
      <c r="C118" s="149">
        <v>11</v>
      </c>
      <c r="D118" s="149">
        <v>120</v>
      </c>
      <c r="E118" s="149">
        <v>2</v>
      </c>
      <c r="F118" s="149">
        <v>40110</v>
      </c>
      <c r="G118" s="149">
        <v>53510</v>
      </c>
      <c r="H118" s="150" t="str">
        <f t="shared" si="3"/>
        <v>5</v>
      </c>
      <c r="I118" s="150" t="str">
        <f t="shared" si="4"/>
        <v>53</v>
      </c>
      <c r="J118" s="150" t="str">
        <f t="shared" si="5"/>
        <v>535</v>
      </c>
      <c r="K118" s="150" t="s">
        <v>8452</v>
      </c>
      <c r="L118" s="149" t="s">
        <v>225</v>
      </c>
      <c r="M118" s="151">
        <v>16.13</v>
      </c>
    </row>
    <row r="119" spans="1:13" s="149" customFormat="1" x14ac:dyDescent="0.25">
      <c r="A119" s="149" t="s">
        <v>7639</v>
      </c>
      <c r="B119" s="149" t="s">
        <v>226</v>
      </c>
      <c r="C119" s="149">
        <v>11</v>
      </c>
      <c r="D119" s="149">
        <v>120</v>
      </c>
      <c r="E119" s="149">
        <v>2</v>
      </c>
      <c r="F119" s="149">
        <v>40110</v>
      </c>
      <c r="G119" s="149">
        <v>53610</v>
      </c>
      <c r="H119" s="150" t="str">
        <f t="shared" si="3"/>
        <v>5</v>
      </c>
      <c r="I119" s="150" t="str">
        <f t="shared" si="4"/>
        <v>53</v>
      </c>
      <c r="J119" s="150" t="str">
        <f t="shared" si="5"/>
        <v>536</v>
      </c>
      <c r="K119" s="150" t="s">
        <v>8453</v>
      </c>
      <c r="L119" s="149" t="s">
        <v>227</v>
      </c>
      <c r="M119" s="151">
        <v>610.14</v>
      </c>
    </row>
    <row r="120" spans="1:13" s="149" customFormat="1" x14ac:dyDescent="0.25">
      <c r="A120" s="149" t="s">
        <v>7639</v>
      </c>
      <c r="B120" s="149" t="s">
        <v>228</v>
      </c>
      <c r="C120" s="149">
        <v>11</v>
      </c>
      <c r="D120" s="149">
        <v>120</v>
      </c>
      <c r="E120" s="149">
        <v>2</v>
      </c>
      <c r="F120" s="149">
        <v>50000</v>
      </c>
      <c r="G120" s="149">
        <v>51310</v>
      </c>
      <c r="H120" s="150" t="str">
        <f t="shared" si="3"/>
        <v>5</v>
      </c>
      <c r="I120" s="150" t="str">
        <f t="shared" si="4"/>
        <v>51</v>
      </c>
      <c r="J120" s="150" t="str">
        <f t="shared" si="5"/>
        <v>513</v>
      </c>
      <c r="K120" s="150" t="s">
        <v>7644</v>
      </c>
      <c r="L120" s="149" t="s">
        <v>229</v>
      </c>
      <c r="M120" s="151">
        <v>0</v>
      </c>
    </row>
    <row r="121" spans="1:13" s="149" customFormat="1" x14ac:dyDescent="0.25">
      <c r="A121" s="149" t="s">
        <v>7639</v>
      </c>
      <c r="B121" s="149" t="s">
        <v>230</v>
      </c>
      <c r="C121" s="149">
        <v>11</v>
      </c>
      <c r="D121" s="149">
        <v>120</v>
      </c>
      <c r="E121" s="149">
        <v>2</v>
      </c>
      <c r="F121" s="149">
        <v>50000</v>
      </c>
      <c r="G121" s="149">
        <v>51311</v>
      </c>
      <c r="H121" s="150" t="str">
        <f t="shared" si="3"/>
        <v>5</v>
      </c>
      <c r="I121" s="150" t="str">
        <f t="shared" si="4"/>
        <v>51</v>
      </c>
      <c r="J121" s="150" t="str">
        <f t="shared" si="5"/>
        <v>513</v>
      </c>
      <c r="K121" s="150" t="s">
        <v>7695</v>
      </c>
      <c r="L121" s="149" t="s">
        <v>231</v>
      </c>
      <c r="M121" s="151">
        <v>21502</v>
      </c>
    </row>
    <row r="122" spans="1:13" s="149" customFormat="1" x14ac:dyDescent="0.25">
      <c r="A122" s="149" t="s">
        <v>7639</v>
      </c>
      <c r="B122" s="149" t="s">
        <v>232</v>
      </c>
      <c r="C122" s="149">
        <v>11</v>
      </c>
      <c r="D122" s="149">
        <v>120</v>
      </c>
      <c r="E122" s="149">
        <v>2</v>
      </c>
      <c r="F122" s="149">
        <v>50000</v>
      </c>
      <c r="G122" s="149">
        <v>53110</v>
      </c>
      <c r="H122" s="150" t="str">
        <f t="shared" si="3"/>
        <v>5</v>
      </c>
      <c r="I122" s="150" t="str">
        <f t="shared" si="4"/>
        <v>53</v>
      </c>
      <c r="J122" s="150" t="str">
        <f t="shared" si="5"/>
        <v>531</v>
      </c>
      <c r="K122" s="150" t="s">
        <v>8454</v>
      </c>
      <c r="L122" s="149" t="s">
        <v>233</v>
      </c>
      <c r="M122" s="151">
        <v>3472.57</v>
      </c>
    </row>
    <row r="123" spans="1:13" s="149" customFormat="1" x14ac:dyDescent="0.25">
      <c r="A123" s="149" t="s">
        <v>7639</v>
      </c>
      <c r="B123" s="149" t="s">
        <v>234</v>
      </c>
      <c r="C123" s="149">
        <v>11</v>
      </c>
      <c r="D123" s="149">
        <v>120</v>
      </c>
      <c r="E123" s="149">
        <v>2</v>
      </c>
      <c r="F123" s="149">
        <v>50000</v>
      </c>
      <c r="G123" s="149">
        <v>53330</v>
      </c>
      <c r="H123" s="150" t="str">
        <f t="shared" si="3"/>
        <v>5</v>
      </c>
      <c r="I123" s="150" t="str">
        <f t="shared" si="4"/>
        <v>53</v>
      </c>
      <c r="J123" s="150" t="str">
        <f t="shared" si="5"/>
        <v>533</v>
      </c>
      <c r="K123" s="150" t="s">
        <v>8455</v>
      </c>
      <c r="L123" s="149" t="s">
        <v>235</v>
      </c>
      <c r="M123" s="151">
        <v>311.77999999999997</v>
      </c>
    </row>
    <row r="124" spans="1:13" s="149" customFormat="1" x14ac:dyDescent="0.25">
      <c r="A124" s="149" t="s">
        <v>7639</v>
      </c>
      <c r="B124" s="149" t="s">
        <v>236</v>
      </c>
      <c r="C124" s="149">
        <v>11</v>
      </c>
      <c r="D124" s="149">
        <v>120</v>
      </c>
      <c r="E124" s="149">
        <v>2</v>
      </c>
      <c r="F124" s="149">
        <v>50000</v>
      </c>
      <c r="G124" s="149">
        <v>53510</v>
      </c>
      <c r="H124" s="150" t="str">
        <f t="shared" si="3"/>
        <v>5</v>
      </c>
      <c r="I124" s="150" t="str">
        <f t="shared" si="4"/>
        <v>53</v>
      </c>
      <c r="J124" s="150" t="str">
        <f t="shared" si="5"/>
        <v>535</v>
      </c>
      <c r="K124" s="150" t="s">
        <v>8456</v>
      </c>
      <c r="L124" s="149" t="s">
        <v>237</v>
      </c>
      <c r="M124" s="151">
        <v>10.75</v>
      </c>
    </row>
    <row r="125" spans="1:13" s="149" customFormat="1" x14ac:dyDescent="0.25">
      <c r="A125" s="149" t="s">
        <v>7639</v>
      </c>
      <c r="B125" s="149" t="s">
        <v>238</v>
      </c>
      <c r="C125" s="149">
        <v>11</v>
      </c>
      <c r="D125" s="149">
        <v>120</v>
      </c>
      <c r="E125" s="149">
        <v>2</v>
      </c>
      <c r="F125" s="149">
        <v>50000</v>
      </c>
      <c r="G125" s="149">
        <v>53610</v>
      </c>
      <c r="H125" s="150" t="str">
        <f t="shared" si="3"/>
        <v>5</v>
      </c>
      <c r="I125" s="150" t="str">
        <f t="shared" si="4"/>
        <v>53</v>
      </c>
      <c r="J125" s="150" t="str">
        <f t="shared" si="5"/>
        <v>536</v>
      </c>
      <c r="K125" s="150" t="s">
        <v>8457</v>
      </c>
      <c r="L125" s="149" t="s">
        <v>239</v>
      </c>
      <c r="M125" s="151">
        <v>406.56</v>
      </c>
    </row>
    <row r="126" spans="1:13" s="149" customFormat="1" x14ac:dyDescent="0.25">
      <c r="A126" s="149" t="s">
        <v>7639</v>
      </c>
      <c r="B126" s="149" t="s">
        <v>240</v>
      </c>
      <c r="C126" s="149">
        <v>11</v>
      </c>
      <c r="D126" s="149">
        <v>120</v>
      </c>
      <c r="E126" s="149">
        <v>2</v>
      </c>
      <c r="F126" s="149">
        <v>70100</v>
      </c>
      <c r="G126" s="149">
        <v>51311</v>
      </c>
      <c r="H126" s="150" t="str">
        <f t="shared" si="3"/>
        <v>5</v>
      </c>
      <c r="I126" s="150" t="str">
        <f t="shared" si="4"/>
        <v>51</v>
      </c>
      <c r="J126" s="150" t="str">
        <f t="shared" si="5"/>
        <v>513</v>
      </c>
      <c r="K126" s="150" t="s">
        <v>7696</v>
      </c>
      <c r="L126" s="149" t="s">
        <v>241</v>
      </c>
      <c r="M126" s="151">
        <v>24352</v>
      </c>
    </row>
    <row r="127" spans="1:13" s="149" customFormat="1" x14ac:dyDescent="0.25">
      <c r="A127" s="149" t="s">
        <v>7639</v>
      </c>
      <c r="B127" s="149" t="s">
        <v>242</v>
      </c>
      <c r="C127" s="149">
        <v>11</v>
      </c>
      <c r="D127" s="149">
        <v>120</v>
      </c>
      <c r="E127" s="149">
        <v>2</v>
      </c>
      <c r="F127" s="149">
        <v>70100</v>
      </c>
      <c r="G127" s="149">
        <v>53110</v>
      </c>
      <c r="H127" s="150" t="str">
        <f t="shared" si="3"/>
        <v>5</v>
      </c>
      <c r="I127" s="150" t="str">
        <f t="shared" si="4"/>
        <v>53</v>
      </c>
      <c r="J127" s="150" t="str">
        <f t="shared" si="5"/>
        <v>531</v>
      </c>
      <c r="K127" s="150" t="s">
        <v>8458</v>
      </c>
      <c r="L127" s="149" t="s">
        <v>243</v>
      </c>
      <c r="M127" s="151">
        <v>3932.85</v>
      </c>
    </row>
    <row r="128" spans="1:13" s="149" customFormat="1" x14ac:dyDescent="0.25">
      <c r="A128" s="149" t="s">
        <v>7639</v>
      </c>
      <c r="B128" s="149" t="s">
        <v>244</v>
      </c>
      <c r="C128" s="149">
        <v>11</v>
      </c>
      <c r="D128" s="149">
        <v>120</v>
      </c>
      <c r="E128" s="149">
        <v>2</v>
      </c>
      <c r="F128" s="149">
        <v>70100</v>
      </c>
      <c r="G128" s="149">
        <v>53330</v>
      </c>
      <c r="H128" s="150" t="str">
        <f t="shared" si="3"/>
        <v>5</v>
      </c>
      <c r="I128" s="150" t="str">
        <f t="shared" si="4"/>
        <v>53</v>
      </c>
      <c r="J128" s="150" t="str">
        <f t="shared" si="5"/>
        <v>533</v>
      </c>
      <c r="K128" s="150" t="s">
        <v>8459</v>
      </c>
      <c r="L128" s="149" t="s">
        <v>245</v>
      </c>
      <c r="M128" s="151">
        <v>353.1</v>
      </c>
    </row>
    <row r="129" spans="1:13" s="149" customFormat="1" x14ac:dyDescent="0.25">
      <c r="A129" s="149" t="s">
        <v>7639</v>
      </c>
      <c r="B129" s="149" t="s">
        <v>246</v>
      </c>
      <c r="C129" s="149">
        <v>11</v>
      </c>
      <c r="D129" s="149">
        <v>120</v>
      </c>
      <c r="E129" s="149">
        <v>2</v>
      </c>
      <c r="F129" s="149">
        <v>70100</v>
      </c>
      <c r="G129" s="149">
        <v>53510</v>
      </c>
      <c r="H129" s="150" t="str">
        <f t="shared" si="3"/>
        <v>5</v>
      </c>
      <c r="I129" s="150" t="str">
        <f t="shared" si="4"/>
        <v>53</v>
      </c>
      <c r="J129" s="150" t="str">
        <f t="shared" si="5"/>
        <v>535</v>
      </c>
      <c r="K129" s="150" t="s">
        <v>8460</v>
      </c>
      <c r="L129" s="149" t="s">
        <v>247</v>
      </c>
      <c r="M129" s="151">
        <v>12.18</v>
      </c>
    </row>
    <row r="130" spans="1:13" s="149" customFormat="1" x14ac:dyDescent="0.25">
      <c r="A130" s="149" t="s">
        <v>7639</v>
      </c>
      <c r="B130" s="149" t="s">
        <v>248</v>
      </c>
      <c r="C130" s="149">
        <v>11</v>
      </c>
      <c r="D130" s="149">
        <v>120</v>
      </c>
      <c r="E130" s="149">
        <v>2</v>
      </c>
      <c r="F130" s="149">
        <v>70100</v>
      </c>
      <c r="G130" s="149">
        <v>53610</v>
      </c>
      <c r="H130" s="150" t="str">
        <f t="shared" si="3"/>
        <v>5</v>
      </c>
      <c r="I130" s="150" t="str">
        <f t="shared" si="4"/>
        <v>53</v>
      </c>
      <c r="J130" s="150" t="str">
        <f t="shared" si="5"/>
        <v>536</v>
      </c>
      <c r="K130" s="150" t="s">
        <v>8461</v>
      </c>
      <c r="L130" s="149" t="s">
        <v>249</v>
      </c>
      <c r="M130" s="151">
        <v>460.45</v>
      </c>
    </row>
    <row r="131" spans="1:13" s="149" customFormat="1" x14ac:dyDescent="0.25">
      <c r="A131" s="149" t="s">
        <v>7639</v>
      </c>
      <c r="B131" s="149" t="s">
        <v>250</v>
      </c>
      <c r="C131" s="149">
        <v>11</v>
      </c>
      <c r="D131" s="149">
        <v>120</v>
      </c>
      <c r="E131" s="149">
        <v>2</v>
      </c>
      <c r="F131" s="149">
        <v>100200</v>
      </c>
      <c r="G131" s="149">
        <v>51311</v>
      </c>
      <c r="H131" s="150" t="str">
        <f t="shared" ref="H131:H194" si="6">LEFT(G131,1)</f>
        <v>5</v>
      </c>
      <c r="I131" s="150" t="str">
        <f t="shared" ref="I131:I194" si="7">LEFT(G131,2)</f>
        <v>51</v>
      </c>
      <c r="J131" s="150" t="str">
        <f t="shared" ref="J131:J194" si="8">LEFT(G131,3)</f>
        <v>513</v>
      </c>
      <c r="K131" s="150" t="s">
        <v>7697</v>
      </c>
      <c r="L131" s="149" t="s">
        <v>251</v>
      </c>
      <c r="M131" s="151">
        <v>6738</v>
      </c>
    </row>
    <row r="132" spans="1:13" s="149" customFormat="1" x14ac:dyDescent="0.25">
      <c r="A132" s="149" t="s">
        <v>7639</v>
      </c>
      <c r="B132" s="149" t="s">
        <v>252</v>
      </c>
      <c r="C132" s="149">
        <v>11</v>
      </c>
      <c r="D132" s="149">
        <v>120</v>
      </c>
      <c r="E132" s="149">
        <v>2</v>
      </c>
      <c r="F132" s="149">
        <v>100200</v>
      </c>
      <c r="G132" s="149">
        <v>53110</v>
      </c>
      <c r="H132" s="150" t="str">
        <f t="shared" si="6"/>
        <v>5</v>
      </c>
      <c r="I132" s="150" t="str">
        <f t="shared" si="7"/>
        <v>53</v>
      </c>
      <c r="J132" s="150" t="str">
        <f t="shared" si="8"/>
        <v>531</v>
      </c>
      <c r="K132" s="150" t="s">
        <v>8462</v>
      </c>
      <c r="L132" s="149" t="s">
        <v>253</v>
      </c>
      <c r="M132" s="151">
        <v>2218.69</v>
      </c>
    </row>
    <row r="133" spans="1:13" s="149" customFormat="1" x14ac:dyDescent="0.25">
      <c r="A133" s="149" t="s">
        <v>7639</v>
      </c>
      <c r="B133" s="149" t="s">
        <v>254</v>
      </c>
      <c r="C133" s="149">
        <v>11</v>
      </c>
      <c r="D133" s="149">
        <v>120</v>
      </c>
      <c r="E133" s="149">
        <v>2</v>
      </c>
      <c r="F133" s="149">
        <v>100200</v>
      </c>
      <c r="G133" s="149">
        <v>53330</v>
      </c>
      <c r="H133" s="150" t="str">
        <f t="shared" si="6"/>
        <v>5</v>
      </c>
      <c r="I133" s="150" t="str">
        <f t="shared" si="7"/>
        <v>53</v>
      </c>
      <c r="J133" s="150" t="str">
        <f t="shared" si="8"/>
        <v>533</v>
      </c>
      <c r="K133" s="150" t="s">
        <v>8463</v>
      </c>
      <c r="L133" s="149" t="s">
        <v>255</v>
      </c>
      <c r="M133" s="151">
        <v>199.2</v>
      </c>
    </row>
    <row r="134" spans="1:13" s="149" customFormat="1" x14ac:dyDescent="0.25">
      <c r="A134" s="149" t="s">
        <v>7639</v>
      </c>
      <c r="B134" s="149" t="s">
        <v>256</v>
      </c>
      <c r="C134" s="149">
        <v>11</v>
      </c>
      <c r="D134" s="149">
        <v>120</v>
      </c>
      <c r="E134" s="149">
        <v>2</v>
      </c>
      <c r="F134" s="149">
        <v>100200</v>
      </c>
      <c r="G134" s="149">
        <v>53510</v>
      </c>
      <c r="H134" s="150" t="str">
        <f t="shared" si="6"/>
        <v>5</v>
      </c>
      <c r="I134" s="150" t="str">
        <f t="shared" si="7"/>
        <v>53</v>
      </c>
      <c r="J134" s="150" t="str">
        <f t="shared" si="8"/>
        <v>535</v>
      </c>
      <c r="K134" s="150" t="s">
        <v>8464</v>
      </c>
      <c r="L134" s="149" t="s">
        <v>257</v>
      </c>
      <c r="M134" s="151">
        <v>6.87</v>
      </c>
    </row>
    <row r="135" spans="1:13" s="149" customFormat="1" x14ac:dyDescent="0.25">
      <c r="A135" s="149" t="s">
        <v>7639</v>
      </c>
      <c r="B135" s="149" t="s">
        <v>258</v>
      </c>
      <c r="C135" s="149">
        <v>11</v>
      </c>
      <c r="D135" s="149">
        <v>120</v>
      </c>
      <c r="E135" s="149">
        <v>2</v>
      </c>
      <c r="F135" s="149">
        <v>100200</v>
      </c>
      <c r="G135" s="149">
        <v>53610</v>
      </c>
      <c r="H135" s="150" t="str">
        <f t="shared" si="6"/>
        <v>5</v>
      </c>
      <c r="I135" s="150" t="str">
        <f t="shared" si="7"/>
        <v>53</v>
      </c>
      <c r="J135" s="150" t="str">
        <f t="shared" si="8"/>
        <v>536</v>
      </c>
      <c r="K135" s="150" t="s">
        <v>8465</v>
      </c>
      <c r="L135" s="149" t="s">
        <v>259</v>
      </c>
      <c r="M135" s="151">
        <v>259.76</v>
      </c>
    </row>
    <row r="136" spans="1:13" s="149" customFormat="1" x14ac:dyDescent="0.25">
      <c r="A136" s="149" t="s">
        <v>7639</v>
      </c>
      <c r="B136" s="149" t="s">
        <v>260</v>
      </c>
      <c r="C136" s="149">
        <v>11</v>
      </c>
      <c r="D136" s="149">
        <v>120</v>
      </c>
      <c r="E136" s="149">
        <v>2</v>
      </c>
      <c r="F136" s="149">
        <v>100400</v>
      </c>
      <c r="G136" s="149">
        <v>51311</v>
      </c>
      <c r="H136" s="150" t="str">
        <f t="shared" si="6"/>
        <v>5</v>
      </c>
      <c r="I136" s="150" t="str">
        <f t="shared" si="7"/>
        <v>51</v>
      </c>
      <c r="J136" s="150" t="str">
        <f t="shared" si="8"/>
        <v>513</v>
      </c>
      <c r="K136" s="150" t="s">
        <v>7698</v>
      </c>
      <c r="L136" s="149" t="s">
        <v>261</v>
      </c>
      <c r="M136" s="151">
        <v>21635</v>
      </c>
    </row>
    <row r="137" spans="1:13" s="149" customFormat="1" x14ac:dyDescent="0.25">
      <c r="A137" s="149" t="s">
        <v>7639</v>
      </c>
      <c r="B137" s="149" t="s">
        <v>262</v>
      </c>
      <c r="C137" s="149">
        <v>11</v>
      </c>
      <c r="D137" s="149">
        <v>120</v>
      </c>
      <c r="E137" s="149">
        <v>2</v>
      </c>
      <c r="F137" s="149">
        <v>100400</v>
      </c>
      <c r="G137" s="149">
        <v>53110</v>
      </c>
      <c r="H137" s="150" t="str">
        <f t="shared" si="6"/>
        <v>5</v>
      </c>
      <c r="I137" s="150" t="str">
        <f t="shared" si="7"/>
        <v>53</v>
      </c>
      <c r="J137" s="150" t="str">
        <f t="shared" si="8"/>
        <v>531</v>
      </c>
      <c r="K137" s="150" t="s">
        <v>8466</v>
      </c>
      <c r="L137" s="149" t="s">
        <v>263</v>
      </c>
      <c r="M137" s="151">
        <v>3494.05</v>
      </c>
    </row>
    <row r="138" spans="1:13" s="149" customFormat="1" x14ac:dyDescent="0.25">
      <c r="A138" s="149" t="s">
        <v>7639</v>
      </c>
      <c r="B138" s="149" t="s">
        <v>264</v>
      </c>
      <c r="C138" s="149">
        <v>11</v>
      </c>
      <c r="D138" s="149">
        <v>120</v>
      </c>
      <c r="E138" s="149">
        <v>2</v>
      </c>
      <c r="F138" s="149">
        <v>100400</v>
      </c>
      <c r="G138" s="149">
        <v>53330</v>
      </c>
      <c r="H138" s="150" t="str">
        <f t="shared" si="6"/>
        <v>5</v>
      </c>
      <c r="I138" s="150" t="str">
        <f t="shared" si="7"/>
        <v>53</v>
      </c>
      <c r="J138" s="150" t="str">
        <f t="shared" si="8"/>
        <v>533</v>
      </c>
      <c r="K138" s="150" t="s">
        <v>8467</v>
      </c>
      <c r="L138" s="149" t="s">
        <v>265</v>
      </c>
      <c r="M138" s="151">
        <v>313.70999999999998</v>
      </c>
    </row>
    <row r="139" spans="1:13" s="149" customFormat="1" x14ac:dyDescent="0.25">
      <c r="A139" s="149" t="s">
        <v>7639</v>
      </c>
      <c r="B139" s="149" t="s">
        <v>266</v>
      </c>
      <c r="C139" s="149">
        <v>11</v>
      </c>
      <c r="D139" s="149">
        <v>120</v>
      </c>
      <c r="E139" s="149">
        <v>2</v>
      </c>
      <c r="F139" s="149">
        <v>100400</v>
      </c>
      <c r="G139" s="149">
        <v>53510</v>
      </c>
      <c r="H139" s="150" t="str">
        <f t="shared" si="6"/>
        <v>5</v>
      </c>
      <c r="I139" s="150" t="str">
        <f t="shared" si="7"/>
        <v>53</v>
      </c>
      <c r="J139" s="150" t="str">
        <f t="shared" si="8"/>
        <v>535</v>
      </c>
      <c r="K139" s="150" t="s">
        <v>8468</v>
      </c>
      <c r="L139" s="149" t="s">
        <v>267</v>
      </c>
      <c r="M139" s="151">
        <v>10.82</v>
      </c>
    </row>
    <row r="140" spans="1:13" s="149" customFormat="1" x14ac:dyDescent="0.25">
      <c r="A140" s="149" t="s">
        <v>7639</v>
      </c>
      <c r="B140" s="149" t="s">
        <v>268</v>
      </c>
      <c r="C140" s="149">
        <v>11</v>
      </c>
      <c r="D140" s="149">
        <v>120</v>
      </c>
      <c r="E140" s="149">
        <v>2</v>
      </c>
      <c r="F140" s="149">
        <v>100400</v>
      </c>
      <c r="G140" s="149">
        <v>53610</v>
      </c>
      <c r="H140" s="150" t="str">
        <f t="shared" si="6"/>
        <v>5</v>
      </c>
      <c r="I140" s="150" t="str">
        <f t="shared" si="7"/>
        <v>53</v>
      </c>
      <c r="J140" s="150" t="str">
        <f t="shared" si="8"/>
        <v>536</v>
      </c>
      <c r="K140" s="150" t="s">
        <v>8469</v>
      </c>
      <c r="L140" s="149" t="s">
        <v>269</v>
      </c>
      <c r="M140" s="151">
        <v>409.07</v>
      </c>
    </row>
    <row r="141" spans="1:13" s="149" customFormat="1" x14ac:dyDescent="0.25">
      <c r="A141" s="149" t="s">
        <v>7639</v>
      </c>
      <c r="B141" s="149" t="s">
        <v>270</v>
      </c>
      <c r="C141" s="149">
        <v>11</v>
      </c>
      <c r="D141" s="149">
        <v>120</v>
      </c>
      <c r="E141" s="149">
        <v>2</v>
      </c>
      <c r="F141" s="149">
        <v>101100</v>
      </c>
      <c r="G141" s="149">
        <v>51311</v>
      </c>
      <c r="H141" s="150" t="str">
        <f t="shared" si="6"/>
        <v>5</v>
      </c>
      <c r="I141" s="150" t="str">
        <f t="shared" si="7"/>
        <v>51</v>
      </c>
      <c r="J141" s="150" t="str">
        <f t="shared" si="8"/>
        <v>513</v>
      </c>
      <c r="K141" s="150" t="s">
        <v>7699</v>
      </c>
      <c r="L141" s="149" t="s">
        <v>271</v>
      </c>
      <c r="M141" s="151">
        <v>4024</v>
      </c>
    </row>
    <row r="142" spans="1:13" s="149" customFormat="1" x14ac:dyDescent="0.25">
      <c r="A142" s="149" t="s">
        <v>7639</v>
      </c>
      <c r="B142" s="149" t="s">
        <v>272</v>
      </c>
      <c r="C142" s="149">
        <v>11</v>
      </c>
      <c r="D142" s="149">
        <v>120</v>
      </c>
      <c r="E142" s="149">
        <v>2</v>
      </c>
      <c r="F142" s="149">
        <v>101100</v>
      </c>
      <c r="G142" s="149">
        <v>53110</v>
      </c>
      <c r="H142" s="150" t="str">
        <f t="shared" si="6"/>
        <v>5</v>
      </c>
      <c r="I142" s="150" t="str">
        <f t="shared" si="7"/>
        <v>53</v>
      </c>
      <c r="J142" s="150" t="str">
        <f t="shared" si="8"/>
        <v>531</v>
      </c>
      <c r="K142" s="150" t="s">
        <v>8470</v>
      </c>
      <c r="L142" s="149" t="s">
        <v>273</v>
      </c>
      <c r="M142" s="151">
        <v>649.88</v>
      </c>
    </row>
    <row r="143" spans="1:13" s="149" customFormat="1" x14ac:dyDescent="0.25">
      <c r="A143" s="149" t="s">
        <v>7639</v>
      </c>
      <c r="B143" s="149" t="s">
        <v>274</v>
      </c>
      <c r="C143" s="149">
        <v>11</v>
      </c>
      <c r="D143" s="149">
        <v>120</v>
      </c>
      <c r="E143" s="149">
        <v>2</v>
      </c>
      <c r="F143" s="149">
        <v>101100</v>
      </c>
      <c r="G143" s="149">
        <v>53330</v>
      </c>
      <c r="H143" s="150" t="str">
        <f t="shared" si="6"/>
        <v>5</v>
      </c>
      <c r="I143" s="150" t="str">
        <f t="shared" si="7"/>
        <v>53</v>
      </c>
      <c r="J143" s="150" t="str">
        <f t="shared" si="8"/>
        <v>533</v>
      </c>
      <c r="K143" s="150" t="s">
        <v>8471</v>
      </c>
      <c r="L143" s="149" t="s">
        <v>275</v>
      </c>
      <c r="M143" s="151">
        <v>58.35</v>
      </c>
    </row>
    <row r="144" spans="1:13" s="149" customFormat="1" x14ac:dyDescent="0.25">
      <c r="A144" s="149" t="s">
        <v>7639</v>
      </c>
      <c r="B144" s="149" t="s">
        <v>276</v>
      </c>
      <c r="C144" s="149">
        <v>11</v>
      </c>
      <c r="D144" s="149">
        <v>120</v>
      </c>
      <c r="E144" s="149">
        <v>2</v>
      </c>
      <c r="F144" s="149">
        <v>101100</v>
      </c>
      <c r="G144" s="149">
        <v>53510</v>
      </c>
      <c r="H144" s="150" t="str">
        <f t="shared" si="6"/>
        <v>5</v>
      </c>
      <c r="I144" s="150" t="str">
        <f t="shared" si="7"/>
        <v>53</v>
      </c>
      <c r="J144" s="150" t="str">
        <f t="shared" si="8"/>
        <v>535</v>
      </c>
      <c r="K144" s="150" t="s">
        <v>8472</v>
      </c>
      <c r="L144" s="149" t="s">
        <v>277</v>
      </c>
      <c r="M144" s="151">
        <v>2.0099999999999998</v>
      </c>
    </row>
    <row r="145" spans="1:13" s="149" customFormat="1" x14ac:dyDescent="0.25">
      <c r="A145" s="149" t="s">
        <v>7639</v>
      </c>
      <c r="B145" s="149" t="s">
        <v>278</v>
      </c>
      <c r="C145" s="149">
        <v>11</v>
      </c>
      <c r="D145" s="149">
        <v>120</v>
      </c>
      <c r="E145" s="149">
        <v>2</v>
      </c>
      <c r="F145" s="149">
        <v>101100</v>
      </c>
      <c r="G145" s="149">
        <v>53610</v>
      </c>
      <c r="H145" s="150" t="str">
        <f t="shared" si="6"/>
        <v>5</v>
      </c>
      <c r="I145" s="150" t="str">
        <f t="shared" si="7"/>
        <v>53</v>
      </c>
      <c r="J145" s="150" t="str">
        <f t="shared" si="8"/>
        <v>536</v>
      </c>
      <c r="K145" s="150" t="s">
        <v>8473</v>
      </c>
      <c r="L145" s="149" t="s">
        <v>279</v>
      </c>
      <c r="M145" s="151">
        <v>76.09</v>
      </c>
    </row>
    <row r="146" spans="1:13" s="149" customFormat="1" x14ac:dyDescent="0.25">
      <c r="A146" s="149" t="s">
        <v>7639</v>
      </c>
      <c r="B146" s="149" t="s">
        <v>280</v>
      </c>
      <c r="C146" s="149">
        <v>11</v>
      </c>
      <c r="D146" s="149">
        <v>120</v>
      </c>
      <c r="E146" s="149">
        <v>2</v>
      </c>
      <c r="F146" s="149">
        <v>110500</v>
      </c>
      <c r="G146" s="149">
        <v>51311</v>
      </c>
      <c r="H146" s="150" t="str">
        <f t="shared" si="6"/>
        <v>5</v>
      </c>
      <c r="I146" s="150" t="str">
        <f t="shared" si="7"/>
        <v>51</v>
      </c>
      <c r="J146" s="150" t="str">
        <f t="shared" si="8"/>
        <v>513</v>
      </c>
      <c r="K146" s="150" t="s">
        <v>7700</v>
      </c>
      <c r="L146" s="149" t="s">
        <v>281</v>
      </c>
      <c r="M146" s="151">
        <v>38563</v>
      </c>
    </row>
    <row r="147" spans="1:13" s="149" customFormat="1" x14ac:dyDescent="0.25">
      <c r="A147" s="149" t="s">
        <v>7639</v>
      </c>
      <c r="B147" s="149" t="s">
        <v>282</v>
      </c>
      <c r="C147" s="149">
        <v>11</v>
      </c>
      <c r="D147" s="149">
        <v>120</v>
      </c>
      <c r="E147" s="149">
        <v>2</v>
      </c>
      <c r="F147" s="149">
        <v>110500</v>
      </c>
      <c r="G147" s="149">
        <v>53110</v>
      </c>
      <c r="H147" s="150" t="str">
        <f t="shared" si="6"/>
        <v>5</v>
      </c>
      <c r="I147" s="150" t="str">
        <f t="shared" si="7"/>
        <v>53</v>
      </c>
      <c r="J147" s="150" t="str">
        <f t="shared" si="8"/>
        <v>531</v>
      </c>
      <c r="K147" s="150" t="s">
        <v>8474</v>
      </c>
      <c r="L147" s="149" t="s">
        <v>283</v>
      </c>
      <c r="M147" s="151">
        <v>6227.92</v>
      </c>
    </row>
    <row r="148" spans="1:13" s="149" customFormat="1" x14ac:dyDescent="0.25">
      <c r="A148" s="149" t="s">
        <v>7639</v>
      </c>
      <c r="B148" s="149" t="s">
        <v>284</v>
      </c>
      <c r="C148" s="149">
        <v>11</v>
      </c>
      <c r="D148" s="149">
        <v>120</v>
      </c>
      <c r="E148" s="149">
        <v>2</v>
      </c>
      <c r="F148" s="149">
        <v>110500</v>
      </c>
      <c r="G148" s="149">
        <v>53330</v>
      </c>
      <c r="H148" s="150" t="str">
        <f t="shared" si="6"/>
        <v>5</v>
      </c>
      <c r="I148" s="150" t="str">
        <f t="shared" si="7"/>
        <v>53</v>
      </c>
      <c r="J148" s="150" t="str">
        <f t="shared" si="8"/>
        <v>533</v>
      </c>
      <c r="K148" s="150" t="s">
        <v>8475</v>
      </c>
      <c r="L148" s="149" t="s">
        <v>285</v>
      </c>
      <c r="M148" s="151">
        <v>559.16</v>
      </c>
    </row>
    <row r="149" spans="1:13" s="149" customFormat="1" x14ac:dyDescent="0.25">
      <c r="A149" s="149" t="s">
        <v>7639</v>
      </c>
      <c r="B149" s="149" t="s">
        <v>286</v>
      </c>
      <c r="C149" s="149">
        <v>11</v>
      </c>
      <c r="D149" s="149">
        <v>120</v>
      </c>
      <c r="E149" s="149">
        <v>2</v>
      </c>
      <c r="F149" s="149">
        <v>110500</v>
      </c>
      <c r="G149" s="149">
        <v>53510</v>
      </c>
      <c r="H149" s="150" t="str">
        <f t="shared" si="6"/>
        <v>5</v>
      </c>
      <c r="I149" s="150" t="str">
        <f t="shared" si="7"/>
        <v>53</v>
      </c>
      <c r="J149" s="150" t="str">
        <f t="shared" si="8"/>
        <v>535</v>
      </c>
      <c r="K149" s="150" t="s">
        <v>8476</v>
      </c>
      <c r="L149" s="149" t="s">
        <v>287</v>
      </c>
      <c r="M149" s="151">
        <v>19.28</v>
      </c>
    </row>
    <row r="150" spans="1:13" s="149" customFormat="1" x14ac:dyDescent="0.25">
      <c r="A150" s="149" t="s">
        <v>7639</v>
      </c>
      <c r="B150" s="149" t="s">
        <v>288</v>
      </c>
      <c r="C150" s="149">
        <v>11</v>
      </c>
      <c r="D150" s="149">
        <v>120</v>
      </c>
      <c r="E150" s="149">
        <v>2</v>
      </c>
      <c r="F150" s="149">
        <v>110500</v>
      </c>
      <c r="G150" s="149">
        <v>53610</v>
      </c>
      <c r="H150" s="150" t="str">
        <f t="shared" si="6"/>
        <v>5</v>
      </c>
      <c r="I150" s="150" t="str">
        <f t="shared" si="7"/>
        <v>53</v>
      </c>
      <c r="J150" s="150" t="str">
        <f t="shared" si="8"/>
        <v>536</v>
      </c>
      <c r="K150" s="150" t="s">
        <v>8477</v>
      </c>
      <c r="L150" s="149" t="s">
        <v>289</v>
      </c>
      <c r="M150" s="151">
        <v>729.15</v>
      </c>
    </row>
    <row r="151" spans="1:13" s="149" customFormat="1" x14ac:dyDescent="0.25">
      <c r="A151" s="149" t="s">
        <v>7639</v>
      </c>
      <c r="B151" s="149" t="s">
        <v>290</v>
      </c>
      <c r="C151" s="149">
        <v>11</v>
      </c>
      <c r="D151" s="149">
        <v>120</v>
      </c>
      <c r="E151" s="149">
        <v>2</v>
      </c>
      <c r="F151" s="149">
        <v>130500</v>
      </c>
      <c r="G151" s="149">
        <v>51311</v>
      </c>
      <c r="H151" s="150" t="str">
        <f t="shared" si="6"/>
        <v>5</v>
      </c>
      <c r="I151" s="150" t="str">
        <f t="shared" si="7"/>
        <v>51</v>
      </c>
      <c r="J151" s="150" t="str">
        <f t="shared" si="8"/>
        <v>513</v>
      </c>
      <c r="K151" s="150" t="s">
        <v>7701</v>
      </c>
      <c r="L151" s="149" t="s">
        <v>291</v>
      </c>
      <c r="M151" s="151">
        <v>4258</v>
      </c>
    </row>
    <row r="152" spans="1:13" s="149" customFormat="1" x14ac:dyDescent="0.25">
      <c r="A152" s="149" t="s">
        <v>7639</v>
      </c>
      <c r="B152" s="149" t="s">
        <v>292</v>
      </c>
      <c r="C152" s="149">
        <v>11</v>
      </c>
      <c r="D152" s="149">
        <v>120</v>
      </c>
      <c r="E152" s="149">
        <v>2</v>
      </c>
      <c r="F152" s="149">
        <v>130500</v>
      </c>
      <c r="G152" s="149">
        <v>53110</v>
      </c>
      <c r="H152" s="150" t="str">
        <f t="shared" si="6"/>
        <v>5</v>
      </c>
      <c r="I152" s="150" t="str">
        <f t="shared" si="7"/>
        <v>53</v>
      </c>
      <c r="J152" s="150" t="str">
        <f t="shared" si="8"/>
        <v>531</v>
      </c>
      <c r="K152" s="150" t="s">
        <v>8478</v>
      </c>
      <c r="L152" s="149" t="s">
        <v>293</v>
      </c>
      <c r="M152" s="151">
        <v>687.67</v>
      </c>
    </row>
    <row r="153" spans="1:13" s="149" customFormat="1" x14ac:dyDescent="0.25">
      <c r="A153" s="149" t="s">
        <v>7639</v>
      </c>
      <c r="B153" s="149" t="s">
        <v>294</v>
      </c>
      <c r="C153" s="149">
        <v>11</v>
      </c>
      <c r="D153" s="149">
        <v>120</v>
      </c>
      <c r="E153" s="149">
        <v>2</v>
      </c>
      <c r="F153" s="149">
        <v>130500</v>
      </c>
      <c r="G153" s="149">
        <v>53310</v>
      </c>
      <c r="H153" s="150" t="str">
        <f t="shared" si="6"/>
        <v>5</v>
      </c>
      <c r="I153" s="150" t="str">
        <f t="shared" si="7"/>
        <v>53</v>
      </c>
      <c r="J153" s="150" t="str">
        <f t="shared" si="8"/>
        <v>533</v>
      </c>
      <c r="K153" s="150" t="s">
        <v>8479</v>
      </c>
      <c r="L153" s="149" t="s">
        <v>295</v>
      </c>
      <c r="M153" s="151">
        <v>0</v>
      </c>
    </row>
    <row r="154" spans="1:13" s="149" customFormat="1" x14ac:dyDescent="0.25">
      <c r="A154" s="149" t="s">
        <v>7639</v>
      </c>
      <c r="B154" s="149" t="s">
        <v>296</v>
      </c>
      <c r="C154" s="149">
        <v>11</v>
      </c>
      <c r="D154" s="149">
        <v>120</v>
      </c>
      <c r="E154" s="149">
        <v>2</v>
      </c>
      <c r="F154" s="149">
        <v>130500</v>
      </c>
      <c r="G154" s="149">
        <v>53330</v>
      </c>
      <c r="H154" s="150" t="str">
        <f t="shared" si="6"/>
        <v>5</v>
      </c>
      <c r="I154" s="150" t="str">
        <f t="shared" si="7"/>
        <v>53</v>
      </c>
      <c r="J154" s="150" t="str">
        <f t="shared" si="8"/>
        <v>533</v>
      </c>
      <c r="K154" s="150" t="s">
        <v>8480</v>
      </c>
      <c r="L154" s="149" t="s">
        <v>297</v>
      </c>
      <c r="M154" s="151">
        <v>61.74</v>
      </c>
    </row>
    <row r="155" spans="1:13" s="149" customFormat="1" x14ac:dyDescent="0.25">
      <c r="A155" s="149" t="s">
        <v>7639</v>
      </c>
      <c r="B155" s="149" t="s">
        <v>298</v>
      </c>
      <c r="C155" s="149">
        <v>11</v>
      </c>
      <c r="D155" s="149">
        <v>120</v>
      </c>
      <c r="E155" s="149">
        <v>2</v>
      </c>
      <c r="F155" s="149">
        <v>130500</v>
      </c>
      <c r="G155" s="149">
        <v>53510</v>
      </c>
      <c r="H155" s="150" t="str">
        <f t="shared" si="6"/>
        <v>5</v>
      </c>
      <c r="I155" s="150" t="str">
        <f t="shared" si="7"/>
        <v>53</v>
      </c>
      <c r="J155" s="150" t="str">
        <f t="shared" si="8"/>
        <v>535</v>
      </c>
      <c r="K155" s="150" t="s">
        <v>8481</v>
      </c>
      <c r="L155" s="149" t="s">
        <v>299</v>
      </c>
      <c r="M155" s="151">
        <v>2.13</v>
      </c>
    </row>
    <row r="156" spans="1:13" s="149" customFormat="1" x14ac:dyDescent="0.25">
      <c r="A156" s="149" t="s">
        <v>7639</v>
      </c>
      <c r="B156" s="149" t="s">
        <v>300</v>
      </c>
      <c r="C156" s="149">
        <v>11</v>
      </c>
      <c r="D156" s="149">
        <v>120</v>
      </c>
      <c r="E156" s="149">
        <v>2</v>
      </c>
      <c r="F156" s="149">
        <v>130500</v>
      </c>
      <c r="G156" s="149">
        <v>53610</v>
      </c>
      <c r="H156" s="150" t="str">
        <f t="shared" si="6"/>
        <v>5</v>
      </c>
      <c r="I156" s="150" t="str">
        <f t="shared" si="7"/>
        <v>53</v>
      </c>
      <c r="J156" s="150" t="str">
        <f t="shared" si="8"/>
        <v>536</v>
      </c>
      <c r="K156" s="150" t="s">
        <v>8482</v>
      </c>
      <c r="L156" s="149" t="s">
        <v>301</v>
      </c>
      <c r="M156" s="151">
        <v>80.510000000000005</v>
      </c>
    </row>
    <row r="157" spans="1:13" s="149" customFormat="1" x14ac:dyDescent="0.25">
      <c r="A157" s="149" t="s">
        <v>7639</v>
      </c>
      <c r="B157" s="149" t="s">
        <v>302</v>
      </c>
      <c r="C157" s="149">
        <v>11</v>
      </c>
      <c r="D157" s="149">
        <v>120</v>
      </c>
      <c r="E157" s="149">
        <v>2</v>
      </c>
      <c r="F157" s="149">
        <v>150100</v>
      </c>
      <c r="G157" s="149">
        <v>51311</v>
      </c>
      <c r="H157" s="150" t="str">
        <f t="shared" si="6"/>
        <v>5</v>
      </c>
      <c r="I157" s="150" t="str">
        <f t="shared" si="7"/>
        <v>51</v>
      </c>
      <c r="J157" s="150" t="str">
        <f t="shared" si="8"/>
        <v>513</v>
      </c>
      <c r="K157" s="150" t="s">
        <v>7702</v>
      </c>
      <c r="L157" s="149" t="s">
        <v>303</v>
      </c>
      <c r="M157" s="151">
        <v>132074</v>
      </c>
    </row>
    <row r="158" spans="1:13" s="149" customFormat="1" x14ac:dyDescent="0.25">
      <c r="A158" s="149" t="s">
        <v>7639</v>
      </c>
      <c r="B158" s="149" t="s">
        <v>304</v>
      </c>
      <c r="C158" s="149">
        <v>11</v>
      </c>
      <c r="D158" s="149">
        <v>120</v>
      </c>
      <c r="E158" s="149">
        <v>2</v>
      </c>
      <c r="F158" s="149">
        <v>150100</v>
      </c>
      <c r="G158" s="149">
        <v>53110</v>
      </c>
      <c r="H158" s="150" t="str">
        <f t="shared" si="6"/>
        <v>5</v>
      </c>
      <c r="I158" s="150" t="str">
        <f t="shared" si="7"/>
        <v>53</v>
      </c>
      <c r="J158" s="150" t="str">
        <f t="shared" si="8"/>
        <v>531</v>
      </c>
      <c r="K158" s="150" t="s">
        <v>8483</v>
      </c>
      <c r="L158" s="149" t="s">
        <v>305</v>
      </c>
      <c r="M158" s="151">
        <v>21329.95</v>
      </c>
    </row>
    <row r="159" spans="1:13" s="149" customFormat="1" x14ac:dyDescent="0.25">
      <c r="A159" s="149" t="s">
        <v>7639</v>
      </c>
      <c r="B159" s="149" t="s">
        <v>306</v>
      </c>
      <c r="C159" s="149">
        <v>11</v>
      </c>
      <c r="D159" s="149">
        <v>120</v>
      </c>
      <c r="E159" s="149">
        <v>2</v>
      </c>
      <c r="F159" s="149">
        <v>150100</v>
      </c>
      <c r="G159" s="149">
        <v>53310</v>
      </c>
      <c r="H159" s="150" t="str">
        <f t="shared" si="6"/>
        <v>5</v>
      </c>
      <c r="I159" s="150" t="str">
        <f t="shared" si="7"/>
        <v>53</v>
      </c>
      <c r="J159" s="150" t="str">
        <f t="shared" si="8"/>
        <v>533</v>
      </c>
      <c r="K159" s="150" t="s">
        <v>8484</v>
      </c>
      <c r="L159" s="149" t="s">
        <v>307</v>
      </c>
      <c r="M159" s="151">
        <v>0</v>
      </c>
    </row>
    <row r="160" spans="1:13" s="149" customFormat="1" x14ac:dyDescent="0.25">
      <c r="A160" s="149" t="s">
        <v>7639</v>
      </c>
      <c r="B160" s="149" t="s">
        <v>308</v>
      </c>
      <c r="C160" s="149">
        <v>11</v>
      </c>
      <c r="D160" s="149">
        <v>120</v>
      </c>
      <c r="E160" s="149">
        <v>2</v>
      </c>
      <c r="F160" s="149">
        <v>150100</v>
      </c>
      <c r="G160" s="149">
        <v>53330</v>
      </c>
      <c r="H160" s="150" t="str">
        <f t="shared" si="6"/>
        <v>5</v>
      </c>
      <c r="I160" s="150" t="str">
        <f t="shared" si="7"/>
        <v>53</v>
      </c>
      <c r="J160" s="150" t="str">
        <f t="shared" si="8"/>
        <v>533</v>
      </c>
      <c r="K160" s="150" t="s">
        <v>8485</v>
      </c>
      <c r="L160" s="149" t="s">
        <v>309</v>
      </c>
      <c r="M160" s="151">
        <v>1915.07</v>
      </c>
    </row>
    <row r="161" spans="1:13" s="149" customFormat="1" x14ac:dyDescent="0.25">
      <c r="A161" s="149" t="s">
        <v>7639</v>
      </c>
      <c r="B161" s="149" t="s">
        <v>310</v>
      </c>
      <c r="C161" s="149">
        <v>11</v>
      </c>
      <c r="D161" s="149">
        <v>120</v>
      </c>
      <c r="E161" s="149">
        <v>2</v>
      </c>
      <c r="F161" s="149">
        <v>150100</v>
      </c>
      <c r="G161" s="149">
        <v>53510</v>
      </c>
      <c r="H161" s="150" t="str">
        <f t="shared" si="6"/>
        <v>5</v>
      </c>
      <c r="I161" s="150" t="str">
        <f t="shared" si="7"/>
        <v>53</v>
      </c>
      <c r="J161" s="150" t="str">
        <f t="shared" si="8"/>
        <v>535</v>
      </c>
      <c r="K161" s="150" t="s">
        <v>8486</v>
      </c>
      <c r="L161" s="149" t="s">
        <v>311</v>
      </c>
      <c r="M161" s="151">
        <v>66.040000000000006</v>
      </c>
    </row>
    <row r="162" spans="1:13" s="149" customFormat="1" x14ac:dyDescent="0.25">
      <c r="A162" s="149" t="s">
        <v>7639</v>
      </c>
      <c r="B162" s="149" t="s">
        <v>312</v>
      </c>
      <c r="C162" s="149">
        <v>11</v>
      </c>
      <c r="D162" s="149">
        <v>120</v>
      </c>
      <c r="E162" s="149">
        <v>2</v>
      </c>
      <c r="F162" s="149">
        <v>150100</v>
      </c>
      <c r="G162" s="149">
        <v>53610</v>
      </c>
      <c r="H162" s="150" t="str">
        <f t="shared" si="6"/>
        <v>5</v>
      </c>
      <c r="I162" s="150" t="str">
        <f t="shared" si="7"/>
        <v>53</v>
      </c>
      <c r="J162" s="150" t="str">
        <f t="shared" si="8"/>
        <v>536</v>
      </c>
      <c r="K162" s="150" t="s">
        <v>8487</v>
      </c>
      <c r="L162" s="149" t="s">
        <v>313</v>
      </c>
      <c r="M162" s="151">
        <v>2497.2600000000002</v>
      </c>
    </row>
    <row r="163" spans="1:13" s="149" customFormat="1" x14ac:dyDescent="0.25">
      <c r="A163" s="149" t="s">
        <v>7639</v>
      </c>
      <c r="B163" s="149" t="s">
        <v>314</v>
      </c>
      <c r="C163" s="149">
        <v>11</v>
      </c>
      <c r="D163" s="149">
        <v>120</v>
      </c>
      <c r="E163" s="149">
        <v>2</v>
      </c>
      <c r="F163" s="149">
        <v>150100</v>
      </c>
      <c r="G163" s="149">
        <v>55630</v>
      </c>
      <c r="H163" s="150" t="str">
        <f t="shared" si="6"/>
        <v>5</v>
      </c>
      <c r="I163" s="150" t="str">
        <f t="shared" si="7"/>
        <v>55</v>
      </c>
      <c r="J163" s="150" t="str">
        <f t="shared" si="8"/>
        <v>556</v>
      </c>
      <c r="K163" s="150" t="s">
        <v>8164</v>
      </c>
      <c r="L163" s="149" t="s">
        <v>315</v>
      </c>
      <c r="M163" s="151">
        <v>12</v>
      </c>
    </row>
    <row r="164" spans="1:13" s="149" customFormat="1" x14ac:dyDescent="0.25">
      <c r="A164" s="149" t="s">
        <v>7639</v>
      </c>
      <c r="B164" s="149" t="s">
        <v>316</v>
      </c>
      <c r="C164" s="149">
        <v>11</v>
      </c>
      <c r="D164" s="149">
        <v>120</v>
      </c>
      <c r="E164" s="149">
        <v>2</v>
      </c>
      <c r="F164" s="149">
        <v>150600</v>
      </c>
      <c r="G164" s="149">
        <v>51311</v>
      </c>
      <c r="H164" s="150" t="str">
        <f t="shared" si="6"/>
        <v>5</v>
      </c>
      <c r="I164" s="150" t="str">
        <f t="shared" si="7"/>
        <v>51</v>
      </c>
      <c r="J164" s="150" t="str">
        <f t="shared" si="8"/>
        <v>513</v>
      </c>
      <c r="K164" s="150" t="s">
        <v>7703</v>
      </c>
      <c r="L164" s="149" t="s">
        <v>317</v>
      </c>
      <c r="M164" s="151">
        <v>12958</v>
      </c>
    </row>
    <row r="165" spans="1:13" s="149" customFormat="1" x14ac:dyDescent="0.25">
      <c r="A165" s="149" t="s">
        <v>7639</v>
      </c>
      <c r="B165" s="149" t="s">
        <v>318</v>
      </c>
      <c r="C165" s="149">
        <v>11</v>
      </c>
      <c r="D165" s="149">
        <v>120</v>
      </c>
      <c r="E165" s="149">
        <v>2</v>
      </c>
      <c r="F165" s="149">
        <v>150600</v>
      </c>
      <c r="G165" s="149">
        <v>53110</v>
      </c>
      <c r="H165" s="150" t="str">
        <f t="shared" si="6"/>
        <v>5</v>
      </c>
      <c r="I165" s="150" t="str">
        <f t="shared" si="7"/>
        <v>53</v>
      </c>
      <c r="J165" s="150" t="str">
        <f t="shared" si="8"/>
        <v>531</v>
      </c>
      <c r="K165" s="150" t="s">
        <v>8488</v>
      </c>
      <c r="L165" s="149" t="s">
        <v>319</v>
      </c>
      <c r="M165" s="151">
        <v>2092.7199999999998</v>
      </c>
    </row>
    <row r="166" spans="1:13" s="149" customFormat="1" x14ac:dyDescent="0.25">
      <c r="A166" s="149" t="s">
        <v>7639</v>
      </c>
      <c r="B166" s="149" t="s">
        <v>320</v>
      </c>
      <c r="C166" s="149">
        <v>11</v>
      </c>
      <c r="D166" s="149">
        <v>120</v>
      </c>
      <c r="E166" s="149">
        <v>2</v>
      </c>
      <c r="F166" s="149">
        <v>150600</v>
      </c>
      <c r="G166" s="149">
        <v>53330</v>
      </c>
      <c r="H166" s="150" t="str">
        <f t="shared" si="6"/>
        <v>5</v>
      </c>
      <c r="I166" s="150" t="str">
        <f t="shared" si="7"/>
        <v>53</v>
      </c>
      <c r="J166" s="150" t="str">
        <f t="shared" si="8"/>
        <v>533</v>
      </c>
      <c r="K166" s="150" t="s">
        <v>8489</v>
      </c>
      <c r="L166" s="149" t="s">
        <v>321</v>
      </c>
      <c r="M166" s="151">
        <v>187.89</v>
      </c>
    </row>
    <row r="167" spans="1:13" s="149" customFormat="1" x14ac:dyDescent="0.25">
      <c r="A167" s="149" t="s">
        <v>7639</v>
      </c>
      <c r="B167" s="149" t="s">
        <v>322</v>
      </c>
      <c r="C167" s="149">
        <v>11</v>
      </c>
      <c r="D167" s="149">
        <v>120</v>
      </c>
      <c r="E167" s="149">
        <v>2</v>
      </c>
      <c r="F167" s="149">
        <v>150600</v>
      </c>
      <c r="G167" s="149">
        <v>53510</v>
      </c>
      <c r="H167" s="150" t="str">
        <f t="shared" si="6"/>
        <v>5</v>
      </c>
      <c r="I167" s="150" t="str">
        <f t="shared" si="7"/>
        <v>53</v>
      </c>
      <c r="J167" s="150" t="str">
        <f t="shared" si="8"/>
        <v>535</v>
      </c>
      <c r="K167" s="150" t="s">
        <v>8490</v>
      </c>
      <c r="L167" s="149" t="s">
        <v>323</v>
      </c>
      <c r="M167" s="151">
        <v>6.48</v>
      </c>
    </row>
    <row r="168" spans="1:13" s="149" customFormat="1" x14ac:dyDescent="0.25">
      <c r="A168" s="149" t="s">
        <v>7639</v>
      </c>
      <c r="B168" s="149" t="s">
        <v>324</v>
      </c>
      <c r="C168" s="149">
        <v>11</v>
      </c>
      <c r="D168" s="149">
        <v>120</v>
      </c>
      <c r="E168" s="149">
        <v>2</v>
      </c>
      <c r="F168" s="149">
        <v>150600</v>
      </c>
      <c r="G168" s="149">
        <v>53610</v>
      </c>
      <c r="H168" s="150" t="str">
        <f t="shared" si="6"/>
        <v>5</v>
      </c>
      <c r="I168" s="150" t="str">
        <f t="shared" si="7"/>
        <v>53</v>
      </c>
      <c r="J168" s="150" t="str">
        <f t="shared" si="8"/>
        <v>536</v>
      </c>
      <c r="K168" s="150" t="s">
        <v>8491</v>
      </c>
      <c r="L168" s="149" t="s">
        <v>325</v>
      </c>
      <c r="M168" s="151">
        <v>245.01</v>
      </c>
    </row>
    <row r="169" spans="1:13" s="149" customFormat="1" x14ac:dyDescent="0.25">
      <c r="A169" s="149" t="s">
        <v>7639</v>
      </c>
      <c r="B169" s="149" t="s">
        <v>326</v>
      </c>
      <c r="C169" s="149">
        <v>11</v>
      </c>
      <c r="D169" s="149">
        <v>120</v>
      </c>
      <c r="E169" s="149">
        <v>2</v>
      </c>
      <c r="F169" s="149">
        <v>150600</v>
      </c>
      <c r="G169" s="149">
        <v>55630</v>
      </c>
      <c r="H169" s="150" t="str">
        <f t="shared" si="6"/>
        <v>5</v>
      </c>
      <c r="I169" s="150" t="str">
        <f t="shared" si="7"/>
        <v>55</v>
      </c>
      <c r="J169" s="150" t="str">
        <f t="shared" si="8"/>
        <v>556</v>
      </c>
      <c r="K169" s="150" t="s">
        <v>8165</v>
      </c>
      <c r="L169" s="149" t="s">
        <v>327</v>
      </c>
      <c r="M169" s="151">
        <v>0.8</v>
      </c>
    </row>
    <row r="170" spans="1:13" s="149" customFormat="1" x14ac:dyDescent="0.25">
      <c r="A170" s="149" t="s">
        <v>7639</v>
      </c>
      <c r="B170" s="149" t="s">
        <v>328</v>
      </c>
      <c r="C170" s="149">
        <v>11</v>
      </c>
      <c r="D170" s="149">
        <v>120</v>
      </c>
      <c r="E170" s="149">
        <v>2</v>
      </c>
      <c r="F170" s="149">
        <v>170100</v>
      </c>
      <c r="G170" s="149">
        <v>51311</v>
      </c>
      <c r="H170" s="150" t="str">
        <f t="shared" si="6"/>
        <v>5</v>
      </c>
      <c r="I170" s="150" t="str">
        <f t="shared" si="7"/>
        <v>51</v>
      </c>
      <c r="J170" s="150" t="str">
        <f t="shared" si="8"/>
        <v>513</v>
      </c>
      <c r="K170" s="150" t="s">
        <v>7704</v>
      </c>
      <c r="L170" s="149" t="s">
        <v>329</v>
      </c>
      <c r="M170" s="151">
        <v>34636</v>
      </c>
    </row>
    <row r="171" spans="1:13" s="149" customFormat="1" x14ac:dyDescent="0.25">
      <c r="A171" s="149" t="s">
        <v>7639</v>
      </c>
      <c r="B171" s="149" t="s">
        <v>330</v>
      </c>
      <c r="C171" s="149">
        <v>11</v>
      </c>
      <c r="D171" s="149">
        <v>120</v>
      </c>
      <c r="E171" s="149">
        <v>2</v>
      </c>
      <c r="F171" s="149">
        <v>170100</v>
      </c>
      <c r="G171" s="149">
        <v>53110</v>
      </c>
      <c r="H171" s="150" t="str">
        <f t="shared" si="6"/>
        <v>5</v>
      </c>
      <c r="I171" s="150" t="str">
        <f t="shared" si="7"/>
        <v>53</v>
      </c>
      <c r="J171" s="150" t="str">
        <f t="shared" si="8"/>
        <v>531</v>
      </c>
      <c r="K171" s="150" t="s">
        <v>8492</v>
      </c>
      <c r="L171" s="149" t="s">
        <v>331</v>
      </c>
      <c r="M171" s="151">
        <v>5593.71</v>
      </c>
    </row>
    <row r="172" spans="1:13" s="149" customFormat="1" x14ac:dyDescent="0.25">
      <c r="A172" s="149" t="s">
        <v>7639</v>
      </c>
      <c r="B172" s="149" t="s">
        <v>332</v>
      </c>
      <c r="C172" s="149">
        <v>11</v>
      </c>
      <c r="D172" s="149">
        <v>120</v>
      </c>
      <c r="E172" s="149">
        <v>2</v>
      </c>
      <c r="F172" s="149">
        <v>170100</v>
      </c>
      <c r="G172" s="149">
        <v>53330</v>
      </c>
      <c r="H172" s="150" t="str">
        <f t="shared" si="6"/>
        <v>5</v>
      </c>
      <c r="I172" s="150" t="str">
        <f t="shared" si="7"/>
        <v>53</v>
      </c>
      <c r="J172" s="150" t="str">
        <f t="shared" si="8"/>
        <v>533</v>
      </c>
      <c r="K172" s="150" t="s">
        <v>8493</v>
      </c>
      <c r="L172" s="149" t="s">
        <v>333</v>
      </c>
      <c r="M172" s="151">
        <v>502.22</v>
      </c>
    </row>
    <row r="173" spans="1:13" s="149" customFormat="1" x14ac:dyDescent="0.25">
      <c r="A173" s="149" t="s">
        <v>7639</v>
      </c>
      <c r="B173" s="149" t="s">
        <v>334</v>
      </c>
      <c r="C173" s="149">
        <v>11</v>
      </c>
      <c r="D173" s="149">
        <v>120</v>
      </c>
      <c r="E173" s="149">
        <v>2</v>
      </c>
      <c r="F173" s="149">
        <v>170100</v>
      </c>
      <c r="G173" s="149">
        <v>53510</v>
      </c>
      <c r="H173" s="150" t="str">
        <f t="shared" si="6"/>
        <v>5</v>
      </c>
      <c r="I173" s="150" t="str">
        <f t="shared" si="7"/>
        <v>53</v>
      </c>
      <c r="J173" s="150" t="str">
        <f t="shared" si="8"/>
        <v>535</v>
      </c>
      <c r="K173" s="150" t="s">
        <v>8494</v>
      </c>
      <c r="L173" s="149" t="s">
        <v>335</v>
      </c>
      <c r="M173" s="151">
        <v>17.32</v>
      </c>
    </row>
    <row r="174" spans="1:13" s="149" customFormat="1" x14ac:dyDescent="0.25">
      <c r="A174" s="149" t="s">
        <v>7639</v>
      </c>
      <c r="B174" s="149" t="s">
        <v>336</v>
      </c>
      <c r="C174" s="149">
        <v>11</v>
      </c>
      <c r="D174" s="149">
        <v>120</v>
      </c>
      <c r="E174" s="149">
        <v>2</v>
      </c>
      <c r="F174" s="149">
        <v>170100</v>
      </c>
      <c r="G174" s="149">
        <v>53610</v>
      </c>
      <c r="H174" s="150" t="str">
        <f t="shared" si="6"/>
        <v>5</v>
      </c>
      <c r="I174" s="150" t="str">
        <f t="shared" si="7"/>
        <v>53</v>
      </c>
      <c r="J174" s="150" t="str">
        <f t="shared" si="8"/>
        <v>536</v>
      </c>
      <c r="K174" s="150" t="s">
        <v>8495</v>
      </c>
      <c r="L174" s="149" t="s">
        <v>337</v>
      </c>
      <c r="M174" s="151">
        <v>654.9</v>
      </c>
    </row>
    <row r="175" spans="1:13" s="149" customFormat="1" x14ac:dyDescent="0.25">
      <c r="A175" s="149" t="s">
        <v>7639</v>
      </c>
      <c r="B175" s="149" t="s">
        <v>338</v>
      </c>
      <c r="C175" s="149">
        <v>11</v>
      </c>
      <c r="D175" s="149">
        <v>120</v>
      </c>
      <c r="E175" s="149">
        <v>2</v>
      </c>
      <c r="F175" s="149">
        <v>170100</v>
      </c>
      <c r="G175" s="149">
        <v>55630</v>
      </c>
      <c r="H175" s="150" t="str">
        <f t="shared" si="6"/>
        <v>5</v>
      </c>
      <c r="I175" s="150" t="str">
        <f t="shared" si="7"/>
        <v>55</v>
      </c>
      <c r="J175" s="150" t="str">
        <f t="shared" si="8"/>
        <v>556</v>
      </c>
      <c r="K175" s="150" t="s">
        <v>8166</v>
      </c>
      <c r="L175" s="149" t="s">
        <v>339</v>
      </c>
      <c r="M175" s="151">
        <v>8.8000000000000007</v>
      </c>
    </row>
    <row r="176" spans="1:13" s="149" customFormat="1" x14ac:dyDescent="0.25">
      <c r="A176" s="149" t="s">
        <v>7639</v>
      </c>
      <c r="B176" s="149" t="s">
        <v>340</v>
      </c>
      <c r="C176" s="149">
        <v>11</v>
      </c>
      <c r="D176" s="149">
        <v>120</v>
      </c>
      <c r="E176" s="149">
        <v>2</v>
      </c>
      <c r="F176" s="149">
        <v>190200</v>
      </c>
      <c r="G176" s="149">
        <v>51311</v>
      </c>
      <c r="H176" s="150" t="str">
        <f t="shared" si="6"/>
        <v>5</v>
      </c>
      <c r="I176" s="150" t="str">
        <f t="shared" si="7"/>
        <v>51</v>
      </c>
      <c r="J176" s="150" t="str">
        <f t="shared" si="8"/>
        <v>513</v>
      </c>
      <c r="K176" s="150" t="s">
        <v>7705</v>
      </c>
      <c r="L176" s="149" t="s">
        <v>341</v>
      </c>
      <c r="M176" s="151">
        <v>10280</v>
      </c>
    </row>
    <row r="177" spans="1:13" s="149" customFormat="1" x14ac:dyDescent="0.25">
      <c r="A177" s="149" t="s">
        <v>7639</v>
      </c>
      <c r="B177" s="149" t="s">
        <v>342</v>
      </c>
      <c r="C177" s="149">
        <v>11</v>
      </c>
      <c r="D177" s="149">
        <v>120</v>
      </c>
      <c r="E177" s="149">
        <v>2</v>
      </c>
      <c r="F177" s="149">
        <v>190200</v>
      </c>
      <c r="G177" s="149">
        <v>53110</v>
      </c>
      <c r="H177" s="150" t="str">
        <f t="shared" si="6"/>
        <v>5</v>
      </c>
      <c r="I177" s="150" t="str">
        <f t="shared" si="7"/>
        <v>53</v>
      </c>
      <c r="J177" s="150" t="str">
        <f t="shared" si="8"/>
        <v>531</v>
      </c>
      <c r="K177" s="150" t="s">
        <v>8496</v>
      </c>
      <c r="L177" s="149" t="s">
        <v>343</v>
      </c>
      <c r="M177" s="151">
        <v>1660.22</v>
      </c>
    </row>
    <row r="178" spans="1:13" s="149" customFormat="1" x14ac:dyDescent="0.25">
      <c r="A178" s="149" t="s">
        <v>7639</v>
      </c>
      <c r="B178" s="149" t="s">
        <v>344</v>
      </c>
      <c r="C178" s="149">
        <v>11</v>
      </c>
      <c r="D178" s="149">
        <v>120</v>
      </c>
      <c r="E178" s="149">
        <v>2</v>
      </c>
      <c r="F178" s="149">
        <v>190200</v>
      </c>
      <c r="G178" s="149">
        <v>53330</v>
      </c>
      <c r="H178" s="150" t="str">
        <f t="shared" si="6"/>
        <v>5</v>
      </c>
      <c r="I178" s="150" t="str">
        <f t="shared" si="7"/>
        <v>53</v>
      </c>
      <c r="J178" s="150" t="str">
        <f t="shared" si="8"/>
        <v>533</v>
      </c>
      <c r="K178" s="150" t="s">
        <v>8497</v>
      </c>
      <c r="L178" s="149" t="s">
        <v>345</v>
      </c>
      <c r="M178" s="151">
        <v>149.06</v>
      </c>
    </row>
    <row r="179" spans="1:13" s="149" customFormat="1" x14ac:dyDescent="0.25">
      <c r="A179" s="149" t="s">
        <v>7639</v>
      </c>
      <c r="B179" s="149" t="s">
        <v>346</v>
      </c>
      <c r="C179" s="149">
        <v>11</v>
      </c>
      <c r="D179" s="149">
        <v>120</v>
      </c>
      <c r="E179" s="149">
        <v>2</v>
      </c>
      <c r="F179" s="149">
        <v>190200</v>
      </c>
      <c r="G179" s="149">
        <v>53510</v>
      </c>
      <c r="H179" s="150" t="str">
        <f t="shared" si="6"/>
        <v>5</v>
      </c>
      <c r="I179" s="150" t="str">
        <f t="shared" si="7"/>
        <v>53</v>
      </c>
      <c r="J179" s="150" t="str">
        <f t="shared" si="8"/>
        <v>535</v>
      </c>
      <c r="K179" s="150" t="s">
        <v>8498</v>
      </c>
      <c r="L179" s="149" t="s">
        <v>347</v>
      </c>
      <c r="M179" s="151">
        <v>5.14</v>
      </c>
    </row>
    <row r="180" spans="1:13" s="149" customFormat="1" x14ac:dyDescent="0.25">
      <c r="A180" s="149" t="s">
        <v>7639</v>
      </c>
      <c r="B180" s="149" t="s">
        <v>348</v>
      </c>
      <c r="C180" s="149">
        <v>11</v>
      </c>
      <c r="D180" s="149">
        <v>120</v>
      </c>
      <c r="E180" s="149">
        <v>2</v>
      </c>
      <c r="F180" s="149">
        <v>190200</v>
      </c>
      <c r="G180" s="149">
        <v>53610</v>
      </c>
      <c r="H180" s="150" t="str">
        <f t="shared" si="6"/>
        <v>5</v>
      </c>
      <c r="I180" s="150" t="str">
        <f t="shared" si="7"/>
        <v>53</v>
      </c>
      <c r="J180" s="150" t="str">
        <f t="shared" si="8"/>
        <v>536</v>
      </c>
      <c r="K180" s="150" t="s">
        <v>8499</v>
      </c>
      <c r="L180" s="149" t="s">
        <v>349</v>
      </c>
      <c r="M180" s="151">
        <v>194.37</v>
      </c>
    </row>
    <row r="181" spans="1:13" s="149" customFormat="1" x14ac:dyDescent="0.25">
      <c r="A181" s="149" t="s">
        <v>7639</v>
      </c>
      <c r="B181" s="149" t="s">
        <v>350</v>
      </c>
      <c r="C181" s="149">
        <v>11</v>
      </c>
      <c r="D181" s="149">
        <v>120</v>
      </c>
      <c r="E181" s="149">
        <v>2</v>
      </c>
      <c r="F181" s="149">
        <v>190200</v>
      </c>
      <c r="G181" s="149">
        <v>55630</v>
      </c>
      <c r="H181" s="150" t="str">
        <f t="shared" si="6"/>
        <v>5</v>
      </c>
      <c r="I181" s="150" t="str">
        <f t="shared" si="7"/>
        <v>55</v>
      </c>
      <c r="J181" s="150" t="str">
        <f t="shared" si="8"/>
        <v>556</v>
      </c>
      <c r="K181" s="150" t="s">
        <v>8167</v>
      </c>
      <c r="L181" s="149" t="s">
        <v>351</v>
      </c>
      <c r="M181" s="151">
        <v>2.8</v>
      </c>
    </row>
    <row r="182" spans="1:13" s="149" customFormat="1" x14ac:dyDescent="0.25">
      <c r="A182" s="149" t="s">
        <v>7639</v>
      </c>
      <c r="B182" s="149" t="s">
        <v>352</v>
      </c>
      <c r="C182" s="149">
        <v>11</v>
      </c>
      <c r="D182" s="149">
        <v>120</v>
      </c>
      <c r="E182" s="149">
        <v>2</v>
      </c>
      <c r="F182" s="149">
        <v>191900</v>
      </c>
      <c r="G182" s="149">
        <v>51311</v>
      </c>
      <c r="H182" s="150" t="str">
        <f t="shared" si="6"/>
        <v>5</v>
      </c>
      <c r="I182" s="150" t="str">
        <f t="shared" si="7"/>
        <v>51</v>
      </c>
      <c r="J182" s="150" t="str">
        <f t="shared" si="8"/>
        <v>513</v>
      </c>
      <c r="K182" s="150" t="s">
        <v>7706</v>
      </c>
      <c r="L182" s="149" t="s">
        <v>353</v>
      </c>
      <c r="M182" s="151">
        <v>2668</v>
      </c>
    </row>
    <row r="183" spans="1:13" s="149" customFormat="1" x14ac:dyDescent="0.25">
      <c r="A183" s="149" t="s">
        <v>7639</v>
      </c>
      <c r="B183" s="149" t="s">
        <v>354</v>
      </c>
      <c r="C183" s="149">
        <v>11</v>
      </c>
      <c r="D183" s="149">
        <v>120</v>
      </c>
      <c r="E183" s="149">
        <v>2</v>
      </c>
      <c r="F183" s="149">
        <v>191900</v>
      </c>
      <c r="G183" s="149">
        <v>53110</v>
      </c>
      <c r="H183" s="150" t="str">
        <f t="shared" si="6"/>
        <v>5</v>
      </c>
      <c r="I183" s="150" t="str">
        <f t="shared" si="7"/>
        <v>53</v>
      </c>
      <c r="J183" s="150" t="str">
        <f t="shared" si="8"/>
        <v>531</v>
      </c>
      <c r="K183" s="150" t="s">
        <v>8500</v>
      </c>
      <c r="L183" s="149" t="s">
        <v>355</v>
      </c>
      <c r="M183" s="151">
        <v>430.88</v>
      </c>
    </row>
    <row r="184" spans="1:13" s="149" customFormat="1" x14ac:dyDescent="0.25">
      <c r="A184" s="149" t="s">
        <v>7639</v>
      </c>
      <c r="B184" s="149" t="s">
        <v>356</v>
      </c>
      <c r="C184" s="149">
        <v>11</v>
      </c>
      <c r="D184" s="149">
        <v>120</v>
      </c>
      <c r="E184" s="149">
        <v>2</v>
      </c>
      <c r="F184" s="149">
        <v>191900</v>
      </c>
      <c r="G184" s="149">
        <v>53330</v>
      </c>
      <c r="H184" s="150" t="str">
        <f t="shared" si="6"/>
        <v>5</v>
      </c>
      <c r="I184" s="150" t="str">
        <f t="shared" si="7"/>
        <v>53</v>
      </c>
      <c r="J184" s="150" t="str">
        <f t="shared" si="8"/>
        <v>533</v>
      </c>
      <c r="K184" s="150" t="s">
        <v>8501</v>
      </c>
      <c r="L184" s="149" t="s">
        <v>357</v>
      </c>
      <c r="M184" s="151">
        <v>38.69</v>
      </c>
    </row>
    <row r="185" spans="1:13" s="149" customFormat="1" x14ac:dyDescent="0.25">
      <c r="A185" s="149" t="s">
        <v>7639</v>
      </c>
      <c r="B185" s="149" t="s">
        <v>358</v>
      </c>
      <c r="C185" s="149">
        <v>11</v>
      </c>
      <c r="D185" s="149">
        <v>120</v>
      </c>
      <c r="E185" s="149">
        <v>2</v>
      </c>
      <c r="F185" s="149">
        <v>191900</v>
      </c>
      <c r="G185" s="149">
        <v>53510</v>
      </c>
      <c r="H185" s="150" t="str">
        <f t="shared" si="6"/>
        <v>5</v>
      </c>
      <c r="I185" s="150" t="str">
        <f t="shared" si="7"/>
        <v>53</v>
      </c>
      <c r="J185" s="150" t="str">
        <f t="shared" si="8"/>
        <v>535</v>
      </c>
      <c r="K185" s="150" t="s">
        <v>8502</v>
      </c>
      <c r="L185" s="149" t="s">
        <v>359</v>
      </c>
      <c r="M185" s="151">
        <v>1.33</v>
      </c>
    </row>
    <row r="186" spans="1:13" s="149" customFormat="1" x14ac:dyDescent="0.25">
      <c r="A186" s="149" t="s">
        <v>7639</v>
      </c>
      <c r="B186" s="149" t="s">
        <v>360</v>
      </c>
      <c r="C186" s="149">
        <v>11</v>
      </c>
      <c r="D186" s="149">
        <v>120</v>
      </c>
      <c r="E186" s="149">
        <v>2</v>
      </c>
      <c r="F186" s="149">
        <v>191900</v>
      </c>
      <c r="G186" s="149">
        <v>53610</v>
      </c>
      <c r="H186" s="150" t="str">
        <f t="shared" si="6"/>
        <v>5</v>
      </c>
      <c r="I186" s="150" t="str">
        <f t="shared" si="7"/>
        <v>53</v>
      </c>
      <c r="J186" s="150" t="str">
        <f t="shared" si="8"/>
        <v>536</v>
      </c>
      <c r="K186" s="150" t="s">
        <v>8503</v>
      </c>
      <c r="L186" s="149" t="s">
        <v>361</v>
      </c>
      <c r="M186" s="151">
        <v>50.45</v>
      </c>
    </row>
    <row r="187" spans="1:13" s="149" customFormat="1" x14ac:dyDescent="0.25">
      <c r="A187" s="149" t="s">
        <v>7639</v>
      </c>
      <c r="B187" s="149" t="s">
        <v>362</v>
      </c>
      <c r="C187" s="149">
        <v>11</v>
      </c>
      <c r="D187" s="149">
        <v>120</v>
      </c>
      <c r="E187" s="149">
        <v>2</v>
      </c>
      <c r="F187" s="149">
        <v>200100</v>
      </c>
      <c r="G187" s="149">
        <v>51311</v>
      </c>
      <c r="H187" s="150" t="str">
        <f t="shared" si="6"/>
        <v>5</v>
      </c>
      <c r="I187" s="150" t="str">
        <f t="shared" si="7"/>
        <v>51</v>
      </c>
      <c r="J187" s="150" t="str">
        <f t="shared" si="8"/>
        <v>513</v>
      </c>
      <c r="K187" s="150" t="s">
        <v>7707</v>
      </c>
      <c r="L187" s="149" t="s">
        <v>363</v>
      </c>
      <c r="M187" s="151">
        <v>31812</v>
      </c>
    </row>
    <row r="188" spans="1:13" s="149" customFormat="1" x14ac:dyDescent="0.25">
      <c r="A188" s="149" t="s">
        <v>7639</v>
      </c>
      <c r="B188" s="149" t="s">
        <v>364</v>
      </c>
      <c r="C188" s="149">
        <v>11</v>
      </c>
      <c r="D188" s="149">
        <v>120</v>
      </c>
      <c r="E188" s="149">
        <v>2</v>
      </c>
      <c r="F188" s="149">
        <v>200100</v>
      </c>
      <c r="G188" s="149">
        <v>53110</v>
      </c>
      <c r="H188" s="150" t="str">
        <f t="shared" si="6"/>
        <v>5</v>
      </c>
      <c r="I188" s="150" t="str">
        <f t="shared" si="7"/>
        <v>53</v>
      </c>
      <c r="J188" s="150" t="str">
        <f t="shared" si="8"/>
        <v>531</v>
      </c>
      <c r="K188" s="150" t="s">
        <v>8504</v>
      </c>
      <c r="L188" s="149" t="s">
        <v>365</v>
      </c>
      <c r="M188" s="151">
        <v>5137.6400000000003</v>
      </c>
    </row>
    <row r="189" spans="1:13" s="149" customFormat="1" x14ac:dyDescent="0.25">
      <c r="A189" s="149" t="s">
        <v>7639</v>
      </c>
      <c r="B189" s="149" t="s">
        <v>366</v>
      </c>
      <c r="C189" s="149">
        <v>11</v>
      </c>
      <c r="D189" s="149">
        <v>120</v>
      </c>
      <c r="E189" s="149">
        <v>2</v>
      </c>
      <c r="F189" s="149">
        <v>200100</v>
      </c>
      <c r="G189" s="149">
        <v>53310</v>
      </c>
      <c r="H189" s="150" t="str">
        <f t="shared" si="6"/>
        <v>5</v>
      </c>
      <c r="I189" s="150" t="str">
        <f t="shared" si="7"/>
        <v>53</v>
      </c>
      <c r="J189" s="150" t="str">
        <f t="shared" si="8"/>
        <v>533</v>
      </c>
      <c r="K189" s="150" t="s">
        <v>8505</v>
      </c>
      <c r="L189" s="149" t="s">
        <v>367</v>
      </c>
      <c r="M189" s="151">
        <v>0</v>
      </c>
    </row>
    <row r="190" spans="1:13" s="149" customFormat="1" x14ac:dyDescent="0.25">
      <c r="A190" s="149" t="s">
        <v>7639</v>
      </c>
      <c r="B190" s="149" t="s">
        <v>368</v>
      </c>
      <c r="C190" s="149">
        <v>11</v>
      </c>
      <c r="D190" s="149">
        <v>120</v>
      </c>
      <c r="E190" s="149">
        <v>2</v>
      </c>
      <c r="F190" s="149">
        <v>200100</v>
      </c>
      <c r="G190" s="149">
        <v>53330</v>
      </c>
      <c r="H190" s="150" t="str">
        <f t="shared" si="6"/>
        <v>5</v>
      </c>
      <c r="I190" s="150" t="str">
        <f t="shared" si="7"/>
        <v>53</v>
      </c>
      <c r="J190" s="150" t="str">
        <f t="shared" si="8"/>
        <v>533</v>
      </c>
      <c r="K190" s="150" t="s">
        <v>8506</v>
      </c>
      <c r="L190" s="149" t="s">
        <v>369</v>
      </c>
      <c r="M190" s="151">
        <v>461.27</v>
      </c>
    </row>
    <row r="191" spans="1:13" s="149" customFormat="1" x14ac:dyDescent="0.25">
      <c r="A191" s="149" t="s">
        <v>7639</v>
      </c>
      <c r="B191" s="149" t="s">
        <v>370</v>
      </c>
      <c r="C191" s="149">
        <v>11</v>
      </c>
      <c r="D191" s="149">
        <v>120</v>
      </c>
      <c r="E191" s="149">
        <v>2</v>
      </c>
      <c r="F191" s="149">
        <v>200100</v>
      </c>
      <c r="G191" s="149">
        <v>53510</v>
      </c>
      <c r="H191" s="150" t="str">
        <f t="shared" si="6"/>
        <v>5</v>
      </c>
      <c r="I191" s="150" t="str">
        <f t="shared" si="7"/>
        <v>53</v>
      </c>
      <c r="J191" s="150" t="str">
        <f t="shared" si="8"/>
        <v>535</v>
      </c>
      <c r="K191" s="150" t="s">
        <v>8507</v>
      </c>
      <c r="L191" s="149" t="s">
        <v>371</v>
      </c>
      <c r="M191" s="151">
        <v>15.91</v>
      </c>
    </row>
    <row r="192" spans="1:13" s="149" customFormat="1" x14ac:dyDescent="0.25">
      <c r="A192" s="149" t="s">
        <v>7639</v>
      </c>
      <c r="B192" s="149" t="s">
        <v>372</v>
      </c>
      <c r="C192" s="149">
        <v>11</v>
      </c>
      <c r="D192" s="149">
        <v>120</v>
      </c>
      <c r="E192" s="149">
        <v>2</v>
      </c>
      <c r="F192" s="149">
        <v>200100</v>
      </c>
      <c r="G192" s="149">
        <v>53610</v>
      </c>
      <c r="H192" s="150" t="str">
        <f t="shared" si="6"/>
        <v>5</v>
      </c>
      <c r="I192" s="150" t="str">
        <f t="shared" si="7"/>
        <v>53</v>
      </c>
      <c r="J192" s="150" t="str">
        <f t="shared" si="8"/>
        <v>536</v>
      </c>
      <c r="K192" s="150" t="s">
        <v>8508</v>
      </c>
      <c r="L192" s="149" t="s">
        <v>373</v>
      </c>
      <c r="M192" s="151">
        <v>601.5</v>
      </c>
    </row>
    <row r="193" spans="1:13" s="149" customFormat="1" x14ac:dyDescent="0.25">
      <c r="A193" s="149" t="s">
        <v>7639</v>
      </c>
      <c r="B193" s="149" t="s">
        <v>374</v>
      </c>
      <c r="C193" s="149">
        <v>11</v>
      </c>
      <c r="D193" s="149">
        <v>120</v>
      </c>
      <c r="E193" s="149">
        <v>2</v>
      </c>
      <c r="F193" s="149">
        <v>210500</v>
      </c>
      <c r="G193" s="149">
        <v>51311</v>
      </c>
      <c r="H193" s="150" t="str">
        <f t="shared" si="6"/>
        <v>5</v>
      </c>
      <c r="I193" s="150" t="str">
        <f t="shared" si="7"/>
        <v>51</v>
      </c>
      <c r="J193" s="150" t="str">
        <f t="shared" si="8"/>
        <v>513</v>
      </c>
      <c r="K193" s="150" t="s">
        <v>7708</v>
      </c>
      <c r="L193" s="149" t="s">
        <v>375</v>
      </c>
      <c r="M193" s="151">
        <v>27695</v>
      </c>
    </row>
    <row r="194" spans="1:13" s="149" customFormat="1" x14ac:dyDescent="0.25">
      <c r="A194" s="149" t="s">
        <v>7639</v>
      </c>
      <c r="B194" s="149" t="s">
        <v>376</v>
      </c>
      <c r="C194" s="149">
        <v>11</v>
      </c>
      <c r="D194" s="149">
        <v>120</v>
      </c>
      <c r="E194" s="149">
        <v>2</v>
      </c>
      <c r="F194" s="149">
        <v>210500</v>
      </c>
      <c r="G194" s="149">
        <v>53110</v>
      </c>
      <c r="H194" s="150" t="str">
        <f t="shared" si="6"/>
        <v>5</v>
      </c>
      <c r="I194" s="150" t="str">
        <f t="shared" si="7"/>
        <v>53</v>
      </c>
      <c r="J194" s="150" t="str">
        <f t="shared" si="8"/>
        <v>531</v>
      </c>
      <c r="K194" s="150" t="s">
        <v>8509</v>
      </c>
      <c r="L194" s="149" t="s">
        <v>377</v>
      </c>
      <c r="M194" s="151">
        <v>4472.74</v>
      </c>
    </row>
    <row r="195" spans="1:13" s="149" customFormat="1" x14ac:dyDescent="0.25">
      <c r="A195" s="149" t="s">
        <v>7639</v>
      </c>
      <c r="B195" s="149" t="s">
        <v>378</v>
      </c>
      <c r="C195" s="149">
        <v>11</v>
      </c>
      <c r="D195" s="149">
        <v>120</v>
      </c>
      <c r="E195" s="149">
        <v>2</v>
      </c>
      <c r="F195" s="149">
        <v>210500</v>
      </c>
      <c r="G195" s="149">
        <v>53310</v>
      </c>
      <c r="H195" s="150" t="str">
        <f t="shared" ref="H195:H258" si="9">LEFT(G195,1)</f>
        <v>5</v>
      </c>
      <c r="I195" s="150" t="str">
        <f t="shared" ref="I195:I258" si="10">LEFT(G195,2)</f>
        <v>53</v>
      </c>
      <c r="J195" s="150" t="str">
        <f t="shared" ref="J195:J258" si="11">LEFT(G195,3)</f>
        <v>533</v>
      </c>
      <c r="K195" s="150" t="s">
        <v>8510</v>
      </c>
      <c r="L195" s="149" t="s">
        <v>379</v>
      </c>
      <c r="M195" s="151">
        <v>0</v>
      </c>
    </row>
    <row r="196" spans="1:13" s="149" customFormat="1" x14ac:dyDescent="0.25">
      <c r="A196" s="149" t="s">
        <v>7639</v>
      </c>
      <c r="B196" s="149" t="s">
        <v>380</v>
      </c>
      <c r="C196" s="149">
        <v>11</v>
      </c>
      <c r="D196" s="149">
        <v>120</v>
      </c>
      <c r="E196" s="149">
        <v>2</v>
      </c>
      <c r="F196" s="149">
        <v>210500</v>
      </c>
      <c r="G196" s="149">
        <v>53330</v>
      </c>
      <c r="H196" s="150" t="str">
        <f t="shared" si="9"/>
        <v>5</v>
      </c>
      <c r="I196" s="150" t="str">
        <f t="shared" si="10"/>
        <v>53</v>
      </c>
      <c r="J196" s="150" t="str">
        <f t="shared" si="11"/>
        <v>533</v>
      </c>
      <c r="K196" s="150" t="s">
        <v>8511</v>
      </c>
      <c r="L196" s="149" t="s">
        <v>381</v>
      </c>
      <c r="M196" s="151">
        <v>401.58</v>
      </c>
    </row>
    <row r="197" spans="1:13" s="149" customFormat="1" x14ac:dyDescent="0.25">
      <c r="A197" s="149" t="s">
        <v>7639</v>
      </c>
      <c r="B197" s="149" t="s">
        <v>382</v>
      </c>
      <c r="C197" s="149">
        <v>11</v>
      </c>
      <c r="D197" s="149">
        <v>120</v>
      </c>
      <c r="E197" s="149">
        <v>2</v>
      </c>
      <c r="F197" s="149">
        <v>210500</v>
      </c>
      <c r="G197" s="149">
        <v>53510</v>
      </c>
      <c r="H197" s="150" t="str">
        <f t="shared" si="9"/>
        <v>5</v>
      </c>
      <c r="I197" s="150" t="str">
        <f t="shared" si="10"/>
        <v>53</v>
      </c>
      <c r="J197" s="150" t="str">
        <f t="shared" si="11"/>
        <v>535</v>
      </c>
      <c r="K197" s="150" t="s">
        <v>8512</v>
      </c>
      <c r="L197" s="149" t="s">
        <v>383</v>
      </c>
      <c r="M197" s="151">
        <v>13.85</v>
      </c>
    </row>
    <row r="198" spans="1:13" s="149" customFormat="1" x14ac:dyDescent="0.25">
      <c r="A198" s="149" t="s">
        <v>7639</v>
      </c>
      <c r="B198" s="149" t="s">
        <v>384</v>
      </c>
      <c r="C198" s="149">
        <v>11</v>
      </c>
      <c r="D198" s="149">
        <v>120</v>
      </c>
      <c r="E198" s="149">
        <v>2</v>
      </c>
      <c r="F198" s="149">
        <v>210500</v>
      </c>
      <c r="G198" s="149">
        <v>53610</v>
      </c>
      <c r="H198" s="150" t="str">
        <f t="shared" si="9"/>
        <v>5</v>
      </c>
      <c r="I198" s="150" t="str">
        <f t="shared" si="10"/>
        <v>53</v>
      </c>
      <c r="J198" s="150" t="str">
        <f t="shared" si="11"/>
        <v>536</v>
      </c>
      <c r="K198" s="150" t="s">
        <v>8513</v>
      </c>
      <c r="L198" s="149" t="s">
        <v>385</v>
      </c>
      <c r="M198" s="151">
        <v>523.66</v>
      </c>
    </row>
    <row r="199" spans="1:13" s="149" customFormat="1" x14ac:dyDescent="0.25">
      <c r="A199" s="149" t="s">
        <v>7639</v>
      </c>
      <c r="B199" s="149" t="s">
        <v>386</v>
      </c>
      <c r="C199" s="149">
        <v>11</v>
      </c>
      <c r="D199" s="149">
        <v>120</v>
      </c>
      <c r="E199" s="149">
        <v>2</v>
      </c>
      <c r="F199" s="149">
        <v>210500</v>
      </c>
      <c r="G199" s="149">
        <v>55630</v>
      </c>
      <c r="H199" s="150" t="str">
        <f t="shared" si="9"/>
        <v>5</v>
      </c>
      <c r="I199" s="150" t="str">
        <f t="shared" si="10"/>
        <v>55</v>
      </c>
      <c r="J199" s="150" t="str">
        <f t="shared" si="11"/>
        <v>556</v>
      </c>
      <c r="K199" s="150" t="s">
        <v>8168</v>
      </c>
      <c r="L199" s="149" t="s">
        <v>387</v>
      </c>
      <c r="M199" s="151">
        <v>1</v>
      </c>
    </row>
    <row r="200" spans="1:13" s="149" customFormat="1" x14ac:dyDescent="0.25">
      <c r="A200" s="149" t="s">
        <v>7639</v>
      </c>
      <c r="B200" s="149" t="s">
        <v>388</v>
      </c>
      <c r="C200" s="149">
        <v>11</v>
      </c>
      <c r="D200" s="149">
        <v>120</v>
      </c>
      <c r="E200" s="149">
        <v>2</v>
      </c>
      <c r="F200" s="149">
        <v>220200</v>
      </c>
      <c r="G200" s="149">
        <v>51311</v>
      </c>
      <c r="H200" s="150" t="str">
        <f t="shared" si="9"/>
        <v>5</v>
      </c>
      <c r="I200" s="150" t="str">
        <f t="shared" si="10"/>
        <v>51</v>
      </c>
      <c r="J200" s="150" t="str">
        <f t="shared" si="11"/>
        <v>513</v>
      </c>
      <c r="K200" s="150" t="s">
        <v>7709</v>
      </c>
      <c r="L200" s="149" t="s">
        <v>389</v>
      </c>
      <c r="M200" s="151">
        <v>13612</v>
      </c>
    </row>
    <row r="201" spans="1:13" s="149" customFormat="1" x14ac:dyDescent="0.25">
      <c r="A201" s="149" t="s">
        <v>7639</v>
      </c>
      <c r="B201" s="149" t="s">
        <v>390</v>
      </c>
      <c r="C201" s="149">
        <v>11</v>
      </c>
      <c r="D201" s="149">
        <v>120</v>
      </c>
      <c r="E201" s="149">
        <v>2</v>
      </c>
      <c r="F201" s="149">
        <v>220200</v>
      </c>
      <c r="G201" s="149">
        <v>53110</v>
      </c>
      <c r="H201" s="150" t="str">
        <f t="shared" si="9"/>
        <v>5</v>
      </c>
      <c r="I201" s="150" t="str">
        <f t="shared" si="10"/>
        <v>53</v>
      </c>
      <c r="J201" s="150" t="str">
        <f t="shared" si="11"/>
        <v>531</v>
      </c>
      <c r="K201" s="150" t="s">
        <v>8514</v>
      </c>
      <c r="L201" s="149" t="s">
        <v>391</v>
      </c>
      <c r="M201" s="151">
        <v>2198.34</v>
      </c>
    </row>
    <row r="202" spans="1:13" s="149" customFormat="1" x14ac:dyDescent="0.25">
      <c r="A202" s="149" t="s">
        <v>7639</v>
      </c>
      <c r="B202" s="149" t="s">
        <v>392</v>
      </c>
      <c r="C202" s="149">
        <v>11</v>
      </c>
      <c r="D202" s="149">
        <v>120</v>
      </c>
      <c r="E202" s="149">
        <v>2</v>
      </c>
      <c r="F202" s="149">
        <v>220200</v>
      </c>
      <c r="G202" s="149">
        <v>53330</v>
      </c>
      <c r="H202" s="150" t="str">
        <f t="shared" si="9"/>
        <v>5</v>
      </c>
      <c r="I202" s="150" t="str">
        <f t="shared" si="10"/>
        <v>53</v>
      </c>
      <c r="J202" s="150" t="str">
        <f t="shared" si="11"/>
        <v>533</v>
      </c>
      <c r="K202" s="150" t="s">
        <v>8515</v>
      </c>
      <c r="L202" s="149" t="s">
        <v>393</v>
      </c>
      <c r="M202" s="151">
        <v>197.37</v>
      </c>
    </row>
    <row r="203" spans="1:13" s="149" customFormat="1" x14ac:dyDescent="0.25">
      <c r="A203" s="149" t="s">
        <v>7639</v>
      </c>
      <c r="B203" s="149" t="s">
        <v>394</v>
      </c>
      <c r="C203" s="149">
        <v>11</v>
      </c>
      <c r="D203" s="149">
        <v>120</v>
      </c>
      <c r="E203" s="149">
        <v>2</v>
      </c>
      <c r="F203" s="149">
        <v>220200</v>
      </c>
      <c r="G203" s="149">
        <v>53510</v>
      </c>
      <c r="H203" s="150" t="str">
        <f t="shared" si="9"/>
        <v>5</v>
      </c>
      <c r="I203" s="150" t="str">
        <f t="shared" si="10"/>
        <v>53</v>
      </c>
      <c r="J203" s="150" t="str">
        <f t="shared" si="11"/>
        <v>535</v>
      </c>
      <c r="K203" s="150" t="s">
        <v>8516</v>
      </c>
      <c r="L203" s="149" t="s">
        <v>395</v>
      </c>
      <c r="M203" s="151">
        <v>6.81</v>
      </c>
    </row>
    <row r="204" spans="1:13" s="149" customFormat="1" x14ac:dyDescent="0.25">
      <c r="A204" s="149" t="s">
        <v>7639</v>
      </c>
      <c r="B204" s="149" t="s">
        <v>396</v>
      </c>
      <c r="C204" s="149">
        <v>11</v>
      </c>
      <c r="D204" s="149">
        <v>120</v>
      </c>
      <c r="E204" s="149">
        <v>2</v>
      </c>
      <c r="F204" s="149">
        <v>220200</v>
      </c>
      <c r="G204" s="149">
        <v>53610</v>
      </c>
      <c r="H204" s="150" t="str">
        <f t="shared" si="9"/>
        <v>5</v>
      </c>
      <c r="I204" s="150" t="str">
        <f t="shared" si="10"/>
        <v>53</v>
      </c>
      <c r="J204" s="150" t="str">
        <f t="shared" si="11"/>
        <v>536</v>
      </c>
      <c r="K204" s="150" t="s">
        <v>8517</v>
      </c>
      <c r="L204" s="149" t="s">
        <v>397</v>
      </c>
      <c r="M204" s="151">
        <v>257.38</v>
      </c>
    </row>
    <row r="205" spans="1:13" s="149" customFormat="1" x14ac:dyDescent="0.25">
      <c r="A205" s="149" t="s">
        <v>7639</v>
      </c>
      <c r="B205" s="149" t="s">
        <v>398</v>
      </c>
      <c r="C205" s="149">
        <v>11</v>
      </c>
      <c r="D205" s="149">
        <v>120</v>
      </c>
      <c r="E205" s="149">
        <v>2</v>
      </c>
      <c r="F205" s="149">
        <v>220200</v>
      </c>
      <c r="G205" s="149">
        <v>55630</v>
      </c>
      <c r="H205" s="150" t="str">
        <f t="shared" si="9"/>
        <v>5</v>
      </c>
      <c r="I205" s="150" t="str">
        <f t="shared" si="10"/>
        <v>55</v>
      </c>
      <c r="J205" s="150" t="str">
        <f t="shared" si="11"/>
        <v>556</v>
      </c>
      <c r="K205" s="150" t="s">
        <v>8169</v>
      </c>
      <c r="L205" s="149" t="s">
        <v>399</v>
      </c>
      <c r="M205" s="151">
        <v>4.2</v>
      </c>
    </row>
    <row r="206" spans="1:13" s="149" customFormat="1" x14ac:dyDescent="0.25">
      <c r="A206" s="149" t="s">
        <v>7639</v>
      </c>
      <c r="B206" s="149" t="s">
        <v>400</v>
      </c>
      <c r="C206" s="149">
        <v>11</v>
      </c>
      <c r="D206" s="149">
        <v>120</v>
      </c>
      <c r="E206" s="149">
        <v>2</v>
      </c>
      <c r="F206" s="149">
        <v>220210</v>
      </c>
      <c r="G206" s="149">
        <v>51311</v>
      </c>
      <c r="H206" s="150" t="str">
        <f t="shared" si="9"/>
        <v>5</v>
      </c>
      <c r="I206" s="150" t="str">
        <f t="shared" si="10"/>
        <v>51</v>
      </c>
      <c r="J206" s="150" t="str">
        <f t="shared" si="11"/>
        <v>513</v>
      </c>
      <c r="K206" s="150" t="s">
        <v>7710</v>
      </c>
      <c r="L206" s="149" t="s">
        <v>401</v>
      </c>
      <c r="M206" s="151">
        <v>57590</v>
      </c>
    </row>
    <row r="207" spans="1:13" s="149" customFormat="1" x14ac:dyDescent="0.25">
      <c r="A207" s="149" t="s">
        <v>7639</v>
      </c>
      <c r="B207" s="149" t="s">
        <v>402</v>
      </c>
      <c r="C207" s="149">
        <v>11</v>
      </c>
      <c r="D207" s="149">
        <v>120</v>
      </c>
      <c r="E207" s="149">
        <v>2</v>
      </c>
      <c r="F207" s="149">
        <v>220210</v>
      </c>
      <c r="G207" s="149">
        <v>53110</v>
      </c>
      <c r="H207" s="150" t="str">
        <f t="shared" si="9"/>
        <v>5</v>
      </c>
      <c r="I207" s="150" t="str">
        <f t="shared" si="10"/>
        <v>53</v>
      </c>
      <c r="J207" s="150" t="str">
        <f t="shared" si="11"/>
        <v>531</v>
      </c>
      <c r="K207" s="150" t="s">
        <v>8518</v>
      </c>
      <c r="L207" s="149" t="s">
        <v>403</v>
      </c>
      <c r="M207" s="151">
        <v>9300.7900000000009</v>
      </c>
    </row>
    <row r="208" spans="1:13" s="149" customFormat="1" x14ac:dyDescent="0.25">
      <c r="A208" s="149" t="s">
        <v>7639</v>
      </c>
      <c r="B208" s="149" t="s">
        <v>404</v>
      </c>
      <c r="C208" s="149">
        <v>11</v>
      </c>
      <c r="D208" s="149">
        <v>120</v>
      </c>
      <c r="E208" s="149">
        <v>2</v>
      </c>
      <c r="F208" s="149">
        <v>220210</v>
      </c>
      <c r="G208" s="149">
        <v>53330</v>
      </c>
      <c r="H208" s="150" t="str">
        <f t="shared" si="9"/>
        <v>5</v>
      </c>
      <c r="I208" s="150" t="str">
        <f t="shared" si="10"/>
        <v>53</v>
      </c>
      <c r="J208" s="150" t="str">
        <f t="shared" si="11"/>
        <v>533</v>
      </c>
      <c r="K208" s="150" t="s">
        <v>8519</v>
      </c>
      <c r="L208" s="149" t="s">
        <v>405</v>
      </c>
      <c r="M208" s="151">
        <v>835.06</v>
      </c>
    </row>
    <row r="209" spans="1:13" s="149" customFormat="1" x14ac:dyDescent="0.25">
      <c r="A209" s="149" t="s">
        <v>7639</v>
      </c>
      <c r="B209" s="149" t="s">
        <v>406</v>
      </c>
      <c r="C209" s="149">
        <v>11</v>
      </c>
      <c r="D209" s="149">
        <v>120</v>
      </c>
      <c r="E209" s="149">
        <v>2</v>
      </c>
      <c r="F209" s="149">
        <v>220210</v>
      </c>
      <c r="G209" s="149">
        <v>53510</v>
      </c>
      <c r="H209" s="150" t="str">
        <f t="shared" si="9"/>
        <v>5</v>
      </c>
      <c r="I209" s="150" t="str">
        <f t="shared" si="10"/>
        <v>53</v>
      </c>
      <c r="J209" s="150" t="str">
        <f t="shared" si="11"/>
        <v>535</v>
      </c>
      <c r="K209" s="150" t="s">
        <v>8520</v>
      </c>
      <c r="L209" s="149" t="s">
        <v>407</v>
      </c>
      <c r="M209" s="151">
        <v>28.8</v>
      </c>
    </row>
    <row r="210" spans="1:13" s="149" customFormat="1" x14ac:dyDescent="0.25">
      <c r="A210" s="149" t="s">
        <v>7639</v>
      </c>
      <c r="B210" s="149" t="s">
        <v>408</v>
      </c>
      <c r="C210" s="149">
        <v>11</v>
      </c>
      <c r="D210" s="149">
        <v>120</v>
      </c>
      <c r="E210" s="149">
        <v>2</v>
      </c>
      <c r="F210" s="149">
        <v>220210</v>
      </c>
      <c r="G210" s="149">
        <v>53610</v>
      </c>
      <c r="H210" s="150" t="str">
        <f t="shared" si="9"/>
        <v>5</v>
      </c>
      <c r="I210" s="150" t="str">
        <f t="shared" si="10"/>
        <v>53</v>
      </c>
      <c r="J210" s="150" t="str">
        <f t="shared" si="11"/>
        <v>536</v>
      </c>
      <c r="K210" s="150" t="s">
        <v>8521</v>
      </c>
      <c r="L210" s="149" t="s">
        <v>409</v>
      </c>
      <c r="M210" s="151">
        <v>1088.9100000000001</v>
      </c>
    </row>
    <row r="211" spans="1:13" s="149" customFormat="1" x14ac:dyDescent="0.25">
      <c r="A211" s="149" t="s">
        <v>7639</v>
      </c>
      <c r="B211" s="149" t="s">
        <v>410</v>
      </c>
      <c r="C211" s="149">
        <v>11</v>
      </c>
      <c r="D211" s="149">
        <v>120</v>
      </c>
      <c r="E211" s="149">
        <v>2</v>
      </c>
      <c r="F211" s="149">
        <v>220500</v>
      </c>
      <c r="G211" s="149">
        <v>51311</v>
      </c>
      <c r="H211" s="150" t="str">
        <f t="shared" si="9"/>
        <v>5</v>
      </c>
      <c r="I211" s="150" t="str">
        <f t="shared" si="10"/>
        <v>51</v>
      </c>
      <c r="J211" s="150" t="str">
        <f t="shared" si="11"/>
        <v>513</v>
      </c>
      <c r="K211" s="150" t="s">
        <v>7711</v>
      </c>
      <c r="L211" s="149" t="s">
        <v>411</v>
      </c>
      <c r="M211" s="151">
        <v>17512</v>
      </c>
    </row>
    <row r="212" spans="1:13" s="149" customFormat="1" x14ac:dyDescent="0.25">
      <c r="A212" s="149" t="s">
        <v>7639</v>
      </c>
      <c r="B212" s="149" t="s">
        <v>412</v>
      </c>
      <c r="C212" s="149">
        <v>11</v>
      </c>
      <c r="D212" s="149">
        <v>120</v>
      </c>
      <c r="E212" s="149">
        <v>2</v>
      </c>
      <c r="F212" s="149">
        <v>220500</v>
      </c>
      <c r="G212" s="149">
        <v>53110</v>
      </c>
      <c r="H212" s="150" t="str">
        <f t="shared" si="9"/>
        <v>5</v>
      </c>
      <c r="I212" s="150" t="str">
        <f t="shared" si="10"/>
        <v>53</v>
      </c>
      <c r="J212" s="150" t="str">
        <f t="shared" si="11"/>
        <v>531</v>
      </c>
      <c r="K212" s="150" t="s">
        <v>8522</v>
      </c>
      <c r="L212" s="149" t="s">
        <v>413</v>
      </c>
      <c r="M212" s="151">
        <v>2828.19</v>
      </c>
    </row>
    <row r="213" spans="1:13" s="149" customFormat="1" x14ac:dyDescent="0.25">
      <c r="A213" s="149" t="s">
        <v>7639</v>
      </c>
      <c r="B213" s="149" t="s">
        <v>414</v>
      </c>
      <c r="C213" s="149">
        <v>11</v>
      </c>
      <c r="D213" s="149">
        <v>120</v>
      </c>
      <c r="E213" s="149">
        <v>2</v>
      </c>
      <c r="F213" s="149">
        <v>220500</v>
      </c>
      <c r="G213" s="149">
        <v>53330</v>
      </c>
      <c r="H213" s="150" t="str">
        <f t="shared" si="9"/>
        <v>5</v>
      </c>
      <c r="I213" s="150" t="str">
        <f t="shared" si="10"/>
        <v>53</v>
      </c>
      <c r="J213" s="150" t="str">
        <f t="shared" si="11"/>
        <v>533</v>
      </c>
      <c r="K213" s="150" t="s">
        <v>8523</v>
      </c>
      <c r="L213" s="149" t="s">
        <v>415</v>
      </c>
      <c r="M213" s="151">
        <v>253.92</v>
      </c>
    </row>
    <row r="214" spans="1:13" s="149" customFormat="1" x14ac:dyDescent="0.25">
      <c r="A214" s="149" t="s">
        <v>7639</v>
      </c>
      <c r="B214" s="149" t="s">
        <v>416</v>
      </c>
      <c r="C214" s="149">
        <v>11</v>
      </c>
      <c r="D214" s="149">
        <v>120</v>
      </c>
      <c r="E214" s="149">
        <v>2</v>
      </c>
      <c r="F214" s="149">
        <v>220500</v>
      </c>
      <c r="G214" s="149">
        <v>53510</v>
      </c>
      <c r="H214" s="150" t="str">
        <f t="shared" si="9"/>
        <v>5</v>
      </c>
      <c r="I214" s="150" t="str">
        <f t="shared" si="10"/>
        <v>53</v>
      </c>
      <c r="J214" s="150" t="str">
        <f t="shared" si="11"/>
        <v>535</v>
      </c>
      <c r="K214" s="150" t="s">
        <v>8524</v>
      </c>
      <c r="L214" s="149" t="s">
        <v>417</v>
      </c>
      <c r="M214" s="151">
        <v>8.76</v>
      </c>
    </row>
    <row r="215" spans="1:13" s="149" customFormat="1" x14ac:dyDescent="0.25">
      <c r="A215" s="149" t="s">
        <v>7639</v>
      </c>
      <c r="B215" s="149" t="s">
        <v>418</v>
      </c>
      <c r="C215" s="149">
        <v>11</v>
      </c>
      <c r="D215" s="149">
        <v>120</v>
      </c>
      <c r="E215" s="149">
        <v>2</v>
      </c>
      <c r="F215" s="149">
        <v>220500</v>
      </c>
      <c r="G215" s="149">
        <v>53610</v>
      </c>
      <c r="H215" s="150" t="str">
        <f t="shared" si="9"/>
        <v>5</v>
      </c>
      <c r="I215" s="150" t="str">
        <f t="shared" si="10"/>
        <v>53</v>
      </c>
      <c r="J215" s="150" t="str">
        <f t="shared" si="11"/>
        <v>536</v>
      </c>
      <c r="K215" s="150" t="s">
        <v>8525</v>
      </c>
      <c r="L215" s="149" t="s">
        <v>419</v>
      </c>
      <c r="M215" s="151">
        <v>331.12</v>
      </c>
    </row>
    <row r="216" spans="1:13" s="149" customFormat="1" x14ac:dyDescent="0.25">
      <c r="A216" s="149" t="s">
        <v>7639</v>
      </c>
      <c r="B216" s="149" t="s">
        <v>420</v>
      </c>
      <c r="C216" s="149">
        <v>11</v>
      </c>
      <c r="D216" s="149">
        <v>120</v>
      </c>
      <c r="E216" s="149">
        <v>2</v>
      </c>
      <c r="F216" s="149">
        <v>220500</v>
      </c>
      <c r="G216" s="149">
        <v>55630</v>
      </c>
      <c r="H216" s="150" t="str">
        <f t="shared" si="9"/>
        <v>5</v>
      </c>
      <c r="I216" s="150" t="str">
        <f t="shared" si="10"/>
        <v>55</v>
      </c>
      <c r="J216" s="150" t="str">
        <f t="shared" si="11"/>
        <v>556</v>
      </c>
      <c r="K216" s="150" t="s">
        <v>8170</v>
      </c>
      <c r="L216" s="149" t="s">
        <v>421</v>
      </c>
      <c r="M216" s="151">
        <v>3.2</v>
      </c>
    </row>
    <row r="217" spans="1:13" s="149" customFormat="1" x14ac:dyDescent="0.25">
      <c r="A217" s="149" t="s">
        <v>7639</v>
      </c>
      <c r="B217" s="149" t="s">
        <v>422</v>
      </c>
      <c r="C217" s="149">
        <v>11</v>
      </c>
      <c r="D217" s="149">
        <v>120</v>
      </c>
      <c r="E217" s="149">
        <v>2</v>
      </c>
      <c r="F217" s="149">
        <v>220600</v>
      </c>
      <c r="G217" s="149">
        <v>51311</v>
      </c>
      <c r="H217" s="150" t="str">
        <f t="shared" si="9"/>
        <v>5</v>
      </c>
      <c r="I217" s="150" t="str">
        <f t="shared" si="10"/>
        <v>51</v>
      </c>
      <c r="J217" s="150" t="str">
        <f t="shared" si="11"/>
        <v>513</v>
      </c>
      <c r="K217" s="150" t="s">
        <v>7712</v>
      </c>
      <c r="L217" s="149" t="s">
        <v>423</v>
      </c>
      <c r="M217" s="151">
        <v>3167</v>
      </c>
    </row>
    <row r="218" spans="1:13" s="149" customFormat="1" x14ac:dyDescent="0.25">
      <c r="A218" s="149" t="s">
        <v>7639</v>
      </c>
      <c r="B218" s="149" t="s">
        <v>424</v>
      </c>
      <c r="C218" s="149">
        <v>11</v>
      </c>
      <c r="D218" s="149">
        <v>120</v>
      </c>
      <c r="E218" s="149">
        <v>2</v>
      </c>
      <c r="F218" s="149">
        <v>220600</v>
      </c>
      <c r="G218" s="149">
        <v>53110</v>
      </c>
      <c r="H218" s="150" t="str">
        <f t="shared" si="9"/>
        <v>5</v>
      </c>
      <c r="I218" s="150" t="str">
        <f t="shared" si="10"/>
        <v>53</v>
      </c>
      <c r="J218" s="150" t="str">
        <f t="shared" si="11"/>
        <v>531</v>
      </c>
      <c r="K218" s="150" t="s">
        <v>8526</v>
      </c>
      <c r="L218" s="149" t="s">
        <v>425</v>
      </c>
      <c r="M218" s="151">
        <v>511.47</v>
      </c>
    </row>
    <row r="219" spans="1:13" s="149" customFormat="1" x14ac:dyDescent="0.25">
      <c r="A219" s="149" t="s">
        <v>7639</v>
      </c>
      <c r="B219" s="149" t="s">
        <v>426</v>
      </c>
      <c r="C219" s="149">
        <v>11</v>
      </c>
      <c r="D219" s="149">
        <v>120</v>
      </c>
      <c r="E219" s="149">
        <v>2</v>
      </c>
      <c r="F219" s="149">
        <v>220600</v>
      </c>
      <c r="G219" s="149">
        <v>53330</v>
      </c>
      <c r="H219" s="150" t="str">
        <f t="shared" si="9"/>
        <v>5</v>
      </c>
      <c r="I219" s="150" t="str">
        <f t="shared" si="10"/>
        <v>53</v>
      </c>
      <c r="J219" s="150" t="str">
        <f t="shared" si="11"/>
        <v>533</v>
      </c>
      <c r="K219" s="150" t="s">
        <v>8527</v>
      </c>
      <c r="L219" s="149" t="s">
        <v>427</v>
      </c>
      <c r="M219" s="151">
        <v>45.92</v>
      </c>
    </row>
    <row r="220" spans="1:13" s="149" customFormat="1" x14ac:dyDescent="0.25">
      <c r="A220" s="149" t="s">
        <v>7639</v>
      </c>
      <c r="B220" s="149" t="s">
        <v>428</v>
      </c>
      <c r="C220" s="149">
        <v>11</v>
      </c>
      <c r="D220" s="149">
        <v>120</v>
      </c>
      <c r="E220" s="149">
        <v>2</v>
      </c>
      <c r="F220" s="149">
        <v>220600</v>
      </c>
      <c r="G220" s="149">
        <v>53510</v>
      </c>
      <c r="H220" s="150" t="str">
        <f t="shared" si="9"/>
        <v>5</v>
      </c>
      <c r="I220" s="150" t="str">
        <f t="shared" si="10"/>
        <v>53</v>
      </c>
      <c r="J220" s="150" t="str">
        <f t="shared" si="11"/>
        <v>535</v>
      </c>
      <c r="K220" s="150" t="s">
        <v>8528</v>
      </c>
      <c r="L220" s="149" t="s">
        <v>429</v>
      </c>
      <c r="M220" s="151">
        <v>1.58</v>
      </c>
    </row>
    <row r="221" spans="1:13" s="149" customFormat="1" x14ac:dyDescent="0.25">
      <c r="A221" s="149" t="s">
        <v>7639</v>
      </c>
      <c r="B221" s="149" t="s">
        <v>430</v>
      </c>
      <c r="C221" s="149">
        <v>11</v>
      </c>
      <c r="D221" s="149">
        <v>120</v>
      </c>
      <c r="E221" s="149">
        <v>2</v>
      </c>
      <c r="F221" s="149">
        <v>220600</v>
      </c>
      <c r="G221" s="149">
        <v>53610</v>
      </c>
      <c r="H221" s="150" t="str">
        <f t="shared" si="9"/>
        <v>5</v>
      </c>
      <c r="I221" s="150" t="str">
        <f t="shared" si="10"/>
        <v>53</v>
      </c>
      <c r="J221" s="150" t="str">
        <f t="shared" si="11"/>
        <v>536</v>
      </c>
      <c r="K221" s="150" t="s">
        <v>8529</v>
      </c>
      <c r="L221" s="149" t="s">
        <v>431</v>
      </c>
      <c r="M221" s="151">
        <v>59.88</v>
      </c>
    </row>
    <row r="222" spans="1:13" s="149" customFormat="1" x14ac:dyDescent="0.25">
      <c r="A222" s="149" t="s">
        <v>7639</v>
      </c>
      <c r="B222" s="149" t="s">
        <v>432</v>
      </c>
      <c r="C222" s="149">
        <v>11</v>
      </c>
      <c r="D222" s="149">
        <v>120</v>
      </c>
      <c r="E222" s="149">
        <v>2</v>
      </c>
      <c r="F222" s="149">
        <v>220700</v>
      </c>
      <c r="G222" s="149">
        <v>51311</v>
      </c>
      <c r="H222" s="150" t="str">
        <f t="shared" si="9"/>
        <v>5</v>
      </c>
      <c r="I222" s="150" t="str">
        <f t="shared" si="10"/>
        <v>51</v>
      </c>
      <c r="J222" s="150" t="str">
        <f t="shared" si="11"/>
        <v>513</v>
      </c>
      <c r="K222" s="150" t="s">
        <v>7713</v>
      </c>
      <c r="L222" s="149" t="s">
        <v>433</v>
      </c>
      <c r="M222" s="151">
        <v>4262</v>
      </c>
    </row>
    <row r="223" spans="1:13" s="149" customFormat="1" x14ac:dyDescent="0.25">
      <c r="A223" s="149" t="s">
        <v>7639</v>
      </c>
      <c r="B223" s="149" t="s">
        <v>434</v>
      </c>
      <c r="C223" s="149">
        <v>11</v>
      </c>
      <c r="D223" s="149">
        <v>120</v>
      </c>
      <c r="E223" s="149">
        <v>2</v>
      </c>
      <c r="F223" s="149">
        <v>220700</v>
      </c>
      <c r="G223" s="149">
        <v>53110</v>
      </c>
      <c r="H223" s="150" t="str">
        <f t="shared" si="9"/>
        <v>5</v>
      </c>
      <c r="I223" s="150" t="str">
        <f t="shared" si="10"/>
        <v>53</v>
      </c>
      <c r="J223" s="150" t="str">
        <f t="shared" si="11"/>
        <v>531</v>
      </c>
      <c r="K223" s="150" t="s">
        <v>8530</v>
      </c>
      <c r="L223" s="149" t="s">
        <v>435</v>
      </c>
      <c r="M223" s="151">
        <v>688.31</v>
      </c>
    </row>
    <row r="224" spans="1:13" s="149" customFormat="1" x14ac:dyDescent="0.25">
      <c r="A224" s="149" t="s">
        <v>7639</v>
      </c>
      <c r="B224" s="149" t="s">
        <v>436</v>
      </c>
      <c r="C224" s="149">
        <v>11</v>
      </c>
      <c r="D224" s="149">
        <v>120</v>
      </c>
      <c r="E224" s="149">
        <v>2</v>
      </c>
      <c r="F224" s="149">
        <v>220700</v>
      </c>
      <c r="G224" s="149">
        <v>53330</v>
      </c>
      <c r="H224" s="150" t="str">
        <f t="shared" si="9"/>
        <v>5</v>
      </c>
      <c r="I224" s="150" t="str">
        <f t="shared" si="10"/>
        <v>53</v>
      </c>
      <c r="J224" s="150" t="str">
        <f t="shared" si="11"/>
        <v>533</v>
      </c>
      <c r="K224" s="150" t="s">
        <v>8531</v>
      </c>
      <c r="L224" s="149" t="s">
        <v>437</v>
      </c>
      <c r="M224" s="151">
        <v>61.8</v>
      </c>
    </row>
    <row r="225" spans="1:13" s="149" customFormat="1" x14ac:dyDescent="0.25">
      <c r="A225" s="149" t="s">
        <v>7639</v>
      </c>
      <c r="B225" s="149" t="s">
        <v>438</v>
      </c>
      <c r="C225" s="149">
        <v>11</v>
      </c>
      <c r="D225" s="149">
        <v>120</v>
      </c>
      <c r="E225" s="149">
        <v>2</v>
      </c>
      <c r="F225" s="149">
        <v>220700</v>
      </c>
      <c r="G225" s="149">
        <v>53510</v>
      </c>
      <c r="H225" s="150" t="str">
        <f t="shared" si="9"/>
        <v>5</v>
      </c>
      <c r="I225" s="150" t="str">
        <f t="shared" si="10"/>
        <v>53</v>
      </c>
      <c r="J225" s="150" t="str">
        <f t="shared" si="11"/>
        <v>535</v>
      </c>
      <c r="K225" s="150" t="s">
        <v>8532</v>
      </c>
      <c r="L225" s="149" t="s">
        <v>439</v>
      </c>
      <c r="M225" s="151">
        <v>2.13</v>
      </c>
    </row>
    <row r="226" spans="1:13" s="149" customFormat="1" x14ac:dyDescent="0.25">
      <c r="A226" s="149" t="s">
        <v>7639</v>
      </c>
      <c r="B226" s="149" t="s">
        <v>440</v>
      </c>
      <c r="C226" s="149">
        <v>11</v>
      </c>
      <c r="D226" s="149">
        <v>120</v>
      </c>
      <c r="E226" s="149">
        <v>2</v>
      </c>
      <c r="F226" s="149">
        <v>220700</v>
      </c>
      <c r="G226" s="149">
        <v>53610</v>
      </c>
      <c r="H226" s="150" t="str">
        <f t="shared" si="9"/>
        <v>5</v>
      </c>
      <c r="I226" s="150" t="str">
        <f t="shared" si="10"/>
        <v>53</v>
      </c>
      <c r="J226" s="150" t="str">
        <f t="shared" si="11"/>
        <v>536</v>
      </c>
      <c r="K226" s="150" t="s">
        <v>8533</v>
      </c>
      <c r="L226" s="149" t="s">
        <v>441</v>
      </c>
      <c r="M226" s="151">
        <v>80.59</v>
      </c>
    </row>
    <row r="227" spans="1:13" s="149" customFormat="1" x14ac:dyDescent="0.25">
      <c r="A227" s="149" t="s">
        <v>7639</v>
      </c>
      <c r="B227" s="149" t="s">
        <v>442</v>
      </c>
      <c r="C227" s="149">
        <v>11</v>
      </c>
      <c r="D227" s="149">
        <v>120</v>
      </c>
      <c r="E227" s="149">
        <v>2</v>
      </c>
      <c r="F227" s="149">
        <v>220700</v>
      </c>
      <c r="G227" s="149">
        <v>55630</v>
      </c>
      <c r="H227" s="150" t="str">
        <f t="shared" si="9"/>
        <v>5</v>
      </c>
      <c r="I227" s="150" t="str">
        <f t="shared" si="10"/>
        <v>55</v>
      </c>
      <c r="J227" s="150" t="str">
        <f t="shared" si="11"/>
        <v>556</v>
      </c>
      <c r="K227" s="150" t="s">
        <v>8171</v>
      </c>
      <c r="L227" s="149" t="s">
        <v>443</v>
      </c>
      <c r="M227" s="151">
        <v>12.2</v>
      </c>
    </row>
    <row r="228" spans="1:13" s="149" customFormat="1" x14ac:dyDescent="0.25">
      <c r="A228" s="149" t="s">
        <v>7639</v>
      </c>
      <c r="B228" s="149" t="s">
        <v>444</v>
      </c>
      <c r="C228" s="149">
        <v>11</v>
      </c>
      <c r="D228" s="149">
        <v>120</v>
      </c>
      <c r="E228" s="149">
        <v>2</v>
      </c>
      <c r="F228" s="149">
        <v>220800</v>
      </c>
      <c r="G228" s="149">
        <v>51311</v>
      </c>
      <c r="H228" s="150" t="str">
        <f t="shared" si="9"/>
        <v>5</v>
      </c>
      <c r="I228" s="150" t="str">
        <f t="shared" si="10"/>
        <v>51</v>
      </c>
      <c r="J228" s="150" t="str">
        <f t="shared" si="11"/>
        <v>513</v>
      </c>
      <c r="K228" s="150" t="s">
        <v>7714</v>
      </c>
      <c r="L228" s="149" t="s">
        <v>445</v>
      </c>
      <c r="M228" s="151">
        <v>14066</v>
      </c>
    </row>
    <row r="229" spans="1:13" s="149" customFormat="1" x14ac:dyDescent="0.25">
      <c r="A229" s="149" t="s">
        <v>7639</v>
      </c>
      <c r="B229" s="149" t="s">
        <v>446</v>
      </c>
      <c r="C229" s="149">
        <v>11</v>
      </c>
      <c r="D229" s="149">
        <v>120</v>
      </c>
      <c r="E229" s="149">
        <v>2</v>
      </c>
      <c r="F229" s="149">
        <v>220800</v>
      </c>
      <c r="G229" s="149">
        <v>53110</v>
      </c>
      <c r="H229" s="150" t="str">
        <f t="shared" si="9"/>
        <v>5</v>
      </c>
      <c r="I229" s="150" t="str">
        <f t="shared" si="10"/>
        <v>53</v>
      </c>
      <c r="J229" s="150" t="str">
        <f t="shared" si="11"/>
        <v>531</v>
      </c>
      <c r="K229" s="150" t="s">
        <v>8534</v>
      </c>
      <c r="L229" s="149" t="s">
        <v>447</v>
      </c>
      <c r="M229" s="151">
        <v>2271.66</v>
      </c>
    </row>
    <row r="230" spans="1:13" s="149" customFormat="1" x14ac:dyDescent="0.25">
      <c r="A230" s="149" t="s">
        <v>7639</v>
      </c>
      <c r="B230" s="149" t="s">
        <v>448</v>
      </c>
      <c r="C230" s="149">
        <v>11</v>
      </c>
      <c r="D230" s="149">
        <v>120</v>
      </c>
      <c r="E230" s="149">
        <v>2</v>
      </c>
      <c r="F230" s="149">
        <v>220800</v>
      </c>
      <c r="G230" s="149">
        <v>53330</v>
      </c>
      <c r="H230" s="150" t="str">
        <f t="shared" si="9"/>
        <v>5</v>
      </c>
      <c r="I230" s="150" t="str">
        <f t="shared" si="10"/>
        <v>53</v>
      </c>
      <c r="J230" s="150" t="str">
        <f t="shared" si="11"/>
        <v>533</v>
      </c>
      <c r="K230" s="150" t="s">
        <v>8535</v>
      </c>
      <c r="L230" s="149" t="s">
        <v>449</v>
      </c>
      <c r="M230" s="151">
        <v>203.96</v>
      </c>
    </row>
    <row r="231" spans="1:13" s="149" customFormat="1" x14ac:dyDescent="0.25">
      <c r="A231" s="149" t="s">
        <v>7639</v>
      </c>
      <c r="B231" s="149" t="s">
        <v>450</v>
      </c>
      <c r="C231" s="149">
        <v>11</v>
      </c>
      <c r="D231" s="149">
        <v>120</v>
      </c>
      <c r="E231" s="149">
        <v>2</v>
      </c>
      <c r="F231" s="149">
        <v>220800</v>
      </c>
      <c r="G231" s="149">
        <v>53510</v>
      </c>
      <c r="H231" s="150" t="str">
        <f t="shared" si="9"/>
        <v>5</v>
      </c>
      <c r="I231" s="150" t="str">
        <f t="shared" si="10"/>
        <v>53</v>
      </c>
      <c r="J231" s="150" t="str">
        <f t="shared" si="11"/>
        <v>535</v>
      </c>
      <c r="K231" s="150" t="s">
        <v>8536</v>
      </c>
      <c r="L231" s="149" t="s">
        <v>451</v>
      </c>
      <c r="M231" s="151">
        <v>7.03</v>
      </c>
    </row>
    <row r="232" spans="1:13" s="149" customFormat="1" x14ac:dyDescent="0.25">
      <c r="A232" s="149" t="s">
        <v>7639</v>
      </c>
      <c r="B232" s="149" t="s">
        <v>452</v>
      </c>
      <c r="C232" s="149">
        <v>11</v>
      </c>
      <c r="D232" s="149">
        <v>120</v>
      </c>
      <c r="E232" s="149">
        <v>2</v>
      </c>
      <c r="F232" s="149">
        <v>220800</v>
      </c>
      <c r="G232" s="149">
        <v>53610</v>
      </c>
      <c r="H232" s="150" t="str">
        <f t="shared" si="9"/>
        <v>5</v>
      </c>
      <c r="I232" s="150" t="str">
        <f t="shared" si="10"/>
        <v>53</v>
      </c>
      <c r="J232" s="150" t="str">
        <f t="shared" si="11"/>
        <v>536</v>
      </c>
      <c r="K232" s="150" t="s">
        <v>8537</v>
      </c>
      <c r="L232" s="149" t="s">
        <v>453</v>
      </c>
      <c r="M232" s="151">
        <v>265.95999999999998</v>
      </c>
    </row>
    <row r="233" spans="1:13" s="149" customFormat="1" x14ac:dyDescent="0.25">
      <c r="A233" s="149" t="s">
        <v>7639</v>
      </c>
      <c r="B233" s="149" t="s">
        <v>454</v>
      </c>
      <c r="C233" s="149">
        <v>11</v>
      </c>
      <c r="D233" s="149">
        <v>120</v>
      </c>
      <c r="E233" s="149">
        <v>2</v>
      </c>
      <c r="F233" s="149">
        <v>220800</v>
      </c>
      <c r="G233" s="149">
        <v>55630</v>
      </c>
      <c r="H233" s="150" t="str">
        <f t="shared" si="9"/>
        <v>5</v>
      </c>
      <c r="I233" s="150" t="str">
        <f t="shared" si="10"/>
        <v>55</v>
      </c>
      <c r="J233" s="150" t="str">
        <f t="shared" si="11"/>
        <v>556</v>
      </c>
      <c r="K233" s="150" t="s">
        <v>8172</v>
      </c>
      <c r="L233" s="149" t="s">
        <v>455</v>
      </c>
      <c r="M233" s="151">
        <v>22.89</v>
      </c>
    </row>
    <row r="234" spans="1:13" s="149" customFormat="1" x14ac:dyDescent="0.25">
      <c r="A234" s="149" t="s">
        <v>7639</v>
      </c>
      <c r="B234" s="149" t="s">
        <v>456</v>
      </c>
      <c r="C234" s="149">
        <v>11</v>
      </c>
      <c r="D234" s="149">
        <v>120</v>
      </c>
      <c r="E234" s="149">
        <v>2</v>
      </c>
      <c r="F234" s="149">
        <v>493010</v>
      </c>
      <c r="G234" s="149">
        <v>51311</v>
      </c>
      <c r="H234" s="150" t="str">
        <f t="shared" si="9"/>
        <v>5</v>
      </c>
      <c r="I234" s="150" t="str">
        <f t="shared" si="10"/>
        <v>51</v>
      </c>
      <c r="J234" s="150" t="str">
        <f t="shared" si="11"/>
        <v>513</v>
      </c>
      <c r="K234" s="150" t="s">
        <v>7715</v>
      </c>
      <c r="L234" s="149" t="s">
        <v>457</v>
      </c>
      <c r="M234" s="151">
        <v>10958</v>
      </c>
    </row>
    <row r="235" spans="1:13" s="149" customFormat="1" x14ac:dyDescent="0.25">
      <c r="A235" s="149" t="s">
        <v>7639</v>
      </c>
      <c r="B235" s="149" t="s">
        <v>458</v>
      </c>
      <c r="C235" s="149">
        <v>11</v>
      </c>
      <c r="D235" s="149">
        <v>120</v>
      </c>
      <c r="E235" s="149">
        <v>2</v>
      </c>
      <c r="F235" s="149">
        <v>493010</v>
      </c>
      <c r="G235" s="149">
        <v>53110</v>
      </c>
      <c r="H235" s="150" t="str">
        <f t="shared" si="9"/>
        <v>5</v>
      </c>
      <c r="I235" s="150" t="str">
        <f t="shared" si="10"/>
        <v>53</v>
      </c>
      <c r="J235" s="150" t="str">
        <f t="shared" si="11"/>
        <v>531</v>
      </c>
      <c r="K235" s="150" t="s">
        <v>8538</v>
      </c>
      <c r="L235" s="149" t="s">
        <v>459</v>
      </c>
      <c r="M235" s="151">
        <v>1769.72</v>
      </c>
    </row>
    <row r="236" spans="1:13" s="149" customFormat="1" x14ac:dyDescent="0.25">
      <c r="A236" s="149" t="s">
        <v>7639</v>
      </c>
      <c r="B236" s="149" t="s">
        <v>460</v>
      </c>
      <c r="C236" s="149">
        <v>11</v>
      </c>
      <c r="D236" s="149">
        <v>120</v>
      </c>
      <c r="E236" s="149">
        <v>2</v>
      </c>
      <c r="F236" s="149">
        <v>493010</v>
      </c>
      <c r="G236" s="149">
        <v>53330</v>
      </c>
      <c r="H236" s="150" t="str">
        <f t="shared" si="9"/>
        <v>5</v>
      </c>
      <c r="I236" s="150" t="str">
        <f t="shared" si="10"/>
        <v>53</v>
      </c>
      <c r="J236" s="150" t="str">
        <f t="shared" si="11"/>
        <v>533</v>
      </c>
      <c r="K236" s="150" t="s">
        <v>8539</v>
      </c>
      <c r="L236" s="149" t="s">
        <v>461</v>
      </c>
      <c r="M236" s="151">
        <v>158.88999999999999</v>
      </c>
    </row>
    <row r="237" spans="1:13" s="149" customFormat="1" x14ac:dyDescent="0.25">
      <c r="A237" s="149" t="s">
        <v>7639</v>
      </c>
      <c r="B237" s="149" t="s">
        <v>462</v>
      </c>
      <c r="C237" s="149">
        <v>11</v>
      </c>
      <c r="D237" s="149">
        <v>120</v>
      </c>
      <c r="E237" s="149">
        <v>2</v>
      </c>
      <c r="F237" s="149">
        <v>493010</v>
      </c>
      <c r="G237" s="149">
        <v>53510</v>
      </c>
      <c r="H237" s="150" t="str">
        <f t="shared" si="9"/>
        <v>5</v>
      </c>
      <c r="I237" s="150" t="str">
        <f t="shared" si="10"/>
        <v>53</v>
      </c>
      <c r="J237" s="150" t="str">
        <f t="shared" si="11"/>
        <v>535</v>
      </c>
      <c r="K237" s="150" t="s">
        <v>8540</v>
      </c>
      <c r="L237" s="149" t="s">
        <v>463</v>
      </c>
      <c r="M237" s="151">
        <v>5.48</v>
      </c>
    </row>
    <row r="238" spans="1:13" s="149" customFormat="1" x14ac:dyDescent="0.25">
      <c r="A238" s="149" t="s">
        <v>7639</v>
      </c>
      <c r="B238" s="149" t="s">
        <v>464</v>
      </c>
      <c r="C238" s="149">
        <v>11</v>
      </c>
      <c r="D238" s="149">
        <v>120</v>
      </c>
      <c r="E238" s="149">
        <v>2</v>
      </c>
      <c r="F238" s="149">
        <v>493010</v>
      </c>
      <c r="G238" s="149">
        <v>53610</v>
      </c>
      <c r="H238" s="150" t="str">
        <f t="shared" si="9"/>
        <v>5</v>
      </c>
      <c r="I238" s="150" t="str">
        <f t="shared" si="10"/>
        <v>53</v>
      </c>
      <c r="J238" s="150" t="str">
        <f t="shared" si="11"/>
        <v>536</v>
      </c>
      <c r="K238" s="150" t="s">
        <v>8541</v>
      </c>
      <c r="L238" s="149" t="s">
        <v>465</v>
      </c>
      <c r="M238" s="151">
        <v>207.19</v>
      </c>
    </row>
    <row r="239" spans="1:13" s="149" customFormat="1" x14ac:dyDescent="0.25">
      <c r="A239" s="149" t="s">
        <v>7639</v>
      </c>
      <c r="B239" s="149" t="s">
        <v>466</v>
      </c>
      <c r="C239" s="149">
        <v>11</v>
      </c>
      <c r="D239" s="149">
        <v>120</v>
      </c>
      <c r="E239" s="149">
        <v>2</v>
      </c>
      <c r="F239" s="149">
        <v>493080</v>
      </c>
      <c r="G239" s="149">
        <v>51311</v>
      </c>
      <c r="H239" s="150" t="str">
        <f t="shared" si="9"/>
        <v>5</v>
      </c>
      <c r="I239" s="150" t="str">
        <f t="shared" si="10"/>
        <v>51</v>
      </c>
      <c r="J239" s="150" t="str">
        <f t="shared" si="11"/>
        <v>513</v>
      </c>
      <c r="K239" s="150" t="s">
        <v>7716</v>
      </c>
      <c r="L239" s="149" t="s">
        <v>467</v>
      </c>
      <c r="M239" s="151">
        <v>40554</v>
      </c>
    </row>
    <row r="240" spans="1:13" s="149" customFormat="1" x14ac:dyDescent="0.25">
      <c r="A240" s="149" t="s">
        <v>7639</v>
      </c>
      <c r="B240" s="149" t="s">
        <v>468</v>
      </c>
      <c r="C240" s="149">
        <v>11</v>
      </c>
      <c r="D240" s="149">
        <v>120</v>
      </c>
      <c r="E240" s="149">
        <v>2</v>
      </c>
      <c r="F240" s="149">
        <v>493080</v>
      </c>
      <c r="G240" s="149">
        <v>53110</v>
      </c>
      <c r="H240" s="150" t="str">
        <f t="shared" si="9"/>
        <v>5</v>
      </c>
      <c r="I240" s="150" t="str">
        <f t="shared" si="10"/>
        <v>53</v>
      </c>
      <c r="J240" s="150" t="str">
        <f t="shared" si="11"/>
        <v>531</v>
      </c>
      <c r="K240" s="150" t="s">
        <v>8542</v>
      </c>
      <c r="L240" s="149" t="s">
        <v>469</v>
      </c>
      <c r="M240" s="151">
        <v>6549.47</v>
      </c>
    </row>
    <row r="241" spans="1:13" s="149" customFormat="1" x14ac:dyDescent="0.25">
      <c r="A241" s="149" t="s">
        <v>7639</v>
      </c>
      <c r="B241" s="149" t="s">
        <v>470</v>
      </c>
      <c r="C241" s="149">
        <v>11</v>
      </c>
      <c r="D241" s="149">
        <v>120</v>
      </c>
      <c r="E241" s="149">
        <v>2</v>
      </c>
      <c r="F241" s="149">
        <v>493080</v>
      </c>
      <c r="G241" s="149">
        <v>53330</v>
      </c>
      <c r="H241" s="150" t="str">
        <f t="shared" si="9"/>
        <v>5</v>
      </c>
      <c r="I241" s="150" t="str">
        <f t="shared" si="10"/>
        <v>53</v>
      </c>
      <c r="J241" s="150" t="str">
        <f t="shared" si="11"/>
        <v>533</v>
      </c>
      <c r="K241" s="150" t="s">
        <v>8543</v>
      </c>
      <c r="L241" s="149" t="s">
        <v>471</v>
      </c>
      <c r="M241" s="151">
        <v>588.03</v>
      </c>
    </row>
    <row r="242" spans="1:13" s="149" customFormat="1" x14ac:dyDescent="0.25">
      <c r="A242" s="149" t="s">
        <v>7639</v>
      </c>
      <c r="B242" s="149" t="s">
        <v>472</v>
      </c>
      <c r="C242" s="149">
        <v>11</v>
      </c>
      <c r="D242" s="149">
        <v>120</v>
      </c>
      <c r="E242" s="149">
        <v>2</v>
      </c>
      <c r="F242" s="149">
        <v>493080</v>
      </c>
      <c r="G242" s="149">
        <v>53510</v>
      </c>
      <c r="H242" s="150" t="str">
        <f t="shared" si="9"/>
        <v>5</v>
      </c>
      <c r="I242" s="150" t="str">
        <f t="shared" si="10"/>
        <v>53</v>
      </c>
      <c r="J242" s="150" t="str">
        <f t="shared" si="11"/>
        <v>535</v>
      </c>
      <c r="K242" s="150" t="s">
        <v>8544</v>
      </c>
      <c r="L242" s="149" t="s">
        <v>473</v>
      </c>
      <c r="M242" s="151">
        <v>20.28</v>
      </c>
    </row>
    <row r="243" spans="1:13" s="149" customFormat="1" x14ac:dyDescent="0.25">
      <c r="A243" s="149" t="s">
        <v>7639</v>
      </c>
      <c r="B243" s="149" t="s">
        <v>474</v>
      </c>
      <c r="C243" s="149">
        <v>11</v>
      </c>
      <c r="D243" s="149">
        <v>120</v>
      </c>
      <c r="E243" s="149">
        <v>2</v>
      </c>
      <c r="F243" s="149">
        <v>493080</v>
      </c>
      <c r="G243" s="149">
        <v>53610</v>
      </c>
      <c r="H243" s="150" t="str">
        <f t="shared" si="9"/>
        <v>5</v>
      </c>
      <c r="I243" s="150" t="str">
        <f t="shared" si="10"/>
        <v>53</v>
      </c>
      <c r="J243" s="150" t="str">
        <f t="shared" si="11"/>
        <v>536</v>
      </c>
      <c r="K243" s="150" t="s">
        <v>8545</v>
      </c>
      <c r="L243" s="149" t="s">
        <v>475</v>
      </c>
      <c r="M243" s="151">
        <v>766.8</v>
      </c>
    </row>
    <row r="244" spans="1:13" s="149" customFormat="1" x14ac:dyDescent="0.25">
      <c r="A244" s="149" t="s">
        <v>7639</v>
      </c>
      <c r="B244" s="149" t="s">
        <v>476</v>
      </c>
      <c r="C244" s="149">
        <v>11</v>
      </c>
      <c r="D244" s="149">
        <v>120</v>
      </c>
      <c r="E244" s="149">
        <v>2</v>
      </c>
      <c r="F244" s="149">
        <v>601000</v>
      </c>
      <c r="G244" s="149">
        <v>51210</v>
      </c>
      <c r="H244" s="150" t="str">
        <f t="shared" si="9"/>
        <v>5</v>
      </c>
      <c r="I244" s="150" t="str">
        <f t="shared" si="10"/>
        <v>51</v>
      </c>
      <c r="J244" s="150" t="str">
        <f t="shared" si="11"/>
        <v>512</v>
      </c>
      <c r="K244" s="150" t="s">
        <v>8546</v>
      </c>
      <c r="L244" s="149" t="s">
        <v>477</v>
      </c>
      <c r="M244" s="151">
        <v>131204</v>
      </c>
    </row>
    <row r="245" spans="1:13" s="149" customFormat="1" x14ac:dyDescent="0.25">
      <c r="A245" s="149" t="s">
        <v>7639</v>
      </c>
      <c r="B245" s="149" t="s">
        <v>478</v>
      </c>
      <c r="C245" s="149">
        <v>11</v>
      </c>
      <c r="D245" s="149">
        <v>120</v>
      </c>
      <c r="E245" s="149">
        <v>2</v>
      </c>
      <c r="F245" s="149">
        <v>601000</v>
      </c>
      <c r="G245" s="149">
        <v>51412</v>
      </c>
      <c r="H245" s="150" t="str">
        <f t="shared" si="9"/>
        <v>5</v>
      </c>
      <c r="I245" s="150" t="str">
        <f t="shared" si="10"/>
        <v>51</v>
      </c>
      <c r="J245" s="150" t="str">
        <f t="shared" si="11"/>
        <v>514</v>
      </c>
      <c r="K245" s="150" t="s">
        <v>7781</v>
      </c>
      <c r="L245" s="149" t="s">
        <v>479</v>
      </c>
      <c r="M245" s="151">
        <v>7000</v>
      </c>
    </row>
    <row r="246" spans="1:13" s="149" customFormat="1" x14ac:dyDescent="0.25">
      <c r="A246" s="149" t="s">
        <v>7639</v>
      </c>
      <c r="B246" s="149" t="s">
        <v>480</v>
      </c>
      <c r="C246" s="149">
        <v>11</v>
      </c>
      <c r="D246" s="149">
        <v>120</v>
      </c>
      <c r="E246" s="149">
        <v>2</v>
      </c>
      <c r="F246" s="149">
        <v>601000</v>
      </c>
      <c r="G246" s="149">
        <v>52105</v>
      </c>
      <c r="H246" s="150" t="str">
        <f t="shared" si="9"/>
        <v>5</v>
      </c>
      <c r="I246" s="150" t="str">
        <f t="shared" si="10"/>
        <v>52</v>
      </c>
      <c r="J246" s="150" t="str">
        <f t="shared" si="11"/>
        <v>521</v>
      </c>
      <c r="K246" s="150" t="s">
        <v>8547</v>
      </c>
      <c r="L246" s="149" t="s">
        <v>481</v>
      </c>
      <c r="M246" s="151">
        <v>120358.6</v>
      </c>
    </row>
    <row r="247" spans="1:13" s="149" customFormat="1" x14ac:dyDescent="0.25">
      <c r="A247" s="149" t="s">
        <v>7639</v>
      </c>
      <c r="B247" s="149" t="s">
        <v>482</v>
      </c>
      <c r="C247" s="149">
        <v>11</v>
      </c>
      <c r="D247" s="149">
        <v>120</v>
      </c>
      <c r="E247" s="149">
        <v>2</v>
      </c>
      <c r="F247" s="149">
        <v>601000</v>
      </c>
      <c r="G247" s="149">
        <v>52300</v>
      </c>
      <c r="H247" s="150" t="str">
        <f t="shared" si="9"/>
        <v>5</v>
      </c>
      <c r="I247" s="150" t="str">
        <f t="shared" si="10"/>
        <v>52</v>
      </c>
      <c r="J247" s="150" t="str">
        <f t="shared" si="11"/>
        <v>523</v>
      </c>
      <c r="K247" s="150" t="s">
        <v>7810</v>
      </c>
      <c r="L247" s="149" t="s">
        <v>483</v>
      </c>
      <c r="M247" s="151">
        <v>0</v>
      </c>
    </row>
    <row r="248" spans="1:13" s="149" customFormat="1" x14ac:dyDescent="0.25">
      <c r="A248" s="149" t="s">
        <v>7639</v>
      </c>
      <c r="B248" s="149" t="s">
        <v>484</v>
      </c>
      <c r="C248" s="149">
        <v>11</v>
      </c>
      <c r="D248" s="149">
        <v>120</v>
      </c>
      <c r="E248" s="149">
        <v>2</v>
      </c>
      <c r="F248" s="149">
        <v>601000</v>
      </c>
      <c r="G248" s="149">
        <v>53120</v>
      </c>
      <c r="H248" s="150" t="str">
        <f t="shared" si="9"/>
        <v>5</v>
      </c>
      <c r="I248" s="150" t="str">
        <f t="shared" si="10"/>
        <v>53</v>
      </c>
      <c r="J248" s="150" t="str">
        <f t="shared" si="11"/>
        <v>531</v>
      </c>
      <c r="K248" s="150" t="s">
        <v>8548</v>
      </c>
      <c r="L248" s="149" t="s">
        <v>485</v>
      </c>
      <c r="M248" s="151">
        <v>21189.45</v>
      </c>
    </row>
    <row r="249" spans="1:13" s="149" customFormat="1" x14ac:dyDescent="0.25">
      <c r="A249" s="149" t="s">
        <v>7639</v>
      </c>
      <c r="B249" s="149" t="s">
        <v>486</v>
      </c>
      <c r="C249" s="149">
        <v>11</v>
      </c>
      <c r="D249" s="149">
        <v>120</v>
      </c>
      <c r="E249" s="149">
        <v>2</v>
      </c>
      <c r="F249" s="149">
        <v>601000</v>
      </c>
      <c r="G249" s="149">
        <v>53220</v>
      </c>
      <c r="H249" s="150" t="str">
        <f t="shared" si="9"/>
        <v>5</v>
      </c>
      <c r="I249" s="150" t="str">
        <f t="shared" si="10"/>
        <v>53</v>
      </c>
      <c r="J249" s="150" t="str">
        <f t="shared" si="11"/>
        <v>532</v>
      </c>
      <c r="K249" s="150" t="s">
        <v>8549</v>
      </c>
      <c r="L249" s="149" t="s">
        <v>487</v>
      </c>
      <c r="M249" s="151">
        <v>24914.23</v>
      </c>
    </row>
    <row r="250" spans="1:13" s="149" customFormat="1" x14ac:dyDescent="0.25">
      <c r="A250" s="149" t="s">
        <v>7639</v>
      </c>
      <c r="B250" s="149" t="s">
        <v>488</v>
      </c>
      <c r="C250" s="149">
        <v>11</v>
      </c>
      <c r="D250" s="149">
        <v>120</v>
      </c>
      <c r="E250" s="149">
        <v>2</v>
      </c>
      <c r="F250" s="149">
        <v>601000</v>
      </c>
      <c r="G250" s="149">
        <v>53320</v>
      </c>
      <c r="H250" s="150" t="str">
        <f t="shared" si="9"/>
        <v>5</v>
      </c>
      <c r="I250" s="150" t="str">
        <f t="shared" si="10"/>
        <v>53</v>
      </c>
      <c r="J250" s="150" t="str">
        <f t="shared" si="11"/>
        <v>533</v>
      </c>
      <c r="K250" s="150" t="s">
        <v>8550</v>
      </c>
      <c r="L250" s="149" t="s">
        <v>489</v>
      </c>
      <c r="M250" s="151">
        <v>7462.23</v>
      </c>
    </row>
    <row r="251" spans="1:13" s="149" customFormat="1" x14ac:dyDescent="0.25">
      <c r="A251" s="149" t="s">
        <v>7639</v>
      </c>
      <c r="B251" s="149" t="s">
        <v>490</v>
      </c>
      <c r="C251" s="149">
        <v>11</v>
      </c>
      <c r="D251" s="149">
        <v>120</v>
      </c>
      <c r="E251" s="149">
        <v>2</v>
      </c>
      <c r="F251" s="149">
        <v>601000</v>
      </c>
      <c r="G251" s="149">
        <v>53340</v>
      </c>
      <c r="H251" s="150" t="str">
        <f t="shared" si="9"/>
        <v>5</v>
      </c>
      <c r="I251" s="150" t="str">
        <f t="shared" si="10"/>
        <v>53</v>
      </c>
      <c r="J251" s="150" t="str">
        <f t="shared" si="11"/>
        <v>533</v>
      </c>
      <c r="K251" s="150" t="s">
        <v>8551</v>
      </c>
      <c r="L251" s="149" t="s">
        <v>491</v>
      </c>
      <c r="M251" s="151">
        <v>3647.66</v>
      </c>
    </row>
    <row r="252" spans="1:13" s="149" customFormat="1" x14ac:dyDescent="0.25">
      <c r="A252" s="149" t="s">
        <v>7639</v>
      </c>
      <c r="B252" s="149" t="s">
        <v>492</v>
      </c>
      <c r="C252" s="149">
        <v>11</v>
      </c>
      <c r="D252" s="149">
        <v>120</v>
      </c>
      <c r="E252" s="149">
        <v>2</v>
      </c>
      <c r="F252" s="149">
        <v>601000</v>
      </c>
      <c r="G252" s="149">
        <v>53420</v>
      </c>
      <c r="H252" s="150" t="str">
        <f t="shared" si="9"/>
        <v>5</v>
      </c>
      <c r="I252" s="150" t="str">
        <f t="shared" si="10"/>
        <v>53</v>
      </c>
      <c r="J252" s="150" t="str">
        <f t="shared" si="11"/>
        <v>534</v>
      </c>
      <c r="K252" s="150" t="s">
        <v>8552</v>
      </c>
      <c r="L252" s="149" t="s">
        <v>493</v>
      </c>
      <c r="M252" s="151">
        <v>73502.58</v>
      </c>
    </row>
    <row r="253" spans="1:13" s="149" customFormat="1" x14ac:dyDescent="0.25">
      <c r="A253" s="149" t="s">
        <v>7639</v>
      </c>
      <c r="B253" s="149" t="s">
        <v>494</v>
      </c>
      <c r="C253" s="149">
        <v>11</v>
      </c>
      <c r="D253" s="149">
        <v>120</v>
      </c>
      <c r="E253" s="149">
        <v>2</v>
      </c>
      <c r="F253" s="149">
        <v>601000</v>
      </c>
      <c r="G253" s="149">
        <v>53520</v>
      </c>
      <c r="H253" s="150" t="str">
        <f t="shared" si="9"/>
        <v>5</v>
      </c>
      <c r="I253" s="150" t="str">
        <f t="shared" si="10"/>
        <v>53</v>
      </c>
      <c r="J253" s="150" t="str">
        <f t="shared" si="11"/>
        <v>535</v>
      </c>
      <c r="K253" s="150" t="s">
        <v>8553</v>
      </c>
      <c r="L253" s="149" t="s">
        <v>495</v>
      </c>
      <c r="M253" s="151">
        <v>125.78</v>
      </c>
    </row>
    <row r="254" spans="1:13" s="149" customFormat="1" x14ac:dyDescent="0.25">
      <c r="A254" s="149" t="s">
        <v>7639</v>
      </c>
      <c r="B254" s="149" t="s">
        <v>496</v>
      </c>
      <c r="C254" s="149">
        <v>11</v>
      </c>
      <c r="D254" s="149">
        <v>120</v>
      </c>
      <c r="E254" s="149">
        <v>2</v>
      </c>
      <c r="F254" s="149">
        <v>601000</v>
      </c>
      <c r="G254" s="149">
        <v>53620</v>
      </c>
      <c r="H254" s="150" t="str">
        <f t="shared" si="9"/>
        <v>5</v>
      </c>
      <c r="I254" s="150" t="str">
        <f t="shared" si="10"/>
        <v>53</v>
      </c>
      <c r="J254" s="150" t="str">
        <f t="shared" si="11"/>
        <v>536</v>
      </c>
      <c r="K254" s="150" t="s">
        <v>8554</v>
      </c>
      <c r="L254" s="149" t="s">
        <v>497</v>
      </c>
      <c r="M254" s="151">
        <v>4756.55</v>
      </c>
    </row>
    <row r="255" spans="1:13" s="149" customFormat="1" x14ac:dyDescent="0.25">
      <c r="A255" s="149" t="s">
        <v>7639</v>
      </c>
      <c r="B255" s="149" t="s">
        <v>498</v>
      </c>
      <c r="C255" s="149">
        <v>11</v>
      </c>
      <c r="D255" s="149">
        <v>120</v>
      </c>
      <c r="E255" s="149">
        <v>2</v>
      </c>
      <c r="F255" s="149">
        <v>601000</v>
      </c>
      <c r="G255" s="149">
        <v>53920</v>
      </c>
      <c r="H255" s="150" t="str">
        <f t="shared" si="9"/>
        <v>5</v>
      </c>
      <c r="I255" s="150" t="str">
        <f t="shared" si="10"/>
        <v>53</v>
      </c>
      <c r="J255" s="150" t="str">
        <f t="shared" si="11"/>
        <v>539</v>
      </c>
      <c r="K255" s="150" t="s">
        <v>8555</v>
      </c>
      <c r="L255" s="149" t="s">
        <v>499</v>
      </c>
      <c r="M255" s="151">
        <v>0</v>
      </c>
    </row>
    <row r="256" spans="1:13" s="149" customFormat="1" x14ac:dyDescent="0.25">
      <c r="A256" s="149" t="s">
        <v>7639</v>
      </c>
      <c r="B256" s="149" t="s">
        <v>500</v>
      </c>
      <c r="C256" s="149">
        <v>11</v>
      </c>
      <c r="D256" s="149">
        <v>120</v>
      </c>
      <c r="E256" s="149">
        <v>2</v>
      </c>
      <c r="F256" s="149">
        <v>601000</v>
      </c>
      <c r="G256" s="149">
        <v>54300</v>
      </c>
      <c r="H256" s="150" t="str">
        <f t="shared" si="9"/>
        <v>5</v>
      </c>
      <c r="I256" s="150" t="str">
        <f t="shared" si="10"/>
        <v>54</v>
      </c>
      <c r="J256" s="150" t="str">
        <f t="shared" si="11"/>
        <v>543</v>
      </c>
      <c r="K256" s="150" t="s">
        <v>7917</v>
      </c>
      <c r="L256" s="149" t="s">
        <v>501</v>
      </c>
      <c r="M256" s="151">
        <v>10000</v>
      </c>
    </row>
    <row r="257" spans="1:13" s="149" customFormat="1" x14ac:dyDescent="0.25">
      <c r="A257" s="149" t="s">
        <v>7639</v>
      </c>
      <c r="B257" s="149" t="s">
        <v>502</v>
      </c>
      <c r="C257" s="149">
        <v>11</v>
      </c>
      <c r="D257" s="149">
        <v>120</v>
      </c>
      <c r="E257" s="149">
        <v>2</v>
      </c>
      <c r="F257" s="149">
        <v>601000</v>
      </c>
      <c r="G257" s="149">
        <v>55125</v>
      </c>
      <c r="H257" s="150" t="str">
        <f t="shared" si="9"/>
        <v>5</v>
      </c>
      <c r="I257" s="150" t="str">
        <f t="shared" si="10"/>
        <v>55</v>
      </c>
      <c r="J257" s="150" t="str">
        <f t="shared" si="11"/>
        <v>551</v>
      </c>
      <c r="K257" s="150" t="s">
        <v>8027</v>
      </c>
      <c r="L257" s="149" t="s">
        <v>503</v>
      </c>
      <c r="M257" s="151">
        <v>500</v>
      </c>
    </row>
    <row r="258" spans="1:13" s="149" customFormat="1" x14ac:dyDescent="0.25">
      <c r="A258" s="149" t="s">
        <v>7639</v>
      </c>
      <c r="B258" s="149" t="s">
        <v>504</v>
      </c>
      <c r="C258" s="149">
        <v>11</v>
      </c>
      <c r="D258" s="149">
        <v>120</v>
      </c>
      <c r="E258" s="149">
        <v>2</v>
      </c>
      <c r="F258" s="149">
        <v>601000</v>
      </c>
      <c r="G258" s="149">
        <v>55200</v>
      </c>
      <c r="H258" s="150" t="str">
        <f t="shared" si="9"/>
        <v>5</v>
      </c>
      <c r="I258" s="150" t="str">
        <f t="shared" si="10"/>
        <v>55</v>
      </c>
      <c r="J258" s="150" t="str">
        <f t="shared" si="11"/>
        <v>552</v>
      </c>
      <c r="K258" s="150" t="s">
        <v>8039</v>
      </c>
      <c r="L258" s="149" t="s">
        <v>505</v>
      </c>
      <c r="M258" s="151">
        <v>-3500</v>
      </c>
    </row>
    <row r="259" spans="1:13" s="149" customFormat="1" x14ac:dyDescent="0.25">
      <c r="A259" s="149" t="s">
        <v>7639</v>
      </c>
      <c r="B259" s="149" t="s">
        <v>506</v>
      </c>
      <c r="C259" s="149">
        <v>11</v>
      </c>
      <c r="D259" s="149">
        <v>120</v>
      </c>
      <c r="E259" s="149">
        <v>2</v>
      </c>
      <c r="F259" s="149">
        <v>601000</v>
      </c>
      <c r="G259" s="149">
        <v>55210</v>
      </c>
      <c r="H259" s="150" t="str">
        <f t="shared" ref="H259:H322" si="12">LEFT(G259,1)</f>
        <v>5</v>
      </c>
      <c r="I259" s="150" t="str">
        <f t="shared" ref="I259:I322" si="13">LEFT(G259,2)</f>
        <v>55</v>
      </c>
      <c r="J259" s="150" t="str">
        <f t="shared" ref="J259:J322" si="14">LEFT(G259,3)</f>
        <v>552</v>
      </c>
      <c r="K259" s="150" t="s">
        <v>8073</v>
      </c>
      <c r="L259" s="149" t="s">
        <v>507</v>
      </c>
      <c r="M259" s="151">
        <v>0</v>
      </c>
    </row>
    <row r="260" spans="1:13" s="149" customFormat="1" x14ac:dyDescent="0.25">
      <c r="A260" s="149" t="s">
        <v>7639</v>
      </c>
      <c r="B260" s="149" t="s">
        <v>508</v>
      </c>
      <c r="C260" s="149">
        <v>11</v>
      </c>
      <c r="D260" s="149">
        <v>120</v>
      </c>
      <c r="E260" s="149">
        <v>2</v>
      </c>
      <c r="F260" s="149">
        <v>601000</v>
      </c>
      <c r="G260" s="149">
        <v>55630</v>
      </c>
      <c r="H260" s="150" t="str">
        <f t="shared" si="12"/>
        <v>5</v>
      </c>
      <c r="I260" s="150" t="str">
        <f t="shared" si="13"/>
        <v>55</v>
      </c>
      <c r="J260" s="150" t="str">
        <f t="shared" si="14"/>
        <v>556</v>
      </c>
      <c r="K260" s="150" t="s">
        <v>8173</v>
      </c>
      <c r="L260" s="149" t="s">
        <v>509</v>
      </c>
      <c r="M260" s="151">
        <v>1500</v>
      </c>
    </row>
    <row r="261" spans="1:13" s="149" customFormat="1" x14ac:dyDescent="0.25">
      <c r="A261" s="149" t="s">
        <v>7639</v>
      </c>
      <c r="B261" s="149" t="s">
        <v>510</v>
      </c>
      <c r="C261" s="149">
        <v>11</v>
      </c>
      <c r="D261" s="149">
        <v>120</v>
      </c>
      <c r="E261" s="149">
        <v>2</v>
      </c>
      <c r="F261" s="149">
        <v>601000</v>
      </c>
      <c r="G261" s="149">
        <v>55650</v>
      </c>
      <c r="H261" s="150" t="str">
        <f t="shared" si="12"/>
        <v>5</v>
      </c>
      <c r="I261" s="150" t="str">
        <f t="shared" si="13"/>
        <v>55</v>
      </c>
      <c r="J261" s="150" t="str">
        <f t="shared" si="14"/>
        <v>556</v>
      </c>
      <c r="K261" s="150" t="s">
        <v>8286</v>
      </c>
      <c r="L261" s="149" t="s">
        <v>511</v>
      </c>
      <c r="M261" s="151">
        <v>2340</v>
      </c>
    </row>
    <row r="262" spans="1:13" s="149" customFormat="1" x14ac:dyDescent="0.25">
      <c r="A262" s="149" t="s">
        <v>7639</v>
      </c>
      <c r="B262" s="149" t="s">
        <v>512</v>
      </c>
      <c r="C262" s="149">
        <v>11</v>
      </c>
      <c r="D262" s="149">
        <v>120</v>
      </c>
      <c r="E262" s="149">
        <v>2</v>
      </c>
      <c r="F262" s="149">
        <v>601000</v>
      </c>
      <c r="G262" s="149">
        <v>55830</v>
      </c>
      <c r="H262" s="150" t="str">
        <f t="shared" si="12"/>
        <v>5</v>
      </c>
      <c r="I262" s="150" t="str">
        <f t="shared" si="13"/>
        <v>55</v>
      </c>
      <c r="J262" s="150" t="str">
        <f t="shared" si="14"/>
        <v>558</v>
      </c>
      <c r="K262" s="150" t="s">
        <v>8347</v>
      </c>
      <c r="L262" s="149" t="s">
        <v>513</v>
      </c>
      <c r="M262" s="151">
        <v>-6000</v>
      </c>
    </row>
    <row r="263" spans="1:13" s="149" customFormat="1" x14ac:dyDescent="0.25">
      <c r="A263" s="149" t="s">
        <v>7639</v>
      </c>
      <c r="B263" s="149" t="s">
        <v>514</v>
      </c>
      <c r="C263" s="149">
        <v>11</v>
      </c>
      <c r="D263" s="149">
        <v>120</v>
      </c>
      <c r="E263" s="149">
        <v>2</v>
      </c>
      <c r="F263" s="149">
        <v>601000</v>
      </c>
      <c r="G263" s="149">
        <v>56400</v>
      </c>
      <c r="H263" s="150" t="str">
        <f t="shared" si="12"/>
        <v>5</v>
      </c>
      <c r="I263" s="150" t="str">
        <f t="shared" si="13"/>
        <v>56</v>
      </c>
      <c r="J263" s="150" t="str">
        <f t="shared" si="14"/>
        <v>564</v>
      </c>
      <c r="K263" s="150" t="s">
        <v>8368</v>
      </c>
      <c r="L263" s="149" t="s">
        <v>515</v>
      </c>
      <c r="M263" s="151">
        <v>6000</v>
      </c>
    </row>
    <row r="264" spans="1:13" s="149" customFormat="1" x14ac:dyDescent="0.25">
      <c r="A264" s="149" t="s">
        <v>7639</v>
      </c>
      <c r="B264" s="149" t="s">
        <v>516</v>
      </c>
      <c r="C264" s="149">
        <v>11</v>
      </c>
      <c r="D264" s="149">
        <v>120</v>
      </c>
      <c r="E264" s="149">
        <v>2</v>
      </c>
      <c r="F264" s="149">
        <v>612000</v>
      </c>
      <c r="G264" s="149">
        <v>51411</v>
      </c>
      <c r="H264" s="150" t="str">
        <f t="shared" si="12"/>
        <v>5</v>
      </c>
      <c r="I264" s="150" t="str">
        <f t="shared" si="13"/>
        <v>51</v>
      </c>
      <c r="J264" s="150" t="str">
        <f t="shared" si="14"/>
        <v>514</v>
      </c>
      <c r="K264" s="150" t="s">
        <v>7775</v>
      </c>
      <c r="L264" s="149" t="s">
        <v>517</v>
      </c>
      <c r="M264" s="151">
        <v>15324</v>
      </c>
    </row>
    <row r="265" spans="1:13" s="149" customFormat="1" x14ac:dyDescent="0.25">
      <c r="A265" s="149" t="s">
        <v>7639</v>
      </c>
      <c r="B265" s="149" t="s">
        <v>518</v>
      </c>
      <c r="C265" s="149">
        <v>11</v>
      </c>
      <c r="D265" s="149">
        <v>120</v>
      </c>
      <c r="E265" s="149">
        <v>2</v>
      </c>
      <c r="F265" s="149">
        <v>612000</v>
      </c>
      <c r="G265" s="149">
        <v>53120</v>
      </c>
      <c r="H265" s="150" t="str">
        <f t="shared" si="12"/>
        <v>5</v>
      </c>
      <c r="I265" s="150" t="str">
        <f t="shared" si="13"/>
        <v>53</v>
      </c>
      <c r="J265" s="150" t="str">
        <f t="shared" si="14"/>
        <v>531</v>
      </c>
      <c r="K265" s="150" t="s">
        <v>8556</v>
      </c>
      <c r="L265" s="149" t="s">
        <v>519</v>
      </c>
      <c r="M265" s="151">
        <v>2474.83</v>
      </c>
    </row>
    <row r="266" spans="1:13" s="149" customFormat="1" x14ac:dyDescent="0.25">
      <c r="A266" s="149" t="s">
        <v>7639</v>
      </c>
      <c r="B266" s="149" t="s">
        <v>520</v>
      </c>
      <c r="C266" s="149">
        <v>11</v>
      </c>
      <c r="D266" s="149">
        <v>120</v>
      </c>
      <c r="E266" s="149">
        <v>2</v>
      </c>
      <c r="F266" s="149">
        <v>612000</v>
      </c>
      <c r="G266" s="149">
        <v>53340</v>
      </c>
      <c r="H266" s="150" t="str">
        <f t="shared" si="12"/>
        <v>5</v>
      </c>
      <c r="I266" s="150" t="str">
        <f t="shared" si="13"/>
        <v>53</v>
      </c>
      <c r="J266" s="150" t="str">
        <f t="shared" si="14"/>
        <v>533</v>
      </c>
      <c r="K266" s="150" t="s">
        <v>8557</v>
      </c>
      <c r="L266" s="149" t="s">
        <v>521</v>
      </c>
      <c r="M266" s="151">
        <v>222.2</v>
      </c>
    </row>
    <row r="267" spans="1:13" s="149" customFormat="1" x14ac:dyDescent="0.25">
      <c r="A267" s="149" t="s">
        <v>7639</v>
      </c>
      <c r="B267" s="149" t="s">
        <v>522</v>
      </c>
      <c r="C267" s="149">
        <v>11</v>
      </c>
      <c r="D267" s="149">
        <v>120</v>
      </c>
      <c r="E267" s="149">
        <v>2</v>
      </c>
      <c r="F267" s="149">
        <v>612000</v>
      </c>
      <c r="G267" s="149">
        <v>53520</v>
      </c>
      <c r="H267" s="150" t="str">
        <f t="shared" si="12"/>
        <v>5</v>
      </c>
      <c r="I267" s="150" t="str">
        <f t="shared" si="13"/>
        <v>53</v>
      </c>
      <c r="J267" s="150" t="str">
        <f t="shared" si="14"/>
        <v>535</v>
      </c>
      <c r="K267" s="150" t="s">
        <v>8558</v>
      </c>
      <c r="L267" s="149" t="s">
        <v>523</v>
      </c>
      <c r="M267" s="151">
        <v>7.66</v>
      </c>
    </row>
    <row r="268" spans="1:13" s="149" customFormat="1" x14ac:dyDescent="0.25">
      <c r="A268" s="149" t="s">
        <v>7639</v>
      </c>
      <c r="B268" s="149" t="s">
        <v>524</v>
      </c>
      <c r="C268" s="149">
        <v>11</v>
      </c>
      <c r="D268" s="149">
        <v>120</v>
      </c>
      <c r="E268" s="149">
        <v>2</v>
      </c>
      <c r="F268" s="149">
        <v>612000</v>
      </c>
      <c r="G268" s="149">
        <v>53620</v>
      </c>
      <c r="H268" s="150" t="str">
        <f t="shared" si="12"/>
        <v>5</v>
      </c>
      <c r="I268" s="150" t="str">
        <f t="shared" si="13"/>
        <v>53</v>
      </c>
      <c r="J268" s="150" t="str">
        <f t="shared" si="14"/>
        <v>536</v>
      </c>
      <c r="K268" s="150" t="s">
        <v>8559</v>
      </c>
      <c r="L268" s="149" t="s">
        <v>525</v>
      </c>
      <c r="M268" s="151">
        <v>289.75</v>
      </c>
    </row>
    <row r="269" spans="1:13" s="149" customFormat="1" x14ac:dyDescent="0.25">
      <c r="A269" s="149" t="s">
        <v>7639</v>
      </c>
      <c r="B269" s="149" t="s">
        <v>526</v>
      </c>
      <c r="C269" s="149">
        <v>11</v>
      </c>
      <c r="D269" s="149">
        <v>120</v>
      </c>
      <c r="E269" s="149">
        <v>2</v>
      </c>
      <c r="F269" s="149">
        <v>612000</v>
      </c>
      <c r="G269" s="149">
        <v>55630</v>
      </c>
      <c r="H269" s="150" t="str">
        <f t="shared" si="12"/>
        <v>5</v>
      </c>
      <c r="I269" s="150" t="str">
        <f t="shared" si="13"/>
        <v>55</v>
      </c>
      <c r="J269" s="150" t="str">
        <f t="shared" si="14"/>
        <v>556</v>
      </c>
      <c r="K269" s="150" t="s">
        <v>8174</v>
      </c>
      <c r="L269" s="149" t="s">
        <v>527</v>
      </c>
      <c r="M269" s="151">
        <v>8.1999999999999993</v>
      </c>
    </row>
    <row r="270" spans="1:13" s="149" customFormat="1" x14ac:dyDescent="0.25">
      <c r="A270" s="149" t="s">
        <v>7639</v>
      </c>
      <c r="B270" s="149" t="s">
        <v>528</v>
      </c>
      <c r="C270" s="149">
        <v>11</v>
      </c>
      <c r="D270" s="149">
        <v>120</v>
      </c>
      <c r="E270" s="149">
        <v>2</v>
      </c>
      <c r="F270" s="149">
        <v>631000</v>
      </c>
      <c r="G270" s="149">
        <v>51311</v>
      </c>
      <c r="H270" s="150" t="str">
        <f t="shared" si="12"/>
        <v>5</v>
      </c>
      <c r="I270" s="150" t="str">
        <f t="shared" si="13"/>
        <v>51</v>
      </c>
      <c r="J270" s="150" t="str">
        <f t="shared" si="14"/>
        <v>513</v>
      </c>
      <c r="K270" s="150" t="s">
        <v>7717</v>
      </c>
      <c r="L270" s="149" t="s">
        <v>529</v>
      </c>
      <c r="M270" s="151">
        <v>6000</v>
      </c>
    </row>
    <row r="271" spans="1:13" s="149" customFormat="1" x14ac:dyDescent="0.25">
      <c r="A271" s="149" t="s">
        <v>7639</v>
      </c>
      <c r="B271" s="149" t="s">
        <v>530</v>
      </c>
      <c r="C271" s="149">
        <v>11</v>
      </c>
      <c r="D271" s="149">
        <v>120</v>
      </c>
      <c r="E271" s="149">
        <v>2</v>
      </c>
      <c r="F271" s="149">
        <v>631000</v>
      </c>
      <c r="G271" s="149">
        <v>51411</v>
      </c>
      <c r="H271" s="150" t="str">
        <f t="shared" si="12"/>
        <v>5</v>
      </c>
      <c r="I271" s="150" t="str">
        <f t="shared" si="13"/>
        <v>51</v>
      </c>
      <c r="J271" s="150" t="str">
        <f t="shared" si="14"/>
        <v>514</v>
      </c>
      <c r="K271" s="150" t="s">
        <v>7776</v>
      </c>
      <c r="L271" s="149" t="s">
        <v>531</v>
      </c>
      <c r="M271" s="151">
        <v>35769</v>
      </c>
    </row>
    <row r="272" spans="1:13" s="149" customFormat="1" x14ac:dyDescent="0.25">
      <c r="A272" s="149" t="s">
        <v>7639</v>
      </c>
      <c r="B272" s="149" t="s">
        <v>532</v>
      </c>
      <c r="C272" s="149">
        <v>11</v>
      </c>
      <c r="D272" s="149">
        <v>120</v>
      </c>
      <c r="E272" s="149">
        <v>2</v>
      </c>
      <c r="F272" s="149">
        <v>631000</v>
      </c>
      <c r="G272" s="149">
        <v>53110</v>
      </c>
      <c r="H272" s="150" t="str">
        <f t="shared" si="12"/>
        <v>5</v>
      </c>
      <c r="I272" s="150" t="str">
        <f t="shared" si="13"/>
        <v>53</v>
      </c>
      <c r="J272" s="150" t="str">
        <f t="shared" si="14"/>
        <v>531</v>
      </c>
      <c r="K272" s="150" t="s">
        <v>8560</v>
      </c>
      <c r="L272" s="149" t="s">
        <v>533</v>
      </c>
      <c r="M272" s="151">
        <v>969</v>
      </c>
    </row>
    <row r="273" spans="1:13" s="149" customFormat="1" x14ac:dyDescent="0.25">
      <c r="A273" s="149" t="s">
        <v>7639</v>
      </c>
      <c r="B273" s="149" t="s">
        <v>534</v>
      </c>
      <c r="C273" s="149">
        <v>11</v>
      </c>
      <c r="D273" s="149">
        <v>120</v>
      </c>
      <c r="E273" s="149">
        <v>2</v>
      </c>
      <c r="F273" s="149">
        <v>631000</v>
      </c>
      <c r="G273" s="149">
        <v>53120</v>
      </c>
      <c r="H273" s="150" t="str">
        <f t="shared" si="12"/>
        <v>5</v>
      </c>
      <c r="I273" s="150" t="str">
        <f t="shared" si="13"/>
        <v>53</v>
      </c>
      <c r="J273" s="150" t="str">
        <f t="shared" si="14"/>
        <v>531</v>
      </c>
      <c r="K273" s="150" t="s">
        <v>8561</v>
      </c>
      <c r="L273" s="149" t="s">
        <v>535</v>
      </c>
      <c r="M273" s="151">
        <v>5776.69</v>
      </c>
    </row>
    <row r="274" spans="1:13" s="149" customFormat="1" x14ac:dyDescent="0.25">
      <c r="A274" s="149" t="s">
        <v>7639</v>
      </c>
      <c r="B274" s="149" t="s">
        <v>536</v>
      </c>
      <c r="C274" s="149">
        <v>11</v>
      </c>
      <c r="D274" s="149">
        <v>120</v>
      </c>
      <c r="E274" s="149">
        <v>2</v>
      </c>
      <c r="F274" s="149">
        <v>631000</v>
      </c>
      <c r="G274" s="149">
        <v>53330</v>
      </c>
      <c r="H274" s="150" t="str">
        <f t="shared" si="12"/>
        <v>5</v>
      </c>
      <c r="I274" s="150" t="str">
        <f t="shared" si="13"/>
        <v>53</v>
      </c>
      <c r="J274" s="150" t="str">
        <f t="shared" si="14"/>
        <v>533</v>
      </c>
      <c r="K274" s="150" t="s">
        <v>8562</v>
      </c>
      <c r="L274" s="149" t="s">
        <v>537</v>
      </c>
      <c r="M274" s="151">
        <v>87</v>
      </c>
    </row>
    <row r="275" spans="1:13" s="149" customFormat="1" x14ac:dyDescent="0.25">
      <c r="A275" s="149" t="s">
        <v>7639</v>
      </c>
      <c r="B275" s="149" t="s">
        <v>538</v>
      </c>
      <c r="C275" s="149">
        <v>11</v>
      </c>
      <c r="D275" s="149">
        <v>120</v>
      </c>
      <c r="E275" s="149">
        <v>2</v>
      </c>
      <c r="F275" s="149">
        <v>631000</v>
      </c>
      <c r="G275" s="149">
        <v>53340</v>
      </c>
      <c r="H275" s="150" t="str">
        <f t="shared" si="12"/>
        <v>5</v>
      </c>
      <c r="I275" s="150" t="str">
        <f t="shared" si="13"/>
        <v>53</v>
      </c>
      <c r="J275" s="150" t="str">
        <f t="shared" si="14"/>
        <v>533</v>
      </c>
      <c r="K275" s="150" t="s">
        <v>8563</v>
      </c>
      <c r="L275" s="149" t="s">
        <v>539</v>
      </c>
      <c r="M275" s="151">
        <v>518.65</v>
      </c>
    </row>
    <row r="276" spans="1:13" s="149" customFormat="1" x14ac:dyDescent="0.25">
      <c r="A276" s="149" t="s">
        <v>7639</v>
      </c>
      <c r="B276" s="149" t="s">
        <v>540</v>
      </c>
      <c r="C276" s="149">
        <v>11</v>
      </c>
      <c r="D276" s="149">
        <v>120</v>
      </c>
      <c r="E276" s="149">
        <v>2</v>
      </c>
      <c r="F276" s="149">
        <v>631000</v>
      </c>
      <c r="G276" s="149">
        <v>53510</v>
      </c>
      <c r="H276" s="150" t="str">
        <f t="shared" si="12"/>
        <v>5</v>
      </c>
      <c r="I276" s="150" t="str">
        <f t="shared" si="13"/>
        <v>53</v>
      </c>
      <c r="J276" s="150" t="str">
        <f t="shared" si="14"/>
        <v>535</v>
      </c>
      <c r="K276" s="150" t="s">
        <v>8564</v>
      </c>
      <c r="L276" s="149" t="s">
        <v>541</v>
      </c>
      <c r="M276" s="151">
        <v>3</v>
      </c>
    </row>
    <row r="277" spans="1:13" s="149" customFormat="1" x14ac:dyDescent="0.25">
      <c r="A277" s="149" t="s">
        <v>7639</v>
      </c>
      <c r="B277" s="149" t="s">
        <v>542</v>
      </c>
      <c r="C277" s="149">
        <v>11</v>
      </c>
      <c r="D277" s="149">
        <v>120</v>
      </c>
      <c r="E277" s="149">
        <v>2</v>
      </c>
      <c r="F277" s="149">
        <v>631000</v>
      </c>
      <c r="G277" s="149">
        <v>53520</v>
      </c>
      <c r="H277" s="150" t="str">
        <f t="shared" si="12"/>
        <v>5</v>
      </c>
      <c r="I277" s="150" t="str">
        <f t="shared" si="13"/>
        <v>53</v>
      </c>
      <c r="J277" s="150" t="str">
        <f t="shared" si="14"/>
        <v>535</v>
      </c>
      <c r="K277" s="150" t="s">
        <v>8565</v>
      </c>
      <c r="L277" s="149" t="s">
        <v>543</v>
      </c>
      <c r="M277" s="151">
        <v>17.88</v>
      </c>
    </row>
    <row r="278" spans="1:13" s="149" customFormat="1" x14ac:dyDescent="0.25">
      <c r="A278" s="149" t="s">
        <v>7639</v>
      </c>
      <c r="B278" s="149" t="s">
        <v>544</v>
      </c>
      <c r="C278" s="149">
        <v>11</v>
      </c>
      <c r="D278" s="149">
        <v>120</v>
      </c>
      <c r="E278" s="149">
        <v>2</v>
      </c>
      <c r="F278" s="149">
        <v>631000</v>
      </c>
      <c r="G278" s="149">
        <v>53610</v>
      </c>
      <c r="H278" s="150" t="str">
        <f t="shared" si="12"/>
        <v>5</v>
      </c>
      <c r="I278" s="150" t="str">
        <f t="shared" si="13"/>
        <v>53</v>
      </c>
      <c r="J278" s="150" t="str">
        <f t="shared" si="14"/>
        <v>536</v>
      </c>
      <c r="K278" s="150" t="s">
        <v>8566</v>
      </c>
      <c r="L278" s="149" t="s">
        <v>545</v>
      </c>
      <c r="M278" s="151">
        <v>113.45</v>
      </c>
    </row>
    <row r="279" spans="1:13" s="149" customFormat="1" x14ac:dyDescent="0.25">
      <c r="A279" s="149" t="s">
        <v>7639</v>
      </c>
      <c r="B279" s="149" t="s">
        <v>546</v>
      </c>
      <c r="C279" s="149">
        <v>11</v>
      </c>
      <c r="D279" s="149">
        <v>120</v>
      </c>
      <c r="E279" s="149">
        <v>2</v>
      </c>
      <c r="F279" s="149">
        <v>631000</v>
      </c>
      <c r="G279" s="149">
        <v>53620</v>
      </c>
      <c r="H279" s="150" t="str">
        <f t="shared" si="12"/>
        <v>5</v>
      </c>
      <c r="I279" s="150" t="str">
        <f t="shared" si="13"/>
        <v>53</v>
      </c>
      <c r="J279" s="150" t="str">
        <f t="shared" si="14"/>
        <v>536</v>
      </c>
      <c r="K279" s="150" t="s">
        <v>8567</v>
      </c>
      <c r="L279" s="149" t="s">
        <v>547</v>
      </c>
      <c r="M279" s="151">
        <v>676.32</v>
      </c>
    </row>
    <row r="280" spans="1:13" s="149" customFormat="1" x14ac:dyDescent="0.25">
      <c r="A280" s="149" t="s">
        <v>7639</v>
      </c>
      <c r="B280" s="149" t="s">
        <v>548</v>
      </c>
      <c r="C280" s="149">
        <v>11</v>
      </c>
      <c r="D280" s="149">
        <v>120</v>
      </c>
      <c r="E280" s="149">
        <v>2</v>
      </c>
      <c r="F280" s="149">
        <v>631000</v>
      </c>
      <c r="G280" s="149">
        <v>55630</v>
      </c>
      <c r="H280" s="150" t="str">
        <f t="shared" si="12"/>
        <v>5</v>
      </c>
      <c r="I280" s="150" t="str">
        <f t="shared" si="13"/>
        <v>55</v>
      </c>
      <c r="J280" s="150" t="str">
        <f t="shared" si="14"/>
        <v>556</v>
      </c>
      <c r="K280" s="150" t="s">
        <v>8175</v>
      </c>
      <c r="L280" s="149" t="s">
        <v>549</v>
      </c>
      <c r="M280" s="151">
        <v>182</v>
      </c>
    </row>
    <row r="281" spans="1:13" s="149" customFormat="1" x14ac:dyDescent="0.25">
      <c r="A281" s="149" t="s">
        <v>7639</v>
      </c>
      <c r="B281" s="149" t="s">
        <v>550</v>
      </c>
      <c r="C281" s="149">
        <v>11</v>
      </c>
      <c r="D281" s="149">
        <v>120</v>
      </c>
      <c r="E281" s="149">
        <v>2</v>
      </c>
      <c r="F281" s="149">
        <v>657000</v>
      </c>
      <c r="G281" s="149">
        <v>55530</v>
      </c>
      <c r="H281" s="150" t="str">
        <f t="shared" si="12"/>
        <v>5</v>
      </c>
      <c r="I281" s="150" t="str">
        <f t="shared" si="13"/>
        <v>55</v>
      </c>
      <c r="J281" s="150" t="str">
        <f t="shared" si="14"/>
        <v>555</v>
      </c>
      <c r="K281" s="150" t="s">
        <v>8116</v>
      </c>
      <c r="L281" s="149" t="s">
        <v>551</v>
      </c>
      <c r="M281" s="151">
        <v>22290</v>
      </c>
    </row>
    <row r="282" spans="1:13" s="149" customFormat="1" x14ac:dyDescent="0.25">
      <c r="A282" s="149" t="s">
        <v>7639</v>
      </c>
      <c r="B282" s="149" t="s">
        <v>552</v>
      </c>
      <c r="C282" s="149">
        <v>11</v>
      </c>
      <c r="D282" s="149">
        <v>120</v>
      </c>
      <c r="E282" s="149">
        <v>2</v>
      </c>
      <c r="F282" s="149">
        <v>657000</v>
      </c>
      <c r="G282" s="149">
        <v>55540</v>
      </c>
      <c r="H282" s="150" t="str">
        <f t="shared" si="12"/>
        <v>5</v>
      </c>
      <c r="I282" s="150" t="str">
        <f t="shared" si="13"/>
        <v>55</v>
      </c>
      <c r="J282" s="150" t="str">
        <f t="shared" si="14"/>
        <v>555</v>
      </c>
      <c r="K282" s="150" t="s">
        <v>8122</v>
      </c>
      <c r="L282" s="149" t="s">
        <v>553</v>
      </c>
      <c r="M282" s="151">
        <v>1161</v>
      </c>
    </row>
    <row r="283" spans="1:13" s="149" customFormat="1" x14ac:dyDescent="0.25">
      <c r="A283" s="149" t="s">
        <v>7639</v>
      </c>
      <c r="B283" s="149" t="s">
        <v>554</v>
      </c>
      <c r="C283" s="149">
        <v>11</v>
      </c>
      <c r="D283" s="149">
        <v>120</v>
      </c>
      <c r="E283" s="149">
        <v>2</v>
      </c>
      <c r="F283" s="149">
        <v>657000</v>
      </c>
      <c r="G283" s="149">
        <v>55560</v>
      </c>
      <c r="H283" s="150" t="str">
        <f t="shared" si="12"/>
        <v>5</v>
      </c>
      <c r="I283" s="150" t="str">
        <f t="shared" si="13"/>
        <v>55</v>
      </c>
      <c r="J283" s="150" t="str">
        <f t="shared" si="14"/>
        <v>555</v>
      </c>
      <c r="K283" s="150" t="s">
        <v>8135</v>
      </c>
      <c r="L283" s="149" t="s">
        <v>555</v>
      </c>
      <c r="M283" s="151">
        <v>7769</v>
      </c>
    </row>
    <row r="284" spans="1:13" s="149" customFormat="1" x14ac:dyDescent="0.25">
      <c r="A284" s="149" t="s">
        <v>7639</v>
      </c>
      <c r="B284" s="149" t="s">
        <v>556</v>
      </c>
      <c r="C284" s="149">
        <v>11</v>
      </c>
      <c r="D284" s="149">
        <v>120</v>
      </c>
      <c r="E284" s="149">
        <v>2</v>
      </c>
      <c r="F284" s="149">
        <v>657000</v>
      </c>
      <c r="G284" s="149">
        <v>55580</v>
      </c>
      <c r="H284" s="150" t="str">
        <f t="shared" si="12"/>
        <v>5</v>
      </c>
      <c r="I284" s="150" t="str">
        <f t="shared" si="13"/>
        <v>55</v>
      </c>
      <c r="J284" s="150" t="str">
        <f t="shared" si="14"/>
        <v>555</v>
      </c>
      <c r="K284" s="150" t="s">
        <v>8145</v>
      </c>
      <c r="L284" s="149" t="s">
        <v>557</v>
      </c>
      <c r="M284" s="151">
        <v>4597</v>
      </c>
    </row>
    <row r="285" spans="1:13" s="149" customFormat="1" x14ac:dyDescent="0.25">
      <c r="A285" s="149" t="s">
        <v>7639</v>
      </c>
      <c r="B285" s="149" t="s">
        <v>558</v>
      </c>
      <c r="C285" s="149">
        <v>11</v>
      </c>
      <c r="D285" s="149">
        <v>120</v>
      </c>
      <c r="E285" s="149">
        <v>2</v>
      </c>
      <c r="F285" s="149">
        <v>700400</v>
      </c>
      <c r="G285" s="149">
        <v>55630</v>
      </c>
      <c r="H285" s="150" t="str">
        <f t="shared" si="12"/>
        <v>5</v>
      </c>
      <c r="I285" s="150" t="str">
        <f t="shared" si="13"/>
        <v>55</v>
      </c>
      <c r="J285" s="150" t="str">
        <f t="shared" si="14"/>
        <v>556</v>
      </c>
      <c r="K285" s="150" t="s">
        <v>8176</v>
      </c>
      <c r="L285" s="149" t="s">
        <v>559</v>
      </c>
      <c r="M285" s="151">
        <v>0</v>
      </c>
    </row>
    <row r="286" spans="1:13" s="149" customFormat="1" x14ac:dyDescent="0.25">
      <c r="A286" s="149" t="s">
        <v>7639</v>
      </c>
      <c r="B286" s="149" t="s">
        <v>9570</v>
      </c>
      <c r="C286" s="149">
        <v>11</v>
      </c>
      <c r="D286" s="149">
        <v>140</v>
      </c>
      <c r="E286" s="149">
        <v>0</v>
      </c>
      <c r="F286" s="149">
        <v>602003</v>
      </c>
      <c r="G286" s="149">
        <v>51412</v>
      </c>
      <c r="H286" s="150" t="str">
        <f t="shared" si="12"/>
        <v>5</v>
      </c>
      <c r="I286" s="150" t="str">
        <f t="shared" si="13"/>
        <v>51</v>
      </c>
      <c r="J286" s="150" t="str">
        <f t="shared" si="14"/>
        <v>514</v>
      </c>
      <c r="K286" s="150" t="s">
        <v>7782</v>
      </c>
      <c r="L286" s="149" t="s">
        <v>9571</v>
      </c>
      <c r="M286" s="151">
        <v>20000</v>
      </c>
    </row>
    <row r="287" spans="1:13" s="149" customFormat="1" x14ac:dyDescent="0.25">
      <c r="A287" s="149" t="s">
        <v>7639</v>
      </c>
      <c r="B287" s="149" t="s">
        <v>9572</v>
      </c>
      <c r="C287" s="149">
        <v>11</v>
      </c>
      <c r="D287" s="149">
        <v>140</v>
      </c>
      <c r="E287" s="149">
        <v>0</v>
      </c>
      <c r="F287" s="149">
        <v>602003</v>
      </c>
      <c r="G287" s="149">
        <v>53120</v>
      </c>
      <c r="H287" s="150" t="str">
        <f t="shared" si="12"/>
        <v>5</v>
      </c>
      <c r="I287" s="150" t="str">
        <f t="shared" si="13"/>
        <v>53</v>
      </c>
      <c r="J287" s="150" t="str">
        <f t="shared" si="14"/>
        <v>531</v>
      </c>
      <c r="K287" s="150" t="s">
        <v>8568</v>
      </c>
      <c r="L287" s="149" t="s">
        <v>9573</v>
      </c>
      <c r="M287" s="151">
        <v>3230</v>
      </c>
    </row>
    <row r="288" spans="1:13" s="149" customFormat="1" x14ac:dyDescent="0.25">
      <c r="A288" s="149" t="s">
        <v>7639</v>
      </c>
      <c r="B288" s="149" t="s">
        <v>9574</v>
      </c>
      <c r="C288" s="149">
        <v>11</v>
      </c>
      <c r="D288" s="149">
        <v>140</v>
      </c>
      <c r="E288" s="149">
        <v>0</v>
      </c>
      <c r="F288" s="149">
        <v>602003</v>
      </c>
      <c r="G288" s="149">
        <v>53340</v>
      </c>
      <c r="H288" s="150" t="str">
        <f t="shared" si="12"/>
        <v>5</v>
      </c>
      <c r="I288" s="150" t="str">
        <f t="shared" si="13"/>
        <v>53</v>
      </c>
      <c r="J288" s="150" t="str">
        <f t="shared" si="14"/>
        <v>533</v>
      </c>
      <c r="K288" s="150" t="s">
        <v>8569</v>
      </c>
      <c r="L288" s="149" t="s">
        <v>9575</v>
      </c>
      <c r="M288" s="151">
        <v>290</v>
      </c>
    </row>
    <row r="289" spans="1:13" s="149" customFormat="1" x14ac:dyDescent="0.25">
      <c r="A289" s="149" t="s">
        <v>7639</v>
      </c>
      <c r="B289" s="149" t="s">
        <v>9576</v>
      </c>
      <c r="C289" s="149">
        <v>11</v>
      </c>
      <c r="D289" s="149">
        <v>140</v>
      </c>
      <c r="E289" s="149">
        <v>0</v>
      </c>
      <c r="F289" s="149">
        <v>602003</v>
      </c>
      <c r="G289" s="149">
        <v>53520</v>
      </c>
      <c r="H289" s="150" t="str">
        <f t="shared" si="12"/>
        <v>5</v>
      </c>
      <c r="I289" s="150" t="str">
        <f t="shared" si="13"/>
        <v>53</v>
      </c>
      <c r="J289" s="150" t="str">
        <f t="shared" si="14"/>
        <v>535</v>
      </c>
      <c r="K289" s="150" t="s">
        <v>8570</v>
      </c>
      <c r="L289" s="149" t="s">
        <v>9577</v>
      </c>
      <c r="M289" s="151">
        <v>10</v>
      </c>
    </row>
    <row r="290" spans="1:13" s="149" customFormat="1" x14ac:dyDescent="0.25">
      <c r="A290" s="149" t="s">
        <v>7639</v>
      </c>
      <c r="B290" s="149" t="s">
        <v>9578</v>
      </c>
      <c r="C290" s="149">
        <v>11</v>
      </c>
      <c r="D290" s="149">
        <v>140</v>
      </c>
      <c r="E290" s="149">
        <v>0</v>
      </c>
      <c r="F290" s="149">
        <v>602003</v>
      </c>
      <c r="G290" s="149">
        <v>53620</v>
      </c>
      <c r="H290" s="150" t="str">
        <f t="shared" si="12"/>
        <v>5</v>
      </c>
      <c r="I290" s="150" t="str">
        <f t="shared" si="13"/>
        <v>53</v>
      </c>
      <c r="J290" s="150" t="str">
        <f t="shared" si="14"/>
        <v>536</v>
      </c>
      <c r="K290" s="150" t="s">
        <v>8571</v>
      </c>
      <c r="L290" s="149" t="s">
        <v>9579</v>
      </c>
      <c r="M290" s="151">
        <v>379</v>
      </c>
    </row>
    <row r="291" spans="1:13" s="149" customFormat="1" x14ac:dyDescent="0.25">
      <c r="A291" s="149" t="s">
        <v>7639</v>
      </c>
      <c r="B291" s="149" t="s">
        <v>9580</v>
      </c>
      <c r="C291" s="149">
        <v>11</v>
      </c>
      <c r="D291" s="149">
        <v>140</v>
      </c>
      <c r="E291" s="149">
        <v>0</v>
      </c>
      <c r="F291" s="149">
        <v>602003</v>
      </c>
      <c r="G291" s="149">
        <v>55200</v>
      </c>
      <c r="H291" s="150" t="str">
        <f t="shared" si="12"/>
        <v>5</v>
      </c>
      <c r="I291" s="150" t="str">
        <f t="shared" si="13"/>
        <v>55</v>
      </c>
      <c r="J291" s="150" t="str">
        <f t="shared" si="14"/>
        <v>552</v>
      </c>
      <c r="K291" s="150" t="s">
        <v>8040</v>
      </c>
      <c r="L291" s="149" t="s">
        <v>9581</v>
      </c>
      <c r="M291" s="151">
        <v>15000</v>
      </c>
    </row>
    <row r="292" spans="1:13" s="149" customFormat="1" x14ac:dyDescent="0.25">
      <c r="A292" s="149" t="s">
        <v>7639</v>
      </c>
      <c r="B292" s="149" t="s">
        <v>560</v>
      </c>
      <c r="C292" s="149">
        <v>11</v>
      </c>
      <c r="D292" s="149">
        <v>140</v>
      </c>
      <c r="E292" s="149">
        <v>0</v>
      </c>
      <c r="F292" s="149">
        <v>671020</v>
      </c>
      <c r="G292" s="149">
        <v>55630</v>
      </c>
      <c r="H292" s="150" t="str">
        <f t="shared" si="12"/>
        <v>5</v>
      </c>
      <c r="I292" s="150" t="str">
        <f t="shared" si="13"/>
        <v>55</v>
      </c>
      <c r="J292" s="150" t="str">
        <f t="shared" si="14"/>
        <v>556</v>
      </c>
      <c r="K292" s="150" t="s">
        <v>8177</v>
      </c>
      <c r="L292" s="149" t="s">
        <v>561</v>
      </c>
      <c r="M292" s="151">
        <v>0</v>
      </c>
    </row>
    <row r="293" spans="1:13" s="149" customFormat="1" x14ac:dyDescent="0.25">
      <c r="A293" s="149" t="s">
        <v>7639</v>
      </c>
      <c r="B293" s="149" t="s">
        <v>562</v>
      </c>
      <c r="C293" s="149">
        <v>11</v>
      </c>
      <c r="D293" s="149">
        <v>140</v>
      </c>
      <c r="E293" s="149">
        <v>0</v>
      </c>
      <c r="F293" s="149">
        <v>684000</v>
      </c>
      <c r="G293" s="149">
        <v>52120</v>
      </c>
      <c r="H293" s="150" t="str">
        <f t="shared" si="12"/>
        <v>5</v>
      </c>
      <c r="I293" s="150" t="str">
        <f t="shared" si="13"/>
        <v>52</v>
      </c>
      <c r="J293" s="150" t="str">
        <f t="shared" si="14"/>
        <v>521</v>
      </c>
      <c r="K293" s="150" t="s">
        <v>8572</v>
      </c>
      <c r="L293" s="149" t="s">
        <v>563</v>
      </c>
      <c r="M293" s="151">
        <v>99920.36</v>
      </c>
    </row>
    <row r="294" spans="1:13" s="149" customFormat="1" x14ac:dyDescent="0.25">
      <c r="A294" s="149" t="s">
        <v>7639</v>
      </c>
      <c r="B294" s="149" t="s">
        <v>564</v>
      </c>
      <c r="C294" s="149">
        <v>11</v>
      </c>
      <c r="D294" s="149">
        <v>140</v>
      </c>
      <c r="E294" s="149">
        <v>0</v>
      </c>
      <c r="F294" s="149">
        <v>684000</v>
      </c>
      <c r="G294" s="149">
        <v>52130</v>
      </c>
      <c r="H294" s="150" t="str">
        <f t="shared" si="12"/>
        <v>5</v>
      </c>
      <c r="I294" s="150" t="str">
        <f t="shared" si="13"/>
        <v>52</v>
      </c>
      <c r="J294" s="150" t="str">
        <f t="shared" si="14"/>
        <v>521</v>
      </c>
      <c r="K294" s="150" t="s">
        <v>8573</v>
      </c>
      <c r="L294" s="149" t="s">
        <v>565</v>
      </c>
      <c r="M294" s="151">
        <v>423117</v>
      </c>
    </row>
    <row r="295" spans="1:13" s="149" customFormat="1" x14ac:dyDescent="0.25">
      <c r="A295" s="149" t="s">
        <v>7639</v>
      </c>
      <c r="B295" s="149" t="s">
        <v>566</v>
      </c>
      <c r="C295" s="149">
        <v>11</v>
      </c>
      <c r="D295" s="149">
        <v>140</v>
      </c>
      <c r="E295" s="149">
        <v>0</v>
      </c>
      <c r="F295" s="149">
        <v>684000</v>
      </c>
      <c r="G295" s="149">
        <v>52350</v>
      </c>
      <c r="H295" s="150" t="str">
        <f t="shared" si="12"/>
        <v>5</v>
      </c>
      <c r="I295" s="150" t="str">
        <f t="shared" si="13"/>
        <v>52</v>
      </c>
      <c r="J295" s="150" t="str">
        <f t="shared" si="14"/>
        <v>523</v>
      </c>
      <c r="K295" s="150" t="s">
        <v>7850</v>
      </c>
      <c r="L295" s="149" t="s">
        <v>567</v>
      </c>
      <c r="M295" s="151">
        <v>7385</v>
      </c>
    </row>
    <row r="296" spans="1:13" s="149" customFormat="1" x14ac:dyDescent="0.25">
      <c r="A296" s="149" t="s">
        <v>7639</v>
      </c>
      <c r="B296" s="149" t="s">
        <v>568</v>
      </c>
      <c r="C296" s="149">
        <v>11</v>
      </c>
      <c r="D296" s="149">
        <v>140</v>
      </c>
      <c r="E296" s="149">
        <v>0</v>
      </c>
      <c r="F296" s="149">
        <v>684000</v>
      </c>
      <c r="G296" s="149">
        <v>53220</v>
      </c>
      <c r="H296" s="150" t="str">
        <f t="shared" si="12"/>
        <v>5</v>
      </c>
      <c r="I296" s="150" t="str">
        <f t="shared" si="13"/>
        <v>53</v>
      </c>
      <c r="J296" s="150" t="str">
        <f t="shared" si="14"/>
        <v>532</v>
      </c>
      <c r="K296" s="150" t="s">
        <v>8574</v>
      </c>
      <c r="L296" s="149" t="s">
        <v>199</v>
      </c>
      <c r="M296" s="151">
        <v>108268.73</v>
      </c>
    </row>
    <row r="297" spans="1:13" s="149" customFormat="1" x14ac:dyDescent="0.25">
      <c r="A297" s="149" t="s">
        <v>7639</v>
      </c>
      <c r="B297" s="149" t="s">
        <v>569</v>
      </c>
      <c r="C297" s="149">
        <v>11</v>
      </c>
      <c r="D297" s="149">
        <v>140</v>
      </c>
      <c r="E297" s="149">
        <v>0</v>
      </c>
      <c r="F297" s="149">
        <v>684000</v>
      </c>
      <c r="G297" s="149">
        <v>53320</v>
      </c>
      <c r="H297" s="150" t="str">
        <f t="shared" si="12"/>
        <v>5</v>
      </c>
      <c r="I297" s="150" t="str">
        <f t="shared" si="13"/>
        <v>53</v>
      </c>
      <c r="J297" s="150" t="str">
        <f t="shared" si="14"/>
        <v>533</v>
      </c>
      <c r="K297" s="150" t="s">
        <v>8575</v>
      </c>
      <c r="L297" s="149" t="s">
        <v>201</v>
      </c>
      <c r="M297" s="151">
        <v>32428.32</v>
      </c>
    </row>
    <row r="298" spans="1:13" s="149" customFormat="1" x14ac:dyDescent="0.25">
      <c r="A298" s="149" t="s">
        <v>7639</v>
      </c>
      <c r="B298" s="149" t="s">
        <v>570</v>
      </c>
      <c r="C298" s="149">
        <v>11</v>
      </c>
      <c r="D298" s="149">
        <v>140</v>
      </c>
      <c r="E298" s="149">
        <v>0</v>
      </c>
      <c r="F298" s="149">
        <v>684000</v>
      </c>
      <c r="G298" s="149">
        <v>53340</v>
      </c>
      <c r="H298" s="150" t="str">
        <f t="shared" si="12"/>
        <v>5</v>
      </c>
      <c r="I298" s="150" t="str">
        <f t="shared" si="13"/>
        <v>53</v>
      </c>
      <c r="J298" s="150" t="str">
        <f t="shared" si="14"/>
        <v>533</v>
      </c>
      <c r="K298" s="150" t="s">
        <v>8576</v>
      </c>
      <c r="L298" s="149" t="s">
        <v>203</v>
      </c>
      <c r="M298" s="151">
        <v>7584.05</v>
      </c>
    </row>
    <row r="299" spans="1:13" s="149" customFormat="1" x14ac:dyDescent="0.25">
      <c r="A299" s="149" t="s">
        <v>7639</v>
      </c>
      <c r="B299" s="149" t="s">
        <v>571</v>
      </c>
      <c r="C299" s="149">
        <v>11</v>
      </c>
      <c r="D299" s="149">
        <v>140</v>
      </c>
      <c r="E299" s="149">
        <v>0</v>
      </c>
      <c r="F299" s="149">
        <v>684000</v>
      </c>
      <c r="G299" s="149">
        <v>53420</v>
      </c>
      <c r="H299" s="150" t="str">
        <f t="shared" si="12"/>
        <v>5</v>
      </c>
      <c r="I299" s="150" t="str">
        <f t="shared" si="13"/>
        <v>53</v>
      </c>
      <c r="J299" s="150" t="str">
        <f t="shared" si="14"/>
        <v>534</v>
      </c>
      <c r="K299" s="150" t="s">
        <v>8577</v>
      </c>
      <c r="L299" s="149" t="s">
        <v>205</v>
      </c>
      <c r="M299" s="151">
        <v>135546.35999999999</v>
      </c>
    </row>
    <row r="300" spans="1:13" s="149" customFormat="1" x14ac:dyDescent="0.25">
      <c r="A300" s="149" t="s">
        <v>7639</v>
      </c>
      <c r="B300" s="149" t="s">
        <v>572</v>
      </c>
      <c r="C300" s="149">
        <v>11</v>
      </c>
      <c r="D300" s="149">
        <v>140</v>
      </c>
      <c r="E300" s="149">
        <v>0</v>
      </c>
      <c r="F300" s="149">
        <v>684000</v>
      </c>
      <c r="G300" s="149">
        <v>53520</v>
      </c>
      <c r="H300" s="150" t="str">
        <f t="shared" si="12"/>
        <v>5</v>
      </c>
      <c r="I300" s="150" t="str">
        <f t="shared" si="13"/>
        <v>53</v>
      </c>
      <c r="J300" s="150" t="str">
        <f t="shared" si="14"/>
        <v>535</v>
      </c>
      <c r="K300" s="150" t="s">
        <v>8578</v>
      </c>
      <c r="L300" s="149" t="s">
        <v>207</v>
      </c>
      <c r="M300" s="151">
        <v>261.52</v>
      </c>
    </row>
    <row r="301" spans="1:13" s="149" customFormat="1" x14ac:dyDescent="0.25">
      <c r="A301" s="149" t="s">
        <v>7639</v>
      </c>
      <c r="B301" s="149" t="s">
        <v>573</v>
      </c>
      <c r="C301" s="149">
        <v>11</v>
      </c>
      <c r="D301" s="149">
        <v>140</v>
      </c>
      <c r="E301" s="149">
        <v>0</v>
      </c>
      <c r="F301" s="149">
        <v>684000</v>
      </c>
      <c r="G301" s="149">
        <v>53620</v>
      </c>
      <c r="H301" s="150" t="str">
        <f t="shared" si="12"/>
        <v>5</v>
      </c>
      <c r="I301" s="150" t="str">
        <f t="shared" si="13"/>
        <v>53</v>
      </c>
      <c r="J301" s="150" t="str">
        <f t="shared" si="14"/>
        <v>536</v>
      </c>
      <c r="K301" s="150" t="s">
        <v>8579</v>
      </c>
      <c r="L301" s="149" t="s">
        <v>209</v>
      </c>
      <c r="M301" s="151">
        <v>10029.24</v>
      </c>
    </row>
    <row r="302" spans="1:13" s="149" customFormat="1" x14ac:dyDescent="0.25">
      <c r="A302" s="149" t="s">
        <v>7639</v>
      </c>
      <c r="B302" s="149" t="s">
        <v>574</v>
      </c>
      <c r="C302" s="149">
        <v>11</v>
      </c>
      <c r="D302" s="149">
        <v>140</v>
      </c>
      <c r="E302" s="149">
        <v>0</v>
      </c>
      <c r="F302" s="149">
        <v>684000</v>
      </c>
      <c r="G302" s="149">
        <v>54300</v>
      </c>
      <c r="H302" s="150" t="str">
        <f t="shared" si="12"/>
        <v>5</v>
      </c>
      <c r="I302" s="150" t="str">
        <f t="shared" si="13"/>
        <v>54</v>
      </c>
      <c r="J302" s="150" t="str">
        <f t="shared" si="14"/>
        <v>543</v>
      </c>
      <c r="K302" s="150" t="s">
        <v>7918</v>
      </c>
      <c r="L302" s="149" t="s">
        <v>575</v>
      </c>
      <c r="M302" s="151">
        <v>3000</v>
      </c>
    </row>
    <row r="303" spans="1:13" s="149" customFormat="1" x14ac:dyDescent="0.25">
      <c r="A303" s="149" t="s">
        <v>7639</v>
      </c>
      <c r="B303" s="149" t="s">
        <v>576</v>
      </c>
      <c r="C303" s="149">
        <v>11</v>
      </c>
      <c r="D303" s="149">
        <v>140</v>
      </c>
      <c r="E303" s="149">
        <v>0</v>
      </c>
      <c r="F303" s="149">
        <v>684000</v>
      </c>
      <c r="G303" s="149">
        <v>55100</v>
      </c>
      <c r="H303" s="150" t="str">
        <f t="shared" si="12"/>
        <v>5</v>
      </c>
      <c r="I303" s="150" t="str">
        <f t="shared" si="13"/>
        <v>55</v>
      </c>
      <c r="J303" s="150" t="str">
        <f t="shared" si="14"/>
        <v>551</v>
      </c>
      <c r="K303" s="150" t="s">
        <v>7996</v>
      </c>
      <c r="L303" s="149" t="s">
        <v>577</v>
      </c>
      <c r="M303" s="151">
        <v>130</v>
      </c>
    </row>
    <row r="304" spans="1:13" s="149" customFormat="1" x14ac:dyDescent="0.25">
      <c r="A304" s="149" t="s">
        <v>7639</v>
      </c>
      <c r="B304" s="149" t="s">
        <v>578</v>
      </c>
      <c r="C304" s="149">
        <v>11</v>
      </c>
      <c r="D304" s="149">
        <v>140</v>
      </c>
      <c r="E304" s="149">
        <v>0</v>
      </c>
      <c r="F304" s="149">
        <v>684000</v>
      </c>
      <c r="G304" s="149">
        <v>55105</v>
      </c>
      <c r="H304" s="150" t="str">
        <f t="shared" si="12"/>
        <v>5</v>
      </c>
      <c r="I304" s="150" t="str">
        <f t="shared" si="13"/>
        <v>55</v>
      </c>
      <c r="J304" s="150" t="str">
        <f t="shared" si="14"/>
        <v>551</v>
      </c>
      <c r="K304" s="150" t="s">
        <v>8003</v>
      </c>
      <c r="L304" s="149" t="s">
        <v>579</v>
      </c>
      <c r="M304" s="151">
        <v>71792</v>
      </c>
    </row>
    <row r="305" spans="1:13" s="149" customFormat="1" x14ac:dyDescent="0.25">
      <c r="A305" s="149" t="s">
        <v>7639</v>
      </c>
      <c r="B305" s="149" t="s">
        <v>580</v>
      </c>
      <c r="C305" s="149">
        <v>11</v>
      </c>
      <c r="D305" s="149">
        <v>140</v>
      </c>
      <c r="E305" s="149">
        <v>0</v>
      </c>
      <c r="F305" s="149">
        <v>684000</v>
      </c>
      <c r="G305" s="149">
        <v>55200</v>
      </c>
      <c r="H305" s="150" t="str">
        <f t="shared" si="12"/>
        <v>5</v>
      </c>
      <c r="I305" s="150" t="str">
        <f t="shared" si="13"/>
        <v>55</v>
      </c>
      <c r="J305" s="150" t="str">
        <f t="shared" si="14"/>
        <v>552</v>
      </c>
      <c r="K305" s="150" t="s">
        <v>8041</v>
      </c>
      <c r="L305" s="149" t="s">
        <v>581</v>
      </c>
      <c r="M305" s="151">
        <v>1300</v>
      </c>
    </row>
    <row r="306" spans="1:13" s="149" customFormat="1" x14ac:dyDescent="0.25">
      <c r="A306" s="149" t="s">
        <v>7639</v>
      </c>
      <c r="B306" s="149" t="s">
        <v>582</v>
      </c>
      <c r="C306" s="149">
        <v>11</v>
      </c>
      <c r="D306" s="149">
        <v>140</v>
      </c>
      <c r="E306" s="149">
        <v>0</v>
      </c>
      <c r="F306" s="149">
        <v>684000</v>
      </c>
      <c r="G306" s="149">
        <v>55300</v>
      </c>
      <c r="H306" s="150" t="str">
        <f t="shared" si="12"/>
        <v>5</v>
      </c>
      <c r="I306" s="150" t="str">
        <f t="shared" si="13"/>
        <v>55</v>
      </c>
      <c r="J306" s="150" t="str">
        <f t="shared" si="14"/>
        <v>553</v>
      </c>
      <c r="K306" s="150" t="s">
        <v>8081</v>
      </c>
      <c r="L306" s="149" t="s">
        <v>583</v>
      </c>
      <c r="M306" s="151">
        <v>500</v>
      </c>
    </row>
    <row r="307" spans="1:13" s="149" customFormat="1" x14ac:dyDescent="0.25">
      <c r="A307" s="149" t="s">
        <v>7639</v>
      </c>
      <c r="B307" s="149" t="s">
        <v>584</v>
      </c>
      <c r="C307" s="149">
        <v>11</v>
      </c>
      <c r="D307" s="149">
        <v>140</v>
      </c>
      <c r="E307" s="149">
        <v>0</v>
      </c>
      <c r="F307" s="149">
        <v>684000</v>
      </c>
      <c r="G307" s="149">
        <v>55630</v>
      </c>
      <c r="H307" s="150" t="str">
        <f t="shared" si="12"/>
        <v>5</v>
      </c>
      <c r="I307" s="150" t="str">
        <f t="shared" si="13"/>
        <v>55</v>
      </c>
      <c r="J307" s="150" t="str">
        <f t="shared" si="14"/>
        <v>556</v>
      </c>
      <c r="K307" s="150" t="s">
        <v>8178</v>
      </c>
      <c r="L307" s="149" t="s">
        <v>215</v>
      </c>
      <c r="M307" s="151">
        <v>1000</v>
      </c>
    </row>
    <row r="308" spans="1:13" s="149" customFormat="1" x14ac:dyDescent="0.25">
      <c r="A308" s="149" t="s">
        <v>7639</v>
      </c>
      <c r="B308" s="149" t="s">
        <v>585</v>
      </c>
      <c r="C308" s="149">
        <v>11</v>
      </c>
      <c r="D308" s="149">
        <v>140</v>
      </c>
      <c r="E308" s="149">
        <v>0</v>
      </c>
      <c r="F308" s="149">
        <v>684000</v>
      </c>
      <c r="G308" s="149">
        <v>55635</v>
      </c>
      <c r="H308" s="150" t="str">
        <f t="shared" si="12"/>
        <v>5</v>
      </c>
      <c r="I308" s="150" t="str">
        <f t="shared" si="13"/>
        <v>55</v>
      </c>
      <c r="J308" s="150" t="str">
        <f t="shared" si="14"/>
        <v>556</v>
      </c>
      <c r="K308" s="150" t="s">
        <v>8276</v>
      </c>
      <c r="L308" s="149" t="s">
        <v>586</v>
      </c>
      <c r="M308" s="151">
        <v>800</v>
      </c>
    </row>
    <row r="309" spans="1:13" s="149" customFormat="1" x14ac:dyDescent="0.25">
      <c r="A309" s="149" t="s">
        <v>7639</v>
      </c>
      <c r="B309" s="149" t="s">
        <v>587</v>
      </c>
      <c r="C309" s="149">
        <v>11</v>
      </c>
      <c r="D309" s="149">
        <v>140</v>
      </c>
      <c r="E309" s="149">
        <v>0</v>
      </c>
      <c r="F309" s="149">
        <v>684000</v>
      </c>
      <c r="G309" s="149">
        <v>55810</v>
      </c>
      <c r="H309" s="150" t="str">
        <f t="shared" si="12"/>
        <v>5</v>
      </c>
      <c r="I309" s="150" t="str">
        <f t="shared" si="13"/>
        <v>55</v>
      </c>
      <c r="J309" s="150" t="str">
        <f t="shared" si="14"/>
        <v>558</v>
      </c>
      <c r="K309" s="150" t="s">
        <v>8338</v>
      </c>
      <c r="L309" s="149" t="s">
        <v>588</v>
      </c>
      <c r="M309" s="151">
        <v>500</v>
      </c>
    </row>
    <row r="310" spans="1:13" s="149" customFormat="1" x14ac:dyDescent="0.25">
      <c r="A310" s="149" t="s">
        <v>7639</v>
      </c>
      <c r="B310" s="149" t="s">
        <v>9582</v>
      </c>
      <c r="C310" s="149">
        <v>11</v>
      </c>
      <c r="D310" s="149">
        <v>140</v>
      </c>
      <c r="E310" s="149">
        <v>0</v>
      </c>
      <c r="F310" s="149">
        <v>684000</v>
      </c>
      <c r="G310" s="149">
        <v>55820</v>
      </c>
      <c r="H310" s="150" t="str">
        <f t="shared" si="12"/>
        <v>5</v>
      </c>
      <c r="I310" s="150" t="str">
        <f t="shared" si="13"/>
        <v>55</v>
      </c>
      <c r="J310" s="150" t="str">
        <f t="shared" si="14"/>
        <v>558</v>
      </c>
      <c r="K310" s="150" t="s">
        <v>8340</v>
      </c>
      <c r="L310" s="149" t="s">
        <v>9583</v>
      </c>
      <c r="M310" s="151">
        <v>0</v>
      </c>
    </row>
    <row r="311" spans="1:13" s="149" customFormat="1" x14ac:dyDescent="0.25">
      <c r="A311" s="149" t="s">
        <v>7639</v>
      </c>
      <c r="B311" s="149" t="s">
        <v>589</v>
      </c>
      <c r="C311" s="149">
        <v>11</v>
      </c>
      <c r="D311" s="149">
        <v>140</v>
      </c>
      <c r="E311" s="149">
        <v>0</v>
      </c>
      <c r="F311" s="149">
        <v>684000</v>
      </c>
      <c r="G311" s="149">
        <v>55830</v>
      </c>
      <c r="H311" s="150" t="str">
        <f t="shared" si="12"/>
        <v>5</v>
      </c>
      <c r="I311" s="150" t="str">
        <f t="shared" si="13"/>
        <v>55</v>
      </c>
      <c r="J311" s="150" t="str">
        <f t="shared" si="14"/>
        <v>558</v>
      </c>
      <c r="K311" s="150" t="s">
        <v>8348</v>
      </c>
      <c r="L311" s="149" t="s">
        <v>590</v>
      </c>
      <c r="M311" s="151">
        <v>282000</v>
      </c>
    </row>
    <row r="312" spans="1:13" s="149" customFormat="1" x14ac:dyDescent="0.25">
      <c r="A312" s="149" t="s">
        <v>7639</v>
      </c>
      <c r="B312" s="149" t="s">
        <v>591</v>
      </c>
      <c r="C312" s="149">
        <v>11</v>
      </c>
      <c r="D312" s="149">
        <v>140</v>
      </c>
      <c r="E312" s="149">
        <v>0</v>
      </c>
      <c r="F312" s="149">
        <v>684000</v>
      </c>
      <c r="G312" s="149">
        <v>56400</v>
      </c>
      <c r="H312" s="150" t="str">
        <f t="shared" si="12"/>
        <v>5</v>
      </c>
      <c r="I312" s="150" t="str">
        <f t="shared" si="13"/>
        <v>56</v>
      </c>
      <c r="J312" s="150" t="str">
        <f t="shared" si="14"/>
        <v>564</v>
      </c>
      <c r="K312" s="150" t="s">
        <v>8369</v>
      </c>
      <c r="L312" s="149" t="s">
        <v>592</v>
      </c>
      <c r="M312" s="151">
        <v>2794</v>
      </c>
    </row>
    <row r="313" spans="1:13" s="149" customFormat="1" x14ac:dyDescent="0.25">
      <c r="A313" s="149" t="s">
        <v>7639</v>
      </c>
      <c r="B313" s="149" t="s">
        <v>593</v>
      </c>
      <c r="C313" s="149">
        <v>11</v>
      </c>
      <c r="D313" s="149">
        <v>150</v>
      </c>
      <c r="E313" s="149">
        <v>0</v>
      </c>
      <c r="F313" s="149">
        <v>663000</v>
      </c>
      <c r="G313" s="149">
        <v>51210</v>
      </c>
      <c r="H313" s="150" t="str">
        <f t="shared" si="12"/>
        <v>5</v>
      </c>
      <c r="I313" s="150" t="str">
        <f t="shared" si="13"/>
        <v>51</v>
      </c>
      <c r="J313" s="150" t="str">
        <f t="shared" si="14"/>
        <v>512</v>
      </c>
      <c r="K313" s="150" t="s">
        <v>8580</v>
      </c>
      <c r="L313" s="149" t="s">
        <v>594</v>
      </c>
      <c r="M313" s="151">
        <v>148907</v>
      </c>
    </row>
    <row r="314" spans="1:13" s="149" customFormat="1" x14ac:dyDescent="0.25">
      <c r="A314" s="149" t="s">
        <v>7639</v>
      </c>
      <c r="B314" s="149" t="s">
        <v>9584</v>
      </c>
      <c r="C314" s="149">
        <v>11</v>
      </c>
      <c r="D314" s="149">
        <v>150</v>
      </c>
      <c r="E314" s="149">
        <v>0</v>
      </c>
      <c r="F314" s="149">
        <v>663000</v>
      </c>
      <c r="G314" s="149">
        <v>51412</v>
      </c>
      <c r="H314" s="150" t="str">
        <f t="shared" si="12"/>
        <v>5</v>
      </c>
      <c r="I314" s="150" t="str">
        <f t="shared" si="13"/>
        <v>51</v>
      </c>
      <c r="J314" s="150" t="str">
        <f t="shared" si="14"/>
        <v>514</v>
      </c>
      <c r="K314" s="150" t="s">
        <v>7783</v>
      </c>
      <c r="L314" s="149" t="s">
        <v>9585</v>
      </c>
      <c r="M314" s="151">
        <v>14000</v>
      </c>
    </row>
    <row r="315" spans="1:13" s="149" customFormat="1" x14ac:dyDescent="0.25">
      <c r="A315" s="149" t="s">
        <v>7639</v>
      </c>
      <c r="B315" s="149" t="s">
        <v>595</v>
      </c>
      <c r="C315" s="149">
        <v>11</v>
      </c>
      <c r="D315" s="149">
        <v>150</v>
      </c>
      <c r="E315" s="149">
        <v>0</v>
      </c>
      <c r="F315" s="149">
        <v>663000</v>
      </c>
      <c r="G315" s="149">
        <v>52105</v>
      </c>
      <c r="H315" s="150" t="str">
        <f t="shared" si="12"/>
        <v>5</v>
      </c>
      <c r="I315" s="150" t="str">
        <f t="shared" si="13"/>
        <v>52</v>
      </c>
      <c r="J315" s="150" t="str">
        <f t="shared" si="14"/>
        <v>521</v>
      </c>
      <c r="K315" s="150" t="s">
        <v>8581</v>
      </c>
      <c r="L315" s="149" t="s">
        <v>596</v>
      </c>
      <c r="M315" s="151">
        <v>84633</v>
      </c>
    </row>
    <row r="316" spans="1:13" s="149" customFormat="1" x14ac:dyDescent="0.25">
      <c r="A316" s="149" t="s">
        <v>7639</v>
      </c>
      <c r="B316" s="149" t="s">
        <v>597</v>
      </c>
      <c r="C316" s="149">
        <v>11</v>
      </c>
      <c r="D316" s="149">
        <v>150</v>
      </c>
      <c r="E316" s="149">
        <v>0</v>
      </c>
      <c r="F316" s="149">
        <v>663000</v>
      </c>
      <c r="G316" s="149">
        <v>52130</v>
      </c>
      <c r="H316" s="150" t="str">
        <f t="shared" si="12"/>
        <v>5</v>
      </c>
      <c r="I316" s="150" t="str">
        <f t="shared" si="13"/>
        <v>52</v>
      </c>
      <c r="J316" s="150" t="str">
        <f t="shared" si="14"/>
        <v>521</v>
      </c>
      <c r="K316" s="150" t="s">
        <v>8582</v>
      </c>
      <c r="L316" s="149" t="s">
        <v>598</v>
      </c>
      <c r="M316" s="151">
        <v>80072.2</v>
      </c>
    </row>
    <row r="317" spans="1:13" s="149" customFormat="1" x14ac:dyDescent="0.25">
      <c r="A317" s="149" t="s">
        <v>7639</v>
      </c>
      <c r="B317" s="149" t="s">
        <v>599</v>
      </c>
      <c r="C317" s="149">
        <v>11</v>
      </c>
      <c r="D317" s="149">
        <v>150</v>
      </c>
      <c r="E317" s="149">
        <v>0</v>
      </c>
      <c r="F317" s="149">
        <v>663000</v>
      </c>
      <c r="G317" s="149">
        <v>53120</v>
      </c>
      <c r="H317" s="150" t="str">
        <f t="shared" si="12"/>
        <v>5</v>
      </c>
      <c r="I317" s="150" t="str">
        <f t="shared" si="13"/>
        <v>53</v>
      </c>
      <c r="J317" s="150" t="str">
        <f t="shared" si="14"/>
        <v>531</v>
      </c>
      <c r="K317" s="150" t="s">
        <v>8583</v>
      </c>
      <c r="L317" s="149" t="s">
        <v>600</v>
      </c>
      <c r="M317" s="151">
        <v>26309.48</v>
      </c>
    </row>
    <row r="318" spans="1:13" s="149" customFormat="1" x14ac:dyDescent="0.25">
      <c r="A318" s="149" t="s">
        <v>7639</v>
      </c>
      <c r="B318" s="149" t="s">
        <v>601</v>
      </c>
      <c r="C318" s="149">
        <v>11</v>
      </c>
      <c r="D318" s="149">
        <v>150</v>
      </c>
      <c r="E318" s="149">
        <v>0</v>
      </c>
      <c r="F318" s="149">
        <v>663000</v>
      </c>
      <c r="G318" s="149">
        <v>53220</v>
      </c>
      <c r="H318" s="150" t="str">
        <f t="shared" si="12"/>
        <v>5</v>
      </c>
      <c r="I318" s="150" t="str">
        <f t="shared" si="13"/>
        <v>53</v>
      </c>
      <c r="J318" s="150" t="str">
        <f t="shared" si="14"/>
        <v>532</v>
      </c>
      <c r="K318" s="150" t="s">
        <v>8584</v>
      </c>
      <c r="L318" s="149" t="s">
        <v>602</v>
      </c>
      <c r="M318" s="151">
        <v>34093.980000000003</v>
      </c>
    </row>
    <row r="319" spans="1:13" s="149" customFormat="1" x14ac:dyDescent="0.25">
      <c r="A319" s="149" t="s">
        <v>7639</v>
      </c>
      <c r="B319" s="149" t="s">
        <v>603</v>
      </c>
      <c r="C319" s="149">
        <v>11</v>
      </c>
      <c r="D319" s="149">
        <v>150</v>
      </c>
      <c r="E319" s="149">
        <v>0</v>
      </c>
      <c r="F319" s="149">
        <v>663000</v>
      </c>
      <c r="G319" s="149">
        <v>53320</v>
      </c>
      <c r="H319" s="150" t="str">
        <f t="shared" si="12"/>
        <v>5</v>
      </c>
      <c r="I319" s="150" t="str">
        <f t="shared" si="13"/>
        <v>53</v>
      </c>
      <c r="J319" s="150" t="str">
        <f t="shared" si="14"/>
        <v>533</v>
      </c>
      <c r="K319" s="150" t="s">
        <v>8585</v>
      </c>
      <c r="L319" s="149" t="s">
        <v>604</v>
      </c>
      <c r="M319" s="151">
        <v>10211.73</v>
      </c>
    </row>
    <row r="320" spans="1:13" s="149" customFormat="1" x14ac:dyDescent="0.25">
      <c r="A320" s="149" t="s">
        <v>7639</v>
      </c>
      <c r="B320" s="149" t="s">
        <v>605</v>
      </c>
      <c r="C320" s="149">
        <v>11</v>
      </c>
      <c r="D320" s="149">
        <v>150</v>
      </c>
      <c r="E320" s="149">
        <v>0</v>
      </c>
      <c r="F320" s="149">
        <v>663000</v>
      </c>
      <c r="G320" s="149">
        <v>53340</v>
      </c>
      <c r="H320" s="150" t="str">
        <f t="shared" si="12"/>
        <v>5</v>
      </c>
      <c r="I320" s="150" t="str">
        <f t="shared" si="13"/>
        <v>53</v>
      </c>
      <c r="J320" s="150" t="str">
        <f t="shared" si="14"/>
        <v>533</v>
      </c>
      <c r="K320" s="150" t="s">
        <v>8586</v>
      </c>
      <c r="L320" s="149" t="s">
        <v>606</v>
      </c>
      <c r="M320" s="151">
        <v>4750.38</v>
      </c>
    </row>
    <row r="321" spans="1:13" s="149" customFormat="1" x14ac:dyDescent="0.25">
      <c r="A321" s="149" t="s">
        <v>7639</v>
      </c>
      <c r="B321" s="149" t="s">
        <v>607</v>
      </c>
      <c r="C321" s="149">
        <v>11</v>
      </c>
      <c r="D321" s="149">
        <v>150</v>
      </c>
      <c r="E321" s="149">
        <v>0</v>
      </c>
      <c r="F321" s="149">
        <v>663000</v>
      </c>
      <c r="G321" s="149">
        <v>53420</v>
      </c>
      <c r="H321" s="150" t="str">
        <f t="shared" si="12"/>
        <v>5</v>
      </c>
      <c r="I321" s="150" t="str">
        <f t="shared" si="13"/>
        <v>53</v>
      </c>
      <c r="J321" s="150" t="str">
        <f t="shared" si="14"/>
        <v>534</v>
      </c>
      <c r="K321" s="150" t="s">
        <v>8587</v>
      </c>
      <c r="L321" s="149" t="s">
        <v>608</v>
      </c>
      <c r="M321" s="151">
        <v>43367.83</v>
      </c>
    </row>
    <row r="322" spans="1:13" s="149" customFormat="1" x14ac:dyDescent="0.25">
      <c r="A322" s="149" t="s">
        <v>7639</v>
      </c>
      <c r="B322" s="149" t="s">
        <v>609</v>
      </c>
      <c r="C322" s="149">
        <v>11</v>
      </c>
      <c r="D322" s="149">
        <v>150</v>
      </c>
      <c r="E322" s="149">
        <v>0</v>
      </c>
      <c r="F322" s="149">
        <v>663000</v>
      </c>
      <c r="G322" s="149">
        <v>53520</v>
      </c>
      <c r="H322" s="150" t="str">
        <f t="shared" si="12"/>
        <v>5</v>
      </c>
      <c r="I322" s="150" t="str">
        <f t="shared" si="13"/>
        <v>53</v>
      </c>
      <c r="J322" s="150" t="str">
        <f t="shared" si="14"/>
        <v>535</v>
      </c>
      <c r="K322" s="150" t="s">
        <v>8588</v>
      </c>
      <c r="L322" s="149" t="s">
        <v>610</v>
      </c>
      <c r="M322" s="151">
        <v>163.81</v>
      </c>
    </row>
    <row r="323" spans="1:13" s="149" customFormat="1" x14ac:dyDescent="0.25">
      <c r="A323" s="149" t="s">
        <v>7639</v>
      </c>
      <c r="B323" s="149" t="s">
        <v>611</v>
      </c>
      <c r="C323" s="149">
        <v>11</v>
      </c>
      <c r="D323" s="149">
        <v>150</v>
      </c>
      <c r="E323" s="149">
        <v>0</v>
      </c>
      <c r="F323" s="149">
        <v>663000</v>
      </c>
      <c r="G323" s="149">
        <v>53620</v>
      </c>
      <c r="H323" s="150" t="str">
        <f t="shared" ref="H323:H386" si="15">LEFT(G323,1)</f>
        <v>5</v>
      </c>
      <c r="I323" s="150" t="str">
        <f t="shared" ref="I323:I386" si="16">LEFT(G323,2)</f>
        <v>53</v>
      </c>
      <c r="J323" s="150" t="str">
        <f t="shared" ref="J323:J386" si="17">LEFT(G323,3)</f>
        <v>536</v>
      </c>
      <c r="K323" s="150" t="s">
        <v>8589</v>
      </c>
      <c r="L323" s="149" t="s">
        <v>612</v>
      </c>
      <c r="M323" s="151">
        <v>6194.78</v>
      </c>
    </row>
    <row r="324" spans="1:13" s="149" customFormat="1" x14ac:dyDescent="0.25">
      <c r="A324" s="149" t="s">
        <v>7639</v>
      </c>
      <c r="B324" s="149" t="s">
        <v>613</v>
      </c>
      <c r="C324" s="149">
        <v>11</v>
      </c>
      <c r="D324" s="149">
        <v>150</v>
      </c>
      <c r="E324" s="149">
        <v>0</v>
      </c>
      <c r="F324" s="149">
        <v>663000</v>
      </c>
      <c r="G324" s="149">
        <v>53920</v>
      </c>
      <c r="H324" s="150" t="str">
        <f t="shared" si="15"/>
        <v>5</v>
      </c>
      <c r="I324" s="150" t="str">
        <f t="shared" si="16"/>
        <v>53</v>
      </c>
      <c r="J324" s="150" t="str">
        <f t="shared" si="17"/>
        <v>539</v>
      </c>
      <c r="K324" s="150" t="s">
        <v>8590</v>
      </c>
      <c r="L324" s="149" t="s">
        <v>614</v>
      </c>
      <c r="M324" s="151">
        <v>2400</v>
      </c>
    </row>
    <row r="325" spans="1:13" s="149" customFormat="1" x14ac:dyDescent="0.25">
      <c r="A325" s="149" t="s">
        <v>7639</v>
      </c>
      <c r="B325" s="149" t="s">
        <v>615</v>
      </c>
      <c r="C325" s="149">
        <v>11</v>
      </c>
      <c r="D325" s="149">
        <v>150</v>
      </c>
      <c r="E325" s="149">
        <v>0</v>
      </c>
      <c r="F325" s="149">
        <v>663000</v>
      </c>
      <c r="G325" s="149">
        <v>54300</v>
      </c>
      <c r="H325" s="150" t="str">
        <f t="shared" si="15"/>
        <v>5</v>
      </c>
      <c r="I325" s="150" t="str">
        <f t="shared" si="16"/>
        <v>54</v>
      </c>
      <c r="J325" s="150" t="str">
        <f t="shared" si="17"/>
        <v>543</v>
      </c>
      <c r="K325" s="150" t="s">
        <v>7919</v>
      </c>
      <c r="L325" s="149" t="s">
        <v>616</v>
      </c>
      <c r="M325" s="151">
        <v>1000</v>
      </c>
    </row>
    <row r="326" spans="1:13" s="149" customFormat="1" x14ac:dyDescent="0.25">
      <c r="A326" s="149" t="s">
        <v>7639</v>
      </c>
      <c r="B326" s="149" t="s">
        <v>617</v>
      </c>
      <c r="C326" s="149">
        <v>11</v>
      </c>
      <c r="D326" s="149">
        <v>150</v>
      </c>
      <c r="E326" s="149">
        <v>0</v>
      </c>
      <c r="F326" s="149">
        <v>663000</v>
      </c>
      <c r="G326" s="149">
        <v>55200</v>
      </c>
      <c r="H326" s="150" t="str">
        <f t="shared" si="15"/>
        <v>5</v>
      </c>
      <c r="I326" s="150" t="str">
        <f t="shared" si="16"/>
        <v>55</v>
      </c>
      <c r="J326" s="150" t="str">
        <f t="shared" si="17"/>
        <v>552</v>
      </c>
      <c r="K326" s="150" t="s">
        <v>8042</v>
      </c>
      <c r="L326" s="149" t="s">
        <v>618</v>
      </c>
      <c r="M326" s="151">
        <v>0</v>
      </c>
    </row>
    <row r="327" spans="1:13" s="149" customFormat="1" x14ac:dyDescent="0.25">
      <c r="A327" s="149" t="s">
        <v>7639</v>
      </c>
      <c r="B327" s="149" t="s">
        <v>619</v>
      </c>
      <c r="C327" s="149">
        <v>11</v>
      </c>
      <c r="D327" s="149">
        <v>150</v>
      </c>
      <c r="E327" s="149">
        <v>0</v>
      </c>
      <c r="F327" s="149">
        <v>663000</v>
      </c>
      <c r="G327" s="149">
        <v>55300</v>
      </c>
      <c r="H327" s="150" t="str">
        <f t="shared" si="15"/>
        <v>5</v>
      </c>
      <c r="I327" s="150" t="str">
        <f t="shared" si="16"/>
        <v>55</v>
      </c>
      <c r="J327" s="150" t="str">
        <f t="shared" si="17"/>
        <v>553</v>
      </c>
      <c r="K327" s="150" t="s">
        <v>8082</v>
      </c>
      <c r="L327" s="149" t="s">
        <v>620</v>
      </c>
      <c r="M327" s="151">
        <v>700</v>
      </c>
    </row>
    <row r="328" spans="1:13" s="149" customFormat="1" x14ac:dyDescent="0.25">
      <c r="A328" s="149" t="s">
        <v>7639</v>
      </c>
      <c r="B328" s="149" t="s">
        <v>621</v>
      </c>
      <c r="C328" s="149">
        <v>11</v>
      </c>
      <c r="D328" s="149">
        <v>150</v>
      </c>
      <c r="E328" s="149">
        <v>0</v>
      </c>
      <c r="F328" s="149">
        <v>663000</v>
      </c>
      <c r="G328" s="149">
        <v>55309</v>
      </c>
      <c r="H328" s="150" t="str">
        <f t="shared" si="15"/>
        <v>5</v>
      </c>
      <c r="I328" s="150" t="str">
        <f t="shared" si="16"/>
        <v>55</v>
      </c>
      <c r="J328" s="150" t="str">
        <f t="shared" si="17"/>
        <v>553</v>
      </c>
      <c r="K328" s="150" t="s">
        <v>8103</v>
      </c>
      <c r="L328" s="149" t="s">
        <v>622</v>
      </c>
      <c r="M328" s="151">
        <v>11000</v>
      </c>
    </row>
    <row r="329" spans="1:13" s="149" customFormat="1" x14ac:dyDescent="0.25">
      <c r="A329" s="149" t="s">
        <v>7639</v>
      </c>
      <c r="B329" s="149" t="s">
        <v>623</v>
      </c>
      <c r="C329" s="149">
        <v>11</v>
      </c>
      <c r="D329" s="149">
        <v>150</v>
      </c>
      <c r="E329" s="149">
        <v>0</v>
      </c>
      <c r="F329" s="149">
        <v>663000</v>
      </c>
      <c r="G329" s="149">
        <v>55610</v>
      </c>
      <c r="H329" s="150" t="str">
        <f t="shared" si="15"/>
        <v>5</v>
      </c>
      <c r="I329" s="150" t="str">
        <f t="shared" si="16"/>
        <v>55</v>
      </c>
      <c r="J329" s="150" t="str">
        <f t="shared" si="17"/>
        <v>556</v>
      </c>
      <c r="K329" s="150" t="s">
        <v>8154</v>
      </c>
      <c r="L329" s="149" t="s">
        <v>624</v>
      </c>
      <c r="M329" s="151">
        <v>0</v>
      </c>
    </row>
    <row r="330" spans="1:13" s="149" customFormat="1" x14ac:dyDescent="0.25">
      <c r="A330" s="149" t="s">
        <v>7639</v>
      </c>
      <c r="B330" s="149" t="s">
        <v>625</v>
      </c>
      <c r="C330" s="149">
        <v>11</v>
      </c>
      <c r="D330" s="149">
        <v>150</v>
      </c>
      <c r="E330" s="149">
        <v>0</v>
      </c>
      <c r="F330" s="149">
        <v>663000</v>
      </c>
      <c r="G330" s="149">
        <v>55630</v>
      </c>
      <c r="H330" s="150" t="str">
        <f t="shared" si="15"/>
        <v>5</v>
      </c>
      <c r="I330" s="150" t="str">
        <f t="shared" si="16"/>
        <v>55</v>
      </c>
      <c r="J330" s="150" t="str">
        <f t="shared" si="17"/>
        <v>556</v>
      </c>
      <c r="K330" s="150" t="s">
        <v>8179</v>
      </c>
      <c r="L330" s="149" t="s">
        <v>626</v>
      </c>
      <c r="M330" s="151">
        <v>65.099999999999994</v>
      </c>
    </row>
    <row r="331" spans="1:13" s="149" customFormat="1" x14ac:dyDescent="0.25">
      <c r="A331" s="149" t="s">
        <v>7639</v>
      </c>
      <c r="B331" s="149" t="s">
        <v>627</v>
      </c>
      <c r="C331" s="149">
        <v>11</v>
      </c>
      <c r="D331" s="149">
        <v>200</v>
      </c>
      <c r="E331" s="149">
        <v>0</v>
      </c>
      <c r="F331" s="149">
        <v>590000</v>
      </c>
      <c r="G331" s="149">
        <v>53410</v>
      </c>
      <c r="H331" s="150" t="str">
        <f t="shared" si="15"/>
        <v>5</v>
      </c>
      <c r="I331" s="150" t="str">
        <f t="shared" si="16"/>
        <v>53</v>
      </c>
      <c r="J331" s="150" t="str">
        <f t="shared" si="17"/>
        <v>534</v>
      </c>
      <c r="K331" s="150" t="s">
        <v>8591</v>
      </c>
      <c r="L331" s="149" t="s">
        <v>628</v>
      </c>
      <c r="M331" s="151">
        <v>110000</v>
      </c>
    </row>
    <row r="332" spans="1:13" s="149" customFormat="1" x14ac:dyDescent="0.25">
      <c r="A332" s="149" t="s">
        <v>7639</v>
      </c>
      <c r="B332" s="149" t="s">
        <v>629</v>
      </c>
      <c r="C332" s="149">
        <v>11</v>
      </c>
      <c r="D332" s="149">
        <v>200</v>
      </c>
      <c r="E332" s="149">
        <v>0</v>
      </c>
      <c r="F332" s="149">
        <v>590000</v>
      </c>
      <c r="G332" s="149">
        <v>53411</v>
      </c>
      <c r="H332" s="150" t="str">
        <f t="shared" si="15"/>
        <v>5</v>
      </c>
      <c r="I332" s="150" t="str">
        <f t="shared" si="16"/>
        <v>53</v>
      </c>
      <c r="J332" s="150" t="str">
        <f t="shared" si="17"/>
        <v>534</v>
      </c>
      <c r="K332" s="150" t="s">
        <v>7901</v>
      </c>
      <c r="L332" s="149" t="s">
        <v>630</v>
      </c>
      <c r="M332" s="151">
        <v>0</v>
      </c>
    </row>
    <row r="333" spans="1:13" s="149" customFormat="1" x14ac:dyDescent="0.25">
      <c r="A333" s="149" t="s">
        <v>7639</v>
      </c>
      <c r="B333" s="149" t="s">
        <v>631</v>
      </c>
      <c r="C333" s="149">
        <v>11</v>
      </c>
      <c r="D333" s="149">
        <v>200</v>
      </c>
      <c r="E333" s="149">
        <v>0</v>
      </c>
      <c r="F333" s="149">
        <v>672020</v>
      </c>
      <c r="G333" s="149">
        <v>53420</v>
      </c>
      <c r="H333" s="150" t="str">
        <f t="shared" si="15"/>
        <v>5</v>
      </c>
      <c r="I333" s="150" t="str">
        <f t="shared" si="16"/>
        <v>53</v>
      </c>
      <c r="J333" s="150" t="str">
        <f t="shared" si="17"/>
        <v>534</v>
      </c>
      <c r="K333" s="150" t="s">
        <v>8592</v>
      </c>
      <c r="L333" s="149" t="s">
        <v>632</v>
      </c>
      <c r="M333" s="151">
        <v>0</v>
      </c>
    </row>
    <row r="334" spans="1:13" s="149" customFormat="1" x14ac:dyDescent="0.25">
      <c r="A334" s="149" t="s">
        <v>7639</v>
      </c>
      <c r="B334" s="149" t="s">
        <v>633</v>
      </c>
      <c r="C334" s="149">
        <v>11</v>
      </c>
      <c r="D334" s="149">
        <v>200</v>
      </c>
      <c r="E334" s="149">
        <v>0</v>
      </c>
      <c r="F334" s="149">
        <v>674000</v>
      </c>
      <c r="G334" s="149">
        <v>53420</v>
      </c>
      <c r="H334" s="150" t="str">
        <f t="shared" si="15"/>
        <v>5</v>
      </c>
      <c r="I334" s="150" t="str">
        <f t="shared" si="16"/>
        <v>53</v>
      </c>
      <c r="J334" s="150" t="str">
        <f t="shared" si="17"/>
        <v>534</v>
      </c>
      <c r="K334" s="150" t="s">
        <v>8593</v>
      </c>
      <c r="L334" s="149" t="s">
        <v>634</v>
      </c>
      <c r="M334" s="151">
        <v>125000</v>
      </c>
    </row>
    <row r="335" spans="1:13" s="149" customFormat="1" x14ac:dyDescent="0.25">
      <c r="A335" s="149" t="s">
        <v>7639</v>
      </c>
      <c r="B335" s="149" t="s">
        <v>635</v>
      </c>
      <c r="C335" s="149">
        <v>11</v>
      </c>
      <c r="D335" s="149">
        <v>200</v>
      </c>
      <c r="E335" s="149">
        <v>0</v>
      </c>
      <c r="F335" s="149">
        <v>674000</v>
      </c>
      <c r="G335" s="149">
        <v>53421</v>
      </c>
      <c r="H335" s="150" t="str">
        <f t="shared" si="15"/>
        <v>5</v>
      </c>
      <c r="I335" s="150" t="str">
        <f t="shared" si="16"/>
        <v>53</v>
      </c>
      <c r="J335" s="150" t="str">
        <f t="shared" si="17"/>
        <v>534</v>
      </c>
      <c r="K335" s="150" t="s">
        <v>7902</v>
      </c>
      <c r="L335" s="149" t="s">
        <v>636</v>
      </c>
      <c r="M335" s="151">
        <v>0</v>
      </c>
    </row>
    <row r="336" spans="1:13" s="149" customFormat="1" x14ac:dyDescent="0.25">
      <c r="A336" s="149" t="s">
        <v>7639</v>
      </c>
      <c r="B336" s="149" t="s">
        <v>637</v>
      </c>
      <c r="C336" s="149">
        <v>11</v>
      </c>
      <c r="D336" s="149">
        <v>200</v>
      </c>
      <c r="E336" s="149">
        <v>0</v>
      </c>
      <c r="F336" s="149">
        <v>675000</v>
      </c>
      <c r="G336" s="149">
        <v>55125</v>
      </c>
      <c r="H336" s="150" t="str">
        <f t="shared" si="15"/>
        <v>5</v>
      </c>
      <c r="I336" s="150" t="str">
        <f t="shared" si="16"/>
        <v>55</v>
      </c>
      <c r="J336" s="150" t="str">
        <f t="shared" si="17"/>
        <v>551</v>
      </c>
      <c r="K336" s="150" t="s">
        <v>8028</v>
      </c>
      <c r="L336" s="149" t="s">
        <v>638</v>
      </c>
      <c r="M336" s="151">
        <v>50000</v>
      </c>
    </row>
    <row r="337" spans="1:13" s="149" customFormat="1" x14ac:dyDescent="0.25">
      <c r="A337" s="149" t="s">
        <v>7639</v>
      </c>
      <c r="B337" s="149" t="s">
        <v>639</v>
      </c>
      <c r="C337" s="149">
        <v>11</v>
      </c>
      <c r="D337" s="149">
        <v>200</v>
      </c>
      <c r="E337" s="149">
        <v>0</v>
      </c>
      <c r="F337" s="149">
        <v>677000</v>
      </c>
      <c r="G337" s="149">
        <v>55821</v>
      </c>
      <c r="H337" s="150" t="str">
        <f t="shared" si="15"/>
        <v>5</v>
      </c>
      <c r="I337" s="150" t="str">
        <f t="shared" si="16"/>
        <v>55</v>
      </c>
      <c r="J337" s="150" t="str">
        <f t="shared" si="17"/>
        <v>558</v>
      </c>
      <c r="K337" s="150" t="s">
        <v>8344</v>
      </c>
      <c r="L337" s="149" t="s">
        <v>640</v>
      </c>
      <c r="M337" s="151">
        <v>3245</v>
      </c>
    </row>
    <row r="338" spans="1:13" s="149" customFormat="1" x14ac:dyDescent="0.25">
      <c r="A338" s="149" t="s">
        <v>7639</v>
      </c>
      <c r="B338" s="149" t="s">
        <v>641</v>
      </c>
      <c r="C338" s="149">
        <v>11</v>
      </c>
      <c r="D338" s="149">
        <v>200</v>
      </c>
      <c r="E338" s="149">
        <v>0</v>
      </c>
      <c r="F338" s="149">
        <v>677010</v>
      </c>
      <c r="G338" s="149">
        <v>55555</v>
      </c>
      <c r="H338" s="150" t="str">
        <f t="shared" si="15"/>
        <v>5</v>
      </c>
      <c r="I338" s="150" t="str">
        <f t="shared" si="16"/>
        <v>55</v>
      </c>
      <c r="J338" s="150" t="str">
        <f t="shared" si="17"/>
        <v>555</v>
      </c>
      <c r="K338" s="150" t="s">
        <v>8133</v>
      </c>
      <c r="L338" s="149" t="s">
        <v>642</v>
      </c>
      <c r="M338" s="151">
        <v>0</v>
      </c>
    </row>
    <row r="339" spans="1:13" s="149" customFormat="1" x14ac:dyDescent="0.25">
      <c r="A339" s="149" t="s">
        <v>7639</v>
      </c>
      <c r="B339" s="149" t="s">
        <v>643</v>
      </c>
      <c r="C339" s="149">
        <v>11</v>
      </c>
      <c r="D339" s="149">
        <v>200</v>
      </c>
      <c r="E339" s="149">
        <v>0</v>
      </c>
      <c r="F339" s="149">
        <v>677100</v>
      </c>
      <c r="G339" s="149">
        <v>54300</v>
      </c>
      <c r="H339" s="150" t="str">
        <f t="shared" si="15"/>
        <v>5</v>
      </c>
      <c r="I339" s="150" t="str">
        <f t="shared" si="16"/>
        <v>54</v>
      </c>
      <c r="J339" s="150" t="str">
        <f t="shared" si="17"/>
        <v>543</v>
      </c>
      <c r="K339" s="150" t="s">
        <v>7920</v>
      </c>
      <c r="L339" s="149" t="s">
        <v>644</v>
      </c>
      <c r="M339" s="151">
        <v>956</v>
      </c>
    </row>
    <row r="340" spans="1:13" s="149" customFormat="1" x14ac:dyDescent="0.25">
      <c r="A340" s="149" t="s">
        <v>7639</v>
      </c>
      <c r="B340" s="149" t="s">
        <v>645</v>
      </c>
      <c r="C340" s="149">
        <v>11</v>
      </c>
      <c r="D340" s="149">
        <v>200</v>
      </c>
      <c r="E340" s="149">
        <v>0</v>
      </c>
      <c r="F340" s="149">
        <v>677100</v>
      </c>
      <c r="G340" s="149">
        <v>55105</v>
      </c>
      <c r="H340" s="150" t="str">
        <f t="shared" si="15"/>
        <v>5</v>
      </c>
      <c r="I340" s="150" t="str">
        <f t="shared" si="16"/>
        <v>55</v>
      </c>
      <c r="J340" s="150" t="str">
        <f t="shared" si="17"/>
        <v>551</v>
      </c>
      <c r="K340" s="150" t="s">
        <v>8004</v>
      </c>
      <c r="L340" s="149" t="s">
        <v>646</v>
      </c>
      <c r="M340" s="151">
        <v>630185</v>
      </c>
    </row>
    <row r="341" spans="1:13" s="149" customFormat="1" x14ac:dyDescent="0.25">
      <c r="A341" s="149" t="s">
        <v>7639</v>
      </c>
      <c r="B341" s="149" t="s">
        <v>647</v>
      </c>
      <c r="C341" s="149">
        <v>11</v>
      </c>
      <c r="D341" s="149">
        <v>200</v>
      </c>
      <c r="E341" s="149">
        <v>0</v>
      </c>
      <c r="F341" s="149">
        <v>677100</v>
      </c>
      <c r="G341" s="149">
        <v>55630</v>
      </c>
      <c r="H341" s="150" t="str">
        <f t="shared" si="15"/>
        <v>5</v>
      </c>
      <c r="I341" s="150" t="str">
        <f t="shared" si="16"/>
        <v>55</v>
      </c>
      <c r="J341" s="150" t="str">
        <f t="shared" si="17"/>
        <v>556</v>
      </c>
      <c r="K341" s="150" t="s">
        <v>8180</v>
      </c>
      <c r="L341" s="149" t="s">
        <v>648</v>
      </c>
      <c r="M341" s="151">
        <v>0.6</v>
      </c>
    </row>
    <row r="342" spans="1:13" s="149" customFormat="1" x14ac:dyDescent="0.25">
      <c r="A342" s="149" t="s">
        <v>7639</v>
      </c>
      <c r="B342" s="149" t="s">
        <v>649</v>
      </c>
      <c r="C342" s="149">
        <v>11</v>
      </c>
      <c r="D342" s="149">
        <v>200</v>
      </c>
      <c r="E342" s="149">
        <v>0</v>
      </c>
      <c r="F342" s="149">
        <v>695000</v>
      </c>
      <c r="G342" s="149">
        <v>55800</v>
      </c>
      <c r="H342" s="150" t="str">
        <f t="shared" si="15"/>
        <v>5</v>
      </c>
      <c r="I342" s="150" t="str">
        <f t="shared" si="16"/>
        <v>55</v>
      </c>
      <c r="J342" s="150" t="str">
        <f t="shared" si="17"/>
        <v>558</v>
      </c>
      <c r="K342" s="150" t="s">
        <v>8333</v>
      </c>
      <c r="L342" s="149" t="s">
        <v>650</v>
      </c>
      <c r="M342" s="151">
        <v>0</v>
      </c>
    </row>
    <row r="343" spans="1:13" s="149" customFormat="1" x14ac:dyDescent="0.25">
      <c r="A343" s="149" t="s">
        <v>7639</v>
      </c>
      <c r="B343" s="149" t="s">
        <v>651</v>
      </c>
      <c r="C343" s="149">
        <v>11</v>
      </c>
      <c r="D343" s="149">
        <v>200</v>
      </c>
      <c r="E343" s="149">
        <v>4</v>
      </c>
      <c r="F343" s="149">
        <v>657000</v>
      </c>
      <c r="G343" s="149">
        <v>55530</v>
      </c>
      <c r="H343" s="150" t="str">
        <f t="shared" si="15"/>
        <v>5</v>
      </c>
      <c r="I343" s="150" t="str">
        <f t="shared" si="16"/>
        <v>55</v>
      </c>
      <c r="J343" s="150" t="str">
        <f t="shared" si="17"/>
        <v>555</v>
      </c>
      <c r="K343" s="150" t="s">
        <v>8117</v>
      </c>
      <c r="L343" s="149" t="s">
        <v>551</v>
      </c>
      <c r="M343" s="151">
        <v>29796.82</v>
      </c>
    </row>
    <row r="344" spans="1:13" s="149" customFormat="1" x14ac:dyDescent="0.25">
      <c r="A344" s="149" t="s">
        <v>7639</v>
      </c>
      <c r="B344" s="149" t="s">
        <v>652</v>
      </c>
      <c r="C344" s="149">
        <v>11</v>
      </c>
      <c r="D344" s="149">
        <v>200</v>
      </c>
      <c r="E344" s="149">
        <v>4</v>
      </c>
      <c r="F344" s="149">
        <v>657000</v>
      </c>
      <c r="G344" s="149">
        <v>55540</v>
      </c>
      <c r="H344" s="150" t="str">
        <f t="shared" si="15"/>
        <v>5</v>
      </c>
      <c r="I344" s="150" t="str">
        <f t="shared" si="16"/>
        <v>55</v>
      </c>
      <c r="J344" s="150" t="str">
        <f t="shared" si="17"/>
        <v>555</v>
      </c>
      <c r="K344" s="150" t="s">
        <v>8123</v>
      </c>
      <c r="L344" s="149" t="s">
        <v>553</v>
      </c>
      <c r="M344" s="151">
        <v>1161</v>
      </c>
    </row>
    <row r="345" spans="1:13" s="149" customFormat="1" x14ac:dyDescent="0.25">
      <c r="A345" s="149" t="s">
        <v>7639</v>
      </c>
      <c r="B345" s="149" t="s">
        <v>653</v>
      </c>
      <c r="C345" s="149">
        <v>11</v>
      </c>
      <c r="D345" s="149">
        <v>210</v>
      </c>
      <c r="E345" s="149">
        <v>0</v>
      </c>
      <c r="F345" s="149">
        <v>657000</v>
      </c>
      <c r="G345" s="149">
        <v>55530</v>
      </c>
      <c r="H345" s="150" t="str">
        <f t="shared" si="15"/>
        <v>5</v>
      </c>
      <c r="I345" s="150" t="str">
        <f t="shared" si="16"/>
        <v>55</v>
      </c>
      <c r="J345" s="150" t="str">
        <f t="shared" si="17"/>
        <v>555</v>
      </c>
      <c r="K345" s="150" t="s">
        <v>8118</v>
      </c>
      <c r="L345" s="149" t="s">
        <v>551</v>
      </c>
      <c r="M345" s="151">
        <v>845000</v>
      </c>
    </row>
    <row r="346" spans="1:13" s="149" customFormat="1" x14ac:dyDescent="0.25">
      <c r="A346" s="149" t="s">
        <v>7639</v>
      </c>
      <c r="B346" s="149" t="s">
        <v>654</v>
      </c>
      <c r="C346" s="149">
        <v>11</v>
      </c>
      <c r="D346" s="149">
        <v>210</v>
      </c>
      <c r="E346" s="149">
        <v>0</v>
      </c>
      <c r="F346" s="149">
        <v>657000</v>
      </c>
      <c r="G346" s="149">
        <v>55540</v>
      </c>
      <c r="H346" s="150" t="str">
        <f t="shared" si="15"/>
        <v>5</v>
      </c>
      <c r="I346" s="150" t="str">
        <f t="shared" si="16"/>
        <v>55</v>
      </c>
      <c r="J346" s="150" t="str">
        <f t="shared" si="17"/>
        <v>555</v>
      </c>
      <c r="K346" s="150" t="s">
        <v>8124</v>
      </c>
      <c r="L346" s="149" t="s">
        <v>553</v>
      </c>
      <c r="M346" s="151">
        <v>155661</v>
      </c>
    </row>
    <row r="347" spans="1:13" s="149" customFormat="1" x14ac:dyDescent="0.25">
      <c r="A347" s="149" t="s">
        <v>7639</v>
      </c>
      <c r="B347" s="149" t="s">
        <v>655</v>
      </c>
      <c r="C347" s="149">
        <v>11</v>
      </c>
      <c r="D347" s="149">
        <v>210</v>
      </c>
      <c r="E347" s="149">
        <v>0</v>
      </c>
      <c r="F347" s="149">
        <v>657000</v>
      </c>
      <c r="G347" s="149">
        <v>55560</v>
      </c>
      <c r="H347" s="150" t="str">
        <f t="shared" si="15"/>
        <v>5</v>
      </c>
      <c r="I347" s="150" t="str">
        <f t="shared" si="16"/>
        <v>55</v>
      </c>
      <c r="J347" s="150" t="str">
        <f t="shared" si="17"/>
        <v>555</v>
      </c>
      <c r="K347" s="150" t="s">
        <v>8136</v>
      </c>
      <c r="L347" s="149" t="s">
        <v>555</v>
      </c>
      <c r="M347" s="151">
        <v>59200</v>
      </c>
    </row>
    <row r="348" spans="1:13" s="149" customFormat="1" x14ac:dyDescent="0.25">
      <c r="A348" s="149" t="s">
        <v>7639</v>
      </c>
      <c r="B348" s="149" t="s">
        <v>656</v>
      </c>
      <c r="C348" s="149">
        <v>11</v>
      </c>
      <c r="D348" s="149">
        <v>210</v>
      </c>
      <c r="E348" s="149">
        <v>0</v>
      </c>
      <c r="F348" s="149">
        <v>657000</v>
      </c>
      <c r="G348" s="149">
        <v>55570</v>
      </c>
      <c r="H348" s="150" t="str">
        <f t="shared" si="15"/>
        <v>5</v>
      </c>
      <c r="I348" s="150" t="str">
        <f t="shared" si="16"/>
        <v>55</v>
      </c>
      <c r="J348" s="150" t="str">
        <f t="shared" si="17"/>
        <v>555</v>
      </c>
      <c r="K348" s="150" t="s">
        <v>8139</v>
      </c>
      <c r="L348" s="149" t="s">
        <v>657</v>
      </c>
      <c r="M348" s="151">
        <v>31838</v>
      </c>
    </row>
    <row r="349" spans="1:13" s="149" customFormat="1" x14ac:dyDescent="0.25">
      <c r="A349" s="149" t="s">
        <v>7639</v>
      </c>
      <c r="B349" s="149" t="s">
        <v>658</v>
      </c>
      <c r="C349" s="149">
        <v>11</v>
      </c>
      <c r="D349" s="149">
        <v>210</v>
      </c>
      <c r="E349" s="149">
        <v>0</v>
      </c>
      <c r="F349" s="149">
        <v>657000</v>
      </c>
      <c r="G349" s="149">
        <v>55575</v>
      </c>
      <c r="H349" s="150" t="str">
        <f t="shared" si="15"/>
        <v>5</v>
      </c>
      <c r="I349" s="150" t="str">
        <f t="shared" si="16"/>
        <v>55</v>
      </c>
      <c r="J349" s="150" t="str">
        <f t="shared" si="17"/>
        <v>555</v>
      </c>
      <c r="K349" s="150" t="s">
        <v>8141</v>
      </c>
      <c r="L349" s="149" t="s">
        <v>659</v>
      </c>
      <c r="M349" s="151">
        <v>2000</v>
      </c>
    </row>
    <row r="350" spans="1:13" s="149" customFormat="1" x14ac:dyDescent="0.25">
      <c r="A350" s="149" t="s">
        <v>7639</v>
      </c>
      <c r="B350" s="149" t="s">
        <v>660</v>
      </c>
      <c r="C350" s="149">
        <v>11</v>
      </c>
      <c r="D350" s="149">
        <v>210</v>
      </c>
      <c r="E350" s="149">
        <v>0</v>
      </c>
      <c r="F350" s="149">
        <v>657000</v>
      </c>
      <c r="G350" s="149">
        <v>55580</v>
      </c>
      <c r="H350" s="150" t="str">
        <f t="shared" si="15"/>
        <v>5</v>
      </c>
      <c r="I350" s="150" t="str">
        <f t="shared" si="16"/>
        <v>55</v>
      </c>
      <c r="J350" s="150" t="str">
        <f t="shared" si="17"/>
        <v>555</v>
      </c>
      <c r="K350" s="150" t="s">
        <v>8146</v>
      </c>
      <c r="L350" s="149" t="s">
        <v>557</v>
      </c>
      <c r="M350" s="151">
        <v>50000</v>
      </c>
    </row>
    <row r="351" spans="1:13" s="149" customFormat="1" x14ac:dyDescent="0.25">
      <c r="A351" s="149" t="s">
        <v>7639</v>
      </c>
      <c r="B351" s="149" t="s">
        <v>661</v>
      </c>
      <c r="C351" s="149">
        <v>11</v>
      </c>
      <c r="D351" s="149">
        <v>210</v>
      </c>
      <c r="E351" s="149">
        <v>0</v>
      </c>
      <c r="F351" s="149">
        <v>672010</v>
      </c>
      <c r="G351" s="149">
        <v>52105</v>
      </c>
      <c r="H351" s="150" t="str">
        <f t="shared" si="15"/>
        <v>5</v>
      </c>
      <c r="I351" s="150" t="str">
        <f t="shared" si="16"/>
        <v>52</v>
      </c>
      <c r="J351" s="150" t="str">
        <f t="shared" si="17"/>
        <v>521</v>
      </c>
      <c r="K351" s="150" t="s">
        <v>8594</v>
      </c>
      <c r="L351" s="149" t="s">
        <v>662</v>
      </c>
      <c r="M351" s="151">
        <v>440950.1</v>
      </c>
    </row>
    <row r="352" spans="1:13" s="149" customFormat="1" x14ac:dyDescent="0.25">
      <c r="A352" s="149" t="s">
        <v>7639</v>
      </c>
      <c r="B352" s="149" t="s">
        <v>663</v>
      </c>
      <c r="C352" s="149">
        <v>11</v>
      </c>
      <c r="D352" s="149">
        <v>210</v>
      </c>
      <c r="E352" s="149">
        <v>0</v>
      </c>
      <c r="F352" s="149">
        <v>672010</v>
      </c>
      <c r="G352" s="149">
        <v>52115</v>
      </c>
      <c r="H352" s="150" t="str">
        <f t="shared" si="15"/>
        <v>5</v>
      </c>
      <c r="I352" s="150" t="str">
        <f t="shared" si="16"/>
        <v>52</v>
      </c>
      <c r="J352" s="150" t="str">
        <f t="shared" si="17"/>
        <v>521</v>
      </c>
      <c r="K352" s="150" t="s">
        <v>8595</v>
      </c>
      <c r="L352" s="149" t="s">
        <v>664</v>
      </c>
      <c r="M352" s="151">
        <v>94895.1</v>
      </c>
    </row>
    <row r="353" spans="1:13" s="149" customFormat="1" x14ac:dyDescent="0.25">
      <c r="A353" s="149" t="s">
        <v>7639</v>
      </c>
      <c r="B353" s="149" t="s">
        <v>665</v>
      </c>
      <c r="C353" s="149">
        <v>11</v>
      </c>
      <c r="D353" s="149">
        <v>210</v>
      </c>
      <c r="E353" s="149">
        <v>0</v>
      </c>
      <c r="F353" s="149">
        <v>672010</v>
      </c>
      <c r="G353" s="149">
        <v>52120</v>
      </c>
      <c r="H353" s="150" t="str">
        <f t="shared" si="15"/>
        <v>5</v>
      </c>
      <c r="I353" s="150" t="str">
        <f t="shared" si="16"/>
        <v>52</v>
      </c>
      <c r="J353" s="150" t="str">
        <f t="shared" si="17"/>
        <v>521</v>
      </c>
      <c r="K353" s="150" t="s">
        <v>8596</v>
      </c>
      <c r="L353" s="149" t="s">
        <v>666</v>
      </c>
      <c r="M353" s="151">
        <v>136446.51999999999</v>
      </c>
    </row>
    <row r="354" spans="1:13" s="149" customFormat="1" x14ac:dyDescent="0.25">
      <c r="A354" s="149" t="s">
        <v>7639</v>
      </c>
      <c r="B354" s="149" t="s">
        <v>667</v>
      </c>
      <c r="C354" s="149">
        <v>11</v>
      </c>
      <c r="D354" s="149">
        <v>210</v>
      </c>
      <c r="E354" s="149">
        <v>0</v>
      </c>
      <c r="F354" s="149">
        <v>672010</v>
      </c>
      <c r="G354" s="149">
        <v>52130</v>
      </c>
      <c r="H354" s="150" t="str">
        <f t="shared" si="15"/>
        <v>5</v>
      </c>
      <c r="I354" s="150" t="str">
        <f t="shared" si="16"/>
        <v>52</v>
      </c>
      <c r="J354" s="150" t="str">
        <f t="shared" si="17"/>
        <v>521</v>
      </c>
      <c r="K354" s="150" t="s">
        <v>8597</v>
      </c>
      <c r="L354" s="149" t="s">
        <v>668</v>
      </c>
      <c r="M354" s="151">
        <v>295114.38</v>
      </c>
    </row>
    <row r="355" spans="1:13" s="149" customFormat="1" x14ac:dyDescent="0.25">
      <c r="A355" s="149" t="s">
        <v>7639</v>
      </c>
      <c r="B355" s="149" t="s">
        <v>669</v>
      </c>
      <c r="C355" s="149">
        <v>11</v>
      </c>
      <c r="D355" s="149">
        <v>210</v>
      </c>
      <c r="E355" s="149">
        <v>0</v>
      </c>
      <c r="F355" s="149">
        <v>672010</v>
      </c>
      <c r="G355" s="149">
        <v>52300</v>
      </c>
      <c r="H355" s="150" t="str">
        <f t="shared" si="15"/>
        <v>5</v>
      </c>
      <c r="I355" s="150" t="str">
        <f t="shared" si="16"/>
        <v>52</v>
      </c>
      <c r="J355" s="150" t="str">
        <f t="shared" si="17"/>
        <v>523</v>
      </c>
      <c r="K355" s="150" t="s">
        <v>7811</v>
      </c>
      <c r="L355" s="149" t="s">
        <v>670</v>
      </c>
      <c r="M355" s="151">
        <v>10000</v>
      </c>
    </row>
    <row r="356" spans="1:13" s="149" customFormat="1" x14ac:dyDescent="0.25">
      <c r="A356" s="149" t="s">
        <v>7639</v>
      </c>
      <c r="B356" s="149" t="s">
        <v>671</v>
      </c>
      <c r="C356" s="149">
        <v>11</v>
      </c>
      <c r="D356" s="149">
        <v>210</v>
      </c>
      <c r="E356" s="149">
        <v>0</v>
      </c>
      <c r="F356" s="149">
        <v>672010</v>
      </c>
      <c r="G356" s="149">
        <v>52350</v>
      </c>
      <c r="H356" s="150" t="str">
        <f t="shared" si="15"/>
        <v>5</v>
      </c>
      <c r="I356" s="150" t="str">
        <f t="shared" si="16"/>
        <v>52</v>
      </c>
      <c r="J356" s="150" t="str">
        <f t="shared" si="17"/>
        <v>523</v>
      </c>
      <c r="K356" s="150" t="s">
        <v>7851</v>
      </c>
      <c r="L356" s="149" t="s">
        <v>672</v>
      </c>
      <c r="M356" s="151">
        <v>2500</v>
      </c>
    </row>
    <row r="357" spans="1:13" s="149" customFormat="1" x14ac:dyDescent="0.25">
      <c r="A357" s="149" t="s">
        <v>7639</v>
      </c>
      <c r="B357" s="149" t="s">
        <v>673</v>
      </c>
      <c r="C357" s="149">
        <v>11</v>
      </c>
      <c r="D357" s="149">
        <v>210</v>
      </c>
      <c r="E357" s="149">
        <v>0</v>
      </c>
      <c r="F357" s="149">
        <v>672010</v>
      </c>
      <c r="G357" s="149">
        <v>52360</v>
      </c>
      <c r="H357" s="150" t="str">
        <f t="shared" si="15"/>
        <v>5</v>
      </c>
      <c r="I357" s="150" t="str">
        <f t="shared" si="16"/>
        <v>52</v>
      </c>
      <c r="J357" s="150" t="str">
        <f t="shared" si="17"/>
        <v>523</v>
      </c>
      <c r="K357" s="150" t="s">
        <v>7862</v>
      </c>
      <c r="L357" s="149" t="s">
        <v>674</v>
      </c>
      <c r="M357" s="151">
        <v>0</v>
      </c>
    </row>
    <row r="358" spans="1:13" s="149" customFormat="1" x14ac:dyDescent="0.25">
      <c r="A358" s="149" t="s">
        <v>7639</v>
      </c>
      <c r="B358" s="149" t="s">
        <v>675</v>
      </c>
      <c r="C358" s="149">
        <v>11</v>
      </c>
      <c r="D358" s="149">
        <v>210</v>
      </c>
      <c r="E358" s="149">
        <v>0</v>
      </c>
      <c r="F358" s="149">
        <v>672010</v>
      </c>
      <c r="G358" s="149">
        <v>53220</v>
      </c>
      <c r="H358" s="150" t="str">
        <f t="shared" si="15"/>
        <v>5</v>
      </c>
      <c r="I358" s="150" t="str">
        <f t="shared" si="16"/>
        <v>53</v>
      </c>
      <c r="J358" s="150" t="str">
        <f t="shared" si="17"/>
        <v>532</v>
      </c>
      <c r="K358" s="150" t="s">
        <v>8598</v>
      </c>
      <c r="L358" s="149" t="s">
        <v>676</v>
      </c>
      <c r="M358" s="151">
        <v>200253.07</v>
      </c>
    </row>
    <row r="359" spans="1:13" s="149" customFormat="1" x14ac:dyDescent="0.25">
      <c r="A359" s="149" t="s">
        <v>7639</v>
      </c>
      <c r="B359" s="149" t="s">
        <v>677</v>
      </c>
      <c r="C359" s="149">
        <v>11</v>
      </c>
      <c r="D359" s="149">
        <v>210</v>
      </c>
      <c r="E359" s="149">
        <v>0</v>
      </c>
      <c r="F359" s="149">
        <v>672010</v>
      </c>
      <c r="G359" s="149">
        <v>53320</v>
      </c>
      <c r="H359" s="150" t="str">
        <f t="shared" si="15"/>
        <v>5</v>
      </c>
      <c r="I359" s="150" t="str">
        <f t="shared" si="16"/>
        <v>53</v>
      </c>
      <c r="J359" s="150" t="str">
        <f t="shared" si="17"/>
        <v>533</v>
      </c>
      <c r="K359" s="150" t="s">
        <v>8599</v>
      </c>
      <c r="L359" s="149" t="s">
        <v>678</v>
      </c>
      <c r="M359" s="151">
        <v>61219.19</v>
      </c>
    </row>
    <row r="360" spans="1:13" s="149" customFormat="1" x14ac:dyDescent="0.25">
      <c r="A360" s="149" t="s">
        <v>7639</v>
      </c>
      <c r="B360" s="149" t="s">
        <v>679</v>
      </c>
      <c r="C360" s="149">
        <v>11</v>
      </c>
      <c r="D360" s="149">
        <v>210</v>
      </c>
      <c r="E360" s="149">
        <v>0</v>
      </c>
      <c r="F360" s="149">
        <v>672010</v>
      </c>
      <c r="G360" s="149">
        <v>53340</v>
      </c>
      <c r="H360" s="150" t="str">
        <f t="shared" si="15"/>
        <v>5</v>
      </c>
      <c r="I360" s="150" t="str">
        <f t="shared" si="16"/>
        <v>53</v>
      </c>
      <c r="J360" s="150" t="str">
        <f t="shared" si="17"/>
        <v>533</v>
      </c>
      <c r="K360" s="150" t="s">
        <v>8600</v>
      </c>
      <c r="L360" s="149" t="s">
        <v>680</v>
      </c>
      <c r="M360" s="151">
        <v>14317.39</v>
      </c>
    </row>
    <row r="361" spans="1:13" s="149" customFormat="1" x14ac:dyDescent="0.25">
      <c r="A361" s="149" t="s">
        <v>7639</v>
      </c>
      <c r="B361" s="149" t="s">
        <v>681</v>
      </c>
      <c r="C361" s="149">
        <v>11</v>
      </c>
      <c r="D361" s="149">
        <v>210</v>
      </c>
      <c r="E361" s="149">
        <v>0</v>
      </c>
      <c r="F361" s="149">
        <v>672010</v>
      </c>
      <c r="G361" s="149">
        <v>53420</v>
      </c>
      <c r="H361" s="150" t="str">
        <f t="shared" si="15"/>
        <v>5</v>
      </c>
      <c r="I361" s="150" t="str">
        <f t="shared" si="16"/>
        <v>53</v>
      </c>
      <c r="J361" s="150" t="str">
        <f t="shared" si="17"/>
        <v>534</v>
      </c>
      <c r="K361" s="150" t="s">
        <v>8601</v>
      </c>
      <c r="L361" s="149" t="s">
        <v>682</v>
      </c>
      <c r="M361" s="151">
        <v>345875.63</v>
      </c>
    </row>
    <row r="362" spans="1:13" s="149" customFormat="1" x14ac:dyDescent="0.25">
      <c r="A362" s="149" t="s">
        <v>7639</v>
      </c>
      <c r="B362" s="149" t="s">
        <v>683</v>
      </c>
      <c r="C362" s="149">
        <v>11</v>
      </c>
      <c r="D362" s="149">
        <v>210</v>
      </c>
      <c r="E362" s="149">
        <v>0</v>
      </c>
      <c r="F362" s="149">
        <v>672010</v>
      </c>
      <c r="G362" s="149">
        <v>53520</v>
      </c>
      <c r="H362" s="150" t="str">
        <f t="shared" si="15"/>
        <v>5</v>
      </c>
      <c r="I362" s="150" t="str">
        <f t="shared" si="16"/>
        <v>53</v>
      </c>
      <c r="J362" s="150" t="str">
        <f t="shared" si="17"/>
        <v>535</v>
      </c>
      <c r="K362" s="150" t="s">
        <v>8602</v>
      </c>
      <c r="L362" s="149" t="s">
        <v>684</v>
      </c>
      <c r="M362" s="151">
        <v>493.7</v>
      </c>
    </row>
    <row r="363" spans="1:13" s="149" customFormat="1" x14ac:dyDescent="0.25">
      <c r="A363" s="149" t="s">
        <v>7639</v>
      </c>
      <c r="B363" s="149" t="s">
        <v>685</v>
      </c>
      <c r="C363" s="149">
        <v>11</v>
      </c>
      <c r="D363" s="149">
        <v>210</v>
      </c>
      <c r="E363" s="149">
        <v>0</v>
      </c>
      <c r="F363" s="149">
        <v>672010</v>
      </c>
      <c r="G363" s="149">
        <v>53620</v>
      </c>
      <c r="H363" s="150" t="str">
        <f t="shared" si="15"/>
        <v>5</v>
      </c>
      <c r="I363" s="150" t="str">
        <f t="shared" si="16"/>
        <v>53</v>
      </c>
      <c r="J363" s="150" t="str">
        <f t="shared" si="17"/>
        <v>536</v>
      </c>
      <c r="K363" s="150" t="s">
        <v>8603</v>
      </c>
      <c r="L363" s="149" t="s">
        <v>686</v>
      </c>
      <c r="M363" s="151">
        <v>18717.14</v>
      </c>
    </row>
    <row r="364" spans="1:13" s="149" customFormat="1" x14ac:dyDescent="0.25">
      <c r="A364" s="149" t="s">
        <v>7639</v>
      </c>
      <c r="B364" s="149" t="s">
        <v>687</v>
      </c>
      <c r="C364" s="149">
        <v>11</v>
      </c>
      <c r="D364" s="149">
        <v>210</v>
      </c>
      <c r="E364" s="149">
        <v>0</v>
      </c>
      <c r="F364" s="149">
        <v>672010</v>
      </c>
      <c r="G364" s="149">
        <v>53904</v>
      </c>
      <c r="H364" s="150" t="str">
        <f t="shared" si="15"/>
        <v>5</v>
      </c>
      <c r="I364" s="150" t="str">
        <f t="shared" si="16"/>
        <v>53</v>
      </c>
      <c r="J364" s="150" t="str">
        <f t="shared" si="17"/>
        <v>539</v>
      </c>
      <c r="K364" s="150" t="s">
        <v>8604</v>
      </c>
      <c r="L364" s="149" t="s">
        <v>688</v>
      </c>
      <c r="M364" s="151">
        <v>0</v>
      </c>
    </row>
    <row r="365" spans="1:13" s="149" customFormat="1" x14ac:dyDescent="0.25">
      <c r="A365" s="149" t="s">
        <v>7639</v>
      </c>
      <c r="B365" s="149" t="s">
        <v>689</v>
      </c>
      <c r="C365" s="149">
        <v>11</v>
      </c>
      <c r="D365" s="149">
        <v>210</v>
      </c>
      <c r="E365" s="149">
        <v>0</v>
      </c>
      <c r="F365" s="149">
        <v>672010</v>
      </c>
      <c r="G365" s="149">
        <v>53920</v>
      </c>
      <c r="H365" s="150" t="str">
        <f t="shared" si="15"/>
        <v>5</v>
      </c>
      <c r="I365" s="150" t="str">
        <f t="shared" si="16"/>
        <v>53</v>
      </c>
      <c r="J365" s="150" t="str">
        <f t="shared" si="17"/>
        <v>539</v>
      </c>
      <c r="K365" s="150" t="s">
        <v>8605</v>
      </c>
      <c r="L365" s="149" t="s">
        <v>690</v>
      </c>
      <c r="M365" s="151">
        <v>4728</v>
      </c>
    </row>
    <row r="366" spans="1:13" s="149" customFormat="1" x14ac:dyDescent="0.25">
      <c r="A366" s="149" t="s">
        <v>7639</v>
      </c>
      <c r="B366" s="149" t="s">
        <v>691</v>
      </c>
      <c r="C366" s="149">
        <v>11</v>
      </c>
      <c r="D366" s="149">
        <v>210</v>
      </c>
      <c r="E366" s="149">
        <v>0</v>
      </c>
      <c r="F366" s="149">
        <v>672010</v>
      </c>
      <c r="G366" s="149">
        <v>54300</v>
      </c>
      <c r="H366" s="150" t="str">
        <f t="shared" si="15"/>
        <v>5</v>
      </c>
      <c r="I366" s="150" t="str">
        <f t="shared" si="16"/>
        <v>54</v>
      </c>
      <c r="J366" s="150" t="str">
        <f t="shared" si="17"/>
        <v>543</v>
      </c>
      <c r="K366" s="150" t="s">
        <v>7921</v>
      </c>
      <c r="L366" s="149" t="s">
        <v>692</v>
      </c>
      <c r="M366" s="151">
        <v>8000</v>
      </c>
    </row>
    <row r="367" spans="1:13" s="149" customFormat="1" x14ac:dyDescent="0.25">
      <c r="A367" s="149" t="s">
        <v>7639</v>
      </c>
      <c r="B367" s="149" t="s">
        <v>693</v>
      </c>
      <c r="C367" s="149">
        <v>11</v>
      </c>
      <c r="D367" s="149">
        <v>210</v>
      </c>
      <c r="E367" s="149">
        <v>0</v>
      </c>
      <c r="F367" s="149">
        <v>672010</v>
      </c>
      <c r="G367" s="149">
        <v>55105</v>
      </c>
      <c r="H367" s="150" t="str">
        <f t="shared" si="15"/>
        <v>5</v>
      </c>
      <c r="I367" s="150" t="str">
        <f t="shared" si="16"/>
        <v>55</v>
      </c>
      <c r="J367" s="150" t="str">
        <f t="shared" si="17"/>
        <v>551</v>
      </c>
      <c r="K367" s="150" t="s">
        <v>8005</v>
      </c>
      <c r="L367" s="149" t="s">
        <v>694</v>
      </c>
      <c r="M367" s="151">
        <v>11000</v>
      </c>
    </row>
    <row r="368" spans="1:13" s="149" customFormat="1" x14ac:dyDescent="0.25">
      <c r="A368" s="149" t="s">
        <v>7639</v>
      </c>
      <c r="B368" s="149" t="s">
        <v>695</v>
      </c>
      <c r="C368" s="149">
        <v>11</v>
      </c>
      <c r="D368" s="149">
        <v>210</v>
      </c>
      <c r="E368" s="149">
        <v>0</v>
      </c>
      <c r="F368" s="149">
        <v>672010</v>
      </c>
      <c r="G368" s="149">
        <v>55200</v>
      </c>
      <c r="H368" s="150" t="str">
        <f t="shared" si="15"/>
        <v>5</v>
      </c>
      <c r="I368" s="150" t="str">
        <f t="shared" si="16"/>
        <v>55</v>
      </c>
      <c r="J368" s="150" t="str">
        <f t="shared" si="17"/>
        <v>552</v>
      </c>
      <c r="K368" s="150" t="s">
        <v>8043</v>
      </c>
      <c r="L368" s="149" t="s">
        <v>696</v>
      </c>
      <c r="M368" s="151">
        <v>-93.67</v>
      </c>
    </row>
    <row r="369" spans="1:13" s="149" customFormat="1" x14ac:dyDescent="0.25">
      <c r="A369" s="149" t="s">
        <v>7639</v>
      </c>
      <c r="B369" s="149" t="s">
        <v>697</v>
      </c>
      <c r="C369" s="149">
        <v>11</v>
      </c>
      <c r="D369" s="149">
        <v>210</v>
      </c>
      <c r="E369" s="149">
        <v>0</v>
      </c>
      <c r="F369" s="149">
        <v>672010</v>
      </c>
      <c r="G369" s="149">
        <v>55309</v>
      </c>
      <c r="H369" s="150" t="str">
        <f t="shared" si="15"/>
        <v>5</v>
      </c>
      <c r="I369" s="150" t="str">
        <f t="shared" si="16"/>
        <v>55</v>
      </c>
      <c r="J369" s="150" t="str">
        <f t="shared" si="17"/>
        <v>553</v>
      </c>
      <c r="K369" s="150" t="s">
        <v>8104</v>
      </c>
      <c r="L369" s="149" t="s">
        <v>698</v>
      </c>
      <c r="M369" s="151">
        <v>0</v>
      </c>
    </row>
    <row r="370" spans="1:13" s="149" customFormat="1" x14ac:dyDescent="0.25">
      <c r="A370" s="149" t="s">
        <v>7639</v>
      </c>
      <c r="B370" s="149" t="s">
        <v>699</v>
      </c>
      <c r="C370" s="149">
        <v>11</v>
      </c>
      <c r="D370" s="149">
        <v>210</v>
      </c>
      <c r="E370" s="149">
        <v>0</v>
      </c>
      <c r="F370" s="149">
        <v>672010</v>
      </c>
      <c r="G370" s="149">
        <v>55630</v>
      </c>
      <c r="H370" s="150" t="str">
        <f t="shared" si="15"/>
        <v>5</v>
      </c>
      <c r="I370" s="150" t="str">
        <f t="shared" si="16"/>
        <v>55</v>
      </c>
      <c r="J370" s="150" t="str">
        <f t="shared" si="17"/>
        <v>556</v>
      </c>
      <c r="K370" s="150" t="s">
        <v>8181</v>
      </c>
      <c r="L370" s="149" t="s">
        <v>700</v>
      </c>
      <c r="M370" s="151">
        <v>8700</v>
      </c>
    </row>
    <row r="371" spans="1:13" s="149" customFormat="1" x14ac:dyDescent="0.25">
      <c r="A371" s="149" t="s">
        <v>7639</v>
      </c>
      <c r="B371" s="149" t="s">
        <v>701</v>
      </c>
      <c r="C371" s="149">
        <v>11</v>
      </c>
      <c r="D371" s="149">
        <v>210</v>
      </c>
      <c r="E371" s="149">
        <v>0</v>
      </c>
      <c r="F371" s="149">
        <v>672010</v>
      </c>
      <c r="G371" s="149">
        <v>55800</v>
      </c>
      <c r="H371" s="150" t="str">
        <f t="shared" si="15"/>
        <v>5</v>
      </c>
      <c r="I371" s="150" t="str">
        <f t="shared" si="16"/>
        <v>55</v>
      </c>
      <c r="J371" s="150" t="str">
        <f t="shared" si="17"/>
        <v>558</v>
      </c>
      <c r="K371" s="150" t="s">
        <v>8334</v>
      </c>
      <c r="L371" s="149" t="s">
        <v>702</v>
      </c>
      <c r="M371" s="151">
        <v>1500</v>
      </c>
    </row>
    <row r="372" spans="1:13" s="149" customFormat="1" x14ac:dyDescent="0.25">
      <c r="A372" s="149" t="s">
        <v>7639</v>
      </c>
      <c r="B372" s="149" t="s">
        <v>703</v>
      </c>
      <c r="C372" s="149">
        <v>11</v>
      </c>
      <c r="D372" s="149">
        <v>210</v>
      </c>
      <c r="E372" s="149">
        <v>0</v>
      </c>
      <c r="F372" s="149">
        <v>672010</v>
      </c>
      <c r="G372" s="149">
        <v>56400</v>
      </c>
      <c r="H372" s="150" t="str">
        <f t="shared" si="15"/>
        <v>5</v>
      </c>
      <c r="I372" s="150" t="str">
        <f t="shared" si="16"/>
        <v>56</v>
      </c>
      <c r="J372" s="150" t="str">
        <f t="shared" si="17"/>
        <v>564</v>
      </c>
      <c r="K372" s="150" t="s">
        <v>8370</v>
      </c>
      <c r="L372" s="149" t="s">
        <v>704</v>
      </c>
      <c r="M372" s="151">
        <v>2500</v>
      </c>
    </row>
    <row r="373" spans="1:13" s="149" customFormat="1" x14ac:dyDescent="0.25">
      <c r="A373" s="149" t="s">
        <v>7639</v>
      </c>
      <c r="B373" s="149" t="s">
        <v>705</v>
      </c>
      <c r="C373" s="149">
        <v>11</v>
      </c>
      <c r="D373" s="149">
        <v>210</v>
      </c>
      <c r="E373" s="149">
        <v>0</v>
      </c>
      <c r="F373" s="149">
        <v>672020</v>
      </c>
      <c r="G373" s="149">
        <v>52130</v>
      </c>
      <c r="H373" s="150" t="str">
        <f t="shared" si="15"/>
        <v>5</v>
      </c>
      <c r="I373" s="150" t="str">
        <f t="shared" si="16"/>
        <v>52</v>
      </c>
      <c r="J373" s="150" t="str">
        <f t="shared" si="17"/>
        <v>521</v>
      </c>
      <c r="K373" s="150" t="s">
        <v>8606</v>
      </c>
      <c r="L373" s="149" t="s">
        <v>706</v>
      </c>
      <c r="M373" s="151">
        <v>120688</v>
      </c>
    </row>
    <row r="374" spans="1:13" s="149" customFormat="1" x14ac:dyDescent="0.25">
      <c r="A374" s="149" t="s">
        <v>7639</v>
      </c>
      <c r="B374" s="149" t="s">
        <v>707</v>
      </c>
      <c r="C374" s="149">
        <v>11</v>
      </c>
      <c r="D374" s="149">
        <v>210</v>
      </c>
      <c r="E374" s="149">
        <v>0</v>
      </c>
      <c r="F374" s="149">
        <v>672020</v>
      </c>
      <c r="G374" s="149">
        <v>53220</v>
      </c>
      <c r="H374" s="150" t="str">
        <f t="shared" si="15"/>
        <v>5</v>
      </c>
      <c r="I374" s="150" t="str">
        <f t="shared" si="16"/>
        <v>53</v>
      </c>
      <c r="J374" s="150" t="str">
        <f t="shared" si="17"/>
        <v>532</v>
      </c>
      <c r="K374" s="150" t="s">
        <v>8607</v>
      </c>
      <c r="L374" s="149" t="s">
        <v>708</v>
      </c>
      <c r="M374" s="151">
        <v>24982.42</v>
      </c>
    </row>
    <row r="375" spans="1:13" s="149" customFormat="1" x14ac:dyDescent="0.25">
      <c r="A375" s="149" t="s">
        <v>7639</v>
      </c>
      <c r="B375" s="149" t="s">
        <v>709</v>
      </c>
      <c r="C375" s="149">
        <v>11</v>
      </c>
      <c r="D375" s="149">
        <v>210</v>
      </c>
      <c r="E375" s="149">
        <v>0</v>
      </c>
      <c r="F375" s="149">
        <v>672020</v>
      </c>
      <c r="G375" s="149">
        <v>53320</v>
      </c>
      <c r="H375" s="150" t="str">
        <f t="shared" si="15"/>
        <v>5</v>
      </c>
      <c r="I375" s="150" t="str">
        <f t="shared" si="16"/>
        <v>53</v>
      </c>
      <c r="J375" s="150" t="str">
        <f t="shared" si="17"/>
        <v>533</v>
      </c>
      <c r="K375" s="150" t="s">
        <v>8608</v>
      </c>
      <c r="L375" s="149" t="s">
        <v>710</v>
      </c>
      <c r="M375" s="151">
        <v>7482.66</v>
      </c>
    </row>
    <row r="376" spans="1:13" s="149" customFormat="1" x14ac:dyDescent="0.25">
      <c r="A376" s="149" t="s">
        <v>7639</v>
      </c>
      <c r="B376" s="149" t="s">
        <v>711</v>
      </c>
      <c r="C376" s="149">
        <v>11</v>
      </c>
      <c r="D376" s="149">
        <v>210</v>
      </c>
      <c r="E376" s="149">
        <v>0</v>
      </c>
      <c r="F376" s="149">
        <v>672020</v>
      </c>
      <c r="G376" s="149">
        <v>53340</v>
      </c>
      <c r="H376" s="150" t="str">
        <f t="shared" si="15"/>
        <v>5</v>
      </c>
      <c r="I376" s="150" t="str">
        <f t="shared" si="16"/>
        <v>53</v>
      </c>
      <c r="J376" s="150" t="str">
        <f t="shared" si="17"/>
        <v>533</v>
      </c>
      <c r="K376" s="150" t="s">
        <v>8609</v>
      </c>
      <c r="L376" s="149" t="s">
        <v>712</v>
      </c>
      <c r="M376" s="151">
        <v>1749.98</v>
      </c>
    </row>
    <row r="377" spans="1:13" s="149" customFormat="1" x14ac:dyDescent="0.25">
      <c r="A377" s="149" t="s">
        <v>7639</v>
      </c>
      <c r="B377" s="149" t="s">
        <v>713</v>
      </c>
      <c r="C377" s="149">
        <v>11</v>
      </c>
      <c r="D377" s="149">
        <v>210</v>
      </c>
      <c r="E377" s="149">
        <v>0</v>
      </c>
      <c r="F377" s="149">
        <v>672020</v>
      </c>
      <c r="G377" s="149">
        <v>53420</v>
      </c>
      <c r="H377" s="150" t="str">
        <f t="shared" si="15"/>
        <v>5</v>
      </c>
      <c r="I377" s="150" t="str">
        <f t="shared" si="16"/>
        <v>53</v>
      </c>
      <c r="J377" s="150" t="str">
        <f t="shared" si="17"/>
        <v>534</v>
      </c>
      <c r="K377" s="150" t="s">
        <v>8610</v>
      </c>
      <c r="L377" s="149" t="s">
        <v>632</v>
      </c>
      <c r="M377" s="151">
        <v>33121.43</v>
      </c>
    </row>
    <row r="378" spans="1:13" s="149" customFormat="1" x14ac:dyDescent="0.25">
      <c r="A378" s="149" t="s">
        <v>7639</v>
      </c>
      <c r="B378" s="149" t="s">
        <v>714</v>
      </c>
      <c r="C378" s="149">
        <v>11</v>
      </c>
      <c r="D378" s="149">
        <v>210</v>
      </c>
      <c r="E378" s="149">
        <v>0</v>
      </c>
      <c r="F378" s="149">
        <v>672020</v>
      </c>
      <c r="G378" s="149">
        <v>53501</v>
      </c>
      <c r="H378" s="150" t="str">
        <f t="shared" si="15"/>
        <v>5</v>
      </c>
      <c r="I378" s="150" t="str">
        <f t="shared" si="16"/>
        <v>53</v>
      </c>
      <c r="J378" s="150" t="str">
        <f t="shared" si="17"/>
        <v>535</v>
      </c>
      <c r="K378" s="150" t="s">
        <v>8611</v>
      </c>
      <c r="L378" s="149" t="s">
        <v>715</v>
      </c>
      <c r="M378" s="151">
        <v>0</v>
      </c>
    </row>
    <row r="379" spans="1:13" s="149" customFormat="1" x14ac:dyDescent="0.25">
      <c r="A379" s="149" t="s">
        <v>7639</v>
      </c>
      <c r="B379" s="149" t="s">
        <v>716</v>
      </c>
      <c r="C379" s="149">
        <v>11</v>
      </c>
      <c r="D379" s="149">
        <v>210</v>
      </c>
      <c r="E379" s="149">
        <v>0</v>
      </c>
      <c r="F379" s="149">
        <v>672020</v>
      </c>
      <c r="G379" s="149">
        <v>53520</v>
      </c>
      <c r="H379" s="150" t="str">
        <f t="shared" si="15"/>
        <v>5</v>
      </c>
      <c r="I379" s="150" t="str">
        <f t="shared" si="16"/>
        <v>53</v>
      </c>
      <c r="J379" s="150" t="str">
        <f t="shared" si="17"/>
        <v>535</v>
      </c>
      <c r="K379" s="150" t="s">
        <v>8612</v>
      </c>
      <c r="L379" s="149" t="s">
        <v>717</v>
      </c>
      <c r="M379" s="151">
        <v>60.34</v>
      </c>
    </row>
    <row r="380" spans="1:13" s="149" customFormat="1" x14ac:dyDescent="0.25">
      <c r="A380" s="149" t="s">
        <v>7639</v>
      </c>
      <c r="B380" s="149" t="s">
        <v>718</v>
      </c>
      <c r="C380" s="149">
        <v>11</v>
      </c>
      <c r="D380" s="149">
        <v>210</v>
      </c>
      <c r="E380" s="149">
        <v>0</v>
      </c>
      <c r="F380" s="149">
        <v>672020</v>
      </c>
      <c r="G380" s="149">
        <v>53620</v>
      </c>
      <c r="H380" s="150" t="str">
        <f t="shared" si="15"/>
        <v>5</v>
      </c>
      <c r="I380" s="150" t="str">
        <f t="shared" si="16"/>
        <v>53</v>
      </c>
      <c r="J380" s="150" t="str">
        <f t="shared" si="17"/>
        <v>536</v>
      </c>
      <c r="K380" s="150" t="s">
        <v>8613</v>
      </c>
      <c r="L380" s="149" t="s">
        <v>719</v>
      </c>
      <c r="M380" s="151">
        <v>2281.9699999999998</v>
      </c>
    </row>
    <row r="381" spans="1:13" s="149" customFormat="1" x14ac:dyDescent="0.25">
      <c r="A381" s="149" t="s">
        <v>7639</v>
      </c>
      <c r="B381" s="149" t="s">
        <v>720</v>
      </c>
      <c r="C381" s="149">
        <v>11</v>
      </c>
      <c r="D381" s="149">
        <v>210</v>
      </c>
      <c r="E381" s="149">
        <v>0</v>
      </c>
      <c r="F381" s="149">
        <v>672020</v>
      </c>
      <c r="G381" s="149">
        <v>53900</v>
      </c>
      <c r="H381" s="150" t="str">
        <f t="shared" si="15"/>
        <v>5</v>
      </c>
      <c r="I381" s="150" t="str">
        <f t="shared" si="16"/>
        <v>53</v>
      </c>
      <c r="J381" s="150" t="str">
        <f t="shared" si="17"/>
        <v>539</v>
      </c>
      <c r="K381" s="150" t="s">
        <v>8614</v>
      </c>
      <c r="L381" s="149" t="s">
        <v>721</v>
      </c>
      <c r="M381" s="151">
        <v>0</v>
      </c>
    </row>
    <row r="382" spans="1:13" s="149" customFormat="1" x14ac:dyDescent="0.25">
      <c r="A382" s="149" t="s">
        <v>7639</v>
      </c>
      <c r="B382" s="149" t="s">
        <v>722</v>
      </c>
      <c r="C382" s="149">
        <v>11</v>
      </c>
      <c r="D382" s="149">
        <v>210</v>
      </c>
      <c r="E382" s="149">
        <v>0</v>
      </c>
      <c r="F382" s="149">
        <v>672020</v>
      </c>
      <c r="G382" s="149">
        <v>53904</v>
      </c>
      <c r="H382" s="150" t="str">
        <f t="shared" si="15"/>
        <v>5</v>
      </c>
      <c r="I382" s="150" t="str">
        <f t="shared" si="16"/>
        <v>53</v>
      </c>
      <c r="J382" s="150" t="str">
        <f t="shared" si="17"/>
        <v>539</v>
      </c>
      <c r="K382" s="150" t="s">
        <v>8615</v>
      </c>
      <c r="L382" s="149" t="s">
        <v>723</v>
      </c>
      <c r="M382" s="151">
        <v>0</v>
      </c>
    </row>
    <row r="383" spans="1:13" s="149" customFormat="1" x14ac:dyDescent="0.25">
      <c r="A383" s="149" t="s">
        <v>7639</v>
      </c>
      <c r="B383" s="149" t="s">
        <v>724</v>
      </c>
      <c r="C383" s="149">
        <v>11</v>
      </c>
      <c r="D383" s="149">
        <v>210</v>
      </c>
      <c r="E383" s="149">
        <v>0</v>
      </c>
      <c r="F383" s="149">
        <v>672020</v>
      </c>
      <c r="G383" s="149">
        <v>54300</v>
      </c>
      <c r="H383" s="150" t="str">
        <f t="shared" si="15"/>
        <v>5</v>
      </c>
      <c r="I383" s="150" t="str">
        <f t="shared" si="16"/>
        <v>54</v>
      </c>
      <c r="J383" s="150" t="str">
        <f t="shared" si="17"/>
        <v>543</v>
      </c>
      <c r="K383" s="150" t="s">
        <v>7922</v>
      </c>
      <c r="L383" s="149" t="s">
        <v>725</v>
      </c>
      <c r="M383" s="151">
        <v>2000</v>
      </c>
    </row>
    <row r="384" spans="1:13" s="149" customFormat="1" x14ac:dyDescent="0.25">
      <c r="A384" s="149" t="s">
        <v>7639</v>
      </c>
      <c r="B384" s="149" t="s">
        <v>726</v>
      </c>
      <c r="C384" s="149">
        <v>11</v>
      </c>
      <c r="D384" s="149">
        <v>210</v>
      </c>
      <c r="E384" s="149">
        <v>0</v>
      </c>
      <c r="F384" s="149">
        <v>672020</v>
      </c>
      <c r="G384" s="149">
        <v>55105</v>
      </c>
      <c r="H384" s="150" t="str">
        <f t="shared" si="15"/>
        <v>5</v>
      </c>
      <c r="I384" s="150" t="str">
        <f t="shared" si="16"/>
        <v>55</v>
      </c>
      <c r="J384" s="150" t="str">
        <f t="shared" si="17"/>
        <v>551</v>
      </c>
      <c r="K384" s="150" t="s">
        <v>8006</v>
      </c>
      <c r="L384" s="149" t="s">
        <v>727</v>
      </c>
      <c r="M384" s="151">
        <v>45000</v>
      </c>
    </row>
    <row r="385" spans="1:13" s="149" customFormat="1" x14ac:dyDescent="0.25">
      <c r="A385" s="149" t="s">
        <v>7639</v>
      </c>
      <c r="B385" s="149" t="s">
        <v>728</v>
      </c>
      <c r="C385" s="149">
        <v>11</v>
      </c>
      <c r="D385" s="149">
        <v>210</v>
      </c>
      <c r="E385" s="149">
        <v>0</v>
      </c>
      <c r="F385" s="149">
        <v>672020</v>
      </c>
      <c r="G385" s="149">
        <v>55125</v>
      </c>
      <c r="H385" s="150" t="str">
        <f t="shared" si="15"/>
        <v>5</v>
      </c>
      <c r="I385" s="150" t="str">
        <f t="shared" si="16"/>
        <v>55</v>
      </c>
      <c r="J385" s="150" t="str">
        <f t="shared" si="17"/>
        <v>551</v>
      </c>
      <c r="K385" s="150" t="s">
        <v>8029</v>
      </c>
      <c r="L385" s="149" t="s">
        <v>729</v>
      </c>
      <c r="M385" s="151">
        <v>0</v>
      </c>
    </row>
    <row r="386" spans="1:13" s="149" customFormat="1" x14ac:dyDescent="0.25">
      <c r="A386" s="149" t="s">
        <v>7639</v>
      </c>
      <c r="B386" s="149" t="s">
        <v>730</v>
      </c>
      <c r="C386" s="149">
        <v>11</v>
      </c>
      <c r="D386" s="149">
        <v>210</v>
      </c>
      <c r="E386" s="149">
        <v>0</v>
      </c>
      <c r="F386" s="149">
        <v>672020</v>
      </c>
      <c r="G386" s="149">
        <v>55300</v>
      </c>
      <c r="H386" s="150" t="str">
        <f t="shared" si="15"/>
        <v>5</v>
      </c>
      <c r="I386" s="150" t="str">
        <f t="shared" si="16"/>
        <v>55</v>
      </c>
      <c r="J386" s="150" t="str">
        <f t="shared" si="17"/>
        <v>553</v>
      </c>
      <c r="K386" s="150" t="s">
        <v>8083</v>
      </c>
      <c r="L386" s="149" t="s">
        <v>731</v>
      </c>
      <c r="M386" s="151">
        <v>10500</v>
      </c>
    </row>
    <row r="387" spans="1:13" s="149" customFormat="1" x14ac:dyDescent="0.25">
      <c r="A387" s="149" t="s">
        <v>7639</v>
      </c>
      <c r="B387" s="149" t="s">
        <v>732</v>
      </c>
      <c r="C387" s="149">
        <v>11</v>
      </c>
      <c r="D387" s="149">
        <v>210</v>
      </c>
      <c r="E387" s="149">
        <v>0</v>
      </c>
      <c r="F387" s="149">
        <v>672020</v>
      </c>
      <c r="G387" s="149">
        <v>55400</v>
      </c>
      <c r="H387" s="150" t="str">
        <f t="shared" ref="H387:H450" si="18">LEFT(G387,1)</f>
        <v>5</v>
      </c>
      <c r="I387" s="150" t="str">
        <f t="shared" ref="I387:I450" si="19">LEFT(G387,2)</f>
        <v>55</v>
      </c>
      <c r="J387" s="150" t="str">
        <f t="shared" ref="J387:J450" si="20">LEFT(G387,3)</f>
        <v>554</v>
      </c>
      <c r="K387" s="150" t="s">
        <v>8113</v>
      </c>
      <c r="L387" s="149" t="s">
        <v>733</v>
      </c>
      <c r="M387" s="151">
        <v>315430</v>
      </c>
    </row>
    <row r="388" spans="1:13" s="149" customFormat="1" x14ac:dyDescent="0.25">
      <c r="A388" s="149" t="s">
        <v>7639</v>
      </c>
      <c r="B388" s="149" t="s">
        <v>734</v>
      </c>
      <c r="C388" s="149">
        <v>11</v>
      </c>
      <c r="D388" s="149">
        <v>210</v>
      </c>
      <c r="E388" s="149">
        <v>0</v>
      </c>
      <c r="F388" s="149">
        <v>672020</v>
      </c>
      <c r="G388" s="149">
        <v>55550</v>
      </c>
      <c r="H388" s="150" t="str">
        <f t="shared" si="18"/>
        <v>5</v>
      </c>
      <c r="I388" s="150" t="str">
        <f t="shared" si="19"/>
        <v>55</v>
      </c>
      <c r="J388" s="150" t="str">
        <f t="shared" si="20"/>
        <v>555</v>
      </c>
      <c r="K388" s="150" t="s">
        <v>8129</v>
      </c>
      <c r="L388" s="149" t="s">
        <v>735</v>
      </c>
      <c r="M388" s="151">
        <v>0</v>
      </c>
    </row>
    <row r="389" spans="1:13" s="149" customFormat="1" x14ac:dyDescent="0.25">
      <c r="A389" s="149" t="s">
        <v>7639</v>
      </c>
      <c r="B389" s="149" t="s">
        <v>736</v>
      </c>
      <c r="C389" s="149">
        <v>11</v>
      </c>
      <c r="D389" s="149">
        <v>210</v>
      </c>
      <c r="E389" s="149">
        <v>0</v>
      </c>
      <c r="F389" s="149">
        <v>672020</v>
      </c>
      <c r="G389" s="149">
        <v>55600</v>
      </c>
      <c r="H389" s="150" t="str">
        <f t="shared" si="18"/>
        <v>5</v>
      </c>
      <c r="I389" s="150" t="str">
        <f t="shared" si="19"/>
        <v>55</v>
      </c>
      <c r="J389" s="150" t="str">
        <f t="shared" si="20"/>
        <v>556</v>
      </c>
      <c r="K389" s="150" t="s">
        <v>8148</v>
      </c>
      <c r="L389" s="149" t="s">
        <v>737</v>
      </c>
      <c r="M389" s="151">
        <v>6940</v>
      </c>
    </row>
    <row r="390" spans="1:13" s="149" customFormat="1" x14ac:dyDescent="0.25">
      <c r="A390" s="149" t="s">
        <v>7639</v>
      </c>
      <c r="B390" s="149" t="s">
        <v>738</v>
      </c>
      <c r="C390" s="149">
        <v>11</v>
      </c>
      <c r="D390" s="149">
        <v>210</v>
      </c>
      <c r="E390" s="149">
        <v>0</v>
      </c>
      <c r="F390" s="149">
        <v>672020</v>
      </c>
      <c r="G390" s="149">
        <v>55635</v>
      </c>
      <c r="H390" s="150" t="str">
        <f t="shared" si="18"/>
        <v>5</v>
      </c>
      <c r="I390" s="150" t="str">
        <f t="shared" si="19"/>
        <v>55</v>
      </c>
      <c r="J390" s="150" t="str">
        <f t="shared" si="20"/>
        <v>556</v>
      </c>
      <c r="K390" s="150" t="s">
        <v>8277</v>
      </c>
      <c r="L390" s="149" t="s">
        <v>739</v>
      </c>
      <c r="M390" s="151">
        <v>20000</v>
      </c>
    </row>
    <row r="391" spans="1:13" s="149" customFormat="1" x14ac:dyDescent="0.25">
      <c r="A391" s="149" t="s">
        <v>7639</v>
      </c>
      <c r="B391" s="149" t="s">
        <v>740</v>
      </c>
      <c r="C391" s="149">
        <v>11</v>
      </c>
      <c r="D391" s="149">
        <v>210</v>
      </c>
      <c r="E391" s="149">
        <v>0</v>
      </c>
      <c r="F391" s="149">
        <v>672020</v>
      </c>
      <c r="G391" s="149">
        <v>55650</v>
      </c>
      <c r="H391" s="150" t="str">
        <f t="shared" si="18"/>
        <v>5</v>
      </c>
      <c r="I391" s="150" t="str">
        <f t="shared" si="19"/>
        <v>55</v>
      </c>
      <c r="J391" s="150" t="str">
        <f t="shared" si="20"/>
        <v>556</v>
      </c>
      <c r="K391" s="150" t="s">
        <v>8287</v>
      </c>
      <c r="L391" s="149" t="s">
        <v>741</v>
      </c>
      <c r="M391" s="151">
        <v>12000</v>
      </c>
    </row>
    <row r="392" spans="1:13" s="149" customFormat="1" x14ac:dyDescent="0.25">
      <c r="A392" s="149" t="s">
        <v>7639</v>
      </c>
      <c r="B392" s="149" t="s">
        <v>742</v>
      </c>
      <c r="C392" s="149">
        <v>11</v>
      </c>
      <c r="D392" s="149">
        <v>210</v>
      </c>
      <c r="E392" s="149">
        <v>0</v>
      </c>
      <c r="F392" s="149">
        <v>672020</v>
      </c>
      <c r="G392" s="149">
        <v>55663</v>
      </c>
      <c r="H392" s="150" t="str">
        <f t="shared" si="18"/>
        <v>5</v>
      </c>
      <c r="I392" s="150" t="str">
        <f t="shared" si="19"/>
        <v>55</v>
      </c>
      <c r="J392" s="150" t="str">
        <f t="shared" si="20"/>
        <v>556</v>
      </c>
      <c r="K392" s="150" t="s">
        <v>8327</v>
      </c>
      <c r="L392" s="149" t="s">
        <v>743</v>
      </c>
      <c r="M392" s="151">
        <v>15000</v>
      </c>
    </row>
    <row r="393" spans="1:13" s="149" customFormat="1" x14ac:dyDescent="0.25">
      <c r="A393" s="149" t="s">
        <v>7639</v>
      </c>
      <c r="B393" s="149" t="s">
        <v>744</v>
      </c>
      <c r="C393" s="149">
        <v>11</v>
      </c>
      <c r="D393" s="149">
        <v>210</v>
      </c>
      <c r="E393" s="149">
        <v>0</v>
      </c>
      <c r="F393" s="149">
        <v>672020</v>
      </c>
      <c r="G393" s="149">
        <v>55700</v>
      </c>
      <c r="H393" s="150" t="str">
        <f t="shared" si="18"/>
        <v>5</v>
      </c>
      <c r="I393" s="150" t="str">
        <f t="shared" si="19"/>
        <v>55</v>
      </c>
      <c r="J393" s="150" t="str">
        <f t="shared" si="20"/>
        <v>557</v>
      </c>
      <c r="K393" s="150" t="s">
        <v>8328</v>
      </c>
      <c r="L393" s="149" t="s">
        <v>745</v>
      </c>
      <c r="M393" s="151">
        <v>206665</v>
      </c>
    </row>
    <row r="394" spans="1:13" s="149" customFormat="1" x14ac:dyDescent="0.25">
      <c r="A394" s="149" t="s">
        <v>7639</v>
      </c>
      <c r="B394" s="149" t="s">
        <v>746</v>
      </c>
      <c r="C394" s="149">
        <v>11</v>
      </c>
      <c r="D394" s="149">
        <v>210</v>
      </c>
      <c r="E394" s="149">
        <v>0</v>
      </c>
      <c r="F394" s="149">
        <v>672020</v>
      </c>
      <c r="G394" s="149">
        <v>55800</v>
      </c>
      <c r="H394" s="150" t="str">
        <f t="shared" si="18"/>
        <v>5</v>
      </c>
      <c r="I394" s="150" t="str">
        <f t="shared" si="19"/>
        <v>55</v>
      </c>
      <c r="J394" s="150" t="str">
        <f t="shared" si="20"/>
        <v>558</v>
      </c>
      <c r="K394" s="150" t="s">
        <v>8335</v>
      </c>
      <c r="L394" s="149" t="s">
        <v>747</v>
      </c>
      <c r="M394" s="151">
        <v>359964.15</v>
      </c>
    </row>
    <row r="395" spans="1:13" s="149" customFormat="1" x14ac:dyDescent="0.25">
      <c r="A395" s="149" t="s">
        <v>7639</v>
      </c>
      <c r="B395" s="149" t="s">
        <v>748</v>
      </c>
      <c r="C395" s="149">
        <v>11</v>
      </c>
      <c r="D395" s="149">
        <v>210</v>
      </c>
      <c r="E395" s="149">
        <v>0</v>
      </c>
      <c r="F395" s="149">
        <v>672020</v>
      </c>
      <c r="G395" s="149">
        <v>55820</v>
      </c>
      <c r="H395" s="150" t="str">
        <f t="shared" si="18"/>
        <v>5</v>
      </c>
      <c r="I395" s="150" t="str">
        <f t="shared" si="19"/>
        <v>55</v>
      </c>
      <c r="J395" s="150" t="str">
        <f t="shared" si="20"/>
        <v>558</v>
      </c>
      <c r="K395" s="150" t="s">
        <v>8341</v>
      </c>
      <c r="L395" s="149" t="s">
        <v>749</v>
      </c>
      <c r="M395" s="151">
        <v>50000</v>
      </c>
    </row>
    <row r="396" spans="1:13" s="149" customFormat="1" x14ac:dyDescent="0.25">
      <c r="A396" s="149" t="s">
        <v>7639</v>
      </c>
      <c r="B396" s="149" t="s">
        <v>750</v>
      </c>
      <c r="C396" s="149">
        <v>11</v>
      </c>
      <c r="D396" s="149">
        <v>210</v>
      </c>
      <c r="E396" s="149">
        <v>0</v>
      </c>
      <c r="F396" s="149">
        <v>672020</v>
      </c>
      <c r="G396" s="149">
        <v>55835</v>
      </c>
      <c r="H396" s="150" t="str">
        <f t="shared" si="18"/>
        <v>5</v>
      </c>
      <c r="I396" s="150" t="str">
        <f t="shared" si="19"/>
        <v>55</v>
      </c>
      <c r="J396" s="150" t="str">
        <f t="shared" si="20"/>
        <v>558</v>
      </c>
      <c r="K396" s="150" t="s">
        <v>8352</v>
      </c>
      <c r="L396" s="149" t="s">
        <v>751</v>
      </c>
      <c r="M396" s="151">
        <v>0</v>
      </c>
    </row>
    <row r="397" spans="1:13" s="149" customFormat="1" x14ac:dyDescent="0.25">
      <c r="A397" s="149" t="s">
        <v>7639</v>
      </c>
      <c r="B397" s="149" t="s">
        <v>752</v>
      </c>
      <c r="C397" s="149">
        <v>11</v>
      </c>
      <c r="D397" s="149">
        <v>210</v>
      </c>
      <c r="E397" s="149">
        <v>0</v>
      </c>
      <c r="F397" s="149">
        <v>672020</v>
      </c>
      <c r="G397" s="149">
        <v>55861</v>
      </c>
      <c r="H397" s="150" t="str">
        <f t="shared" si="18"/>
        <v>5</v>
      </c>
      <c r="I397" s="150" t="str">
        <f t="shared" si="19"/>
        <v>55</v>
      </c>
      <c r="J397" s="150" t="str">
        <f t="shared" si="20"/>
        <v>558</v>
      </c>
      <c r="K397" s="150" t="s">
        <v>8353</v>
      </c>
      <c r="L397" s="149" t="s">
        <v>753</v>
      </c>
      <c r="M397" s="151">
        <v>50000</v>
      </c>
    </row>
    <row r="398" spans="1:13" s="149" customFormat="1" x14ac:dyDescent="0.25">
      <c r="A398" s="149" t="s">
        <v>7639</v>
      </c>
      <c r="B398" s="149" t="s">
        <v>754</v>
      </c>
      <c r="C398" s="149">
        <v>11</v>
      </c>
      <c r="D398" s="149">
        <v>210</v>
      </c>
      <c r="E398" s="149">
        <v>0</v>
      </c>
      <c r="F398" s="149">
        <v>672020</v>
      </c>
      <c r="G398" s="149">
        <v>55862</v>
      </c>
      <c r="H398" s="150" t="str">
        <f t="shared" si="18"/>
        <v>5</v>
      </c>
      <c r="I398" s="150" t="str">
        <f t="shared" si="19"/>
        <v>55</v>
      </c>
      <c r="J398" s="150" t="str">
        <f t="shared" si="20"/>
        <v>558</v>
      </c>
      <c r="K398" s="150" t="s">
        <v>8354</v>
      </c>
      <c r="L398" s="149" t="s">
        <v>755</v>
      </c>
      <c r="M398" s="151">
        <v>0</v>
      </c>
    </row>
    <row r="399" spans="1:13" s="149" customFormat="1" x14ac:dyDescent="0.25">
      <c r="A399" s="149" t="s">
        <v>7639</v>
      </c>
      <c r="B399" s="149" t="s">
        <v>756</v>
      </c>
      <c r="C399" s="149">
        <v>11</v>
      </c>
      <c r="D399" s="149">
        <v>210</v>
      </c>
      <c r="E399" s="149">
        <v>0</v>
      </c>
      <c r="F399" s="149">
        <v>672020</v>
      </c>
      <c r="G399" s="149">
        <v>57300</v>
      </c>
      <c r="H399" s="150" t="str">
        <f t="shared" si="18"/>
        <v>5</v>
      </c>
      <c r="I399" s="150" t="str">
        <f t="shared" si="19"/>
        <v>57</v>
      </c>
      <c r="J399" s="150" t="str">
        <f t="shared" si="20"/>
        <v>573</v>
      </c>
      <c r="K399" s="150" t="s">
        <v>8388</v>
      </c>
      <c r="L399" s="149" t="s">
        <v>757</v>
      </c>
      <c r="M399" s="151">
        <v>0</v>
      </c>
    </row>
    <row r="400" spans="1:13" s="149" customFormat="1" x14ac:dyDescent="0.25">
      <c r="A400" s="149" t="s">
        <v>7639</v>
      </c>
      <c r="B400" s="149" t="s">
        <v>758</v>
      </c>
      <c r="C400" s="149">
        <v>11</v>
      </c>
      <c r="D400" s="149">
        <v>210</v>
      </c>
      <c r="E400" s="149">
        <v>0</v>
      </c>
      <c r="F400" s="149">
        <v>672020</v>
      </c>
      <c r="G400" s="149">
        <v>57350</v>
      </c>
      <c r="H400" s="150" t="str">
        <f t="shared" si="18"/>
        <v>5</v>
      </c>
      <c r="I400" s="150" t="str">
        <f t="shared" si="19"/>
        <v>57</v>
      </c>
      <c r="J400" s="150" t="str">
        <f t="shared" si="20"/>
        <v>573</v>
      </c>
      <c r="K400" s="150" t="s">
        <v>8389</v>
      </c>
      <c r="L400" s="149" t="s">
        <v>759</v>
      </c>
      <c r="M400" s="151">
        <v>-500000</v>
      </c>
    </row>
    <row r="401" spans="1:13" s="149" customFormat="1" x14ac:dyDescent="0.25">
      <c r="A401" s="149" t="s">
        <v>7639</v>
      </c>
      <c r="B401" s="149" t="s">
        <v>760</v>
      </c>
      <c r="C401" s="149">
        <v>11</v>
      </c>
      <c r="D401" s="149">
        <v>210</v>
      </c>
      <c r="E401" s="149">
        <v>0</v>
      </c>
      <c r="F401" s="149">
        <v>672020</v>
      </c>
      <c r="G401" s="149">
        <v>57351</v>
      </c>
      <c r="H401" s="150" t="str">
        <f t="shared" si="18"/>
        <v>5</v>
      </c>
      <c r="I401" s="150" t="str">
        <f t="shared" si="19"/>
        <v>57</v>
      </c>
      <c r="J401" s="150" t="str">
        <f t="shared" si="20"/>
        <v>573</v>
      </c>
      <c r="K401" s="150" t="s">
        <v>8391</v>
      </c>
      <c r="L401" s="149" t="s">
        <v>761</v>
      </c>
      <c r="M401" s="151">
        <v>0</v>
      </c>
    </row>
    <row r="402" spans="1:13" s="149" customFormat="1" x14ac:dyDescent="0.25">
      <c r="A402" s="149" t="s">
        <v>7639</v>
      </c>
      <c r="B402" s="149" t="s">
        <v>762</v>
      </c>
      <c r="C402" s="149">
        <v>11</v>
      </c>
      <c r="D402" s="149">
        <v>210</v>
      </c>
      <c r="E402" s="149">
        <v>0</v>
      </c>
      <c r="F402" s="149">
        <v>672040</v>
      </c>
      <c r="G402" s="149">
        <v>52105</v>
      </c>
      <c r="H402" s="150" t="str">
        <f t="shared" si="18"/>
        <v>5</v>
      </c>
      <c r="I402" s="150" t="str">
        <f t="shared" si="19"/>
        <v>52</v>
      </c>
      <c r="J402" s="150" t="str">
        <f t="shared" si="20"/>
        <v>521</v>
      </c>
      <c r="K402" s="150" t="s">
        <v>8616</v>
      </c>
      <c r="L402" s="149" t="s">
        <v>763</v>
      </c>
      <c r="M402" s="151">
        <v>126438</v>
      </c>
    </row>
    <row r="403" spans="1:13" s="149" customFormat="1" x14ac:dyDescent="0.25">
      <c r="A403" s="149" t="s">
        <v>7639</v>
      </c>
      <c r="B403" s="149" t="s">
        <v>764</v>
      </c>
      <c r="C403" s="149">
        <v>11</v>
      </c>
      <c r="D403" s="149">
        <v>210</v>
      </c>
      <c r="E403" s="149">
        <v>0</v>
      </c>
      <c r="F403" s="149">
        <v>672040</v>
      </c>
      <c r="G403" s="149">
        <v>52130</v>
      </c>
      <c r="H403" s="150" t="str">
        <f t="shared" si="18"/>
        <v>5</v>
      </c>
      <c r="I403" s="150" t="str">
        <f t="shared" si="19"/>
        <v>52</v>
      </c>
      <c r="J403" s="150" t="str">
        <f t="shared" si="20"/>
        <v>521</v>
      </c>
      <c r="K403" s="150" t="s">
        <v>8617</v>
      </c>
      <c r="L403" s="149" t="s">
        <v>765</v>
      </c>
      <c r="M403" s="151">
        <v>10493.5</v>
      </c>
    </row>
    <row r="404" spans="1:13" s="149" customFormat="1" x14ac:dyDescent="0.25">
      <c r="A404" s="149" t="s">
        <v>7639</v>
      </c>
      <c r="B404" s="149" t="s">
        <v>766</v>
      </c>
      <c r="C404" s="149">
        <v>11</v>
      </c>
      <c r="D404" s="149">
        <v>210</v>
      </c>
      <c r="E404" s="149">
        <v>0</v>
      </c>
      <c r="F404" s="149">
        <v>672040</v>
      </c>
      <c r="G404" s="149">
        <v>52300</v>
      </c>
      <c r="H404" s="150" t="str">
        <f t="shared" si="18"/>
        <v>5</v>
      </c>
      <c r="I404" s="150" t="str">
        <f t="shared" si="19"/>
        <v>52</v>
      </c>
      <c r="J404" s="150" t="str">
        <f t="shared" si="20"/>
        <v>523</v>
      </c>
      <c r="K404" s="150" t="s">
        <v>7812</v>
      </c>
      <c r="L404" s="149" t="s">
        <v>767</v>
      </c>
      <c r="M404" s="151">
        <v>0</v>
      </c>
    </row>
    <row r="405" spans="1:13" s="149" customFormat="1" x14ac:dyDescent="0.25">
      <c r="A405" s="149" t="s">
        <v>7639</v>
      </c>
      <c r="B405" s="149" t="s">
        <v>768</v>
      </c>
      <c r="C405" s="149">
        <v>11</v>
      </c>
      <c r="D405" s="149">
        <v>210</v>
      </c>
      <c r="E405" s="149">
        <v>0</v>
      </c>
      <c r="F405" s="149">
        <v>672040</v>
      </c>
      <c r="G405" s="149">
        <v>53220</v>
      </c>
      <c r="H405" s="150" t="str">
        <f t="shared" si="18"/>
        <v>5</v>
      </c>
      <c r="I405" s="150" t="str">
        <f t="shared" si="19"/>
        <v>53</v>
      </c>
      <c r="J405" s="150" t="str">
        <f t="shared" si="20"/>
        <v>532</v>
      </c>
      <c r="K405" s="150" t="s">
        <v>8618</v>
      </c>
      <c r="L405" s="149" t="s">
        <v>769</v>
      </c>
      <c r="M405" s="151">
        <v>28344.82</v>
      </c>
    </row>
    <row r="406" spans="1:13" s="149" customFormat="1" x14ac:dyDescent="0.25">
      <c r="A406" s="149" t="s">
        <v>7639</v>
      </c>
      <c r="B406" s="149" t="s">
        <v>770</v>
      </c>
      <c r="C406" s="149">
        <v>11</v>
      </c>
      <c r="D406" s="149">
        <v>210</v>
      </c>
      <c r="E406" s="149">
        <v>0</v>
      </c>
      <c r="F406" s="149">
        <v>672040</v>
      </c>
      <c r="G406" s="149">
        <v>53320</v>
      </c>
      <c r="H406" s="150" t="str">
        <f t="shared" si="18"/>
        <v>5</v>
      </c>
      <c r="I406" s="150" t="str">
        <f t="shared" si="19"/>
        <v>53</v>
      </c>
      <c r="J406" s="150" t="str">
        <f t="shared" si="20"/>
        <v>533</v>
      </c>
      <c r="K406" s="150" t="s">
        <v>8619</v>
      </c>
      <c r="L406" s="149" t="s">
        <v>771</v>
      </c>
      <c r="M406" s="151">
        <v>8489.76</v>
      </c>
    </row>
    <row r="407" spans="1:13" s="149" customFormat="1" x14ac:dyDescent="0.25">
      <c r="A407" s="149" t="s">
        <v>7639</v>
      </c>
      <c r="B407" s="149" t="s">
        <v>772</v>
      </c>
      <c r="C407" s="149">
        <v>11</v>
      </c>
      <c r="D407" s="149">
        <v>210</v>
      </c>
      <c r="E407" s="149">
        <v>0</v>
      </c>
      <c r="F407" s="149">
        <v>672040</v>
      </c>
      <c r="G407" s="149">
        <v>53340</v>
      </c>
      <c r="H407" s="150" t="str">
        <f t="shared" si="18"/>
        <v>5</v>
      </c>
      <c r="I407" s="150" t="str">
        <f t="shared" si="19"/>
        <v>53</v>
      </c>
      <c r="J407" s="150" t="str">
        <f t="shared" si="20"/>
        <v>533</v>
      </c>
      <c r="K407" s="150" t="s">
        <v>8620</v>
      </c>
      <c r="L407" s="149" t="s">
        <v>773</v>
      </c>
      <c r="M407" s="151">
        <v>1985.51</v>
      </c>
    </row>
    <row r="408" spans="1:13" s="149" customFormat="1" x14ac:dyDescent="0.25">
      <c r="A408" s="149" t="s">
        <v>7639</v>
      </c>
      <c r="B408" s="149" t="s">
        <v>774</v>
      </c>
      <c r="C408" s="149">
        <v>11</v>
      </c>
      <c r="D408" s="149">
        <v>210</v>
      </c>
      <c r="E408" s="149">
        <v>0</v>
      </c>
      <c r="F408" s="149">
        <v>672040</v>
      </c>
      <c r="G408" s="149">
        <v>53420</v>
      </c>
      <c r="H408" s="150" t="str">
        <f t="shared" si="18"/>
        <v>5</v>
      </c>
      <c r="I408" s="150" t="str">
        <f t="shared" si="19"/>
        <v>53</v>
      </c>
      <c r="J408" s="150" t="str">
        <f t="shared" si="20"/>
        <v>534</v>
      </c>
      <c r="K408" s="150" t="s">
        <v>8621</v>
      </c>
      <c r="L408" s="149" t="s">
        <v>775</v>
      </c>
      <c r="M408" s="151">
        <v>46611.32</v>
      </c>
    </row>
    <row r="409" spans="1:13" s="149" customFormat="1" x14ac:dyDescent="0.25">
      <c r="A409" s="149" t="s">
        <v>7639</v>
      </c>
      <c r="B409" s="149" t="s">
        <v>776</v>
      </c>
      <c r="C409" s="149">
        <v>11</v>
      </c>
      <c r="D409" s="149">
        <v>210</v>
      </c>
      <c r="E409" s="149">
        <v>0</v>
      </c>
      <c r="F409" s="149">
        <v>672040</v>
      </c>
      <c r="G409" s="149">
        <v>53520</v>
      </c>
      <c r="H409" s="150" t="str">
        <f t="shared" si="18"/>
        <v>5</v>
      </c>
      <c r="I409" s="150" t="str">
        <f t="shared" si="19"/>
        <v>53</v>
      </c>
      <c r="J409" s="150" t="str">
        <f t="shared" si="20"/>
        <v>535</v>
      </c>
      <c r="K409" s="150" t="s">
        <v>8622</v>
      </c>
      <c r="L409" s="149" t="s">
        <v>777</v>
      </c>
      <c r="M409" s="151">
        <v>68.47</v>
      </c>
    </row>
    <row r="410" spans="1:13" s="149" customFormat="1" x14ac:dyDescent="0.25">
      <c r="A410" s="149" t="s">
        <v>7639</v>
      </c>
      <c r="B410" s="149" t="s">
        <v>778</v>
      </c>
      <c r="C410" s="149">
        <v>11</v>
      </c>
      <c r="D410" s="149">
        <v>210</v>
      </c>
      <c r="E410" s="149">
        <v>0</v>
      </c>
      <c r="F410" s="149">
        <v>672040</v>
      </c>
      <c r="G410" s="149">
        <v>53620</v>
      </c>
      <c r="H410" s="150" t="str">
        <f t="shared" si="18"/>
        <v>5</v>
      </c>
      <c r="I410" s="150" t="str">
        <f t="shared" si="19"/>
        <v>53</v>
      </c>
      <c r="J410" s="150" t="str">
        <f t="shared" si="20"/>
        <v>536</v>
      </c>
      <c r="K410" s="150" t="s">
        <v>8623</v>
      </c>
      <c r="L410" s="149" t="s">
        <v>779</v>
      </c>
      <c r="M410" s="151">
        <v>2589.1</v>
      </c>
    </row>
    <row r="411" spans="1:13" s="149" customFormat="1" x14ac:dyDescent="0.25">
      <c r="A411" s="149" t="s">
        <v>7639</v>
      </c>
      <c r="B411" s="149" t="s">
        <v>780</v>
      </c>
      <c r="C411" s="149">
        <v>11</v>
      </c>
      <c r="D411" s="149">
        <v>210</v>
      </c>
      <c r="E411" s="149">
        <v>0</v>
      </c>
      <c r="F411" s="149">
        <v>672040</v>
      </c>
      <c r="G411" s="149">
        <v>53920</v>
      </c>
      <c r="H411" s="150" t="str">
        <f t="shared" si="18"/>
        <v>5</v>
      </c>
      <c r="I411" s="150" t="str">
        <f t="shared" si="19"/>
        <v>53</v>
      </c>
      <c r="J411" s="150" t="str">
        <f t="shared" si="20"/>
        <v>539</v>
      </c>
      <c r="K411" s="150" t="s">
        <v>8624</v>
      </c>
      <c r="L411" s="149" t="s">
        <v>781</v>
      </c>
      <c r="M411" s="151">
        <v>0</v>
      </c>
    </row>
    <row r="412" spans="1:13" s="149" customFormat="1" x14ac:dyDescent="0.25">
      <c r="A412" s="149" t="s">
        <v>7639</v>
      </c>
      <c r="B412" s="149" t="s">
        <v>782</v>
      </c>
      <c r="C412" s="149">
        <v>11</v>
      </c>
      <c r="D412" s="149">
        <v>210</v>
      </c>
      <c r="E412" s="149">
        <v>0</v>
      </c>
      <c r="F412" s="149">
        <v>672040</v>
      </c>
      <c r="G412" s="149">
        <v>55630</v>
      </c>
      <c r="H412" s="150" t="str">
        <f t="shared" si="18"/>
        <v>5</v>
      </c>
      <c r="I412" s="150" t="str">
        <f t="shared" si="19"/>
        <v>55</v>
      </c>
      <c r="J412" s="150" t="str">
        <f t="shared" si="20"/>
        <v>556</v>
      </c>
      <c r="K412" s="150" t="s">
        <v>8182</v>
      </c>
      <c r="L412" s="149" t="s">
        <v>783</v>
      </c>
      <c r="M412" s="151">
        <v>500</v>
      </c>
    </row>
    <row r="413" spans="1:13" s="149" customFormat="1" x14ac:dyDescent="0.25">
      <c r="A413" s="149" t="s">
        <v>7639</v>
      </c>
      <c r="B413" s="149" t="s">
        <v>784</v>
      </c>
      <c r="C413" s="149">
        <v>11</v>
      </c>
      <c r="D413" s="149">
        <v>210</v>
      </c>
      <c r="E413" s="149">
        <v>0</v>
      </c>
      <c r="F413" s="149">
        <v>677000</v>
      </c>
      <c r="G413" s="149">
        <v>52105</v>
      </c>
      <c r="H413" s="150" t="str">
        <f t="shared" si="18"/>
        <v>5</v>
      </c>
      <c r="I413" s="150" t="str">
        <f t="shared" si="19"/>
        <v>52</v>
      </c>
      <c r="J413" s="150" t="str">
        <f t="shared" si="20"/>
        <v>521</v>
      </c>
      <c r="K413" s="150" t="s">
        <v>8625</v>
      </c>
      <c r="L413" s="149" t="s">
        <v>785</v>
      </c>
      <c r="M413" s="151">
        <v>59443.88</v>
      </c>
    </row>
    <row r="414" spans="1:13" s="149" customFormat="1" x14ac:dyDescent="0.25">
      <c r="A414" s="149" t="s">
        <v>7639</v>
      </c>
      <c r="B414" s="149" t="s">
        <v>786</v>
      </c>
      <c r="C414" s="149">
        <v>11</v>
      </c>
      <c r="D414" s="149">
        <v>210</v>
      </c>
      <c r="E414" s="149">
        <v>0</v>
      </c>
      <c r="F414" s="149">
        <v>677000</v>
      </c>
      <c r="G414" s="149">
        <v>53220</v>
      </c>
      <c r="H414" s="150" t="str">
        <f t="shared" si="18"/>
        <v>5</v>
      </c>
      <c r="I414" s="150" t="str">
        <f t="shared" si="19"/>
        <v>53</v>
      </c>
      <c r="J414" s="150" t="str">
        <f t="shared" si="20"/>
        <v>532</v>
      </c>
      <c r="K414" s="150" t="s">
        <v>8626</v>
      </c>
      <c r="L414" s="149" t="s">
        <v>787</v>
      </c>
      <c r="M414" s="151">
        <v>12304.88</v>
      </c>
    </row>
    <row r="415" spans="1:13" s="149" customFormat="1" x14ac:dyDescent="0.25">
      <c r="A415" s="149" t="s">
        <v>7639</v>
      </c>
      <c r="B415" s="149" t="s">
        <v>788</v>
      </c>
      <c r="C415" s="149">
        <v>11</v>
      </c>
      <c r="D415" s="149">
        <v>210</v>
      </c>
      <c r="E415" s="149">
        <v>0</v>
      </c>
      <c r="F415" s="149">
        <v>677000</v>
      </c>
      <c r="G415" s="149">
        <v>53320</v>
      </c>
      <c r="H415" s="150" t="str">
        <f t="shared" si="18"/>
        <v>5</v>
      </c>
      <c r="I415" s="150" t="str">
        <f t="shared" si="19"/>
        <v>53</v>
      </c>
      <c r="J415" s="150" t="str">
        <f t="shared" si="20"/>
        <v>533</v>
      </c>
      <c r="K415" s="150" t="s">
        <v>8627</v>
      </c>
      <c r="L415" s="149" t="s">
        <v>789</v>
      </c>
      <c r="M415" s="151">
        <v>3685.52</v>
      </c>
    </row>
    <row r="416" spans="1:13" s="149" customFormat="1" x14ac:dyDescent="0.25">
      <c r="A416" s="149" t="s">
        <v>7639</v>
      </c>
      <c r="B416" s="149" t="s">
        <v>790</v>
      </c>
      <c r="C416" s="149">
        <v>11</v>
      </c>
      <c r="D416" s="149">
        <v>210</v>
      </c>
      <c r="E416" s="149">
        <v>0</v>
      </c>
      <c r="F416" s="149">
        <v>677000</v>
      </c>
      <c r="G416" s="149">
        <v>53340</v>
      </c>
      <c r="H416" s="150" t="str">
        <f t="shared" si="18"/>
        <v>5</v>
      </c>
      <c r="I416" s="150" t="str">
        <f t="shared" si="19"/>
        <v>53</v>
      </c>
      <c r="J416" s="150" t="str">
        <f t="shared" si="20"/>
        <v>533</v>
      </c>
      <c r="K416" s="150" t="s">
        <v>8628</v>
      </c>
      <c r="L416" s="149" t="s">
        <v>791</v>
      </c>
      <c r="M416" s="151">
        <v>861.94</v>
      </c>
    </row>
    <row r="417" spans="1:13" s="149" customFormat="1" x14ac:dyDescent="0.25">
      <c r="A417" s="149" t="s">
        <v>7639</v>
      </c>
      <c r="B417" s="149" t="s">
        <v>792</v>
      </c>
      <c r="C417" s="149">
        <v>11</v>
      </c>
      <c r="D417" s="149">
        <v>210</v>
      </c>
      <c r="E417" s="149">
        <v>0</v>
      </c>
      <c r="F417" s="149">
        <v>677000</v>
      </c>
      <c r="G417" s="149">
        <v>53420</v>
      </c>
      <c r="H417" s="150" t="str">
        <f t="shared" si="18"/>
        <v>5</v>
      </c>
      <c r="I417" s="150" t="str">
        <f t="shared" si="19"/>
        <v>53</v>
      </c>
      <c r="J417" s="150" t="str">
        <f t="shared" si="20"/>
        <v>534</v>
      </c>
      <c r="K417" s="150" t="s">
        <v>8629</v>
      </c>
      <c r="L417" s="149" t="s">
        <v>793</v>
      </c>
      <c r="M417" s="151">
        <v>25240.73</v>
      </c>
    </row>
    <row r="418" spans="1:13" s="149" customFormat="1" x14ac:dyDescent="0.25">
      <c r="A418" s="149" t="s">
        <v>7639</v>
      </c>
      <c r="B418" s="149" t="s">
        <v>794</v>
      </c>
      <c r="C418" s="149">
        <v>11</v>
      </c>
      <c r="D418" s="149">
        <v>210</v>
      </c>
      <c r="E418" s="149">
        <v>0</v>
      </c>
      <c r="F418" s="149">
        <v>677000</v>
      </c>
      <c r="G418" s="149">
        <v>53520</v>
      </c>
      <c r="H418" s="150" t="str">
        <f t="shared" si="18"/>
        <v>5</v>
      </c>
      <c r="I418" s="150" t="str">
        <f t="shared" si="19"/>
        <v>53</v>
      </c>
      <c r="J418" s="150" t="str">
        <f t="shared" si="20"/>
        <v>535</v>
      </c>
      <c r="K418" s="150" t="s">
        <v>8630</v>
      </c>
      <c r="L418" s="149" t="s">
        <v>795</v>
      </c>
      <c r="M418" s="151">
        <v>29.72</v>
      </c>
    </row>
    <row r="419" spans="1:13" s="149" customFormat="1" x14ac:dyDescent="0.25">
      <c r="A419" s="149" t="s">
        <v>7639</v>
      </c>
      <c r="B419" s="149" t="s">
        <v>796</v>
      </c>
      <c r="C419" s="149">
        <v>11</v>
      </c>
      <c r="D419" s="149">
        <v>210</v>
      </c>
      <c r="E419" s="149">
        <v>0</v>
      </c>
      <c r="F419" s="149">
        <v>677000</v>
      </c>
      <c r="G419" s="149">
        <v>53620</v>
      </c>
      <c r="H419" s="150" t="str">
        <f t="shared" si="18"/>
        <v>5</v>
      </c>
      <c r="I419" s="150" t="str">
        <f t="shared" si="19"/>
        <v>53</v>
      </c>
      <c r="J419" s="150" t="str">
        <f t="shared" si="20"/>
        <v>536</v>
      </c>
      <c r="K419" s="150" t="s">
        <v>8631</v>
      </c>
      <c r="L419" s="149" t="s">
        <v>797</v>
      </c>
      <c r="M419" s="151">
        <v>1123.96</v>
      </c>
    </row>
    <row r="420" spans="1:13" s="149" customFormat="1" x14ac:dyDescent="0.25">
      <c r="A420" s="149" t="s">
        <v>7639</v>
      </c>
      <c r="B420" s="149" t="s">
        <v>798</v>
      </c>
      <c r="C420" s="149">
        <v>11</v>
      </c>
      <c r="D420" s="149">
        <v>210</v>
      </c>
      <c r="E420" s="149">
        <v>0</v>
      </c>
      <c r="F420" s="149">
        <v>677000</v>
      </c>
      <c r="G420" s="149">
        <v>55650</v>
      </c>
      <c r="H420" s="150" t="str">
        <f t="shared" si="18"/>
        <v>5</v>
      </c>
      <c r="I420" s="150" t="str">
        <f t="shared" si="19"/>
        <v>55</v>
      </c>
      <c r="J420" s="150" t="str">
        <f t="shared" si="20"/>
        <v>556</v>
      </c>
      <c r="K420" s="150" t="s">
        <v>8288</v>
      </c>
      <c r="L420" s="149" t="s">
        <v>799</v>
      </c>
      <c r="M420" s="151">
        <v>35968</v>
      </c>
    </row>
    <row r="421" spans="1:13" s="149" customFormat="1" x14ac:dyDescent="0.25">
      <c r="A421" s="149" t="s">
        <v>7639</v>
      </c>
      <c r="B421" s="149" t="s">
        <v>800</v>
      </c>
      <c r="C421" s="149">
        <v>11</v>
      </c>
      <c r="D421" s="149">
        <v>210</v>
      </c>
      <c r="E421" s="149">
        <v>0</v>
      </c>
      <c r="F421" s="149">
        <v>677020</v>
      </c>
      <c r="G421" s="149">
        <v>54300</v>
      </c>
      <c r="H421" s="150" t="str">
        <f t="shared" si="18"/>
        <v>5</v>
      </c>
      <c r="I421" s="150" t="str">
        <f t="shared" si="19"/>
        <v>54</v>
      </c>
      <c r="J421" s="150" t="str">
        <f t="shared" si="20"/>
        <v>543</v>
      </c>
      <c r="K421" s="150" t="s">
        <v>7923</v>
      </c>
      <c r="L421" s="149" t="s">
        <v>801</v>
      </c>
      <c r="M421" s="151">
        <v>5000</v>
      </c>
    </row>
    <row r="422" spans="1:13" s="149" customFormat="1" x14ac:dyDescent="0.25">
      <c r="A422" s="149" t="s">
        <v>7639</v>
      </c>
      <c r="B422" s="149" t="s">
        <v>802</v>
      </c>
      <c r="C422" s="149">
        <v>11</v>
      </c>
      <c r="D422" s="149">
        <v>210</v>
      </c>
      <c r="E422" s="149">
        <v>0</v>
      </c>
      <c r="F422" s="149">
        <v>677020</v>
      </c>
      <c r="G422" s="149">
        <v>55200</v>
      </c>
      <c r="H422" s="150" t="str">
        <f t="shared" si="18"/>
        <v>5</v>
      </c>
      <c r="I422" s="150" t="str">
        <f t="shared" si="19"/>
        <v>55</v>
      </c>
      <c r="J422" s="150" t="str">
        <f t="shared" si="20"/>
        <v>552</v>
      </c>
      <c r="K422" s="150" t="s">
        <v>8044</v>
      </c>
      <c r="L422" s="149" t="s">
        <v>803</v>
      </c>
      <c r="M422" s="151">
        <v>1000</v>
      </c>
    </row>
    <row r="423" spans="1:13" s="149" customFormat="1" x14ac:dyDescent="0.25">
      <c r="A423" s="149" t="s">
        <v>7639</v>
      </c>
      <c r="B423" s="149" t="s">
        <v>804</v>
      </c>
      <c r="C423" s="149">
        <v>11</v>
      </c>
      <c r="D423" s="149">
        <v>210</v>
      </c>
      <c r="E423" s="149">
        <v>0</v>
      </c>
      <c r="F423" s="149">
        <v>677020</v>
      </c>
      <c r="G423" s="149">
        <v>55300</v>
      </c>
      <c r="H423" s="150" t="str">
        <f t="shared" si="18"/>
        <v>5</v>
      </c>
      <c r="I423" s="150" t="str">
        <f t="shared" si="19"/>
        <v>55</v>
      </c>
      <c r="J423" s="150" t="str">
        <f t="shared" si="20"/>
        <v>553</v>
      </c>
      <c r="K423" s="150" t="s">
        <v>8084</v>
      </c>
      <c r="L423" s="149" t="s">
        <v>805</v>
      </c>
      <c r="M423" s="151">
        <v>500</v>
      </c>
    </row>
    <row r="424" spans="1:13" s="149" customFormat="1" x14ac:dyDescent="0.25">
      <c r="A424" s="149" t="s">
        <v>7639</v>
      </c>
      <c r="B424" s="149" t="s">
        <v>806</v>
      </c>
      <c r="C424" s="149">
        <v>11</v>
      </c>
      <c r="D424" s="149">
        <v>210</v>
      </c>
      <c r="E424" s="149">
        <v>0</v>
      </c>
      <c r="F424" s="149">
        <v>677020</v>
      </c>
      <c r="G424" s="149">
        <v>55550</v>
      </c>
      <c r="H424" s="150" t="str">
        <f t="shared" si="18"/>
        <v>5</v>
      </c>
      <c r="I424" s="150" t="str">
        <f t="shared" si="19"/>
        <v>55</v>
      </c>
      <c r="J424" s="150" t="str">
        <f t="shared" si="20"/>
        <v>555</v>
      </c>
      <c r="K424" s="150" t="s">
        <v>8130</v>
      </c>
      <c r="L424" s="149" t="s">
        <v>807</v>
      </c>
      <c r="M424" s="151">
        <v>500</v>
      </c>
    </row>
    <row r="425" spans="1:13" s="149" customFormat="1" x14ac:dyDescent="0.25">
      <c r="A425" s="149" t="s">
        <v>7639</v>
      </c>
      <c r="B425" s="149" t="s">
        <v>808</v>
      </c>
      <c r="C425" s="149">
        <v>11</v>
      </c>
      <c r="D425" s="149">
        <v>210</v>
      </c>
      <c r="E425" s="149">
        <v>0</v>
      </c>
      <c r="F425" s="149">
        <v>677020</v>
      </c>
      <c r="G425" s="149">
        <v>55650</v>
      </c>
      <c r="H425" s="150" t="str">
        <f t="shared" si="18"/>
        <v>5</v>
      </c>
      <c r="I425" s="150" t="str">
        <f t="shared" si="19"/>
        <v>55</v>
      </c>
      <c r="J425" s="150" t="str">
        <f t="shared" si="20"/>
        <v>556</v>
      </c>
      <c r="K425" s="150" t="s">
        <v>8289</v>
      </c>
      <c r="L425" s="149" t="s">
        <v>809</v>
      </c>
      <c r="M425" s="151">
        <v>1700</v>
      </c>
    </row>
    <row r="426" spans="1:13" s="149" customFormat="1" x14ac:dyDescent="0.25">
      <c r="A426" s="149" t="s">
        <v>7639</v>
      </c>
      <c r="B426" s="149" t="s">
        <v>810</v>
      </c>
      <c r="C426" s="149">
        <v>11</v>
      </c>
      <c r="D426" s="149">
        <v>210</v>
      </c>
      <c r="E426" s="149">
        <v>0</v>
      </c>
      <c r="F426" s="149">
        <v>695000</v>
      </c>
      <c r="G426" s="149">
        <v>55105</v>
      </c>
      <c r="H426" s="150" t="str">
        <f t="shared" si="18"/>
        <v>5</v>
      </c>
      <c r="I426" s="150" t="str">
        <f t="shared" si="19"/>
        <v>55</v>
      </c>
      <c r="J426" s="150" t="str">
        <f t="shared" si="20"/>
        <v>551</v>
      </c>
      <c r="K426" s="150" t="s">
        <v>8007</v>
      </c>
      <c r="L426" s="149" t="s">
        <v>811</v>
      </c>
      <c r="M426" s="151">
        <v>0</v>
      </c>
    </row>
    <row r="427" spans="1:13" s="149" customFormat="1" x14ac:dyDescent="0.25">
      <c r="A427" s="149" t="s">
        <v>7639</v>
      </c>
      <c r="B427" s="149" t="s">
        <v>812</v>
      </c>
      <c r="C427" s="149">
        <v>11</v>
      </c>
      <c r="D427" s="149">
        <v>210</v>
      </c>
      <c r="E427" s="149">
        <v>0</v>
      </c>
      <c r="F427" s="149">
        <v>732000</v>
      </c>
      <c r="G427" s="149">
        <v>57510</v>
      </c>
      <c r="H427" s="150" t="str">
        <f t="shared" si="18"/>
        <v>5</v>
      </c>
      <c r="I427" s="150" t="str">
        <f t="shared" si="19"/>
        <v>57</v>
      </c>
      <c r="J427" s="150" t="str">
        <f t="shared" si="20"/>
        <v>575</v>
      </c>
      <c r="K427" s="150" t="s">
        <v>8392</v>
      </c>
      <c r="L427" s="149" t="s">
        <v>813</v>
      </c>
      <c r="M427" s="151">
        <v>1000</v>
      </c>
    </row>
    <row r="428" spans="1:13" s="149" customFormat="1" x14ac:dyDescent="0.25">
      <c r="A428" s="149" t="s">
        <v>7639</v>
      </c>
      <c r="B428" s="149" t="s">
        <v>9586</v>
      </c>
      <c r="C428" s="149">
        <v>11</v>
      </c>
      <c r="D428" s="149">
        <v>210</v>
      </c>
      <c r="E428" s="149">
        <v>5</v>
      </c>
      <c r="F428" s="149">
        <v>657000</v>
      </c>
      <c r="G428" s="149">
        <v>55530</v>
      </c>
      <c r="H428" s="150" t="str">
        <f t="shared" si="18"/>
        <v>5</v>
      </c>
      <c r="I428" s="150" t="str">
        <f t="shared" si="19"/>
        <v>55</v>
      </c>
      <c r="J428" s="150" t="str">
        <f t="shared" si="20"/>
        <v>555</v>
      </c>
      <c r="K428" s="150" t="s">
        <v>8119</v>
      </c>
      <c r="L428" s="149" t="s">
        <v>551</v>
      </c>
      <c r="M428" s="151">
        <v>0</v>
      </c>
    </row>
    <row r="429" spans="1:13" s="149" customFormat="1" x14ac:dyDescent="0.25">
      <c r="A429" s="149" t="s">
        <v>7639</v>
      </c>
      <c r="B429" s="149" t="s">
        <v>814</v>
      </c>
      <c r="C429" s="149">
        <v>11</v>
      </c>
      <c r="D429" s="149">
        <v>215</v>
      </c>
      <c r="E429" s="149">
        <v>0</v>
      </c>
      <c r="F429" s="149">
        <v>677000</v>
      </c>
      <c r="G429" s="149">
        <v>55630</v>
      </c>
      <c r="H429" s="150" t="str">
        <f t="shared" si="18"/>
        <v>5</v>
      </c>
      <c r="I429" s="150" t="str">
        <f t="shared" si="19"/>
        <v>55</v>
      </c>
      <c r="J429" s="150" t="str">
        <f t="shared" si="20"/>
        <v>556</v>
      </c>
      <c r="K429" s="150" t="s">
        <v>8183</v>
      </c>
      <c r="L429" s="149" t="s">
        <v>815</v>
      </c>
      <c r="M429" s="151">
        <v>0</v>
      </c>
    </row>
    <row r="430" spans="1:13" s="149" customFormat="1" x14ac:dyDescent="0.25">
      <c r="A430" s="149" t="s">
        <v>7639</v>
      </c>
      <c r="B430" s="149" t="s">
        <v>816</v>
      </c>
      <c r="C430" s="149">
        <v>11</v>
      </c>
      <c r="D430" s="149">
        <v>220</v>
      </c>
      <c r="E430" s="149">
        <v>0</v>
      </c>
      <c r="F430" s="149">
        <v>651000</v>
      </c>
      <c r="G430" s="149">
        <v>52125</v>
      </c>
      <c r="H430" s="150" t="str">
        <f t="shared" si="18"/>
        <v>5</v>
      </c>
      <c r="I430" s="150" t="str">
        <f t="shared" si="19"/>
        <v>52</v>
      </c>
      <c r="J430" s="150" t="str">
        <f t="shared" si="20"/>
        <v>521</v>
      </c>
      <c r="K430" s="150" t="s">
        <v>8632</v>
      </c>
      <c r="L430" s="149" t="s">
        <v>817</v>
      </c>
      <c r="M430" s="151">
        <v>462199.55</v>
      </c>
    </row>
    <row r="431" spans="1:13" s="149" customFormat="1" x14ac:dyDescent="0.25">
      <c r="A431" s="149" t="s">
        <v>7639</v>
      </c>
      <c r="B431" s="149" t="s">
        <v>818</v>
      </c>
      <c r="C431" s="149">
        <v>11</v>
      </c>
      <c r="D431" s="149">
        <v>220</v>
      </c>
      <c r="E431" s="149">
        <v>0</v>
      </c>
      <c r="F431" s="149">
        <v>651000</v>
      </c>
      <c r="G431" s="149">
        <v>52300</v>
      </c>
      <c r="H431" s="150" t="str">
        <f t="shared" si="18"/>
        <v>5</v>
      </c>
      <c r="I431" s="150" t="str">
        <f t="shared" si="19"/>
        <v>52</v>
      </c>
      <c r="J431" s="150" t="str">
        <f t="shared" si="20"/>
        <v>523</v>
      </c>
      <c r="K431" s="150" t="s">
        <v>7813</v>
      </c>
      <c r="L431" s="149" t="s">
        <v>819</v>
      </c>
      <c r="M431" s="151">
        <v>11500</v>
      </c>
    </row>
    <row r="432" spans="1:13" s="149" customFormat="1" x14ac:dyDescent="0.25">
      <c r="A432" s="149" t="s">
        <v>7639</v>
      </c>
      <c r="B432" s="149" t="s">
        <v>820</v>
      </c>
      <c r="C432" s="149">
        <v>11</v>
      </c>
      <c r="D432" s="149">
        <v>220</v>
      </c>
      <c r="E432" s="149">
        <v>0</v>
      </c>
      <c r="F432" s="149">
        <v>651000</v>
      </c>
      <c r="G432" s="149">
        <v>53220</v>
      </c>
      <c r="H432" s="150" t="str">
        <f t="shared" si="18"/>
        <v>5</v>
      </c>
      <c r="I432" s="150" t="str">
        <f t="shared" si="19"/>
        <v>53</v>
      </c>
      <c r="J432" s="150" t="str">
        <f t="shared" si="20"/>
        <v>532</v>
      </c>
      <c r="K432" s="150" t="s">
        <v>8633</v>
      </c>
      <c r="L432" s="149" t="s">
        <v>821</v>
      </c>
      <c r="M432" s="151">
        <v>95675.31</v>
      </c>
    </row>
    <row r="433" spans="1:13" s="149" customFormat="1" x14ac:dyDescent="0.25">
      <c r="A433" s="149" t="s">
        <v>7639</v>
      </c>
      <c r="B433" s="149" t="s">
        <v>822</v>
      </c>
      <c r="C433" s="149">
        <v>11</v>
      </c>
      <c r="D433" s="149">
        <v>220</v>
      </c>
      <c r="E433" s="149">
        <v>0</v>
      </c>
      <c r="F433" s="149">
        <v>651000</v>
      </c>
      <c r="G433" s="149">
        <v>53320</v>
      </c>
      <c r="H433" s="150" t="str">
        <f t="shared" si="18"/>
        <v>5</v>
      </c>
      <c r="I433" s="150" t="str">
        <f t="shared" si="19"/>
        <v>53</v>
      </c>
      <c r="J433" s="150" t="str">
        <f t="shared" si="20"/>
        <v>533</v>
      </c>
      <c r="K433" s="150" t="s">
        <v>8634</v>
      </c>
      <c r="L433" s="149" t="s">
        <v>823</v>
      </c>
      <c r="M433" s="151">
        <v>29369.37</v>
      </c>
    </row>
    <row r="434" spans="1:13" s="149" customFormat="1" x14ac:dyDescent="0.25">
      <c r="A434" s="149" t="s">
        <v>7639</v>
      </c>
      <c r="B434" s="149" t="s">
        <v>824</v>
      </c>
      <c r="C434" s="149">
        <v>11</v>
      </c>
      <c r="D434" s="149">
        <v>220</v>
      </c>
      <c r="E434" s="149">
        <v>0</v>
      </c>
      <c r="F434" s="149">
        <v>651000</v>
      </c>
      <c r="G434" s="149">
        <v>53340</v>
      </c>
      <c r="H434" s="150" t="str">
        <f t="shared" si="18"/>
        <v>5</v>
      </c>
      <c r="I434" s="150" t="str">
        <f t="shared" si="19"/>
        <v>53</v>
      </c>
      <c r="J434" s="150" t="str">
        <f t="shared" si="20"/>
        <v>533</v>
      </c>
      <c r="K434" s="150" t="s">
        <v>8635</v>
      </c>
      <c r="L434" s="149" t="s">
        <v>825</v>
      </c>
      <c r="M434" s="151">
        <v>6868.64</v>
      </c>
    </row>
    <row r="435" spans="1:13" s="149" customFormat="1" x14ac:dyDescent="0.25">
      <c r="A435" s="149" t="s">
        <v>7639</v>
      </c>
      <c r="B435" s="149" t="s">
        <v>826</v>
      </c>
      <c r="C435" s="149">
        <v>11</v>
      </c>
      <c r="D435" s="149">
        <v>220</v>
      </c>
      <c r="E435" s="149">
        <v>0</v>
      </c>
      <c r="F435" s="149">
        <v>651000</v>
      </c>
      <c r="G435" s="149">
        <v>53420</v>
      </c>
      <c r="H435" s="150" t="str">
        <f t="shared" si="18"/>
        <v>5</v>
      </c>
      <c r="I435" s="150" t="str">
        <f t="shared" si="19"/>
        <v>53</v>
      </c>
      <c r="J435" s="150" t="str">
        <f t="shared" si="20"/>
        <v>534</v>
      </c>
      <c r="K435" s="150" t="s">
        <v>8636</v>
      </c>
      <c r="L435" s="149" t="s">
        <v>827</v>
      </c>
      <c r="M435" s="151">
        <v>183438.59</v>
      </c>
    </row>
    <row r="436" spans="1:13" s="149" customFormat="1" x14ac:dyDescent="0.25">
      <c r="A436" s="149" t="s">
        <v>7639</v>
      </c>
      <c r="B436" s="149" t="s">
        <v>828</v>
      </c>
      <c r="C436" s="149">
        <v>11</v>
      </c>
      <c r="D436" s="149">
        <v>220</v>
      </c>
      <c r="E436" s="149">
        <v>0</v>
      </c>
      <c r="F436" s="149">
        <v>651000</v>
      </c>
      <c r="G436" s="149">
        <v>53520</v>
      </c>
      <c r="H436" s="150" t="str">
        <f t="shared" si="18"/>
        <v>5</v>
      </c>
      <c r="I436" s="150" t="str">
        <f t="shared" si="19"/>
        <v>53</v>
      </c>
      <c r="J436" s="150" t="str">
        <f t="shared" si="20"/>
        <v>535</v>
      </c>
      <c r="K436" s="150" t="s">
        <v>8637</v>
      </c>
      <c r="L436" s="149" t="s">
        <v>829</v>
      </c>
      <c r="M436" s="151">
        <v>236.85</v>
      </c>
    </row>
    <row r="437" spans="1:13" s="149" customFormat="1" x14ac:dyDescent="0.25">
      <c r="A437" s="149" t="s">
        <v>7639</v>
      </c>
      <c r="B437" s="149" t="s">
        <v>830</v>
      </c>
      <c r="C437" s="149">
        <v>11</v>
      </c>
      <c r="D437" s="149">
        <v>220</v>
      </c>
      <c r="E437" s="149">
        <v>0</v>
      </c>
      <c r="F437" s="149">
        <v>651000</v>
      </c>
      <c r="G437" s="149">
        <v>53620</v>
      </c>
      <c r="H437" s="150" t="str">
        <f t="shared" si="18"/>
        <v>5</v>
      </c>
      <c r="I437" s="150" t="str">
        <f t="shared" si="19"/>
        <v>53</v>
      </c>
      <c r="J437" s="150" t="str">
        <f t="shared" si="20"/>
        <v>536</v>
      </c>
      <c r="K437" s="150" t="s">
        <v>8638</v>
      </c>
      <c r="L437" s="149" t="s">
        <v>831</v>
      </c>
      <c r="M437" s="151">
        <v>8956.7199999999993</v>
      </c>
    </row>
    <row r="438" spans="1:13" s="149" customFormat="1" x14ac:dyDescent="0.25">
      <c r="A438" s="149" t="s">
        <v>7639</v>
      </c>
      <c r="B438" s="149" t="s">
        <v>832</v>
      </c>
      <c r="C438" s="149">
        <v>11</v>
      </c>
      <c r="D438" s="149">
        <v>220</v>
      </c>
      <c r="E438" s="149">
        <v>0</v>
      </c>
      <c r="F438" s="149">
        <v>651000</v>
      </c>
      <c r="G438" s="149">
        <v>53920</v>
      </c>
      <c r="H438" s="150" t="str">
        <f t="shared" si="18"/>
        <v>5</v>
      </c>
      <c r="I438" s="150" t="str">
        <f t="shared" si="19"/>
        <v>53</v>
      </c>
      <c r="J438" s="150" t="str">
        <f t="shared" si="20"/>
        <v>539</v>
      </c>
      <c r="K438" s="150" t="s">
        <v>8639</v>
      </c>
      <c r="L438" s="149" t="s">
        <v>833</v>
      </c>
      <c r="M438" s="151">
        <v>4800</v>
      </c>
    </row>
    <row r="439" spans="1:13" s="149" customFormat="1" x14ac:dyDescent="0.25">
      <c r="A439" s="149" t="s">
        <v>7639</v>
      </c>
      <c r="B439" s="149" t="s">
        <v>834</v>
      </c>
      <c r="C439" s="149">
        <v>11</v>
      </c>
      <c r="D439" s="149">
        <v>220</v>
      </c>
      <c r="E439" s="149">
        <v>0</v>
      </c>
      <c r="F439" s="149">
        <v>651000</v>
      </c>
      <c r="G439" s="149">
        <v>54330</v>
      </c>
      <c r="H439" s="150" t="str">
        <f t="shared" si="18"/>
        <v>5</v>
      </c>
      <c r="I439" s="150" t="str">
        <f t="shared" si="19"/>
        <v>54</v>
      </c>
      <c r="J439" s="150" t="str">
        <f t="shared" si="20"/>
        <v>543</v>
      </c>
      <c r="K439" s="150" t="s">
        <v>7985</v>
      </c>
      <c r="L439" s="149" t="s">
        <v>835</v>
      </c>
      <c r="M439" s="151">
        <v>14000</v>
      </c>
    </row>
    <row r="440" spans="1:13" s="149" customFormat="1" x14ac:dyDescent="0.25">
      <c r="A440" s="149" t="s">
        <v>7639</v>
      </c>
      <c r="B440" s="149" t="s">
        <v>836</v>
      </c>
      <c r="C440" s="149">
        <v>11</v>
      </c>
      <c r="D440" s="149">
        <v>220</v>
      </c>
      <c r="E440" s="149">
        <v>0</v>
      </c>
      <c r="F440" s="149">
        <v>651000</v>
      </c>
      <c r="G440" s="149">
        <v>54335</v>
      </c>
      <c r="H440" s="150" t="str">
        <f t="shared" si="18"/>
        <v>5</v>
      </c>
      <c r="I440" s="150" t="str">
        <f t="shared" si="19"/>
        <v>54</v>
      </c>
      <c r="J440" s="150" t="str">
        <f t="shared" si="20"/>
        <v>543</v>
      </c>
      <c r="K440" s="150" t="s">
        <v>7987</v>
      </c>
      <c r="L440" s="149" t="s">
        <v>837</v>
      </c>
      <c r="M440" s="151">
        <v>24800</v>
      </c>
    </row>
    <row r="441" spans="1:13" s="149" customFormat="1" x14ac:dyDescent="0.25">
      <c r="A441" s="149" t="s">
        <v>7639</v>
      </c>
      <c r="B441" s="149" t="s">
        <v>838</v>
      </c>
      <c r="C441" s="149">
        <v>11</v>
      </c>
      <c r="D441" s="149">
        <v>220</v>
      </c>
      <c r="E441" s="149">
        <v>0</v>
      </c>
      <c r="F441" s="149">
        <v>651000</v>
      </c>
      <c r="G441" s="149">
        <v>54337</v>
      </c>
      <c r="H441" s="150" t="str">
        <f t="shared" si="18"/>
        <v>5</v>
      </c>
      <c r="I441" s="150" t="str">
        <f t="shared" si="19"/>
        <v>54</v>
      </c>
      <c r="J441" s="150" t="str">
        <f t="shared" si="20"/>
        <v>543</v>
      </c>
      <c r="K441" s="150" t="s">
        <v>7988</v>
      </c>
      <c r="L441" s="149" t="s">
        <v>839</v>
      </c>
      <c r="M441" s="151">
        <v>14200</v>
      </c>
    </row>
    <row r="442" spans="1:13" s="149" customFormat="1" x14ac:dyDescent="0.25">
      <c r="A442" s="149" t="s">
        <v>7639</v>
      </c>
      <c r="B442" s="149" t="s">
        <v>840</v>
      </c>
      <c r="C442" s="149">
        <v>11</v>
      </c>
      <c r="D442" s="149">
        <v>220</v>
      </c>
      <c r="E442" s="149">
        <v>0</v>
      </c>
      <c r="F442" s="149">
        <v>651000</v>
      </c>
      <c r="G442" s="149">
        <v>54338</v>
      </c>
      <c r="H442" s="150" t="str">
        <f t="shared" si="18"/>
        <v>5</v>
      </c>
      <c r="I442" s="150" t="str">
        <f t="shared" si="19"/>
        <v>54</v>
      </c>
      <c r="J442" s="150" t="str">
        <f t="shared" si="20"/>
        <v>543</v>
      </c>
      <c r="K442" s="150" t="s">
        <v>7989</v>
      </c>
      <c r="L442" s="149" t="s">
        <v>841</v>
      </c>
      <c r="M442" s="151">
        <v>4900</v>
      </c>
    </row>
    <row r="443" spans="1:13" s="149" customFormat="1" x14ac:dyDescent="0.25">
      <c r="A443" s="149" t="s">
        <v>7639</v>
      </c>
      <c r="B443" s="149" t="s">
        <v>842</v>
      </c>
      <c r="C443" s="149">
        <v>11</v>
      </c>
      <c r="D443" s="149">
        <v>220</v>
      </c>
      <c r="E443" s="149">
        <v>0</v>
      </c>
      <c r="F443" s="149">
        <v>651000</v>
      </c>
      <c r="G443" s="149">
        <v>55630</v>
      </c>
      <c r="H443" s="150" t="str">
        <f t="shared" si="18"/>
        <v>5</v>
      </c>
      <c r="I443" s="150" t="str">
        <f t="shared" si="19"/>
        <v>55</v>
      </c>
      <c r="J443" s="150" t="str">
        <f t="shared" si="20"/>
        <v>556</v>
      </c>
      <c r="K443" s="150" t="s">
        <v>8184</v>
      </c>
      <c r="L443" s="149" t="s">
        <v>843</v>
      </c>
      <c r="M443" s="151">
        <v>28</v>
      </c>
    </row>
    <row r="444" spans="1:13" s="149" customFormat="1" x14ac:dyDescent="0.25">
      <c r="A444" s="149" t="s">
        <v>7639</v>
      </c>
      <c r="B444" s="149" t="s">
        <v>844</v>
      </c>
      <c r="C444" s="149">
        <v>11</v>
      </c>
      <c r="D444" s="149">
        <v>220</v>
      </c>
      <c r="E444" s="149">
        <v>0</v>
      </c>
      <c r="F444" s="149">
        <v>651000</v>
      </c>
      <c r="G444" s="149">
        <v>55650</v>
      </c>
      <c r="H444" s="150" t="str">
        <f t="shared" si="18"/>
        <v>5</v>
      </c>
      <c r="I444" s="150" t="str">
        <f t="shared" si="19"/>
        <v>55</v>
      </c>
      <c r="J444" s="150" t="str">
        <f t="shared" si="20"/>
        <v>556</v>
      </c>
      <c r="K444" s="150" t="s">
        <v>8290</v>
      </c>
      <c r="L444" s="149" t="s">
        <v>845</v>
      </c>
      <c r="M444" s="151">
        <v>91800</v>
      </c>
    </row>
    <row r="445" spans="1:13" s="149" customFormat="1" x14ac:dyDescent="0.25">
      <c r="A445" s="149" t="s">
        <v>7639</v>
      </c>
      <c r="B445" s="149" t="s">
        <v>846</v>
      </c>
      <c r="C445" s="149">
        <v>11</v>
      </c>
      <c r="D445" s="149">
        <v>220</v>
      </c>
      <c r="E445" s="149">
        <v>0</v>
      </c>
      <c r="F445" s="149">
        <v>651000</v>
      </c>
      <c r="G445" s="149">
        <v>55651</v>
      </c>
      <c r="H445" s="150" t="str">
        <f t="shared" si="18"/>
        <v>5</v>
      </c>
      <c r="I445" s="150" t="str">
        <f t="shared" si="19"/>
        <v>55</v>
      </c>
      <c r="J445" s="150" t="str">
        <f t="shared" si="20"/>
        <v>556</v>
      </c>
      <c r="K445" s="150" t="s">
        <v>8312</v>
      </c>
      <c r="L445" s="149" t="s">
        <v>847</v>
      </c>
      <c r="M445" s="151">
        <v>82653</v>
      </c>
    </row>
    <row r="446" spans="1:13" s="149" customFormat="1" x14ac:dyDescent="0.25">
      <c r="A446" s="149" t="s">
        <v>7639</v>
      </c>
      <c r="B446" s="149" t="s">
        <v>848</v>
      </c>
      <c r="C446" s="149">
        <v>11</v>
      </c>
      <c r="D446" s="149">
        <v>220</v>
      </c>
      <c r="E446" s="149">
        <v>0</v>
      </c>
      <c r="F446" s="149">
        <v>651000</v>
      </c>
      <c r="G446" s="149">
        <v>56400</v>
      </c>
      <c r="H446" s="150" t="str">
        <f t="shared" si="18"/>
        <v>5</v>
      </c>
      <c r="I446" s="150" t="str">
        <f t="shared" si="19"/>
        <v>56</v>
      </c>
      <c r="J446" s="150" t="str">
        <f t="shared" si="20"/>
        <v>564</v>
      </c>
      <c r="K446" s="150" t="s">
        <v>8371</v>
      </c>
      <c r="L446" s="149" t="s">
        <v>849</v>
      </c>
      <c r="M446" s="151">
        <v>1367</v>
      </c>
    </row>
    <row r="447" spans="1:13" s="149" customFormat="1" x14ac:dyDescent="0.25">
      <c r="A447" s="149" t="s">
        <v>7639</v>
      </c>
      <c r="B447" s="149" t="s">
        <v>850</v>
      </c>
      <c r="C447" s="149">
        <v>11</v>
      </c>
      <c r="D447" s="149">
        <v>220</v>
      </c>
      <c r="E447" s="149">
        <v>0</v>
      </c>
      <c r="F447" s="149">
        <v>651000</v>
      </c>
      <c r="G447" s="149">
        <v>56405</v>
      </c>
      <c r="H447" s="150" t="str">
        <f t="shared" si="18"/>
        <v>5</v>
      </c>
      <c r="I447" s="150" t="str">
        <f t="shared" si="19"/>
        <v>56</v>
      </c>
      <c r="J447" s="150" t="str">
        <f t="shared" si="20"/>
        <v>564</v>
      </c>
      <c r="K447" s="150" t="s">
        <v>8385</v>
      </c>
      <c r="L447" s="149" t="s">
        <v>851</v>
      </c>
      <c r="M447" s="151">
        <v>5810</v>
      </c>
    </row>
    <row r="448" spans="1:13" s="149" customFormat="1" x14ac:dyDescent="0.25">
      <c r="A448" s="149" t="s">
        <v>7639</v>
      </c>
      <c r="B448" s="149" t="s">
        <v>852</v>
      </c>
      <c r="C448" s="149">
        <v>11</v>
      </c>
      <c r="D448" s="149">
        <v>220</v>
      </c>
      <c r="E448" s="149">
        <v>0</v>
      </c>
      <c r="F448" s="149">
        <v>653000</v>
      </c>
      <c r="G448" s="149">
        <v>52115</v>
      </c>
      <c r="H448" s="150" t="str">
        <f t="shared" si="18"/>
        <v>5</v>
      </c>
      <c r="I448" s="150" t="str">
        <f t="shared" si="19"/>
        <v>52</v>
      </c>
      <c r="J448" s="150" t="str">
        <f t="shared" si="20"/>
        <v>521</v>
      </c>
      <c r="K448" s="150" t="s">
        <v>8640</v>
      </c>
      <c r="L448" s="149" t="s">
        <v>853</v>
      </c>
      <c r="M448" s="151">
        <v>50244</v>
      </c>
    </row>
    <row r="449" spans="1:13" s="149" customFormat="1" x14ac:dyDescent="0.25">
      <c r="A449" s="149" t="s">
        <v>7639</v>
      </c>
      <c r="B449" s="149" t="s">
        <v>854</v>
      </c>
      <c r="C449" s="149">
        <v>11</v>
      </c>
      <c r="D449" s="149">
        <v>220</v>
      </c>
      <c r="E449" s="149">
        <v>0</v>
      </c>
      <c r="F449" s="149">
        <v>653000</v>
      </c>
      <c r="G449" s="149">
        <v>52125</v>
      </c>
      <c r="H449" s="150" t="str">
        <f t="shared" si="18"/>
        <v>5</v>
      </c>
      <c r="I449" s="150" t="str">
        <f t="shared" si="19"/>
        <v>52</v>
      </c>
      <c r="J449" s="150" t="str">
        <f t="shared" si="20"/>
        <v>521</v>
      </c>
      <c r="K449" s="150" t="s">
        <v>8641</v>
      </c>
      <c r="L449" s="149" t="s">
        <v>855</v>
      </c>
      <c r="M449" s="151">
        <v>838844.6</v>
      </c>
    </row>
    <row r="450" spans="1:13" s="149" customFormat="1" x14ac:dyDescent="0.25">
      <c r="A450" s="149" t="s">
        <v>7639</v>
      </c>
      <c r="B450" s="149" t="s">
        <v>856</v>
      </c>
      <c r="C450" s="149">
        <v>11</v>
      </c>
      <c r="D450" s="149">
        <v>220</v>
      </c>
      <c r="E450" s="149">
        <v>0</v>
      </c>
      <c r="F450" s="149">
        <v>653000</v>
      </c>
      <c r="G450" s="149">
        <v>52300</v>
      </c>
      <c r="H450" s="150" t="str">
        <f t="shared" si="18"/>
        <v>5</v>
      </c>
      <c r="I450" s="150" t="str">
        <f t="shared" si="19"/>
        <v>52</v>
      </c>
      <c r="J450" s="150" t="str">
        <f t="shared" si="20"/>
        <v>523</v>
      </c>
      <c r="K450" s="150" t="s">
        <v>7814</v>
      </c>
      <c r="L450" s="149" t="s">
        <v>857</v>
      </c>
      <c r="M450" s="151">
        <v>0</v>
      </c>
    </row>
    <row r="451" spans="1:13" s="149" customFormat="1" x14ac:dyDescent="0.25">
      <c r="A451" s="149" t="s">
        <v>7639</v>
      </c>
      <c r="B451" s="149" t="s">
        <v>858</v>
      </c>
      <c r="C451" s="149">
        <v>11</v>
      </c>
      <c r="D451" s="149">
        <v>220</v>
      </c>
      <c r="E451" s="149">
        <v>0</v>
      </c>
      <c r="F451" s="149">
        <v>653000</v>
      </c>
      <c r="G451" s="149">
        <v>53220</v>
      </c>
      <c r="H451" s="150" t="str">
        <f t="shared" ref="H451:H514" si="21">LEFT(G451,1)</f>
        <v>5</v>
      </c>
      <c r="I451" s="150" t="str">
        <f t="shared" ref="I451:I514" si="22">LEFT(G451,2)</f>
        <v>53</v>
      </c>
      <c r="J451" s="150" t="str">
        <f t="shared" ref="J451:J514" si="23">LEFT(G451,3)</f>
        <v>532</v>
      </c>
      <c r="K451" s="150" t="s">
        <v>8642</v>
      </c>
      <c r="L451" s="149" t="s">
        <v>859</v>
      </c>
      <c r="M451" s="151">
        <v>184041.36</v>
      </c>
    </row>
    <row r="452" spans="1:13" s="149" customFormat="1" x14ac:dyDescent="0.25">
      <c r="A452" s="149" t="s">
        <v>7639</v>
      </c>
      <c r="B452" s="149" t="s">
        <v>860</v>
      </c>
      <c r="C452" s="149">
        <v>11</v>
      </c>
      <c r="D452" s="149">
        <v>220</v>
      </c>
      <c r="E452" s="149">
        <v>0</v>
      </c>
      <c r="F452" s="149">
        <v>653000</v>
      </c>
      <c r="G452" s="149">
        <v>53320</v>
      </c>
      <c r="H452" s="150" t="str">
        <f t="shared" si="21"/>
        <v>5</v>
      </c>
      <c r="I452" s="150" t="str">
        <f t="shared" si="22"/>
        <v>53</v>
      </c>
      <c r="J452" s="150" t="str">
        <f t="shared" si="23"/>
        <v>533</v>
      </c>
      <c r="K452" s="150" t="s">
        <v>8643</v>
      </c>
      <c r="L452" s="149" t="s">
        <v>861</v>
      </c>
      <c r="M452" s="151">
        <v>55123.519999999997</v>
      </c>
    </row>
    <row r="453" spans="1:13" s="149" customFormat="1" x14ac:dyDescent="0.25">
      <c r="A453" s="149" t="s">
        <v>7639</v>
      </c>
      <c r="B453" s="149" t="s">
        <v>862</v>
      </c>
      <c r="C453" s="149">
        <v>11</v>
      </c>
      <c r="D453" s="149">
        <v>220</v>
      </c>
      <c r="E453" s="149">
        <v>0</v>
      </c>
      <c r="F453" s="149">
        <v>653000</v>
      </c>
      <c r="G453" s="149">
        <v>53340</v>
      </c>
      <c r="H453" s="150" t="str">
        <f t="shared" si="21"/>
        <v>5</v>
      </c>
      <c r="I453" s="150" t="str">
        <f t="shared" si="22"/>
        <v>53</v>
      </c>
      <c r="J453" s="150" t="str">
        <f t="shared" si="23"/>
        <v>533</v>
      </c>
      <c r="K453" s="150" t="s">
        <v>8644</v>
      </c>
      <c r="L453" s="149" t="s">
        <v>863</v>
      </c>
      <c r="M453" s="151">
        <v>12891.8</v>
      </c>
    </row>
    <row r="454" spans="1:13" s="149" customFormat="1" x14ac:dyDescent="0.25">
      <c r="A454" s="149" t="s">
        <v>7639</v>
      </c>
      <c r="B454" s="149" t="s">
        <v>864</v>
      </c>
      <c r="C454" s="149">
        <v>11</v>
      </c>
      <c r="D454" s="149">
        <v>220</v>
      </c>
      <c r="E454" s="149">
        <v>0</v>
      </c>
      <c r="F454" s="149">
        <v>653000</v>
      </c>
      <c r="G454" s="149">
        <v>53420</v>
      </c>
      <c r="H454" s="150" t="str">
        <f t="shared" si="21"/>
        <v>5</v>
      </c>
      <c r="I454" s="150" t="str">
        <f t="shared" si="22"/>
        <v>53</v>
      </c>
      <c r="J454" s="150" t="str">
        <f t="shared" si="23"/>
        <v>534</v>
      </c>
      <c r="K454" s="150" t="s">
        <v>8645</v>
      </c>
      <c r="L454" s="149" t="s">
        <v>865</v>
      </c>
      <c r="M454" s="151">
        <v>435156.19</v>
      </c>
    </row>
    <row r="455" spans="1:13" s="149" customFormat="1" x14ac:dyDescent="0.25">
      <c r="A455" s="149" t="s">
        <v>7639</v>
      </c>
      <c r="B455" s="149" t="s">
        <v>866</v>
      </c>
      <c r="C455" s="149">
        <v>11</v>
      </c>
      <c r="D455" s="149">
        <v>220</v>
      </c>
      <c r="E455" s="149">
        <v>0</v>
      </c>
      <c r="F455" s="149">
        <v>653000</v>
      </c>
      <c r="G455" s="149">
        <v>53520</v>
      </c>
      <c r="H455" s="150" t="str">
        <f t="shared" si="21"/>
        <v>5</v>
      </c>
      <c r="I455" s="150" t="str">
        <f t="shared" si="22"/>
        <v>53</v>
      </c>
      <c r="J455" s="150" t="str">
        <f t="shared" si="23"/>
        <v>535</v>
      </c>
      <c r="K455" s="150" t="s">
        <v>8646</v>
      </c>
      <c r="L455" s="149" t="s">
        <v>867</v>
      </c>
      <c r="M455" s="151">
        <v>444.54</v>
      </c>
    </row>
    <row r="456" spans="1:13" s="149" customFormat="1" x14ac:dyDescent="0.25">
      <c r="A456" s="149" t="s">
        <v>7639</v>
      </c>
      <c r="B456" s="149" t="s">
        <v>868</v>
      </c>
      <c r="C456" s="149">
        <v>11</v>
      </c>
      <c r="D456" s="149">
        <v>220</v>
      </c>
      <c r="E456" s="149">
        <v>0</v>
      </c>
      <c r="F456" s="149">
        <v>653000</v>
      </c>
      <c r="G456" s="149">
        <v>53620</v>
      </c>
      <c r="H456" s="150" t="str">
        <f t="shared" si="21"/>
        <v>5</v>
      </c>
      <c r="I456" s="150" t="str">
        <f t="shared" si="22"/>
        <v>53</v>
      </c>
      <c r="J456" s="150" t="str">
        <f t="shared" si="23"/>
        <v>536</v>
      </c>
      <c r="K456" s="150" t="s">
        <v>8647</v>
      </c>
      <c r="L456" s="149" t="s">
        <v>869</v>
      </c>
      <c r="M456" s="151">
        <v>16810.88</v>
      </c>
    </row>
    <row r="457" spans="1:13" s="149" customFormat="1" x14ac:dyDescent="0.25">
      <c r="A457" s="149" t="s">
        <v>7639</v>
      </c>
      <c r="B457" s="149" t="s">
        <v>870</v>
      </c>
      <c r="C457" s="149">
        <v>11</v>
      </c>
      <c r="D457" s="149">
        <v>220</v>
      </c>
      <c r="E457" s="149">
        <v>0</v>
      </c>
      <c r="F457" s="149">
        <v>653000</v>
      </c>
      <c r="G457" s="149">
        <v>53920</v>
      </c>
      <c r="H457" s="150" t="str">
        <f t="shared" si="21"/>
        <v>5</v>
      </c>
      <c r="I457" s="150" t="str">
        <f t="shared" si="22"/>
        <v>53</v>
      </c>
      <c r="J457" s="150" t="str">
        <f t="shared" si="23"/>
        <v>539</v>
      </c>
      <c r="K457" s="150" t="s">
        <v>8648</v>
      </c>
      <c r="L457" s="149" t="s">
        <v>871</v>
      </c>
      <c r="M457" s="151">
        <v>4200</v>
      </c>
    </row>
    <row r="458" spans="1:13" s="149" customFormat="1" x14ac:dyDescent="0.25">
      <c r="A458" s="149" t="s">
        <v>7639</v>
      </c>
      <c r="B458" s="149" t="s">
        <v>872</v>
      </c>
      <c r="C458" s="149">
        <v>11</v>
      </c>
      <c r="D458" s="149">
        <v>220</v>
      </c>
      <c r="E458" s="149">
        <v>0</v>
      </c>
      <c r="F458" s="149">
        <v>653000</v>
      </c>
      <c r="G458" s="149">
        <v>54300</v>
      </c>
      <c r="H458" s="150" t="str">
        <f t="shared" si="21"/>
        <v>5</v>
      </c>
      <c r="I458" s="150" t="str">
        <f t="shared" si="22"/>
        <v>54</v>
      </c>
      <c r="J458" s="150" t="str">
        <f t="shared" si="23"/>
        <v>543</v>
      </c>
      <c r="K458" s="150" t="s">
        <v>7924</v>
      </c>
      <c r="L458" s="149" t="s">
        <v>873</v>
      </c>
      <c r="M458" s="151">
        <v>74190</v>
      </c>
    </row>
    <row r="459" spans="1:13" s="149" customFormat="1" x14ac:dyDescent="0.25">
      <c r="A459" s="149" t="s">
        <v>7639</v>
      </c>
      <c r="B459" s="149" t="s">
        <v>874</v>
      </c>
      <c r="C459" s="149">
        <v>11</v>
      </c>
      <c r="D459" s="149">
        <v>220</v>
      </c>
      <c r="E459" s="149">
        <v>0</v>
      </c>
      <c r="F459" s="149">
        <v>653000</v>
      </c>
      <c r="G459" s="149">
        <v>55630</v>
      </c>
      <c r="H459" s="150" t="str">
        <f t="shared" si="21"/>
        <v>5</v>
      </c>
      <c r="I459" s="150" t="str">
        <f t="shared" si="22"/>
        <v>55</v>
      </c>
      <c r="J459" s="150" t="str">
        <f t="shared" si="23"/>
        <v>556</v>
      </c>
      <c r="K459" s="150" t="s">
        <v>8185</v>
      </c>
      <c r="L459" s="149" t="s">
        <v>875</v>
      </c>
      <c r="M459" s="151">
        <v>80</v>
      </c>
    </row>
    <row r="460" spans="1:13" s="149" customFormat="1" x14ac:dyDescent="0.25">
      <c r="A460" s="149" t="s">
        <v>7639</v>
      </c>
      <c r="B460" s="149" t="s">
        <v>876</v>
      </c>
      <c r="C460" s="149">
        <v>11</v>
      </c>
      <c r="D460" s="149">
        <v>220</v>
      </c>
      <c r="E460" s="149">
        <v>0</v>
      </c>
      <c r="F460" s="149">
        <v>653000</v>
      </c>
      <c r="G460" s="149">
        <v>55650</v>
      </c>
      <c r="H460" s="150" t="str">
        <f t="shared" si="21"/>
        <v>5</v>
      </c>
      <c r="I460" s="150" t="str">
        <f t="shared" si="22"/>
        <v>55</v>
      </c>
      <c r="J460" s="150" t="str">
        <f t="shared" si="23"/>
        <v>556</v>
      </c>
      <c r="K460" s="150" t="s">
        <v>8291</v>
      </c>
      <c r="L460" s="149" t="s">
        <v>877</v>
      </c>
      <c r="M460" s="151">
        <v>7500</v>
      </c>
    </row>
    <row r="461" spans="1:13" s="149" customFormat="1" x14ac:dyDescent="0.25">
      <c r="A461" s="149" t="s">
        <v>7639</v>
      </c>
      <c r="B461" s="149" t="s">
        <v>878</v>
      </c>
      <c r="C461" s="149">
        <v>11</v>
      </c>
      <c r="D461" s="149">
        <v>220</v>
      </c>
      <c r="E461" s="149">
        <v>0</v>
      </c>
      <c r="F461" s="149">
        <v>655000</v>
      </c>
      <c r="G461" s="149">
        <v>52125</v>
      </c>
      <c r="H461" s="150" t="str">
        <f t="shared" si="21"/>
        <v>5</v>
      </c>
      <c r="I461" s="150" t="str">
        <f t="shared" si="22"/>
        <v>52</v>
      </c>
      <c r="J461" s="150" t="str">
        <f t="shared" si="23"/>
        <v>521</v>
      </c>
      <c r="K461" s="150" t="s">
        <v>8649</v>
      </c>
      <c r="L461" s="149" t="s">
        <v>879</v>
      </c>
      <c r="M461" s="151">
        <v>175753.23</v>
      </c>
    </row>
    <row r="462" spans="1:13" s="149" customFormat="1" x14ac:dyDescent="0.25">
      <c r="A462" s="149" t="s">
        <v>7639</v>
      </c>
      <c r="B462" s="149" t="s">
        <v>880</v>
      </c>
      <c r="C462" s="149">
        <v>11</v>
      </c>
      <c r="D462" s="149">
        <v>220</v>
      </c>
      <c r="E462" s="149">
        <v>0</v>
      </c>
      <c r="F462" s="149">
        <v>655000</v>
      </c>
      <c r="G462" s="149">
        <v>52300</v>
      </c>
      <c r="H462" s="150" t="str">
        <f t="shared" si="21"/>
        <v>5</v>
      </c>
      <c r="I462" s="150" t="str">
        <f t="shared" si="22"/>
        <v>52</v>
      </c>
      <c r="J462" s="150" t="str">
        <f t="shared" si="23"/>
        <v>523</v>
      </c>
      <c r="K462" s="150" t="s">
        <v>7815</v>
      </c>
      <c r="L462" s="149" t="s">
        <v>881</v>
      </c>
      <c r="M462" s="151">
        <v>1750</v>
      </c>
    </row>
    <row r="463" spans="1:13" s="149" customFormat="1" x14ac:dyDescent="0.25">
      <c r="A463" s="149" t="s">
        <v>7639</v>
      </c>
      <c r="B463" s="149" t="s">
        <v>882</v>
      </c>
      <c r="C463" s="149">
        <v>11</v>
      </c>
      <c r="D463" s="149">
        <v>220</v>
      </c>
      <c r="E463" s="149">
        <v>0</v>
      </c>
      <c r="F463" s="149">
        <v>655000</v>
      </c>
      <c r="G463" s="149">
        <v>53220</v>
      </c>
      <c r="H463" s="150" t="str">
        <f t="shared" si="21"/>
        <v>5</v>
      </c>
      <c r="I463" s="150" t="str">
        <f t="shared" si="22"/>
        <v>53</v>
      </c>
      <c r="J463" s="150" t="str">
        <f t="shared" si="23"/>
        <v>532</v>
      </c>
      <c r="K463" s="150" t="s">
        <v>8650</v>
      </c>
      <c r="L463" s="149" t="s">
        <v>883</v>
      </c>
      <c r="M463" s="151">
        <v>36380.92</v>
      </c>
    </row>
    <row r="464" spans="1:13" s="149" customFormat="1" x14ac:dyDescent="0.25">
      <c r="A464" s="149" t="s">
        <v>7639</v>
      </c>
      <c r="B464" s="149" t="s">
        <v>884</v>
      </c>
      <c r="C464" s="149">
        <v>11</v>
      </c>
      <c r="D464" s="149">
        <v>220</v>
      </c>
      <c r="E464" s="149">
        <v>0</v>
      </c>
      <c r="F464" s="149">
        <v>655000</v>
      </c>
      <c r="G464" s="149">
        <v>53320</v>
      </c>
      <c r="H464" s="150" t="str">
        <f t="shared" si="21"/>
        <v>5</v>
      </c>
      <c r="I464" s="150" t="str">
        <f t="shared" si="22"/>
        <v>53</v>
      </c>
      <c r="J464" s="150" t="str">
        <f t="shared" si="23"/>
        <v>533</v>
      </c>
      <c r="K464" s="150" t="s">
        <v>8651</v>
      </c>
      <c r="L464" s="149" t="s">
        <v>885</v>
      </c>
      <c r="M464" s="151">
        <v>11005.21</v>
      </c>
    </row>
    <row r="465" spans="1:13" s="149" customFormat="1" x14ac:dyDescent="0.25">
      <c r="A465" s="149" t="s">
        <v>7639</v>
      </c>
      <c r="B465" s="149" t="s">
        <v>886</v>
      </c>
      <c r="C465" s="149">
        <v>11</v>
      </c>
      <c r="D465" s="149">
        <v>220</v>
      </c>
      <c r="E465" s="149">
        <v>0</v>
      </c>
      <c r="F465" s="149">
        <v>655000</v>
      </c>
      <c r="G465" s="149">
        <v>53340</v>
      </c>
      <c r="H465" s="150" t="str">
        <f t="shared" si="21"/>
        <v>5</v>
      </c>
      <c r="I465" s="150" t="str">
        <f t="shared" si="22"/>
        <v>53</v>
      </c>
      <c r="J465" s="150" t="str">
        <f t="shared" si="23"/>
        <v>533</v>
      </c>
      <c r="K465" s="150" t="s">
        <v>8652</v>
      </c>
      <c r="L465" s="149" t="s">
        <v>887</v>
      </c>
      <c r="M465" s="151">
        <v>2573.81</v>
      </c>
    </row>
    <row r="466" spans="1:13" s="149" customFormat="1" x14ac:dyDescent="0.25">
      <c r="A466" s="149" t="s">
        <v>7639</v>
      </c>
      <c r="B466" s="149" t="s">
        <v>888</v>
      </c>
      <c r="C466" s="149">
        <v>11</v>
      </c>
      <c r="D466" s="149">
        <v>220</v>
      </c>
      <c r="E466" s="149">
        <v>0</v>
      </c>
      <c r="F466" s="149">
        <v>655000</v>
      </c>
      <c r="G466" s="149">
        <v>53420</v>
      </c>
      <c r="H466" s="150" t="str">
        <f t="shared" si="21"/>
        <v>5</v>
      </c>
      <c r="I466" s="150" t="str">
        <f t="shared" si="22"/>
        <v>53</v>
      </c>
      <c r="J466" s="150" t="str">
        <f t="shared" si="23"/>
        <v>534</v>
      </c>
      <c r="K466" s="150" t="s">
        <v>8653</v>
      </c>
      <c r="L466" s="149" t="s">
        <v>889</v>
      </c>
      <c r="M466" s="151">
        <v>64144.34</v>
      </c>
    </row>
    <row r="467" spans="1:13" s="149" customFormat="1" x14ac:dyDescent="0.25">
      <c r="A467" s="149" t="s">
        <v>7639</v>
      </c>
      <c r="B467" s="149" t="s">
        <v>890</v>
      </c>
      <c r="C467" s="149">
        <v>11</v>
      </c>
      <c r="D467" s="149">
        <v>220</v>
      </c>
      <c r="E467" s="149">
        <v>0</v>
      </c>
      <c r="F467" s="149">
        <v>655000</v>
      </c>
      <c r="G467" s="149">
        <v>53520</v>
      </c>
      <c r="H467" s="150" t="str">
        <f t="shared" si="21"/>
        <v>5</v>
      </c>
      <c r="I467" s="150" t="str">
        <f t="shared" si="22"/>
        <v>53</v>
      </c>
      <c r="J467" s="150" t="str">
        <f t="shared" si="23"/>
        <v>535</v>
      </c>
      <c r="K467" s="150" t="s">
        <v>8654</v>
      </c>
      <c r="L467" s="149" t="s">
        <v>891</v>
      </c>
      <c r="M467" s="151">
        <v>88.76</v>
      </c>
    </row>
    <row r="468" spans="1:13" s="149" customFormat="1" x14ac:dyDescent="0.25">
      <c r="A468" s="149" t="s">
        <v>7639</v>
      </c>
      <c r="B468" s="149" t="s">
        <v>892</v>
      </c>
      <c r="C468" s="149">
        <v>11</v>
      </c>
      <c r="D468" s="149">
        <v>220</v>
      </c>
      <c r="E468" s="149">
        <v>0</v>
      </c>
      <c r="F468" s="149">
        <v>655000</v>
      </c>
      <c r="G468" s="149">
        <v>53620</v>
      </c>
      <c r="H468" s="150" t="str">
        <f t="shared" si="21"/>
        <v>5</v>
      </c>
      <c r="I468" s="150" t="str">
        <f t="shared" si="22"/>
        <v>53</v>
      </c>
      <c r="J468" s="150" t="str">
        <f t="shared" si="23"/>
        <v>536</v>
      </c>
      <c r="K468" s="150" t="s">
        <v>8655</v>
      </c>
      <c r="L468" s="149" t="s">
        <v>893</v>
      </c>
      <c r="M468" s="151">
        <v>3356.23</v>
      </c>
    </row>
    <row r="469" spans="1:13" s="149" customFormat="1" x14ac:dyDescent="0.25">
      <c r="A469" s="149" t="s">
        <v>7639</v>
      </c>
      <c r="B469" s="149" t="s">
        <v>894</v>
      </c>
      <c r="C469" s="149">
        <v>11</v>
      </c>
      <c r="D469" s="149">
        <v>220</v>
      </c>
      <c r="E469" s="149">
        <v>0</v>
      </c>
      <c r="F469" s="149">
        <v>655000</v>
      </c>
      <c r="G469" s="149">
        <v>53920</v>
      </c>
      <c r="H469" s="150" t="str">
        <f t="shared" si="21"/>
        <v>5</v>
      </c>
      <c r="I469" s="150" t="str">
        <f t="shared" si="22"/>
        <v>53</v>
      </c>
      <c r="J469" s="150" t="str">
        <f t="shared" si="23"/>
        <v>539</v>
      </c>
      <c r="K469" s="150" t="s">
        <v>8656</v>
      </c>
      <c r="L469" s="149" t="s">
        <v>895</v>
      </c>
      <c r="M469" s="151">
        <v>0</v>
      </c>
    </row>
    <row r="470" spans="1:13" s="149" customFormat="1" x14ac:dyDescent="0.25">
      <c r="A470" s="149" t="s">
        <v>7639</v>
      </c>
      <c r="B470" s="149" t="s">
        <v>896</v>
      </c>
      <c r="C470" s="149">
        <v>11</v>
      </c>
      <c r="D470" s="149">
        <v>220</v>
      </c>
      <c r="E470" s="149">
        <v>0</v>
      </c>
      <c r="F470" s="149">
        <v>655000</v>
      </c>
      <c r="G470" s="149">
        <v>54300</v>
      </c>
      <c r="H470" s="150" t="str">
        <f t="shared" si="21"/>
        <v>5</v>
      </c>
      <c r="I470" s="150" t="str">
        <f t="shared" si="22"/>
        <v>54</v>
      </c>
      <c r="J470" s="150" t="str">
        <f t="shared" si="23"/>
        <v>543</v>
      </c>
      <c r="K470" s="150" t="s">
        <v>7925</v>
      </c>
      <c r="L470" s="149" t="s">
        <v>897</v>
      </c>
      <c r="M470" s="151">
        <v>2500</v>
      </c>
    </row>
    <row r="471" spans="1:13" s="149" customFormat="1" x14ac:dyDescent="0.25">
      <c r="A471" s="149" t="s">
        <v>7639</v>
      </c>
      <c r="B471" s="149" t="s">
        <v>898</v>
      </c>
      <c r="C471" s="149">
        <v>11</v>
      </c>
      <c r="D471" s="149">
        <v>220</v>
      </c>
      <c r="E471" s="149">
        <v>0</v>
      </c>
      <c r="F471" s="149">
        <v>655000</v>
      </c>
      <c r="G471" s="149">
        <v>54330</v>
      </c>
      <c r="H471" s="150" t="str">
        <f t="shared" si="21"/>
        <v>5</v>
      </c>
      <c r="I471" s="150" t="str">
        <f t="shared" si="22"/>
        <v>54</v>
      </c>
      <c r="J471" s="150" t="str">
        <f t="shared" si="23"/>
        <v>543</v>
      </c>
      <c r="K471" s="150" t="s">
        <v>7986</v>
      </c>
      <c r="L471" s="149" t="s">
        <v>899</v>
      </c>
      <c r="M471" s="151">
        <v>10000</v>
      </c>
    </row>
    <row r="472" spans="1:13" s="149" customFormat="1" x14ac:dyDescent="0.25">
      <c r="A472" s="149" t="s">
        <v>7639</v>
      </c>
      <c r="B472" s="149" t="s">
        <v>900</v>
      </c>
      <c r="C472" s="149">
        <v>11</v>
      </c>
      <c r="D472" s="149">
        <v>220</v>
      </c>
      <c r="E472" s="149">
        <v>0</v>
      </c>
      <c r="F472" s="149">
        <v>655000</v>
      </c>
      <c r="G472" s="149">
        <v>55630</v>
      </c>
      <c r="H472" s="150" t="str">
        <f t="shared" si="21"/>
        <v>5</v>
      </c>
      <c r="I472" s="150" t="str">
        <f t="shared" si="22"/>
        <v>55</v>
      </c>
      <c r="J472" s="150" t="str">
        <f t="shared" si="23"/>
        <v>556</v>
      </c>
      <c r="K472" s="150" t="s">
        <v>8186</v>
      </c>
      <c r="L472" s="149" t="s">
        <v>901</v>
      </c>
      <c r="M472" s="151">
        <v>0.7</v>
      </c>
    </row>
    <row r="473" spans="1:13" s="149" customFormat="1" x14ac:dyDescent="0.25">
      <c r="A473" s="149" t="s">
        <v>7639</v>
      </c>
      <c r="B473" s="149" t="s">
        <v>902</v>
      </c>
      <c r="C473" s="149">
        <v>11</v>
      </c>
      <c r="D473" s="149">
        <v>220</v>
      </c>
      <c r="E473" s="149">
        <v>0</v>
      </c>
      <c r="F473" s="149">
        <v>655000</v>
      </c>
      <c r="G473" s="149">
        <v>55650</v>
      </c>
      <c r="H473" s="150" t="str">
        <f t="shared" si="21"/>
        <v>5</v>
      </c>
      <c r="I473" s="150" t="str">
        <f t="shared" si="22"/>
        <v>55</v>
      </c>
      <c r="J473" s="150" t="str">
        <f t="shared" si="23"/>
        <v>556</v>
      </c>
      <c r="K473" s="150" t="s">
        <v>8292</v>
      </c>
      <c r="L473" s="149" t="s">
        <v>903</v>
      </c>
      <c r="M473" s="151">
        <v>7000</v>
      </c>
    </row>
    <row r="474" spans="1:13" s="149" customFormat="1" x14ac:dyDescent="0.25">
      <c r="A474" s="149" t="s">
        <v>7639</v>
      </c>
      <c r="B474" s="149" t="s">
        <v>904</v>
      </c>
      <c r="C474" s="149">
        <v>11</v>
      </c>
      <c r="D474" s="149">
        <v>220</v>
      </c>
      <c r="E474" s="149">
        <v>0</v>
      </c>
      <c r="F474" s="149">
        <v>655000</v>
      </c>
      <c r="G474" s="149">
        <v>55651</v>
      </c>
      <c r="H474" s="150" t="str">
        <f t="shared" si="21"/>
        <v>5</v>
      </c>
      <c r="I474" s="150" t="str">
        <f t="shared" si="22"/>
        <v>55</v>
      </c>
      <c r="J474" s="150" t="str">
        <f t="shared" si="23"/>
        <v>556</v>
      </c>
      <c r="K474" s="150" t="s">
        <v>8313</v>
      </c>
      <c r="L474" s="149" t="s">
        <v>905</v>
      </c>
      <c r="M474" s="151">
        <v>13000</v>
      </c>
    </row>
    <row r="475" spans="1:13" s="149" customFormat="1" x14ac:dyDescent="0.25">
      <c r="A475" s="149" t="s">
        <v>7639</v>
      </c>
      <c r="B475" s="149" t="s">
        <v>906</v>
      </c>
      <c r="C475" s="149">
        <v>11</v>
      </c>
      <c r="D475" s="149">
        <v>220</v>
      </c>
      <c r="E475" s="149">
        <v>0</v>
      </c>
      <c r="F475" s="149">
        <v>659010</v>
      </c>
      <c r="G475" s="149">
        <v>52105</v>
      </c>
      <c r="H475" s="150" t="str">
        <f t="shared" si="21"/>
        <v>5</v>
      </c>
      <c r="I475" s="150" t="str">
        <f t="shared" si="22"/>
        <v>52</v>
      </c>
      <c r="J475" s="150" t="str">
        <f t="shared" si="23"/>
        <v>521</v>
      </c>
      <c r="K475" s="150" t="s">
        <v>8657</v>
      </c>
      <c r="L475" s="149" t="s">
        <v>907</v>
      </c>
      <c r="M475" s="151">
        <v>40196.800000000003</v>
      </c>
    </row>
    <row r="476" spans="1:13" s="149" customFormat="1" x14ac:dyDescent="0.25">
      <c r="A476" s="149" t="s">
        <v>7639</v>
      </c>
      <c r="B476" s="149" t="s">
        <v>908</v>
      </c>
      <c r="C476" s="149">
        <v>11</v>
      </c>
      <c r="D476" s="149">
        <v>220</v>
      </c>
      <c r="E476" s="149">
        <v>0</v>
      </c>
      <c r="F476" s="149">
        <v>659010</v>
      </c>
      <c r="G476" s="149">
        <v>52125</v>
      </c>
      <c r="H476" s="150" t="str">
        <f t="shared" si="21"/>
        <v>5</v>
      </c>
      <c r="I476" s="150" t="str">
        <f t="shared" si="22"/>
        <v>52</v>
      </c>
      <c r="J476" s="150" t="str">
        <f t="shared" si="23"/>
        <v>521</v>
      </c>
      <c r="K476" s="150" t="s">
        <v>8658</v>
      </c>
      <c r="L476" s="149" t="s">
        <v>909</v>
      </c>
      <c r="M476" s="151">
        <v>11278.75</v>
      </c>
    </row>
    <row r="477" spans="1:13" s="149" customFormat="1" x14ac:dyDescent="0.25">
      <c r="A477" s="149" t="s">
        <v>7639</v>
      </c>
      <c r="B477" s="149" t="s">
        <v>910</v>
      </c>
      <c r="C477" s="149">
        <v>11</v>
      </c>
      <c r="D477" s="149">
        <v>220</v>
      </c>
      <c r="E477" s="149">
        <v>0</v>
      </c>
      <c r="F477" s="149">
        <v>659010</v>
      </c>
      <c r="G477" s="149">
        <v>52130</v>
      </c>
      <c r="H477" s="150" t="str">
        <f t="shared" si="21"/>
        <v>5</v>
      </c>
      <c r="I477" s="150" t="str">
        <f t="shared" si="22"/>
        <v>52</v>
      </c>
      <c r="J477" s="150" t="str">
        <f t="shared" si="23"/>
        <v>521</v>
      </c>
      <c r="K477" s="150" t="s">
        <v>8659</v>
      </c>
      <c r="L477" s="149" t="s">
        <v>911</v>
      </c>
      <c r="M477" s="151">
        <v>138351.4</v>
      </c>
    </row>
    <row r="478" spans="1:13" s="149" customFormat="1" x14ac:dyDescent="0.25">
      <c r="A478" s="149" t="s">
        <v>7639</v>
      </c>
      <c r="B478" s="149" t="s">
        <v>912</v>
      </c>
      <c r="C478" s="149">
        <v>11</v>
      </c>
      <c r="D478" s="149">
        <v>220</v>
      </c>
      <c r="E478" s="149">
        <v>0</v>
      </c>
      <c r="F478" s="149">
        <v>659010</v>
      </c>
      <c r="G478" s="149">
        <v>52360</v>
      </c>
      <c r="H478" s="150" t="str">
        <f t="shared" si="21"/>
        <v>5</v>
      </c>
      <c r="I478" s="150" t="str">
        <f t="shared" si="22"/>
        <v>52</v>
      </c>
      <c r="J478" s="150" t="str">
        <f t="shared" si="23"/>
        <v>523</v>
      </c>
      <c r="K478" s="150" t="s">
        <v>7863</v>
      </c>
      <c r="L478" s="149" t="s">
        <v>913</v>
      </c>
      <c r="M478" s="151">
        <v>14000</v>
      </c>
    </row>
    <row r="479" spans="1:13" s="149" customFormat="1" x14ac:dyDescent="0.25">
      <c r="A479" s="149" t="s">
        <v>7639</v>
      </c>
      <c r="B479" s="149" t="s">
        <v>914</v>
      </c>
      <c r="C479" s="149">
        <v>11</v>
      </c>
      <c r="D479" s="149">
        <v>220</v>
      </c>
      <c r="E479" s="149">
        <v>0</v>
      </c>
      <c r="F479" s="149">
        <v>659010</v>
      </c>
      <c r="G479" s="149">
        <v>53220</v>
      </c>
      <c r="H479" s="150" t="str">
        <f t="shared" si="21"/>
        <v>5</v>
      </c>
      <c r="I479" s="150" t="str">
        <f t="shared" si="22"/>
        <v>53</v>
      </c>
      <c r="J479" s="150" t="str">
        <f t="shared" si="23"/>
        <v>532</v>
      </c>
      <c r="K479" s="150" t="s">
        <v>8660</v>
      </c>
      <c r="L479" s="149" t="s">
        <v>915</v>
      </c>
      <c r="M479" s="151">
        <v>39294.18</v>
      </c>
    </row>
    <row r="480" spans="1:13" s="149" customFormat="1" x14ac:dyDescent="0.25">
      <c r="A480" s="149" t="s">
        <v>7639</v>
      </c>
      <c r="B480" s="149" t="s">
        <v>916</v>
      </c>
      <c r="C480" s="149">
        <v>11</v>
      </c>
      <c r="D480" s="149">
        <v>220</v>
      </c>
      <c r="E480" s="149">
        <v>0</v>
      </c>
      <c r="F480" s="149">
        <v>659010</v>
      </c>
      <c r="G480" s="149">
        <v>53320</v>
      </c>
      <c r="H480" s="150" t="str">
        <f t="shared" si="21"/>
        <v>5</v>
      </c>
      <c r="I480" s="150" t="str">
        <f t="shared" si="22"/>
        <v>53</v>
      </c>
      <c r="J480" s="150" t="str">
        <f t="shared" si="23"/>
        <v>533</v>
      </c>
      <c r="K480" s="150" t="s">
        <v>8661</v>
      </c>
      <c r="L480" s="149" t="s">
        <v>917</v>
      </c>
      <c r="M480" s="151">
        <v>12637.26</v>
      </c>
    </row>
    <row r="481" spans="1:13" s="149" customFormat="1" x14ac:dyDescent="0.25">
      <c r="A481" s="149" t="s">
        <v>7639</v>
      </c>
      <c r="B481" s="149" t="s">
        <v>918</v>
      </c>
      <c r="C481" s="149">
        <v>11</v>
      </c>
      <c r="D481" s="149">
        <v>220</v>
      </c>
      <c r="E481" s="149">
        <v>0</v>
      </c>
      <c r="F481" s="149">
        <v>659010</v>
      </c>
      <c r="G481" s="149">
        <v>53340</v>
      </c>
      <c r="H481" s="150" t="str">
        <f t="shared" si="21"/>
        <v>5</v>
      </c>
      <c r="I481" s="150" t="str">
        <f t="shared" si="22"/>
        <v>53</v>
      </c>
      <c r="J481" s="150" t="str">
        <f t="shared" si="23"/>
        <v>533</v>
      </c>
      <c r="K481" s="150" t="s">
        <v>8662</v>
      </c>
      <c r="L481" s="149" t="s">
        <v>919</v>
      </c>
      <c r="M481" s="151">
        <v>2955.48</v>
      </c>
    </row>
    <row r="482" spans="1:13" s="149" customFormat="1" x14ac:dyDescent="0.25">
      <c r="A482" s="149" t="s">
        <v>7639</v>
      </c>
      <c r="B482" s="149" t="s">
        <v>920</v>
      </c>
      <c r="C482" s="149">
        <v>11</v>
      </c>
      <c r="D482" s="149">
        <v>220</v>
      </c>
      <c r="E482" s="149">
        <v>0</v>
      </c>
      <c r="F482" s="149">
        <v>659010</v>
      </c>
      <c r="G482" s="149">
        <v>53420</v>
      </c>
      <c r="H482" s="150" t="str">
        <f t="shared" si="21"/>
        <v>5</v>
      </c>
      <c r="I482" s="150" t="str">
        <f t="shared" si="22"/>
        <v>53</v>
      </c>
      <c r="J482" s="150" t="str">
        <f t="shared" si="23"/>
        <v>534</v>
      </c>
      <c r="K482" s="150" t="s">
        <v>8663</v>
      </c>
      <c r="L482" s="149" t="s">
        <v>921</v>
      </c>
      <c r="M482" s="151">
        <v>40545.29</v>
      </c>
    </row>
    <row r="483" spans="1:13" s="149" customFormat="1" x14ac:dyDescent="0.25">
      <c r="A483" s="149" t="s">
        <v>7639</v>
      </c>
      <c r="B483" s="149" t="s">
        <v>922</v>
      </c>
      <c r="C483" s="149">
        <v>11</v>
      </c>
      <c r="D483" s="149">
        <v>220</v>
      </c>
      <c r="E483" s="149">
        <v>0</v>
      </c>
      <c r="F483" s="149">
        <v>659010</v>
      </c>
      <c r="G483" s="149">
        <v>53520</v>
      </c>
      <c r="H483" s="150" t="str">
        <f t="shared" si="21"/>
        <v>5</v>
      </c>
      <c r="I483" s="150" t="str">
        <f t="shared" si="22"/>
        <v>53</v>
      </c>
      <c r="J483" s="150" t="str">
        <f t="shared" si="23"/>
        <v>535</v>
      </c>
      <c r="K483" s="150" t="s">
        <v>8664</v>
      </c>
      <c r="L483" s="149" t="s">
        <v>923</v>
      </c>
      <c r="M483" s="151">
        <v>101.92</v>
      </c>
    </row>
    <row r="484" spans="1:13" s="149" customFormat="1" x14ac:dyDescent="0.25">
      <c r="A484" s="149" t="s">
        <v>7639</v>
      </c>
      <c r="B484" s="149" t="s">
        <v>924</v>
      </c>
      <c r="C484" s="149">
        <v>11</v>
      </c>
      <c r="D484" s="149">
        <v>220</v>
      </c>
      <c r="E484" s="149">
        <v>0</v>
      </c>
      <c r="F484" s="149">
        <v>659010</v>
      </c>
      <c r="G484" s="149">
        <v>53620</v>
      </c>
      <c r="H484" s="150" t="str">
        <f t="shared" si="21"/>
        <v>5</v>
      </c>
      <c r="I484" s="150" t="str">
        <f t="shared" si="22"/>
        <v>53</v>
      </c>
      <c r="J484" s="150" t="str">
        <f t="shared" si="23"/>
        <v>536</v>
      </c>
      <c r="K484" s="150" t="s">
        <v>8665</v>
      </c>
      <c r="L484" s="149" t="s">
        <v>925</v>
      </c>
      <c r="M484" s="151">
        <v>3853.96</v>
      </c>
    </row>
    <row r="485" spans="1:13" s="149" customFormat="1" x14ac:dyDescent="0.25">
      <c r="A485" s="149" t="s">
        <v>7639</v>
      </c>
      <c r="B485" s="149" t="s">
        <v>926</v>
      </c>
      <c r="C485" s="149">
        <v>11</v>
      </c>
      <c r="D485" s="149">
        <v>220</v>
      </c>
      <c r="E485" s="149">
        <v>0</v>
      </c>
      <c r="F485" s="149">
        <v>659010</v>
      </c>
      <c r="G485" s="149">
        <v>53920</v>
      </c>
      <c r="H485" s="150" t="str">
        <f t="shared" si="21"/>
        <v>5</v>
      </c>
      <c r="I485" s="150" t="str">
        <f t="shared" si="22"/>
        <v>53</v>
      </c>
      <c r="J485" s="150" t="str">
        <f t="shared" si="23"/>
        <v>539</v>
      </c>
      <c r="K485" s="150" t="s">
        <v>8666</v>
      </c>
      <c r="L485" s="149" t="s">
        <v>927</v>
      </c>
      <c r="M485" s="151">
        <v>1920</v>
      </c>
    </row>
    <row r="486" spans="1:13" s="149" customFormat="1" x14ac:dyDescent="0.25">
      <c r="A486" s="149" t="s">
        <v>7639</v>
      </c>
      <c r="B486" s="149" t="s">
        <v>928</v>
      </c>
      <c r="C486" s="149">
        <v>11</v>
      </c>
      <c r="D486" s="149">
        <v>220</v>
      </c>
      <c r="E486" s="149">
        <v>0</v>
      </c>
      <c r="F486" s="149">
        <v>659010</v>
      </c>
      <c r="G486" s="149">
        <v>54300</v>
      </c>
      <c r="H486" s="150" t="str">
        <f t="shared" si="21"/>
        <v>5</v>
      </c>
      <c r="I486" s="150" t="str">
        <f t="shared" si="22"/>
        <v>54</v>
      </c>
      <c r="J486" s="150" t="str">
        <f t="shared" si="23"/>
        <v>543</v>
      </c>
      <c r="K486" s="150" t="s">
        <v>7926</v>
      </c>
      <c r="L486" s="149" t="s">
        <v>929</v>
      </c>
      <c r="M486" s="151">
        <v>28000</v>
      </c>
    </row>
    <row r="487" spans="1:13" s="149" customFormat="1" x14ac:dyDescent="0.25">
      <c r="A487" s="149" t="s">
        <v>7639</v>
      </c>
      <c r="B487" s="149" t="s">
        <v>930</v>
      </c>
      <c r="C487" s="149">
        <v>11</v>
      </c>
      <c r="D487" s="149">
        <v>220</v>
      </c>
      <c r="E487" s="149">
        <v>0</v>
      </c>
      <c r="F487" s="149">
        <v>659010</v>
      </c>
      <c r="G487" s="149">
        <v>55105</v>
      </c>
      <c r="H487" s="150" t="str">
        <f t="shared" si="21"/>
        <v>5</v>
      </c>
      <c r="I487" s="150" t="str">
        <f t="shared" si="22"/>
        <v>55</v>
      </c>
      <c r="J487" s="150" t="str">
        <f t="shared" si="23"/>
        <v>551</v>
      </c>
      <c r="K487" s="150" t="s">
        <v>8008</v>
      </c>
      <c r="L487" s="149" t="s">
        <v>931</v>
      </c>
      <c r="M487" s="151">
        <v>20700</v>
      </c>
    </row>
    <row r="488" spans="1:13" s="149" customFormat="1" x14ac:dyDescent="0.25">
      <c r="A488" s="149" t="s">
        <v>7639</v>
      </c>
      <c r="B488" s="149" t="s">
        <v>932</v>
      </c>
      <c r="C488" s="149">
        <v>11</v>
      </c>
      <c r="D488" s="149">
        <v>220</v>
      </c>
      <c r="E488" s="149">
        <v>0</v>
      </c>
      <c r="F488" s="149">
        <v>659010</v>
      </c>
      <c r="G488" s="149">
        <v>55550</v>
      </c>
      <c r="H488" s="150" t="str">
        <f t="shared" si="21"/>
        <v>5</v>
      </c>
      <c r="I488" s="150" t="str">
        <f t="shared" si="22"/>
        <v>55</v>
      </c>
      <c r="J488" s="150" t="str">
        <f t="shared" si="23"/>
        <v>555</v>
      </c>
      <c r="K488" s="150" t="s">
        <v>8131</v>
      </c>
      <c r="L488" s="149" t="s">
        <v>933</v>
      </c>
      <c r="M488" s="151">
        <v>0</v>
      </c>
    </row>
    <row r="489" spans="1:13" s="149" customFormat="1" x14ac:dyDescent="0.25">
      <c r="A489" s="149" t="s">
        <v>7639</v>
      </c>
      <c r="B489" s="149" t="s">
        <v>934</v>
      </c>
      <c r="C489" s="149">
        <v>11</v>
      </c>
      <c r="D489" s="149">
        <v>220</v>
      </c>
      <c r="E489" s="149">
        <v>0</v>
      </c>
      <c r="F489" s="149">
        <v>659010</v>
      </c>
      <c r="G489" s="149">
        <v>55600</v>
      </c>
      <c r="H489" s="150" t="str">
        <f t="shared" si="21"/>
        <v>5</v>
      </c>
      <c r="I489" s="150" t="str">
        <f t="shared" si="22"/>
        <v>55</v>
      </c>
      <c r="J489" s="150" t="str">
        <f t="shared" si="23"/>
        <v>556</v>
      </c>
      <c r="K489" s="150" t="s">
        <v>8149</v>
      </c>
      <c r="L489" s="149" t="s">
        <v>935</v>
      </c>
      <c r="M489" s="151">
        <v>800</v>
      </c>
    </row>
    <row r="490" spans="1:13" s="149" customFormat="1" x14ac:dyDescent="0.25">
      <c r="A490" s="149" t="s">
        <v>7639</v>
      </c>
      <c r="B490" s="149" t="s">
        <v>936</v>
      </c>
      <c r="C490" s="149">
        <v>11</v>
      </c>
      <c r="D490" s="149">
        <v>220</v>
      </c>
      <c r="E490" s="149">
        <v>0</v>
      </c>
      <c r="F490" s="149">
        <v>659010</v>
      </c>
      <c r="G490" s="149">
        <v>55630</v>
      </c>
      <c r="H490" s="150" t="str">
        <f t="shared" si="21"/>
        <v>5</v>
      </c>
      <c r="I490" s="150" t="str">
        <f t="shared" si="22"/>
        <v>55</v>
      </c>
      <c r="J490" s="150" t="str">
        <f t="shared" si="23"/>
        <v>556</v>
      </c>
      <c r="K490" s="150" t="s">
        <v>8187</v>
      </c>
      <c r="L490" s="149" t="s">
        <v>937</v>
      </c>
      <c r="M490" s="151">
        <v>500</v>
      </c>
    </row>
    <row r="491" spans="1:13" s="149" customFormat="1" x14ac:dyDescent="0.25">
      <c r="A491" s="149" t="s">
        <v>7639</v>
      </c>
      <c r="B491" s="149" t="s">
        <v>938</v>
      </c>
      <c r="C491" s="149">
        <v>11</v>
      </c>
      <c r="D491" s="149">
        <v>220</v>
      </c>
      <c r="E491" s="149">
        <v>0</v>
      </c>
      <c r="F491" s="149">
        <v>659010</v>
      </c>
      <c r="G491" s="149">
        <v>55650</v>
      </c>
      <c r="H491" s="150" t="str">
        <f t="shared" si="21"/>
        <v>5</v>
      </c>
      <c r="I491" s="150" t="str">
        <f t="shared" si="22"/>
        <v>55</v>
      </c>
      <c r="J491" s="150" t="str">
        <f t="shared" si="23"/>
        <v>556</v>
      </c>
      <c r="K491" s="150" t="s">
        <v>8293</v>
      </c>
      <c r="L491" s="149" t="s">
        <v>939</v>
      </c>
      <c r="M491" s="151">
        <v>18500</v>
      </c>
    </row>
    <row r="492" spans="1:13" s="149" customFormat="1" x14ac:dyDescent="0.25">
      <c r="A492" s="149" t="s">
        <v>7639</v>
      </c>
      <c r="B492" s="149" t="s">
        <v>940</v>
      </c>
      <c r="C492" s="149">
        <v>11</v>
      </c>
      <c r="D492" s="149">
        <v>220</v>
      </c>
      <c r="E492" s="149">
        <v>0</v>
      </c>
      <c r="F492" s="149">
        <v>659010</v>
      </c>
      <c r="G492" s="149">
        <v>55651</v>
      </c>
      <c r="H492" s="150" t="str">
        <f t="shared" si="21"/>
        <v>5</v>
      </c>
      <c r="I492" s="150" t="str">
        <f t="shared" si="22"/>
        <v>55</v>
      </c>
      <c r="J492" s="150" t="str">
        <f t="shared" si="23"/>
        <v>556</v>
      </c>
      <c r="K492" s="150" t="s">
        <v>8314</v>
      </c>
      <c r="L492" s="149" t="s">
        <v>941</v>
      </c>
      <c r="M492" s="151">
        <v>2500</v>
      </c>
    </row>
    <row r="493" spans="1:13" s="149" customFormat="1" x14ac:dyDescent="0.25">
      <c r="A493" s="149" t="s">
        <v>7639</v>
      </c>
      <c r="B493" s="149" t="s">
        <v>942</v>
      </c>
      <c r="C493" s="149">
        <v>11</v>
      </c>
      <c r="D493" s="149">
        <v>220</v>
      </c>
      <c r="E493" s="149">
        <v>0</v>
      </c>
      <c r="F493" s="149">
        <v>659010</v>
      </c>
      <c r="G493" s="149">
        <v>55830</v>
      </c>
      <c r="H493" s="150" t="str">
        <f t="shared" si="21"/>
        <v>5</v>
      </c>
      <c r="I493" s="150" t="str">
        <f t="shared" si="22"/>
        <v>55</v>
      </c>
      <c r="J493" s="150" t="str">
        <f t="shared" si="23"/>
        <v>558</v>
      </c>
      <c r="K493" s="150" t="s">
        <v>8349</v>
      </c>
      <c r="L493" s="149" t="s">
        <v>943</v>
      </c>
      <c r="M493" s="151">
        <v>500</v>
      </c>
    </row>
    <row r="494" spans="1:13" s="149" customFormat="1" x14ac:dyDescent="0.25">
      <c r="A494" s="149" t="s">
        <v>7639</v>
      </c>
      <c r="B494" s="149" t="s">
        <v>944</v>
      </c>
      <c r="C494" s="149">
        <v>11</v>
      </c>
      <c r="D494" s="149">
        <v>220</v>
      </c>
      <c r="E494" s="149">
        <v>0</v>
      </c>
      <c r="F494" s="149">
        <v>659010</v>
      </c>
      <c r="G494" s="149">
        <v>56216</v>
      </c>
      <c r="H494" s="150" t="str">
        <f t="shared" si="21"/>
        <v>5</v>
      </c>
      <c r="I494" s="150" t="str">
        <f t="shared" si="22"/>
        <v>56</v>
      </c>
      <c r="J494" s="150" t="str">
        <f t="shared" si="23"/>
        <v>562</v>
      </c>
      <c r="K494" s="150" t="s">
        <v>8356</v>
      </c>
      <c r="L494" s="149" t="s">
        <v>945</v>
      </c>
      <c r="M494" s="151">
        <v>425</v>
      </c>
    </row>
    <row r="495" spans="1:13" s="149" customFormat="1" x14ac:dyDescent="0.25">
      <c r="A495" s="149" t="s">
        <v>7639</v>
      </c>
      <c r="B495" s="149" t="s">
        <v>946</v>
      </c>
      <c r="C495" s="149">
        <v>11</v>
      </c>
      <c r="D495" s="149">
        <v>220</v>
      </c>
      <c r="E495" s="149">
        <v>0</v>
      </c>
      <c r="F495" s="149">
        <v>659020</v>
      </c>
      <c r="G495" s="149">
        <v>54300</v>
      </c>
      <c r="H495" s="150" t="str">
        <f t="shared" si="21"/>
        <v>5</v>
      </c>
      <c r="I495" s="150" t="str">
        <f t="shared" si="22"/>
        <v>54</v>
      </c>
      <c r="J495" s="150" t="str">
        <f t="shared" si="23"/>
        <v>543</v>
      </c>
      <c r="K495" s="150" t="s">
        <v>7927</v>
      </c>
      <c r="L495" s="149" t="s">
        <v>947</v>
      </c>
      <c r="M495" s="151">
        <v>500</v>
      </c>
    </row>
    <row r="496" spans="1:13" s="149" customFormat="1" x14ac:dyDescent="0.25">
      <c r="A496" s="149" t="s">
        <v>7639</v>
      </c>
      <c r="B496" s="149" t="s">
        <v>948</v>
      </c>
      <c r="C496" s="149">
        <v>11</v>
      </c>
      <c r="D496" s="149">
        <v>220</v>
      </c>
      <c r="E496" s="149">
        <v>0</v>
      </c>
      <c r="F496" s="149">
        <v>659020</v>
      </c>
      <c r="G496" s="149">
        <v>55105</v>
      </c>
      <c r="H496" s="150" t="str">
        <f t="shared" si="21"/>
        <v>5</v>
      </c>
      <c r="I496" s="150" t="str">
        <f t="shared" si="22"/>
        <v>55</v>
      </c>
      <c r="J496" s="150" t="str">
        <f t="shared" si="23"/>
        <v>551</v>
      </c>
      <c r="K496" s="150" t="s">
        <v>8009</v>
      </c>
      <c r="L496" s="149" t="s">
        <v>949</v>
      </c>
      <c r="M496" s="151">
        <v>500</v>
      </c>
    </row>
    <row r="497" spans="1:13" s="149" customFormat="1" x14ac:dyDescent="0.25">
      <c r="A497" s="149" t="s">
        <v>7639</v>
      </c>
      <c r="B497" s="149" t="s">
        <v>950</v>
      </c>
      <c r="C497" s="149">
        <v>11</v>
      </c>
      <c r="D497" s="149">
        <v>220</v>
      </c>
      <c r="E497" s="149">
        <v>0</v>
      </c>
      <c r="F497" s="149">
        <v>659020</v>
      </c>
      <c r="G497" s="149">
        <v>55575</v>
      </c>
      <c r="H497" s="150" t="str">
        <f t="shared" si="21"/>
        <v>5</v>
      </c>
      <c r="I497" s="150" t="str">
        <f t="shared" si="22"/>
        <v>55</v>
      </c>
      <c r="J497" s="150" t="str">
        <f t="shared" si="23"/>
        <v>555</v>
      </c>
      <c r="K497" s="150" t="s">
        <v>8143</v>
      </c>
      <c r="L497" s="149" t="s">
        <v>951</v>
      </c>
      <c r="M497" s="151">
        <v>14500</v>
      </c>
    </row>
    <row r="498" spans="1:13" s="149" customFormat="1" x14ac:dyDescent="0.25">
      <c r="A498" s="149" t="s">
        <v>7639</v>
      </c>
      <c r="B498" s="149" t="s">
        <v>952</v>
      </c>
      <c r="C498" s="149">
        <v>11</v>
      </c>
      <c r="D498" s="149">
        <v>220</v>
      </c>
      <c r="E498" s="149">
        <v>0</v>
      </c>
      <c r="F498" s="149">
        <v>659020</v>
      </c>
      <c r="G498" s="149">
        <v>56217</v>
      </c>
      <c r="H498" s="150" t="str">
        <f t="shared" si="21"/>
        <v>5</v>
      </c>
      <c r="I498" s="150" t="str">
        <f t="shared" si="22"/>
        <v>56</v>
      </c>
      <c r="J498" s="150" t="str">
        <f t="shared" si="23"/>
        <v>562</v>
      </c>
      <c r="K498" s="150" t="s">
        <v>8357</v>
      </c>
      <c r="L498" s="149" t="s">
        <v>953</v>
      </c>
      <c r="M498" s="151">
        <v>5500</v>
      </c>
    </row>
    <row r="499" spans="1:13" s="149" customFormat="1" x14ac:dyDescent="0.25">
      <c r="A499" s="149" t="s">
        <v>7639</v>
      </c>
      <c r="B499" s="149" t="s">
        <v>954</v>
      </c>
      <c r="C499" s="149">
        <v>11</v>
      </c>
      <c r="D499" s="149">
        <v>220</v>
      </c>
      <c r="E499" s="149">
        <v>0</v>
      </c>
      <c r="F499" s="149">
        <v>677000</v>
      </c>
      <c r="G499" s="149">
        <v>52105</v>
      </c>
      <c r="H499" s="150" t="str">
        <f t="shared" si="21"/>
        <v>5</v>
      </c>
      <c r="I499" s="150" t="str">
        <f t="shared" si="22"/>
        <v>52</v>
      </c>
      <c r="J499" s="150" t="str">
        <f t="shared" si="23"/>
        <v>521</v>
      </c>
      <c r="K499" s="150" t="s">
        <v>8667</v>
      </c>
      <c r="L499" s="149" t="s">
        <v>785</v>
      </c>
      <c r="M499" s="151">
        <v>52280</v>
      </c>
    </row>
    <row r="500" spans="1:13" s="149" customFormat="1" x14ac:dyDescent="0.25">
      <c r="A500" s="149" t="s">
        <v>7639</v>
      </c>
      <c r="B500" s="149" t="s">
        <v>955</v>
      </c>
      <c r="C500" s="149">
        <v>11</v>
      </c>
      <c r="D500" s="149">
        <v>220</v>
      </c>
      <c r="E500" s="149">
        <v>0</v>
      </c>
      <c r="F500" s="149">
        <v>677000</v>
      </c>
      <c r="G500" s="149">
        <v>52300</v>
      </c>
      <c r="H500" s="150" t="str">
        <f t="shared" si="21"/>
        <v>5</v>
      </c>
      <c r="I500" s="150" t="str">
        <f t="shared" si="22"/>
        <v>52</v>
      </c>
      <c r="J500" s="150" t="str">
        <f t="shared" si="23"/>
        <v>523</v>
      </c>
      <c r="K500" s="150" t="s">
        <v>7816</v>
      </c>
      <c r="L500" s="149" t="s">
        <v>956</v>
      </c>
      <c r="M500" s="151">
        <v>0</v>
      </c>
    </row>
    <row r="501" spans="1:13" s="149" customFormat="1" x14ac:dyDescent="0.25">
      <c r="A501" s="149" t="s">
        <v>7639</v>
      </c>
      <c r="B501" s="149" t="s">
        <v>957</v>
      </c>
      <c r="C501" s="149">
        <v>11</v>
      </c>
      <c r="D501" s="149">
        <v>220</v>
      </c>
      <c r="E501" s="149">
        <v>0</v>
      </c>
      <c r="F501" s="149">
        <v>677000</v>
      </c>
      <c r="G501" s="149">
        <v>53220</v>
      </c>
      <c r="H501" s="150" t="str">
        <f t="shared" si="21"/>
        <v>5</v>
      </c>
      <c r="I501" s="150" t="str">
        <f t="shared" si="22"/>
        <v>53</v>
      </c>
      <c r="J501" s="150" t="str">
        <f t="shared" si="23"/>
        <v>532</v>
      </c>
      <c r="K501" s="150" t="s">
        <v>8668</v>
      </c>
      <c r="L501" s="149" t="s">
        <v>787</v>
      </c>
      <c r="M501" s="151">
        <v>10821.96</v>
      </c>
    </row>
    <row r="502" spans="1:13" s="149" customFormat="1" x14ac:dyDescent="0.25">
      <c r="A502" s="149" t="s">
        <v>7639</v>
      </c>
      <c r="B502" s="149" t="s">
        <v>958</v>
      </c>
      <c r="C502" s="149">
        <v>11</v>
      </c>
      <c r="D502" s="149">
        <v>220</v>
      </c>
      <c r="E502" s="149">
        <v>0</v>
      </c>
      <c r="F502" s="149">
        <v>677000</v>
      </c>
      <c r="G502" s="149">
        <v>53320</v>
      </c>
      <c r="H502" s="150" t="str">
        <f t="shared" si="21"/>
        <v>5</v>
      </c>
      <c r="I502" s="150" t="str">
        <f t="shared" si="22"/>
        <v>53</v>
      </c>
      <c r="J502" s="150" t="str">
        <f t="shared" si="23"/>
        <v>533</v>
      </c>
      <c r="K502" s="150" t="s">
        <v>8669</v>
      </c>
      <c r="L502" s="149" t="s">
        <v>789</v>
      </c>
      <c r="M502" s="151">
        <v>3241.36</v>
      </c>
    </row>
    <row r="503" spans="1:13" s="149" customFormat="1" x14ac:dyDescent="0.25">
      <c r="A503" s="149" t="s">
        <v>7639</v>
      </c>
      <c r="B503" s="149" t="s">
        <v>959</v>
      </c>
      <c r="C503" s="149">
        <v>11</v>
      </c>
      <c r="D503" s="149">
        <v>220</v>
      </c>
      <c r="E503" s="149">
        <v>0</v>
      </c>
      <c r="F503" s="149">
        <v>677000</v>
      </c>
      <c r="G503" s="149">
        <v>53340</v>
      </c>
      <c r="H503" s="150" t="str">
        <f t="shared" si="21"/>
        <v>5</v>
      </c>
      <c r="I503" s="150" t="str">
        <f t="shared" si="22"/>
        <v>53</v>
      </c>
      <c r="J503" s="150" t="str">
        <f t="shared" si="23"/>
        <v>533</v>
      </c>
      <c r="K503" s="150" t="s">
        <v>8670</v>
      </c>
      <c r="L503" s="149" t="s">
        <v>791</v>
      </c>
      <c r="M503" s="151">
        <v>758.06</v>
      </c>
    </row>
    <row r="504" spans="1:13" s="149" customFormat="1" x14ac:dyDescent="0.25">
      <c r="A504" s="149" t="s">
        <v>7639</v>
      </c>
      <c r="B504" s="149" t="s">
        <v>960</v>
      </c>
      <c r="C504" s="149">
        <v>11</v>
      </c>
      <c r="D504" s="149">
        <v>220</v>
      </c>
      <c r="E504" s="149">
        <v>0</v>
      </c>
      <c r="F504" s="149">
        <v>677000</v>
      </c>
      <c r="G504" s="149">
        <v>53420</v>
      </c>
      <c r="H504" s="150" t="str">
        <f t="shared" si="21"/>
        <v>5</v>
      </c>
      <c r="I504" s="150" t="str">
        <f t="shared" si="22"/>
        <v>53</v>
      </c>
      <c r="J504" s="150" t="str">
        <f t="shared" si="23"/>
        <v>534</v>
      </c>
      <c r="K504" s="150" t="s">
        <v>8671</v>
      </c>
      <c r="L504" s="149" t="s">
        <v>793</v>
      </c>
      <c r="M504" s="151">
        <v>25240.73</v>
      </c>
    </row>
    <row r="505" spans="1:13" s="149" customFormat="1" x14ac:dyDescent="0.25">
      <c r="A505" s="149" t="s">
        <v>7639</v>
      </c>
      <c r="B505" s="149" t="s">
        <v>961</v>
      </c>
      <c r="C505" s="149">
        <v>11</v>
      </c>
      <c r="D505" s="149">
        <v>220</v>
      </c>
      <c r="E505" s="149">
        <v>0</v>
      </c>
      <c r="F505" s="149">
        <v>677000</v>
      </c>
      <c r="G505" s="149">
        <v>53520</v>
      </c>
      <c r="H505" s="150" t="str">
        <f t="shared" si="21"/>
        <v>5</v>
      </c>
      <c r="I505" s="150" t="str">
        <f t="shared" si="22"/>
        <v>53</v>
      </c>
      <c r="J505" s="150" t="str">
        <f t="shared" si="23"/>
        <v>535</v>
      </c>
      <c r="K505" s="150" t="s">
        <v>8672</v>
      </c>
      <c r="L505" s="149" t="s">
        <v>795</v>
      </c>
      <c r="M505" s="151">
        <v>26.14</v>
      </c>
    </row>
    <row r="506" spans="1:13" s="149" customFormat="1" x14ac:dyDescent="0.25">
      <c r="A506" s="149" t="s">
        <v>7639</v>
      </c>
      <c r="B506" s="149" t="s">
        <v>962</v>
      </c>
      <c r="C506" s="149">
        <v>11</v>
      </c>
      <c r="D506" s="149">
        <v>220</v>
      </c>
      <c r="E506" s="149">
        <v>0</v>
      </c>
      <c r="F506" s="149">
        <v>677000</v>
      </c>
      <c r="G506" s="149">
        <v>53620</v>
      </c>
      <c r="H506" s="150" t="str">
        <f t="shared" si="21"/>
        <v>5</v>
      </c>
      <c r="I506" s="150" t="str">
        <f t="shared" si="22"/>
        <v>53</v>
      </c>
      <c r="J506" s="150" t="str">
        <f t="shared" si="23"/>
        <v>536</v>
      </c>
      <c r="K506" s="150" t="s">
        <v>8673</v>
      </c>
      <c r="L506" s="149" t="s">
        <v>797</v>
      </c>
      <c r="M506" s="151">
        <v>988.51</v>
      </c>
    </row>
    <row r="507" spans="1:13" s="149" customFormat="1" x14ac:dyDescent="0.25">
      <c r="A507" s="149" t="s">
        <v>7639</v>
      </c>
      <c r="B507" s="149" t="s">
        <v>963</v>
      </c>
      <c r="C507" s="149">
        <v>11</v>
      </c>
      <c r="D507" s="149">
        <v>220</v>
      </c>
      <c r="E507" s="149">
        <v>0</v>
      </c>
      <c r="F507" s="149">
        <v>677000</v>
      </c>
      <c r="G507" s="149">
        <v>55630</v>
      </c>
      <c r="H507" s="150" t="str">
        <f t="shared" si="21"/>
        <v>5</v>
      </c>
      <c r="I507" s="150" t="str">
        <f t="shared" si="22"/>
        <v>55</v>
      </c>
      <c r="J507" s="150" t="str">
        <f t="shared" si="23"/>
        <v>556</v>
      </c>
      <c r="K507" s="150" t="s">
        <v>8188</v>
      </c>
      <c r="L507" s="149" t="s">
        <v>815</v>
      </c>
      <c r="M507" s="151">
        <v>115.27</v>
      </c>
    </row>
    <row r="508" spans="1:13" s="149" customFormat="1" x14ac:dyDescent="0.25">
      <c r="A508" s="149" t="s">
        <v>7639</v>
      </c>
      <c r="B508" s="149" t="s">
        <v>964</v>
      </c>
      <c r="C508" s="149">
        <v>11</v>
      </c>
      <c r="D508" s="149">
        <v>220</v>
      </c>
      <c r="E508" s="149">
        <v>0</v>
      </c>
      <c r="F508" s="149">
        <v>677300</v>
      </c>
      <c r="G508" s="149">
        <v>54349</v>
      </c>
      <c r="H508" s="150" t="str">
        <f t="shared" si="21"/>
        <v>5</v>
      </c>
      <c r="I508" s="150" t="str">
        <f t="shared" si="22"/>
        <v>54</v>
      </c>
      <c r="J508" s="150" t="str">
        <f t="shared" si="23"/>
        <v>543</v>
      </c>
      <c r="K508" s="150" t="s">
        <v>7991</v>
      </c>
      <c r="L508" s="149" t="s">
        <v>965</v>
      </c>
      <c r="M508" s="151">
        <v>12000</v>
      </c>
    </row>
    <row r="509" spans="1:13" s="149" customFormat="1" x14ac:dyDescent="0.25">
      <c r="A509" s="149" t="s">
        <v>7639</v>
      </c>
      <c r="B509" s="149" t="s">
        <v>966</v>
      </c>
      <c r="C509" s="149">
        <v>11</v>
      </c>
      <c r="D509" s="149">
        <v>220</v>
      </c>
      <c r="E509" s="149">
        <v>0</v>
      </c>
      <c r="F509" s="149">
        <v>677300</v>
      </c>
      <c r="G509" s="149">
        <v>55651</v>
      </c>
      <c r="H509" s="150" t="str">
        <f t="shared" si="21"/>
        <v>5</v>
      </c>
      <c r="I509" s="150" t="str">
        <f t="shared" si="22"/>
        <v>55</v>
      </c>
      <c r="J509" s="150" t="str">
        <f t="shared" si="23"/>
        <v>556</v>
      </c>
      <c r="K509" s="150" t="s">
        <v>8315</v>
      </c>
      <c r="L509" s="149" t="s">
        <v>967</v>
      </c>
      <c r="M509" s="151">
        <v>3300</v>
      </c>
    </row>
    <row r="510" spans="1:13" s="149" customFormat="1" x14ac:dyDescent="0.25">
      <c r="A510" s="149" t="s">
        <v>7639</v>
      </c>
      <c r="B510" s="149" t="s">
        <v>968</v>
      </c>
      <c r="C510" s="149">
        <v>11</v>
      </c>
      <c r="D510" s="149">
        <v>220</v>
      </c>
      <c r="E510" s="149">
        <v>0</v>
      </c>
      <c r="F510" s="149">
        <v>683000</v>
      </c>
      <c r="G510" s="149">
        <v>52105</v>
      </c>
      <c r="H510" s="150" t="str">
        <f t="shared" si="21"/>
        <v>5</v>
      </c>
      <c r="I510" s="150" t="str">
        <f t="shared" si="22"/>
        <v>52</v>
      </c>
      <c r="J510" s="150" t="str">
        <f t="shared" si="23"/>
        <v>521</v>
      </c>
      <c r="K510" s="150" t="s">
        <v>8674</v>
      </c>
      <c r="L510" s="149" t="s">
        <v>969</v>
      </c>
      <c r="M510" s="151">
        <v>73961.3</v>
      </c>
    </row>
    <row r="511" spans="1:13" s="149" customFormat="1" x14ac:dyDescent="0.25">
      <c r="A511" s="149" t="s">
        <v>7639</v>
      </c>
      <c r="B511" s="149" t="s">
        <v>970</v>
      </c>
      <c r="C511" s="149">
        <v>11</v>
      </c>
      <c r="D511" s="149">
        <v>220</v>
      </c>
      <c r="E511" s="149">
        <v>0</v>
      </c>
      <c r="F511" s="149">
        <v>683000</v>
      </c>
      <c r="G511" s="149">
        <v>52115</v>
      </c>
      <c r="H511" s="150" t="str">
        <f t="shared" si="21"/>
        <v>5</v>
      </c>
      <c r="I511" s="150" t="str">
        <f t="shared" si="22"/>
        <v>52</v>
      </c>
      <c r="J511" s="150" t="str">
        <f t="shared" si="23"/>
        <v>521</v>
      </c>
      <c r="K511" s="150" t="s">
        <v>8675</v>
      </c>
      <c r="L511" s="149" t="s">
        <v>971</v>
      </c>
      <c r="M511" s="151">
        <v>16748</v>
      </c>
    </row>
    <row r="512" spans="1:13" s="149" customFormat="1" x14ac:dyDescent="0.25">
      <c r="A512" s="149" t="s">
        <v>7639</v>
      </c>
      <c r="B512" s="149" t="s">
        <v>972</v>
      </c>
      <c r="C512" s="149">
        <v>11</v>
      </c>
      <c r="D512" s="149">
        <v>220</v>
      </c>
      <c r="E512" s="149">
        <v>0</v>
      </c>
      <c r="F512" s="149">
        <v>683000</v>
      </c>
      <c r="G512" s="149">
        <v>52125</v>
      </c>
      <c r="H512" s="150" t="str">
        <f t="shared" si="21"/>
        <v>5</v>
      </c>
      <c r="I512" s="150" t="str">
        <f t="shared" si="22"/>
        <v>52</v>
      </c>
      <c r="J512" s="150" t="str">
        <f t="shared" si="23"/>
        <v>521</v>
      </c>
      <c r="K512" s="150" t="s">
        <v>8676</v>
      </c>
      <c r="L512" s="149" t="s">
        <v>973</v>
      </c>
      <c r="M512" s="151">
        <v>41462</v>
      </c>
    </row>
    <row r="513" spans="1:13" s="149" customFormat="1" x14ac:dyDescent="0.25">
      <c r="A513" s="149" t="s">
        <v>7639</v>
      </c>
      <c r="B513" s="149" t="s">
        <v>974</v>
      </c>
      <c r="C513" s="149">
        <v>11</v>
      </c>
      <c r="D513" s="149">
        <v>220</v>
      </c>
      <c r="E513" s="149">
        <v>0</v>
      </c>
      <c r="F513" s="149">
        <v>683000</v>
      </c>
      <c r="G513" s="149">
        <v>52300</v>
      </c>
      <c r="H513" s="150" t="str">
        <f t="shared" si="21"/>
        <v>5</v>
      </c>
      <c r="I513" s="150" t="str">
        <f t="shared" si="22"/>
        <v>52</v>
      </c>
      <c r="J513" s="150" t="str">
        <f t="shared" si="23"/>
        <v>523</v>
      </c>
      <c r="K513" s="150" t="s">
        <v>7817</v>
      </c>
      <c r="L513" s="149" t="s">
        <v>975</v>
      </c>
      <c r="M513" s="151">
        <v>1350</v>
      </c>
    </row>
    <row r="514" spans="1:13" s="149" customFormat="1" x14ac:dyDescent="0.25">
      <c r="A514" s="149" t="s">
        <v>7639</v>
      </c>
      <c r="B514" s="149" t="s">
        <v>976</v>
      </c>
      <c r="C514" s="149">
        <v>11</v>
      </c>
      <c r="D514" s="149">
        <v>220</v>
      </c>
      <c r="E514" s="149">
        <v>0</v>
      </c>
      <c r="F514" s="149">
        <v>683000</v>
      </c>
      <c r="G514" s="149">
        <v>53220</v>
      </c>
      <c r="H514" s="150" t="str">
        <f t="shared" si="21"/>
        <v>5</v>
      </c>
      <c r="I514" s="150" t="str">
        <f t="shared" si="22"/>
        <v>53</v>
      </c>
      <c r="J514" s="150" t="str">
        <f t="shared" si="23"/>
        <v>532</v>
      </c>
      <c r="K514" s="150" t="s">
        <v>8677</v>
      </c>
      <c r="L514" s="149" t="s">
        <v>977</v>
      </c>
      <c r="M514" s="151">
        <v>27359.45</v>
      </c>
    </row>
    <row r="515" spans="1:13" s="149" customFormat="1" x14ac:dyDescent="0.25">
      <c r="A515" s="149" t="s">
        <v>7639</v>
      </c>
      <c r="B515" s="149" t="s">
        <v>978</v>
      </c>
      <c r="C515" s="149">
        <v>11</v>
      </c>
      <c r="D515" s="149">
        <v>220</v>
      </c>
      <c r="E515" s="149">
        <v>0</v>
      </c>
      <c r="F515" s="149">
        <v>683000</v>
      </c>
      <c r="G515" s="149">
        <v>53320</v>
      </c>
      <c r="H515" s="150" t="str">
        <f t="shared" ref="H515:H578" si="24">LEFT(G515,1)</f>
        <v>5</v>
      </c>
      <c r="I515" s="150" t="str">
        <f t="shared" ref="I515:I578" si="25">LEFT(G515,2)</f>
        <v>53</v>
      </c>
      <c r="J515" s="150" t="str">
        <f t="shared" ref="J515:J578" si="26">LEFT(G515,3)</f>
        <v>533</v>
      </c>
      <c r="K515" s="150" t="s">
        <v>8678</v>
      </c>
      <c r="L515" s="149" t="s">
        <v>979</v>
      </c>
      <c r="M515" s="151">
        <v>8278.32</v>
      </c>
    </row>
    <row r="516" spans="1:13" s="149" customFormat="1" x14ac:dyDescent="0.25">
      <c r="A516" s="149" t="s">
        <v>7639</v>
      </c>
      <c r="B516" s="149" t="s">
        <v>980</v>
      </c>
      <c r="C516" s="149">
        <v>11</v>
      </c>
      <c r="D516" s="149">
        <v>220</v>
      </c>
      <c r="E516" s="149">
        <v>0</v>
      </c>
      <c r="F516" s="149">
        <v>683000</v>
      </c>
      <c r="G516" s="149">
        <v>53340</v>
      </c>
      <c r="H516" s="150" t="str">
        <f t="shared" si="24"/>
        <v>5</v>
      </c>
      <c r="I516" s="150" t="str">
        <f t="shared" si="25"/>
        <v>53</v>
      </c>
      <c r="J516" s="150" t="str">
        <f t="shared" si="26"/>
        <v>533</v>
      </c>
      <c r="K516" s="150" t="s">
        <v>8679</v>
      </c>
      <c r="L516" s="149" t="s">
        <v>981</v>
      </c>
      <c r="M516" s="151">
        <v>1936.07</v>
      </c>
    </row>
    <row r="517" spans="1:13" s="149" customFormat="1" x14ac:dyDescent="0.25">
      <c r="A517" s="149" t="s">
        <v>7639</v>
      </c>
      <c r="B517" s="149" t="s">
        <v>982</v>
      </c>
      <c r="C517" s="149">
        <v>11</v>
      </c>
      <c r="D517" s="149">
        <v>220</v>
      </c>
      <c r="E517" s="149">
        <v>0</v>
      </c>
      <c r="F517" s="149">
        <v>683000</v>
      </c>
      <c r="G517" s="149">
        <v>53420</v>
      </c>
      <c r="H517" s="150" t="str">
        <f t="shared" si="24"/>
        <v>5</v>
      </c>
      <c r="I517" s="150" t="str">
        <f t="shared" si="25"/>
        <v>53</v>
      </c>
      <c r="J517" s="150" t="str">
        <f t="shared" si="26"/>
        <v>534</v>
      </c>
      <c r="K517" s="150" t="s">
        <v>8680</v>
      </c>
      <c r="L517" s="149" t="s">
        <v>983</v>
      </c>
      <c r="M517" s="151">
        <v>39896.39</v>
      </c>
    </row>
    <row r="518" spans="1:13" s="149" customFormat="1" x14ac:dyDescent="0.25">
      <c r="A518" s="149" t="s">
        <v>7639</v>
      </c>
      <c r="B518" s="149" t="s">
        <v>984</v>
      </c>
      <c r="C518" s="149">
        <v>11</v>
      </c>
      <c r="D518" s="149">
        <v>220</v>
      </c>
      <c r="E518" s="149">
        <v>0</v>
      </c>
      <c r="F518" s="149">
        <v>683000</v>
      </c>
      <c r="G518" s="149">
        <v>53520</v>
      </c>
      <c r="H518" s="150" t="str">
        <f t="shared" si="24"/>
        <v>5</v>
      </c>
      <c r="I518" s="150" t="str">
        <f t="shared" si="25"/>
        <v>53</v>
      </c>
      <c r="J518" s="150" t="str">
        <f t="shared" si="26"/>
        <v>535</v>
      </c>
      <c r="K518" s="150" t="s">
        <v>8681</v>
      </c>
      <c r="L518" s="149" t="s">
        <v>985</v>
      </c>
      <c r="M518" s="151">
        <v>66.760000000000005</v>
      </c>
    </row>
    <row r="519" spans="1:13" s="149" customFormat="1" x14ac:dyDescent="0.25">
      <c r="A519" s="149" t="s">
        <v>7639</v>
      </c>
      <c r="B519" s="149" t="s">
        <v>986</v>
      </c>
      <c r="C519" s="149">
        <v>11</v>
      </c>
      <c r="D519" s="149">
        <v>220</v>
      </c>
      <c r="E519" s="149">
        <v>0</v>
      </c>
      <c r="F519" s="149">
        <v>683000</v>
      </c>
      <c r="G519" s="149">
        <v>53620</v>
      </c>
      <c r="H519" s="150" t="str">
        <f t="shared" si="24"/>
        <v>5</v>
      </c>
      <c r="I519" s="150" t="str">
        <f t="shared" si="25"/>
        <v>53</v>
      </c>
      <c r="J519" s="150" t="str">
        <f t="shared" si="26"/>
        <v>536</v>
      </c>
      <c r="K519" s="150" t="s">
        <v>8682</v>
      </c>
      <c r="L519" s="149" t="s">
        <v>987</v>
      </c>
      <c r="M519" s="151">
        <v>2524.62</v>
      </c>
    </row>
    <row r="520" spans="1:13" s="149" customFormat="1" x14ac:dyDescent="0.25">
      <c r="A520" s="149" t="s">
        <v>7639</v>
      </c>
      <c r="B520" s="149" t="s">
        <v>988</v>
      </c>
      <c r="C520" s="149">
        <v>11</v>
      </c>
      <c r="D520" s="149">
        <v>220</v>
      </c>
      <c r="E520" s="149">
        <v>0</v>
      </c>
      <c r="F520" s="149">
        <v>683000</v>
      </c>
      <c r="G520" s="149">
        <v>53920</v>
      </c>
      <c r="H520" s="150" t="str">
        <f t="shared" si="24"/>
        <v>5</v>
      </c>
      <c r="I520" s="150" t="str">
        <f t="shared" si="25"/>
        <v>53</v>
      </c>
      <c r="J520" s="150" t="str">
        <f t="shared" si="26"/>
        <v>539</v>
      </c>
      <c r="K520" s="150" t="s">
        <v>8683</v>
      </c>
      <c r="L520" s="149" t="s">
        <v>989</v>
      </c>
      <c r="M520" s="151">
        <v>3480</v>
      </c>
    </row>
    <row r="521" spans="1:13" s="149" customFormat="1" x14ac:dyDescent="0.25">
      <c r="A521" s="149" t="s">
        <v>7639</v>
      </c>
      <c r="B521" s="149" t="s">
        <v>990</v>
      </c>
      <c r="C521" s="149">
        <v>11</v>
      </c>
      <c r="D521" s="149">
        <v>220</v>
      </c>
      <c r="E521" s="149">
        <v>0</v>
      </c>
      <c r="F521" s="149">
        <v>683000</v>
      </c>
      <c r="G521" s="149">
        <v>54340</v>
      </c>
      <c r="H521" s="150" t="str">
        <f t="shared" si="24"/>
        <v>5</v>
      </c>
      <c r="I521" s="150" t="str">
        <f t="shared" si="25"/>
        <v>54</v>
      </c>
      <c r="J521" s="150" t="str">
        <f t="shared" si="26"/>
        <v>543</v>
      </c>
      <c r="K521" s="150" t="s">
        <v>7990</v>
      </c>
      <c r="L521" s="149" t="s">
        <v>991</v>
      </c>
      <c r="M521" s="151">
        <v>18000</v>
      </c>
    </row>
    <row r="522" spans="1:13" s="149" customFormat="1" x14ac:dyDescent="0.25">
      <c r="A522" s="149" t="s">
        <v>7639</v>
      </c>
      <c r="B522" s="149" t="s">
        <v>992</v>
      </c>
      <c r="C522" s="149">
        <v>11</v>
      </c>
      <c r="D522" s="149">
        <v>220</v>
      </c>
      <c r="E522" s="149">
        <v>0</v>
      </c>
      <c r="F522" s="149">
        <v>683000</v>
      </c>
      <c r="G522" s="149">
        <v>55630</v>
      </c>
      <c r="H522" s="150" t="str">
        <f t="shared" si="24"/>
        <v>5</v>
      </c>
      <c r="I522" s="150" t="str">
        <f t="shared" si="25"/>
        <v>55</v>
      </c>
      <c r="J522" s="150" t="str">
        <f t="shared" si="26"/>
        <v>556</v>
      </c>
      <c r="K522" s="150" t="s">
        <v>8189</v>
      </c>
      <c r="L522" s="149" t="s">
        <v>993</v>
      </c>
      <c r="M522" s="151">
        <v>700</v>
      </c>
    </row>
    <row r="523" spans="1:13" s="149" customFormat="1" x14ac:dyDescent="0.25">
      <c r="A523" s="149" t="s">
        <v>7639</v>
      </c>
      <c r="B523" s="149" t="s">
        <v>994</v>
      </c>
      <c r="C523" s="149">
        <v>11</v>
      </c>
      <c r="D523" s="149">
        <v>220</v>
      </c>
      <c r="E523" s="149">
        <v>4</v>
      </c>
      <c r="F523" s="149">
        <v>657000</v>
      </c>
      <c r="G523" s="149">
        <v>55530</v>
      </c>
      <c r="H523" s="150" t="str">
        <f t="shared" si="24"/>
        <v>5</v>
      </c>
      <c r="I523" s="150" t="str">
        <f t="shared" si="25"/>
        <v>55</v>
      </c>
      <c r="J523" s="150" t="str">
        <f t="shared" si="26"/>
        <v>555</v>
      </c>
      <c r="K523" s="150" t="s">
        <v>8121</v>
      </c>
      <c r="L523" s="149" t="s">
        <v>551</v>
      </c>
      <c r="M523" s="151">
        <v>0</v>
      </c>
    </row>
    <row r="524" spans="1:13" s="149" customFormat="1" x14ac:dyDescent="0.25">
      <c r="A524" s="149" t="s">
        <v>7639</v>
      </c>
      <c r="B524" s="149" t="s">
        <v>9587</v>
      </c>
      <c r="C524" s="149">
        <v>11</v>
      </c>
      <c r="D524" s="149">
        <v>300</v>
      </c>
      <c r="E524" s="149">
        <v>0</v>
      </c>
      <c r="F524" s="149">
        <v>490000</v>
      </c>
      <c r="G524" s="149">
        <v>54300</v>
      </c>
      <c r="H524" s="150" t="str">
        <f t="shared" si="24"/>
        <v>5</v>
      </c>
      <c r="I524" s="150" t="str">
        <f t="shared" si="25"/>
        <v>54</v>
      </c>
      <c r="J524" s="150" t="str">
        <f t="shared" si="26"/>
        <v>543</v>
      </c>
      <c r="K524" s="150" t="s">
        <v>7928</v>
      </c>
      <c r="L524" s="149" t="s">
        <v>9588</v>
      </c>
      <c r="M524" s="151">
        <v>22000</v>
      </c>
    </row>
    <row r="525" spans="1:13" s="149" customFormat="1" x14ac:dyDescent="0.25">
      <c r="A525" s="149" t="s">
        <v>7639</v>
      </c>
      <c r="B525" s="149" t="s">
        <v>9589</v>
      </c>
      <c r="C525" s="149">
        <v>11</v>
      </c>
      <c r="D525" s="149">
        <v>300</v>
      </c>
      <c r="E525" s="149">
        <v>0</v>
      </c>
      <c r="F525" s="149">
        <v>490000</v>
      </c>
      <c r="G525" s="149">
        <v>55610</v>
      </c>
      <c r="H525" s="150" t="str">
        <f t="shared" si="24"/>
        <v>5</v>
      </c>
      <c r="I525" s="150" t="str">
        <f t="shared" si="25"/>
        <v>55</v>
      </c>
      <c r="J525" s="150" t="str">
        <f t="shared" si="26"/>
        <v>556</v>
      </c>
      <c r="K525" s="150" t="s">
        <v>8155</v>
      </c>
      <c r="L525" s="149" t="s">
        <v>9590</v>
      </c>
      <c r="M525" s="151">
        <v>61300</v>
      </c>
    </row>
    <row r="526" spans="1:13" s="149" customFormat="1" x14ac:dyDescent="0.25">
      <c r="A526" s="149" t="s">
        <v>7639</v>
      </c>
      <c r="B526" s="149" t="s">
        <v>995</v>
      </c>
      <c r="C526" s="149">
        <v>11</v>
      </c>
      <c r="D526" s="149">
        <v>300</v>
      </c>
      <c r="E526" s="149">
        <v>0</v>
      </c>
      <c r="F526" s="149">
        <v>490000</v>
      </c>
      <c r="G526" s="149">
        <v>56400</v>
      </c>
      <c r="H526" s="150" t="str">
        <f t="shared" si="24"/>
        <v>5</v>
      </c>
      <c r="I526" s="150" t="str">
        <f t="shared" si="25"/>
        <v>56</v>
      </c>
      <c r="J526" s="150" t="str">
        <f t="shared" si="26"/>
        <v>564</v>
      </c>
      <c r="K526" s="150" t="s">
        <v>8372</v>
      </c>
      <c r="L526" s="149" t="s">
        <v>996</v>
      </c>
      <c r="M526" s="151">
        <v>105650</v>
      </c>
    </row>
    <row r="527" spans="1:13" s="149" customFormat="1" x14ac:dyDescent="0.25">
      <c r="A527" s="149" t="s">
        <v>7639</v>
      </c>
      <c r="B527" s="149" t="s">
        <v>9591</v>
      </c>
      <c r="C527" s="149">
        <v>11</v>
      </c>
      <c r="D527" s="149">
        <v>300</v>
      </c>
      <c r="E527" s="149">
        <v>0</v>
      </c>
      <c r="F527" s="149">
        <v>490000</v>
      </c>
      <c r="G527" s="149">
        <v>56405</v>
      </c>
      <c r="H527" s="150" t="str">
        <f t="shared" si="24"/>
        <v>5</v>
      </c>
      <c r="I527" s="150" t="str">
        <f t="shared" si="25"/>
        <v>56</v>
      </c>
      <c r="J527" s="150" t="str">
        <f t="shared" si="26"/>
        <v>564</v>
      </c>
      <c r="K527" s="150" t="s">
        <v>8386</v>
      </c>
      <c r="L527" s="149" t="s">
        <v>9592</v>
      </c>
      <c r="M527" s="151">
        <v>200000</v>
      </c>
    </row>
    <row r="528" spans="1:13" s="149" customFormat="1" x14ac:dyDescent="0.25">
      <c r="A528" s="149" t="s">
        <v>7639</v>
      </c>
      <c r="B528" s="149" t="s">
        <v>997</v>
      </c>
      <c r="C528" s="149">
        <v>11</v>
      </c>
      <c r="D528" s="149">
        <v>300</v>
      </c>
      <c r="E528" s="149">
        <v>0</v>
      </c>
      <c r="F528" s="149">
        <v>601000</v>
      </c>
      <c r="G528" s="149">
        <v>51200</v>
      </c>
      <c r="H528" s="150" t="str">
        <f t="shared" si="24"/>
        <v>5</v>
      </c>
      <c r="I528" s="150" t="str">
        <f t="shared" si="25"/>
        <v>51</v>
      </c>
      <c r="J528" s="150" t="str">
        <f t="shared" si="26"/>
        <v>512</v>
      </c>
      <c r="K528" s="150" t="s">
        <v>8684</v>
      </c>
      <c r="L528" s="149" t="s">
        <v>998</v>
      </c>
      <c r="M528" s="151">
        <v>33443.85</v>
      </c>
    </row>
    <row r="529" spans="1:13" s="149" customFormat="1" x14ac:dyDescent="0.25">
      <c r="A529" s="149" t="s">
        <v>7639</v>
      </c>
      <c r="B529" s="149" t="s">
        <v>999</v>
      </c>
      <c r="C529" s="149">
        <v>11</v>
      </c>
      <c r="D529" s="149">
        <v>300</v>
      </c>
      <c r="E529" s="149">
        <v>0</v>
      </c>
      <c r="F529" s="149">
        <v>601000</v>
      </c>
      <c r="G529" s="149">
        <v>51210</v>
      </c>
      <c r="H529" s="150" t="str">
        <f t="shared" si="24"/>
        <v>5</v>
      </c>
      <c r="I529" s="150" t="str">
        <f t="shared" si="25"/>
        <v>51</v>
      </c>
      <c r="J529" s="150" t="str">
        <f t="shared" si="26"/>
        <v>512</v>
      </c>
      <c r="K529" s="150" t="s">
        <v>8685</v>
      </c>
      <c r="L529" s="149" t="s">
        <v>477</v>
      </c>
      <c r="M529" s="151">
        <v>166232</v>
      </c>
    </row>
    <row r="530" spans="1:13" s="149" customFormat="1" x14ac:dyDescent="0.25">
      <c r="A530" s="149" t="s">
        <v>7639</v>
      </c>
      <c r="B530" s="149" t="s">
        <v>1000</v>
      </c>
      <c r="C530" s="149">
        <v>11</v>
      </c>
      <c r="D530" s="149">
        <v>300</v>
      </c>
      <c r="E530" s="149">
        <v>0</v>
      </c>
      <c r="F530" s="149">
        <v>601000</v>
      </c>
      <c r="G530" s="149">
        <v>51412</v>
      </c>
      <c r="H530" s="150" t="str">
        <f t="shared" si="24"/>
        <v>5</v>
      </c>
      <c r="I530" s="150" t="str">
        <f t="shared" si="25"/>
        <v>51</v>
      </c>
      <c r="J530" s="150" t="str">
        <f t="shared" si="26"/>
        <v>514</v>
      </c>
      <c r="K530" s="150" t="s">
        <v>7784</v>
      </c>
      <c r="L530" s="149" t="s">
        <v>479</v>
      </c>
      <c r="M530" s="151">
        <v>221600</v>
      </c>
    </row>
    <row r="531" spans="1:13" s="149" customFormat="1" x14ac:dyDescent="0.25">
      <c r="A531" s="149" t="s">
        <v>7639</v>
      </c>
      <c r="B531" s="149" t="s">
        <v>1001</v>
      </c>
      <c r="C531" s="149">
        <v>11</v>
      </c>
      <c r="D531" s="149">
        <v>300</v>
      </c>
      <c r="E531" s="149">
        <v>0</v>
      </c>
      <c r="F531" s="149">
        <v>601000</v>
      </c>
      <c r="G531" s="149">
        <v>52105</v>
      </c>
      <c r="H531" s="150" t="str">
        <f t="shared" si="24"/>
        <v>5</v>
      </c>
      <c r="I531" s="150" t="str">
        <f t="shared" si="25"/>
        <v>52</v>
      </c>
      <c r="J531" s="150" t="str">
        <f t="shared" si="26"/>
        <v>521</v>
      </c>
      <c r="K531" s="150" t="s">
        <v>8686</v>
      </c>
      <c r="L531" s="149" t="s">
        <v>481</v>
      </c>
      <c r="M531" s="151">
        <v>211892.09</v>
      </c>
    </row>
    <row r="532" spans="1:13" s="149" customFormat="1" x14ac:dyDescent="0.25">
      <c r="A532" s="149" t="s">
        <v>7639</v>
      </c>
      <c r="B532" s="149" t="s">
        <v>1002</v>
      </c>
      <c r="C532" s="149">
        <v>11</v>
      </c>
      <c r="D532" s="149">
        <v>300</v>
      </c>
      <c r="E532" s="149">
        <v>0</v>
      </c>
      <c r="F532" s="149">
        <v>601000</v>
      </c>
      <c r="G532" s="149">
        <v>52120</v>
      </c>
      <c r="H532" s="150" t="str">
        <f t="shared" si="24"/>
        <v>5</v>
      </c>
      <c r="I532" s="150" t="str">
        <f t="shared" si="25"/>
        <v>52</v>
      </c>
      <c r="J532" s="150" t="str">
        <f t="shared" si="26"/>
        <v>521</v>
      </c>
      <c r="K532" s="150" t="s">
        <v>8687</v>
      </c>
      <c r="L532" s="149" t="s">
        <v>1003</v>
      </c>
      <c r="M532" s="151">
        <v>71280</v>
      </c>
    </row>
    <row r="533" spans="1:13" s="149" customFormat="1" x14ac:dyDescent="0.25">
      <c r="A533" s="149" t="s">
        <v>7639</v>
      </c>
      <c r="B533" s="149" t="s">
        <v>1004</v>
      </c>
      <c r="C533" s="149">
        <v>11</v>
      </c>
      <c r="D533" s="149">
        <v>300</v>
      </c>
      <c r="E533" s="149">
        <v>0</v>
      </c>
      <c r="F533" s="149">
        <v>601000</v>
      </c>
      <c r="G533" s="149">
        <v>52300</v>
      </c>
      <c r="H533" s="150" t="str">
        <f t="shared" si="24"/>
        <v>5</v>
      </c>
      <c r="I533" s="150" t="str">
        <f t="shared" si="25"/>
        <v>52</v>
      </c>
      <c r="J533" s="150" t="str">
        <f t="shared" si="26"/>
        <v>523</v>
      </c>
      <c r="K533" s="150" t="s">
        <v>7818</v>
      </c>
      <c r="L533" s="149" t="s">
        <v>483</v>
      </c>
      <c r="M533" s="151">
        <v>0</v>
      </c>
    </row>
    <row r="534" spans="1:13" s="149" customFormat="1" x14ac:dyDescent="0.25">
      <c r="A534" s="149" t="s">
        <v>7639</v>
      </c>
      <c r="B534" s="149" t="s">
        <v>1005</v>
      </c>
      <c r="C534" s="149">
        <v>11</v>
      </c>
      <c r="D534" s="149">
        <v>300</v>
      </c>
      <c r="E534" s="149">
        <v>0</v>
      </c>
      <c r="F534" s="149">
        <v>601000</v>
      </c>
      <c r="G534" s="149">
        <v>52350</v>
      </c>
      <c r="H534" s="150" t="str">
        <f t="shared" si="24"/>
        <v>5</v>
      </c>
      <c r="I534" s="150" t="str">
        <f t="shared" si="25"/>
        <v>52</v>
      </c>
      <c r="J534" s="150" t="str">
        <f t="shared" si="26"/>
        <v>523</v>
      </c>
      <c r="K534" s="150" t="s">
        <v>7852</v>
      </c>
      <c r="L534" s="149" t="s">
        <v>1006</v>
      </c>
      <c r="M534" s="151">
        <v>4000</v>
      </c>
    </row>
    <row r="535" spans="1:13" s="149" customFormat="1" x14ac:dyDescent="0.25">
      <c r="A535" s="149" t="s">
        <v>7639</v>
      </c>
      <c r="B535" s="149" t="s">
        <v>1007</v>
      </c>
      <c r="C535" s="149">
        <v>11</v>
      </c>
      <c r="D535" s="149">
        <v>300</v>
      </c>
      <c r="E535" s="149">
        <v>0</v>
      </c>
      <c r="F535" s="149">
        <v>601000</v>
      </c>
      <c r="G535" s="149">
        <v>52360</v>
      </c>
      <c r="H535" s="150" t="str">
        <f t="shared" si="24"/>
        <v>5</v>
      </c>
      <c r="I535" s="150" t="str">
        <f t="shared" si="25"/>
        <v>52</v>
      </c>
      <c r="J535" s="150" t="str">
        <f t="shared" si="26"/>
        <v>523</v>
      </c>
      <c r="K535" s="150" t="s">
        <v>7864</v>
      </c>
      <c r="L535" s="149" t="s">
        <v>1008</v>
      </c>
      <c r="M535" s="151">
        <v>0</v>
      </c>
    </row>
    <row r="536" spans="1:13" s="149" customFormat="1" x14ac:dyDescent="0.25">
      <c r="A536" s="149" t="s">
        <v>7639</v>
      </c>
      <c r="B536" s="149" t="s">
        <v>1009</v>
      </c>
      <c r="C536" s="149">
        <v>11</v>
      </c>
      <c r="D536" s="149">
        <v>300</v>
      </c>
      <c r="E536" s="149">
        <v>0</v>
      </c>
      <c r="F536" s="149">
        <v>601000</v>
      </c>
      <c r="G536" s="149">
        <v>53120</v>
      </c>
      <c r="H536" s="150" t="str">
        <f t="shared" si="24"/>
        <v>5</v>
      </c>
      <c r="I536" s="150" t="str">
        <f t="shared" si="25"/>
        <v>53</v>
      </c>
      <c r="J536" s="150" t="str">
        <f t="shared" si="26"/>
        <v>531</v>
      </c>
      <c r="K536" s="150" t="s">
        <v>8688</v>
      </c>
      <c r="L536" s="149" t="s">
        <v>485</v>
      </c>
      <c r="M536" s="151">
        <v>67939.149999999994</v>
      </c>
    </row>
    <row r="537" spans="1:13" s="149" customFormat="1" x14ac:dyDescent="0.25">
      <c r="A537" s="149" t="s">
        <v>7639</v>
      </c>
      <c r="B537" s="149" t="s">
        <v>1010</v>
      </c>
      <c r="C537" s="149">
        <v>11</v>
      </c>
      <c r="D537" s="149">
        <v>300</v>
      </c>
      <c r="E537" s="149">
        <v>0</v>
      </c>
      <c r="F537" s="149">
        <v>601000</v>
      </c>
      <c r="G537" s="149">
        <v>53220</v>
      </c>
      <c r="H537" s="150" t="str">
        <f t="shared" si="24"/>
        <v>5</v>
      </c>
      <c r="I537" s="150" t="str">
        <f t="shared" si="25"/>
        <v>53</v>
      </c>
      <c r="J537" s="150" t="str">
        <f t="shared" si="26"/>
        <v>532</v>
      </c>
      <c r="K537" s="150" t="s">
        <v>8689</v>
      </c>
      <c r="L537" s="149" t="s">
        <v>487</v>
      </c>
      <c r="M537" s="151">
        <v>58616.63</v>
      </c>
    </row>
    <row r="538" spans="1:13" s="149" customFormat="1" x14ac:dyDescent="0.25">
      <c r="A538" s="149" t="s">
        <v>7639</v>
      </c>
      <c r="B538" s="149" t="s">
        <v>1011</v>
      </c>
      <c r="C538" s="149">
        <v>11</v>
      </c>
      <c r="D538" s="149">
        <v>300</v>
      </c>
      <c r="E538" s="149">
        <v>0</v>
      </c>
      <c r="F538" s="149">
        <v>601000</v>
      </c>
      <c r="G538" s="149">
        <v>53320</v>
      </c>
      <c r="H538" s="150" t="str">
        <f t="shared" si="24"/>
        <v>5</v>
      </c>
      <c r="I538" s="150" t="str">
        <f t="shared" si="25"/>
        <v>53</v>
      </c>
      <c r="J538" s="150" t="str">
        <f t="shared" si="26"/>
        <v>533</v>
      </c>
      <c r="K538" s="150" t="s">
        <v>8690</v>
      </c>
      <c r="L538" s="149" t="s">
        <v>489</v>
      </c>
      <c r="M538" s="151">
        <v>18796.68</v>
      </c>
    </row>
    <row r="539" spans="1:13" s="149" customFormat="1" x14ac:dyDescent="0.25">
      <c r="A539" s="149" t="s">
        <v>7639</v>
      </c>
      <c r="B539" s="149" t="s">
        <v>1012</v>
      </c>
      <c r="C539" s="149">
        <v>11</v>
      </c>
      <c r="D539" s="149">
        <v>300</v>
      </c>
      <c r="E539" s="149">
        <v>0</v>
      </c>
      <c r="F539" s="149">
        <v>601000</v>
      </c>
      <c r="G539" s="149">
        <v>53340</v>
      </c>
      <c r="H539" s="150" t="str">
        <f t="shared" si="24"/>
        <v>5</v>
      </c>
      <c r="I539" s="150" t="str">
        <f t="shared" si="25"/>
        <v>53</v>
      </c>
      <c r="J539" s="150" t="str">
        <f t="shared" si="26"/>
        <v>533</v>
      </c>
      <c r="K539" s="150" t="s">
        <v>8691</v>
      </c>
      <c r="L539" s="149" t="s">
        <v>491</v>
      </c>
      <c r="M539" s="151">
        <v>10495.79</v>
      </c>
    </row>
    <row r="540" spans="1:13" s="149" customFormat="1" x14ac:dyDescent="0.25">
      <c r="A540" s="149" t="s">
        <v>7639</v>
      </c>
      <c r="B540" s="149" t="s">
        <v>1013</v>
      </c>
      <c r="C540" s="149">
        <v>11</v>
      </c>
      <c r="D540" s="149">
        <v>300</v>
      </c>
      <c r="E540" s="149">
        <v>0</v>
      </c>
      <c r="F540" s="149">
        <v>601000</v>
      </c>
      <c r="G540" s="149">
        <v>53420</v>
      </c>
      <c r="H540" s="150" t="str">
        <f t="shared" si="24"/>
        <v>5</v>
      </c>
      <c r="I540" s="150" t="str">
        <f t="shared" si="25"/>
        <v>53</v>
      </c>
      <c r="J540" s="150" t="str">
        <f t="shared" si="26"/>
        <v>534</v>
      </c>
      <c r="K540" s="150" t="s">
        <v>8692</v>
      </c>
      <c r="L540" s="149" t="s">
        <v>493</v>
      </c>
      <c r="M540" s="151">
        <v>123204.92</v>
      </c>
    </row>
    <row r="541" spans="1:13" s="149" customFormat="1" x14ac:dyDescent="0.25">
      <c r="A541" s="149" t="s">
        <v>7639</v>
      </c>
      <c r="B541" s="149" t="s">
        <v>1014</v>
      </c>
      <c r="C541" s="149">
        <v>11</v>
      </c>
      <c r="D541" s="149">
        <v>300</v>
      </c>
      <c r="E541" s="149">
        <v>0</v>
      </c>
      <c r="F541" s="149">
        <v>601000</v>
      </c>
      <c r="G541" s="149">
        <v>53520</v>
      </c>
      <c r="H541" s="150" t="str">
        <f t="shared" si="24"/>
        <v>5</v>
      </c>
      <c r="I541" s="150" t="str">
        <f t="shared" si="25"/>
        <v>53</v>
      </c>
      <c r="J541" s="150" t="str">
        <f t="shared" si="26"/>
        <v>535</v>
      </c>
      <c r="K541" s="150" t="s">
        <v>8693</v>
      </c>
      <c r="L541" s="149" t="s">
        <v>495</v>
      </c>
      <c r="M541" s="151">
        <v>361.93</v>
      </c>
    </row>
    <row r="542" spans="1:13" s="149" customFormat="1" x14ac:dyDescent="0.25">
      <c r="A542" s="149" t="s">
        <v>7639</v>
      </c>
      <c r="B542" s="149" t="s">
        <v>1015</v>
      </c>
      <c r="C542" s="149">
        <v>11</v>
      </c>
      <c r="D542" s="149">
        <v>300</v>
      </c>
      <c r="E542" s="149">
        <v>0</v>
      </c>
      <c r="F542" s="149">
        <v>601000</v>
      </c>
      <c r="G542" s="149">
        <v>53620</v>
      </c>
      <c r="H542" s="150" t="str">
        <f t="shared" si="24"/>
        <v>5</v>
      </c>
      <c r="I542" s="150" t="str">
        <f t="shared" si="25"/>
        <v>53</v>
      </c>
      <c r="J542" s="150" t="str">
        <f t="shared" si="26"/>
        <v>536</v>
      </c>
      <c r="K542" s="150" t="s">
        <v>8694</v>
      </c>
      <c r="L542" s="149" t="s">
        <v>497</v>
      </c>
      <c r="M542" s="151">
        <v>13761.85</v>
      </c>
    </row>
    <row r="543" spans="1:13" s="149" customFormat="1" x14ac:dyDescent="0.25">
      <c r="A543" s="149" t="s">
        <v>7639</v>
      </c>
      <c r="B543" s="149" t="s">
        <v>1016</v>
      </c>
      <c r="C543" s="149">
        <v>11</v>
      </c>
      <c r="D543" s="149">
        <v>300</v>
      </c>
      <c r="E543" s="149">
        <v>0</v>
      </c>
      <c r="F543" s="149">
        <v>601000</v>
      </c>
      <c r="G543" s="149">
        <v>53920</v>
      </c>
      <c r="H543" s="150" t="str">
        <f t="shared" si="24"/>
        <v>5</v>
      </c>
      <c r="I543" s="150" t="str">
        <f t="shared" si="25"/>
        <v>53</v>
      </c>
      <c r="J543" s="150" t="str">
        <f t="shared" si="26"/>
        <v>539</v>
      </c>
      <c r="K543" s="150" t="s">
        <v>8695</v>
      </c>
      <c r="L543" s="149" t="s">
        <v>499</v>
      </c>
      <c r="M543" s="151">
        <v>2400</v>
      </c>
    </row>
    <row r="544" spans="1:13" s="149" customFormat="1" x14ac:dyDescent="0.25">
      <c r="A544" s="149" t="s">
        <v>7639</v>
      </c>
      <c r="B544" s="149" t="s">
        <v>1017</v>
      </c>
      <c r="C544" s="149">
        <v>11</v>
      </c>
      <c r="D544" s="149">
        <v>300</v>
      </c>
      <c r="E544" s="149">
        <v>0</v>
      </c>
      <c r="F544" s="149">
        <v>601000</v>
      </c>
      <c r="G544" s="149">
        <v>54210</v>
      </c>
      <c r="H544" s="150" t="str">
        <f t="shared" si="24"/>
        <v>5</v>
      </c>
      <c r="I544" s="150" t="str">
        <f t="shared" si="25"/>
        <v>54</v>
      </c>
      <c r="J544" s="150" t="str">
        <f t="shared" si="26"/>
        <v>542</v>
      </c>
      <c r="K544" s="150" t="s">
        <v>7911</v>
      </c>
      <c r="L544" s="149" t="s">
        <v>1018</v>
      </c>
      <c r="M544" s="151">
        <v>0</v>
      </c>
    </row>
    <row r="545" spans="1:13" s="149" customFormat="1" x14ac:dyDescent="0.25">
      <c r="A545" s="149" t="s">
        <v>7639</v>
      </c>
      <c r="B545" s="149" t="s">
        <v>1019</v>
      </c>
      <c r="C545" s="149">
        <v>11</v>
      </c>
      <c r="D545" s="149">
        <v>300</v>
      </c>
      <c r="E545" s="149">
        <v>0</v>
      </c>
      <c r="F545" s="149">
        <v>601000</v>
      </c>
      <c r="G545" s="149">
        <v>54300</v>
      </c>
      <c r="H545" s="150" t="str">
        <f t="shared" si="24"/>
        <v>5</v>
      </c>
      <c r="I545" s="150" t="str">
        <f t="shared" si="25"/>
        <v>54</v>
      </c>
      <c r="J545" s="150" t="str">
        <f t="shared" si="26"/>
        <v>543</v>
      </c>
      <c r="K545" s="150" t="s">
        <v>7929</v>
      </c>
      <c r="L545" s="149" t="s">
        <v>501</v>
      </c>
      <c r="M545" s="151">
        <v>39400</v>
      </c>
    </row>
    <row r="546" spans="1:13" s="149" customFormat="1" x14ac:dyDescent="0.25">
      <c r="A546" s="149" t="s">
        <v>7639</v>
      </c>
      <c r="B546" s="149" t="s">
        <v>1020</v>
      </c>
      <c r="C546" s="149">
        <v>11</v>
      </c>
      <c r="D546" s="149">
        <v>300</v>
      </c>
      <c r="E546" s="149">
        <v>0</v>
      </c>
      <c r="F546" s="149">
        <v>601000</v>
      </c>
      <c r="G546" s="149">
        <v>55105</v>
      </c>
      <c r="H546" s="150" t="str">
        <f t="shared" si="24"/>
        <v>5</v>
      </c>
      <c r="I546" s="150" t="str">
        <f t="shared" si="25"/>
        <v>55</v>
      </c>
      <c r="J546" s="150" t="str">
        <f t="shared" si="26"/>
        <v>551</v>
      </c>
      <c r="K546" s="150" t="s">
        <v>8010</v>
      </c>
      <c r="L546" s="149" t="s">
        <v>1021</v>
      </c>
      <c r="M546" s="151">
        <v>561260</v>
      </c>
    </row>
    <row r="547" spans="1:13" s="149" customFormat="1" x14ac:dyDescent="0.25">
      <c r="A547" s="149" t="s">
        <v>7639</v>
      </c>
      <c r="B547" s="149" t="s">
        <v>1022</v>
      </c>
      <c r="C547" s="149">
        <v>11</v>
      </c>
      <c r="D547" s="149">
        <v>300</v>
      </c>
      <c r="E547" s="149">
        <v>0</v>
      </c>
      <c r="F547" s="149">
        <v>601000</v>
      </c>
      <c r="G547" s="149">
        <v>55200</v>
      </c>
      <c r="H547" s="150" t="str">
        <f t="shared" si="24"/>
        <v>5</v>
      </c>
      <c r="I547" s="150" t="str">
        <f t="shared" si="25"/>
        <v>55</v>
      </c>
      <c r="J547" s="150" t="str">
        <f t="shared" si="26"/>
        <v>552</v>
      </c>
      <c r="K547" s="150" t="s">
        <v>8045</v>
      </c>
      <c r="L547" s="149" t="s">
        <v>505</v>
      </c>
      <c r="M547" s="151">
        <v>4000</v>
      </c>
    </row>
    <row r="548" spans="1:13" s="149" customFormat="1" x14ac:dyDescent="0.25">
      <c r="A548" s="149" t="s">
        <v>7639</v>
      </c>
      <c r="B548" s="149" t="s">
        <v>1023</v>
      </c>
      <c r="C548" s="149">
        <v>11</v>
      </c>
      <c r="D548" s="149">
        <v>300</v>
      </c>
      <c r="E548" s="149">
        <v>0</v>
      </c>
      <c r="F548" s="149">
        <v>601000</v>
      </c>
      <c r="G548" s="149">
        <v>55300</v>
      </c>
      <c r="H548" s="150" t="str">
        <f t="shared" si="24"/>
        <v>5</v>
      </c>
      <c r="I548" s="150" t="str">
        <f t="shared" si="25"/>
        <v>55</v>
      </c>
      <c r="J548" s="150" t="str">
        <f t="shared" si="26"/>
        <v>553</v>
      </c>
      <c r="K548" s="150" t="s">
        <v>8085</v>
      </c>
      <c r="L548" s="149" t="s">
        <v>1024</v>
      </c>
      <c r="M548" s="151">
        <v>400</v>
      </c>
    </row>
    <row r="549" spans="1:13" s="149" customFormat="1" x14ac:dyDescent="0.25">
      <c r="A549" s="149" t="s">
        <v>7639</v>
      </c>
      <c r="B549" s="149" t="s">
        <v>1025</v>
      </c>
      <c r="C549" s="149">
        <v>11</v>
      </c>
      <c r="D549" s="149">
        <v>300</v>
      </c>
      <c r="E549" s="149">
        <v>0</v>
      </c>
      <c r="F549" s="149">
        <v>601000</v>
      </c>
      <c r="G549" s="149">
        <v>55630</v>
      </c>
      <c r="H549" s="150" t="str">
        <f t="shared" si="24"/>
        <v>5</v>
      </c>
      <c r="I549" s="150" t="str">
        <f t="shared" si="25"/>
        <v>55</v>
      </c>
      <c r="J549" s="150" t="str">
        <f t="shared" si="26"/>
        <v>556</v>
      </c>
      <c r="K549" s="150" t="s">
        <v>8190</v>
      </c>
      <c r="L549" s="149" t="s">
        <v>509</v>
      </c>
      <c r="M549" s="151">
        <v>112.46</v>
      </c>
    </row>
    <row r="550" spans="1:13" s="149" customFormat="1" x14ac:dyDescent="0.25">
      <c r="A550" s="149" t="s">
        <v>7639</v>
      </c>
      <c r="B550" s="149" t="s">
        <v>1026</v>
      </c>
      <c r="C550" s="149">
        <v>11</v>
      </c>
      <c r="D550" s="149">
        <v>300</v>
      </c>
      <c r="E550" s="149">
        <v>0</v>
      </c>
      <c r="F550" s="149">
        <v>601000</v>
      </c>
      <c r="G550" s="149">
        <v>55635</v>
      </c>
      <c r="H550" s="150" t="str">
        <f t="shared" si="24"/>
        <v>5</v>
      </c>
      <c r="I550" s="150" t="str">
        <f t="shared" si="25"/>
        <v>55</v>
      </c>
      <c r="J550" s="150" t="str">
        <f t="shared" si="26"/>
        <v>556</v>
      </c>
      <c r="K550" s="150" t="s">
        <v>8278</v>
      </c>
      <c r="L550" s="149" t="s">
        <v>1027</v>
      </c>
      <c r="M550" s="151">
        <v>0</v>
      </c>
    </row>
    <row r="551" spans="1:13" s="149" customFormat="1" x14ac:dyDescent="0.25">
      <c r="A551" s="149" t="s">
        <v>7639</v>
      </c>
      <c r="B551" s="149" t="s">
        <v>1028</v>
      </c>
      <c r="C551" s="149">
        <v>11</v>
      </c>
      <c r="D551" s="149">
        <v>300</v>
      </c>
      <c r="E551" s="149">
        <v>0</v>
      </c>
      <c r="F551" s="149">
        <v>601000</v>
      </c>
      <c r="G551" s="149">
        <v>55650</v>
      </c>
      <c r="H551" s="150" t="str">
        <f t="shared" si="24"/>
        <v>5</v>
      </c>
      <c r="I551" s="150" t="str">
        <f t="shared" si="25"/>
        <v>55</v>
      </c>
      <c r="J551" s="150" t="str">
        <f t="shared" si="26"/>
        <v>556</v>
      </c>
      <c r="K551" s="150" t="s">
        <v>8294</v>
      </c>
      <c r="L551" s="149" t="s">
        <v>511</v>
      </c>
      <c r="M551" s="151">
        <v>160</v>
      </c>
    </row>
    <row r="552" spans="1:13" s="149" customFormat="1" x14ac:dyDescent="0.25">
      <c r="A552" s="149" t="s">
        <v>7639</v>
      </c>
      <c r="B552" s="149" t="s">
        <v>1029</v>
      </c>
      <c r="C552" s="149">
        <v>11</v>
      </c>
      <c r="D552" s="149">
        <v>300</v>
      </c>
      <c r="E552" s="149">
        <v>0</v>
      </c>
      <c r="F552" s="149">
        <v>612000</v>
      </c>
      <c r="G552" s="149">
        <v>56310</v>
      </c>
      <c r="H552" s="150" t="str">
        <f t="shared" si="24"/>
        <v>5</v>
      </c>
      <c r="I552" s="150" t="str">
        <f t="shared" si="25"/>
        <v>56</v>
      </c>
      <c r="J552" s="150" t="str">
        <f t="shared" si="26"/>
        <v>563</v>
      </c>
      <c r="K552" s="150" t="s">
        <v>8363</v>
      </c>
      <c r="L552" s="149" t="s">
        <v>1030</v>
      </c>
      <c r="M552" s="151">
        <v>129</v>
      </c>
    </row>
    <row r="553" spans="1:13" s="149" customFormat="1" x14ac:dyDescent="0.25">
      <c r="A553" s="149" t="s">
        <v>7639</v>
      </c>
      <c r="B553" s="149" t="s">
        <v>1031</v>
      </c>
      <c r="C553" s="149">
        <v>11</v>
      </c>
      <c r="D553" s="149">
        <v>300</v>
      </c>
      <c r="E553" s="149">
        <v>0</v>
      </c>
      <c r="F553" s="149">
        <v>675020</v>
      </c>
      <c r="G553" s="149">
        <v>51200</v>
      </c>
      <c r="H553" s="150" t="str">
        <f t="shared" si="24"/>
        <v>5</v>
      </c>
      <c r="I553" s="150" t="str">
        <f t="shared" si="25"/>
        <v>51</v>
      </c>
      <c r="J553" s="150" t="str">
        <f t="shared" si="26"/>
        <v>512</v>
      </c>
      <c r="K553" s="150" t="s">
        <v>8696</v>
      </c>
      <c r="L553" s="149" t="s">
        <v>1032</v>
      </c>
      <c r="M553" s="151">
        <v>192084.4</v>
      </c>
    </row>
    <row r="554" spans="1:13" s="149" customFormat="1" x14ac:dyDescent="0.25">
      <c r="A554" s="149" t="s">
        <v>7639</v>
      </c>
      <c r="B554" s="149" t="s">
        <v>1033</v>
      </c>
      <c r="C554" s="149">
        <v>11</v>
      </c>
      <c r="D554" s="149">
        <v>300</v>
      </c>
      <c r="E554" s="149">
        <v>0</v>
      </c>
      <c r="F554" s="149">
        <v>675020</v>
      </c>
      <c r="G554" s="149">
        <v>53120</v>
      </c>
      <c r="H554" s="150" t="str">
        <f t="shared" si="24"/>
        <v>5</v>
      </c>
      <c r="I554" s="150" t="str">
        <f t="shared" si="25"/>
        <v>53</v>
      </c>
      <c r="J554" s="150" t="str">
        <f t="shared" si="26"/>
        <v>531</v>
      </c>
      <c r="K554" s="150" t="s">
        <v>8697</v>
      </c>
      <c r="L554" s="149" t="s">
        <v>1034</v>
      </c>
      <c r="M554" s="151">
        <v>31021.64</v>
      </c>
    </row>
    <row r="555" spans="1:13" s="149" customFormat="1" x14ac:dyDescent="0.25">
      <c r="A555" s="149" t="s">
        <v>7639</v>
      </c>
      <c r="B555" s="149" t="s">
        <v>1035</v>
      </c>
      <c r="C555" s="149">
        <v>11</v>
      </c>
      <c r="D555" s="149">
        <v>300</v>
      </c>
      <c r="E555" s="149">
        <v>0</v>
      </c>
      <c r="F555" s="149">
        <v>675020</v>
      </c>
      <c r="G555" s="149">
        <v>53340</v>
      </c>
      <c r="H555" s="150" t="str">
        <f t="shared" si="24"/>
        <v>5</v>
      </c>
      <c r="I555" s="150" t="str">
        <f t="shared" si="25"/>
        <v>53</v>
      </c>
      <c r="J555" s="150" t="str">
        <f t="shared" si="26"/>
        <v>533</v>
      </c>
      <c r="K555" s="150" t="s">
        <v>8698</v>
      </c>
      <c r="L555" s="149" t="s">
        <v>1036</v>
      </c>
      <c r="M555" s="151">
        <v>2785.22</v>
      </c>
    </row>
    <row r="556" spans="1:13" s="149" customFormat="1" x14ac:dyDescent="0.25">
      <c r="A556" s="149" t="s">
        <v>7639</v>
      </c>
      <c r="B556" s="149" t="s">
        <v>1037</v>
      </c>
      <c r="C556" s="149">
        <v>11</v>
      </c>
      <c r="D556" s="149">
        <v>300</v>
      </c>
      <c r="E556" s="149">
        <v>0</v>
      </c>
      <c r="F556" s="149">
        <v>675020</v>
      </c>
      <c r="G556" s="149">
        <v>53420</v>
      </c>
      <c r="H556" s="150" t="str">
        <f t="shared" si="24"/>
        <v>5</v>
      </c>
      <c r="I556" s="150" t="str">
        <f t="shared" si="25"/>
        <v>53</v>
      </c>
      <c r="J556" s="150" t="str">
        <f t="shared" si="26"/>
        <v>534</v>
      </c>
      <c r="K556" s="150" t="s">
        <v>8699</v>
      </c>
      <c r="L556" s="149" t="s">
        <v>1038</v>
      </c>
      <c r="M556" s="151">
        <v>44485.38</v>
      </c>
    </row>
    <row r="557" spans="1:13" s="149" customFormat="1" x14ac:dyDescent="0.25">
      <c r="A557" s="149" t="s">
        <v>7639</v>
      </c>
      <c r="B557" s="149" t="s">
        <v>1039</v>
      </c>
      <c r="C557" s="149">
        <v>11</v>
      </c>
      <c r="D557" s="149">
        <v>300</v>
      </c>
      <c r="E557" s="149">
        <v>0</v>
      </c>
      <c r="F557" s="149">
        <v>675020</v>
      </c>
      <c r="G557" s="149">
        <v>53520</v>
      </c>
      <c r="H557" s="150" t="str">
        <f t="shared" si="24"/>
        <v>5</v>
      </c>
      <c r="I557" s="150" t="str">
        <f t="shared" si="25"/>
        <v>53</v>
      </c>
      <c r="J557" s="150" t="str">
        <f t="shared" si="26"/>
        <v>535</v>
      </c>
      <c r="K557" s="150" t="s">
        <v>8700</v>
      </c>
      <c r="L557" s="149" t="s">
        <v>1040</v>
      </c>
      <c r="M557" s="151">
        <v>96.04</v>
      </c>
    </row>
    <row r="558" spans="1:13" s="149" customFormat="1" x14ac:dyDescent="0.25">
      <c r="A558" s="149" t="s">
        <v>7639</v>
      </c>
      <c r="B558" s="149" t="s">
        <v>1041</v>
      </c>
      <c r="C558" s="149">
        <v>11</v>
      </c>
      <c r="D558" s="149">
        <v>300</v>
      </c>
      <c r="E558" s="149">
        <v>0</v>
      </c>
      <c r="F558" s="149">
        <v>675020</v>
      </c>
      <c r="G558" s="149">
        <v>53620</v>
      </c>
      <c r="H558" s="150" t="str">
        <f t="shared" si="24"/>
        <v>5</v>
      </c>
      <c r="I558" s="150" t="str">
        <f t="shared" si="25"/>
        <v>53</v>
      </c>
      <c r="J558" s="150" t="str">
        <f t="shared" si="26"/>
        <v>536</v>
      </c>
      <c r="K558" s="150" t="s">
        <v>8701</v>
      </c>
      <c r="L558" s="149" t="s">
        <v>1042</v>
      </c>
      <c r="M558" s="151">
        <v>3631.93</v>
      </c>
    </row>
    <row r="559" spans="1:13" s="149" customFormat="1" x14ac:dyDescent="0.25">
      <c r="A559" s="149" t="s">
        <v>7639</v>
      </c>
      <c r="B559" s="149" t="s">
        <v>1043</v>
      </c>
      <c r="C559" s="149">
        <v>11</v>
      </c>
      <c r="D559" s="149">
        <v>300</v>
      </c>
      <c r="E559" s="149">
        <v>0</v>
      </c>
      <c r="F559" s="149">
        <v>675020</v>
      </c>
      <c r="G559" s="149">
        <v>55630</v>
      </c>
      <c r="H559" s="150" t="str">
        <f t="shared" si="24"/>
        <v>5</v>
      </c>
      <c r="I559" s="150" t="str">
        <f t="shared" si="25"/>
        <v>55</v>
      </c>
      <c r="J559" s="150" t="str">
        <f t="shared" si="26"/>
        <v>556</v>
      </c>
      <c r="K559" s="150" t="s">
        <v>8191</v>
      </c>
      <c r="L559" s="149" t="s">
        <v>143</v>
      </c>
      <c r="M559" s="151">
        <v>0</v>
      </c>
    </row>
    <row r="560" spans="1:13" s="149" customFormat="1" x14ac:dyDescent="0.25">
      <c r="A560" s="149" t="s">
        <v>7639</v>
      </c>
      <c r="B560" s="149" t="s">
        <v>1044</v>
      </c>
      <c r="C560" s="149">
        <v>11</v>
      </c>
      <c r="D560" s="149">
        <v>300</v>
      </c>
      <c r="E560" s="149">
        <v>4</v>
      </c>
      <c r="F560" s="149">
        <v>490000</v>
      </c>
      <c r="G560" s="149">
        <v>51311</v>
      </c>
      <c r="H560" s="150" t="str">
        <f t="shared" si="24"/>
        <v>5</v>
      </c>
      <c r="I560" s="150" t="str">
        <f t="shared" si="25"/>
        <v>51</v>
      </c>
      <c r="J560" s="150" t="str">
        <f t="shared" si="26"/>
        <v>513</v>
      </c>
      <c r="K560" s="150" t="s">
        <v>7718</v>
      </c>
      <c r="L560" s="149" t="s">
        <v>1045</v>
      </c>
      <c r="M560" s="151">
        <v>0</v>
      </c>
    </row>
    <row r="561" spans="1:13" s="149" customFormat="1" x14ac:dyDescent="0.25">
      <c r="A561" s="149" t="s">
        <v>7639</v>
      </c>
      <c r="B561" s="149" t="s">
        <v>1046</v>
      </c>
      <c r="C561" s="149">
        <v>11</v>
      </c>
      <c r="D561" s="149">
        <v>300</v>
      </c>
      <c r="E561" s="149">
        <v>4</v>
      </c>
      <c r="F561" s="149">
        <v>490000</v>
      </c>
      <c r="G561" s="149">
        <v>53110</v>
      </c>
      <c r="H561" s="150" t="str">
        <f t="shared" si="24"/>
        <v>5</v>
      </c>
      <c r="I561" s="150" t="str">
        <f t="shared" si="25"/>
        <v>53</v>
      </c>
      <c r="J561" s="150" t="str">
        <f t="shared" si="26"/>
        <v>531</v>
      </c>
      <c r="K561" s="150" t="s">
        <v>8702</v>
      </c>
      <c r="L561" s="149" t="s">
        <v>1047</v>
      </c>
      <c r="M561" s="151">
        <v>0</v>
      </c>
    </row>
    <row r="562" spans="1:13" s="149" customFormat="1" x14ac:dyDescent="0.25">
      <c r="A562" s="149" t="s">
        <v>7639</v>
      </c>
      <c r="B562" s="149" t="s">
        <v>1048</v>
      </c>
      <c r="C562" s="149">
        <v>11</v>
      </c>
      <c r="D562" s="149">
        <v>300</v>
      </c>
      <c r="E562" s="149">
        <v>4</v>
      </c>
      <c r="F562" s="149">
        <v>490000</v>
      </c>
      <c r="G562" s="149">
        <v>53330</v>
      </c>
      <c r="H562" s="150" t="str">
        <f t="shared" si="24"/>
        <v>5</v>
      </c>
      <c r="I562" s="150" t="str">
        <f t="shared" si="25"/>
        <v>53</v>
      </c>
      <c r="J562" s="150" t="str">
        <f t="shared" si="26"/>
        <v>533</v>
      </c>
      <c r="K562" s="150" t="s">
        <v>8703</v>
      </c>
      <c r="L562" s="149" t="s">
        <v>1049</v>
      </c>
      <c r="M562" s="151">
        <v>0</v>
      </c>
    </row>
    <row r="563" spans="1:13" s="149" customFormat="1" x14ac:dyDescent="0.25">
      <c r="A563" s="149" t="s">
        <v>7639</v>
      </c>
      <c r="B563" s="149" t="s">
        <v>1050</v>
      </c>
      <c r="C563" s="149">
        <v>11</v>
      </c>
      <c r="D563" s="149">
        <v>300</v>
      </c>
      <c r="E563" s="149">
        <v>4</v>
      </c>
      <c r="F563" s="149">
        <v>490000</v>
      </c>
      <c r="G563" s="149">
        <v>53510</v>
      </c>
      <c r="H563" s="150" t="str">
        <f t="shared" si="24"/>
        <v>5</v>
      </c>
      <c r="I563" s="150" t="str">
        <f t="shared" si="25"/>
        <v>53</v>
      </c>
      <c r="J563" s="150" t="str">
        <f t="shared" si="26"/>
        <v>535</v>
      </c>
      <c r="K563" s="150" t="s">
        <v>8704</v>
      </c>
      <c r="L563" s="149" t="s">
        <v>1051</v>
      </c>
      <c r="M563" s="151">
        <v>0</v>
      </c>
    </row>
    <row r="564" spans="1:13" s="149" customFormat="1" x14ac:dyDescent="0.25">
      <c r="A564" s="149" t="s">
        <v>7639</v>
      </c>
      <c r="B564" s="149" t="s">
        <v>1052</v>
      </c>
      <c r="C564" s="149">
        <v>11</v>
      </c>
      <c r="D564" s="149">
        <v>300</v>
      </c>
      <c r="E564" s="149">
        <v>4</v>
      </c>
      <c r="F564" s="149">
        <v>490000</v>
      </c>
      <c r="G564" s="149">
        <v>53610</v>
      </c>
      <c r="H564" s="150" t="str">
        <f t="shared" si="24"/>
        <v>5</v>
      </c>
      <c r="I564" s="150" t="str">
        <f t="shared" si="25"/>
        <v>53</v>
      </c>
      <c r="J564" s="150" t="str">
        <f t="shared" si="26"/>
        <v>536</v>
      </c>
      <c r="K564" s="150" t="s">
        <v>8705</v>
      </c>
      <c r="L564" s="149" t="s">
        <v>1053</v>
      </c>
      <c r="M564" s="151">
        <v>0</v>
      </c>
    </row>
    <row r="565" spans="1:13" s="149" customFormat="1" x14ac:dyDescent="0.25">
      <c r="A565" s="149" t="s">
        <v>7639</v>
      </c>
      <c r="B565" s="149" t="s">
        <v>1054</v>
      </c>
      <c r="C565" s="149">
        <v>11</v>
      </c>
      <c r="D565" s="149">
        <v>300</v>
      </c>
      <c r="E565" s="149">
        <v>4</v>
      </c>
      <c r="F565" s="149">
        <v>601000</v>
      </c>
      <c r="G565" s="149">
        <v>55650</v>
      </c>
      <c r="H565" s="150" t="str">
        <f t="shared" si="24"/>
        <v>5</v>
      </c>
      <c r="I565" s="150" t="str">
        <f t="shared" si="25"/>
        <v>55</v>
      </c>
      <c r="J565" s="150" t="str">
        <f t="shared" si="26"/>
        <v>556</v>
      </c>
      <c r="K565" s="150" t="s">
        <v>8295</v>
      </c>
      <c r="L565" s="149" t="s">
        <v>511</v>
      </c>
      <c r="M565" s="151">
        <v>-23000</v>
      </c>
    </row>
    <row r="566" spans="1:13" s="149" customFormat="1" x14ac:dyDescent="0.25">
      <c r="A566" s="149" t="s">
        <v>7639</v>
      </c>
      <c r="B566" s="149" t="s">
        <v>1055</v>
      </c>
      <c r="C566" s="149">
        <v>11</v>
      </c>
      <c r="D566" s="149">
        <v>301</v>
      </c>
      <c r="E566" s="149">
        <v>0</v>
      </c>
      <c r="F566" s="149">
        <v>601000</v>
      </c>
      <c r="G566" s="149">
        <v>51210</v>
      </c>
      <c r="H566" s="150" t="str">
        <f t="shared" si="24"/>
        <v>5</v>
      </c>
      <c r="I566" s="150" t="str">
        <f t="shared" si="25"/>
        <v>51</v>
      </c>
      <c r="J566" s="150" t="str">
        <f t="shared" si="26"/>
        <v>512</v>
      </c>
      <c r="K566" s="150" t="s">
        <v>8706</v>
      </c>
      <c r="L566" s="149" t="s">
        <v>477</v>
      </c>
      <c r="M566" s="151">
        <v>131204</v>
      </c>
    </row>
    <row r="567" spans="1:13" s="149" customFormat="1" x14ac:dyDescent="0.25">
      <c r="A567" s="149" t="s">
        <v>7639</v>
      </c>
      <c r="B567" s="149" t="s">
        <v>1056</v>
      </c>
      <c r="C567" s="149">
        <v>11</v>
      </c>
      <c r="D567" s="149">
        <v>301</v>
      </c>
      <c r="E567" s="149">
        <v>0</v>
      </c>
      <c r="F567" s="149">
        <v>601000</v>
      </c>
      <c r="G567" s="149">
        <v>51412</v>
      </c>
      <c r="H567" s="150" t="str">
        <f t="shared" si="24"/>
        <v>5</v>
      </c>
      <c r="I567" s="150" t="str">
        <f t="shared" si="25"/>
        <v>51</v>
      </c>
      <c r="J567" s="150" t="str">
        <f t="shared" si="26"/>
        <v>514</v>
      </c>
      <c r="K567" s="150" t="s">
        <v>7785</v>
      </c>
      <c r="L567" s="149" t="s">
        <v>479</v>
      </c>
      <c r="M567" s="151">
        <v>12000</v>
      </c>
    </row>
    <row r="568" spans="1:13" s="149" customFormat="1" x14ac:dyDescent="0.25">
      <c r="A568" s="149" t="s">
        <v>7639</v>
      </c>
      <c r="B568" s="149" t="s">
        <v>1057</v>
      </c>
      <c r="C568" s="149">
        <v>11</v>
      </c>
      <c r="D568" s="149">
        <v>301</v>
      </c>
      <c r="E568" s="149">
        <v>0</v>
      </c>
      <c r="F568" s="149">
        <v>601000</v>
      </c>
      <c r="G568" s="149">
        <v>52105</v>
      </c>
      <c r="H568" s="150" t="str">
        <f t="shared" si="24"/>
        <v>5</v>
      </c>
      <c r="I568" s="150" t="str">
        <f t="shared" si="25"/>
        <v>52</v>
      </c>
      <c r="J568" s="150" t="str">
        <f t="shared" si="26"/>
        <v>521</v>
      </c>
      <c r="K568" s="150" t="s">
        <v>8707</v>
      </c>
      <c r="L568" s="149" t="s">
        <v>481</v>
      </c>
      <c r="M568" s="151">
        <v>61049.279999999999</v>
      </c>
    </row>
    <row r="569" spans="1:13" s="149" customFormat="1" x14ac:dyDescent="0.25">
      <c r="A569" s="149" t="s">
        <v>7639</v>
      </c>
      <c r="B569" s="149" t="s">
        <v>1058</v>
      </c>
      <c r="C569" s="149">
        <v>11</v>
      </c>
      <c r="D569" s="149">
        <v>301</v>
      </c>
      <c r="E569" s="149">
        <v>0</v>
      </c>
      <c r="F569" s="149">
        <v>601000</v>
      </c>
      <c r="G569" s="149">
        <v>52300</v>
      </c>
      <c r="H569" s="150" t="str">
        <f t="shared" si="24"/>
        <v>5</v>
      </c>
      <c r="I569" s="150" t="str">
        <f t="shared" si="25"/>
        <v>52</v>
      </c>
      <c r="J569" s="150" t="str">
        <f t="shared" si="26"/>
        <v>523</v>
      </c>
      <c r="K569" s="150" t="s">
        <v>7819</v>
      </c>
      <c r="L569" s="149" t="s">
        <v>483</v>
      </c>
      <c r="M569" s="151">
        <v>395</v>
      </c>
    </row>
    <row r="570" spans="1:13" s="149" customFormat="1" x14ac:dyDescent="0.25">
      <c r="A570" s="149" t="s">
        <v>7639</v>
      </c>
      <c r="B570" s="149" t="s">
        <v>1059</v>
      </c>
      <c r="C570" s="149">
        <v>11</v>
      </c>
      <c r="D570" s="149">
        <v>301</v>
      </c>
      <c r="E570" s="149">
        <v>0</v>
      </c>
      <c r="F570" s="149">
        <v>601000</v>
      </c>
      <c r="G570" s="149">
        <v>52360</v>
      </c>
      <c r="H570" s="150" t="str">
        <f t="shared" si="24"/>
        <v>5</v>
      </c>
      <c r="I570" s="150" t="str">
        <f t="shared" si="25"/>
        <v>52</v>
      </c>
      <c r="J570" s="150" t="str">
        <f t="shared" si="26"/>
        <v>523</v>
      </c>
      <c r="K570" s="150" t="s">
        <v>7865</v>
      </c>
      <c r="L570" s="149" t="s">
        <v>1008</v>
      </c>
      <c r="M570" s="151">
        <v>0</v>
      </c>
    </row>
    <row r="571" spans="1:13" s="149" customFormat="1" x14ac:dyDescent="0.25">
      <c r="A571" s="149" t="s">
        <v>7639</v>
      </c>
      <c r="B571" s="149" t="s">
        <v>1060</v>
      </c>
      <c r="C571" s="149">
        <v>11</v>
      </c>
      <c r="D571" s="149">
        <v>301</v>
      </c>
      <c r="E571" s="149">
        <v>0</v>
      </c>
      <c r="F571" s="149">
        <v>601000</v>
      </c>
      <c r="G571" s="149">
        <v>53120</v>
      </c>
      <c r="H571" s="150" t="str">
        <f t="shared" si="24"/>
        <v>5</v>
      </c>
      <c r="I571" s="150" t="str">
        <f t="shared" si="25"/>
        <v>53</v>
      </c>
      <c r="J571" s="150" t="str">
        <f t="shared" si="26"/>
        <v>531</v>
      </c>
      <c r="K571" s="150" t="s">
        <v>8708</v>
      </c>
      <c r="L571" s="149" t="s">
        <v>485</v>
      </c>
      <c r="M571" s="151">
        <v>23127.45</v>
      </c>
    </row>
    <row r="572" spans="1:13" s="149" customFormat="1" x14ac:dyDescent="0.25">
      <c r="A572" s="149" t="s">
        <v>7639</v>
      </c>
      <c r="B572" s="149" t="s">
        <v>1061</v>
      </c>
      <c r="C572" s="149">
        <v>11</v>
      </c>
      <c r="D572" s="149">
        <v>301</v>
      </c>
      <c r="E572" s="149">
        <v>0</v>
      </c>
      <c r="F572" s="149">
        <v>601000</v>
      </c>
      <c r="G572" s="149">
        <v>53220</v>
      </c>
      <c r="H572" s="150" t="str">
        <f t="shared" si="24"/>
        <v>5</v>
      </c>
      <c r="I572" s="150" t="str">
        <f t="shared" si="25"/>
        <v>53</v>
      </c>
      <c r="J572" s="150" t="str">
        <f t="shared" si="26"/>
        <v>532</v>
      </c>
      <c r="K572" s="150" t="s">
        <v>8709</v>
      </c>
      <c r="L572" s="149" t="s">
        <v>487</v>
      </c>
      <c r="M572" s="151">
        <v>12637.2</v>
      </c>
    </row>
    <row r="573" spans="1:13" s="149" customFormat="1" x14ac:dyDescent="0.25">
      <c r="A573" s="149" t="s">
        <v>7639</v>
      </c>
      <c r="B573" s="149" t="s">
        <v>1062</v>
      </c>
      <c r="C573" s="149">
        <v>11</v>
      </c>
      <c r="D573" s="149">
        <v>301</v>
      </c>
      <c r="E573" s="149">
        <v>0</v>
      </c>
      <c r="F573" s="149">
        <v>601000</v>
      </c>
      <c r="G573" s="149">
        <v>53320</v>
      </c>
      <c r="H573" s="150" t="str">
        <f t="shared" si="24"/>
        <v>5</v>
      </c>
      <c r="I573" s="150" t="str">
        <f t="shared" si="25"/>
        <v>53</v>
      </c>
      <c r="J573" s="150" t="str">
        <f t="shared" si="26"/>
        <v>533</v>
      </c>
      <c r="K573" s="150" t="s">
        <v>8710</v>
      </c>
      <c r="L573" s="149" t="s">
        <v>489</v>
      </c>
      <c r="M573" s="151">
        <v>3809.55</v>
      </c>
    </row>
    <row r="574" spans="1:13" s="149" customFormat="1" x14ac:dyDescent="0.25">
      <c r="A574" s="149" t="s">
        <v>7639</v>
      </c>
      <c r="B574" s="149" t="s">
        <v>1063</v>
      </c>
      <c r="C574" s="149">
        <v>11</v>
      </c>
      <c r="D574" s="149">
        <v>301</v>
      </c>
      <c r="E574" s="149">
        <v>0</v>
      </c>
      <c r="F574" s="149">
        <v>601000</v>
      </c>
      <c r="G574" s="149">
        <v>53340</v>
      </c>
      <c r="H574" s="150" t="str">
        <f t="shared" si="24"/>
        <v>5</v>
      </c>
      <c r="I574" s="150" t="str">
        <f t="shared" si="25"/>
        <v>53</v>
      </c>
      <c r="J574" s="150" t="str">
        <f t="shared" si="26"/>
        <v>533</v>
      </c>
      <c r="K574" s="150" t="s">
        <v>8711</v>
      </c>
      <c r="L574" s="149" t="s">
        <v>491</v>
      </c>
      <c r="M574" s="151">
        <v>2967.4</v>
      </c>
    </row>
    <row r="575" spans="1:13" s="149" customFormat="1" x14ac:dyDescent="0.25">
      <c r="A575" s="149" t="s">
        <v>7639</v>
      </c>
      <c r="B575" s="149" t="s">
        <v>1064</v>
      </c>
      <c r="C575" s="149">
        <v>11</v>
      </c>
      <c r="D575" s="149">
        <v>301</v>
      </c>
      <c r="E575" s="149">
        <v>0</v>
      </c>
      <c r="F575" s="149">
        <v>601000</v>
      </c>
      <c r="G575" s="149">
        <v>53420</v>
      </c>
      <c r="H575" s="150" t="str">
        <f t="shared" si="24"/>
        <v>5</v>
      </c>
      <c r="I575" s="150" t="str">
        <f t="shared" si="25"/>
        <v>53</v>
      </c>
      <c r="J575" s="150" t="str">
        <f t="shared" si="26"/>
        <v>534</v>
      </c>
      <c r="K575" s="150" t="s">
        <v>8712</v>
      </c>
      <c r="L575" s="149" t="s">
        <v>493</v>
      </c>
      <c r="M575" s="151">
        <v>57176.67</v>
      </c>
    </row>
    <row r="576" spans="1:13" s="149" customFormat="1" x14ac:dyDescent="0.25">
      <c r="A576" s="149" t="s">
        <v>7639</v>
      </c>
      <c r="B576" s="149" t="s">
        <v>1065</v>
      </c>
      <c r="C576" s="149">
        <v>11</v>
      </c>
      <c r="D576" s="149">
        <v>301</v>
      </c>
      <c r="E576" s="149">
        <v>0</v>
      </c>
      <c r="F576" s="149">
        <v>601000</v>
      </c>
      <c r="G576" s="149">
        <v>53520</v>
      </c>
      <c r="H576" s="150" t="str">
        <f t="shared" si="24"/>
        <v>5</v>
      </c>
      <c r="I576" s="150" t="str">
        <f t="shared" si="25"/>
        <v>53</v>
      </c>
      <c r="J576" s="150" t="str">
        <f t="shared" si="26"/>
        <v>535</v>
      </c>
      <c r="K576" s="150" t="s">
        <v>8713</v>
      </c>
      <c r="L576" s="149" t="s">
        <v>495</v>
      </c>
      <c r="M576" s="151">
        <v>102.32</v>
      </c>
    </row>
    <row r="577" spans="1:13" s="149" customFormat="1" x14ac:dyDescent="0.25">
      <c r="A577" s="149" t="s">
        <v>7639</v>
      </c>
      <c r="B577" s="149" t="s">
        <v>1066</v>
      </c>
      <c r="C577" s="149">
        <v>11</v>
      </c>
      <c r="D577" s="149">
        <v>301</v>
      </c>
      <c r="E577" s="149">
        <v>0</v>
      </c>
      <c r="F577" s="149">
        <v>601000</v>
      </c>
      <c r="G577" s="149">
        <v>53620</v>
      </c>
      <c r="H577" s="150" t="str">
        <f t="shared" si="24"/>
        <v>5</v>
      </c>
      <c r="I577" s="150" t="str">
        <f t="shared" si="25"/>
        <v>53</v>
      </c>
      <c r="J577" s="150" t="str">
        <f t="shared" si="26"/>
        <v>536</v>
      </c>
      <c r="K577" s="150" t="s">
        <v>8714</v>
      </c>
      <c r="L577" s="149" t="s">
        <v>497</v>
      </c>
      <c r="M577" s="151">
        <v>3869.5</v>
      </c>
    </row>
    <row r="578" spans="1:13" s="149" customFormat="1" x14ac:dyDescent="0.25">
      <c r="A578" s="149" t="s">
        <v>7639</v>
      </c>
      <c r="B578" s="149" t="s">
        <v>1067</v>
      </c>
      <c r="C578" s="149">
        <v>11</v>
      </c>
      <c r="D578" s="149">
        <v>301</v>
      </c>
      <c r="E578" s="149">
        <v>0</v>
      </c>
      <c r="F578" s="149">
        <v>601000</v>
      </c>
      <c r="G578" s="149">
        <v>53920</v>
      </c>
      <c r="H578" s="150" t="str">
        <f t="shared" si="24"/>
        <v>5</v>
      </c>
      <c r="I578" s="150" t="str">
        <f t="shared" si="25"/>
        <v>53</v>
      </c>
      <c r="J578" s="150" t="str">
        <f t="shared" si="26"/>
        <v>539</v>
      </c>
      <c r="K578" s="150" t="s">
        <v>8715</v>
      </c>
      <c r="L578" s="149" t="s">
        <v>499</v>
      </c>
      <c r="M578" s="151">
        <v>0</v>
      </c>
    </row>
    <row r="579" spans="1:13" s="149" customFormat="1" x14ac:dyDescent="0.25">
      <c r="A579" s="149" t="s">
        <v>7639</v>
      </c>
      <c r="B579" s="149" t="s">
        <v>1068</v>
      </c>
      <c r="C579" s="149">
        <v>11</v>
      </c>
      <c r="D579" s="149">
        <v>301</v>
      </c>
      <c r="E579" s="149">
        <v>0</v>
      </c>
      <c r="F579" s="149">
        <v>601000</v>
      </c>
      <c r="G579" s="149">
        <v>54300</v>
      </c>
      <c r="H579" s="150" t="str">
        <f t="shared" ref="H579:H642" si="27">LEFT(G579,1)</f>
        <v>5</v>
      </c>
      <c r="I579" s="150" t="str">
        <f t="shared" ref="I579:I642" si="28">LEFT(G579,2)</f>
        <v>54</v>
      </c>
      <c r="J579" s="150" t="str">
        <f t="shared" ref="J579:J642" si="29">LEFT(G579,3)</f>
        <v>543</v>
      </c>
      <c r="K579" s="150" t="s">
        <v>7930</v>
      </c>
      <c r="L579" s="149" t="s">
        <v>501</v>
      </c>
      <c r="M579" s="151">
        <v>403</v>
      </c>
    </row>
    <row r="580" spans="1:13" s="149" customFormat="1" x14ac:dyDescent="0.25">
      <c r="A580" s="149" t="s">
        <v>7639</v>
      </c>
      <c r="B580" s="149" t="s">
        <v>1069</v>
      </c>
      <c r="C580" s="149">
        <v>11</v>
      </c>
      <c r="D580" s="149">
        <v>301</v>
      </c>
      <c r="E580" s="149">
        <v>0</v>
      </c>
      <c r="F580" s="149">
        <v>601000</v>
      </c>
      <c r="G580" s="149">
        <v>55200</v>
      </c>
      <c r="H580" s="150" t="str">
        <f t="shared" si="27"/>
        <v>5</v>
      </c>
      <c r="I580" s="150" t="str">
        <f t="shared" si="28"/>
        <v>55</v>
      </c>
      <c r="J580" s="150" t="str">
        <f t="shared" si="29"/>
        <v>552</v>
      </c>
      <c r="K580" s="150" t="s">
        <v>8046</v>
      </c>
      <c r="L580" s="149" t="s">
        <v>505</v>
      </c>
      <c r="M580" s="151">
        <v>500</v>
      </c>
    </row>
    <row r="581" spans="1:13" s="149" customFormat="1" x14ac:dyDescent="0.25">
      <c r="A581" s="149" t="s">
        <v>7639</v>
      </c>
      <c r="B581" s="149" t="s">
        <v>1070</v>
      </c>
      <c r="C581" s="149">
        <v>11</v>
      </c>
      <c r="D581" s="149">
        <v>301</v>
      </c>
      <c r="E581" s="149">
        <v>0</v>
      </c>
      <c r="F581" s="149">
        <v>601000</v>
      </c>
      <c r="G581" s="149">
        <v>55630</v>
      </c>
      <c r="H581" s="150" t="str">
        <f t="shared" si="27"/>
        <v>5</v>
      </c>
      <c r="I581" s="150" t="str">
        <f t="shared" si="28"/>
        <v>55</v>
      </c>
      <c r="J581" s="150" t="str">
        <f t="shared" si="29"/>
        <v>556</v>
      </c>
      <c r="K581" s="150" t="s">
        <v>8192</v>
      </c>
      <c r="L581" s="149" t="s">
        <v>509</v>
      </c>
      <c r="M581" s="151">
        <v>167.76</v>
      </c>
    </row>
    <row r="582" spans="1:13" s="149" customFormat="1" x14ac:dyDescent="0.25">
      <c r="A582" s="149" t="s">
        <v>7639</v>
      </c>
      <c r="B582" s="149" t="s">
        <v>1071</v>
      </c>
      <c r="C582" s="149">
        <v>11</v>
      </c>
      <c r="D582" s="149">
        <v>304</v>
      </c>
      <c r="E582" s="149">
        <v>0</v>
      </c>
      <c r="F582" s="149">
        <v>601000</v>
      </c>
      <c r="G582" s="149">
        <v>51210</v>
      </c>
      <c r="H582" s="150" t="str">
        <f t="shared" si="27"/>
        <v>5</v>
      </c>
      <c r="I582" s="150" t="str">
        <f t="shared" si="28"/>
        <v>51</v>
      </c>
      <c r="J582" s="150" t="str">
        <f t="shared" si="29"/>
        <v>512</v>
      </c>
      <c r="K582" s="150" t="s">
        <v>8716</v>
      </c>
      <c r="L582" s="149" t="s">
        <v>477</v>
      </c>
      <c r="M582" s="151">
        <v>147407</v>
      </c>
    </row>
    <row r="583" spans="1:13" s="149" customFormat="1" x14ac:dyDescent="0.25">
      <c r="A583" s="149" t="s">
        <v>7639</v>
      </c>
      <c r="B583" s="149" t="s">
        <v>1072</v>
      </c>
      <c r="C583" s="149">
        <v>11</v>
      </c>
      <c r="D583" s="149">
        <v>304</v>
      </c>
      <c r="E583" s="149">
        <v>0</v>
      </c>
      <c r="F583" s="149">
        <v>601000</v>
      </c>
      <c r="G583" s="149">
        <v>52105</v>
      </c>
      <c r="H583" s="150" t="str">
        <f t="shared" si="27"/>
        <v>5</v>
      </c>
      <c r="I583" s="150" t="str">
        <f t="shared" si="28"/>
        <v>52</v>
      </c>
      <c r="J583" s="150" t="str">
        <f t="shared" si="29"/>
        <v>521</v>
      </c>
      <c r="K583" s="150" t="s">
        <v>8717</v>
      </c>
      <c r="L583" s="149" t="s">
        <v>481</v>
      </c>
      <c r="M583" s="151">
        <v>59036.28</v>
      </c>
    </row>
    <row r="584" spans="1:13" s="149" customFormat="1" x14ac:dyDescent="0.25">
      <c r="A584" s="149" t="s">
        <v>7639</v>
      </c>
      <c r="B584" s="149" t="s">
        <v>1073</v>
      </c>
      <c r="C584" s="149">
        <v>11</v>
      </c>
      <c r="D584" s="149">
        <v>304</v>
      </c>
      <c r="E584" s="149">
        <v>0</v>
      </c>
      <c r="F584" s="149">
        <v>601000</v>
      </c>
      <c r="G584" s="149">
        <v>53120</v>
      </c>
      <c r="H584" s="150" t="str">
        <f t="shared" si="27"/>
        <v>5</v>
      </c>
      <c r="I584" s="150" t="str">
        <f t="shared" si="28"/>
        <v>53</v>
      </c>
      <c r="J584" s="150" t="str">
        <f t="shared" si="29"/>
        <v>531</v>
      </c>
      <c r="K584" s="150" t="s">
        <v>8718</v>
      </c>
      <c r="L584" s="149" t="s">
        <v>485</v>
      </c>
      <c r="M584" s="151">
        <v>23806.23</v>
      </c>
    </row>
    <row r="585" spans="1:13" s="149" customFormat="1" x14ac:dyDescent="0.25">
      <c r="A585" s="149" t="s">
        <v>7639</v>
      </c>
      <c r="B585" s="149" t="s">
        <v>1074</v>
      </c>
      <c r="C585" s="149">
        <v>11</v>
      </c>
      <c r="D585" s="149">
        <v>304</v>
      </c>
      <c r="E585" s="149">
        <v>0</v>
      </c>
      <c r="F585" s="149">
        <v>601000</v>
      </c>
      <c r="G585" s="149">
        <v>53220</v>
      </c>
      <c r="H585" s="150" t="str">
        <f t="shared" si="27"/>
        <v>5</v>
      </c>
      <c r="I585" s="150" t="str">
        <f t="shared" si="28"/>
        <v>53</v>
      </c>
      <c r="J585" s="150" t="str">
        <f t="shared" si="29"/>
        <v>532</v>
      </c>
      <c r="K585" s="150" t="s">
        <v>8719</v>
      </c>
      <c r="L585" s="149" t="s">
        <v>487</v>
      </c>
      <c r="M585" s="151">
        <v>12220.51</v>
      </c>
    </row>
    <row r="586" spans="1:13" s="149" customFormat="1" x14ac:dyDescent="0.25">
      <c r="A586" s="149" t="s">
        <v>7639</v>
      </c>
      <c r="B586" s="149" t="s">
        <v>1075</v>
      </c>
      <c r="C586" s="149">
        <v>11</v>
      </c>
      <c r="D586" s="149">
        <v>304</v>
      </c>
      <c r="E586" s="149">
        <v>0</v>
      </c>
      <c r="F586" s="149">
        <v>601000</v>
      </c>
      <c r="G586" s="149">
        <v>53320</v>
      </c>
      <c r="H586" s="150" t="str">
        <f t="shared" si="27"/>
        <v>5</v>
      </c>
      <c r="I586" s="150" t="str">
        <f t="shared" si="28"/>
        <v>53</v>
      </c>
      <c r="J586" s="150" t="str">
        <f t="shared" si="29"/>
        <v>533</v>
      </c>
      <c r="K586" s="150" t="s">
        <v>8720</v>
      </c>
      <c r="L586" s="149" t="s">
        <v>489</v>
      </c>
      <c r="M586" s="151">
        <v>3660.25</v>
      </c>
    </row>
    <row r="587" spans="1:13" s="149" customFormat="1" x14ac:dyDescent="0.25">
      <c r="A587" s="149" t="s">
        <v>7639</v>
      </c>
      <c r="B587" s="149" t="s">
        <v>1076</v>
      </c>
      <c r="C587" s="149">
        <v>11</v>
      </c>
      <c r="D587" s="149">
        <v>304</v>
      </c>
      <c r="E587" s="149">
        <v>0</v>
      </c>
      <c r="F587" s="149">
        <v>601000</v>
      </c>
      <c r="G587" s="149">
        <v>53340</v>
      </c>
      <c r="H587" s="150" t="str">
        <f t="shared" si="27"/>
        <v>5</v>
      </c>
      <c r="I587" s="150" t="str">
        <f t="shared" si="28"/>
        <v>53</v>
      </c>
      <c r="J587" s="150" t="str">
        <f t="shared" si="29"/>
        <v>533</v>
      </c>
      <c r="K587" s="150" t="s">
        <v>8721</v>
      </c>
      <c r="L587" s="149" t="s">
        <v>491</v>
      </c>
      <c r="M587" s="151">
        <v>2993.43</v>
      </c>
    </row>
    <row r="588" spans="1:13" s="149" customFormat="1" x14ac:dyDescent="0.25">
      <c r="A588" s="149" t="s">
        <v>7639</v>
      </c>
      <c r="B588" s="149" t="s">
        <v>1077</v>
      </c>
      <c r="C588" s="149">
        <v>11</v>
      </c>
      <c r="D588" s="149">
        <v>304</v>
      </c>
      <c r="E588" s="149">
        <v>0</v>
      </c>
      <c r="F588" s="149">
        <v>601000</v>
      </c>
      <c r="G588" s="149">
        <v>53420</v>
      </c>
      <c r="H588" s="150" t="str">
        <f t="shared" si="27"/>
        <v>5</v>
      </c>
      <c r="I588" s="150" t="str">
        <f t="shared" si="28"/>
        <v>53</v>
      </c>
      <c r="J588" s="150" t="str">
        <f t="shared" si="29"/>
        <v>534</v>
      </c>
      <c r="K588" s="150" t="s">
        <v>8722</v>
      </c>
      <c r="L588" s="149" t="s">
        <v>493</v>
      </c>
      <c r="M588" s="151">
        <v>36248.22</v>
      </c>
    </row>
    <row r="589" spans="1:13" s="149" customFormat="1" x14ac:dyDescent="0.25">
      <c r="A589" s="149" t="s">
        <v>7639</v>
      </c>
      <c r="B589" s="149" t="s">
        <v>1078</v>
      </c>
      <c r="C589" s="149">
        <v>11</v>
      </c>
      <c r="D589" s="149">
        <v>304</v>
      </c>
      <c r="E589" s="149">
        <v>0</v>
      </c>
      <c r="F589" s="149">
        <v>601000</v>
      </c>
      <c r="G589" s="149">
        <v>53520</v>
      </c>
      <c r="H589" s="150" t="str">
        <f t="shared" si="27"/>
        <v>5</v>
      </c>
      <c r="I589" s="150" t="str">
        <f t="shared" si="28"/>
        <v>53</v>
      </c>
      <c r="J589" s="150" t="str">
        <f t="shared" si="29"/>
        <v>535</v>
      </c>
      <c r="K589" s="150" t="s">
        <v>8723</v>
      </c>
      <c r="L589" s="149" t="s">
        <v>495</v>
      </c>
      <c r="M589" s="151">
        <v>103.22</v>
      </c>
    </row>
    <row r="590" spans="1:13" s="149" customFormat="1" x14ac:dyDescent="0.25">
      <c r="A590" s="149" t="s">
        <v>7639</v>
      </c>
      <c r="B590" s="149" t="s">
        <v>1079</v>
      </c>
      <c r="C590" s="149">
        <v>11</v>
      </c>
      <c r="D590" s="149">
        <v>304</v>
      </c>
      <c r="E590" s="149">
        <v>0</v>
      </c>
      <c r="F590" s="149">
        <v>601000</v>
      </c>
      <c r="G590" s="149">
        <v>53620</v>
      </c>
      <c r="H590" s="150" t="str">
        <f t="shared" si="27"/>
        <v>5</v>
      </c>
      <c r="I590" s="150" t="str">
        <f t="shared" si="28"/>
        <v>53</v>
      </c>
      <c r="J590" s="150" t="str">
        <f t="shared" si="29"/>
        <v>536</v>
      </c>
      <c r="K590" s="150" t="s">
        <v>8724</v>
      </c>
      <c r="L590" s="149" t="s">
        <v>497</v>
      </c>
      <c r="M590" s="151">
        <v>3903.43</v>
      </c>
    </row>
    <row r="591" spans="1:13" s="149" customFormat="1" x14ac:dyDescent="0.25">
      <c r="A591" s="149" t="s">
        <v>7639</v>
      </c>
      <c r="B591" s="149" t="s">
        <v>1080</v>
      </c>
      <c r="C591" s="149">
        <v>11</v>
      </c>
      <c r="D591" s="149">
        <v>304</v>
      </c>
      <c r="E591" s="149">
        <v>0</v>
      </c>
      <c r="F591" s="149">
        <v>601000</v>
      </c>
      <c r="G591" s="149">
        <v>53920</v>
      </c>
      <c r="H591" s="150" t="str">
        <f t="shared" si="27"/>
        <v>5</v>
      </c>
      <c r="I591" s="150" t="str">
        <f t="shared" si="28"/>
        <v>53</v>
      </c>
      <c r="J591" s="150" t="str">
        <f t="shared" si="29"/>
        <v>539</v>
      </c>
      <c r="K591" s="150" t="s">
        <v>8725</v>
      </c>
      <c r="L591" s="149" t="s">
        <v>499</v>
      </c>
      <c r="M591" s="151">
        <v>2400</v>
      </c>
    </row>
    <row r="592" spans="1:13" s="149" customFormat="1" x14ac:dyDescent="0.25">
      <c r="A592" s="149" t="s">
        <v>7639</v>
      </c>
      <c r="B592" s="149" t="s">
        <v>1081</v>
      </c>
      <c r="C592" s="149">
        <v>11</v>
      </c>
      <c r="D592" s="149">
        <v>304</v>
      </c>
      <c r="E592" s="149">
        <v>0</v>
      </c>
      <c r="F592" s="149">
        <v>601000</v>
      </c>
      <c r="G592" s="149">
        <v>54300</v>
      </c>
      <c r="H592" s="150" t="str">
        <f t="shared" si="27"/>
        <v>5</v>
      </c>
      <c r="I592" s="150" t="str">
        <f t="shared" si="28"/>
        <v>54</v>
      </c>
      <c r="J592" s="150" t="str">
        <f t="shared" si="29"/>
        <v>543</v>
      </c>
      <c r="K592" s="150" t="s">
        <v>7931</v>
      </c>
      <c r="L592" s="149" t="s">
        <v>501</v>
      </c>
      <c r="M592" s="151">
        <v>3204</v>
      </c>
    </row>
    <row r="593" spans="1:13" s="149" customFormat="1" x14ac:dyDescent="0.25">
      <c r="A593" s="149" t="s">
        <v>7639</v>
      </c>
      <c r="B593" s="149" t="s">
        <v>1082</v>
      </c>
      <c r="C593" s="149">
        <v>11</v>
      </c>
      <c r="D593" s="149">
        <v>304</v>
      </c>
      <c r="E593" s="149">
        <v>0</v>
      </c>
      <c r="F593" s="149">
        <v>601000</v>
      </c>
      <c r="G593" s="149">
        <v>55200</v>
      </c>
      <c r="H593" s="150" t="str">
        <f t="shared" si="27"/>
        <v>5</v>
      </c>
      <c r="I593" s="150" t="str">
        <f t="shared" si="28"/>
        <v>55</v>
      </c>
      <c r="J593" s="150" t="str">
        <f t="shared" si="29"/>
        <v>552</v>
      </c>
      <c r="K593" s="150" t="s">
        <v>8047</v>
      </c>
      <c r="L593" s="149" t="s">
        <v>505</v>
      </c>
      <c r="M593" s="151">
        <v>0</v>
      </c>
    </row>
    <row r="594" spans="1:13" s="149" customFormat="1" x14ac:dyDescent="0.25">
      <c r="A594" s="149" t="s">
        <v>7639</v>
      </c>
      <c r="B594" s="149" t="s">
        <v>1083</v>
      </c>
      <c r="C594" s="149">
        <v>11</v>
      </c>
      <c r="D594" s="149">
        <v>304</v>
      </c>
      <c r="E594" s="149">
        <v>0</v>
      </c>
      <c r="F594" s="149">
        <v>601000</v>
      </c>
      <c r="G594" s="149">
        <v>55630</v>
      </c>
      <c r="H594" s="150" t="str">
        <f t="shared" si="27"/>
        <v>5</v>
      </c>
      <c r="I594" s="150" t="str">
        <f t="shared" si="28"/>
        <v>55</v>
      </c>
      <c r="J594" s="150" t="str">
        <f t="shared" si="29"/>
        <v>556</v>
      </c>
      <c r="K594" s="150" t="s">
        <v>8193</v>
      </c>
      <c r="L594" s="149" t="s">
        <v>509</v>
      </c>
      <c r="M594" s="151">
        <v>27.9</v>
      </c>
    </row>
    <row r="595" spans="1:13" s="149" customFormat="1" x14ac:dyDescent="0.25">
      <c r="A595" s="149" t="s">
        <v>7639</v>
      </c>
      <c r="B595" s="149" t="s">
        <v>1084</v>
      </c>
      <c r="C595" s="149">
        <v>11</v>
      </c>
      <c r="D595" s="149">
        <v>304</v>
      </c>
      <c r="E595" s="149">
        <v>0</v>
      </c>
      <c r="F595" s="149">
        <v>601000</v>
      </c>
      <c r="G595" s="149">
        <v>55650</v>
      </c>
      <c r="H595" s="150" t="str">
        <f t="shared" si="27"/>
        <v>5</v>
      </c>
      <c r="I595" s="150" t="str">
        <f t="shared" si="28"/>
        <v>55</v>
      </c>
      <c r="J595" s="150" t="str">
        <f t="shared" si="29"/>
        <v>556</v>
      </c>
      <c r="K595" s="150" t="s">
        <v>8296</v>
      </c>
      <c r="L595" s="149" t="s">
        <v>511</v>
      </c>
      <c r="M595" s="151">
        <v>3000</v>
      </c>
    </row>
    <row r="596" spans="1:13" s="149" customFormat="1" x14ac:dyDescent="0.25">
      <c r="A596" s="149" t="s">
        <v>7639</v>
      </c>
      <c r="B596" s="149" t="s">
        <v>1085</v>
      </c>
      <c r="C596" s="149">
        <v>11</v>
      </c>
      <c r="D596" s="149">
        <v>304</v>
      </c>
      <c r="E596" s="149">
        <v>0</v>
      </c>
      <c r="F596" s="149">
        <v>682100</v>
      </c>
      <c r="G596" s="149">
        <v>53320</v>
      </c>
      <c r="H596" s="150" t="str">
        <f t="shared" si="27"/>
        <v>5</v>
      </c>
      <c r="I596" s="150" t="str">
        <f t="shared" si="28"/>
        <v>53</v>
      </c>
      <c r="J596" s="150" t="str">
        <f t="shared" si="29"/>
        <v>533</v>
      </c>
      <c r="K596" s="150" t="s">
        <v>8726</v>
      </c>
      <c r="L596" s="149" t="s">
        <v>1086</v>
      </c>
      <c r="M596" s="151">
        <v>0</v>
      </c>
    </row>
    <row r="597" spans="1:13" s="149" customFormat="1" x14ac:dyDescent="0.25">
      <c r="A597" s="149" t="s">
        <v>7639</v>
      </c>
      <c r="B597" s="149" t="s">
        <v>1087</v>
      </c>
      <c r="C597" s="149">
        <v>11</v>
      </c>
      <c r="D597" s="149">
        <v>304</v>
      </c>
      <c r="E597" s="149">
        <v>0</v>
      </c>
      <c r="F597" s="149">
        <v>682100</v>
      </c>
      <c r="G597" s="149">
        <v>53340</v>
      </c>
      <c r="H597" s="150" t="str">
        <f t="shared" si="27"/>
        <v>5</v>
      </c>
      <c r="I597" s="150" t="str">
        <f t="shared" si="28"/>
        <v>53</v>
      </c>
      <c r="J597" s="150" t="str">
        <f t="shared" si="29"/>
        <v>533</v>
      </c>
      <c r="K597" s="150" t="s">
        <v>8727</v>
      </c>
      <c r="L597" s="149" t="s">
        <v>1088</v>
      </c>
      <c r="M597" s="151">
        <v>0</v>
      </c>
    </row>
    <row r="598" spans="1:13" s="149" customFormat="1" x14ac:dyDescent="0.25">
      <c r="A598" s="149" t="s">
        <v>7639</v>
      </c>
      <c r="B598" s="149" t="s">
        <v>1089</v>
      </c>
      <c r="C598" s="149">
        <v>11</v>
      </c>
      <c r="D598" s="149">
        <v>304</v>
      </c>
      <c r="E598" s="149">
        <v>0</v>
      </c>
      <c r="F598" s="149">
        <v>682100</v>
      </c>
      <c r="G598" s="149">
        <v>53420</v>
      </c>
      <c r="H598" s="150" t="str">
        <f t="shared" si="27"/>
        <v>5</v>
      </c>
      <c r="I598" s="150" t="str">
        <f t="shared" si="28"/>
        <v>53</v>
      </c>
      <c r="J598" s="150" t="str">
        <f t="shared" si="29"/>
        <v>534</v>
      </c>
      <c r="K598" s="150" t="s">
        <v>8728</v>
      </c>
      <c r="L598" s="149" t="s">
        <v>1090</v>
      </c>
      <c r="M598" s="151">
        <v>0</v>
      </c>
    </row>
    <row r="599" spans="1:13" s="149" customFormat="1" x14ac:dyDescent="0.25">
      <c r="A599" s="149" t="s">
        <v>7639</v>
      </c>
      <c r="B599" s="149" t="s">
        <v>1091</v>
      </c>
      <c r="C599" s="149">
        <v>11</v>
      </c>
      <c r="D599" s="149">
        <v>304</v>
      </c>
      <c r="E599" s="149">
        <v>0</v>
      </c>
      <c r="F599" s="149">
        <v>682100</v>
      </c>
      <c r="G599" s="149">
        <v>54300</v>
      </c>
      <c r="H599" s="150" t="str">
        <f t="shared" si="27"/>
        <v>5</v>
      </c>
      <c r="I599" s="150" t="str">
        <f t="shared" si="28"/>
        <v>54</v>
      </c>
      <c r="J599" s="150" t="str">
        <f t="shared" si="29"/>
        <v>543</v>
      </c>
      <c r="K599" s="150" t="s">
        <v>7932</v>
      </c>
      <c r="L599" s="149" t="s">
        <v>1092</v>
      </c>
      <c r="M599" s="151">
        <v>282</v>
      </c>
    </row>
    <row r="600" spans="1:13" s="149" customFormat="1" x14ac:dyDescent="0.25">
      <c r="A600" s="149" t="s">
        <v>7639</v>
      </c>
      <c r="B600" s="149" t="s">
        <v>1093</v>
      </c>
      <c r="C600" s="149">
        <v>11</v>
      </c>
      <c r="D600" s="149">
        <v>304</v>
      </c>
      <c r="E600" s="149">
        <v>0</v>
      </c>
      <c r="F600" s="149">
        <v>682100</v>
      </c>
      <c r="G600" s="149">
        <v>55630</v>
      </c>
      <c r="H600" s="150" t="str">
        <f t="shared" si="27"/>
        <v>5</v>
      </c>
      <c r="I600" s="150" t="str">
        <f t="shared" si="28"/>
        <v>55</v>
      </c>
      <c r="J600" s="150" t="str">
        <f t="shared" si="29"/>
        <v>556</v>
      </c>
      <c r="K600" s="150" t="s">
        <v>8194</v>
      </c>
      <c r="L600" s="149" t="s">
        <v>1094</v>
      </c>
      <c r="M600" s="151">
        <v>9.3000000000000007</v>
      </c>
    </row>
    <row r="601" spans="1:13" s="149" customFormat="1" x14ac:dyDescent="0.25">
      <c r="A601" s="149" t="s">
        <v>7639</v>
      </c>
      <c r="B601" s="149" t="s">
        <v>1095</v>
      </c>
      <c r="C601" s="149">
        <v>11</v>
      </c>
      <c r="D601" s="149">
        <v>304</v>
      </c>
      <c r="E601" s="149">
        <v>0</v>
      </c>
      <c r="F601" s="149">
        <v>703800</v>
      </c>
      <c r="G601" s="149">
        <v>52105</v>
      </c>
      <c r="H601" s="150" t="str">
        <f t="shared" si="27"/>
        <v>5</v>
      </c>
      <c r="I601" s="150" t="str">
        <f t="shared" si="28"/>
        <v>52</v>
      </c>
      <c r="J601" s="150" t="str">
        <f t="shared" si="29"/>
        <v>521</v>
      </c>
      <c r="K601" s="150" t="s">
        <v>8729</v>
      </c>
      <c r="L601" s="149" t="s">
        <v>1096</v>
      </c>
      <c r="M601" s="151">
        <v>0</v>
      </c>
    </row>
    <row r="602" spans="1:13" s="149" customFormat="1" x14ac:dyDescent="0.25">
      <c r="A602" s="149" t="s">
        <v>7639</v>
      </c>
      <c r="B602" s="149" t="s">
        <v>1097</v>
      </c>
      <c r="C602" s="149">
        <v>11</v>
      </c>
      <c r="D602" s="149">
        <v>304</v>
      </c>
      <c r="E602" s="149">
        <v>0</v>
      </c>
      <c r="F602" s="149">
        <v>703800</v>
      </c>
      <c r="G602" s="149">
        <v>52130</v>
      </c>
      <c r="H602" s="150" t="str">
        <f t="shared" si="27"/>
        <v>5</v>
      </c>
      <c r="I602" s="150" t="str">
        <f t="shared" si="28"/>
        <v>52</v>
      </c>
      <c r="J602" s="150" t="str">
        <f t="shared" si="29"/>
        <v>521</v>
      </c>
      <c r="K602" s="150" t="s">
        <v>8730</v>
      </c>
      <c r="L602" s="149" t="s">
        <v>1098</v>
      </c>
      <c r="M602" s="151">
        <v>90385.600000000006</v>
      </c>
    </row>
    <row r="603" spans="1:13" s="149" customFormat="1" x14ac:dyDescent="0.25">
      <c r="A603" s="149" t="s">
        <v>7639</v>
      </c>
      <c r="B603" s="149" t="s">
        <v>1099</v>
      </c>
      <c r="C603" s="149">
        <v>11</v>
      </c>
      <c r="D603" s="149">
        <v>304</v>
      </c>
      <c r="E603" s="149">
        <v>0</v>
      </c>
      <c r="F603" s="149">
        <v>703800</v>
      </c>
      <c r="G603" s="149">
        <v>52350</v>
      </c>
      <c r="H603" s="150" t="str">
        <f t="shared" si="27"/>
        <v>5</v>
      </c>
      <c r="I603" s="150" t="str">
        <f t="shared" si="28"/>
        <v>52</v>
      </c>
      <c r="J603" s="150" t="str">
        <f t="shared" si="29"/>
        <v>523</v>
      </c>
      <c r="K603" s="150" t="s">
        <v>7853</v>
      </c>
      <c r="L603" s="149" t="s">
        <v>1100</v>
      </c>
      <c r="M603" s="151">
        <v>0</v>
      </c>
    </row>
    <row r="604" spans="1:13" s="149" customFormat="1" x14ac:dyDescent="0.25">
      <c r="A604" s="149" t="s">
        <v>7639</v>
      </c>
      <c r="B604" s="149" t="s">
        <v>1101</v>
      </c>
      <c r="C604" s="149">
        <v>11</v>
      </c>
      <c r="D604" s="149">
        <v>304</v>
      </c>
      <c r="E604" s="149">
        <v>0</v>
      </c>
      <c r="F604" s="149">
        <v>703800</v>
      </c>
      <c r="G604" s="149">
        <v>52360</v>
      </c>
      <c r="H604" s="150" t="str">
        <f t="shared" si="27"/>
        <v>5</v>
      </c>
      <c r="I604" s="150" t="str">
        <f t="shared" si="28"/>
        <v>52</v>
      </c>
      <c r="J604" s="150" t="str">
        <f t="shared" si="29"/>
        <v>523</v>
      </c>
      <c r="K604" s="150" t="s">
        <v>7866</v>
      </c>
      <c r="L604" s="149" t="s">
        <v>1102</v>
      </c>
      <c r="M604" s="151">
        <v>8500</v>
      </c>
    </row>
    <row r="605" spans="1:13" s="149" customFormat="1" x14ac:dyDescent="0.25">
      <c r="A605" s="149" t="s">
        <v>7639</v>
      </c>
      <c r="B605" s="149" t="s">
        <v>1103</v>
      </c>
      <c r="C605" s="149">
        <v>11</v>
      </c>
      <c r="D605" s="149">
        <v>304</v>
      </c>
      <c r="E605" s="149">
        <v>0</v>
      </c>
      <c r="F605" s="149">
        <v>703800</v>
      </c>
      <c r="G605" s="149">
        <v>53120</v>
      </c>
      <c r="H605" s="150" t="str">
        <f t="shared" si="27"/>
        <v>5</v>
      </c>
      <c r="I605" s="150" t="str">
        <f t="shared" si="28"/>
        <v>53</v>
      </c>
      <c r="J605" s="150" t="str">
        <f t="shared" si="29"/>
        <v>531</v>
      </c>
      <c r="K605" s="150" t="s">
        <v>8731</v>
      </c>
      <c r="L605" s="149" t="s">
        <v>1104</v>
      </c>
      <c r="M605" s="151">
        <v>0</v>
      </c>
    </row>
    <row r="606" spans="1:13" s="149" customFormat="1" x14ac:dyDescent="0.25">
      <c r="A606" s="149" t="s">
        <v>7639</v>
      </c>
      <c r="B606" s="149" t="s">
        <v>1105</v>
      </c>
      <c r="C606" s="149">
        <v>11</v>
      </c>
      <c r="D606" s="149">
        <v>304</v>
      </c>
      <c r="E606" s="149">
        <v>0</v>
      </c>
      <c r="F606" s="149">
        <v>703800</v>
      </c>
      <c r="G606" s="149">
        <v>53220</v>
      </c>
      <c r="H606" s="150" t="str">
        <f t="shared" si="27"/>
        <v>5</v>
      </c>
      <c r="I606" s="150" t="str">
        <f t="shared" si="28"/>
        <v>53</v>
      </c>
      <c r="J606" s="150" t="str">
        <f t="shared" si="29"/>
        <v>532</v>
      </c>
      <c r="K606" s="150" t="s">
        <v>8732</v>
      </c>
      <c r="L606" s="149" t="s">
        <v>1106</v>
      </c>
      <c r="M606" s="151">
        <v>18709.82</v>
      </c>
    </row>
    <row r="607" spans="1:13" s="149" customFormat="1" x14ac:dyDescent="0.25">
      <c r="A607" s="149" t="s">
        <v>7639</v>
      </c>
      <c r="B607" s="149" t="s">
        <v>1107</v>
      </c>
      <c r="C607" s="149">
        <v>11</v>
      </c>
      <c r="D607" s="149">
        <v>304</v>
      </c>
      <c r="E607" s="149">
        <v>0</v>
      </c>
      <c r="F607" s="149">
        <v>703800</v>
      </c>
      <c r="G607" s="149">
        <v>53320</v>
      </c>
      <c r="H607" s="150" t="str">
        <f t="shared" si="27"/>
        <v>5</v>
      </c>
      <c r="I607" s="150" t="str">
        <f t="shared" si="28"/>
        <v>53</v>
      </c>
      <c r="J607" s="150" t="str">
        <f t="shared" si="29"/>
        <v>533</v>
      </c>
      <c r="K607" s="150" t="s">
        <v>8733</v>
      </c>
      <c r="L607" s="149" t="s">
        <v>1108</v>
      </c>
      <c r="M607" s="151">
        <v>6130.91</v>
      </c>
    </row>
    <row r="608" spans="1:13" s="149" customFormat="1" x14ac:dyDescent="0.25">
      <c r="A608" s="149" t="s">
        <v>7639</v>
      </c>
      <c r="B608" s="149" t="s">
        <v>1109</v>
      </c>
      <c r="C608" s="149">
        <v>11</v>
      </c>
      <c r="D608" s="149">
        <v>304</v>
      </c>
      <c r="E608" s="149">
        <v>0</v>
      </c>
      <c r="F608" s="149">
        <v>703800</v>
      </c>
      <c r="G608" s="149">
        <v>53340</v>
      </c>
      <c r="H608" s="150" t="str">
        <f t="shared" si="27"/>
        <v>5</v>
      </c>
      <c r="I608" s="150" t="str">
        <f t="shared" si="28"/>
        <v>53</v>
      </c>
      <c r="J608" s="150" t="str">
        <f t="shared" si="29"/>
        <v>533</v>
      </c>
      <c r="K608" s="150" t="s">
        <v>8734</v>
      </c>
      <c r="L608" s="149" t="s">
        <v>1110</v>
      </c>
      <c r="M608" s="151">
        <v>1433.84</v>
      </c>
    </row>
    <row r="609" spans="1:13" s="149" customFormat="1" x14ac:dyDescent="0.25">
      <c r="A609" s="149" t="s">
        <v>7639</v>
      </c>
      <c r="B609" s="149" t="s">
        <v>1111</v>
      </c>
      <c r="C609" s="149">
        <v>11</v>
      </c>
      <c r="D609" s="149">
        <v>304</v>
      </c>
      <c r="E609" s="149">
        <v>0</v>
      </c>
      <c r="F609" s="149">
        <v>703800</v>
      </c>
      <c r="G609" s="149">
        <v>53420</v>
      </c>
      <c r="H609" s="150" t="str">
        <f t="shared" si="27"/>
        <v>5</v>
      </c>
      <c r="I609" s="150" t="str">
        <f t="shared" si="28"/>
        <v>53</v>
      </c>
      <c r="J609" s="150" t="str">
        <f t="shared" si="29"/>
        <v>534</v>
      </c>
      <c r="K609" s="150" t="s">
        <v>8735</v>
      </c>
      <c r="L609" s="149" t="s">
        <v>1112</v>
      </c>
      <c r="M609" s="151">
        <v>19640.61</v>
      </c>
    </row>
    <row r="610" spans="1:13" s="149" customFormat="1" x14ac:dyDescent="0.25">
      <c r="A610" s="149" t="s">
        <v>7639</v>
      </c>
      <c r="B610" s="149" t="s">
        <v>1113</v>
      </c>
      <c r="C610" s="149">
        <v>11</v>
      </c>
      <c r="D610" s="149">
        <v>304</v>
      </c>
      <c r="E610" s="149">
        <v>0</v>
      </c>
      <c r="F610" s="149">
        <v>703800</v>
      </c>
      <c r="G610" s="149">
        <v>53520</v>
      </c>
      <c r="H610" s="150" t="str">
        <f t="shared" si="27"/>
        <v>5</v>
      </c>
      <c r="I610" s="150" t="str">
        <f t="shared" si="28"/>
        <v>53</v>
      </c>
      <c r="J610" s="150" t="str">
        <f t="shared" si="29"/>
        <v>535</v>
      </c>
      <c r="K610" s="150" t="s">
        <v>8736</v>
      </c>
      <c r="L610" s="149" t="s">
        <v>1114</v>
      </c>
      <c r="M610" s="151">
        <v>49.44</v>
      </c>
    </row>
    <row r="611" spans="1:13" s="149" customFormat="1" x14ac:dyDescent="0.25">
      <c r="A611" s="149" t="s">
        <v>7639</v>
      </c>
      <c r="B611" s="149" t="s">
        <v>1115</v>
      </c>
      <c r="C611" s="149">
        <v>11</v>
      </c>
      <c r="D611" s="149">
        <v>304</v>
      </c>
      <c r="E611" s="149">
        <v>0</v>
      </c>
      <c r="F611" s="149">
        <v>703800</v>
      </c>
      <c r="G611" s="149">
        <v>53620</v>
      </c>
      <c r="H611" s="150" t="str">
        <f t="shared" si="27"/>
        <v>5</v>
      </c>
      <c r="I611" s="150" t="str">
        <f t="shared" si="28"/>
        <v>53</v>
      </c>
      <c r="J611" s="150" t="str">
        <f t="shared" si="29"/>
        <v>536</v>
      </c>
      <c r="K611" s="150" t="s">
        <v>8737</v>
      </c>
      <c r="L611" s="149" t="s">
        <v>1116</v>
      </c>
      <c r="M611" s="151">
        <v>1869.73</v>
      </c>
    </row>
    <row r="612" spans="1:13" s="149" customFormat="1" x14ac:dyDescent="0.25">
      <c r="A612" s="149" t="s">
        <v>7639</v>
      </c>
      <c r="B612" s="149" t="s">
        <v>1117</v>
      </c>
      <c r="C612" s="149">
        <v>11</v>
      </c>
      <c r="D612" s="149">
        <v>304</v>
      </c>
      <c r="E612" s="149">
        <v>0</v>
      </c>
      <c r="F612" s="149">
        <v>703800</v>
      </c>
      <c r="G612" s="149">
        <v>53920</v>
      </c>
      <c r="H612" s="150" t="str">
        <f t="shared" si="27"/>
        <v>5</v>
      </c>
      <c r="I612" s="150" t="str">
        <f t="shared" si="28"/>
        <v>53</v>
      </c>
      <c r="J612" s="150" t="str">
        <f t="shared" si="29"/>
        <v>539</v>
      </c>
      <c r="K612" s="150" t="s">
        <v>8738</v>
      </c>
      <c r="L612" s="149" t="s">
        <v>1118</v>
      </c>
      <c r="M612" s="151">
        <v>2040</v>
      </c>
    </row>
    <row r="613" spans="1:13" s="149" customFormat="1" x14ac:dyDescent="0.25">
      <c r="A613" s="149" t="s">
        <v>7639</v>
      </c>
      <c r="B613" s="149" t="s">
        <v>1119</v>
      </c>
      <c r="C613" s="149">
        <v>11</v>
      </c>
      <c r="D613" s="149">
        <v>304</v>
      </c>
      <c r="E613" s="149">
        <v>0</v>
      </c>
      <c r="F613" s="149">
        <v>703800</v>
      </c>
      <c r="G613" s="149">
        <v>55630</v>
      </c>
      <c r="H613" s="150" t="str">
        <f t="shared" si="27"/>
        <v>5</v>
      </c>
      <c r="I613" s="150" t="str">
        <f t="shared" si="28"/>
        <v>55</v>
      </c>
      <c r="J613" s="150" t="str">
        <f t="shared" si="29"/>
        <v>556</v>
      </c>
      <c r="K613" s="150" t="s">
        <v>8195</v>
      </c>
      <c r="L613" s="149" t="s">
        <v>1120</v>
      </c>
      <c r="M613" s="151">
        <v>23.3</v>
      </c>
    </row>
    <row r="614" spans="1:13" s="149" customFormat="1" x14ac:dyDescent="0.25">
      <c r="A614" s="149" t="s">
        <v>7639</v>
      </c>
      <c r="B614" s="149" t="s">
        <v>1121</v>
      </c>
      <c r="C614" s="149">
        <v>11</v>
      </c>
      <c r="D614" s="149">
        <v>310</v>
      </c>
      <c r="E614" s="149">
        <v>0</v>
      </c>
      <c r="F614" s="149">
        <v>50000</v>
      </c>
      <c r="G614" s="149">
        <v>51310</v>
      </c>
      <c r="H614" s="150" t="str">
        <f t="shared" si="27"/>
        <v>5</v>
      </c>
      <c r="I614" s="150" t="str">
        <f t="shared" si="28"/>
        <v>51</v>
      </c>
      <c r="J614" s="150" t="str">
        <f t="shared" si="29"/>
        <v>513</v>
      </c>
      <c r="K614" s="150" t="s">
        <v>7645</v>
      </c>
      <c r="L614" s="149" t="s">
        <v>229</v>
      </c>
      <c r="M614" s="151">
        <v>0</v>
      </c>
    </row>
    <row r="615" spans="1:13" s="149" customFormat="1" x14ac:dyDescent="0.25">
      <c r="A615" s="149" t="s">
        <v>7639</v>
      </c>
      <c r="B615" s="149" t="s">
        <v>1122</v>
      </c>
      <c r="C615" s="149">
        <v>11</v>
      </c>
      <c r="D615" s="149">
        <v>310</v>
      </c>
      <c r="E615" s="149">
        <v>0</v>
      </c>
      <c r="F615" s="149">
        <v>50000</v>
      </c>
      <c r="G615" s="149">
        <v>51311</v>
      </c>
      <c r="H615" s="150" t="str">
        <f t="shared" si="27"/>
        <v>5</v>
      </c>
      <c r="I615" s="150" t="str">
        <f t="shared" si="28"/>
        <v>51</v>
      </c>
      <c r="J615" s="150" t="str">
        <f t="shared" si="29"/>
        <v>513</v>
      </c>
      <c r="K615" s="150" t="s">
        <v>7719</v>
      </c>
      <c r="L615" s="149" t="s">
        <v>231</v>
      </c>
      <c r="M615" s="151">
        <v>0</v>
      </c>
    </row>
    <row r="616" spans="1:13" s="149" customFormat="1" x14ac:dyDescent="0.25">
      <c r="A616" s="149" t="s">
        <v>7639</v>
      </c>
      <c r="B616" s="149" t="s">
        <v>1123</v>
      </c>
      <c r="C616" s="149">
        <v>11</v>
      </c>
      <c r="D616" s="149">
        <v>310</v>
      </c>
      <c r="E616" s="149">
        <v>0</v>
      </c>
      <c r="F616" s="149">
        <v>50000</v>
      </c>
      <c r="G616" s="149">
        <v>53110</v>
      </c>
      <c r="H616" s="150" t="str">
        <f t="shared" si="27"/>
        <v>5</v>
      </c>
      <c r="I616" s="150" t="str">
        <f t="shared" si="28"/>
        <v>53</v>
      </c>
      <c r="J616" s="150" t="str">
        <f t="shared" si="29"/>
        <v>531</v>
      </c>
      <c r="K616" s="150" t="s">
        <v>8739</v>
      </c>
      <c r="L616" s="149" t="s">
        <v>233</v>
      </c>
      <c r="M616" s="151">
        <v>0</v>
      </c>
    </row>
    <row r="617" spans="1:13" s="149" customFormat="1" x14ac:dyDescent="0.25">
      <c r="A617" s="149" t="s">
        <v>7639</v>
      </c>
      <c r="B617" s="149" t="s">
        <v>1124</v>
      </c>
      <c r="C617" s="149">
        <v>11</v>
      </c>
      <c r="D617" s="149">
        <v>310</v>
      </c>
      <c r="E617" s="149">
        <v>0</v>
      </c>
      <c r="F617" s="149">
        <v>50000</v>
      </c>
      <c r="G617" s="149">
        <v>53310</v>
      </c>
      <c r="H617" s="150" t="str">
        <f t="shared" si="27"/>
        <v>5</v>
      </c>
      <c r="I617" s="150" t="str">
        <f t="shared" si="28"/>
        <v>53</v>
      </c>
      <c r="J617" s="150" t="str">
        <f t="shared" si="29"/>
        <v>533</v>
      </c>
      <c r="K617" s="150" t="s">
        <v>8740</v>
      </c>
      <c r="L617" s="149" t="s">
        <v>1125</v>
      </c>
      <c r="M617" s="151">
        <v>0</v>
      </c>
    </row>
    <row r="618" spans="1:13" s="149" customFormat="1" x14ac:dyDescent="0.25">
      <c r="A618" s="149" t="s">
        <v>7639</v>
      </c>
      <c r="B618" s="149" t="s">
        <v>1126</v>
      </c>
      <c r="C618" s="149">
        <v>11</v>
      </c>
      <c r="D618" s="149">
        <v>310</v>
      </c>
      <c r="E618" s="149">
        <v>0</v>
      </c>
      <c r="F618" s="149">
        <v>50000</v>
      </c>
      <c r="G618" s="149">
        <v>53330</v>
      </c>
      <c r="H618" s="150" t="str">
        <f t="shared" si="27"/>
        <v>5</v>
      </c>
      <c r="I618" s="150" t="str">
        <f t="shared" si="28"/>
        <v>53</v>
      </c>
      <c r="J618" s="150" t="str">
        <f t="shared" si="29"/>
        <v>533</v>
      </c>
      <c r="K618" s="150" t="s">
        <v>8741</v>
      </c>
      <c r="L618" s="149" t="s">
        <v>235</v>
      </c>
      <c r="M618" s="151">
        <v>0</v>
      </c>
    </row>
    <row r="619" spans="1:13" s="149" customFormat="1" x14ac:dyDescent="0.25">
      <c r="A619" s="149" t="s">
        <v>7639</v>
      </c>
      <c r="B619" s="149" t="s">
        <v>1127</v>
      </c>
      <c r="C619" s="149">
        <v>11</v>
      </c>
      <c r="D619" s="149">
        <v>310</v>
      </c>
      <c r="E619" s="149">
        <v>0</v>
      </c>
      <c r="F619" s="149">
        <v>50000</v>
      </c>
      <c r="G619" s="149">
        <v>53510</v>
      </c>
      <c r="H619" s="150" t="str">
        <f t="shared" si="27"/>
        <v>5</v>
      </c>
      <c r="I619" s="150" t="str">
        <f t="shared" si="28"/>
        <v>53</v>
      </c>
      <c r="J619" s="150" t="str">
        <f t="shared" si="29"/>
        <v>535</v>
      </c>
      <c r="K619" s="150" t="s">
        <v>8742</v>
      </c>
      <c r="L619" s="149" t="s">
        <v>237</v>
      </c>
      <c r="M619" s="151">
        <v>0</v>
      </c>
    </row>
    <row r="620" spans="1:13" s="149" customFormat="1" x14ac:dyDescent="0.25">
      <c r="A620" s="149" t="s">
        <v>7639</v>
      </c>
      <c r="B620" s="149" t="s">
        <v>1128</v>
      </c>
      <c r="C620" s="149">
        <v>11</v>
      </c>
      <c r="D620" s="149">
        <v>310</v>
      </c>
      <c r="E620" s="149">
        <v>0</v>
      </c>
      <c r="F620" s="149">
        <v>50000</v>
      </c>
      <c r="G620" s="149">
        <v>53610</v>
      </c>
      <c r="H620" s="150" t="str">
        <f t="shared" si="27"/>
        <v>5</v>
      </c>
      <c r="I620" s="150" t="str">
        <f t="shared" si="28"/>
        <v>53</v>
      </c>
      <c r="J620" s="150" t="str">
        <f t="shared" si="29"/>
        <v>536</v>
      </c>
      <c r="K620" s="150" t="s">
        <v>8743</v>
      </c>
      <c r="L620" s="149" t="s">
        <v>239</v>
      </c>
      <c r="M620" s="151">
        <v>0</v>
      </c>
    </row>
    <row r="621" spans="1:13" s="149" customFormat="1" x14ac:dyDescent="0.25">
      <c r="A621" s="149" t="s">
        <v>7639</v>
      </c>
      <c r="B621" s="149" t="s">
        <v>1129</v>
      </c>
      <c r="C621" s="149">
        <v>11</v>
      </c>
      <c r="D621" s="149">
        <v>310</v>
      </c>
      <c r="E621" s="149">
        <v>0</v>
      </c>
      <c r="F621" s="149">
        <v>80100</v>
      </c>
      <c r="G621" s="149">
        <v>51311</v>
      </c>
      <c r="H621" s="150" t="str">
        <f t="shared" si="27"/>
        <v>5</v>
      </c>
      <c r="I621" s="150" t="str">
        <f t="shared" si="28"/>
        <v>51</v>
      </c>
      <c r="J621" s="150" t="str">
        <f t="shared" si="29"/>
        <v>513</v>
      </c>
      <c r="K621" s="150" t="s">
        <v>7720</v>
      </c>
      <c r="L621" s="149" t="s">
        <v>1130</v>
      </c>
      <c r="M621" s="151">
        <v>0</v>
      </c>
    </row>
    <row r="622" spans="1:13" s="149" customFormat="1" x14ac:dyDescent="0.25">
      <c r="A622" s="149" t="s">
        <v>7639</v>
      </c>
      <c r="B622" s="149" t="s">
        <v>1131</v>
      </c>
      <c r="C622" s="149">
        <v>11</v>
      </c>
      <c r="D622" s="149">
        <v>310</v>
      </c>
      <c r="E622" s="149">
        <v>0</v>
      </c>
      <c r="F622" s="149">
        <v>80100</v>
      </c>
      <c r="G622" s="149">
        <v>53110</v>
      </c>
      <c r="H622" s="150" t="str">
        <f t="shared" si="27"/>
        <v>5</v>
      </c>
      <c r="I622" s="150" t="str">
        <f t="shared" si="28"/>
        <v>53</v>
      </c>
      <c r="J622" s="150" t="str">
        <f t="shared" si="29"/>
        <v>531</v>
      </c>
      <c r="K622" s="150" t="s">
        <v>8744</v>
      </c>
      <c r="L622" s="149" t="s">
        <v>1132</v>
      </c>
      <c r="M622" s="151">
        <v>0</v>
      </c>
    </row>
    <row r="623" spans="1:13" s="149" customFormat="1" x14ac:dyDescent="0.25">
      <c r="A623" s="149" t="s">
        <v>7639</v>
      </c>
      <c r="B623" s="149" t="s">
        <v>1133</v>
      </c>
      <c r="C623" s="149">
        <v>11</v>
      </c>
      <c r="D623" s="149">
        <v>310</v>
      </c>
      <c r="E623" s="149">
        <v>0</v>
      </c>
      <c r="F623" s="149">
        <v>80100</v>
      </c>
      <c r="G623" s="149">
        <v>53330</v>
      </c>
      <c r="H623" s="150" t="str">
        <f t="shared" si="27"/>
        <v>5</v>
      </c>
      <c r="I623" s="150" t="str">
        <f t="shared" si="28"/>
        <v>53</v>
      </c>
      <c r="J623" s="150" t="str">
        <f t="shared" si="29"/>
        <v>533</v>
      </c>
      <c r="K623" s="150" t="s">
        <v>8745</v>
      </c>
      <c r="L623" s="149" t="s">
        <v>1134</v>
      </c>
      <c r="M623" s="151">
        <v>0</v>
      </c>
    </row>
    <row r="624" spans="1:13" s="149" customFormat="1" x14ac:dyDescent="0.25">
      <c r="A624" s="149" t="s">
        <v>7639</v>
      </c>
      <c r="B624" s="149" t="s">
        <v>1135</v>
      </c>
      <c r="C624" s="149">
        <v>11</v>
      </c>
      <c r="D624" s="149">
        <v>310</v>
      </c>
      <c r="E624" s="149">
        <v>0</v>
      </c>
      <c r="F624" s="149">
        <v>80100</v>
      </c>
      <c r="G624" s="149">
        <v>53510</v>
      </c>
      <c r="H624" s="150" t="str">
        <f t="shared" si="27"/>
        <v>5</v>
      </c>
      <c r="I624" s="150" t="str">
        <f t="shared" si="28"/>
        <v>53</v>
      </c>
      <c r="J624" s="150" t="str">
        <f t="shared" si="29"/>
        <v>535</v>
      </c>
      <c r="K624" s="150" t="s">
        <v>8746</v>
      </c>
      <c r="L624" s="149" t="s">
        <v>1136</v>
      </c>
      <c r="M624" s="151">
        <v>0</v>
      </c>
    </row>
    <row r="625" spans="1:13" s="149" customFormat="1" x14ac:dyDescent="0.25">
      <c r="A625" s="149" t="s">
        <v>7639</v>
      </c>
      <c r="B625" s="149" t="s">
        <v>1137</v>
      </c>
      <c r="C625" s="149">
        <v>11</v>
      </c>
      <c r="D625" s="149">
        <v>310</v>
      </c>
      <c r="E625" s="149">
        <v>0</v>
      </c>
      <c r="F625" s="149">
        <v>80100</v>
      </c>
      <c r="G625" s="149">
        <v>53610</v>
      </c>
      <c r="H625" s="150" t="str">
        <f t="shared" si="27"/>
        <v>5</v>
      </c>
      <c r="I625" s="150" t="str">
        <f t="shared" si="28"/>
        <v>53</v>
      </c>
      <c r="J625" s="150" t="str">
        <f t="shared" si="29"/>
        <v>536</v>
      </c>
      <c r="K625" s="150" t="s">
        <v>8747</v>
      </c>
      <c r="L625" s="149" t="s">
        <v>1138</v>
      </c>
      <c r="M625" s="151">
        <v>0</v>
      </c>
    </row>
    <row r="626" spans="1:13" s="149" customFormat="1" x14ac:dyDescent="0.25">
      <c r="A626" s="149" t="s">
        <v>7639</v>
      </c>
      <c r="B626" s="149" t="s">
        <v>1139</v>
      </c>
      <c r="C626" s="149">
        <v>11</v>
      </c>
      <c r="D626" s="149">
        <v>310</v>
      </c>
      <c r="E626" s="149">
        <v>0</v>
      </c>
      <c r="F626" s="149">
        <v>100200</v>
      </c>
      <c r="G626" s="149">
        <v>51100</v>
      </c>
      <c r="H626" s="150" t="str">
        <f t="shared" si="27"/>
        <v>5</v>
      </c>
      <c r="I626" s="150" t="str">
        <f t="shared" si="28"/>
        <v>51</v>
      </c>
      <c r="J626" s="150" t="str">
        <f t="shared" si="29"/>
        <v>511</v>
      </c>
      <c r="K626" s="150" t="s">
        <v>8748</v>
      </c>
      <c r="L626" s="149" t="s">
        <v>1140</v>
      </c>
      <c r="M626" s="151">
        <v>87576</v>
      </c>
    </row>
    <row r="627" spans="1:13" s="149" customFormat="1" x14ac:dyDescent="0.25">
      <c r="A627" s="149" t="s">
        <v>7639</v>
      </c>
      <c r="B627" s="149" t="s">
        <v>1141</v>
      </c>
      <c r="C627" s="149">
        <v>11</v>
      </c>
      <c r="D627" s="149">
        <v>310</v>
      </c>
      <c r="E627" s="149">
        <v>0</v>
      </c>
      <c r="F627" s="149">
        <v>100200</v>
      </c>
      <c r="G627" s="149">
        <v>51310</v>
      </c>
      <c r="H627" s="150" t="str">
        <f t="shared" si="27"/>
        <v>5</v>
      </c>
      <c r="I627" s="150" t="str">
        <f t="shared" si="28"/>
        <v>51</v>
      </c>
      <c r="J627" s="150" t="str">
        <f t="shared" si="29"/>
        <v>513</v>
      </c>
      <c r="K627" s="150" t="s">
        <v>7646</v>
      </c>
      <c r="L627" s="149" t="s">
        <v>1142</v>
      </c>
      <c r="M627" s="151">
        <v>4293</v>
      </c>
    </row>
    <row r="628" spans="1:13" s="149" customFormat="1" x14ac:dyDescent="0.25">
      <c r="A628" s="149" t="s">
        <v>7639</v>
      </c>
      <c r="B628" s="149" t="s">
        <v>1143</v>
      </c>
      <c r="C628" s="149">
        <v>11</v>
      </c>
      <c r="D628" s="149">
        <v>310</v>
      </c>
      <c r="E628" s="149">
        <v>0</v>
      </c>
      <c r="F628" s="149">
        <v>100200</v>
      </c>
      <c r="G628" s="149">
        <v>51311</v>
      </c>
      <c r="H628" s="150" t="str">
        <f t="shared" si="27"/>
        <v>5</v>
      </c>
      <c r="I628" s="150" t="str">
        <f t="shared" si="28"/>
        <v>51</v>
      </c>
      <c r="J628" s="150" t="str">
        <f t="shared" si="29"/>
        <v>513</v>
      </c>
      <c r="K628" s="150" t="s">
        <v>7721</v>
      </c>
      <c r="L628" s="149" t="s">
        <v>251</v>
      </c>
      <c r="M628" s="151">
        <v>176100</v>
      </c>
    </row>
    <row r="629" spans="1:13" s="149" customFormat="1" x14ac:dyDescent="0.25">
      <c r="A629" s="149" t="s">
        <v>7639</v>
      </c>
      <c r="B629" s="149" t="s">
        <v>1144</v>
      </c>
      <c r="C629" s="149">
        <v>11</v>
      </c>
      <c r="D629" s="149">
        <v>310</v>
      </c>
      <c r="E629" s="149">
        <v>0</v>
      </c>
      <c r="F629" s="149">
        <v>100200</v>
      </c>
      <c r="G629" s="149">
        <v>52200</v>
      </c>
      <c r="H629" s="150" t="str">
        <f t="shared" si="27"/>
        <v>5</v>
      </c>
      <c r="I629" s="150" t="str">
        <f t="shared" si="28"/>
        <v>52</v>
      </c>
      <c r="J629" s="150" t="str">
        <f t="shared" si="29"/>
        <v>522</v>
      </c>
      <c r="K629" s="150" t="s">
        <v>8749</v>
      </c>
      <c r="L629" s="149" t="s">
        <v>1145</v>
      </c>
      <c r="M629" s="151">
        <v>28110</v>
      </c>
    </row>
    <row r="630" spans="1:13" s="149" customFormat="1" x14ac:dyDescent="0.25">
      <c r="A630" s="149" t="s">
        <v>7639</v>
      </c>
      <c r="B630" s="149" t="s">
        <v>1146</v>
      </c>
      <c r="C630" s="149">
        <v>11</v>
      </c>
      <c r="D630" s="149">
        <v>310</v>
      </c>
      <c r="E630" s="149">
        <v>0</v>
      </c>
      <c r="F630" s="149">
        <v>100200</v>
      </c>
      <c r="G630" s="149">
        <v>52360</v>
      </c>
      <c r="H630" s="150" t="str">
        <f t="shared" si="27"/>
        <v>5</v>
      </c>
      <c r="I630" s="150" t="str">
        <f t="shared" si="28"/>
        <v>52</v>
      </c>
      <c r="J630" s="150" t="str">
        <f t="shared" si="29"/>
        <v>523</v>
      </c>
      <c r="K630" s="150" t="s">
        <v>7867</v>
      </c>
      <c r="L630" s="149" t="s">
        <v>1147</v>
      </c>
      <c r="M630" s="151">
        <v>1394</v>
      </c>
    </row>
    <row r="631" spans="1:13" s="149" customFormat="1" x14ac:dyDescent="0.25">
      <c r="A631" s="149" t="s">
        <v>7639</v>
      </c>
      <c r="B631" s="149" t="s">
        <v>1148</v>
      </c>
      <c r="C631" s="149">
        <v>11</v>
      </c>
      <c r="D631" s="149">
        <v>310</v>
      </c>
      <c r="E631" s="149">
        <v>0</v>
      </c>
      <c r="F631" s="149">
        <v>100200</v>
      </c>
      <c r="G631" s="149">
        <v>53110</v>
      </c>
      <c r="H631" s="150" t="str">
        <f t="shared" si="27"/>
        <v>5</v>
      </c>
      <c r="I631" s="150" t="str">
        <f t="shared" si="28"/>
        <v>53</v>
      </c>
      <c r="J631" s="150" t="str">
        <f t="shared" si="29"/>
        <v>531</v>
      </c>
      <c r="K631" s="150" t="s">
        <v>8750</v>
      </c>
      <c r="L631" s="149" t="s">
        <v>253</v>
      </c>
      <c r="M631" s="151">
        <v>43276.99</v>
      </c>
    </row>
    <row r="632" spans="1:13" s="149" customFormat="1" x14ac:dyDescent="0.25">
      <c r="A632" s="149" t="s">
        <v>7639</v>
      </c>
      <c r="B632" s="149" t="s">
        <v>1149</v>
      </c>
      <c r="C632" s="149">
        <v>11</v>
      </c>
      <c r="D632" s="149">
        <v>310</v>
      </c>
      <c r="E632" s="149">
        <v>0</v>
      </c>
      <c r="F632" s="149">
        <v>100200</v>
      </c>
      <c r="G632" s="149">
        <v>53210</v>
      </c>
      <c r="H632" s="150" t="str">
        <f t="shared" si="27"/>
        <v>5</v>
      </c>
      <c r="I632" s="150" t="str">
        <f t="shared" si="28"/>
        <v>53</v>
      </c>
      <c r="J632" s="150" t="str">
        <f t="shared" si="29"/>
        <v>532</v>
      </c>
      <c r="K632" s="150" t="s">
        <v>8751</v>
      </c>
      <c r="L632" s="149" t="s">
        <v>1150</v>
      </c>
      <c r="M632" s="151">
        <v>5818.77</v>
      </c>
    </row>
    <row r="633" spans="1:13" s="149" customFormat="1" x14ac:dyDescent="0.25">
      <c r="A633" s="149" t="s">
        <v>7639</v>
      </c>
      <c r="B633" s="149" t="s">
        <v>1151</v>
      </c>
      <c r="C633" s="149">
        <v>11</v>
      </c>
      <c r="D633" s="149">
        <v>310</v>
      </c>
      <c r="E633" s="149">
        <v>0</v>
      </c>
      <c r="F633" s="149">
        <v>100200</v>
      </c>
      <c r="G633" s="149">
        <v>53310</v>
      </c>
      <c r="H633" s="150" t="str">
        <f t="shared" si="27"/>
        <v>5</v>
      </c>
      <c r="I633" s="150" t="str">
        <f t="shared" si="28"/>
        <v>53</v>
      </c>
      <c r="J633" s="150" t="str">
        <f t="shared" si="29"/>
        <v>533</v>
      </c>
      <c r="K633" s="150" t="s">
        <v>8752</v>
      </c>
      <c r="L633" s="149" t="s">
        <v>1152</v>
      </c>
      <c r="M633" s="151">
        <v>1742.82</v>
      </c>
    </row>
    <row r="634" spans="1:13" s="149" customFormat="1" x14ac:dyDescent="0.25">
      <c r="A634" s="149" t="s">
        <v>7639</v>
      </c>
      <c r="B634" s="149" t="s">
        <v>1153</v>
      </c>
      <c r="C634" s="149">
        <v>11</v>
      </c>
      <c r="D634" s="149">
        <v>310</v>
      </c>
      <c r="E634" s="149">
        <v>0</v>
      </c>
      <c r="F634" s="149">
        <v>100200</v>
      </c>
      <c r="G634" s="149">
        <v>53320</v>
      </c>
      <c r="H634" s="150" t="str">
        <f t="shared" si="27"/>
        <v>5</v>
      </c>
      <c r="I634" s="150" t="str">
        <f t="shared" si="28"/>
        <v>53</v>
      </c>
      <c r="J634" s="150" t="str">
        <f t="shared" si="29"/>
        <v>533</v>
      </c>
      <c r="K634" s="150" t="s">
        <v>8753</v>
      </c>
      <c r="L634" s="149" t="s">
        <v>1154</v>
      </c>
      <c r="M634" s="151">
        <v>86.43</v>
      </c>
    </row>
    <row r="635" spans="1:13" s="149" customFormat="1" x14ac:dyDescent="0.25">
      <c r="A635" s="149" t="s">
        <v>7639</v>
      </c>
      <c r="B635" s="149" t="s">
        <v>1155</v>
      </c>
      <c r="C635" s="149">
        <v>11</v>
      </c>
      <c r="D635" s="149">
        <v>310</v>
      </c>
      <c r="E635" s="149">
        <v>0</v>
      </c>
      <c r="F635" s="149">
        <v>100200</v>
      </c>
      <c r="G635" s="149">
        <v>53330</v>
      </c>
      <c r="H635" s="150" t="str">
        <f t="shared" si="27"/>
        <v>5</v>
      </c>
      <c r="I635" s="150" t="str">
        <f t="shared" si="28"/>
        <v>53</v>
      </c>
      <c r="J635" s="150" t="str">
        <f t="shared" si="29"/>
        <v>533</v>
      </c>
      <c r="K635" s="150" t="s">
        <v>8754</v>
      </c>
      <c r="L635" s="149" t="s">
        <v>255</v>
      </c>
      <c r="M635" s="151">
        <v>4293.1499999999996</v>
      </c>
    </row>
    <row r="636" spans="1:13" s="149" customFormat="1" x14ac:dyDescent="0.25">
      <c r="A636" s="149" t="s">
        <v>7639</v>
      </c>
      <c r="B636" s="149" t="s">
        <v>1156</v>
      </c>
      <c r="C636" s="149">
        <v>11</v>
      </c>
      <c r="D636" s="149">
        <v>310</v>
      </c>
      <c r="E636" s="149">
        <v>0</v>
      </c>
      <c r="F636" s="149">
        <v>100200</v>
      </c>
      <c r="G636" s="149">
        <v>53340</v>
      </c>
      <c r="H636" s="150" t="str">
        <f t="shared" si="27"/>
        <v>5</v>
      </c>
      <c r="I636" s="150" t="str">
        <f t="shared" si="28"/>
        <v>53</v>
      </c>
      <c r="J636" s="150" t="str">
        <f t="shared" si="29"/>
        <v>533</v>
      </c>
      <c r="K636" s="150" t="s">
        <v>8755</v>
      </c>
      <c r="L636" s="149" t="s">
        <v>1157</v>
      </c>
      <c r="M636" s="151">
        <v>20.21</v>
      </c>
    </row>
    <row r="637" spans="1:13" s="149" customFormat="1" x14ac:dyDescent="0.25">
      <c r="A637" s="149" t="s">
        <v>7639</v>
      </c>
      <c r="B637" s="149" t="s">
        <v>1158</v>
      </c>
      <c r="C637" s="149">
        <v>11</v>
      </c>
      <c r="D637" s="149">
        <v>310</v>
      </c>
      <c r="E637" s="149">
        <v>0</v>
      </c>
      <c r="F637" s="149">
        <v>100200</v>
      </c>
      <c r="G637" s="149">
        <v>53410</v>
      </c>
      <c r="H637" s="150" t="str">
        <f t="shared" si="27"/>
        <v>5</v>
      </c>
      <c r="I637" s="150" t="str">
        <f t="shared" si="28"/>
        <v>53</v>
      </c>
      <c r="J637" s="150" t="str">
        <f t="shared" si="29"/>
        <v>534</v>
      </c>
      <c r="K637" s="150" t="s">
        <v>8756</v>
      </c>
      <c r="L637" s="149" t="s">
        <v>1159</v>
      </c>
      <c r="M637" s="151">
        <v>23938.65</v>
      </c>
    </row>
    <row r="638" spans="1:13" s="149" customFormat="1" x14ac:dyDescent="0.25">
      <c r="A638" s="149" t="s">
        <v>7639</v>
      </c>
      <c r="B638" s="149" t="s">
        <v>1160</v>
      </c>
      <c r="C638" s="149">
        <v>11</v>
      </c>
      <c r="D638" s="149">
        <v>310</v>
      </c>
      <c r="E638" s="149">
        <v>0</v>
      </c>
      <c r="F638" s="149">
        <v>100200</v>
      </c>
      <c r="G638" s="149">
        <v>53510</v>
      </c>
      <c r="H638" s="150" t="str">
        <f t="shared" si="27"/>
        <v>5</v>
      </c>
      <c r="I638" s="150" t="str">
        <f t="shared" si="28"/>
        <v>53</v>
      </c>
      <c r="J638" s="150" t="str">
        <f t="shared" si="29"/>
        <v>535</v>
      </c>
      <c r="K638" s="150" t="s">
        <v>8757</v>
      </c>
      <c r="L638" s="149" t="s">
        <v>257</v>
      </c>
      <c r="M638" s="151">
        <v>148.05000000000001</v>
      </c>
    </row>
    <row r="639" spans="1:13" s="149" customFormat="1" x14ac:dyDescent="0.25">
      <c r="A639" s="149" t="s">
        <v>7639</v>
      </c>
      <c r="B639" s="149" t="s">
        <v>1161</v>
      </c>
      <c r="C639" s="149">
        <v>11</v>
      </c>
      <c r="D639" s="149">
        <v>310</v>
      </c>
      <c r="E639" s="149">
        <v>0</v>
      </c>
      <c r="F639" s="149">
        <v>100200</v>
      </c>
      <c r="G639" s="149">
        <v>53520</v>
      </c>
      <c r="H639" s="150" t="str">
        <f t="shared" si="27"/>
        <v>5</v>
      </c>
      <c r="I639" s="150" t="str">
        <f t="shared" si="28"/>
        <v>53</v>
      </c>
      <c r="J639" s="150" t="str">
        <f t="shared" si="29"/>
        <v>535</v>
      </c>
      <c r="K639" s="150" t="s">
        <v>8758</v>
      </c>
      <c r="L639" s="149" t="s">
        <v>1162</v>
      </c>
      <c r="M639" s="151">
        <v>0.7</v>
      </c>
    </row>
    <row r="640" spans="1:13" s="149" customFormat="1" x14ac:dyDescent="0.25">
      <c r="A640" s="149" t="s">
        <v>7639</v>
      </c>
      <c r="B640" s="149" t="s">
        <v>1163</v>
      </c>
      <c r="C640" s="149">
        <v>11</v>
      </c>
      <c r="D640" s="149">
        <v>310</v>
      </c>
      <c r="E640" s="149">
        <v>0</v>
      </c>
      <c r="F640" s="149">
        <v>100200</v>
      </c>
      <c r="G640" s="149">
        <v>53610</v>
      </c>
      <c r="H640" s="150" t="str">
        <f t="shared" si="27"/>
        <v>5</v>
      </c>
      <c r="I640" s="150" t="str">
        <f t="shared" si="28"/>
        <v>53</v>
      </c>
      <c r="J640" s="150" t="str">
        <f t="shared" si="29"/>
        <v>536</v>
      </c>
      <c r="K640" s="150" t="s">
        <v>8759</v>
      </c>
      <c r="L640" s="149" t="s">
        <v>259</v>
      </c>
      <c r="M640" s="151">
        <v>5598.26</v>
      </c>
    </row>
    <row r="641" spans="1:13" s="149" customFormat="1" x14ac:dyDescent="0.25">
      <c r="A641" s="149" t="s">
        <v>7639</v>
      </c>
      <c r="B641" s="149" t="s">
        <v>1164</v>
      </c>
      <c r="C641" s="149">
        <v>11</v>
      </c>
      <c r="D641" s="149">
        <v>310</v>
      </c>
      <c r="E641" s="149">
        <v>0</v>
      </c>
      <c r="F641" s="149">
        <v>100200</v>
      </c>
      <c r="G641" s="149">
        <v>53620</v>
      </c>
      <c r="H641" s="150" t="str">
        <f t="shared" si="27"/>
        <v>5</v>
      </c>
      <c r="I641" s="150" t="str">
        <f t="shared" si="28"/>
        <v>53</v>
      </c>
      <c r="J641" s="150" t="str">
        <f t="shared" si="29"/>
        <v>536</v>
      </c>
      <c r="K641" s="150" t="s">
        <v>8760</v>
      </c>
      <c r="L641" s="149" t="s">
        <v>1165</v>
      </c>
      <c r="M641" s="151">
        <v>26.36</v>
      </c>
    </row>
    <row r="642" spans="1:13" s="149" customFormat="1" x14ac:dyDescent="0.25">
      <c r="A642" s="149" t="s">
        <v>7639</v>
      </c>
      <c r="B642" s="149" t="s">
        <v>1166</v>
      </c>
      <c r="C642" s="149">
        <v>11</v>
      </c>
      <c r="D642" s="149">
        <v>310</v>
      </c>
      <c r="E642" s="149">
        <v>0</v>
      </c>
      <c r="F642" s="149">
        <v>100200</v>
      </c>
      <c r="G642" s="149">
        <v>53910</v>
      </c>
      <c r="H642" s="150" t="str">
        <f t="shared" si="27"/>
        <v>5</v>
      </c>
      <c r="I642" s="150" t="str">
        <f t="shared" si="28"/>
        <v>53</v>
      </c>
      <c r="J642" s="150" t="str">
        <f t="shared" si="29"/>
        <v>539</v>
      </c>
      <c r="K642" s="150" t="s">
        <v>8761</v>
      </c>
      <c r="L642" s="149" t="s">
        <v>1167</v>
      </c>
      <c r="M642" s="151">
        <v>2400</v>
      </c>
    </row>
    <row r="643" spans="1:13" s="149" customFormat="1" x14ac:dyDescent="0.25">
      <c r="A643" s="149" t="s">
        <v>7639</v>
      </c>
      <c r="B643" s="149" t="s">
        <v>1168</v>
      </c>
      <c r="C643" s="149">
        <v>11</v>
      </c>
      <c r="D643" s="149">
        <v>310</v>
      </c>
      <c r="E643" s="149">
        <v>0</v>
      </c>
      <c r="F643" s="149">
        <v>100200</v>
      </c>
      <c r="G643" s="149">
        <v>54300</v>
      </c>
      <c r="H643" s="150" t="str">
        <f t="shared" ref="H643:H706" si="30">LEFT(G643,1)</f>
        <v>5</v>
      </c>
      <c r="I643" s="150" t="str">
        <f t="shared" ref="I643:I706" si="31">LEFT(G643,2)</f>
        <v>54</v>
      </c>
      <c r="J643" s="150" t="str">
        <f t="shared" ref="J643:J706" si="32">LEFT(G643,3)</f>
        <v>543</v>
      </c>
      <c r="K643" s="150" t="s">
        <v>7933</v>
      </c>
      <c r="L643" s="149" t="s">
        <v>1169</v>
      </c>
      <c r="M643" s="151">
        <v>1775</v>
      </c>
    </row>
    <row r="644" spans="1:13" s="149" customFormat="1" x14ac:dyDescent="0.25">
      <c r="A644" s="149" t="s">
        <v>7639</v>
      </c>
      <c r="B644" s="149" t="s">
        <v>1170</v>
      </c>
      <c r="C644" s="149">
        <v>11</v>
      </c>
      <c r="D644" s="149">
        <v>310</v>
      </c>
      <c r="E644" s="149">
        <v>0</v>
      </c>
      <c r="F644" s="149">
        <v>100200</v>
      </c>
      <c r="G644" s="149">
        <v>55630</v>
      </c>
      <c r="H644" s="150" t="str">
        <f t="shared" si="30"/>
        <v>5</v>
      </c>
      <c r="I644" s="150" t="str">
        <f t="shared" si="31"/>
        <v>55</v>
      </c>
      <c r="J644" s="150" t="str">
        <f t="shared" si="32"/>
        <v>556</v>
      </c>
      <c r="K644" s="150" t="s">
        <v>8196</v>
      </c>
      <c r="L644" s="149" t="s">
        <v>1171</v>
      </c>
      <c r="M644" s="151">
        <v>25</v>
      </c>
    </row>
    <row r="645" spans="1:13" s="149" customFormat="1" x14ac:dyDescent="0.25">
      <c r="A645" s="149" t="s">
        <v>7639</v>
      </c>
      <c r="B645" s="149" t="s">
        <v>1172</v>
      </c>
      <c r="C645" s="149">
        <v>11</v>
      </c>
      <c r="D645" s="149">
        <v>310</v>
      </c>
      <c r="E645" s="149">
        <v>0</v>
      </c>
      <c r="F645" s="149">
        <v>100200</v>
      </c>
      <c r="G645" s="149">
        <v>55651</v>
      </c>
      <c r="H645" s="150" t="str">
        <f t="shared" si="30"/>
        <v>5</v>
      </c>
      <c r="I645" s="150" t="str">
        <f t="shared" si="31"/>
        <v>55</v>
      </c>
      <c r="J645" s="150" t="str">
        <f t="shared" si="32"/>
        <v>556</v>
      </c>
      <c r="K645" s="150" t="s">
        <v>8316</v>
      </c>
      <c r="L645" s="149" t="s">
        <v>1173</v>
      </c>
      <c r="M645" s="151">
        <v>10</v>
      </c>
    </row>
    <row r="646" spans="1:13" s="149" customFormat="1" x14ac:dyDescent="0.25">
      <c r="A646" s="149" t="s">
        <v>7639</v>
      </c>
      <c r="B646" s="149" t="s">
        <v>1174</v>
      </c>
      <c r="C646" s="149">
        <v>11</v>
      </c>
      <c r="D646" s="149">
        <v>310</v>
      </c>
      <c r="E646" s="149">
        <v>0</v>
      </c>
      <c r="F646" s="149">
        <v>100200</v>
      </c>
      <c r="G646" s="149">
        <v>56400</v>
      </c>
      <c r="H646" s="150" t="str">
        <f t="shared" si="30"/>
        <v>5</v>
      </c>
      <c r="I646" s="150" t="str">
        <f t="shared" si="31"/>
        <v>56</v>
      </c>
      <c r="J646" s="150" t="str">
        <f t="shared" si="32"/>
        <v>564</v>
      </c>
      <c r="K646" s="150" t="s">
        <v>8373</v>
      </c>
      <c r="L646" s="149" t="s">
        <v>1175</v>
      </c>
      <c r="M646" s="151">
        <v>200</v>
      </c>
    </row>
    <row r="647" spans="1:13" s="149" customFormat="1" x14ac:dyDescent="0.25">
      <c r="A647" s="149" t="s">
        <v>7639</v>
      </c>
      <c r="B647" s="149" t="s">
        <v>1176</v>
      </c>
      <c r="C647" s="149">
        <v>11</v>
      </c>
      <c r="D647" s="149">
        <v>310</v>
      </c>
      <c r="E647" s="149">
        <v>0</v>
      </c>
      <c r="F647" s="149">
        <v>100400</v>
      </c>
      <c r="G647" s="149">
        <v>51100</v>
      </c>
      <c r="H647" s="150" t="str">
        <f t="shared" si="30"/>
        <v>5</v>
      </c>
      <c r="I647" s="150" t="str">
        <f t="shared" si="31"/>
        <v>51</v>
      </c>
      <c r="J647" s="150" t="str">
        <f t="shared" si="32"/>
        <v>511</v>
      </c>
      <c r="K647" s="150" t="s">
        <v>8762</v>
      </c>
      <c r="L647" s="149" t="s">
        <v>1177</v>
      </c>
      <c r="M647" s="151">
        <v>105451</v>
      </c>
    </row>
    <row r="648" spans="1:13" s="149" customFormat="1" x14ac:dyDescent="0.25">
      <c r="A648" s="149" t="s">
        <v>7639</v>
      </c>
      <c r="B648" s="149" t="s">
        <v>1178</v>
      </c>
      <c r="C648" s="149">
        <v>11</v>
      </c>
      <c r="D648" s="149">
        <v>310</v>
      </c>
      <c r="E648" s="149">
        <v>0</v>
      </c>
      <c r="F648" s="149">
        <v>100400</v>
      </c>
      <c r="G648" s="149">
        <v>51310</v>
      </c>
      <c r="H648" s="150" t="str">
        <f t="shared" si="30"/>
        <v>5</v>
      </c>
      <c r="I648" s="150" t="str">
        <f t="shared" si="31"/>
        <v>51</v>
      </c>
      <c r="J648" s="150" t="str">
        <f t="shared" si="32"/>
        <v>513</v>
      </c>
      <c r="K648" s="150" t="s">
        <v>7647</v>
      </c>
      <c r="L648" s="149" t="s">
        <v>1179</v>
      </c>
      <c r="M648" s="151">
        <v>4293</v>
      </c>
    </row>
    <row r="649" spans="1:13" s="149" customFormat="1" x14ac:dyDescent="0.25">
      <c r="A649" s="149" t="s">
        <v>7639</v>
      </c>
      <c r="B649" s="149" t="s">
        <v>1180</v>
      </c>
      <c r="C649" s="149">
        <v>11</v>
      </c>
      <c r="D649" s="149">
        <v>310</v>
      </c>
      <c r="E649" s="149">
        <v>0</v>
      </c>
      <c r="F649" s="149">
        <v>100400</v>
      </c>
      <c r="G649" s="149">
        <v>51311</v>
      </c>
      <c r="H649" s="150" t="str">
        <f t="shared" si="30"/>
        <v>5</v>
      </c>
      <c r="I649" s="150" t="str">
        <f t="shared" si="31"/>
        <v>51</v>
      </c>
      <c r="J649" s="150" t="str">
        <f t="shared" si="32"/>
        <v>513</v>
      </c>
      <c r="K649" s="150" t="s">
        <v>7722</v>
      </c>
      <c r="L649" s="149" t="s">
        <v>261</v>
      </c>
      <c r="M649" s="151">
        <v>123560</v>
      </c>
    </row>
    <row r="650" spans="1:13" s="149" customFormat="1" x14ac:dyDescent="0.25">
      <c r="A650" s="149" t="s">
        <v>7639</v>
      </c>
      <c r="B650" s="149" t="s">
        <v>1181</v>
      </c>
      <c r="C650" s="149">
        <v>11</v>
      </c>
      <c r="D650" s="149">
        <v>310</v>
      </c>
      <c r="E650" s="149">
        <v>0</v>
      </c>
      <c r="F650" s="149">
        <v>100400</v>
      </c>
      <c r="G650" s="149">
        <v>52400</v>
      </c>
      <c r="H650" s="150" t="str">
        <f t="shared" si="30"/>
        <v>5</v>
      </c>
      <c r="I650" s="150" t="str">
        <f t="shared" si="31"/>
        <v>52</v>
      </c>
      <c r="J650" s="150" t="str">
        <f t="shared" si="32"/>
        <v>524</v>
      </c>
      <c r="K650" s="150" t="s">
        <v>7887</v>
      </c>
      <c r="L650" s="149" t="s">
        <v>1182</v>
      </c>
      <c r="M650" s="151">
        <v>5000</v>
      </c>
    </row>
    <row r="651" spans="1:13" s="149" customFormat="1" x14ac:dyDescent="0.25">
      <c r="A651" s="149" t="s">
        <v>7639</v>
      </c>
      <c r="B651" s="149" t="s">
        <v>1183</v>
      </c>
      <c r="C651" s="149">
        <v>11</v>
      </c>
      <c r="D651" s="149">
        <v>310</v>
      </c>
      <c r="E651" s="149">
        <v>0</v>
      </c>
      <c r="F651" s="149">
        <v>100400</v>
      </c>
      <c r="G651" s="149">
        <v>53110</v>
      </c>
      <c r="H651" s="150" t="str">
        <f t="shared" si="30"/>
        <v>5</v>
      </c>
      <c r="I651" s="150" t="str">
        <f t="shared" si="31"/>
        <v>53</v>
      </c>
      <c r="J651" s="150" t="str">
        <f t="shared" si="32"/>
        <v>531</v>
      </c>
      <c r="K651" s="150" t="s">
        <v>8763</v>
      </c>
      <c r="L651" s="149" t="s">
        <v>263</v>
      </c>
      <c r="M651" s="151">
        <v>37678.6</v>
      </c>
    </row>
    <row r="652" spans="1:13" s="149" customFormat="1" x14ac:dyDescent="0.25">
      <c r="A652" s="149" t="s">
        <v>7639</v>
      </c>
      <c r="B652" s="149" t="s">
        <v>1184</v>
      </c>
      <c r="C652" s="149">
        <v>11</v>
      </c>
      <c r="D652" s="149">
        <v>310</v>
      </c>
      <c r="E652" s="149">
        <v>0</v>
      </c>
      <c r="F652" s="149">
        <v>100400</v>
      </c>
      <c r="G652" s="149">
        <v>53310</v>
      </c>
      <c r="H652" s="150" t="str">
        <f t="shared" si="30"/>
        <v>5</v>
      </c>
      <c r="I652" s="150" t="str">
        <f t="shared" si="31"/>
        <v>53</v>
      </c>
      <c r="J652" s="150" t="str">
        <f t="shared" si="32"/>
        <v>533</v>
      </c>
      <c r="K652" s="150" t="s">
        <v>8764</v>
      </c>
      <c r="L652" s="149" t="s">
        <v>1185</v>
      </c>
      <c r="M652" s="151">
        <v>310</v>
      </c>
    </row>
    <row r="653" spans="1:13" s="149" customFormat="1" x14ac:dyDescent="0.25">
      <c r="A653" s="149" t="s">
        <v>7639</v>
      </c>
      <c r="B653" s="149" t="s">
        <v>1186</v>
      </c>
      <c r="C653" s="149">
        <v>11</v>
      </c>
      <c r="D653" s="149">
        <v>310</v>
      </c>
      <c r="E653" s="149">
        <v>0</v>
      </c>
      <c r="F653" s="149">
        <v>100400</v>
      </c>
      <c r="G653" s="149">
        <v>53330</v>
      </c>
      <c r="H653" s="150" t="str">
        <f t="shared" si="30"/>
        <v>5</v>
      </c>
      <c r="I653" s="150" t="str">
        <f t="shared" si="31"/>
        <v>53</v>
      </c>
      <c r="J653" s="150" t="str">
        <f t="shared" si="32"/>
        <v>533</v>
      </c>
      <c r="K653" s="150" t="s">
        <v>8765</v>
      </c>
      <c r="L653" s="149" t="s">
        <v>265</v>
      </c>
      <c r="M653" s="151">
        <v>3455.41</v>
      </c>
    </row>
    <row r="654" spans="1:13" s="149" customFormat="1" x14ac:dyDescent="0.25">
      <c r="A654" s="149" t="s">
        <v>7639</v>
      </c>
      <c r="B654" s="149" t="s">
        <v>1187</v>
      </c>
      <c r="C654" s="149">
        <v>11</v>
      </c>
      <c r="D654" s="149">
        <v>310</v>
      </c>
      <c r="E654" s="149">
        <v>0</v>
      </c>
      <c r="F654" s="149">
        <v>100400</v>
      </c>
      <c r="G654" s="149">
        <v>53410</v>
      </c>
      <c r="H654" s="150" t="str">
        <f t="shared" si="30"/>
        <v>5</v>
      </c>
      <c r="I654" s="150" t="str">
        <f t="shared" si="31"/>
        <v>53</v>
      </c>
      <c r="J654" s="150" t="str">
        <f t="shared" si="32"/>
        <v>534</v>
      </c>
      <c r="K654" s="150" t="s">
        <v>8766</v>
      </c>
      <c r="L654" s="149" t="s">
        <v>1188</v>
      </c>
      <c r="M654" s="151">
        <v>33121.43</v>
      </c>
    </row>
    <row r="655" spans="1:13" s="149" customFormat="1" x14ac:dyDescent="0.25">
      <c r="A655" s="149" t="s">
        <v>7639</v>
      </c>
      <c r="B655" s="149" t="s">
        <v>1189</v>
      </c>
      <c r="C655" s="149">
        <v>11</v>
      </c>
      <c r="D655" s="149">
        <v>310</v>
      </c>
      <c r="E655" s="149">
        <v>0</v>
      </c>
      <c r="F655" s="149">
        <v>100400</v>
      </c>
      <c r="G655" s="149">
        <v>53510</v>
      </c>
      <c r="H655" s="150" t="str">
        <f t="shared" si="30"/>
        <v>5</v>
      </c>
      <c r="I655" s="150" t="str">
        <f t="shared" si="31"/>
        <v>53</v>
      </c>
      <c r="J655" s="150" t="str">
        <f t="shared" si="32"/>
        <v>535</v>
      </c>
      <c r="K655" s="150" t="s">
        <v>8767</v>
      </c>
      <c r="L655" s="149" t="s">
        <v>267</v>
      </c>
      <c r="M655" s="151">
        <v>119.16</v>
      </c>
    </row>
    <row r="656" spans="1:13" s="149" customFormat="1" x14ac:dyDescent="0.25">
      <c r="A656" s="149" t="s">
        <v>7639</v>
      </c>
      <c r="B656" s="149" t="s">
        <v>1190</v>
      </c>
      <c r="C656" s="149">
        <v>11</v>
      </c>
      <c r="D656" s="149">
        <v>310</v>
      </c>
      <c r="E656" s="149">
        <v>0</v>
      </c>
      <c r="F656" s="149">
        <v>100400</v>
      </c>
      <c r="G656" s="149">
        <v>53610</v>
      </c>
      <c r="H656" s="150" t="str">
        <f t="shared" si="30"/>
        <v>5</v>
      </c>
      <c r="I656" s="150" t="str">
        <f t="shared" si="31"/>
        <v>53</v>
      </c>
      <c r="J656" s="150" t="str">
        <f t="shared" si="32"/>
        <v>536</v>
      </c>
      <c r="K656" s="150" t="s">
        <v>8768</v>
      </c>
      <c r="L656" s="149" t="s">
        <v>269</v>
      </c>
      <c r="M656" s="151">
        <v>4505.8500000000004</v>
      </c>
    </row>
    <row r="657" spans="1:13" s="149" customFormat="1" x14ac:dyDescent="0.25">
      <c r="A657" s="149" t="s">
        <v>7639</v>
      </c>
      <c r="B657" s="149" t="s">
        <v>1191</v>
      </c>
      <c r="C657" s="149">
        <v>11</v>
      </c>
      <c r="D657" s="149">
        <v>310</v>
      </c>
      <c r="E657" s="149">
        <v>0</v>
      </c>
      <c r="F657" s="149">
        <v>100400</v>
      </c>
      <c r="G657" s="149">
        <v>54300</v>
      </c>
      <c r="H657" s="150" t="str">
        <f t="shared" si="30"/>
        <v>5</v>
      </c>
      <c r="I657" s="150" t="str">
        <f t="shared" si="31"/>
        <v>54</v>
      </c>
      <c r="J657" s="150" t="str">
        <f t="shared" si="32"/>
        <v>543</v>
      </c>
      <c r="K657" s="150" t="s">
        <v>7934</v>
      </c>
      <c r="L657" s="149" t="s">
        <v>1192</v>
      </c>
      <c r="M657" s="151">
        <v>880</v>
      </c>
    </row>
    <row r="658" spans="1:13" s="149" customFormat="1" x14ac:dyDescent="0.25">
      <c r="A658" s="149" t="s">
        <v>7639</v>
      </c>
      <c r="B658" s="149" t="s">
        <v>1193</v>
      </c>
      <c r="C658" s="149">
        <v>11</v>
      </c>
      <c r="D658" s="149">
        <v>310</v>
      </c>
      <c r="E658" s="149">
        <v>0</v>
      </c>
      <c r="F658" s="149">
        <v>100400</v>
      </c>
      <c r="G658" s="149">
        <v>55630</v>
      </c>
      <c r="H658" s="150" t="str">
        <f t="shared" si="30"/>
        <v>5</v>
      </c>
      <c r="I658" s="150" t="str">
        <f t="shared" si="31"/>
        <v>55</v>
      </c>
      <c r="J658" s="150" t="str">
        <f t="shared" si="32"/>
        <v>556</v>
      </c>
      <c r="K658" s="150" t="s">
        <v>8197</v>
      </c>
      <c r="L658" s="149" t="s">
        <v>1194</v>
      </c>
      <c r="M658" s="151">
        <v>26.05</v>
      </c>
    </row>
    <row r="659" spans="1:13" s="149" customFormat="1" x14ac:dyDescent="0.25">
      <c r="A659" s="149" t="s">
        <v>7639</v>
      </c>
      <c r="B659" s="149" t="s">
        <v>1195</v>
      </c>
      <c r="C659" s="149">
        <v>11</v>
      </c>
      <c r="D659" s="149">
        <v>310</v>
      </c>
      <c r="E659" s="149">
        <v>0</v>
      </c>
      <c r="F659" s="149">
        <v>100400</v>
      </c>
      <c r="G659" s="149">
        <v>55651</v>
      </c>
      <c r="H659" s="150" t="str">
        <f t="shared" si="30"/>
        <v>5</v>
      </c>
      <c r="I659" s="150" t="str">
        <f t="shared" si="31"/>
        <v>55</v>
      </c>
      <c r="J659" s="150" t="str">
        <f t="shared" si="32"/>
        <v>556</v>
      </c>
      <c r="K659" s="150" t="s">
        <v>8317</v>
      </c>
      <c r="L659" s="149" t="s">
        <v>1196</v>
      </c>
      <c r="M659" s="151">
        <v>500</v>
      </c>
    </row>
    <row r="660" spans="1:13" s="149" customFormat="1" x14ac:dyDescent="0.25">
      <c r="A660" s="149" t="s">
        <v>7639</v>
      </c>
      <c r="B660" s="149" t="s">
        <v>1197</v>
      </c>
      <c r="C660" s="149">
        <v>11</v>
      </c>
      <c r="D660" s="149">
        <v>310</v>
      </c>
      <c r="E660" s="149">
        <v>0</v>
      </c>
      <c r="F660" s="149">
        <v>100700</v>
      </c>
      <c r="G660" s="149">
        <v>51100</v>
      </c>
      <c r="H660" s="150" t="str">
        <f t="shared" si="30"/>
        <v>5</v>
      </c>
      <c r="I660" s="150" t="str">
        <f t="shared" si="31"/>
        <v>51</v>
      </c>
      <c r="J660" s="150" t="str">
        <f t="shared" si="32"/>
        <v>511</v>
      </c>
      <c r="K660" s="150" t="s">
        <v>8769</v>
      </c>
      <c r="L660" s="149" t="s">
        <v>1198</v>
      </c>
      <c r="M660" s="151">
        <v>102880</v>
      </c>
    </row>
    <row r="661" spans="1:13" s="149" customFormat="1" x14ac:dyDescent="0.25">
      <c r="A661" s="149" t="s">
        <v>7639</v>
      </c>
      <c r="B661" s="149" t="s">
        <v>1199</v>
      </c>
      <c r="C661" s="149">
        <v>11</v>
      </c>
      <c r="D661" s="149">
        <v>310</v>
      </c>
      <c r="E661" s="149">
        <v>0</v>
      </c>
      <c r="F661" s="149">
        <v>100700</v>
      </c>
      <c r="G661" s="149">
        <v>51310</v>
      </c>
      <c r="H661" s="150" t="str">
        <f t="shared" si="30"/>
        <v>5</v>
      </c>
      <c r="I661" s="150" t="str">
        <f t="shared" si="31"/>
        <v>51</v>
      </c>
      <c r="J661" s="150" t="str">
        <f t="shared" si="32"/>
        <v>513</v>
      </c>
      <c r="K661" s="150" t="s">
        <v>7648</v>
      </c>
      <c r="L661" s="149" t="s">
        <v>1200</v>
      </c>
      <c r="M661" s="151">
        <v>23246</v>
      </c>
    </row>
    <row r="662" spans="1:13" s="149" customFormat="1" x14ac:dyDescent="0.25">
      <c r="A662" s="149" t="s">
        <v>7639</v>
      </c>
      <c r="B662" s="149" t="s">
        <v>1201</v>
      </c>
      <c r="C662" s="149">
        <v>11</v>
      </c>
      <c r="D662" s="149">
        <v>310</v>
      </c>
      <c r="E662" s="149">
        <v>0</v>
      </c>
      <c r="F662" s="149">
        <v>100700</v>
      </c>
      <c r="G662" s="149">
        <v>51311</v>
      </c>
      <c r="H662" s="150" t="str">
        <f t="shared" si="30"/>
        <v>5</v>
      </c>
      <c r="I662" s="150" t="str">
        <f t="shared" si="31"/>
        <v>51</v>
      </c>
      <c r="J662" s="150" t="str">
        <f t="shared" si="32"/>
        <v>513</v>
      </c>
      <c r="K662" s="150" t="s">
        <v>7723</v>
      </c>
      <c r="L662" s="149" t="s">
        <v>1202</v>
      </c>
      <c r="M662" s="151">
        <v>120985</v>
      </c>
    </row>
    <row r="663" spans="1:13" s="149" customFormat="1" x14ac:dyDescent="0.25">
      <c r="A663" s="149" t="s">
        <v>7639</v>
      </c>
      <c r="B663" s="149" t="s">
        <v>1203</v>
      </c>
      <c r="C663" s="149">
        <v>11</v>
      </c>
      <c r="D663" s="149">
        <v>310</v>
      </c>
      <c r="E663" s="149">
        <v>0</v>
      </c>
      <c r="F663" s="149">
        <v>100700</v>
      </c>
      <c r="G663" s="149">
        <v>52350</v>
      </c>
      <c r="H663" s="150" t="str">
        <f t="shared" si="30"/>
        <v>5</v>
      </c>
      <c r="I663" s="150" t="str">
        <f t="shared" si="31"/>
        <v>52</v>
      </c>
      <c r="J663" s="150" t="str">
        <f t="shared" si="32"/>
        <v>523</v>
      </c>
      <c r="K663" s="150" t="s">
        <v>7854</v>
      </c>
      <c r="L663" s="149" t="s">
        <v>1204</v>
      </c>
      <c r="M663" s="151">
        <v>435</v>
      </c>
    </row>
    <row r="664" spans="1:13" s="149" customFormat="1" x14ac:dyDescent="0.25">
      <c r="A664" s="149" t="s">
        <v>7639</v>
      </c>
      <c r="B664" s="149" t="s">
        <v>1205</v>
      </c>
      <c r="C664" s="149">
        <v>11</v>
      </c>
      <c r="D664" s="149">
        <v>310</v>
      </c>
      <c r="E664" s="149">
        <v>0</v>
      </c>
      <c r="F664" s="149">
        <v>100700</v>
      </c>
      <c r="G664" s="149">
        <v>52360</v>
      </c>
      <c r="H664" s="150" t="str">
        <f t="shared" si="30"/>
        <v>5</v>
      </c>
      <c r="I664" s="150" t="str">
        <f t="shared" si="31"/>
        <v>52</v>
      </c>
      <c r="J664" s="150" t="str">
        <f t="shared" si="32"/>
        <v>523</v>
      </c>
      <c r="K664" s="150" t="s">
        <v>7868</v>
      </c>
      <c r="L664" s="149" t="s">
        <v>1206</v>
      </c>
      <c r="M664" s="151">
        <v>1500</v>
      </c>
    </row>
    <row r="665" spans="1:13" s="149" customFormat="1" x14ac:dyDescent="0.25">
      <c r="A665" s="149" t="s">
        <v>7639</v>
      </c>
      <c r="B665" s="149" t="s">
        <v>1207</v>
      </c>
      <c r="C665" s="149">
        <v>11</v>
      </c>
      <c r="D665" s="149">
        <v>310</v>
      </c>
      <c r="E665" s="149">
        <v>0</v>
      </c>
      <c r="F665" s="149">
        <v>100700</v>
      </c>
      <c r="G665" s="149">
        <v>53110</v>
      </c>
      <c r="H665" s="150" t="str">
        <f t="shared" si="30"/>
        <v>5</v>
      </c>
      <c r="I665" s="150" t="str">
        <f t="shared" si="31"/>
        <v>53</v>
      </c>
      <c r="J665" s="150" t="str">
        <f t="shared" si="32"/>
        <v>531</v>
      </c>
      <c r="K665" s="150" t="s">
        <v>8770</v>
      </c>
      <c r="L665" s="149" t="s">
        <v>1208</v>
      </c>
      <c r="M665" s="151">
        <v>39908.43</v>
      </c>
    </row>
    <row r="666" spans="1:13" s="149" customFormat="1" x14ac:dyDescent="0.25">
      <c r="A666" s="149" t="s">
        <v>7639</v>
      </c>
      <c r="B666" s="149" t="s">
        <v>1209</v>
      </c>
      <c r="C666" s="149">
        <v>11</v>
      </c>
      <c r="D666" s="149">
        <v>310</v>
      </c>
      <c r="E666" s="149">
        <v>0</v>
      </c>
      <c r="F666" s="149">
        <v>100700</v>
      </c>
      <c r="G666" s="149">
        <v>53310</v>
      </c>
      <c r="H666" s="150" t="str">
        <f t="shared" si="30"/>
        <v>5</v>
      </c>
      <c r="I666" s="150" t="str">
        <f t="shared" si="31"/>
        <v>53</v>
      </c>
      <c r="J666" s="150" t="str">
        <f t="shared" si="32"/>
        <v>533</v>
      </c>
      <c r="K666" s="150" t="s">
        <v>8771</v>
      </c>
      <c r="L666" s="149" t="s">
        <v>1210</v>
      </c>
      <c r="M666" s="151">
        <v>0</v>
      </c>
    </row>
    <row r="667" spans="1:13" s="149" customFormat="1" x14ac:dyDescent="0.25">
      <c r="A667" s="149" t="s">
        <v>7639</v>
      </c>
      <c r="B667" s="149" t="s">
        <v>1211</v>
      </c>
      <c r="C667" s="149">
        <v>11</v>
      </c>
      <c r="D667" s="149">
        <v>310</v>
      </c>
      <c r="E667" s="149">
        <v>0</v>
      </c>
      <c r="F667" s="149">
        <v>100700</v>
      </c>
      <c r="G667" s="149">
        <v>53320</v>
      </c>
      <c r="H667" s="150" t="str">
        <f t="shared" si="30"/>
        <v>5</v>
      </c>
      <c r="I667" s="150" t="str">
        <f t="shared" si="31"/>
        <v>53</v>
      </c>
      <c r="J667" s="150" t="str">
        <f t="shared" si="32"/>
        <v>533</v>
      </c>
      <c r="K667" s="150" t="s">
        <v>8772</v>
      </c>
      <c r="L667" s="149" t="s">
        <v>1212</v>
      </c>
      <c r="M667" s="151">
        <v>93</v>
      </c>
    </row>
    <row r="668" spans="1:13" s="149" customFormat="1" x14ac:dyDescent="0.25">
      <c r="A668" s="149" t="s">
        <v>7639</v>
      </c>
      <c r="B668" s="149" t="s">
        <v>1213</v>
      </c>
      <c r="C668" s="149">
        <v>11</v>
      </c>
      <c r="D668" s="149">
        <v>310</v>
      </c>
      <c r="E668" s="149">
        <v>0</v>
      </c>
      <c r="F668" s="149">
        <v>100700</v>
      </c>
      <c r="G668" s="149">
        <v>53330</v>
      </c>
      <c r="H668" s="150" t="str">
        <f t="shared" si="30"/>
        <v>5</v>
      </c>
      <c r="I668" s="150" t="str">
        <f t="shared" si="31"/>
        <v>53</v>
      </c>
      <c r="J668" s="150" t="str">
        <f t="shared" si="32"/>
        <v>533</v>
      </c>
      <c r="K668" s="150" t="s">
        <v>8773</v>
      </c>
      <c r="L668" s="149" t="s">
        <v>1214</v>
      </c>
      <c r="M668" s="151">
        <v>3583.11</v>
      </c>
    </row>
    <row r="669" spans="1:13" s="149" customFormat="1" x14ac:dyDescent="0.25">
      <c r="A669" s="149" t="s">
        <v>7639</v>
      </c>
      <c r="B669" s="149" t="s">
        <v>1215</v>
      </c>
      <c r="C669" s="149">
        <v>11</v>
      </c>
      <c r="D669" s="149">
        <v>310</v>
      </c>
      <c r="E669" s="149">
        <v>0</v>
      </c>
      <c r="F669" s="149">
        <v>100700</v>
      </c>
      <c r="G669" s="149">
        <v>53340</v>
      </c>
      <c r="H669" s="150" t="str">
        <f t="shared" si="30"/>
        <v>5</v>
      </c>
      <c r="I669" s="150" t="str">
        <f t="shared" si="31"/>
        <v>53</v>
      </c>
      <c r="J669" s="150" t="str">
        <f t="shared" si="32"/>
        <v>533</v>
      </c>
      <c r="K669" s="150" t="s">
        <v>8774</v>
      </c>
      <c r="L669" s="149" t="s">
        <v>1216</v>
      </c>
      <c r="M669" s="151">
        <v>21.75</v>
      </c>
    </row>
    <row r="670" spans="1:13" s="149" customFormat="1" x14ac:dyDescent="0.25">
      <c r="A670" s="149" t="s">
        <v>7639</v>
      </c>
      <c r="B670" s="149" t="s">
        <v>1217</v>
      </c>
      <c r="C670" s="149">
        <v>11</v>
      </c>
      <c r="D670" s="149">
        <v>310</v>
      </c>
      <c r="E670" s="149">
        <v>0</v>
      </c>
      <c r="F670" s="149">
        <v>100700</v>
      </c>
      <c r="G670" s="149">
        <v>53410</v>
      </c>
      <c r="H670" s="150" t="str">
        <f t="shared" si="30"/>
        <v>5</v>
      </c>
      <c r="I670" s="150" t="str">
        <f t="shared" si="31"/>
        <v>53</v>
      </c>
      <c r="J670" s="150" t="str">
        <f t="shared" si="32"/>
        <v>534</v>
      </c>
      <c r="K670" s="150" t="s">
        <v>8775</v>
      </c>
      <c r="L670" s="149" t="s">
        <v>1218</v>
      </c>
      <c r="M670" s="151">
        <v>33121.43</v>
      </c>
    </row>
    <row r="671" spans="1:13" s="149" customFormat="1" x14ac:dyDescent="0.25">
      <c r="A671" s="149" t="s">
        <v>7639</v>
      </c>
      <c r="B671" s="149" t="s">
        <v>1219</v>
      </c>
      <c r="C671" s="149">
        <v>11</v>
      </c>
      <c r="D671" s="149">
        <v>310</v>
      </c>
      <c r="E671" s="149">
        <v>0</v>
      </c>
      <c r="F671" s="149">
        <v>100700</v>
      </c>
      <c r="G671" s="149">
        <v>53510</v>
      </c>
      <c r="H671" s="150" t="str">
        <f t="shared" si="30"/>
        <v>5</v>
      </c>
      <c r="I671" s="150" t="str">
        <f t="shared" si="31"/>
        <v>53</v>
      </c>
      <c r="J671" s="150" t="str">
        <f t="shared" si="32"/>
        <v>535</v>
      </c>
      <c r="K671" s="150" t="s">
        <v>8776</v>
      </c>
      <c r="L671" s="149" t="s">
        <v>1220</v>
      </c>
      <c r="M671" s="151">
        <v>123.55</v>
      </c>
    </row>
    <row r="672" spans="1:13" s="149" customFormat="1" x14ac:dyDescent="0.25">
      <c r="A672" s="149" t="s">
        <v>7639</v>
      </c>
      <c r="B672" s="149" t="s">
        <v>1221</v>
      </c>
      <c r="C672" s="149">
        <v>11</v>
      </c>
      <c r="D672" s="149">
        <v>310</v>
      </c>
      <c r="E672" s="149">
        <v>0</v>
      </c>
      <c r="F672" s="149">
        <v>100700</v>
      </c>
      <c r="G672" s="149">
        <v>53520</v>
      </c>
      <c r="H672" s="150" t="str">
        <f t="shared" si="30"/>
        <v>5</v>
      </c>
      <c r="I672" s="150" t="str">
        <f t="shared" si="31"/>
        <v>53</v>
      </c>
      <c r="J672" s="150" t="str">
        <f t="shared" si="32"/>
        <v>535</v>
      </c>
      <c r="K672" s="150" t="s">
        <v>8777</v>
      </c>
      <c r="L672" s="149" t="s">
        <v>1222</v>
      </c>
      <c r="M672" s="151">
        <v>0.75</v>
      </c>
    </row>
    <row r="673" spans="1:13" s="149" customFormat="1" x14ac:dyDescent="0.25">
      <c r="A673" s="149" t="s">
        <v>7639</v>
      </c>
      <c r="B673" s="149" t="s">
        <v>1223</v>
      </c>
      <c r="C673" s="149">
        <v>11</v>
      </c>
      <c r="D673" s="149">
        <v>310</v>
      </c>
      <c r="E673" s="149">
        <v>0</v>
      </c>
      <c r="F673" s="149">
        <v>100700</v>
      </c>
      <c r="G673" s="149">
        <v>53610</v>
      </c>
      <c r="H673" s="150" t="str">
        <f t="shared" si="30"/>
        <v>5</v>
      </c>
      <c r="I673" s="150" t="str">
        <f t="shared" si="31"/>
        <v>53</v>
      </c>
      <c r="J673" s="150" t="str">
        <f t="shared" si="32"/>
        <v>536</v>
      </c>
      <c r="K673" s="150" t="s">
        <v>8778</v>
      </c>
      <c r="L673" s="149" t="s">
        <v>1224</v>
      </c>
      <c r="M673" s="151">
        <v>4672.38</v>
      </c>
    </row>
    <row r="674" spans="1:13" s="149" customFormat="1" x14ac:dyDescent="0.25">
      <c r="A674" s="149" t="s">
        <v>7639</v>
      </c>
      <c r="B674" s="149" t="s">
        <v>1225</v>
      </c>
      <c r="C674" s="149">
        <v>11</v>
      </c>
      <c r="D674" s="149">
        <v>310</v>
      </c>
      <c r="E674" s="149">
        <v>0</v>
      </c>
      <c r="F674" s="149">
        <v>100700</v>
      </c>
      <c r="G674" s="149">
        <v>53620</v>
      </c>
      <c r="H674" s="150" t="str">
        <f t="shared" si="30"/>
        <v>5</v>
      </c>
      <c r="I674" s="150" t="str">
        <f t="shared" si="31"/>
        <v>53</v>
      </c>
      <c r="J674" s="150" t="str">
        <f t="shared" si="32"/>
        <v>536</v>
      </c>
      <c r="K674" s="150" t="s">
        <v>8779</v>
      </c>
      <c r="L674" s="149" t="s">
        <v>1226</v>
      </c>
      <c r="M674" s="151">
        <v>36.58</v>
      </c>
    </row>
    <row r="675" spans="1:13" s="149" customFormat="1" x14ac:dyDescent="0.25">
      <c r="A675" s="149" t="s">
        <v>7639</v>
      </c>
      <c r="B675" s="149" t="s">
        <v>1227</v>
      </c>
      <c r="C675" s="149">
        <v>11</v>
      </c>
      <c r="D675" s="149">
        <v>310</v>
      </c>
      <c r="E675" s="149">
        <v>0</v>
      </c>
      <c r="F675" s="149">
        <v>100700</v>
      </c>
      <c r="G675" s="149">
        <v>55105</v>
      </c>
      <c r="H675" s="150" t="str">
        <f t="shared" si="30"/>
        <v>5</v>
      </c>
      <c r="I675" s="150" t="str">
        <f t="shared" si="31"/>
        <v>55</v>
      </c>
      <c r="J675" s="150" t="str">
        <f t="shared" si="32"/>
        <v>551</v>
      </c>
      <c r="K675" s="150" t="s">
        <v>8011</v>
      </c>
      <c r="L675" s="149" t="s">
        <v>1228</v>
      </c>
      <c r="M675" s="151">
        <v>1420</v>
      </c>
    </row>
    <row r="676" spans="1:13" s="149" customFormat="1" x14ac:dyDescent="0.25">
      <c r="A676" s="149" t="s">
        <v>7639</v>
      </c>
      <c r="B676" s="149" t="s">
        <v>1229</v>
      </c>
      <c r="C676" s="149">
        <v>11</v>
      </c>
      <c r="D676" s="149">
        <v>310</v>
      </c>
      <c r="E676" s="149">
        <v>0</v>
      </c>
      <c r="F676" s="149">
        <v>100700</v>
      </c>
      <c r="G676" s="149">
        <v>55200</v>
      </c>
      <c r="H676" s="150" t="str">
        <f t="shared" si="30"/>
        <v>5</v>
      </c>
      <c r="I676" s="150" t="str">
        <f t="shared" si="31"/>
        <v>55</v>
      </c>
      <c r="J676" s="150" t="str">
        <f t="shared" si="32"/>
        <v>552</v>
      </c>
      <c r="K676" s="150" t="s">
        <v>8048</v>
      </c>
      <c r="L676" s="149" t="s">
        <v>1230</v>
      </c>
      <c r="M676" s="151">
        <v>0</v>
      </c>
    </row>
    <row r="677" spans="1:13" s="149" customFormat="1" x14ac:dyDescent="0.25">
      <c r="A677" s="149" t="s">
        <v>7639</v>
      </c>
      <c r="B677" s="149" t="s">
        <v>1231</v>
      </c>
      <c r="C677" s="149">
        <v>11</v>
      </c>
      <c r="D677" s="149">
        <v>310</v>
      </c>
      <c r="E677" s="149">
        <v>0</v>
      </c>
      <c r="F677" s="149">
        <v>100700</v>
      </c>
      <c r="G677" s="149">
        <v>55300</v>
      </c>
      <c r="H677" s="150" t="str">
        <f t="shared" si="30"/>
        <v>5</v>
      </c>
      <c r="I677" s="150" t="str">
        <f t="shared" si="31"/>
        <v>55</v>
      </c>
      <c r="J677" s="150" t="str">
        <f t="shared" si="32"/>
        <v>553</v>
      </c>
      <c r="K677" s="150" t="s">
        <v>8086</v>
      </c>
      <c r="L677" s="149" t="s">
        <v>1232</v>
      </c>
      <c r="M677" s="151">
        <v>0</v>
      </c>
    </row>
    <row r="678" spans="1:13" s="149" customFormat="1" x14ac:dyDescent="0.25">
      <c r="A678" s="149" t="s">
        <v>7639</v>
      </c>
      <c r="B678" s="149" t="s">
        <v>1233</v>
      </c>
      <c r="C678" s="149">
        <v>11</v>
      </c>
      <c r="D678" s="149">
        <v>310</v>
      </c>
      <c r="E678" s="149">
        <v>0</v>
      </c>
      <c r="F678" s="149">
        <v>100700</v>
      </c>
      <c r="G678" s="149">
        <v>55630</v>
      </c>
      <c r="H678" s="150" t="str">
        <f t="shared" si="30"/>
        <v>5</v>
      </c>
      <c r="I678" s="150" t="str">
        <f t="shared" si="31"/>
        <v>55</v>
      </c>
      <c r="J678" s="150" t="str">
        <f t="shared" si="32"/>
        <v>556</v>
      </c>
      <c r="K678" s="150" t="s">
        <v>8198</v>
      </c>
      <c r="L678" s="149" t="s">
        <v>1234</v>
      </c>
      <c r="M678" s="151">
        <v>0</v>
      </c>
    </row>
    <row r="679" spans="1:13" s="149" customFormat="1" x14ac:dyDescent="0.25">
      <c r="A679" s="149" t="s">
        <v>7639</v>
      </c>
      <c r="B679" s="149" t="s">
        <v>1235</v>
      </c>
      <c r="C679" s="149">
        <v>11</v>
      </c>
      <c r="D679" s="149">
        <v>310</v>
      </c>
      <c r="E679" s="149">
        <v>0</v>
      </c>
      <c r="F679" s="149">
        <v>100700</v>
      </c>
      <c r="G679" s="149">
        <v>57552</v>
      </c>
      <c r="H679" s="150" t="str">
        <f t="shared" si="30"/>
        <v>5</v>
      </c>
      <c r="I679" s="150" t="str">
        <f t="shared" si="31"/>
        <v>57</v>
      </c>
      <c r="J679" s="150" t="str">
        <f t="shared" si="32"/>
        <v>575</v>
      </c>
      <c r="K679" s="150" t="s">
        <v>8396</v>
      </c>
      <c r="L679" s="149" t="s">
        <v>9593</v>
      </c>
      <c r="M679" s="151">
        <v>0</v>
      </c>
    </row>
    <row r="680" spans="1:13" s="149" customFormat="1" x14ac:dyDescent="0.25">
      <c r="A680" s="149" t="s">
        <v>7639</v>
      </c>
      <c r="B680" s="149" t="s">
        <v>1237</v>
      </c>
      <c r="C680" s="149">
        <v>11</v>
      </c>
      <c r="D680" s="149">
        <v>310</v>
      </c>
      <c r="E680" s="149">
        <v>0</v>
      </c>
      <c r="F680" s="149">
        <v>101100</v>
      </c>
      <c r="G680" s="149">
        <v>51310</v>
      </c>
      <c r="H680" s="150" t="str">
        <f t="shared" si="30"/>
        <v>5</v>
      </c>
      <c r="I680" s="150" t="str">
        <f t="shared" si="31"/>
        <v>51</v>
      </c>
      <c r="J680" s="150" t="str">
        <f t="shared" si="32"/>
        <v>513</v>
      </c>
      <c r="K680" s="150" t="s">
        <v>7649</v>
      </c>
      <c r="L680" s="149" t="s">
        <v>1238</v>
      </c>
      <c r="M680" s="151">
        <v>4293</v>
      </c>
    </row>
    <row r="681" spans="1:13" s="149" customFormat="1" x14ac:dyDescent="0.25">
      <c r="A681" s="149" t="s">
        <v>7639</v>
      </c>
      <c r="B681" s="149" t="s">
        <v>1239</v>
      </c>
      <c r="C681" s="149">
        <v>11</v>
      </c>
      <c r="D681" s="149">
        <v>310</v>
      </c>
      <c r="E681" s="149">
        <v>0</v>
      </c>
      <c r="F681" s="149">
        <v>101100</v>
      </c>
      <c r="G681" s="149">
        <v>51311</v>
      </c>
      <c r="H681" s="150" t="str">
        <f t="shared" si="30"/>
        <v>5</v>
      </c>
      <c r="I681" s="150" t="str">
        <f t="shared" si="31"/>
        <v>51</v>
      </c>
      <c r="J681" s="150" t="str">
        <f t="shared" si="32"/>
        <v>513</v>
      </c>
      <c r="K681" s="150" t="s">
        <v>7724</v>
      </c>
      <c r="L681" s="149" t="s">
        <v>271</v>
      </c>
      <c r="M681" s="151">
        <v>55907</v>
      </c>
    </row>
    <row r="682" spans="1:13" s="149" customFormat="1" x14ac:dyDescent="0.25">
      <c r="A682" s="149" t="s">
        <v>7639</v>
      </c>
      <c r="B682" s="149" t="s">
        <v>1240</v>
      </c>
      <c r="C682" s="149">
        <v>11</v>
      </c>
      <c r="D682" s="149">
        <v>310</v>
      </c>
      <c r="E682" s="149">
        <v>0</v>
      </c>
      <c r="F682" s="149">
        <v>101100</v>
      </c>
      <c r="G682" s="149">
        <v>52200</v>
      </c>
      <c r="H682" s="150" t="str">
        <f t="shared" si="30"/>
        <v>5</v>
      </c>
      <c r="I682" s="150" t="str">
        <f t="shared" si="31"/>
        <v>52</v>
      </c>
      <c r="J682" s="150" t="str">
        <f t="shared" si="32"/>
        <v>522</v>
      </c>
      <c r="K682" s="150" t="s">
        <v>8780</v>
      </c>
      <c r="L682" s="149" t="s">
        <v>1241</v>
      </c>
      <c r="M682" s="151">
        <v>28110</v>
      </c>
    </row>
    <row r="683" spans="1:13" s="149" customFormat="1" x14ac:dyDescent="0.25">
      <c r="A683" s="149" t="s">
        <v>7639</v>
      </c>
      <c r="B683" s="149" t="s">
        <v>1242</v>
      </c>
      <c r="C683" s="149">
        <v>11</v>
      </c>
      <c r="D683" s="149">
        <v>310</v>
      </c>
      <c r="E683" s="149">
        <v>0</v>
      </c>
      <c r="F683" s="149">
        <v>101100</v>
      </c>
      <c r="G683" s="149">
        <v>53110</v>
      </c>
      <c r="H683" s="150" t="str">
        <f t="shared" si="30"/>
        <v>5</v>
      </c>
      <c r="I683" s="150" t="str">
        <f t="shared" si="31"/>
        <v>53</v>
      </c>
      <c r="J683" s="150" t="str">
        <f t="shared" si="32"/>
        <v>531</v>
      </c>
      <c r="K683" s="150" t="s">
        <v>8781</v>
      </c>
      <c r="L683" s="149" t="s">
        <v>273</v>
      </c>
      <c r="M683" s="151">
        <v>9722.2999999999993</v>
      </c>
    </row>
    <row r="684" spans="1:13" s="149" customFormat="1" x14ac:dyDescent="0.25">
      <c r="A684" s="149" t="s">
        <v>7639</v>
      </c>
      <c r="B684" s="149" t="s">
        <v>1243</v>
      </c>
      <c r="C684" s="149">
        <v>11</v>
      </c>
      <c r="D684" s="149">
        <v>310</v>
      </c>
      <c r="E684" s="149">
        <v>0</v>
      </c>
      <c r="F684" s="149">
        <v>101100</v>
      </c>
      <c r="G684" s="149">
        <v>53210</v>
      </c>
      <c r="H684" s="150" t="str">
        <f t="shared" si="30"/>
        <v>5</v>
      </c>
      <c r="I684" s="150" t="str">
        <f t="shared" si="31"/>
        <v>53</v>
      </c>
      <c r="J684" s="150" t="str">
        <f t="shared" si="32"/>
        <v>532</v>
      </c>
      <c r="K684" s="150" t="s">
        <v>8782</v>
      </c>
      <c r="L684" s="149" t="s">
        <v>1244</v>
      </c>
      <c r="M684" s="151">
        <v>5818.77</v>
      </c>
    </row>
    <row r="685" spans="1:13" s="149" customFormat="1" x14ac:dyDescent="0.25">
      <c r="A685" s="149" t="s">
        <v>7639</v>
      </c>
      <c r="B685" s="149" t="s">
        <v>1245</v>
      </c>
      <c r="C685" s="149">
        <v>11</v>
      </c>
      <c r="D685" s="149">
        <v>310</v>
      </c>
      <c r="E685" s="149">
        <v>0</v>
      </c>
      <c r="F685" s="149">
        <v>101100</v>
      </c>
      <c r="G685" s="149">
        <v>53310</v>
      </c>
      <c r="H685" s="150" t="str">
        <f t="shared" si="30"/>
        <v>5</v>
      </c>
      <c r="I685" s="150" t="str">
        <f t="shared" si="31"/>
        <v>53</v>
      </c>
      <c r="J685" s="150" t="str">
        <f t="shared" si="32"/>
        <v>533</v>
      </c>
      <c r="K685" s="150" t="s">
        <v>8783</v>
      </c>
      <c r="L685" s="149" t="s">
        <v>1246</v>
      </c>
      <c r="M685" s="151">
        <v>1742.82</v>
      </c>
    </row>
    <row r="686" spans="1:13" s="149" customFormat="1" x14ac:dyDescent="0.25">
      <c r="A686" s="149" t="s">
        <v>7639</v>
      </c>
      <c r="B686" s="149" t="s">
        <v>1247</v>
      </c>
      <c r="C686" s="149">
        <v>11</v>
      </c>
      <c r="D686" s="149">
        <v>310</v>
      </c>
      <c r="E686" s="149">
        <v>0</v>
      </c>
      <c r="F686" s="149">
        <v>101100</v>
      </c>
      <c r="G686" s="149">
        <v>53330</v>
      </c>
      <c r="H686" s="150" t="str">
        <f t="shared" si="30"/>
        <v>5</v>
      </c>
      <c r="I686" s="150" t="str">
        <f t="shared" si="31"/>
        <v>53</v>
      </c>
      <c r="J686" s="150" t="str">
        <f t="shared" si="32"/>
        <v>533</v>
      </c>
      <c r="K686" s="150" t="s">
        <v>8784</v>
      </c>
      <c r="L686" s="149" t="s">
        <v>275</v>
      </c>
      <c r="M686" s="151">
        <v>1280.5</v>
      </c>
    </row>
    <row r="687" spans="1:13" s="149" customFormat="1" x14ac:dyDescent="0.25">
      <c r="A687" s="149" t="s">
        <v>7639</v>
      </c>
      <c r="B687" s="149" t="s">
        <v>1248</v>
      </c>
      <c r="C687" s="149">
        <v>11</v>
      </c>
      <c r="D687" s="149">
        <v>310</v>
      </c>
      <c r="E687" s="149">
        <v>0</v>
      </c>
      <c r="F687" s="149">
        <v>101100</v>
      </c>
      <c r="G687" s="149">
        <v>53410</v>
      </c>
      <c r="H687" s="150" t="str">
        <f t="shared" si="30"/>
        <v>5</v>
      </c>
      <c r="I687" s="150" t="str">
        <f t="shared" si="31"/>
        <v>53</v>
      </c>
      <c r="J687" s="150" t="str">
        <f t="shared" si="32"/>
        <v>534</v>
      </c>
      <c r="K687" s="150" t="s">
        <v>8785</v>
      </c>
      <c r="L687" s="149" t="s">
        <v>1249</v>
      </c>
      <c r="M687" s="151">
        <v>6570.81</v>
      </c>
    </row>
    <row r="688" spans="1:13" s="149" customFormat="1" x14ac:dyDescent="0.25">
      <c r="A688" s="149" t="s">
        <v>7639</v>
      </c>
      <c r="B688" s="149" t="s">
        <v>1250</v>
      </c>
      <c r="C688" s="149">
        <v>11</v>
      </c>
      <c r="D688" s="149">
        <v>310</v>
      </c>
      <c r="E688" s="149">
        <v>0</v>
      </c>
      <c r="F688" s="149">
        <v>101100</v>
      </c>
      <c r="G688" s="149">
        <v>53510</v>
      </c>
      <c r="H688" s="150" t="str">
        <f t="shared" si="30"/>
        <v>5</v>
      </c>
      <c r="I688" s="150" t="str">
        <f t="shared" si="31"/>
        <v>53</v>
      </c>
      <c r="J688" s="150" t="str">
        <f t="shared" si="32"/>
        <v>535</v>
      </c>
      <c r="K688" s="150" t="s">
        <v>8786</v>
      </c>
      <c r="L688" s="149" t="s">
        <v>277</v>
      </c>
      <c r="M688" s="151">
        <v>44.16</v>
      </c>
    </row>
    <row r="689" spans="1:13" s="149" customFormat="1" x14ac:dyDescent="0.25">
      <c r="A689" s="149" t="s">
        <v>7639</v>
      </c>
      <c r="B689" s="149" t="s">
        <v>1251</v>
      </c>
      <c r="C689" s="149">
        <v>11</v>
      </c>
      <c r="D689" s="149">
        <v>310</v>
      </c>
      <c r="E689" s="149">
        <v>0</v>
      </c>
      <c r="F689" s="149">
        <v>101100</v>
      </c>
      <c r="G689" s="149">
        <v>53610</v>
      </c>
      <c r="H689" s="150" t="str">
        <f t="shared" si="30"/>
        <v>5</v>
      </c>
      <c r="I689" s="150" t="str">
        <f t="shared" si="31"/>
        <v>53</v>
      </c>
      <c r="J689" s="150" t="str">
        <f t="shared" si="32"/>
        <v>536</v>
      </c>
      <c r="K689" s="150" t="s">
        <v>8787</v>
      </c>
      <c r="L689" s="149" t="s">
        <v>279</v>
      </c>
      <c r="M689" s="151">
        <v>1669.76</v>
      </c>
    </row>
    <row r="690" spans="1:13" s="149" customFormat="1" x14ac:dyDescent="0.25">
      <c r="A690" s="149" t="s">
        <v>7639</v>
      </c>
      <c r="B690" s="149" t="s">
        <v>1252</v>
      </c>
      <c r="C690" s="149">
        <v>11</v>
      </c>
      <c r="D690" s="149">
        <v>310</v>
      </c>
      <c r="E690" s="149">
        <v>0</v>
      </c>
      <c r="F690" s="149">
        <v>101100</v>
      </c>
      <c r="G690" s="149">
        <v>54300</v>
      </c>
      <c r="H690" s="150" t="str">
        <f t="shared" si="30"/>
        <v>5</v>
      </c>
      <c r="I690" s="150" t="str">
        <f t="shared" si="31"/>
        <v>54</v>
      </c>
      <c r="J690" s="150" t="str">
        <f t="shared" si="32"/>
        <v>543</v>
      </c>
      <c r="K690" s="150" t="s">
        <v>7935</v>
      </c>
      <c r="L690" s="149" t="s">
        <v>1253</v>
      </c>
      <c r="M690" s="151">
        <v>684</v>
      </c>
    </row>
    <row r="691" spans="1:13" s="149" customFormat="1" x14ac:dyDescent="0.25">
      <c r="A691" s="149" t="s">
        <v>7639</v>
      </c>
      <c r="B691" s="149" t="s">
        <v>1254</v>
      </c>
      <c r="C691" s="149">
        <v>11</v>
      </c>
      <c r="D691" s="149">
        <v>310</v>
      </c>
      <c r="E691" s="149">
        <v>0</v>
      </c>
      <c r="F691" s="149">
        <v>101100</v>
      </c>
      <c r="G691" s="149">
        <v>55630</v>
      </c>
      <c r="H691" s="150" t="str">
        <f t="shared" si="30"/>
        <v>5</v>
      </c>
      <c r="I691" s="150" t="str">
        <f t="shared" si="31"/>
        <v>55</v>
      </c>
      <c r="J691" s="150" t="str">
        <f t="shared" si="32"/>
        <v>556</v>
      </c>
      <c r="K691" s="150" t="s">
        <v>8199</v>
      </c>
      <c r="L691" s="149" t="s">
        <v>1255</v>
      </c>
      <c r="M691" s="151">
        <v>25</v>
      </c>
    </row>
    <row r="692" spans="1:13" s="149" customFormat="1" x14ac:dyDescent="0.25">
      <c r="A692" s="149" t="s">
        <v>7639</v>
      </c>
      <c r="B692" s="149" t="s">
        <v>1256</v>
      </c>
      <c r="C692" s="149">
        <v>11</v>
      </c>
      <c r="D692" s="149">
        <v>310</v>
      </c>
      <c r="E692" s="149">
        <v>0</v>
      </c>
      <c r="F692" s="149">
        <v>130500</v>
      </c>
      <c r="G692" s="149">
        <v>51310</v>
      </c>
      <c r="H692" s="150" t="str">
        <f t="shared" si="30"/>
        <v>5</v>
      </c>
      <c r="I692" s="150" t="str">
        <f t="shared" si="31"/>
        <v>51</v>
      </c>
      <c r="J692" s="150" t="str">
        <f t="shared" si="32"/>
        <v>513</v>
      </c>
      <c r="K692" s="150" t="s">
        <v>7650</v>
      </c>
      <c r="L692" s="149" t="s">
        <v>1257</v>
      </c>
      <c r="M692" s="151">
        <v>0</v>
      </c>
    </row>
    <row r="693" spans="1:13" s="149" customFormat="1" x14ac:dyDescent="0.25">
      <c r="A693" s="149" t="s">
        <v>7639</v>
      </c>
      <c r="B693" s="149" t="s">
        <v>1258</v>
      </c>
      <c r="C693" s="149">
        <v>11</v>
      </c>
      <c r="D693" s="149">
        <v>310</v>
      </c>
      <c r="E693" s="149">
        <v>0</v>
      </c>
      <c r="F693" s="149">
        <v>130500</v>
      </c>
      <c r="G693" s="149">
        <v>52200</v>
      </c>
      <c r="H693" s="150" t="str">
        <f t="shared" si="30"/>
        <v>5</v>
      </c>
      <c r="I693" s="150" t="str">
        <f t="shared" si="31"/>
        <v>52</v>
      </c>
      <c r="J693" s="150" t="str">
        <f t="shared" si="32"/>
        <v>522</v>
      </c>
      <c r="K693" s="150" t="s">
        <v>8788</v>
      </c>
      <c r="L693" s="149" t="s">
        <v>1259</v>
      </c>
      <c r="M693" s="151">
        <v>0</v>
      </c>
    </row>
    <row r="694" spans="1:13" s="149" customFormat="1" x14ac:dyDescent="0.25">
      <c r="A694" s="149" t="s">
        <v>7639</v>
      </c>
      <c r="B694" s="149" t="s">
        <v>1260</v>
      </c>
      <c r="C694" s="149">
        <v>11</v>
      </c>
      <c r="D694" s="149">
        <v>310</v>
      </c>
      <c r="E694" s="149">
        <v>0</v>
      </c>
      <c r="F694" s="149">
        <v>130500</v>
      </c>
      <c r="G694" s="149">
        <v>53110</v>
      </c>
      <c r="H694" s="150" t="str">
        <f t="shared" si="30"/>
        <v>5</v>
      </c>
      <c r="I694" s="150" t="str">
        <f t="shared" si="31"/>
        <v>53</v>
      </c>
      <c r="J694" s="150" t="str">
        <f t="shared" si="32"/>
        <v>531</v>
      </c>
      <c r="K694" s="150" t="s">
        <v>8789</v>
      </c>
      <c r="L694" s="149" t="s">
        <v>293</v>
      </c>
      <c r="M694" s="151">
        <v>0</v>
      </c>
    </row>
    <row r="695" spans="1:13" s="149" customFormat="1" x14ac:dyDescent="0.25">
      <c r="A695" s="149" t="s">
        <v>7639</v>
      </c>
      <c r="B695" s="149" t="s">
        <v>1261</v>
      </c>
      <c r="C695" s="149">
        <v>11</v>
      </c>
      <c r="D695" s="149">
        <v>310</v>
      </c>
      <c r="E695" s="149">
        <v>0</v>
      </c>
      <c r="F695" s="149">
        <v>130500</v>
      </c>
      <c r="G695" s="149">
        <v>53210</v>
      </c>
      <c r="H695" s="150" t="str">
        <f t="shared" si="30"/>
        <v>5</v>
      </c>
      <c r="I695" s="150" t="str">
        <f t="shared" si="31"/>
        <v>53</v>
      </c>
      <c r="J695" s="150" t="str">
        <f t="shared" si="32"/>
        <v>532</v>
      </c>
      <c r="K695" s="150" t="s">
        <v>8790</v>
      </c>
      <c r="L695" s="149" t="s">
        <v>1262</v>
      </c>
      <c r="M695" s="151">
        <v>0</v>
      </c>
    </row>
    <row r="696" spans="1:13" s="149" customFormat="1" x14ac:dyDescent="0.25">
      <c r="A696" s="149" t="s">
        <v>7639</v>
      </c>
      <c r="B696" s="149" t="s">
        <v>1263</v>
      </c>
      <c r="C696" s="149">
        <v>11</v>
      </c>
      <c r="D696" s="149">
        <v>310</v>
      </c>
      <c r="E696" s="149">
        <v>0</v>
      </c>
      <c r="F696" s="149">
        <v>130500</v>
      </c>
      <c r="G696" s="149">
        <v>53310</v>
      </c>
      <c r="H696" s="150" t="str">
        <f t="shared" si="30"/>
        <v>5</v>
      </c>
      <c r="I696" s="150" t="str">
        <f t="shared" si="31"/>
        <v>53</v>
      </c>
      <c r="J696" s="150" t="str">
        <f t="shared" si="32"/>
        <v>533</v>
      </c>
      <c r="K696" s="150" t="s">
        <v>8791</v>
      </c>
      <c r="L696" s="149" t="s">
        <v>295</v>
      </c>
      <c r="M696" s="151">
        <v>0</v>
      </c>
    </row>
    <row r="697" spans="1:13" s="149" customFormat="1" x14ac:dyDescent="0.25">
      <c r="A697" s="149" t="s">
        <v>7639</v>
      </c>
      <c r="B697" s="149" t="s">
        <v>1264</v>
      </c>
      <c r="C697" s="149">
        <v>11</v>
      </c>
      <c r="D697" s="149">
        <v>310</v>
      </c>
      <c r="E697" s="149">
        <v>0</v>
      </c>
      <c r="F697" s="149">
        <v>130500</v>
      </c>
      <c r="G697" s="149">
        <v>53330</v>
      </c>
      <c r="H697" s="150" t="str">
        <f t="shared" si="30"/>
        <v>5</v>
      </c>
      <c r="I697" s="150" t="str">
        <f t="shared" si="31"/>
        <v>53</v>
      </c>
      <c r="J697" s="150" t="str">
        <f t="shared" si="32"/>
        <v>533</v>
      </c>
      <c r="K697" s="150" t="s">
        <v>8792</v>
      </c>
      <c r="L697" s="149" t="s">
        <v>297</v>
      </c>
      <c r="M697" s="151">
        <v>0</v>
      </c>
    </row>
    <row r="698" spans="1:13" s="149" customFormat="1" x14ac:dyDescent="0.25">
      <c r="A698" s="149" t="s">
        <v>7639</v>
      </c>
      <c r="B698" s="149" t="s">
        <v>1265</v>
      </c>
      <c r="C698" s="149">
        <v>11</v>
      </c>
      <c r="D698" s="149">
        <v>310</v>
      </c>
      <c r="E698" s="149">
        <v>0</v>
      </c>
      <c r="F698" s="149">
        <v>130500</v>
      </c>
      <c r="G698" s="149">
        <v>53510</v>
      </c>
      <c r="H698" s="150" t="str">
        <f t="shared" si="30"/>
        <v>5</v>
      </c>
      <c r="I698" s="150" t="str">
        <f t="shared" si="31"/>
        <v>53</v>
      </c>
      <c r="J698" s="150" t="str">
        <f t="shared" si="32"/>
        <v>535</v>
      </c>
      <c r="K698" s="150" t="s">
        <v>8793</v>
      </c>
      <c r="L698" s="149" t="s">
        <v>299</v>
      </c>
      <c r="M698" s="151">
        <v>0</v>
      </c>
    </row>
    <row r="699" spans="1:13" s="149" customFormat="1" x14ac:dyDescent="0.25">
      <c r="A699" s="149" t="s">
        <v>7639</v>
      </c>
      <c r="B699" s="149" t="s">
        <v>1266</v>
      </c>
      <c r="C699" s="149">
        <v>11</v>
      </c>
      <c r="D699" s="149">
        <v>310</v>
      </c>
      <c r="E699" s="149">
        <v>0</v>
      </c>
      <c r="F699" s="149">
        <v>130500</v>
      </c>
      <c r="G699" s="149">
        <v>53610</v>
      </c>
      <c r="H699" s="150" t="str">
        <f t="shared" si="30"/>
        <v>5</v>
      </c>
      <c r="I699" s="150" t="str">
        <f t="shared" si="31"/>
        <v>53</v>
      </c>
      <c r="J699" s="150" t="str">
        <f t="shared" si="32"/>
        <v>536</v>
      </c>
      <c r="K699" s="150" t="s">
        <v>8794</v>
      </c>
      <c r="L699" s="149" t="s">
        <v>301</v>
      </c>
      <c r="M699" s="151">
        <v>0</v>
      </c>
    </row>
    <row r="700" spans="1:13" s="149" customFormat="1" x14ac:dyDescent="0.25">
      <c r="A700" s="149" t="s">
        <v>7639</v>
      </c>
      <c r="B700" s="149" t="s">
        <v>1267</v>
      </c>
      <c r="C700" s="149">
        <v>11</v>
      </c>
      <c r="D700" s="149">
        <v>310</v>
      </c>
      <c r="E700" s="149">
        <v>0</v>
      </c>
      <c r="F700" s="149">
        <v>130500</v>
      </c>
      <c r="G700" s="149">
        <v>55630</v>
      </c>
      <c r="H700" s="150" t="str">
        <f t="shared" si="30"/>
        <v>5</v>
      </c>
      <c r="I700" s="150" t="str">
        <f t="shared" si="31"/>
        <v>55</v>
      </c>
      <c r="J700" s="150" t="str">
        <f t="shared" si="32"/>
        <v>556</v>
      </c>
      <c r="K700" s="150" t="s">
        <v>8200</v>
      </c>
      <c r="L700" s="149" t="s">
        <v>1268</v>
      </c>
      <c r="M700" s="151">
        <v>0</v>
      </c>
    </row>
    <row r="701" spans="1:13" s="149" customFormat="1" x14ac:dyDescent="0.25">
      <c r="A701" s="149" t="s">
        <v>7639</v>
      </c>
      <c r="B701" s="149" t="s">
        <v>1269</v>
      </c>
      <c r="C701" s="149">
        <v>11</v>
      </c>
      <c r="D701" s="149">
        <v>310</v>
      </c>
      <c r="E701" s="149">
        <v>0</v>
      </c>
      <c r="F701" s="149">
        <v>140100</v>
      </c>
      <c r="G701" s="149">
        <v>55300</v>
      </c>
      <c r="H701" s="150" t="str">
        <f t="shared" si="30"/>
        <v>5</v>
      </c>
      <c r="I701" s="150" t="str">
        <f t="shared" si="31"/>
        <v>55</v>
      </c>
      <c r="J701" s="150" t="str">
        <f t="shared" si="32"/>
        <v>553</v>
      </c>
      <c r="K701" s="150" t="s">
        <v>8087</v>
      </c>
      <c r="L701" s="149" t="s">
        <v>1270</v>
      </c>
      <c r="M701" s="151">
        <v>5000</v>
      </c>
    </row>
    <row r="702" spans="1:13" s="149" customFormat="1" x14ac:dyDescent="0.25">
      <c r="A702" s="149" t="s">
        <v>7639</v>
      </c>
      <c r="B702" s="149" t="s">
        <v>1271</v>
      </c>
      <c r="C702" s="149">
        <v>11</v>
      </c>
      <c r="D702" s="149">
        <v>310</v>
      </c>
      <c r="E702" s="149">
        <v>0</v>
      </c>
      <c r="F702" s="149">
        <v>150900</v>
      </c>
      <c r="G702" s="149">
        <v>51100</v>
      </c>
      <c r="H702" s="150" t="str">
        <f t="shared" si="30"/>
        <v>5</v>
      </c>
      <c r="I702" s="150" t="str">
        <f t="shared" si="31"/>
        <v>51</v>
      </c>
      <c r="J702" s="150" t="str">
        <f t="shared" si="32"/>
        <v>511</v>
      </c>
      <c r="K702" s="150" t="s">
        <v>8795</v>
      </c>
      <c r="L702" s="149" t="s">
        <v>1272</v>
      </c>
      <c r="M702" s="151">
        <v>85006</v>
      </c>
    </row>
    <row r="703" spans="1:13" s="149" customFormat="1" x14ac:dyDescent="0.25">
      <c r="A703" s="149" t="s">
        <v>7639</v>
      </c>
      <c r="B703" s="149" t="s">
        <v>1273</v>
      </c>
      <c r="C703" s="149">
        <v>11</v>
      </c>
      <c r="D703" s="149">
        <v>310</v>
      </c>
      <c r="E703" s="149">
        <v>0</v>
      </c>
      <c r="F703" s="149">
        <v>150900</v>
      </c>
      <c r="G703" s="149">
        <v>51310</v>
      </c>
      <c r="H703" s="150" t="str">
        <f t="shared" si="30"/>
        <v>5</v>
      </c>
      <c r="I703" s="150" t="str">
        <f t="shared" si="31"/>
        <v>51</v>
      </c>
      <c r="J703" s="150" t="str">
        <f t="shared" si="32"/>
        <v>513</v>
      </c>
      <c r="K703" s="150" t="s">
        <v>7651</v>
      </c>
      <c r="L703" s="149" t="s">
        <v>1274</v>
      </c>
      <c r="M703" s="151">
        <v>25758</v>
      </c>
    </row>
    <row r="704" spans="1:13" s="149" customFormat="1" x14ac:dyDescent="0.25">
      <c r="A704" s="149" t="s">
        <v>7639</v>
      </c>
      <c r="B704" s="149" t="s">
        <v>1275</v>
      </c>
      <c r="C704" s="149">
        <v>11</v>
      </c>
      <c r="D704" s="149">
        <v>310</v>
      </c>
      <c r="E704" s="149">
        <v>0</v>
      </c>
      <c r="F704" s="149">
        <v>150900</v>
      </c>
      <c r="G704" s="149">
        <v>51311</v>
      </c>
      <c r="H704" s="150" t="str">
        <f t="shared" si="30"/>
        <v>5</v>
      </c>
      <c r="I704" s="150" t="str">
        <f t="shared" si="31"/>
        <v>51</v>
      </c>
      <c r="J704" s="150" t="str">
        <f t="shared" si="32"/>
        <v>513</v>
      </c>
      <c r="K704" s="150" t="s">
        <v>7725</v>
      </c>
      <c r="L704" s="149" t="s">
        <v>1276</v>
      </c>
      <c r="M704" s="151">
        <v>3000</v>
      </c>
    </row>
    <row r="705" spans="1:13" s="149" customFormat="1" x14ac:dyDescent="0.25">
      <c r="A705" s="149" t="s">
        <v>7639</v>
      </c>
      <c r="B705" s="149" t="s">
        <v>1277</v>
      </c>
      <c r="C705" s="149">
        <v>11</v>
      </c>
      <c r="D705" s="149">
        <v>310</v>
      </c>
      <c r="E705" s="149">
        <v>0</v>
      </c>
      <c r="F705" s="149">
        <v>150900</v>
      </c>
      <c r="G705" s="149">
        <v>51412</v>
      </c>
      <c r="H705" s="150" t="str">
        <f t="shared" si="30"/>
        <v>5</v>
      </c>
      <c r="I705" s="150" t="str">
        <f t="shared" si="31"/>
        <v>51</v>
      </c>
      <c r="J705" s="150" t="str">
        <f t="shared" si="32"/>
        <v>514</v>
      </c>
      <c r="K705" s="150" t="s">
        <v>7786</v>
      </c>
      <c r="L705" s="149" t="s">
        <v>1278</v>
      </c>
      <c r="M705" s="151">
        <v>4000</v>
      </c>
    </row>
    <row r="706" spans="1:13" s="149" customFormat="1" x14ac:dyDescent="0.25">
      <c r="A706" s="149" t="s">
        <v>7639</v>
      </c>
      <c r="B706" s="149" t="s">
        <v>1279</v>
      </c>
      <c r="C706" s="149">
        <v>11</v>
      </c>
      <c r="D706" s="149">
        <v>310</v>
      </c>
      <c r="E706" s="149">
        <v>0</v>
      </c>
      <c r="F706" s="149">
        <v>150900</v>
      </c>
      <c r="G706" s="149">
        <v>53110</v>
      </c>
      <c r="H706" s="150" t="str">
        <f t="shared" si="30"/>
        <v>5</v>
      </c>
      <c r="I706" s="150" t="str">
        <f t="shared" si="31"/>
        <v>53</v>
      </c>
      <c r="J706" s="150" t="str">
        <f t="shared" si="32"/>
        <v>531</v>
      </c>
      <c r="K706" s="150" t="s">
        <v>8796</v>
      </c>
      <c r="L706" s="149" t="s">
        <v>1280</v>
      </c>
      <c r="M706" s="151">
        <v>18372.89</v>
      </c>
    </row>
    <row r="707" spans="1:13" s="149" customFormat="1" x14ac:dyDescent="0.25">
      <c r="A707" s="149" t="s">
        <v>7639</v>
      </c>
      <c r="B707" s="149" t="s">
        <v>1281</v>
      </c>
      <c r="C707" s="149">
        <v>11</v>
      </c>
      <c r="D707" s="149">
        <v>310</v>
      </c>
      <c r="E707" s="149">
        <v>0</v>
      </c>
      <c r="F707" s="149">
        <v>150900</v>
      </c>
      <c r="G707" s="149">
        <v>53120</v>
      </c>
      <c r="H707" s="150" t="str">
        <f t="shared" ref="H707:H770" si="33">LEFT(G707,1)</f>
        <v>5</v>
      </c>
      <c r="I707" s="150" t="str">
        <f t="shared" ref="I707:I770" si="34">LEFT(G707,2)</f>
        <v>53</v>
      </c>
      <c r="J707" s="150" t="str">
        <f t="shared" ref="J707:J770" si="35">LEFT(G707,3)</f>
        <v>531</v>
      </c>
      <c r="K707" s="150" t="s">
        <v>8797</v>
      </c>
      <c r="L707" s="149" t="s">
        <v>1282</v>
      </c>
      <c r="M707" s="151">
        <v>646</v>
      </c>
    </row>
    <row r="708" spans="1:13" s="149" customFormat="1" x14ac:dyDescent="0.25">
      <c r="A708" s="149" t="s">
        <v>7639</v>
      </c>
      <c r="B708" s="149" t="s">
        <v>1283</v>
      </c>
      <c r="C708" s="149">
        <v>11</v>
      </c>
      <c r="D708" s="149">
        <v>310</v>
      </c>
      <c r="E708" s="149">
        <v>0</v>
      </c>
      <c r="F708" s="149">
        <v>150900</v>
      </c>
      <c r="G708" s="149">
        <v>53330</v>
      </c>
      <c r="H708" s="150" t="str">
        <f t="shared" si="33"/>
        <v>5</v>
      </c>
      <c r="I708" s="150" t="str">
        <f t="shared" si="34"/>
        <v>53</v>
      </c>
      <c r="J708" s="150" t="str">
        <f t="shared" si="35"/>
        <v>533</v>
      </c>
      <c r="K708" s="150" t="s">
        <v>8798</v>
      </c>
      <c r="L708" s="149" t="s">
        <v>1284</v>
      </c>
      <c r="M708" s="151">
        <v>1649.58</v>
      </c>
    </row>
    <row r="709" spans="1:13" s="149" customFormat="1" x14ac:dyDescent="0.25">
      <c r="A709" s="149" t="s">
        <v>7639</v>
      </c>
      <c r="B709" s="149" t="s">
        <v>1285</v>
      </c>
      <c r="C709" s="149">
        <v>11</v>
      </c>
      <c r="D709" s="149">
        <v>310</v>
      </c>
      <c r="E709" s="149">
        <v>0</v>
      </c>
      <c r="F709" s="149">
        <v>150900</v>
      </c>
      <c r="G709" s="149">
        <v>53340</v>
      </c>
      <c r="H709" s="150" t="str">
        <f t="shared" si="33"/>
        <v>5</v>
      </c>
      <c r="I709" s="150" t="str">
        <f t="shared" si="34"/>
        <v>53</v>
      </c>
      <c r="J709" s="150" t="str">
        <f t="shared" si="35"/>
        <v>533</v>
      </c>
      <c r="K709" s="150" t="s">
        <v>8799</v>
      </c>
      <c r="L709" s="149" t="s">
        <v>1286</v>
      </c>
      <c r="M709" s="151">
        <v>58</v>
      </c>
    </row>
    <row r="710" spans="1:13" s="149" customFormat="1" x14ac:dyDescent="0.25">
      <c r="A710" s="149" t="s">
        <v>7639</v>
      </c>
      <c r="B710" s="149" t="s">
        <v>1287</v>
      </c>
      <c r="C710" s="149">
        <v>11</v>
      </c>
      <c r="D710" s="149">
        <v>310</v>
      </c>
      <c r="E710" s="149">
        <v>0</v>
      </c>
      <c r="F710" s="149">
        <v>150900</v>
      </c>
      <c r="G710" s="149">
        <v>53410</v>
      </c>
      <c r="H710" s="150" t="str">
        <f t="shared" si="33"/>
        <v>5</v>
      </c>
      <c r="I710" s="150" t="str">
        <f t="shared" si="34"/>
        <v>53</v>
      </c>
      <c r="J710" s="150" t="str">
        <f t="shared" si="35"/>
        <v>534</v>
      </c>
      <c r="K710" s="150" t="s">
        <v>8800</v>
      </c>
      <c r="L710" s="149" t="s">
        <v>1288</v>
      </c>
      <c r="M710" s="151">
        <v>25240.73</v>
      </c>
    </row>
    <row r="711" spans="1:13" s="149" customFormat="1" x14ac:dyDescent="0.25">
      <c r="A711" s="149" t="s">
        <v>7639</v>
      </c>
      <c r="B711" s="149" t="s">
        <v>1289</v>
      </c>
      <c r="C711" s="149">
        <v>11</v>
      </c>
      <c r="D711" s="149">
        <v>310</v>
      </c>
      <c r="E711" s="149">
        <v>0</v>
      </c>
      <c r="F711" s="149">
        <v>150900</v>
      </c>
      <c r="G711" s="149">
        <v>53510</v>
      </c>
      <c r="H711" s="150" t="str">
        <f t="shared" si="33"/>
        <v>5</v>
      </c>
      <c r="I711" s="150" t="str">
        <f t="shared" si="34"/>
        <v>53</v>
      </c>
      <c r="J711" s="150" t="str">
        <f t="shared" si="35"/>
        <v>535</v>
      </c>
      <c r="K711" s="150" t="s">
        <v>8801</v>
      </c>
      <c r="L711" s="149" t="s">
        <v>1290</v>
      </c>
      <c r="M711" s="151">
        <v>56.88</v>
      </c>
    </row>
    <row r="712" spans="1:13" s="149" customFormat="1" x14ac:dyDescent="0.25">
      <c r="A712" s="149" t="s">
        <v>7639</v>
      </c>
      <c r="B712" s="149" t="s">
        <v>1291</v>
      </c>
      <c r="C712" s="149">
        <v>11</v>
      </c>
      <c r="D712" s="149">
        <v>310</v>
      </c>
      <c r="E712" s="149">
        <v>0</v>
      </c>
      <c r="F712" s="149">
        <v>150900</v>
      </c>
      <c r="G712" s="149">
        <v>53520</v>
      </c>
      <c r="H712" s="150" t="str">
        <f t="shared" si="33"/>
        <v>5</v>
      </c>
      <c r="I712" s="150" t="str">
        <f t="shared" si="34"/>
        <v>53</v>
      </c>
      <c r="J712" s="150" t="str">
        <f t="shared" si="35"/>
        <v>535</v>
      </c>
      <c r="K712" s="150" t="s">
        <v>8802</v>
      </c>
      <c r="L712" s="149" t="s">
        <v>1292</v>
      </c>
      <c r="M712" s="151">
        <v>2</v>
      </c>
    </row>
    <row r="713" spans="1:13" s="149" customFormat="1" x14ac:dyDescent="0.25">
      <c r="A713" s="149" t="s">
        <v>7639</v>
      </c>
      <c r="B713" s="149" t="s">
        <v>1293</v>
      </c>
      <c r="C713" s="149">
        <v>11</v>
      </c>
      <c r="D713" s="149">
        <v>310</v>
      </c>
      <c r="E713" s="149">
        <v>0</v>
      </c>
      <c r="F713" s="149">
        <v>150900</v>
      </c>
      <c r="G713" s="149">
        <v>53610</v>
      </c>
      <c r="H713" s="150" t="str">
        <f t="shared" si="33"/>
        <v>5</v>
      </c>
      <c r="I713" s="150" t="str">
        <f t="shared" si="34"/>
        <v>53</v>
      </c>
      <c r="J713" s="150" t="str">
        <f t="shared" si="35"/>
        <v>536</v>
      </c>
      <c r="K713" s="150" t="s">
        <v>8803</v>
      </c>
      <c r="L713" s="149" t="s">
        <v>1294</v>
      </c>
      <c r="M713" s="151">
        <v>2151.04</v>
      </c>
    </row>
    <row r="714" spans="1:13" s="149" customFormat="1" x14ac:dyDescent="0.25">
      <c r="A714" s="149" t="s">
        <v>7639</v>
      </c>
      <c r="B714" s="149" t="s">
        <v>1295</v>
      </c>
      <c r="C714" s="149">
        <v>11</v>
      </c>
      <c r="D714" s="149">
        <v>310</v>
      </c>
      <c r="E714" s="149">
        <v>0</v>
      </c>
      <c r="F714" s="149">
        <v>150900</v>
      </c>
      <c r="G714" s="149">
        <v>53620</v>
      </c>
      <c r="H714" s="150" t="str">
        <f t="shared" si="33"/>
        <v>5</v>
      </c>
      <c r="I714" s="150" t="str">
        <f t="shared" si="34"/>
        <v>53</v>
      </c>
      <c r="J714" s="150" t="str">
        <f t="shared" si="35"/>
        <v>536</v>
      </c>
      <c r="K714" s="150" t="s">
        <v>8804</v>
      </c>
      <c r="L714" s="149" t="s">
        <v>1296</v>
      </c>
      <c r="M714" s="151">
        <v>75.63</v>
      </c>
    </row>
    <row r="715" spans="1:13" s="149" customFormat="1" x14ac:dyDescent="0.25">
      <c r="A715" s="149" t="s">
        <v>7639</v>
      </c>
      <c r="B715" s="149" t="s">
        <v>1297</v>
      </c>
      <c r="C715" s="149">
        <v>11</v>
      </c>
      <c r="D715" s="149">
        <v>310</v>
      </c>
      <c r="E715" s="149">
        <v>0</v>
      </c>
      <c r="F715" s="149">
        <v>150900</v>
      </c>
      <c r="G715" s="149">
        <v>55630</v>
      </c>
      <c r="H715" s="150" t="str">
        <f t="shared" si="33"/>
        <v>5</v>
      </c>
      <c r="I715" s="150" t="str">
        <f t="shared" si="34"/>
        <v>55</v>
      </c>
      <c r="J715" s="150" t="str">
        <f t="shared" si="35"/>
        <v>556</v>
      </c>
      <c r="K715" s="150" t="s">
        <v>8201</v>
      </c>
      <c r="L715" s="149" t="s">
        <v>1298</v>
      </c>
      <c r="M715" s="151">
        <v>25</v>
      </c>
    </row>
    <row r="716" spans="1:13" s="149" customFormat="1" x14ac:dyDescent="0.25">
      <c r="A716" s="149" t="s">
        <v>7639</v>
      </c>
      <c r="B716" s="149" t="s">
        <v>1299</v>
      </c>
      <c r="C716" s="149">
        <v>11</v>
      </c>
      <c r="D716" s="149">
        <v>310</v>
      </c>
      <c r="E716" s="149">
        <v>0</v>
      </c>
      <c r="F716" s="149">
        <v>200100</v>
      </c>
      <c r="G716" s="149">
        <v>51100</v>
      </c>
      <c r="H716" s="150" t="str">
        <f t="shared" si="33"/>
        <v>5</v>
      </c>
      <c r="I716" s="150" t="str">
        <f t="shared" si="34"/>
        <v>51</v>
      </c>
      <c r="J716" s="150" t="str">
        <f t="shared" si="35"/>
        <v>511</v>
      </c>
      <c r="K716" s="150" t="s">
        <v>8805</v>
      </c>
      <c r="L716" s="149" t="s">
        <v>1300</v>
      </c>
      <c r="M716" s="151">
        <v>195597</v>
      </c>
    </row>
    <row r="717" spans="1:13" s="149" customFormat="1" x14ac:dyDescent="0.25">
      <c r="A717" s="149" t="s">
        <v>7639</v>
      </c>
      <c r="B717" s="149" t="s">
        <v>1301</v>
      </c>
      <c r="C717" s="149">
        <v>11</v>
      </c>
      <c r="D717" s="149">
        <v>310</v>
      </c>
      <c r="E717" s="149">
        <v>0</v>
      </c>
      <c r="F717" s="149">
        <v>200100</v>
      </c>
      <c r="G717" s="149">
        <v>51310</v>
      </c>
      <c r="H717" s="150" t="str">
        <f t="shared" si="33"/>
        <v>5</v>
      </c>
      <c r="I717" s="150" t="str">
        <f t="shared" si="34"/>
        <v>51</v>
      </c>
      <c r="J717" s="150" t="str">
        <f t="shared" si="35"/>
        <v>513</v>
      </c>
      <c r="K717" s="150" t="s">
        <v>7652</v>
      </c>
      <c r="L717" s="149" t="s">
        <v>1302</v>
      </c>
      <c r="M717" s="151">
        <v>4293</v>
      </c>
    </row>
    <row r="718" spans="1:13" s="149" customFormat="1" x14ac:dyDescent="0.25">
      <c r="A718" s="149" t="s">
        <v>7639</v>
      </c>
      <c r="B718" s="149" t="s">
        <v>1303</v>
      </c>
      <c r="C718" s="149">
        <v>11</v>
      </c>
      <c r="D718" s="149">
        <v>310</v>
      </c>
      <c r="E718" s="149">
        <v>0</v>
      </c>
      <c r="F718" s="149">
        <v>200100</v>
      </c>
      <c r="G718" s="149">
        <v>51311</v>
      </c>
      <c r="H718" s="150" t="str">
        <f t="shared" si="33"/>
        <v>5</v>
      </c>
      <c r="I718" s="150" t="str">
        <f t="shared" si="34"/>
        <v>51</v>
      </c>
      <c r="J718" s="150" t="str">
        <f t="shared" si="35"/>
        <v>513</v>
      </c>
      <c r="K718" s="150" t="s">
        <v>7726</v>
      </c>
      <c r="L718" s="149" t="s">
        <v>363</v>
      </c>
      <c r="M718" s="151">
        <v>186940</v>
      </c>
    </row>
    <row r="719" spans="1:13" s="149" customFormat="1" x14ac:dyDescent="0.25">
      <c r="A719" s="149" t="s">
        <v>7639</v>
      </c>
      <c r="B719" s="149" t="s">
        <v>1304</v>
      </c>
      <c r="C719" s="149">
        <v>11</v>
      </c>
      <c r="D719" s="149">
        <v>310</v>
      </c>
      <c r="E719" s="149">
        <v>0</v>
      </c>
      <c r="F719" s="149">
        <v>200100</v>
      </c>
      <c r="G719" s="149">
        <v>51412</v>
      </c>
      <c r="H719" s="150" t="str">
        <f t="shared" si="33"/>
        <v>5</v>
      </c>
      <c r="I719" s="150" t="str">
        <f t="shared" si="34"/>
        <v>51</v>
      </c>
      <c r="J719" s="150" t="str">
        <f t="shared" si="35"/>
        <v>514</v>
      </c>
      <c r="K719" s="150" t="s">
        <v>7787</v>
      </c>
      <c r="L719" s="149" t="s">
        <v>1305</v>
      </c>
      <c r="M719" s="151">
        <v>300</v>
      </c>
    </row>
    <row r="720" spans="1:13" s="149" customFormat="1" x14ac:dyDescent="0.25">
      <c r="A720" s="149" t="s">
        <v>7639</v>
      </c>
      <c r="B720" s="149" t="s">
        <v>1306</v>
      </c>
      <c r="C720" s="149">
        <v>11</v>
      </c>
      <c r="D720" s="149">
        <v>310</v>
      </c>
      <c r="E720" s="149">
        <v>0</v>
      </c>
      <c r="F720" s="149">
        <v>200100</v>
      </c>
      <c r="G720" s="149">
        <v>53110</v>
      </c>
      <c r="H720" s="150" t="str">
        <f t="shared" si="33"/>
        <v>5</v>
      </c>
      <c r="I720" s="150" t="str">
        <f t="shared" si="34"/>
        <v>53</v>
      </c>
      <c r="J720" s="150" t="str">
        <f t="shared" si="35"/>
        <v>531</v>
      </c>
      <c r="K720" s="150" t="s">
        <v>8806</v>
      </c>
      <c r="L720" s="149" t="s">
        <v>365</v>
      </c>
      <c r="M720" s="151">
        <v>62473.04</v>
      </c>
    </row>
    <row r="721" spans="1:13" s="149" customFormat="1" x14ac:dyDescent="0.25">
      <c r="A721" s="149" t="s">
        <v>7639</v>
      </c>
      <c r="B721" s="149" t="s">
        <v>1307</v>
      </c>
      <c r="C721" s="149">
        <v>11</v>
      </c>
      <c r="D721" s="149">
        <v>310</v>
      </c>
      <c r="E721" s="149">
        <v>0</v>
      </c>
      <c r="F721" s="149">
        <v>200100</v>
      </c>
      <c r="G721" s="149">
        <v>53120</v>
      </c>
      <c r="H721" s="150" t="str">
        <f t="shared" si="33"/>
        <v>5</v>
      </c>
      <c r="I721" s="150" t="str">
        <f t="shared" si="34"/>
        <v>53</v>
      </c>
      <c r="J721" s="150" t="str">
        <f t="shared" si="35"/>
        <v>531</v>
      </c>
      <c r="K721" s="150" t="s">
        <v>8807</v>
      </c>
      <c r="L721" s="149" t="s">
        <v>1308</v>
      </c>
      <c r="M721" s="151">
        <v>48.45</v>
      </c>
    </row>
    <row r="722" spans="1:13" s="149" customFormat="1" x14ac:dyDescent="0.25">
      <c r="A722" s="149" t="s">
        <v>7639</v>
      </c>
      <c r="B722" s="149" t="s">
        <v>1309</v>
      </c>
      <c r="C722" s="149">
        <v>11</v>
      </c>
      <c r="D722" s="149">
        <v>310</v>
      </c>
      <c r="E722" s="149">
        <v>0</v>
      </c>
      <c r="F722" s="149">
        <v>200100</v>
      </c>
      <c r="G722" s="149">
        <v>53310</v>
      </c>
      <c r="H722" s="150" t="str">
        <f t="shared" si="33"/>
        <v>5</v>
      </c>
      <c r="I722" s="150" t="str">
        <f t="shared" si="34"/>
        <v>53</v>
      </c>
      <c r="J722" s="150" t="str">
        <f t="shared" si="35"/>
        <v>533</v>
      </c>
      <c r="K722" s="150" t="s">
        <v>8808</v>
      </c>
      <c r="L722" s="149" t="s">
        <v>367</v>
      </c>
      <c r="M722" s="151">
        <v>0</v>
      </c>
    </row>
    <row r="723" spans="1:13" s="149" customFormat="1" x14ac:dyDescent="0.25">
      <c r="A723" s="149" t="s">
        <v>7639</v>
      </c>
      <c r="B723" s="149" t="s">
        <v>1310</v>
      </c>
      <c r="C723" s="149">
        <v>11</v>
      </c>
      <c r="D723" s="149">
        <v>310</v>
      </c>
      <c r="E723" s="149">
        <v>0</v>
      </c>
      <c r="F723" s="149">
        <v>200100</v>
      </c>
      <c r="G723" s="149">
        <v>53330</v>
      </c>
      <c r="H723" s="150" t="str">
        <f t="shared" si="33"/>
        <v>5</v>
      </c>
      <c r="I723" s="150" t="str">
        <f t="shared" si="34"/>
        <v>53</v>
      </c>
      <c r="J723" s="150" t="str">
        <f t="shared" si="35"/>
        <v>533</v>
      </c>
      <c r="K723" s="150" t="s">
        <v>8809</v>
      </c>
      <c r="L723" s="149" t="s">
        <v>369</v>
      </c>
      <c r="M723" s="151">
        <v>5609.03</v>
      </c>
    </row>
    <row r="724" spans="1:13" s="149" customFormat="1" x14ac:dyDescent="0.25">
      <c r="A724" s="149" t="s">
        <v>7639</v>
      </c>
      <c r="B724" s="149" t="s">
        <v>1311</v>
      </c>
      <c r="C724" s="149">
        <v>11</v>
      </c>
      <c r="D724" s="149">
        <v>310</v>
      </c>
      <c r="E724" s="149">
        <v>0</v>
      </c>
      <c r="F724" s="149">
        <v>200100</v>
      </c>
      <c r="G724" s="149">
        <v>53340</v>
      </c>
      <c r="H724" s="150" t="str">
        <f t="shared" si="33"/>
        <v>5</v>
      </c>
      <c r="I724" s="150" t="str">
        <f t="shared" si="34"/>
        <v>53</v>
      </c>
      <c r="J724" s="150" t="str">
        <f t="shared" si="35"/>
        <v>533</v>
      </c>
      <c r="K724" s="150" t="s">
        <v>8810</v>
      </c>
      <c r="L724" s="149" t="s">
        <v>1312</v>
      </c>
      <c r="M724" s="151">
        <v>4.3499999999999996</v>
      </c>
    </row>
    <row r="725" spans="1:13" s="149" customFormat="1" x14ac:dyDescent="0.25">
      <c r="A725" s="149" t="s">
        <v>7639</v>
      </c>
      <c r="B725" s="149" t="s">
        <v>1313</v>
      </c>
      <c r="C725" s="149">
        <v>11</v>
      </c>
      <c r="D725" s="149">
        <v>310</v>
      </c>
      <c r="E725" s="149">
        <v>0</v>
      </c>
      <c r="F725" s="149">
        <v>200100</v>
      </c>
      <c r="G725" s="149">
        <v>53410</v>
      </c>
      <c r="H725" s="150" t="str">
        <f t="shared" si="33"/>
        <v>5</v>
      </c>
      <c r="I725" s="150" t="str">
        <f t="shared" si="34"/>
        <v>53</v>
      </c>
      <c r="J725" s="150" t="str">
        <f t="shared" si="35"/>
        <v>534</v>
      </c>
      <c r="K725" s="150" t="s">
        <v>8811</v>
      </c>
      <c r="L725" s="149" t="s">
        <v>1314</v>
      </c>
      <c r="M725" s="151">
        <v>39645.019999999997</v>
      </c>
    </row>
    <row r="726" spans="1:13" s="149" customFormat="1" x14ac:dyDescent="0.25">
      <c r="A726" s="149" t="s">
        <v>7639</v>
      </c>
      <c r="B726" s="149" t="s">
        <v>1315</v>
      </c>
      <c r="C726" s="149">
        <v>11</v>
      </c>
      <c r="D726" s="149">
        <v>310</v>
      </c>
      <c r="E726" s="149">
        <v>0</v>
      </c>
      <c r="F726" s="149">
        <v>200100</v>
      </c>
      <c r="G726" s="149">
        <v>53510</v>
      </c>
      <c r="H726" s="150" t="str">
        <f t="shared" si="33"/>
        <v>5</v>
      </c>
      <c r="I726" s="150" t="str">
        <f t="shared" si="34"/>
        <v>53</v>
      </c>
      <c r="J726" s="150" t="str">
        <f t="shared" si="35"/>
        <v>535</v>
      </c>
      <c r="K726" s="150" t="s">
        <v>8812</v>
      </c>
      <c r="L726" s="149" t="s">
        <v>371</v>
      </c>
      <c r="M726" s="151">
        <v>193.42</v>
      </c>
    </row>
    <row r="727" spans="1:13" s="149" customFormat="1" x14ac:dyDescent="0.25">
      <c r="A727" s="149" t="s">
        <v>7639</v>
      </c>
      <c r="B727" s="149" t="s">
        <v>1316</v>
      </c>
      <c r="C727" s="149">
        <v>11</v>
      </c>
      <c r="D727" s="149">
        <v>310</v>
      </c>
      <c r="E727" s="149">
        <v>0</v>
      </c>
      <c r="F727" s="149">
        <v>200100</v>
      </c>
      <c r="G727" s="149">
        <v>53520</v>
      </c>
      <c r="H727" s="150" t="str">
        <f t="shared" si="33"/>
        <v>5</v>
      </c>
      <c r="I727" s="150" t="str">
        <f t="shared" si="34"/>
        <v>53</v>
      </c>
      <c r="J727" s="150" t="str">
        <f t="shared" si="35"/>
        <v>535</v>
      </c>
      <c r="K727" s="150" t="s">
        <v>8813</v>
      </c>
      <c r="L727" s="149" t="s">
        <v>1317</v>
      </c>
      <c r="M727" s="151">
        <v>0.15</v>
      </c>
    </row>
    <row r="728" spans="1:13" s="149" customFormat="1" x14ac:dyDescent="0.25">
      <c r="A728" s="149" t="s">
        <v>7639</v>
      </c>
      <c r="B728" s="149" t="s">
        <v>1318</v>
      </c>
      <c r="C728" s="149">
        <v>11</v>
      </c>
      <c r="D728" s="149">
        <v>310</v>
      </c>
      <c r="E728" s="149">
        <v>0</v>
      </c>
      <c r="F728" s="149">
        <v>200100</v>
      </c>
      <c r="G728" s="149">
        <v>53610</v>
      </c>
      <c r="H728" s="150" t="str">
        <f t="shared" si="33"/>
        <v>5</v>
      </c>
      <c r="I728" s="150" t="str">
        <f t="shared" si="34"/>
        <v>53</v>
      </c>
      <c r="J728" s="150" t="str">
        <f t="shared" si="35"/>
        <v>536</v>
      </c>
      <c r="K728" s="150" t="s">
        <v>8814</v>
      </c>
      <c r="L728" s="149" t="s">
        <v>373</v>
      </c>
      <c r="M728" s="151">
        <v>7314.18</v>
      </c>
    </row>
    <row r="729" spans="1:13" s="149" customFormat="1" x14ac:dyDescent="0.25">
      <c r="A729" s="149" t="s">
        <v>7639</v>
      </c>
      <c r="B729" s="149" t="s">
        <v>1319</v>
      </c>
      <c r="C729" s="149">
        <v>11</v>
      </c>
      <c r="D729" s="149">
        <v>310</v>
      </c>
      <c r="E729" s="149">
        <v>0</v>
      </c>
      <c r="F729" s="149">
        <v>200100</v>
      </c>
      <c r="G729" s="149">
        <v>53620</v>
      </c>
      <c r="H729" s="150" t="str">
        <f t="shared" si="33"/>
        <v>5</v>
      </c>
      <c r="I729" s="150" t="str">
        <f t="shared" si="34"/>
        <v>53</v>
      </c>
      <c r="J729" s="150" t="str">
        <f t="shared" si="35"/>
        <v>536</v>
      </c>
      <c r="K729" s="150" t="s">
        <v>8815</v>
      </c>
      <c r="L729" s="149" t="s">
        <v>1320</v>
      </c>
      <c r="M729" s="151">
        <v>5.67</v>
      </c>
    </row>
    <row r="730" spans="1:13" s="149" customFormat="1" x14ac:dyDescent="0.25">
      <c r="A730" s="149" t="s">
        <v>7639</v>
      </c>
      <c r="B730" s="149" t="s">
        <v>1321</v>
      </c>
      <c r="C730" s="149">
        <v>11</v>
      </c>
      <c r="D730" s="149">
        <v>310</v>
      </c>
      <c r="E730" s="149">
        <v>0</v>
      </c>
      <c r="F730" s="149">
        <v>200100</v>
      </c>
      <c r="G730" s="149">
        <v>53910</v>
      </c>
      <c r="H730" s="150" t="str">
        <f t="shared" si="33"/>
        <v>5</v>
      </c>
      <c r="I730" s="150" t="str">
        <f t="shared" si="34"/>
        <v>53</v>
      </c>
      <c r="J730" s="150" t="str">
        <f t="shared" si="35"/>
        <v>539</v>
      </c>
      <c r="K730" s="150" t="s">
        <v>8816</v>
      </c>
      <c r="L730" s="149" t="s">
        <v>1322</v>
      </c>
      <c r="M730" s="151">
        <v>2400</v>
      </c>
    </row>
    <row r="731" spans="1:13" s="149" customFormat="1" x14ac:dyDescent="0.25">
      <c r="A731" s="149" t="s">
        <v>7639</v>
      </c>
      <c r="B731" s="149" t="s">
        <v>1323</v>
      </c>
      <c r="C731" s="149">
        <v>11</v>
      </c>
      <c r="D731" s="149">
        <v>310</v>
      </c>
      <c r="E731" s="149">
        <v>0</v>
      </c>
      <c r="F731" s="149">
        <v>200100</v>
      </c>
      <c r="G731" s="149">
        <v>55630</v>
      </c>
      <c r="H731" s="150" t="str">
        <f t="shared" si="33"/>
        <v>5</v>
      </c>
      <c r="I731" s="150" t="str">
        <f t="shared" si="34"/>
        <v>55</v>
      </c>
      <c r="J731" s="150" t="str">
        <f t="shared" si="35"/>
        <v>556</v>
      </c>
      <c r="K731" s="150" t="s">
        <v>8202</v>
      </c>
      <c r="L731" s="149" t="s">
        <v>1324</v>
      </c>
      <c r="M731" s="151">
        <v>250</v>
      </c>
    </row>
    <row r="732" spans="1:13" s="149" customFormat="1" x14ac:dyDescent="0.25">
      <c r="A732" s="149" t="s">
        <v>7639</v>
      </c>
      <c r="B732" s="149" t="s">
        <v>1325</v>
      </c>
      <c r="C732" s="149">
        <v>11</v>
      </c>
      <c r="D732" s="149">
        <v>310</v>
      </c>
      <c r="E732" s="149">
        <v>0</v>
      </c>
      <c r="F732" s="149">
        <v>210440</v>
      </c>
      <c r="G732" s="149">
        <v>51100</v>
      </c>
      <c r="H732" s="150" t="str">
        <f t="shared" si="33"/>
        <v>5</v>
      </c>
      <c r="I732" s="150" t="str">
        <f t="shared" si="34"/>
        <v>51</v>
      </c>
      <c r="J732" s="150" t="str">
        <f t="shared" si="35"/>
        <v>511</v>
      </c>
      <c r="K732" s="150" t="s">
        <v>8817</v>
      </c>
      <c r="L732" s="149" t="s">
        <v>1326</v>
      </c>
      <c r="M732" s="151">
        <v>0</v>
      </c>
    </row>
    <row r="733" spans="1:13" s="149" customFormat="1" x14ac:dyDescent="0.25">
      <c r="A733" s="149" t="s">
        <v>7639</v>
      </c>
      <c r="B733" s="149" t="s">
        <v>1327</v>
      </c>
      <c r="C733" s="149">
        <v>11</v>
      </c>
      <c r="D733" s="149">
        <v>310</v>
      </c>
      <c r="E733" s="149">
        <v>0</v>
      </c>
      <c r="F733" s="149">
        <v>210440</v>
      </c>
      <c r="G733" s="149">
        <v>53110</v>
      </c>
      <c r="H733" s="150" t="str">
        <f t="shared" si="33"/>
        <v>5</v>
      </c>
      <c r="I733" s="150" t="str">
        <f t="shared" si="34"/>
        <v>53</v>
      </c>
      <c r="J733" s="150" t="str">
        <f t="shared" si="35"/>
        <v>531</v>
      </c>
      <c r="K733" s="150" t="s">
        <v>8818</v>
      </c>
      <c r="L733" s="149" t="s">
        <v>1328</v>
      </c>
      <c r="M733" s="151">
        <v>0</v>
      </c>
    </row>
    <row r="734" spans="1:13" s="149" customFormat="1" x14ac:dyDescent="0.25">
      <c r="A734" s="149" t="s">
        <v>7639</v>
      </c>
      <c r="B734" s="149" t="s">
        <v>1329</v>
      </c>
      <c r="C734" s="149">
        <v>11</v>
      </c>
      <c r="D734" s="149">
        <v>310</v>
      </c>
      <c r="E734" s="149">
        <v>0</v>
      </c>
      <c r="F734" s="149">
        <v>210440</v>
      </c>
      <c r="G734" s="149">
        <v>53330</v>
      </c>
      <c r="H734" s="150" t="str">
        <f t="shared" si="33"/>
        <v>5</v>
      </c>
      <c r="I734" s="150" t="str">
        <f t="shared" si="34"/>
        <v>53</v>
      </c>
      <c r="J734" s="150" t="str">
        <f t="shared" si="35"/>
        <v>533</v>
      </c>
      <c r="K734" s="150" t="s">
        <v>8819</v>
      </c>
      <c r="L734" s="149" t="s">
        <v>1330</v>
      </c>
      <c r="M734" s="151">
        <v>0</v>
      </c>
    </row>
    <row r="735" spans="1:13" s="149" customFormat="1" x14ac:dyDescent="0.25">
      <c r="A735" s="149" t="s">
        <v>7639</v>
      </c>
      <c r="B735" s="149" t="s">
        <v>1331</v>
      </c>
      <c r="C735" s="149">
        <v>11</v>
      </c>
      <c r="D735" s="149">
        <v>310</v>
      </c>
      <c r="E735" s="149">
        <v>0</v>
      </c>
      <c r="F735" s="149">
        <v>210440</v>
      </c>
      <c r="G735" s="149">
        <v>53410</v>
      </c>
      <c r="H735" s="150" t="str">
        <f t="shared" si="33"/>
        <v>5</v>
      </c>
      <c r="I735" s="150" t="str">
        <f t="shared" si="34"/>
        <v>53</v>
      </c>
      <c r="J735" s="150" t="str">
        <f t="shared" si="35"/>
        <v>534</v>
      </c>
      <c r="K735" s="150" t="s">
        <v>8820</v>
      </c>
      <c r="L735" s="149" t="s">
        <v>1332</v>
      </c>
      <c r="M735" s="151">
        <v>0</v>
      </c>
    </row>
    <row r="736" spans="1:13" s="149" customFormat="1" x14ac:dyDescent="0.25">
      <c r="A736" s="149" t="s">
        <v>7639</v>
      </c>
      <c r="B736" s="149" t="s">
        <v>1333</v>
      </c>
      <c r="C736" s="149">
        <v>11</v>
      </c>
      <c r="D736" s="149">
        <v>310</v>
      </c>
      <c r="E736" s="149">
        <v>0</v>
      </c>
      <c r="F736" s="149">
        <v>210440</v>
      </c>
      <c r="G736" s="149">
        <v>53510</v>
      </c>
      <c r="H736" s="150" t="str">
        <f t="shared" si="33"/>
        <v>5</v>
      </c>
      <c r="I736" s="150" t="str">
        <f t="shared" si="34"/>
        <v>53</v>
      </c>
      <c r="J736" s="150" t="str">
        <f t="shared" si="35"/>
        <v>535</v>
      </c>
      <c r="K736" s="150" t="s">
        <v>8821</v>
      </c>
      <c r="L736" s="149" t="s">
        <v>1334</v>
      </c>
      <c r="M736" s="151">
        <v>0</v>
      </c>
    </row>
    <row r="737" spans="1:13" s="149" customFormat="1" x14ac:dyDescent="0.25">
      <c r="A737" s="149" t="s">
        <v>7639</v>
      </c>
      <c r="B737" s="149" t="s">
        <v>1335</v>
      </c>
      <c r="C737" s="149">
        <v>11</v>
      </c>
      <c r="D737" s="149">
        <v>310</v>
      </c>
      <c r="E737" s="149">
        <v>0</v>
      </c>
      <c r="F737" s="149">
        <v>210440</v>
      </c>
      <c r="G737" s="149">
        <v>53610</v>
      </c>
      <c r="H737" s="150" t="str">
        <f t="shared" si="33"/>
        <v>5</v>
      </c>
      <c r="I737" s="150" t="str">
        <f t="shared" si="34"/>
        <v>53</v>
      </c>
      <c r="J737" s="150" t="str">
        <f t="shared" si="35"/>
        <v>536</v>
      </c>
      <c r="K737" s="150" t="s">
        <v>8822</v>
      </c>
      <c r="L737" s="149" t="s">
        <v>1336</v>
      </c>
      <c r="M737" s="151">
        <v>0</v>
      </c>
    </row>
    <row r="738" spans="1:13" s="149" customFormat="1" x14ac:dyDescent="0.25">
      <c r="A738" s="149" t="s">
        <v>7639</v>
      </c>
      <c r="B738" s="149" t="s">
        <v>1337</v>
      </c>
      <c r="C738" s="149">
        <v>11</v>
      </c>
      <c r="D738" s="149">
        <v>310</v>
      </c>
      <c r="E738" s="149">
        <v>0</v>
      </c>
      <c r="F738" s="149">
        <v>210440</v>
      </c>
      <c r="G738" s="149">
        <v>55630</v>
      </c>
      <c r="H738" s="150" t="str">
        <f t="shared" si="33"/>
        <v>5</v>
      </c>
      <c r="I738" s="150" t="str">
        <f t="shared" si="34"/>
        <v>55</v>
      </c>
      <c r="J738" s="150" t="str">
        <f t="shared" si="35"/>
        <v>556</v>
      </c>
      <c r="K738" s="150" t="s">
        <v>8203</v>
      </c>
      <c r="L738" s="149" t="s">
        <v>1338</v>
      </c>
      <c r="M738" s="151">
        <v>0</v>
      </c>
    </row>
    <row r="739" spans="1:13" s="149" customFormat="1" x14ac:dyDescent="0.25">
      <c r="A739" s="149" t="s">
        <v>7639</v>
      </c>
      <c r="B739" s="149" t="s">
        <v>1339</v>
      </c>
      <c r="C739" s="149">
        <v>11</v>
      </c>
      <c r="D739" s="149">
        <v>310</v>
      </c>
      <c r="E739" s="149">
        <v>0</v>
      </c>
      <c r="F739" s="149">
        <v>210500</v>
      </c>
      <c r="G739" s="149">
        <v>51310</v>
      </c>
      <c r="H739" s="150" t="str">
        <f t="shared" si="33"/>
        <v>5</v>
      </c>
      <c r="I739" s="150" t="str">
        <f t="shared" si="34"/>
        <v>51</v>
      </c>
      <c r="J739" s="150" t="str">
        <f t="shared" si="35"/>
        <v>513</v>
      </c>
      <c r="K739" s="150" t="s">
        <v>7653</v>
      </c>
      <c r="L739" s="149" t="s">
        <v>1340</v>
      </c>
      <c r="M739" s="151">
        <v>0</v>
      </c>
    </row>
    <row r="740" spans="1:13" s="149" customFormat="1" x14ac:dyDescent="0.25">
      <c r="A740" s="149" t="s">
        <v>7639</v>
      </c>
      <c r="B740" s="149" t="s">
        <v>1341</v>
      </c>
      <c r="C740" s="149">
        <v>11</v>
      </c>
      <c r="D740" s="149">
        <v>310</v>
      </c>
      <c r="E740" s="149">
        <v>0</v>
      </c>
      <c r="F740" s="149">
        <v>210500</v>
      </c>
      <c r="G740" s="149">
        <v>51311</v>
      </c>
      <c r="H740" s="150" t="str">
        <f t="shared" si="33"/>
        <v>5</v>
      </c>
      <c r="I740" s="150" t="str">
        <f t="shared" si="34"/>
        <v>51</v>
      </c>
      <c r="J740" s="150" t="str">
        <f t="shared" si="35"/>
        <v>513</v>
      </c>
      <c r="K740" s="150" t="s">
        <v>7727</v>
      </c>
      <c r="L740" s="149" t="s">
        <v>375</v>
      </c>
      <c r="M740" s="151">
        <v>0</v>
      </c>
    </row>
    <row r="741" spans="1:13" s="149" customFormat="1" x14ac:dyDescent="0.25">
      <c r="A741" s="149" t="s">
        <v>7639</v>
      </c>
      <c r="B741" s="149" t="s">
        <v>1342</v>
      </c>
      <c r="C741" s="149">
        <v>11</v>
      </c>
      <c r="D741" s="149">
        <v>310</v>
      </c>
      <c r="E741" s="149">
        <v>0</v>
      </c>
      <c r="F741" s="149">
        <v>210500</v>
      </c>
      <c r="G741" s="149">
        <v>53110</v>
      </c>
      <c r="H741" s="150" t="str">
        <f t="shared" si="33"/>
        <v>5</v>
      </c>
      <c r="I741" s="150" t="str">
        <f t="shared" si="34"/>
        <v>53</v>
      </c>
      <c r="J741" s="150" t="str">
        <f t="shared" si="35"/>
        <v>531</v>
      </c>
      <c r="K741" s="150" t="s">
        <v>8823</v>
      </c>
      <c r="L741" s="149" t="s">
        <v>377</v>
      </c>
      <c r="M741" s="151">
        <v>0</v>
      </c>
    </row>
    <row r="742" spans="1:13" s="149" customFormat="1" x14ac:dyDescent="0.25">
      <c r="A742" s="149" t="s">
        <v>7639</v>
      </c>
      <c r="B742" s="149" t="s">
        <v>1343</v>
      </c>
      <c r="C742" s="149">
        <v>11</v>
      </c>
      <c r="D742" s="149">
        <v>310</v>
      </c>
      <c r="E742" s="149">
        <v>0</v>
      </c>
      <c r="F742" s="149">
        <v>210500</v>
      </c>
      <c r="G742" s="149">
        <v>53330</v>
      </c>
      <c r="H742" s="150" t="str">
        <f t="shared" si="33"/>
        <v>5</v>
      </c>
      <c r="I742" s="150" t="str">
        <f t="shared" si="34"/>
        <v>53</v>
      </c>
      <c r="J742" s="150" t="str">
        <f t="shared" si="35"/>
        <v>533</v>
      </c>
      <c r="K742" s="150" t="s">
        <v>8824</v>
      </c>
      <c r="L742" s="149" t="s">
        <v>381</v>
      </c>
      <c r="M742" s="151">
        <v>0</v>
      </c>
    </row>
    <row r="743" spans="1:13" s="149" customFormat="1" x14ac:dyDescent="0.25">
      <c r="A743" s="149" t="s">
        <v>7639</v>
      </c>
      <c r="B743" s="149" t="s">
        <v>1344</v>
      </c>
      <c r="C743" s="149">
        <v>11</v>
      </c>
      <c r="D743" s="149">
        <v>310</v>
      </c>
      <c r="E743" s="149">
        <v>0</v>
      </c>
      <c r="F743" s="149">
        <v>210500</v>
      </c>
      <c r="G743" s="149">
        <v>53510</v>
      </c>
      <c r="H743" s="150" t="str">
        <f t="shared" si="33"/>
        <v>5</v>
      </c>
      <c r="I743" s="150" t="str">
        <f t="shared" si="34"/>
        <v>53</v>
      </c>
      <c r="J743" s="150" t="str">
        <f t="shared" si="35"/>
        <v>535</v>
      </c>
      <c r="K743" s="150" t="s">
        <v>8825</v>
      </c>
      <c r="L743" s="149" t="s">
        <v>383</v>
      </c>
      <c r="M743" s="151">
        <v>0</v>
      </c>
    </row>
    <row r="744" spans="1:13" s="149" customFormat="1" x14ac:dyDescent="0.25">
      <c r="A744" s="149" t="s">
        <v>7639</v>
      </c>
      <c r="B744" s="149" t="s">
        <v>1345</v>
      </c>
      <c r="C744" s="149">
        <v>11</v>
      </c>
      <c r="D744" s="149">
        <v>310</v>
      </c>
      <c r="E744" s="149">
        <v>0</v>
      </c>
      <c r="F744" s="149">
        <v>210500</v>
      </c>
      <c r="G744" s="149">
        <v>53610</v>
      </c>
      <c r="H744" s="150" t="str">
        <f t="shared" si="33"/>
        <v>5</v>
      </c>
      <c r="I744" s="150" t="str">
        <f t="shared" si="34"/>
        <v>53</v>
      </c>
      <c r="J744" s="150" t="str">
        <f t="shared" si="35"/>
        <v>536</v>
      </c>
      <c r="K744" s="150" t="s">
        <v>8826</v>
      </c>
      <c r="L744" s="149" t="s">
        <v>385</v>
      </c>
      <c r="M744" s="151">
        <v>0</v>
      </c>
    </row>
    <row r="745" spans="1:13" s="149" customFormat="1" x14ac:dyDescent="0.25">
      <c r="A745" s="149" t="s">
        <v>7639</v>
      </c>
      <c r="B745" s="149" t="s">
        <v>1346</v>
      </c>
      <c r="C745" s="149">
        <v>11</v>
      </c>
      <c r="D745" s="149">
        <v>310</v>
      </c>
      <c r="E745" s="149">
        <v>0</v>
      </c>
      <c r="F745" s="149">
        <v>220200</v>
      </c>
      <c r="G745" s="149">
        <v>51100</v>
      </c>
      <c r="H745" s="150" t="str">
        <f t="shared" si="33"/>
        <v>5</v>
      </c>
      <c r="I745" s="150" t="str">
        <f t="shared" si="34"/>
        <v>51</v>
      </c>
      <c r="J745" s="150" t="str">
        <f t="shared" si="35"/>
        <v>511</v>
      </c>
      <c r="K745" s="150" t="s">
        <v>8827</v>
      </c>
      <c r="L745" s="149" t="s">
        <v>1347</v>
      </c>
      <c r="M745" s="151">
        <v>120754</v>
      </c>
    </row>
    <row r="746" spans="1:13" s="149" customFormat="1" x14ac:dyDescent="0.25">
      <c r="A746" s="149" t="s">
        <v>7639</v>
      </c>
      <c r="B746" s="149" t="s">
        <v>1348</v>
      </c>
      <c r="C746" s="149">
        <v>11</v>
      </c>
      <c r="D746" s="149">
        <v>310</v>
      </c>
      <c r="E746" s="149">
        <v>0</v>
      </c>
      <c r="F746" s="149">
        <v>220200</v>
      </c>
      <c r="G746" s="149">
        <v>51310</v>
      </c>
      <c r="H746" s="150" t="str">
        <f t="shared" si="33"/>
        <v>5</v>
      </c>
      <c r="I746" s="150" t="str">
        <f t="shared" si="34"/>
        <v>51</v>
      </c>
      <c r="J746" s="150" t="str">
        <f t="shared" si="35"/>
        <v>513</v>
      </c>
      <c r="K746" s="150" t="s">
        <v>7654</v>
      </c>
      <c r="L746" s="149" t="s">
        <v>1349</v>
      </c>
      <c r="M746" s="151">
        <v>17172</v>
      </c>
    </row>
    <row r="747" spans="1:13" s="149" customFormat="1" x14ac:dyDescent="0.25">
      <c r="A747" s="149" t="s">
        <v>7639</v>
      </c>
      <c r="B747" s="149" t="s">
        <v>1350</v>
      </c>
      <c r="C747" s="149">
        <v>11</v>
      </c>
      <c r="D747" s="149">
        <v>310</v>
      </c>
      <c r="E747" s="149">
        <v>0</v>
      </c>
      <c r="F747" s="149">
        <v>220200</v>
      </c>
      <c r="G747" s="149">
        <v>51311</v>
      </c>
      <c r="H747" s="150" t="str">
        <f t="shared" si="33"/>
        <v>5</v>
      </c>
      <c r="I747" s="150" t="str">
        <f t="shared" si="34"/>
        <v>51</v>
      </c>
      <c r="J747" s="150" t="str">
        <f t="shared" si="35"/>
        <v>513</v>
      </c>
      <c r="K747" s="150" t="s">
        <v>7728</v>
      </c>
      <c r="L747" s="149" t="s">
        <v>389</v>
      </c>
      <c r="M747" s="151">
        <v>35828</v>
      </c>
    </row>
    <row r="748" spans="1:13" s="149" customFormat="1" x14ac:dyDescent="0.25">
      <c r="A748" s="149" t="s">
        <v>7639</v>
      </c>
      <c r="B748" s="149" t="s">
        <v>1351</v>
      </c>
      <c r="C748" s="149">
        <v>11</v>
      </c>
      <c r="D748" s="149">
        <v>310</v>
      </c>
      <c r="E748" s="149">
        <v>0</v>
      </c>
      <c r="F748" s="149">
        <v>220200</v>
      </c>
      <c r="G748" s="149">
        <v>53110</v>
      </c>
      <c r="H748" s="150" t="str">
        <f t="shared" si="33"/>
        <v>5</v>
      </c>
      <c r="I748" s="150" t="str">
        <f t="shared" si="34"/>
        <v>53</v>
      </c>
      <c r="J748" s="150" t="str">
        <f t="shared" si="35"/>
        <v>531</v>
      </c>
      <c r="K748" s="150" t="s">
        <v>8828</v>
      </c>
      <c r="L748" s="149" t="s">
        <v>391</v>
      </c>
      <c r="M748" s="151">
        <v>28061.27</v>
      </c>
    </row>
    <row r="749" spans="1:13" s="149" customFormat="1" x14ac:dyDescent="0.25">
      <c r="A749" s="149" t="s">
        <v>7639</v>
      </c>
      <c r="B749" s="149" t="s">
        <v>1352</v>
      </c>
      <c r="C749" s="149">
        <v>11</v>
      </c>
      <c r="D749" s="149">
        <v>310</v>
      </c>
      <c r="E749" s="149">
        <v>0</v>
      </c>
      <c r="F749" s="149">
        <v>220200</v>
      </c>
      <c r="G749" s="149">
        <v>53310</v>
      </c>
      <c r="H749" s="150" t="str">
        <f t="shared" si="33"/>
        <v>5</v>
      </c>
      <c r="I749" s="150" t="str">
        <f t="shared" si="34"/>
        <v>53</v>
      </c>
      <c r="J749" s="150" t="str">
        <f t="shared" si="35"/>
        <v>533</v>
      </c>
      <c r="K749" s="150" t="s">
        <v>8829</v>
      </c>
      <c r="L749" s="149" t="s">
        <v>1353</v>
      </c>
      <c r="M749" s="151">
        <v>0</v>
      </c>
    </row>
    <row r="750" spans="1:13" s="149" customFormat="1" x14ac:dyDescent="0.25">
      <c r="A750" s="149" t="s">
        <v>7639</v>
      </c>
      <c r="B750" s="149" t="s">
        <v>1354</v>
      </c>
      <c r="C750" s="149">
        <v>11</v>
      </c>
      <c r="D750" s="149">
        <v>310</v>
      </c>
      <c r="E750" s="149">
        <v>0</v>
      </c>
      <c r="F750" s="149">
        <v>220200</v>
      </c>
      <c r="G750" s="149">
        <v>53330</v>
      </c>
      <c r="H750" s="150" t="str">
        <f t="shared" si="33"/>
        <v>5</v>
      </c>
      <c r="I750" s="150" t="str">
        <f t="shared" si="34"/>
        <v>53</v>
      </c>
      <c r="J750" s="150" t="str">
        <f t="shared" si="35"/>
        <v>533</v>
      </c>
      <c r="K750" s="150" t="s">
        <v>8830</v>
      </c>
      <c r="L750" s="149" t="s">
        <v>393</v>
      </c>
      <c r="M750" s="151">
        <v>2519.4299999999998</v>
      </c>
    </row>
    <row r="751" spans="1:13" s="149" customFormat="1" x14ac:dyDescent="0.25">
      <c r="A751" s="149" t="s">
        <v>7639</v>
      </c>
      <c r="B751" s="149" t="s">
        <v>1355</v>
      </c>
      <c r="C751" s="149">
        <v>11</v>
      </c>
      <c r="D751" s="149">
        <v>310</v>
      </c>
      <c r="E751" s="149">
        <v>0</v>
      </c>
      <c r="F751" s="149">
        <v>220200</v>
      </c>
      <c r="G751" s="149">
        <v>53410</v>
      </c>
      <c r="H751" s="150" t="str">
        <f t="shared" si="33"/>
        <v>5</v>
      </c>
      <c r="I751" s="150" t="str">
        <f t="shared" si="34"/>
        <v>53</v>
      </c>
      <c r="J751" s="150" t="str">
        <f t="shared" si="35"/>
        <v>534</v>
      </c>
      <c r="K751" s="150" t="s">
        <v>8831</v>
      </c>
      <c r="L751" s="149" t="s">
        <v>1356</v>
      </c>
      <c r="M751" s="151">
        <v>33121.43</v>
      </c>
    </row>
    <row r="752" spans="1:13" s="149" customFormat="1" x14ac:dyDescent="0.25">
      <c r="A752" s="149" t="s">
        <v>7639</v>
      </c>
      <c r="B752" s="149" t="s">
        <v>1357</v>
      </c>
      <c r="C752" s="149">
        <v>11</v>
      </c>
      <c r="D752" s="149">
        <v>310</v>
      </c>
      <c r="E752" s="149">
        <v>0</v>
      </c>
      <c r="F752" s="149">
        <v>220200</v>
      </c>
      <c r="G752" s="149">
        <v>53510</v>
      </c>
      <c r="H752" s="150" t="str">
        <f t="shared" si="33"/>
        <v>5</v>
      </c>
      <c r="I752" s="150" t="str">
        <f t="shared" si="34"/>
        <v>53</v>
      </c>
      <c r="J752" s="150" t="str">
        <f t="shared" si="35"/>
        <v>535</v>
      </c>
      <c r="K752" s="150" t="s">
        <v>8832</v>
      </c>
      <c r="L752" s="149" t="s">
        <v>395</v>
      </c>
      <c r="M752" s="151">
        <v>86.88</v>
      </c>
    </row>
    <row r="753" spans="1:13" s="149" customFormat="1" x14ac:dyDescent="0.25">
      <c r="A753" s="149" t="s">
        <v>7639</v>
      </c>
      <c r="B753" s="149" t="s">
        <v>1358</v>
      </c>
      <c r="C753" s="149">
        <v>11</v>
      </c>
      <c r="D753" s="149">
        <v>310</v>
      </c>
      <c r="E753" s="149">
        <v>0</v>
      </c>
      <c r="F753" s="149">
        <v>220200</v>
      </c>
      <c r="G753" s="149">
        <v>53610</v>
      </c>
      <c r="H753" s="150" t="str">
        <f t="shared" si="33"/>
        <v>5</v>
      </c>
      <c r="I753" s="150" t="str">
        <f t="shared" si="34"/>
        <v>53</v>
      </c>
      <c r="J753" s="150" t="str">
        <f t="shared" si="35"/>
        <v>536</v>
      </c>
      <c r="K753" s="150" t="s">
        <v>8833</v>
      </c>
      <c r="L753" s="149" t="s">
        <v>397</v>
      </c>
      <c r="M753" s="151">
        <v>3285.35</v>
      </c>
    </row>
    <row r="754" spans="1:13" s="149" customFormat="1" x14ac:dyDescent="0.25">
      <c r="A754" s="149" t="s">
        <v>7639</v>
      </c>
      <c r="B754" s="149" t="s">
        <v>1359</v>
      </c>
      <c r="C754" s="149">
        <v>11</v>
      </c>
      <c r="D754" s="149">
        <v>310</v>
      </c>
      <c r="E754" s="149">
        <v>0</v>
      </c>
      <c r="F754" s="149">
        <v>220200</v>
      </c>
      <c r="G754" s="149">
        <v>55630</v>
      </c>
      <c r="H754" s="150" t="str">
        <f t="shared" si="33"/>
        <v>5</v>
      </c>
      <c r="I754" s="150" t="str">
        <f t="shared" si="34"/>
        <v>55</v>
      </c>
      <c r="J754" s="150" t="str">
        <f t="shared" si="35"/>
        <v>556</v>
      </c>
      <c r="K754" s="150" t="s">
        <v>8204</v>
      </c>
      <c r="L754" s="149" t="s">
        <v>399</v>
      </c>
      <c r="M754" s="151">
        <v>25</v>
      </c>
    </row>
    <row r="755" spans="1:13" s="149" customFormat="1" x14ac:dyDescent="0.25">
      <c r="A755" s="149" t="s">
        <v>7639</v>
      </c>
      <c r="B755" s="149" t="s">
        <v>1360</v>
      </c>
      <c r="C755" s="149">
        <v>11</v>
      </c>
      <c r="D755" s="149">
        <v>310</v>
      </c>
      <c r="E755" s="149">
        <v>0</v>
      </c>
      <c r="F755" s="149">
        <v>220210</v>
      </c>
      <c r="G755" s="149">
        <v>51100</v>
      </c>
      <c r="H755" s="150" t="str">
        <f t="shared" si="33"/>
        <v>5</v>
      </c>
      <c r="I755" s="150" t="str">
        <f t="shared" si="34"/>
        <v>51</v>
      </c>
      <c r="J755" s="150" t="str">
        <f t="shared" si="35"/>
        <v>511</v>
      </c>
      <c r="K755" s="150" t="s">
        <v>8834</v>
      </c>
      <c r="L755" s="149" t="s">
        <v>1361</v>
      </c>
      <c r="M755" s="151">
        <v>117367</v>
      </c>
    </row>
    <row r="756" spans="1:13" s="149" customFormat="1" x14ac:dyDescent="0.25">
      <c r="A756" s="149" t="s">
        <v>7639</v>
      </c>
      <c r="B756" s="149" t="s">
        <v>1362</v>
      </c>
      <c r="C756" s="149">
        <v>11</v>
      </c>
      <c r="D756" s="149">
        <v>310</v>
      </c>
      <c r="E756" s="149">
        <v>0</v>
      </c>
      <c r="F756" s="149">
        <v>220210</v>
      </c>
      <c r="G756" s="149">
        <v>51310</v>
      </c>
      <c r="H756" s="150" t="str">
        <f t="shared" si="33"/>
        <v>5</v>
      </c>
      <c r="I756" s="150" t="str">
        <f t="shared" si="34"/>
        <v>51</v>
      </c>
      <c r="J756" s="150" t="str">
        <f t="shared" si="35"/>
        <v>513</v>
      </c>
      <c r="K756" s="150" t="s">
        <v>7655</v>
      </c>
      <c r="L756" s="149" t="s">
        <v>1363</v>
      </c>
      <c r="M756" s="151">
        <v>2430</v>
      </c>
    </row>
    <row r="757" spans="1:13" s="149" customFormat="1" x14ac:dyDescent="0.25">
      <c r="A757" s="149" t="s">
        <v>7639</v>
      </c>
      <c r="B757" s="149" t="s">
        <v>1364</v>
      </c>
      <c r="C757" s="149">
        <v>11</v>
      </c>
      <c r="D757" s="149">
        <v>310</v>
      </c>
      <c r="E757" s="149">
        <v>0</v>
      </c>
      <c r="F757" s="149">
        <v>220210</v>
      </c>
      <c r="G757" s="149">
        <v>51311</v>
      </c>
      <c r="H757" s="150" t="str">
        <f t="shared" si="33"/>
        <v>5</v>
      </c>
      <c r="I757" s="150" t="str">
        <f t="shared" si="34"/>
        <v>51</v>
      </c>
      <c r="J757" s="150" t="str">
        <f t="shared" si="35"/>
        <v>513</v>
      </c>
      <c r="K757" s="150" t="s">
        <v>7729</v>
      </c>
      <c r="L757" s="149" t="s">
        <v>401</v>
      </c>
      <c r="M757" s="151">
        <v>38721</v>
      </c>
    </row>
    <row r="758" spans="1:13" s="149" customFormat="1" x14ac:dyDescent="0.25">
      <c r="A758" s="149" t="s">
        <v>7639</v>
      </c>
      <c r="B758" s="149" t="s">
        <v>1365</v>
      </c>
      <c r="C758" s="149">
        <v>11</v>
      </c>
      <c r="D758" s="149">
        <v>310</v>
      </c>
      <c r="E758" s="149">
        <v>0</v>
      </c>
      <c r="F758" s="149">
        <v>220210</v>
      </c>
      <c r="G758" s="149">
        <v>53110</v>
      </c>
      <c r="H758" s="150" t="str">
        <f t="shared" si="33"/>
        <v>5</v>
      </c>
      <c r="I758" s="150" t="str">
        <f t="shared" si="34"/>
        <v>53</v>
      </c>
      <c r="J758" s="150" t="str">
        <f t="shared" si="35"/>
        <v>531</v>
      </c>
      <c r="K758" s="150" t="s">
        <v>8835</v>
      </c>
      <c r="L758" s="149" t="s">
        <v>403</v>
      </c>
      <c r="M758" s="151">
        <v>25600.66</v>
      </c>
    </row>
    <row r="759" spans="1:13" s="149" customFormat="1" x14ac:dyDescent="0.25">
      <c r="A759" s="149" t="s">
        <v>7639</v>
      </c>
      <c r="B759" s="149" t="s">
        <v>1366</v>
      </c>
      <c r="C759" s="149">
        <v>11</v>
      </c>
      <c r="D759" s="149">
        <v>310</v>
      </c>
      <c r="E759" s="149">
        <v>0</v>
      </c>
      <c r="F759" s="149">
        <v>220210</v>
      </c>
      <c r="G759" s="149">
        <v>53330</v>
      </c>
      <c r="H759" s="150" t="str">
        <f t="shared" si="33"/>
        <v>5</v>
      </c>
      <c r="I759" s="150" t="str">
        <f t="shared" si="34"/>
        <v>53</v>
      </c>
      <c r="J759" s="150" t="str">
        <f t="shared" si="35"/>
        <v>533</v>
      </c>
      <c r="K759" s="150" t="s">
        <v>8836</v>
      </c>
      <c r="L759" s="149" t="s">
        <v>405</v>
      </c>
      <c r="M759" s="151">
        <v>2298.5100000000002</v>
      </c>
    </row>
    <row r="760" spans="1:13" s="149" customFormat="1" x14ac:dyDescent="0.25">
      <c r="A760" s="149" t="s">
        <v>7639</v>
      </c>
      <c r="B760" s="149" t="s">
        <v>1367</v>
      </c>
      <c r="C760" s="149">
        <v>11</v>
      </c>
      <c r="D760" s="149">
        <v>310</v>
      </c>
      <c r="E760" s="149">
        <v>0</v>
      </c>
      <c r="F760" s="149">
        <v>220210</v>
      </c>
      <c r="G760" s="149">
        <v>53410</v>
      </c>
      <c r="H760" s="150" t="str">
        <f t="shared" si="33"/>
        <v>5</v>
      </c>
      <c r="I760" s="150" t="str">
        <f t="shared" si="34"/>
        <v>53</v>
      </c>
      <c r="J760" s="150" t="str">
        <f t="shared" si="35"/>
        <v>534</v>
      </c>
      <c r="K760" s="150" t="s">
        <v>8837</v>
      </c>
      <c r="L760" s="149" t="s">
        <v>1368</v>
      </c>
      <c r="M760" s="151">
        <v>33121.43</v>
      </c>
    </row>
    <row r="761" spans="1:13" s="149" customFormat="1" x14ac:dyDescent="0.25">
      <c r="A761" s="149" t="s">
        <v>7639</v>
      </c>
      <c r="B761" s="149" t="s">
        <v>1369</v>
      </c>
      <c r="C761" s="149">
        <v>11</v>
      </c>
      <c r="D761" s="149">
        <v>310</v>
      </c>
      <c r="E761" s="149">
        <v>0</v>
      </c>
      <c r="F761" s="149">
        <v>220210</v>
      </c>
      <c r="G761" s="149">
        <v>53510</v>
      </c>
      <c r="H761" s="150" t="str">
        <f t="shared" si="33"/>
        <v>5</v>
      </c>
      <c r="I761" s="150" t="str">
        <f t="shared" si="34"/>
        <v>53</v>
      </c>
      <c r="J761" s="150" t="str">
        <f t="shared" si="35"/>
        <v>535</v>
      </c>
      <c r="K761" s="150" t="s">
        <v>8838</v>
      </c>
      <c r="L761" s="149" t="s">
        <v>407</v>
      </c>
      <c r="M761" s="151">
        <v>79.260000000000005</v>
      </c>
    </row>
    <row r="762" spans="1:13" s="149" customFormat="1" x14ac:dyDescent="0.25">
      <c r="A762" s="149" t="s">
        <v>7639</v>
      </c>
      <c r="B762" s="149" t="s">
        <v>1370</v>
      </c>
      <c r="C762" s="149">
        <v>11</v>
      </c>
      <c r="D762" s="149">
        <v>310</v>
      </c>
      <c r="E762" s="149">
        <v>0</v>
      </c>
      <c r="F762" s="149">
        <v>220210</v>
      </c>
      <c r="G762" s="149">
        <v>53610</v>
      </c>
      <c r="H762" s="150" t="str">
        <f t="shared" si="33"/>
        <v>5</v>
      </c>
      <c r="I762" s="150" t="str">
        <f t="shared" si="34"/>
        <v>53</v>
      </c>
      <c r="J762" s="150" t="str">
        <f t="shared" si="35"/>
        <v>536</v>
      </c>
      <c r="K762" s="150" t="s">
        <v>8839</v>
      </c>
      <c r="L762" s="149" t="s">
        <v>409</v>
      </c>
      <c r="M762" s="151">
        <v>2997.27</v>
      </c>
    </row>
    <row r="763" spans="1:13" s="149" customFormat="1" x14ac:dyDescent="0.25">
      <c r="A763" s="149" t="s">
        <v>7639</v>
      </c>
      <c r="B763" s="149" t="s">
        <v>1371</v>
      </c>
      <c r="C763" s="149">
        <v>11</v>
      </c>
      <c r="D763" s="149">
        <v>310</v>
      </c>
      <c r="E763" s="149">
        <v>0</v>
      </c>
      <c r="F763" s="149">
        <v>220210</v>
      </c>
      <c r="G763" s="149">
        <v>55200</v>
      </c>
      <c r="H763" s="150" t="str">
        <f t="shared" si="33"/>
        <v>5</v>
      </c>
      <c r="I763" s="150" t="str">
        <f t="shared" si="34"/>
        <v>55</v>
      </c>
      <c r="J763" s="150" t="str">
        <f t="shared" si="35"/>
        <v>552</v>
      </c>
      <c r="K763" s="150" t="s">
        <v>8049</v>
      </c>
      <c r="L763" s="149" t="s">
        <v>1372</v>
      </c>
      <c r="M763" s="151">
        <v>0</v>
      </c>
    </row>
    <row r="764" spans="1:13" s="149" customFormat="1" x14ac:dyDescent="0.25">
      <c r="A764" s="149" t="s">
        <v>7639</v>
      </c>
      <c r="B764" s="149" t="s">
        <v>1373</v>
      </c>
      <c r="C764" s="149">
        <v>11</v>
      </c>
      <c r="D764" s="149">
        <v>310</v>
      </c>
      <c r="E764" s="149">
        <v>0</v>
      </c>
      <c r="F764" s="149">
        <v>220210</v>
      </c>
      <c r="G764" s="149">
        <v>55630</v>
      </c>
      <c r="H764" s="150" t="str">
        <f t="shared" si="33"/>
        <v>5</v>
      </c>
      <c r="I764" s="150" t="str">
        <f t="shared" si="34"/>
        <v>55</v>
      </c>
      <c r="J764" s="150" t="str">
        <f t="shared" si="35"/>
        <v>556</v>
      </c>
      <c r="K764" s="150" t="s">
        <v>8205</v>
      </c>
      <c r="L764" s="149" t="s">
        <v>1374</v>
      </c>
      <c r="M764" s="151">
        <v>25</v>
      </c>
    </row>
    <row r="765" spans="1:13" s="149" customFormat="1" x14ac:dyDescent="0.25">
      <c r="A765" s="149" t="s">
        <v>7639</v>
      </c>
      <c r="B765" s="149" t="s">
        <v>1375</v>
      </c>
      <c r="C765" s="149">
        <v>11</v>
      </c>
      <c r="D765" s="149">
        <v>310</v>
      </c>
      <c r="E765" s="149">
        <v>0</v>
      </c>
      <c r="F765" s="149">
        <v>220400</v>
      </c>
      <c r="G765" s="149">
        <v>51100</v>
      </c>
      <c r="H765" s="150" t="str">
        <f t="shared" si="33"/>
        <v>5</v>
      </c>
      <c r="I765" s="150" t="str">
        <f t="shared" si="34"/>
        <v>51</v>
      </c>
      <c r="J765" s="150" t="str">
        <f t="shared" si="35"/>
        <v>511</v>
      </c>
      <c r="K765" s="150" t="s">
        <v>8840</v>
      </c>
      <c r="L765" s="149" t="s">
        <v>1376</v>
      </c>
      <c r="M765" s="151">
        <v>105042</v>
      </c>
    </row>
    <row r="766" spans="1:13" s="149" customFormat="1" x14ac:dyDescent="0.25">
      <c r="A766" s="149" t="s">
        <v>7639</v>
      </c>
      <c r="B766" s="149" t="s">
        <v>1377</v>
      </c>
      <c r="C766" s="149">
        <v>11</v>
      </c>
      <c r="D766" s="149">
        <v>310</v>
      </c>
      <c r="E766" s="149">
        <v>0</v>
      </c>
      <c r="F766" s="149">
        <v>220400</v>
      </c>
      <c r="G766" s="149">
        <v>51310</v>
      </c>
      <c r="H766" s="150" t="str">
        <f t="shared" si="33"/>
        <v>5</v>
      </c>
      <c r="I766" s="150" t="str">
        <f t="shared" si="34"/>
        <v>51</v>
      </c>
      <c r="J766" s="150" t="str">
        <f t="shared" si="35"/>
        <v>513</v>
      </c>
      <c r="K766" s="150" t="s">
        <v>7656</v>
      </c>
      <c r="L766" s="149" t="s">
        <v>1378</v>
      </c>
      <c r="M766" s="151">
        <v>17172</v>
      </c>
    </row>
    <row r="767" spans="1:13" s="149" customFormat="1" x14ac:dyDescent="0.25">
      <c r="A767" s="149" t="s">
        <v>7639</v>
      </c>
      <c r="B767" s="149" t="s">
        <v>1379</v>
      </c>
      <c r="C767" s="149">
        <v>11</v>
      </c>
      <c r="D767" s="149">
        <v>310</v>
      </c>
      <c r="E767" s="149">
        <v>0</v>
      </c>
      <c r="F767" s="149">
        <v>220400</v>
      </c>
      <c r="G767" s="149">
        <v>51311</v>
      </c>
      <c r="H767" s="150" t="str">
        <f t="shared" si="33"/>
        <v>5</v>
      </c>
      <c r="I767" s="150" t="str">
        <f t="shared" si="34"/>
        <v>51</v>
      </c>
      <c r="J767" s="150" t="str">
        <f t="shared" si="35"/>
        <v>513</v>
      </c>
      <c r="K767" s="150" t="s">
        <v>7730</v>
      </c>
      <c r="L767" s="149" t="s">
        <v>1380</v>
      </c>
      <c r="M767" s="151">
        <v>17500</v>
      </c>
    </row>
    <row r="768" spans="1:13" s="149" customFormat="1" x14ac:dyDescent="0.25">
      <c r="A768" s="149" t="s">
        <v>7639</v>
      </c>
      <c r="B768" s="149" t="s">
        <v>1381</v>
      </c>
      <c r="C768" s="149">
        <v>11</v>
      </c>
      <c r="D768" s="149">
        <v>310</v>
      </c>
      <c r="E768" s="149">
        <v>0</v>
      </c>
      <c r="F768" s="149">
        <v>220400</v>
      </c>
      <c r="G768" s="149">
        <v>53110</v>
      </c>
      <c r="H768" s="150" t="str">
        <f t="shared" si="33"/>
        <v>5</v>
      </c>
      <c r="I768" s="150" t="str">
        <f t="shared" si="34"/>
        <v>53</v>
      </c>
      <c r="J768" s="150" t="str">
        <f t="shared" si="35"/>
        <v>531</v>
      </c>
      <c r="K768" s="150" t="s">
        <v>8841</v>
      </c>
      <c r="L768" s="149" t="s">
        <v>1382</v>
      </c>
      <c r="M768" s="151">
        <v>22563.81</v>
      </c>
    </row>
    <row r="769" spans="1:13" s="149" customFormat="1" x14ac:dyDescent="0.25">
      <c r="A769" s="149" t="s">
        <v>7639</v>
      </c>
      <c r="B769" s="149" t="s">
        <v>1383</v>
      </c>
      <c r="C769" s="149">
        <v>11</v>
      </c>
      <c r="D769" s="149">
        <v>310</v>
      </c>
      <c r="E769" s="149">
        <v>0</v>
      </c>
      <c r="F769" s="149">
        <v>220400</v>
      </c>
      <c r="G769" s="149">
        <v>53330</v>
      </c>
      <c r="H769" s="150" t="str">
        <f t="shared" si="33"/>
        <v>5</v>
      </c>
      <c r="I769" s="150" t="str">
        <f t="shared" si="34"/>
        <v>53</v>
      </c>
      <c r="J769" s="150" t="str">
        <f t="shared" si="35"/>
        <v>533</v>
      </c>
      <c r="K769" s="150" t="s">
        <v>8842</v>
      </c>
      <c r="L769" s="149" t="s">
        <v>1384</v>
      </c>
      <c r="M769" s="151">
        <v>2025.85</v>
      </c>
    </row>
    <row r="770" spans="1:13" s="149" customFormat="1" x14ac:dyDescent="0.25">
      <c r="A770" s="149" t="s">
        <v>7639</v>
      </c>
      <c r="B770" s="149" t="s">
        <v>1385</v>
      </c>
      <c r="C770" s="149">
        <v>11</v>
      </c>
      <c r="D770" s="149">
        <v>310</v>
      </c>
      <c r="E770" s="149">
        <v>0</v>
      </c>
      <c r="F770" s="149">
        <v>220400</v>
      </c>
      <c r="G770" s="149">
        <v>53410</v>
      </c>
      <c r="H770" s="150" t="str">
        <f t="shared" si="33"/>
        <v>5</v>
      </c>
      <c r="I770" s="150" t="str">
        <f t="shared" si="34"/>
        <v>53</v>
      </c>
      <c r="J770" s="150" t="str">
        <f t="shared" si="35"/>
        <v>534</v>
      </c>
      <c r="K770" s="150" t="s">
        <v>8843</v>
      </c>
      <c r="L770" s="149" t="s">
        <v>1386</v>
      </c>
      <c r="M770" s="151">
        <v>33121.43</v>
      </c>
    </row>
    <row r="771" spans="1:13" s="149" customFormat="1" x14ac:dyDescent="0.25">
      <c r="A771" s="149" t="s">
        <v>7639</v>
      </c>
      <c r="B771" s="149" t="s">
        <v>1387</v>
      </c>
      <c r="C771" s="149">
        <v>11</v>
      </c>
      <c r="D771" s="149">
        <v>310</v>
      </c>
      <c r="E771" s="149">
        <v>0</v>
      </c>
      <c r="F771" s="149">
        <v>220400</v>
      </c>
      <c r="G771" s="149">
        <v>53510</v>
      </c>
      <c r="H771" s="150" t="str">
        <f t="shared" ref="H771:H834" si="36">LEFT(G771,1)</f>
        <v>5</v>
      </c>
      <c r="I771" s="150" t="str">
        <f t="shared" ref="I771:I834" si="37">LEFT(G771,2)</f>
        <v>53</v>
      </c>
      <c r="J771" s="150" t="str">
        <f t="shared" ref="J771:J834" si="38">LEFT(G771,3)</f>
        <v>535</v>
      </c>
      <c r="K771" s="150" t="s">
        <v>8844</v>
      </c>
      <c r="L771" s="149" t="s">
        <v>1388</v>
      </c>
      <c r="M771" s="151">
        <v>69.86</v>
      </c>
    </row>
    <row r="772" spans="1:13" s="149" customFormat="1" x14ac:dyDescent="0.25">
      <c r="A772" s="149" t="s">
        <v>7639</v>
      </c>
      <c r="B772" s="149" t="s">
        <v>1389</v>
      </c>
      <c r="C772" s="149">
        <v>11</v>
      </c>
      <c r="D772" s="149">
        <v>310</v>
      </c>
      <c r="E772" s="149">
        <v>0</v>
      </c>
      <c r="F772" s="149">
        <v>220400</v>
      </c>
      <c r="G772" s="149">
        <v>53610</v>
      </c>
      <c r="H772" s="150" t="str">
        <f t="shared" si="36"/>
        <v>5</v>
      </c>
      <c r="I772" s="150" t="str">
        <f t="shared" si="37"/>
        <v>53</v>
      </c>
      <c r="J772" s="150" t="str">
        <f t="shared" si="38"/>
        <v>536</v>
      </c>
      <c r="K772" s="150" t="s">
        <v>8845</v>
      </c>
      <c r="L772" s="149" t="s">
        <v>1390</v>
      </c>
      <c r="M772" s="151">
        <v>2641.71</v>
      </c>
    </row>
    <row r="773" spans="1:13" s="149" customFormat="1" x14ac:dyDescent="0.25">
      <c r="A773" s="149" t="s">
        <v>7639</v>
      </c>
      <c r="B773" s="149" t="s">
        <v>1391</v>
      </c>
      <c r="C773" s="149">
        <v>11</v>
      </c>
      <c r="D773" s="149">
        <v>310</v>
      </c>
      <c r="E773" s="149">
        <v>0</v>
      </c>
      <c r="F773" s="149">
        <v>220400</v>
      </c>
      <c r="G773" s="149">
        <v>55630</v>
      </c>
      <c r="H773" s="150" t="str">
        <f t="shared" si="36"/>
        <v>5</v>
      </c>
      <c r="I773" s="150" t="str">
        <f t="shared" si="37"/>
        <v>55</v>
      </c>
      <c r="J773" s="150" t="str">
        <f t="shared" si="38"/>
        <v>556</v>
      </c>
      <c r="K773" s="150" t="s">
        <v>8206</v>
      </c>
      <c r="L773" s="149" t="s">
        <v>1392</v>
      </c>
      <c r="M773" s="151">
        <v>25</v>
      </c>
    </row>
    <row r="774" spans="1:13" s="149" customFormat="1" x14ac:dyDescent="0.25">
      <c r="A774" s="149" t="s">
        <v>7639</v>
      </c>
      <c r="B774" s="149" t="s">
        <v>1393</v>
      </c>
      <c r="C774" s="149">
        <v>11</v>
      </c>
      <c r="D774" s="149">
        <v>310</v>
      </c>
      <c r="E774" s="149">
        <v>0</v>
      </c>
      <c r="F774" s="149">
        <v>220500</v>
      </c>
      <c r="G774" s="149">
        <v>51100</v>
      </c>
      <c r="H774" s="150" t="str">
        <f t="shared" si="36"/>
        <v>5</v>
      </c>
      <c r="I774" s="150" t="str">
        <f t="shared" si="37"/>
        <v>51</v>
      </c>
      <c r="J774" s="150" t="str">
        <f t="shared" si="38"/>
        <v>511</v>
      </c>
      <c r="K774" s="150" t="s">
        <v>8846</v>
      </c>
      <c r="L774" s="149" t="s">
        <v>1394</v>
      </c>
      <c r="M774" s="151">
        <v>203717</v>
      </c>
    </row>
    <row r="775" spans="1:13" s="149" customFormat="1" x14ac:dyDescent="0.25">
      <c r="A775" s="149" t="s">
        <v>7639</v>
      </c>
      <c r="B775" s="149" t="s">
        <v>1395</v>
      </c>
      <c r="C775" s="149">
        <v>11</v>
      </c>
      <c r="D775" s="149">
        <v>310</v>
      </c>
      <c r="E775" s="149">
        <v>0</v>
      </c>
      <c r="F775" s="149">
        <v>220500</v>
      </c>
      <c r="G775" s="149">
        <v>51310</v>
      </c>
      <c r="H775" s="150" t="str">
        <f t="shared" si="36"/>
        <v>5</v>
      </c>
      <c r="I775" s="150" t="str">
        <f t="shared" si="37"/>
        <v>51</v>
      </c>
      <c r="J775" s="150" t="str">
        <f t="shared" si="38"/>
        <v>513</v>
      </c>
      <c r="K775" s="150" t="s">
        <v>7657</v>
      </c>
      <c r="L775" s="149" t="s">
        <v>1396</v>
      </c>
      <c r="M775" s="151">
        <v>51516</v>
      </c>
    </row>
    <row r="776" spans="1:13" s="149" customFormat="1" x14ac:dyDescent="0.25">
      <c r="A776" s="149" t="s">
        <v>7639</v>
      </c>
      <c r="B776" s="149" t="s">
        <v>1397</v>
      </c>
      <c r="C776" s="149">
        <v>11</v>
      </c>
      <c r="D776" s="149">
        <v>310</v>
      </c>
      <c r="E776" s="149">
        <v>0</v>
      </c>
      <c r="F776" s="149">
        <v>220500</v>
      </c>
      <c r="G776" s="149">
        <v>51311</v>
      </c>
      <c r="H776" s="150" t="str">
        <f t="shared" si="36"/>
        <v>5</v>
      </c>
      <c r="I776" s="150" t="str">
        <f t="shared" si="37"/>
        <v>51</v>
      </c>
      <c r="J776" s="150" t="str">
        <f t="shared" si="38"/>
        <v>513</v>
      </c>
      <c r="K776" s="150" t="s">
        <v>7731</v>
      </c>
      <c r="L776" s="149" t="s">
        <v>411</v>
      </c>
      <c r="M776" s="151">
        <v>139590</v>
      </c>
    </row>
    <row r="777" spans="1:13" s="149" customFormat="1" x14ac:dyDescent="0.25">
      <c r="A777" s="149" t="s">
        <v>7639</v>
      </c>
      <c r="B777" s="149" t="s">
        <v>1398</v>
      </c>
      <c r="C777" s="149">
        <v>11</v>
      </c>
      <c r="D777" s="149">
        <v>310</v>
      </c>
      <c r="E777" s="149">
        <v>0</v>
      </c>
      <c r="F777" s="149">
        <v>220500</v>
      </c>
      <c r="G777" s="149">
        <v>53110</v>
      </c>
      <c r="H777" s="150" t="str">
        <f t="shared" si="36"/>
        <v>5</v>
      </c>
      <c r="I777" s="150" t="str">
        <f t="shared" si="37"/>
        <v>53</v>
      </c>
      <c r="J777" s="150" t="str">
        <f t="shared" si="38"/>
        <v>531</v>
      </c>
      <c r="K777" s="150" t="s">
        <v>8847</v>
      </c>
      <c r="L777" s="149" t="s">
        <v>413</v>
      </c>
      <c r="M777" s="151">
        <v>63763.92</v>
      </c>
    </row>
    <row r="778" spans="1:13" s="149" customFormat="1" x14ac:dyDescent="0.25">
      <c r="A778" s="149" t="s">
        <v>7639</v>
      </c>
      <c r="B778" s="149" t="s">
        <v>1399</v>
      </c>
      <c r="C778" s="149">
        <v>11</v>
      </c>
      <c r="D778" s="149">
        <v>310</v>
      </c>
      <c r="E778" s="149">
        <v>0</v>
      </c>
      <c r="F778" s="149">
        <v>220500</v>
      </c>
      <c r="G778" s="149">
        <v>53310</v>
      </c>
      <c r="H778" s="150" t="str">
        <f t="shared" si="36"/>
        <v>5</v>
      </c>
      <c r="I778" s="150" t="str">
        <f t="shared" si="37"/>
        <v>53</v>
      </c>
      <c r="J778" s="150" t="str">
        <f t="shared" si="38"/>
        <v>533</v>
      </c>
      <c r="K778" s="150" t="s">
        <v>8848</v>
      </c>
      <c r="L778" s="149" t="s">
        <v>1400</v>
      </c>
      <c r="M778" s="151">
        <v>0</v>
      </c>
    </row>
    <row r="779" spans="1:13" s="149" customFormat="1" x14ac:dyDescent="0.25">
      <c r="A779" s="149" t="s">
        <v>7639</v>
      </c>
      <c r="B779" s="149" t="s">
        <v>1401</v>
      </c>
      <c r="C779" s="149">
        <v>11</v>
      </c>
      <c r="D779" s="149">
        <v>310</v>
      </c>
      <c r="E779" s="149">
        <v>0</v>
      </c>
      <c r="F779" s="149">
        <v>220500</v>
      </c>
      <c r="G779" s="149">
        <v>53330</v>
      </c>
      <c r="H779" s="150" t="str">
        <f t="shared" si="36"/>
        <v>5</v>
      </c>
      <c r="I779" s="150" t="str">
        <f t="shared" si="37"/>
        <v>53</v>
      </c>
      <c r="J779" s="150" t="str">
        <f t="shared" si="38"/>
        <v>533</v>
      </c>
      <c r="K779" s="150" t="s">
        <v>8849</v>
      </c>
      <c r="L779" s="149" t="s">
        <v>415</v>
      </c>
      <c r="M779" s="151">
        <v>5724.94</v>
      </c>
    </row>
    <row r="780" spans="1:13" s="149" customFormat="1" x14ac:dyDescent="0.25">
      <c r="A780" s="149" t="s">
        <v>7639</v>
      </c>
      <c r="B780" s="149" t="s">
        <v>1402</v>
      </c>
      <c r="C780" s="149">
        <v>11</v>
      </c>
      <c r="D780" s="149">
        <v>310</v>
      </c>
      <c r="E780" s="149">
        <v>0</v>
      </c>
      <c r="F780" s="149">
        <v>220500</v>
      </c>
      <c r="G780" s="149">
        <v>53410</v>
      </c>
      <c r="H780" s="150" t="str">
        <f t="shared" si="36"/>
        <v>5</v>
      </c>
      <c r="I780" s="150" t="str">
        <f t="shared" si="37"/>
        <v>53</v>
      </c>
      <c r="J780" s="150" t="str">
        <f t="shared" si="38"/>
        <v>534</v>
      </c>
      <c r="K780" s="150" t="s">
        <v>8850</v>
      </c>
      <c r="L780" s="149" t="s">
        <v>1403</v>
      </c>
      <c r="M780" s="151">
        <v>46335.74</v>
      </c>
    </row>
    <row r="781" spans="1:13" s="149" customFormat="1" x14ac:dyDescent="0.25">
      <c r="A781" s="149" t="s">
        <v>7639</v>
      </c>
      <c r="B781" s="149" t="s">
        <v>1404</v>
      </c>
      <c r="C781" s="149">
        <v>11</v>
      </c>
      <c r="D781" s="149">
        <v>310</v>
      </c>
      <c r="E781" s="149">
        <v>0</v>
      </c>
      <c r="F781" s="149">
        <v>220500</v>
      </c>
      <c r="G781" s="149">
        <v>53510</v>
      </c>
      <c r="H781" s="150" t="str">
        <f t="shared" si="36"/>
        <v>5</v>
      </c>
      <c r="I781" s="150" t="str">
        <f t="shared" si="37"/>
        <v>53</v>
      </c>
      <c r="J781" s="150" t="str">
        <f t="shared" si="38"/>
        <v>535</v>
      </c>
      <c r="K781" s="150" t="s">
        <v>8851</v>
      </c>
      <c r="L781" s="149" t="s">
        <v>417</v>
      </c>
      <c r="M781" s="151">
        <v>197.42</v>
      </c>
    </row>
    <row r="782" spans="1:13" s="149" customFormat="1" x14ac:dyDescent="0.25">
      <c r="A782" s="149" t="s">
        <v>7639</v>
      </c>
      <c r="B782" s="149" t="s">
        <v>1405</v>
      </c>
      <c r="C782" s="149">
        <v>11</v>
      </c>
      <c r="D782" s="149">
        <v>310</v>
      </c>
      <c r="E782" s="149">
        <v>0</v>
      </c>
      <c r="F782" s="149">
        <v>220500</v>
      </c>
      <c r="G782" s="149">
        <v>53610</v>
      </c>
      <c r="H782" s="150" t="str">
        <f t="shared" si="36"/>
        <v>5</v>
      </c>
      <c r="I782" s="150" t="str">
        <f t="shared" si="37"/>
        <v>53</v>
      </c>
      <c r="J782" s="150" t="str">
        <f t="shared" si="38"/>
        <v>536</v>
      </c>
      <c r="K782" s="150" t="s">
        <v>8852</v>
      </c>
      <c r="L782" s="149" t="s">
        <v>419</v>
      </c>
      <c r="M782" s="151">
        <v>7465.31</v>
      </c>
    </row>
    <row r="783" spans="1:13" s="149" customFormat="1" x14ac:dyDescent="0.25">
      <c r="A783" s="149" t="s">
        <v>7639</v>
      </c>
      <c r="B783" s="149" t="s">
        <v>1406</v>
      </c>
      <c r="C783" s="149">
        <v>11</v>
      </c>
      <c r="D783" s="149">
        <v>310</v>
      </c>
      <c r="E783" s="149">
        <v>0</v>
      </c>
      <c r="F783" s="149">
        <v>220500</v>
      </c>
      <c r="G783" s="149">
        <v>55630</v>
      </c>
      <c r="H783" s="150" t="str">
        <f t="shared" si="36"/>
        <v>5</v>
      </c>
      <c r="I783" s="150" t="str">
        <f t="shared" si="37"/>
        <v>55</v>
      </c>
      <c r="J783" s="150" t="str">
        <f t="shared" si="38"/>
        <v>556</v>
      </c>
      <c r="K783" s="150" t="s">
        <v>8207</v>
      </c>
      <c r="L783" s="149" t="s">
        <v>421</v>
      </c>
      <c r="M783" s="151">
        <v>25</v>
      </c>
    </row>
    <row r="784" spans="1:13" s="149" customFormat="1" x14ac:dyDescent="0.25">
      <c r="A784" s="149" t="s">
        <v>7639</v>
      </c>
      <c r="B784" s="149" t="s">
        <v>1407</v>
      </c>
      <c r="C784" s="149">
        <v>11</v>
      </c>
      <c r="D784" s="149">
        <v>310</v>
      </c>
      <c r="E784" s="149">
        <v>0</v>
      </c>
      <c r="F784" s="149">
        <v>220700</v>
      </c>
      <c r="G784" s="149">
        <v>51100</v>
      </c>
      <c r="H784" s="150" t="str">
        <f t="shared" si="36"/>
        <v>5</v>
      </c>
      <c r="I784" s="150" t="str">
        <f t="shared" si="37"/>
        <v>51</v>
      </c>
      <c r="J784" s="150" t="str">
        <f t="shared" si="38"/>
        <v>511</v>
      </c>
      <c r="K784" s="150" t="s">
        <v>8853</v>
      </c>
      <c r="L784" s="149" t="s">
        <v>1408</v>
      </c>
      <c r="M784" s="151">
        <v>104196</v>
      </c>
    </row>
    <row r="785" spans="1:13" s="149" customFormat="1" x14ac:dyDescent="0.25">
      <c r="A785" s="149" t="s">
        <v>7639</v>
      </c>
      <c r="B785" s="149" t="s">
        <v>1409</v>
      </c>
      <c r="C785" s="149">
        <v>11</v>
      </c>
      <c r="D785" s="149">
        <v>310</v>
      </c>
      <c r="E785" s="149">
        <v>0</v>
      </c>
      <c r="F785" s="149">
        <v>220700</v>
      </c>
      <c r="G785" s="149">
        <v>51310</v>
      </c>
      <c r="H785" s="150" t="str">
        <f t="shared" si="36"/>
        <v>5</v>
      </c>
      <c r="I785" s="150" t="str">
        <f t="shared" si="37"/>
        <v>51</v>
      </c>
      <c r="J785" s="150" t="str">
        <f t="shared" si="38"/>
        <v>513</v>
      </c>
      <c r="K785" s="150" t="s">
        <v>7658</v>
      </c>
      <c r="L785" s="149" t="s">
        <v>1410</v>
      </c>
      <c r="M785" s="151">
        <v>17172</v>
      </c>
    </row>
    <row r="786" spans="1:13" s="149" customFormat="1" x14ac:dyDescent="0.25">
      <c r="A786" s="149" t="s">
        <v>7639</v>
      </c>
      <c r="B786" s="149" t="s">
        <v>1411</v>
      </c>
      <c r="C786" s="149">
        <v>11</v>
      </c>
      <c r="D786" s="149">
        <v>310</v>
      </c>
      <c r="E786" s="149">
        <v>0</v>
      </c>
      <c r="F786" s="149">
        <v>220700</v>
      </c>
      <c r="G786" s="149">
        <v>51311</v>
      </c>
      <c r="H786" s="150" t="str">
        <f t="shared" si="36"/>
        <v>5</v>
      </c>
      <c r="I786" s="150" t="str">
        <f t="shared" si="37"/>
        <v>51</v>
      </c>
      <c r="J786" s="150" t="str">
        <f t="shared" si="38"/>
        <v>513</v>
      </c>
      <c r="K786" s="150" t="s">
        <v>7732</v>
      </c>
      <c r="L786" s="149" t="s">
        <v>433</v>
      </c>
      <c r="M786" s="151">
        <v>101500</v>
      </c>
    </row>
    <row r="787" spans="1:13" s="149" customFormat="1" x14ac:dyDescent="0.25">
      <c r="A787" s="149" t="s">
        <v>7639</v>
      </c>
      <c r="B787" s="149" t="s">
        <v>1412</v>
      </c>
      <c r="C787" s="149">
        <v>11</v>
      </c>
      <c r="D787" s="149">
        <v>310</v>
      </c>
      <c r="E787" s="149">
        <v>0</v>
      </c>
      <c r="F787" s="149">
        <v>220700</v>
      </c>
      <c r="G787" s="149">
        <v>53110</v>
      </c>
      <c r="H787" s="150" t="str">
        <f t="shared" si="36"/>
        <v>5</v>
      </c>
      <c r="I787" s="150" t="str">
        <f t="shared" si="37"/>
        <v>53</v>
      </c>
      <c r="J787" s="150" t="str">
        <f t="shared" si="38"/>
        <v>531</v>
      </c>
      <c r="K787" s="150" t="s">
        <v>8854</v>
      </c>
      <c r="L787" s="149" t="s">
        <v>435</v>
      </c>
      <c r="M787" s="151">
        <v>35993.18</v>
      </c>
    </row>
    <row r="788" spans="1:13" s="149" customFormat="1" x14ac:dyDescent="0.25">
      <c r="A788" s="149" t="s">
        <v>7639</v>
      </c>
      <c r="B788" s="149" t="s">
        <v>1413</v>
      </c>
      <c r="C788" s="149">
        <v>11</v>
      </c>
      <c r="D788" s="149">
        <v>310</v>
      </c>
      <c r="E788" s="149">
        <v>0</v>
      </c>
      <c r="F788" s="149">
        <v>220700</v>
      </c>
      <c r="G788" s="149">
        <v>53330</v>
      </c>
      <c r="H788" s="150" t="str">
        <f t="shared" si="36"/>
        <v>5</v>
      </c>
      <c r="I788" s="150" t="str">
        <f t="shared" si="37"/>
        <v>53</v>
      </c>
      <c r="J788" s="150" t="str">
        <f t="shared" si="38"/>
        <v>533</v>
      </c>
      <c r="K788" s="150" t="s">
        <v>8855</v>
      </c>
      <c r="L788" s="149" t="s">
        <v>437</v>
      </c>
      <c r="M788" s="151">
        <v>3231.58</v>
      </c>
    </row>
    <row r="789" spans="1:13" s="149" customFormat="1" x14ac:dyDescent="0.25">
      <c r="A789" s="149" t="s">
        <v>7639</v>
      </c>
      <c r="B789" s="149" t="s">
        <v>1414</v>
      </c>
      <c r="C789" s="149">
        <v>11</v>
      </c>
      <c r="D789" s="149">
        <v>310</v>
      </c>
      <c r="E789" s="149">
        <v>0</v>
      </c>
      <c r="F789" s="149">
        <v>220700</v>
      </c>
      <c r="G789" s="149">
        <v>53410</v>
      </c>
      <c r="H789" s="150" t="str">
        <f t="shared" si="36"/>
        <v>5</v>
      </c>
      <c r="I789" s="150" t="str">
        <f t="shared" si="37"/>
        <v>53</v>
      </c>
      <c r="J789" s="150" t="str">
        <f t="shared" si="38"/>
        <v>534</v>
      </c>
      <c r="K789" s="150" t="s">
        <v>8856</v>
      </c>
      <c r="L789" s="149" t="s">
        <v>1415</v>
      </c>
      <c r="M789" s="151">
        <v>33121.43</v>
      </c>
    </row>
    <row r="790" spans="1:13" s="149" customFormat="1" x14ac:dyDescent="0.25">
      <c r="A790" s="149" t="s">
        <v>7639</v>
      </c>
      <c r="B790" s="149" t="s">
        <v>1416</v>
      </c>
      <c r="C790" s="149">
        <v>11</v>
      </c>
      <c r="D790" s="149">
        <v>310</v>
      </c>
      <c r="E790" s="149">
        <v>0</v>
      </c>
      <c r="F790" s="149">
        <v>220700</v>
      </c>
      <c r="G790" s="149">
        <v>53510</v>
      </c>
      <c r="H790" s="150" t="str">
        <f t="shared" si="36"/>
        <v>5</v>
      </c>
      <c r="I790" s="150" t="str">
        <f t="shared" si="37"/>
        <v>53</v>
      </c>
      <c r="J790" s="150" t="str">
        <f t="shared" si="38"/>
        <v>535</v>
      </c>
      <c r="K790" s="150" t="s">
        <v>8857</v>
      </c>
      <c r="L790" s="149" t="s">
        <v>439</v>
      </c>
      <c r="M790" s="151">
        <v>111.44</v>
      </c>
    </row>
    <row r="791" spans="1:13" s="149" customFormat="1" x14ac:dyDescent="0.25">
      <c r="A791" s="149" t="s">
        <v>7639</v>
      </c>
      <c r="B791" s="149" t="s">
        <v>1417</v>
      </c>
      <c r="C791" s="149">
        <v>11</v>
      </c>
      <c r="D791" s="149">
        <v>310</v>
      </c>
      <c r="E791" s="149">
        <v>0</v>
      </c>
      <c r="F791" s="149">
        <v>220700</v>
      </c>
      <c r="G791" s="149">
        <v>53610</v>
      </c>
      <c r="H791" s="150" t="str">
        <f t="shared" si="36"/>
        <v>5</v>
      </c>
      <c r="I791" s="150" t="str">
        <f t="shared" si="37"/>
        <v>53</v>
      </c>
      <c r="J791" s="150" t="str">
        <f t="shared" si="38"/>
        <v>536</v>
      </c>
      <c r="K791" s="150" t="s">
        <v>8858</v>
      </c>
      <c r="L791" s="149" t="s">
        <v>441</v>
      </c>
      <c r="M791" s="151">
        <v>4213.99</v>
      </c>
    </row>
    <row r="792" spans="1:13" s="149" customFormat="1" x14ac:dyDescent="0.25">
      <c r="A792" s="149" t="s">
        <v>7639</v>
      </c>
      <c r="B792" s="149" t="s">
        <v>1418</v>
      </c>
      <c r="C792" s="149">
        <v>11</v>
      </c>
      <c r="D792" s="149">
        <v>310</v>
      </c>
      <c r="E792" s="149">
        <v>0</v>
      </c>
      <c r="F792" s="149">
        <v>220700</v>
      </c>
      <c r="G792" s="149">
        <v>55630</v>
      </c>
      <c r="H792" s="150" t="str">
        <f t="shared" si="36"/>
        <v>5</v>
      </c>
      <c r="I792" s="150" t="str">
        <f t="shared" si="37"/>
        <v>55</v>
      </c>
      <c r="J792" s="150" t="str">
        <f t="shared" si="38"/>
        <v>556</v>
      </c>
      <c r="K792" s="150" t="s">
        <v>8208</v>
      </c>
      <c r="L792" s="149" t="s">
        <v>443</v>
      </c>
      <c r="M792" s="151">
        <v>25</v>
      </c>
    </row>
    <row r="793" spans="1:13" s="149" customFormat="1" x14ac:dyDescent="0.25">
      <c r="A793" s="149" t="s">
        <v>7639</v>
      </c>
      <c r="B793" s="149" t="s">
        <v>1419</v>
      </c>
      <c r="C793" s="149">
        <v>11</v>
      </c>
      <c r="D793" s="149">
        <v>310</v>
      </c>
      <c r="E793" s="149">
        <v>0</v>
      </c>
      <c r="F793" s="149">
        <v>220800</v>
      </c>
      <c r="G793" s="149">
        <v>51100</v>
      </c>
      <c r="H793" s="150" t="str">
        <f t="shared" si="36"/>
        <v>5</v>
      </c>
      <c r="I793" s="150" t="str">
        <f t="shared" si="37"/>
        <v>51</v>
      </c>
      <c r="J793" s="150" t="str">
        <f t="shared" si="38"/>
        <v>511</v>
      </c>
      <c r="K793" s="150" t="s">
        <v>8859</v>
      </c>
      <c r="L793" s="149" t="s">
        <v>1420</v>
      </c>
      <c r="M793" s="151">
        <v>99900</v>
      </c>
    </row>
    <row r="794" spans="1:13" s="149" customFormat="1" x14ac:dyDescent="0.25">
      <c r="A794" s="149" t="s">
        <v>7639</v>
      </c>
      <c r="B794" s="149" t="s">
        <v>1421</v>
      </c>
      <c r="C794" s="149">
        <v>11</v>
      </c>
      <c r="D794" s="149">
        <v>310</v>
      </c>
      <c r="E794" s="149">
        <v>0</v>
      </c>
      <c r="F794" s="149">
        <v>220800</v>
      </c>
      <c r="G794" s="149">
        <v>51310</v>
      </c>
      <c r="H794" s="150" t="str">
        <f t="shared" si="36"/>
        <v>5</v>
      </c>
      <c r="I794" s="150" t="str">
        <f t="shared" si="37"/>
        <v>51</v>
      </c>
      <c r="J794" s="150" t="str">
        <f t="shared" si="38"/>
        <v>513</v>
      </c>
      <c r="K794" s="150" t="s">
        <v>7659</v>
      </c>
      <c r="L794" s="149" t="s">
        <v>1422</v>
      </c>
      <c r="M794" s="151">
        <v>21465</v>
      </c>
    </row>
    <row r="795" spans="1:13" s="149" customFormat="1" x14ac:dyDescent="0.25">
      <c r="A795" s="149" t="s">
        <v>7639</v>
      </c>
      <c r="B795" s="149" t="s">
        <v>1423</v>
      </c>
      <c r="C795" s="149">
        <v>11</v>
      </c>
      <c r="D795" s="149">
        <v>310</v>
      </c>
      <c r="E795" s="149">
        <v>0</v>
      </c>
      <c r="F795" s="149">
        <v>220800</v>
      </c>
      <c r="G795" s="149">
        <v>51311</v>
      </c>
      <c r="H795" s="150" t="str">
        <f t="shared" si="36"/>
        <v>5</v>
      </c>
      <c r="I795" s="150" t="str">
        <f t="shared" si="37"/>
        <v>51</v>
      </c>
      <c r="J795" s="150" t="str">
        <f t="shared" si="38"/>
        <v>513</v>
      </c>
      <c r="K795" s="150" t="s">
        <v>7733</v>
      </c>
      <c r="L795" s="149" t="s">
        <v>445</v>
      </c>
      <c r="M795" s="151">
        <v>49035</v>
      </c>
    </row>
    <row r="796" spans="1:13" s="149" customFormat="1" x14ac:dyDescent="0.25">
      <c r="A796" s="149" t="s">
        <v>7639</v>
      </c>
      <c r="B796" s="149" t="s">
        <v>1424</v>
      </c>
      <c r="C796" s="149">
        <v>11</v>
      </c>
      <c r="D796" s="149">
        <v>310</v>
      </c>
      <c r="E796" s="149">
        <v>0</v>
      </c>
      <c r="F796" s="149">
        <v>220800</v>
      </c>
      <c r="G796" s="149">
        <v>53110</v>
      </c>
      <c r="H796" s="150" t="str">
        <f t="shared" si="36"/>
        <v>5</v>
      </c>
      <c r="I796" s="150" t="str">
        <f t="shared" si="37"/>
        <v>53</v>
      </c>
      <c r="J796" s="150" t="str">
        <f t="shared" si="38"/>
        <v>531</v>
      </c>
      <c r="K796" s="150" t="s">
        <v>8860</v>
      </c>
      <c r="L796" s="149" t="s">
        <v>447</v>
      </c>
      <c r="M796" s="151">
        <v>27519.599999999999</v>
      </c>
    </row>
    <row r="797" spans="1:13" s="149" customFormat="1" x14ac:dyDescent="0.25">
      <c r="A797" s="149" t="s">
        <v>7639</v>
      </c>
      <c r="B797" s="149" t="s">
        <v>1425</v>
      </c>
      <c r="C797" s="149">
        <v>11</v>
      </c>
      <c r="D797" s="149">
        <v>310</v>
      </c>
      <c r="E797" s="149">
        <v>0</v>
      </c>
      <c r="F797" s="149">
        <v>220800</v>
      </c>
      <c r="G797" s="149">
        <v>53310</v>
      </c>
      <c r="H797" s="150" t="str">
        <f t="shared" si="36"/>
        <v>5</v>
      </c>
      <c r="I797" s="150" t="str">
        <f t="shared" si="37"/>
        <v>53</v>
      </c>
      <c r="J797" s="150" t="str">
        <f t="shared" si="38"/>
        <v>533</v>
      </c>
      <c r="K797" s="150" t="s">
        <v>8861</v>
      </c>
      <c r="L797" s="149" t="s">
        <v>1426</v>
      </c>
      <c r="M797" s="151">
        <v>0</v>
      </c>
    </row>
    <row r="798" spans="1:13" s="149" customFormat="1" x14ac:dyDescent="0.25">
      <c r="A798" s="149" t="s">
        <v>7639</v>
      </c>
      <c r="B798" s="149" t="s">
        <v>1427</v>
      </c>
      <c r="C798" s="149">
        <v>11</v>
      </c>
      <c r="D798" s="149">
        <v>310</v>
      </c>
      <c r="E798" s="149">
        <v>0</v>
      </c>
      <c r="F798" s="149">
        <v>220800</v>
      </c>
      <c r="G798" s="149">
        <v>53330</v>
      </c>
      <c r="H798" s="150" t="str">
        <f t="shared" si="36"/>
        <v>5</v>
      </c>
      <c r="I798" s="150" t="str">
        <f t="shared" si="37"/>
        <v>53</v>
      </c>
      <c r="J798" s="150" t="str">
        <f t="shared" si="38"/>
        <v>533</v>
      </c>
      <c r="K798" s="150" t="s">
        <v>8862</v>
      </c>
      <c r="L798" s="149" t="s">
        <v>449</v>
      </c>
      <c r="M798" s="151">
        <v>2470.8000000000002</v>
      </c>
    </row>
    <row r="799" spans="1:13" s="149" customFormat="1" x14ac:dyDescent="0.25">
      <c r="A799" s="149" t="s">
        <v>7639</v>
      </c>
      <c r="B799" s="149" t="s">
        <v>1428</v>
      </c>
      <c r="C799" s="149">
        <v>11</v>
      </c>
      <c r="D799" s="149">
        <v>310</v>
      </c>
      <c r="E799" s="149">
        <v>0</v>
      </c>
      <c r="F799" s="149">
        <v>220800</v>
      </c>
      <c r="G799" s="149">
        <v>53410</v>
      </c>
      <c r="H799" s="150" t="str">
        <f t="shared" si="36"/>
        <v>5</v>
      </c>
      <c r="I799" s="150" t="str">
        <f t="shared" si="37"/>
        <v>53</v>
      </c>
      <c r="J799" s="150" t="str">
        <f t="shared" si="38"/>
        <v>534</v>
      </c>
      <c r="K799" s="150" t="s">
        <v>8863</v>
      </c>
      <c r="L799" s="149" t="s">
        <v>1429</v>
      </c>
      <c r="M799" s="151">
        <v>33121.43</v>
      </c>
    </row>
    <row r="800" spans="1:13" s="149" customFormat="1" x14ac:dyDescent="0.25">
      <c r="A800" s="149" t="s">
        <v>7639</v>
      </c>
      <c r="B800" s="149" t="s">
        <v>1430</v>
      </c>
      <c r="C800" s="149">
        <v>11</v>
      </c>
      <c r="D800" s="149">
        <v>310</v>
      </c>
      <c r="E800" s="149">
        <v>0</v>
      </c>
      <c r="F800" s="149">
        <v>220800</v>
      </c>
      <c r="G800" s="149">
        <v>53510</v>
      </c>
      <c r="H800" s="150" t="str">
        <f t="shared" si="36"/>
        <v>5</v>
      </c>
      <c r="I800" s="150" t="str">
        <f t="shared" si="37"/>
        <v>53</v>
      </c>
      <c r="J800" s="150" t="str">
        <f t="shared" si="38"/>
        <v>535</v>
      </c>
      <c r="K800" s="150" t="s">
        <v>8864</v>
      </c>
      <c r="L800" s="149" t="s">
        <v>451</v>
      </c>
      <c r="M800" s="151">
        <v>85.2</v>
      </c>
    </row>
    <row r="801" spans="1:13" s="149" customFormat="1" x14ac:dyDescent="0.25">
      <c r="A801" s="149" t="s">
        <v>7639</v>
      </c>
      <c r="B801" s="149" t="s">
        <v>1431</v>
      </c>
      <c r="C801" s="149">
        <v>11</v>
      </c>
      <c r="D801" s="149">
        <v>310</v>
      </c>
      <c r="E801" s="149">
        <v>0</v>
      </c>
      <c r="F801" s="149">
        <v>220800</v>
      </c>
      <c r="G801" s="149">
        <v>53610</v>
      </c>
      <c r="H801" s="150" t="str">
        <f t="shared" si="36"/>
        <v>5</v>
      </c>
      <c r="I801" s="150" t="str">
        <f t="shared" si="37"/>
        <v>53</v>
      </c>
      <c r="J801" s="150" t="str">
        <f t="shared" si="38"/>
        <v>536</v>
      </c>
      <c r="K801" s="150" t="s">
        <v>8865</v>
      </c>
      <c r="L801" s="149" t="s">
        <v>453</v>
      </c>
      <c r="M801" s="151">
        <v>3221.92</v>
      </c>
    </row>
    <row r="802" spans="1:13" s="149" customFormat="1" x14ac:dyDescent="0.25">
      <c r="A802" s="149" t="s">
        <v>7639</v>
      </c>
      <c r="B802" s="149" t="s">
        <v>1432</v>
      </c>
      <c r="C802" s="149">
        <v>11</v>
      </c>
      <c r="D802" s="149">
        <v>310</v>
      </c>
      <c r="E802" s="149">
        <v>0</v>
      </c>
      <c r="F802" s="149">
        <v>220800</v>
      </c>
      <c r="G802" s="149">
        <v>55630</v>
      </c>
      <c r="H802" s="150" t="str">
        <f t="shared" si="36"/>
        <v>5</v>
      </c>
      <c r="I802" s="150" t="str">
        <f t="shared" si="37"/>
        <v>55</v>
      </c>
      <c r="J802" s="150" t="str">
        <f t="shared" si="38"/>
        <v>556</v>
      </c>
      <c r="K802" s="150" t="s">
        <v>8209</v>
      </c>
      <c r="L802" s="149" t="s">
        <v>455</v>
      </c>
      <c r="M802" s="151">
        <v>26.84</v>
      </c>
    </row>
    <row r="803" spans="1:13" s="149" customFormat="1" x14ac:dyDescent="0.25">
      <c r="A803" s="149" t="s">
        <v>7639</v>
      </c>
      <c r="B803" s="149" t="s">
        <v>1433</v>
      </c>
      <c r="C803" s="149">
        <v>11</v>
      </c>
      <c r="D803" s="149">
        <v>320</v>
      </c>
      <c r="E803" s="149">
        <v>0</v>
      </c>
      <c r="F803" s="149">
        <v>83500</v>
      </c>
      <c r="G803" s="149">
        <v>51100</v>
      </c>
      <c r="H803" s="150" t="str">
        <f t="shared" si="36"/>
        <v>5</v>
      </c>
      <c r="I803" s="150" t="str">
        <f t="shared" si="37"/>
        <v>51</v>
      </c>
      <c r="J803" s="150" t="str">
        <f t="shared" si="38"/>
        <v>511</v>
      </c>
      <c r="K803" s="150" t="s">
        <v>8866</v>
      </c>
      <c r="L803" s="149" t="s">
        <v>1434</v>
      </c>
      <c r="M803" s="151">
        <v>268582.95</v>
      </c>
    </row>
    <row r="804" spans="1:13" s="149" customFormat="1" x14ac:dyDescent="0.25">
      <c r="A804" s="149" t="s">
        <v>7639</v>
      </c>
      <c r="B804" s="149" t="s">
        <v>1435</v>
      </c>
      <c r="C804" s="149">
        <v>11</v>
      </c>
      <c r="D804" s="149">
        <v>320</v>
      </c>
      <c r="E804" s="149">
        <v>0</v>
      </c>
      <c r="F804" s="149">
        <v>83500</v>
      </c>
      <c r="G804" s="149">
        <v>51310</v>
      </c>
      <c r="H804" s="150" t="str">
        <f t="shared" si="36"/>
        <v>5</v>
      </c>
      <c r="I804" s="150" t="str">
        <f t="shared" si="37"/>
        <v>51</v>
      </c>
      <c r="J804" s="150" t="str">
        <f t="shared" si="38"/>
        <v>513</v>
      </c>
      <c r="K804" s="150" t="s">
        <v>7660</v>
      </c>
      <c r="L804" s="149" t="s">
        <v>1436</v>
      </c>
      <c r="M804" s="151">
        <v>36000</v>
      </c>
    </row>
    <row r="805" spans="1:13" s="149" customFormat="1" x14ac:dyDescent="0.25">
      <c r="A805" s="149" t="s">
        <v>7639</v>
      </c>
      <c r="B805" s="149" t="s">
        <v>1437</v>
      </c>
      <c r="C805" s="149">
        <v>11</v>
      </c>
      <c r="D805" s="149">
        <v>320</v>
      </c>
      <c r="E805" s="149">
        <v>0</v>
      </c>
      <c r="F805" s="149">
        <v>83500</v>
      </c>
      <c r="G805" s="149">
        <v>51311</v>
      </c>
      <c r="H805" s="150" t="str">
        <f t="shared" si="36"/>
        <v>5</v>
      </c>
      <c r="I805" s="150" t="str">
        <f t="shared" si="37"/>
        <v>51</v>
      </c>
      <c r="J805" s="150" t="str">
        <f t="shared" si="38"/>
        <v>513</v>
      </c>
      <c r="K805" s="150" t="s">
        <v>7734</v>
      </c>
      <c r="L805" s="149" t="s">
        <v>1438</v>
      </c>
      <c r="M805" s="151">
        <v>235000</v>
      </c>
    </row>
    <row r="806" spans="1:13" s="149" customFormat="1" x14ac:dyDescent="0.25">
      <c r="A806" s="149" t="s">
        <v>7639</v>
      </c>
      <c r="B806" s="149" t="s">
        <v>1439</v>
      </c>
      <c r="C806" s="149">
        <v>11</v>
      </c>
      <c r="D806" s="149">
        <v>320</v>
      </c>
      <c r="E806" s="149">
        <v>0</v>
      </c>
      <c r="F806" s="149">
        <v>83500</v>
      </c>
      <c r="G806" s="149">
        <v>51412</v>
      </c>
      <c r="H806" s="150" t="str">
        <f t="shared" si="36"/>
        <v>5</v>
      </c>
      <c r="I806" s="150" t="str">
        <f t="shared" si="37"/>
        <v>51</v>
      </c>
      <c r="J806" s="150" t="str">
        <f t="shared" si="38"/>
        <v>514</v>
      </c>
      <c r="K806" s="150" t="s">
        <v>7788</v>
      </c>
      <c r="L806" s="149" t="s">
        <v>1440</v>
      </c>
      <c r="M806" s="151">
        <v>500</v>
      </c>
    </row>
    <row r="807" spans="1:13" s="149" customFormat="1" x14ac:dyDescent="0.25">
      <c r="A807" s="149" t="s">
        <v>7639</v>
      </c>
      <c r="B807" s="149" t="s">
        <v>1441</v>
      </c>
      <c r="C807" s="149">
        <v>11</v>
      </c>
      <c r="D807" s="149">
        <v>320</v>
      </c>
      <c r="E807" s="149">
        <v>0</v>
      </c>
      <c r="F807" s="149">
        <v>83500</v>
      </c>
      <c r="G807" s="149">
        <v>52360</v>
      </c>
      <c r="H807" s="150" t="str">
        <f t="shared" si="36"/>
        <v>5</v>
      </c>
      <c r="I807" s="150" t="str">
        <f t="shared" si="37"/>
        <v>52</v>
      </c>
      <c r="J807" s="150" t="str">
        <f t="shared" si="38"/>
        <v>523</v>
      </c>
      <c r="K807" s="150" t="s">
        <v>7869</v>
      </c>
      <c r="L807" s="149" t="s">
        <v>1442</v>
      </c>
      <c r="M807" s="151">
        <v>13000</v>
      </c>
    </row>
    <row r="808" spans="1:13" s="149" customFormat="1" x14ac:dyDescent="0.25">
      <c r="A808" s="149" t="s">
        <v>7639</v>
      </c>
      <c r="B808" s="149" t="s">
        <v>1443</v>
      </c>
      <c r="C808" s="149">
        <v>11</v>
      </c>
      <c r="D808" s="149">
        <v>320</v>
      </c>
      <c r="E808" s="149">
        <v>0</v>
      </c>
      <c r="F808" s="149">
        <v>83500</v>
      </c>
      <c r="G808" s="149">
        <v>52400</v>
      </c>
      <c r="H808" s="150" t="str">
        <f t="shared" si="36"/>
        <v>5</v>
      </c>
      <c r="I808" s="150" t="str">
        <f t="shared" si="37"/>
        <v>52</v>
      </c>
      <c r="J808" s="150" t="str">
        <f t="shared" si="38"/>
        <v>524</v>
      </c>
      <c r="K808" s="150" t="s">
        <v>7888</v>
      </c>
      <c r="L808" s="149" t="s">
        <v>1444</v>
      </c>
      <c r="M808" s="151">
        <v>4000</v>
      </c>
    </row>
    <row r="809" spans="1:13" s="149" customFormat="1" x14ac:dyDescent="0.25">
      <c r="A809" s="149" t="s">
        <v>7639</v>
      </c>
      <c r="B809" s="149" t="s">
        <v>1445</v>
      </c>
      <c r="C809" s="149">
        <v>11</v>
      </c>
      <c r="D809" s="149">
        <v>320</v>
      </c>
      <c r="E809" s="149">
        <v>0</v>
      </c>
      <c r="F809" s="149">
        <v>83500</v>
      </c>
      <c r="G809" s="149">
        <v>53110</v>
      </c>
      <c r="H809" s="150" t="str">
        <f t="shared" si="36"/>
        <v>5</v>
      </c>
      <c r="I809" s="150" t="str">
        <f t="shared" si="37"/>
        <v>53</v>
      </c>
      <c r="J809" s="150" t="str">
        <f t="shared" si="38"/>
        <v>531</v>
      </c>
      <c r="K809" s="150" t="s">
        <v>8867</v>
      </c>
      <c r="L809" s="149" t="s">
        <v>1446</v>
      </c>
      <c r="M809" s="151">
        <v>87142.65</v>
      </c>
    </row>
    <row r="810" spans="1:13" s="149" customFormat="1" x14ac:dyDescent="0.25">
      <c r="A810" s="149" t="s">
        <v>7639</v>
      </c>
      <c r="B810" s="149" t="s">
        <v>1447</v>
      </c>
      <c r="C810" s="149">
        <v>11</v>
      </c>
      <c r="D810" s="149">
        <v>320</v>
      </c>
      <c r="E810" s="149">
        <v>0</v>
      </c>
      <c r="F810" s="149">
        <v>83500</v>
      </c>
      <c r="G810" s="149">
        <v>53120</v>
      </c>
      <c r="H810" s="150" t="str">
        <f t="shared" si="36"/>
        <v>5</v>
      </c>
      <c r="I810" s="150" t="str">
        <f t="shared" si="37"/>
        <v>53</v>
      </c>
      <c r="J810" s="150" t="str">
        <f t="shared" si="38"/>
        <v>531</v>
      </c>
      <c r="K810" s="150" t="s">
        <v>8868</v>
      </c>
      <c r="L810" s="149" t="s">
        <v>1448</v>
      </c>
      <c r="M810" s="151">
        <v>80.75</v>
      </c>
    </row>
    <row r="811" spans="1:13" s="149" customFormat="1" x14ac:dyDescent="0.25">
      <c r="A811" s="149" t="s">
        <v>7639</v>
      </c>
      <c r="B811" s="149" t="s">
        <v>1449</v>
      </c>
      <c r="C811" s="149">
        <v>11</v>
      </c>
      <c r="D811" s="149">
        <v>320</v>
      </c>
      <c r="E811" s="149">
        <v>0</v>
      </c>
      <c r="F811" s="149">
        <v>83500</v>
      </c>
      <c r="G811" s="149">
        <v>53310</v>
      </c>
      <c r="H811" s="150" t="str">
        <f t="shared" si="36"/>
        <v>5</v>
      </c>
      <c r="I811" s="150" t="str">
        <f t="shared" si="37"/>
        <v>53</v>
      </c>
      <c r="J811" s="150" t="str">
        <f t="shared" si="38"/>
        <v>533</v>
      </c>
      <c r="K811" s="150" t="s">
        <v>8869</v>
      </c>
      <c r="L811" s="149" t="s">
        <v>1450</v>
      </c>
      <c r="M811" s="151">
        <v>248</v>
      </c>
    </row>
    <row r="812" spans="1:13" s="149" customFormat="1" x14ac:dyDescent="0.25">
      <c r="A812" s="149" t="s">
        <v>7639</v>
      </c>
      <c r="B812" s="149" t="s">
        <v>1451</v>
      </c>
      <c r="C812" s="149">
        <v>11</v>
      </c>
      <c r="D812" s="149">
        <v>320</v>
      </c>
      <c r="E812" s="149">
        <v>0</v>
      </c>
      <c r="F812" s="149">
        <v>83500</v>
      </c>
      <c r="G812" s="149">
        <v>53320</v>
      </c>
      <c r="H812" s="150" t="str">
        <f t="shared" si="36"/>
        <v>5</v>
      </c>
      <c r="I812" s="150" t="str">
        <f t="shared" si="37"/>
        <v>53</v>
      </c>
      <c r="J812" s="150" t="str">
        <f t="shared" si="38"/>
        <v>533</v>
      </c>
      <c r="K812" s="150" t="s">
        <v>8870</v>
      </c>
      <c r="L812" s="149" t="s">
        <v>1452</v>
      </c>
      <c r="M812" s="151">
        <v>806</v>
      </c>
    </row>
    <row r="813" spans="1:13" s="149" customFormat="1" x14ac:dyDescent="0.25">
      <c r="A813" s="149" t="s">
        <v>7639</v>
      </c>
      <c r="B813" s="149" t="s">
        <v>1453</v>
      </c>
      <c r="C813" s="149">
        <v>11</v>
      </c>
      <c r="D813" s="149">
        <v>320</v>
      </c>
      <c r="E813" s="149">
        <v>0</v>
      </c>
      <c r="F813" s="149">
        <v>83500</v>
      </c>
      <c r="G813" s="149">
        <v>53330</v>
      </c>
      <c r="H813" s="150" t="str">
        <f t="shared" si="36"/>
        <v>5</v>
      </c>
      <c r="I813" s="150" t="str">
        <f t="shared" si="37"/>
        <v>53</v>
      </c>
      <c r="J813" s="150" t="str">
        <f t="shared" si="38"/>
        <v>533</v>
      </c>
      <c r="K813" s="150" t="s">
        <v>8871</v>
      </c>
      <c r="L813" s="149" t="s">
        <v>1454</v>
      </c>
      <c r="M813" s="151">
        <v>7881.96</v>
      </c>
    </row>
    <row r="814" spans="1:13" s="149" customFormat="1" x14ac:dyDescent="0.25">
      <c r="A814" s="149" t="s">
        <v>7639</v>
      </c>
      <c r="B814" s="149" t="s">
        <v>1455</v>
      </c>
      <c r="C814" s="149">
        <v>11</v>
      </c>
      <c r="D814" s="149">
        <v>320</v>
      </c>
      <c r="E814" s="149">
        <v>0</v>
      </c>
      <c r="F814" s="149">
        <v>83500</v>
      </c>
      <c r="G814" s="149">
        <v>53340</v>
      </c>
      <c r="H814" s="150" t="str">
        <f t="shared" si="36"/>
        <v>5</v>
      </c>
      <c r="I814" s="150" t="str">
        <f t="shared" si="37"/>
        <v>53</v>
      </c>
      <c r="J814" s="150" t="str">
        <f t="shared" si="38"/>
        <v>533</v>
      </c>
      <c r="K814" s="150" t="s">
        <v>8872</v>
      </c>
      <c r="L814" s="149" t="s">
        <v>1456</v>
      </c>
      <c r="M814" s="151">
        <v>195.75</v>
      </c>
    </row>
    <row r="815" spans="1:13" s="149" customFormat="1" x14ac:dyDescent="0.25">
      <c r="A815" s="149" t="s">
        <v>7639</v>
      </c>
      <c r="B815" s="149" t="s">
        <v>1457</v>
      </c>
      <c r="C815" s="149">
        <v>11</v>
      </c>
      <c r="D815" s="149">
        <v>320</v>
      </c>
      <c r="E815" s="149">
        <v>0</v>
      </c>
      <c r="F815" s="149">
        <v>83500</v>
      </c>
      <c r="G815" s="149">
        <v>53410</v>
      </c>
      <c r="H815" s="150" t="str">
        <f t="shared" si="36"/>
        <v>5</v>
      </c>
      <c r="I815" s="150" t="str">
        <f t="shared" si="37"/>
        <v>53</v>
      </c>
      <c r="J815" s="150" t="str">
        <f t="shared" si="38"/>
        <v>534</v>
      </c>
      <c r="K815" s="150" t="s">
        <v>8873</v>
      </c>
      <c r="L815" s="149" t="s">
        <v>1458</v>
      </c>
      <c r="M815" s="151">
        <v>64580.89</v>
      </c>
    </row>
    <row r="816" spans="1:13" s="149" customFormat="1" x14ac:dyDescent="0.25">
      <c r="A816" s="149" t="s">
        <v>7639</v>
      </c>
      <c r="B816" s="149" t="s">
        <v>1459</v>
      </c>
      <c r="C816" s="149">
        <v>11</v>
      </c>
      <c r="D816" s="149">
        <v>320</v>
      </c>
      <c r="E816" s="149">
        <v>0</v>
      </c>
      <c r="F816" s="149">
        <v>83500</v>
      </c>
      <c r="G816" s="149">
        <v>53510</v>
      </c>
      <c r="H816" s="150" t="str">
        <f t="shared" si="36"/>
        <v>5</v>
      </c>
      <c r="I816" s="150" t="str">
        <f t="shared" si="37"/>
        <v>53</v>
      </c>
      <c r="J816" s="150" t="str">
        <f t="shared" si="38"/>
        <v>535</v>
      </c>
      <c r="K816" s="150" t="s">
        <v>8874</v>
      </c>
      <c r="L816" s="149" t="s">
        <v>1460</v>
      </c>
      <c r="M816" s="151">
        <v>271.8</v>
      </c>
    </row>
    <row r="817" spans="1:13" s="149" customFormat="1" x14ac:dyDescent="0.25">
      <c r="A817" s="149" t="s">
        <v>7639</v>
      </c>
      <c r="B817" s="149" t="s">
        <v>1461</v>
      </c>
      <c r="C817" s="149">
        <v>11</v>
      </c>
      <c r="D817" s="149">
        <v>320</v>
      </c>
      <c r="E817" s="149">
        <v>0</v>
      </c>
      <c r="F817" s="149">
        <v>83500</v>
      </c>
      <c r="G817" s="149">
        <v>53520</v>
      </c>
      <c r="H817" s="150" t="str">
        <f t="shared" si="36"/>
        <v>5</v>
      </c>
      <c r="I817" s="150" t="str">
        <f t="shared" si="37"/>
        <v>53</v>
      </c>
      <c r="J817" s="150" t="str">
        <f t="shared" si="38"/>
        <v>535</v>
      </c>
      <c r="K817" s="150" t="s">
        <v>8875</v>
      </c>
      <c r="L817" s="149" t="s">
        <v>1462</v>
      </c>
      <c r="M817" s="151">
        <v>6.75</v>
      </c>
    </row>
    <row r="818" spans="1:13" s="149" customFormat="1" x14ac:dyDescent="0.25">
      <c r="A818" s="149" t="s">
        <v>7639</v>
      </c>
      <c r="B818" s="149" t="s">
        <v>1463</v>
      </c>
      <c r="C818" s="149">
        <v>11</v>
      </c>
      <c r="D818" s="149">
        <v>320</v>
      </c>
      <c r="E818" s="149">
        <v>0</v>
      </c>
      <c r="F818" s="149">
        <v>83500</v>
      </c>
      <c r="G818" s="149">
        <v>53610</v>
      </c>
      <c r="H818" s="150" t="str">
        <f t="shared" si="36"/>
        <v>5</v>
      </c>
      <c r="I818" s="150" t="str">
        <f t="shared" si="37"/>
        <v>53</v>
      </c>
      <c r="J818" s="150" t="str">
        <f t="shared" si="38"/>
        <v>536</v>
      </c>
      <c r="K818" s="150" t="s">
        <v>8876</v>
      </c>
      <c r="L818" s="149" t="s">
        <v>1464</v>
      </c>
      <c r="M818" s="151">
        <v>10278.07</v>
      </c>
    </row>
    <row r="819" spans="1:13" s="149" customFormat="1" x14ac:dyDescent="0.25">
      <c r="A819" s="149" t="s">
        <v>7639</v>
      </c>
      <c r="B819" s="149" t="s">
        <v>1465</v>
      </c>
      <c r="C819" s="149">
        <v>11</v>
      </c>
      <c r="D819" s="149">
        <v>320</v>
      </c>
      <c r="E819" s="149">
        <v>0</v>
      </c>
      <c r="F819" s="149">
        <v>83500</v>
      </c>
      <c r="G819" s="149">
        <v>53620</v>
      </c>
      <c r="H819" s="150" t="str">
        <f t="shared" si="36"/>
        <v>5</v>
      </c>
      <c r="I819" s="150" t="str">
        <f t="shared" si="37"/>
        <v>53</v>
      </c>
      <c r="J819" s="150" t="str">
        <f t="shared" si="38"/>
        <v>536</v>
      </c>
      <c r="K819" s="150" t="s">
        <v>8877</v>
      </c>
      <c r="L819" s="149" t="s">
        <v>1466</v>
      </c>
      <c r="M819" s="151">
        <v>255.25</v>
      </c>
    </row>
    <row r="820" spans="1:13" s="149" customFormat="1" x14ac:dyDescent="0.25">
      <c r="A820" s="149" t="s">
        <v>7639</v>
      </c>
      <c r="B820" s="149" t="s">
        <v>1467</v>
      </c>
      <c r="C820" s="149">
        <v>11</v>
      </c>
      <c r="D820" s="149">
        <v>320</v>
      </c>
      <c r="E820" s="149">
        <v>0</v>
      </c>
      <c r="F820" s="149">
        <v>83500</v>
      </c>
      <c r="G820" s="149">
        <v>54300</v>
      </c>
      <c r="H820" s="150" t="str">
        <f t="shared" si="36"/>
        <v>5</v>
      </c>
      <c r="I820" s="150" t="str">
        <f t="shared" si="37"/>
        <v>54</v>
      </c>
      <c r="J820" s="150" t="str">
        <f t="shared" si="38"/>
        <v>543</v>
      </c>
      <c r="K820" s="150" t="s">
        <v>7936</v>
      </c>
      <c r="L820" s="149" t="s">
        <v>1468</v>
      </c>
      <c r="M820" s="151">
        <v>1300</v>
      </c>
    </row>
    <row r="821" spans="1:13" s="149" customFormat="1" x14ac:dyDescent="0.25">
      <c r="A821" s="149" t="s">
        <v>7639</v>
      </c>
      <c r="B821" s="149" t="s">
        <v>1469</v>
      </c>
      <c r="C821" s="149">
        <v>11</v>
      </c>
      <c r="D821" s="149">
        <v>320</v>
      </c>
      <c r="E821" s="149">
        <v>0</v>
      </c>
      <c r="F821" s="149">
        <v>83500</v>
      </c>
      <c r="G821" s="149">
        <v>55309</v>
      </c>
      <c r="H821" s="150" t="str">
        <f t="shared" si="36"/>
        <v>5</v>
      </c>
      <c r="I821" s="150" t="str">
        <f t="shared" si="37"/>
        <v>55</v>
      </c>
      <c r="J821" s="150" t="str">
        <f t="shared" si="38"/>
        <v>553</v>
      </c>
      <c r="K821" s="150" t="s">
        <v>8105</v>
      </c>
      <c r="L821" s="149" t="s">
        <v>1470</v>
      </c>
      <c r="M821" s="151">
        <v>700</v>
      </c>
    </row>
    <row r="822" spans="1:13" s="149" customFormat="1" x14ac:dyDescent="0.25">
      <c r="A822" s="149" t="s">
        <v>7639</v>
      </c>
      <c r="B822" s="149" t="s">
        <v>1471</v>
      </c>
      <c r="C822" s="149">
        <v>11</v>
      </c>
      <c r="D822" s="149">
        <v>320</v>
      </c>
      <c r="E822" s="149">
        <v>0</v>
      </c>
      <c r="F822" s="149">
        <v>83500</v>
      </c>
      <c r="G822" s="149">
        <v>55630</v>
      </c>
      <c r="H822" s="150" t="str">
        <f t="shared" si="36"/>
        <v>5</v>
      </c>
      <c r="I822" s="150" t="str">
        <f t="shared" si="37"/>
        <v>55</v>
      </c>
      <c r="J822" s="150" t="str">
        <f t="shared" si="38"/>
        <v>556</v>
      </c>
      <c r="K822" s="150" t="s">
        <v>8210</v>
      </c>
      <c r="L822" s="149" t="s">
        <v>1472</v>
      </c>
      <c r="M822" s="151">
        <v>483.23</v>
      </c>
    </row>
    <row r="823" spans="1:13" s="149" customFormat="1" x14ac:dyDescent="0.25">
      <c r="A823" s="149" t="s">
        <v>7639</v>
      </c>
      <c r="B823" s="149" t="s">
        <v>1473</v>
      </c>
      <c r="C823" s="149">
        <v>11</v>
      </c>
      <c r="D823" s="149">
        <v>320</v>
      </c>
      <c r="E823" s="149">
        <v>0</v>
      </c>
      <c r="F823" s="149">
        <v>83500</v>
      </c>
      <c r="G823" s="149">
        <v>55651</v>
      </c>
      <c r="H823" s="150" t="str">
        <f t="shared" si="36"/>
        <v>5</v>
      </c>
      <c r="I823" s="150" t="str">
        <f t="shared" si="37"/>
        <v>55</v>
      </c>
      <c r="J823" s="150" t="str">
        <f t="shared" si="38"/>
        <v>556</v>
      </c>
      <c r="K823" s="150" t="s">
        <v>8318</v>
      </c>
      <c r="L823" s="149" t="s">
        <v>1474</v>
      </c>
      <c r="M823" s="151">
        <v>3500</v>
      </c>
    </row>
    <row r="824" spans="1:13" s="149" customFormat="1" x14ac:dyDescent="0.25">
      <c r="A824" s="149" t="s">
        <v>7639</v>
      </c>
      <c r="B824" s="149" t="s">
        <v>1475</v>
      </c>
      <c r="C824" s="149">
        <v>11</v>
      </c>
      <c r="D824" s="149">
        <v>320</v>
      </c>
      <c r="E824" s="149">
        <v>0</v>
      </c>
      <c r="F824" s="149">
        <v>83510</v>
      </c>
      <c r="G824" s="149">
        <v>51100</v>
      </c>
      <c r="H824" s="150" t="str">
        <f t="shared" si="36"/>
        <v>5</v>
      </c>
      <c r="I824" s="150" t="str">
        <f t="shared" si="37"/>
        <v>51</v>
      </c>
      <c r="J824" s="150" t="str">
        <f t="shared" si="38"/>
        <v>511</v>
      </c>
      <c r="K824" s="150" t="s">
        <v>8878</v>
      </c>
      <c r="L824" s="149" t="s">
        <v>1476</v>
      </c>
      <c r="M824" s="151">
        <v>86758</v>
      </c>
    </row>
    <row r="825" spans="1:13" s="149" customFormat="1" x14ac:dyDescent="0.25">
      <c r="A825" s="149" t="s">
        <v>7639</v>
      </c>
      <c r="B825" s="149" t="s">
        <v>1477</v>
      </c>
      <c r="C825" s="149">
        <v>11</v>
      </c>
      <c r="D825" s="149">
        <v>320</v>
      </c>
      <c r="E825" s="149">
        <v>0</v>
      </c>
      <c r="F825" s="149">
        <v>83510</v>
      </c>
      <c r="G825" s="149">
        <v>51310</v>
      </c>
      <c r="H825" s="150" t="str">
        <f t="shared" si="36"/>
        <v>5</v>
      </c>
      <c r="I825" s="150" t="str">
        <f t="shared" si="37"/>
        <v>51</v>
      </c>
      <c r="J825" s="150" t="str">
        <f t="shared" si="38"/>
        <v>513</v>
      </c>
      <c r="K825" s="150" t="s">
        <v>7661</v>
      </c>
      <c r="L825" s="149" t="s">
        <v>1478</v>
      </c>
      <c r="M825" s="151">
        <v>5000</v>
      </c>
    </row>
    <row r="826" spans="1:13" s="149" customFormat="1" x14ac:dyDescent="0.25">
      <c r="A826" s="149" t="s">
        <v>7639</v>
      </c>
      <c r="B826" s="149" t="s">
        <v>1479</v>
      </c>
      <c r="C826" s="149">
        <v>11</v>
      </c>
      <c r="D826" s="149">
        <v>320</v>
      </c>
      <c r="E826" s="149">
        <v>0</v>
      </c>
      <c r="F826" s="149">
        <v>83510</v>
      </c>
      <c r="G826" s="149">
        <v>51311</v>
      </c>
      <c r="H826" s="150" t="str">
        <f t="shared" si="36"/>
        <v>5</v>
      </c>
      <c r="I826" s="150" t="str">
        <f t="shared" si="37"/>
        <v>51</v>
      </c>
      <c r="J826" s="150" t="str">
        <f t="shared" si="38"/>
        <v>513</v>
      </c>
      <c r="K826" s="150" t="s">
        <v>7735</v>
      </c>
      <c r="L826" s="149" t="s">
        <v>1480</v>
      </c>
      <c r="M826" s="151">
        <v>500</v>
      </c>
    </row>
    <row r="827" spans="1:13" s="149" customFormat="1" x14ac:dyDescent="0.25">
      <c r="A827" s="149" t="s">
        <v>7639</v>
      </c>
      <c r="B827" s="149" t="s">
        <v>1481</v>
      </c>
      <c r="C827" s="149">
        <v>11</v>
      </c>
      <c r="D827" s="149">
        <v>320</v>
      </c>
      <c r="E827" s="149">
        <v>0</v>
      </c>
      <c r="F827" s="149">
        <v>83510</v>
      </c>
      <c r="G827" s="149">
        <v>51412</v>
      </c>
      <c r="H827" s="150" t="str">
        <f t="shared" si="36"/>
        <v>5</v>
      </c>
      <c r="I827" s="150" t="str">
        <f t="shared" si="37"/>
        <v>51</v>
      </c>
      <c r="J827" s="150" t="str">
        <f t="shared" si="38"/>
        <v>514</v>
      </c>
      <c r="K827" s="150" t="s">
        <v>7789</v>
      </c>
      <c r="L827" s="149" t="s">
        <v>1482</v>
      </c>
      <c r="M827" s="151">
        <v>500</v>
      </c>
    </row>
    <row r="828" spans="1:13" s="149" customFormat="1" x14ac:dyDescent="0.25">
      <c r="A828" s="149" t="s">
        <v>7639</v>
      </c>
      <c r="B828" s="149" t="s">
        <v>1483</v>
      </c>
      <c r="C828" s="149">
        <v>11</v>
      </c>
      <c r="D828" s="149">
        <v>320</v>
      </c>
      <c r="E828" s="149">
        <v>0</v>
      </c>
      <c r="F828" s="149">
        <v>83510</v>
      </c>
      <c r="G828" s="149">
        <v>53110</v>
      </c>
      <c r="H828" s="150" t="str">
        <f t="shared" si="36"/>
        <v>5</v>
      </c>
      <c r="I828" s="150" t="str">
        <f t="shared" si="37"/>
        <v>53</v>
      </c>
      <c r="J828" s="150" t="str">
        <f t="shared" si="38"/>
        <v>531</v>
      </c>
      <c r="K828" s="150" t="s">
        <v>8879</v>
      </c>
      <c r="L828" s="149" t="s">
        <v>1484</v>
      </c>
      <c r="M828" s="151">
        <v>14899.67</v>
      </c>
    </row>
    <row r="829" spans="1:13" s="149" customFormat="1" x14ac:dyDescent="0.25">
      <c r="A829" s="149" t="s">
        <v>7639</v>
      </c>
      <c r="B829" s="149" t="s">
        <v>1485</v>
      </c>
      <c r="C829" s="149">
        <v>11</v>
      </c>
      <c r="D829" s="149">
        <v>320</v>
      </c>
      <c r="E829" s="149">
        <v>0</v>
      </c>
      <c r="F829" s="149">
        <v>83510</v>
      </c>
      <c r="G829" s="149">
        <v>53120</v>
      </c>
      <c r="H829" s="150" t="str">
        <f t="shared" si="36"/>
        <v>5</v>
      </c>
      <c r="I829" s="150" t="str">
        <f t="shared" si="37"/>
        <v>53</v>
      </c>
      <c r="J829" s="150" t="str">
        <f t="shared" si="38"/>
        <v>531</v>
      </c>
      <c r="K829" s="150" t="s">
        <v>8880</v>
      </c>
      <c r="L829" s="149" t="s">
        <v>1486</v>
      </c>
      <c r="M829" s="151">
        <v>80.75</v>
      </c>
    </row>
    <row r="830" spans="1:13" s="149" customFormat="1" x14ac:dyDescent="0.25">
      <c r="A830" s="149" t="s">
        <v>7639</v>
      </c>
      <c r="B830" s="149" t="s">
        <v>1487</v>
      </c>
      <c r="C830" s="149">
        <v>11</v>
      </c>
      <c r="D830" s="149">
        <v>320</v>
      </c>
      <c r="E830" s="149">
        <v>0</v>
      </c>
      <c r="F830" s="149">
        <v>83510</v>
      </c>
      <c r="G830" s="149">
        <v>53330</v>
      </c>
      <c r="H830" s="150" t="str">
        <f t="shared" si="36"/>
        <v>5</v>
      </c>
      <c r="I830" s="150" t="str">
        <f t="shared" si="37"/>
        <v>53</v>
      </c>
      <c r="J830" s="150" t="str">
        <f t="shared" si="38"/>
        <v>533</v>
      </c>
      <c r="K830" s="150" t="s">
        <v>8881</v>
      </c>
      <c r="L830" s="149" t="s">
        <v>1488</v>
      </c>
      <c r="M830" s="151">
        <v>1337.74</v>
      </c>
    </row>
    <row r="831" spans="1:13" s="149" customFormat="1" x14ac:dyDescent="0.25">
      <c r="A831" s="149" t="s">
        <v>7639</v>
      </c>
      <c r="B831" s="149" t="s">
        <v>1489</v>
      </c>
      <c r="C831" s="149">
        <v>11</v>
      </c>
      <c r="D831" s="149">
        <v>320</v>
      </c>
      <c r="E831" s="149">
        <v>0</v>
      </c>
      <c r="F831" s="149">
        <v>83510</v>
      </c>
      <c r="G831" s="149">
        <v>53340</v>
      </c>
      <c r="H831" s="150" t="str">
        <f t="shared" si="36"/>
        <v>5</v>
      </c>
      <c r="I831" s="150" t="str">
        <f t="shared" si="37"/>
        <v>53</v>
      </c>
      <c r="J831" s="150" t="str">
        <f t="shared" si="38"/>
        <v>533</v>
      </c>
      <c r="K831" s="150" t="s">
        <v>8882</v>
      </c>
      <c r="L831" s="149" t="s">
        <v>1490</v>
      </c>
      <c r="M831" s="151">
        <v>7.25</v>
      </c>
    </row>
    <row r="832" spans="1:13" s="149" customFormat="1" x14ac:dyDescent="0.25">
      <c r="A832" s="149" t="s">
        <v>7639</v>
      </c>
      <c r="B832" s="149" t="s">
        <v>1491</v>
      </c>
      <c r="C832" s="149">
        <v>11</v>
      </c>
      <c r="D832" s="149">
        <v>320</v>
      </c>
      <c r="E832" s="149">
        <v>0</v>
      </c>
      <c r="F832" s="149">
        <v>83510</v>
      </c>
      <c r="G832" s="149">
        <v>53410</v>
      </c>
      <c r="H832" s="150" t="str">
        <f t="shared" si="36"/>
        <v>5</v>
      </c>
      <c r="I832" s="150" t="str">
        <f t="shared" si="37"/>
        <v>53</v>
      </c>
      <c r="J832" s="150" t="str">
        <f t="shared" si="38"/>
        <v>534</v>
      </c>
      <c r="K832" s="150" t="s">
        <v>8883</v>
      </c>
      <c r="L832" s="149" t="s">
        <v>1492</v>
      </c>
      <c r="M832" s="151">
        <v>33121.43</v>
      </c>
    </row>
    <row r="833" spans="1:13" s="149" customFormat="1" x14ac:dyDescent="0.25">
      <c r="A833" s="149" t="s">
        <v>7639</v>
      </c>
      <c r="B833" s="149" t="s">
        <v>1493</v>
      </c>
      <c r="C833" s="149">
        <v>11</v>
      </c>
      <c r="D833" s="149">
        <v>320</v>
      </c>
      <c r="E833" s="149">
        <v>0</v>
      </c>
      <c r="F833" s="149">
        <v>83510</v>
      </c>
      <c r="G833" s="149">
        <v>53510</v>
      </c>
      <c r="H833" s="150" t="str">
        <f t="shared" si="36"/>
        <v>5</v>
      </c>
      <c r="I833" s="150" t="str">
        <f t="shared" si="37"/>
        <v>53</v>
      </c>
      <c r="J833" s="150" t="str">
        <f t="shared" si="38"/>
        <v>535</v>
      </c>
      <c r="K833" s="150" t="s">
        <v>8884</v>
      </c>
      <c r="L833" s="149" t="s">
        <v>1494</v>
      </c>
      <c r="M833" s="151">
        <v>46.13</v>
      </c>
    </row>
    <row r="834" spans="1:13" s="149" customFormat="1" x14ac:dyDescent="0.25">
      <c r="A834" s="149" t="s">
        <v>7639</v>
      </c>
      <c r="B834" s="149" t="s">
        <v>1495</v>
      </c>
      <c r="C834" s="149">
        <v>11</v>
      </c>
      <c r="D834" s="149">
        <v>320</v>
      </c>
      <c r="E834" s="149">
        <v>0</v>
      </c>
      <c r="F834" s="149">
        <v>83510</v>
      </c>
      <c r="G834" s="149">
        <v>53520</v>
      </c>
      <c r="H834" s="150" t="str">
        <f t="shared" si="36"/>
        <v>5</v>
      </c>
      <c r="I834" s="150" t="str">
        <f t="shared" si="37"/>
        <v>53</v>
      </c>
      <c r="J834" s="150" t="str">
        <f t="shared" si="38"/>
        <v>535</v>
      </c>
      <c r="K834" s="150" t="s">
        <v>8885</v>
      </c>
      <c r="L834" s="149" t="s">
        <v>1496</v>
      </c>
      <c r="M834" s="151">
        <v>0.25</v>
      </c>
    </row>
    <row r="835" spans="1:13" s="149" customFormat="1" x14ac:dyDescent="0.25">
      <c r="A835" s="149" t="s">
        <v>7639</v>
      </c>
      <c r="B835" s="149" t="s">
        <v>1497</v>
      </c>
      <c r="C835" s="149">
        <v>11</v>
      </c>
      <c r="D835" s="149">
        <v>320</v>
      </c>
      <c r="E835" s="149">
        <v>0</v>
      </c>
      <c r="F835" s="149">
        <v>83510</v>
      </c>
      <c r="G835" s="149">
        <v>53610</v>
      </c>
      <c r="H835" s="150" t="str">
        <f t="shared" ref="H835:H898" si="39">LEFT(G835,1)</f>
        <v>5</v>
      </c>
      <c r="I835" s="150" t="str">
        <f t="shared" ref="I835:I898" si="40">LEFT(G835,2)</f>
        <v>53</v>
      </c>
      <c r="J835" s="150" t="str">
        <f t="shared" ref="J835:J898" si="41">LEFT(G835,3)</f>
        <v>536</v>
      </c>
      <c r="K835" s="150" t="s">
        <v>8886</v>
      </c>
      <c r="L835" s="149" t="s">
        <v>1498</v>
      </c>
      <c r="M835" s="151">
        <v>1744.41</v>
      </c>
    </row>
    <row r="836" spans="1:13" s="149" customFormat="1" x14ac:dyDescent="0.25">
      <c r="A836" s="149" t="s">
        <v>7639</v>
      </c>
      <c r="B836" s="149" t="s">
        <v>1499</v>
      </c>
      <c r="C836" s="149">
        <v>11</v>
      </c>
      <c r="D836" s="149">
        <v>320</v>
      </c>
      <c r="E836" s="149">
        <v>0</v>
      </c>
      <c r="F836" s="149">
        <v>83510</v>
      </c>
      <c r="G836" s="149">
        <v>53620</v>
      </c>
      <c r="H836" s="150" t="str">
        <f t="shared" si="39"/>
        <v>5</v>
      </c>
      <c r="I836" s="150" t="str">
        <f t="shared" si="40"/>
        <v>53</v>
      </c>
      <c r="J836" s="150" t="str">
        <f t="shared" si="41"/>
        <v>536</v>
      </c>
      <c r="K836" s="150" t="s">
        <v>8887</v>
      </c>
      <c r="L836" s="149" t="s">
        <v>1500</v>
      </c>
      <c r="M836" s="151">
        <v>9.4499999999999993</v>
      </c>
    </row>
    <row r="837" spans="1:13" s="149" customFormat="1" x14ac:dyDescent="0.25">
      <c r="A837" s="149" t="s">
        <v>7639</v>
      </c>
      <c r="B837" s="149" t="s">
        <v>1501</v>
      </c>
      <c r="C837" s="149">
        <v>11</v>
      </c>
      <c r="D837" s="149">
        <v>320</v>
      </c>
      <c r="E837" s="149">
        <v>0</v>
      </c>
      <c r="F837" s="149">
        <v>83510</v>
      </c>
      <c r="G837" s="149">
        <v>55630</v>
      </c>
      <c r="H837" s="150" t="str">
        <f t="shared" si="39"/>
        <v>5</v>
      </c>
      <c r="I837" s="150" t="str">
        <f t="shared" si="40"/>
        <v>55</v>
      </c>
      <c r="J837" s="150" t="str">
        <f t="shared" si="41"/>
        <v>556</v>
      </c>
      <c r="K837" s="150" t="s">
        <v>8211</v>
      </c>
      <c r="L837" s="149" t="s">
        <v>1502</v>
      </c>
      <c r="M837" s="151">
        <v>50</v>
      </c>
    </row>
    <row r="838" spans="1:13" s="149" customFormat="1" x14ac:dyDescent="0.25">
      <c r="A838" s="149" t="s">
        <v>7639</v>
      </c>
      <c r="B838" s="149" t="s">
        <v>1503</v>
      </c>
      <c r="C838" s="149">
        <v>11</v>
      </c>
      <c r="D838" s="149">
        <v>320</v>
      </c>
      <c r="E838" s="149">
        <v>0</v>
      </c>
      <c r="F838" s="149">
        <v>83550</v>
      </c>
      <c r="G838" s="149">
        <v>51100</v>
      </c>
      <c r="H838" s="150" t="str">
        <f t="shared" si="39"/>
        <v>5</v>
      </c>
      <c r="I838" s="150" t="str">
        <f t="shared" si="40"/>
        <v>51</v>
      </c>
      <c r="J838" s="150" t="str">
        <f t="shared" si="41"/>
        <v>511</v>
      </c>
      <c r="K838" s="150" t="s">
        <v>8888</v>
      </c>
      <c r="L838" s="149" t="s">
        <v>1504</v>
      </c>
      <c r="M838" s="151">
        <v>533046.05000000005</v>
      </c>
    </row>
    <row r="839" spans="1:13" s="149" customFormat="1" x14ac:dyDescent="0.25">
      <c r="A839" s="149" t="s">
        <v>7639</v>
      </c>
      <c r="B839" s="149" t="s">
        <v>1505</v>
      </c>
      <c r="C839" s="149">
        <v>11</v>
      </c>
      <c r="D839" s="149">
        <v>320</v>
      </c>
      <c r="E839" s="149">
        <v>0</v>
      </c>
      <c r="F839" s="149">
        <v>83550</v>
      </c>
      <c r="G839" s="149">
        <v>51310</v>
      </c>
      <c r="H839" s="150" t="str">
        <f t="shared" si="39"/>
        <v>5</v>
      </c>
      <c r="I839" s="150" t="str">
        <f t="shared" si="40"/>
        <v>51</v>
      </c>
      <c r="J839" s="150" t="str">
        <f t="shared" si="41"/>
        <v>513</v>
      </c>
      <c r="K839" s="150" t="s">
        <v>7662</v>
      </c>
      <c r="L839" s="149" t="s">
        <v>1506</v>
      </c>
      <c r="M839" s="151">
        <v>8500</v>
      </c>
    </row>
    <row r="840" spans="1:13" s="149" customFormat="1" x14ac:dyDescent="0.25">
      <c r="A840" s="149" t="s">
        <v>7639</v>
      </c>
      <c r="B840" s="149" t="s">
        <v>1507</v>
      </c>
      <c r="C840" s="149">
        <v>11</v>
      </c>
      <c r="D840" s="149">
        <v>320</v>
      </c>
      <c r="E840" s="149">
        <v>0</v>
      </c>
      <c r="F840" s="149">
        <v>83550</v>
      </c>
      <c r="G840" s="149">
        <v>51311</v>
      </c>
      <c r="H840" s="150" t="str">
        <f t="shared" si="39"/>
        <v>5</v>
      </c>
      <c r="I840" s="150" t="str">
        <f t="shared" si="40"/>
        <v>51</v>
      </c>
      <c r="J840" s="150" t="str">
        <f t="shared" si="41"/>
        <v>513</v>
      </c>
      <c r="K840" s="150" t="s">
        <v>7736</v>
      </c>
      <c r="L840" s="149" t="s">
        <v>1508</v>
      </c>
      <c r="M840" s="151">
        <v>64000</v>
      </c>
    </row>
    <row r="841" spans="1:13" s="149" customFormat="1" x14ac:dyDescent="0.25">
      <c r="A841" s="149" t="s">
        <v>7639</v>
      </c>
      <c r="B841" s="149" t="s">
        <v>1509</v>
      </c>
      <c r="C841" s="149">
        <v>11</v>
      </c>
      <c r="D841" s="149">
        <v>320</v>
      </c>
      <c r="E841" s="149">
        <v>0</v>
      </c>
      <c r="F841" s="149">
        <v>83550</v>
      </c>
      <c r="G841" s="149">
        <v>52400</v>
      </c>
      <c r="H841" s="150" t="str">
        <f t="shared" si="39"/>
        <v>5</v>
      </c>
      <c r="I841" s="150" t="str">
        <f t="shared" si="40"/>
        <v>52</v>
      </c>
      <c r="J841" s="150" t="str">
        <f t="shared" si="41"/>
        <v>524</v>
      </c>
      <c r="K841" s="150" t="s">
        <v>7889</v>
      </c>
      <c r="L841" s="149" t="s">
        <v>1510</v>
      </c>
      <c r="M841" s="151">
        <v>8000</v>
      </c>
    </row>
    <row r="842" spans="1:13" s="149" customFormat="1" x14ac:dyDescent="0.25">
      <c r="A842" s="149" t="s">
        <v>7639</v>
      </c>
      <c r="B842" s="149" t="s">
        <v>1511</v>
      </c>
      <c r="C842" s="149">
        <v>11</v>
      </c>
      <c r="D842" s="149">
        <v>320</v>
      </c>
      <c r="E842" s="149">
        <v>0</v>
      </c>
      <c r="F842" s="149">
        <v>83550</v>
      </c>
      <c r="G842" s="149">
        <v>53110</v>
      </c>
      <c r="H842" s="150" t="str">
        <f t="shared" si="39"/>
        <v>5</v>
      </c>
      <c r="I842" s="150" t="str">
        <f t="shared" si="40"/>
        <v>53</v>
      </c>
      <c r="J842" s="150" t="str">
        <f t="shared" si="41"/>
        <v>531</v>
      </c>
      <c r="K842" s="150" t="s">
        <v>8889</v>
      </c>
      <c r="L842" s="149" t="s">
        <v>1512</v>
      </c>
      <c r="M842" s="151">
        <v>97795.69</v>
      </c>
    </row>
    <row r="843" spans="1:13" s="149" customFormat="1" x14ac:dyDescent="0.25">
      <c r="A843" s="149" t="s">
        <v>7639</v>
      </c>
      <c r="B843" s="149" t="s">
        <v>1513</v>
      </c>
      <c r="C843" s="149">
        <v>11</v>
      </c>
      <c r="D843" s="149">
        <v>320</v>
      </c>
      <c r="E843" s="149">
        <v>0</v>
      </c>
      <c r="F843" s="149">
        <v>83550</v>
      </c>
      <c r="G843" s="149">
        <v>53310</v>
      </c>
      <c r="H843" s="150" t="str">
        <f t="shared" si="39"/>
        <v>5</v>
      </c>
      <c r="I843" s="150" t="str">
        <f t="shared" si="40"/>
        <v>53</v>
      </c>
      <c r="J843" s="150" t="str">
        <f t="shared" si="41"/>
        <v>533</v>
      </c>
      <c r="K843" s="150" t="s">
        <v>8890</v>
      </c>
      <c r="L843" s="149" t="s">
        <v>1514</v>
      </c>
      <c r="M843" s="151">
        <v>496</v>
      </c>
    </row>
    <row r="844" spans="1:13" s="149" customFormat="1" x14ac:dyDescent="0.25">
      <c r="A844" s="149" t="s">
        <v>7639</v>
      </c>
      <c r="B844" s="149" t="s">
        <v>1515</v>
      </c>
      <c r="C844" s="149">
        <v>11</v>
      </c>
      <c r="D844" s="149">
        <v>320</v>
      </c>
      <c r="E844" s="149">
        <v>0</v>
      </c>
      <c r="F844" s="149">
        <v>83550</v>
      </c>
      <c r="G844" s="149">
        <v>53330</v>
      </c>
      <c r="H844" s="150" t="str">
        <f t="shared" si="39"/>
        <v>5</v>
      </c>
      <c r="I844" s="150" t="str">
        <f t="shared" si="40"/>
        <v>53</v>
      </c>
      <c r="J844" s="150" t="str">
        <f t="shared" si="41"/>
        <v>533</v>
      </c>
      <c r="K844" s="150" t="s">
        <v>8891</v>
      </c>
      <c r="L844" s="149" t="s">
        <v>1516</v>
      </c>
      <c r="M844" s="151">
        <v>8896.41</v>
      </c>
    </row>
    <row r="845" spans="1:13" s="149" customFormat="1" x14ac:dyDescent="0.25">
      <c r="A845" s="149" t="s">
        <v>7639</v>
      </c>
      <c r="B845" s="149" t="s">
        <v>1517</v>
      </c>
      <c r="C845" s="149">
        <v>11</v>
      </c>
      <c r="D845" s="149">
        <v>320</v>
      </c>
      <c r="E845" s="149">
        <v>0</v>
      </c>
      <c r="F845" s="149">
        <v>83550</v>
      </c>
      <c r="G845" s="149">
        <v>53410</v>
      </c>
      <c r="H845" s="150" t="str">
        <f t="shared" si="39"/>
        <v>5</v>
      </c>
      <c r="I845" s="150" t="str">
        <f t="shared" si="40"/>
        <v>53</v>
      </c>
      <c r="J845" s="150" t="str">
        <f t="shared" si="41"/>
        <v>534</v>
      </c>
      <c r="K845" s="150" t="s">
        <v>8892</v>
      </c>
      <c r="L845" s="149" t="s">
        <v>1518</v>
      </c>
      <c r="M845" s="151">
        <v>141344.72</v>
      </c>
    </row>
    <row r="846" spans="1:13" s="149" customFormat="1" x14ac:dyDescent="0.25">
      <c r="A846" s="149" t="s">
        <v>7639</v>
      </c>
      <c r="B846" s="149" t="s">
        <v>1519</v>
      </c>
      <c r="C846" s="149">
        <v>11</v>
      </c>
      <c r="D846" s="149">
        <v>320</v>
      </c>
      <c r="E846" s="149">
        <v>0</v>
      </c>
      <c r="F846" s="149">
        <v>83550</v>
      </c>
      <c r="G846" s="149">
        <v>53510</v>
      </c>
      <c r="H846" s="150" t="str">
        <f t="shared" si="39"/>
        <v>5</v>
      </c>
      <c r="I846" s="150" t="str">
        <f t="shared" si="40"/>
        <v>53</v>
      </c>
      <c r="J846" s="150" t="str">
        <f t="shared" si="41"/>
        <v>535</v>
      </c>
      <c r="K846" s="150" t="s">
        <v>8893</v>
      </c>
      <c r="L846" s="149" t="s">
        <v>1520</v>
      </c>
      <c r="M846" s="151">
        <v>306.77999999999997</v>
      </c>
    </row>
    <row r="847" spans="1:13" s="149" customFormat="1" x14ac:dyDescent="0.25">
      <c r="A847" s="149" t="s">
        <v>7639</v>
      </c>
      <c r="B847" s="149" t="s">
        <v>1521</v>
      </c>
      <c r="C847" s="149">
        <v>11</v>
      </c>
      <c r="D847" s="149">
        <v>320</v>
      </c>
      <c r="E847" s="149">
        <v>0</v>
      </c>
      <c r="F847" s="149">
        <v>83550</v>
      </c>
      <c r="G847" s="149">
        <v>53610</v>
      </c>
      <c r="H847" s="150" t="str">
        <f t="shared" si="39"/>
        <v>5</v>
      </c>
      <c r="I847" s="150" t="str">
        <f t="shared" si="40"/>
        <v>53</v>
      </c>
      <c r="J847" s="150" t="str">
        <f t="shared" si="41"/>
        <v>536</v>
      </c>
      <c r="K847" s="150" t="s">
        <v>8894</v>
      </c>
      <c r="L847" s="149" t="s">
        <v>1522</v>
      </c>
      <c r="M847" s="151">
        <v>11600.94</v>
      </c>
    </row>
    <row r="848" spans="1:13" s="149" customFormat="1" x14ac:dyDescent="0.25">
      <c r="A848" s="149" t="s">
        <v>7639</v>
      </c>
      <c r="B848" s="149" t="s">
        <v>1523</v>
      </c>
      <c r="C848" s="149">
        <v>11</v>
      </c>
      <c r="D848" s="149">
        <v>320</v>
      </c>
      <c r="E848" s="149">
        <v>0</v>
      </c>
      <c r="F848" s="149">
        <v>83550</v>
      </c>
      <c r="G848" s="149">
        <v>55630</v>
      </c>
      <c r="H848" s="150" t="str">
        <f t="shared" si="39"/>
        <v>5</v>
      </c>
      <c r="I848" s="150" t="str">
        <f t="shared" si="40"/>
        <v>55</v>
      </c>
      <c r="J848" s="150" t="str">
        <f t="shared" si="41"/>
        <v>556</v>
      </c>
      <c r="K848" s="150" t="s">
        <v>8212</v>
      </c>
      <c r="L848" s="149" t="s">
        <v>1524</v>
      </c>
      <c r="M848" s="151">
        <v>168</v>
      </c>
    </row>
    <row r="849" spans="1:13" s="149" customFormat="1" x14ac:dyDescent="0.25">
      <c r="A849" s="149" t="s">
        <v>7639</v>
      </c>
      <c r="B849" s="149" t="s">
        <v>1525</v>
      </c>
      <c r="C849" s="149">
        <v>11</v>
      </c>
      <c r="D849" s="149">
        <v>320</v>
      </c>
      <c r="E849" s="149">
        <v>0</v>
      </c>
      <c r="F849" s="149">
        <v>83700</v>
      </c>
      <c r="G849" s="149">
        <v>51310</v>
      </c>
      <c r="H849" s="150" t="str">
        <f t="shared" si="39"/>
        <v>5</v>
      </c>
      <c r="I849" s="150" t="str">
        <f t="shared" si="40"/>
        <v>51</v>
      </c>
      <c r="J849" s="150" t="str">
        <f t="shared" si="41"/>
        <v>513</v>
      </c>
      <c r="K849" s="150" t="s">
        <v>7663</v>
      </c>
      <c r="L849" s="149" t="s">
        <v>1526</v>
      </c>
      <c r="M849" s="151">
        <v>4800</v>
      </c>
    </row>
    <row r="850" spans="1:13" s="149" customFormat="1" x14ac:dyDescent="0.25">
      <c r="A850" s="149" t="s">
        <v>7639</v>
      </c>
      <c r="B850" s="149" t="s">
        <v>1527</v>
      </c>
      <c r="C850" s="149">
        <v>11</v>
      </c>
      <c r="D850" s="149">
        <v>320</v>
      </c>
      <c r="E850" s="149">
        <v>0</v>
      </c>
      <c r="F850" s="149">
        <v>83700</v>
      </c>
      <c r="G850" s="149">
        <v>51311</v>
      </c>
      <c r="H850" s="150" t="str">
        <f t="shared" si="39"/>
        <v>5</v>
      </c>
      <c r="I850" s="150" t="str">
        <f t="shared" si="40"/>
        <v>51</v>
      </c>
      <c r="J850" s="150" t="str">
        <f t="shared" si="41"/>
        <v>513</v>
      </c>
      <c r="K850" s="150" t="s">
        <v>7737</v>
      </c>
      <c r="L850" s="149" t="s">
        <v>1528</v>
      </c>
      <c r="M850" s="151">
        <v>32000</v>
      </c>
    </row>
    <row r="851" spans="1:13" s="149" customFormat="1" x14ac:dyDescent="0.25">
      <c r="A851" s="149" t="s">
        <v>7639</v>
      </c>
      <c r="B851" s="149" t="s">
        <v>1529</v>
      </c>
      <c r="C851" s="149">
        <v>11</v>
      </c>
      <c r="D851" s="149">
        <v>320</v>
      </c>
      <c r="E851" s="149">
        <v>0</v>
      </c>
      <c r="F851" s="149">
        <v>83700</v>
      </c>
      <c r="G851" s="149">
        <v>53110</v>
      </c>
      <c r="H851" s="150" t="str">
        <f t="shared" si="39"/>
        <v>5</v>
      </c>
      <c r="I851" s="150" t="str">
        <f t="shared" si="40"/>
        <v>53</v>
      </c>
      <c r="J851" s="150" t="str">
        <f t="shared" si="41"/>
        <v>531</v>
      </c>
      <c r="K851" s="150" t="s">
        <v>8895</v>
      </c>
      <c r="L851" s="149" t="s">
        <v>1530</v>
      </c>
      <c r="M851" s="151">
        <v>5943.2</v>
      </c>
    </row>
    <row r="852" spans="1:13" s="149" customFormat="1" x14ac:dyDescent="0.25">
      <c r="A852" s="149" t="s">
        <v>7639</v>
      </c>
      <c r="B852" s="149" t="s">
        <v>1531</v>
      </c>
      <c r="C852" s="149">
        <v>11</v>
      </c>
      <c r="D852" s="149">
        <v>320</v>
      </c>
      <c r="E852" s="149">
        <v>0</v>
      </c>
      <c r="F852" s="149">
        <v>83700</v>
      </c>
      <c r="G852" s="149">
        <v>53330</v>
      </c>
      <c r="H852" s="150" t="str">
        <f t="shared" si="39"/>
        <v>5</v>
      </c>
      <c r="I852" s="150" t="str">
        <f t="shared" si="40"/>
        <v>53</v>
      </c>
      <c r="J852" s="150" t="str">
        <f t="shared" si="41"/>
        <v>533</v>
      </c>
      <c r="K852" s="150" t="s">
        <v>8896</v>
      </c>
      <c r="L852" s="149" t="s">
        <v>1532</v>
      </c>
      <c r="M852" s="151">
        <v>533.6</v>
      </c>
    </row>
    <row r="853" spans="1:13" s="149" customFormat="1" x14ac:dyDescent="0.25">
      <c r="A853" s="149" t="s">
        <v>7639</v>
      </c>
      <c r="B853" s="149" t="s">
        <v>1533</v>
      </c>
      <c r="C853" s="149">
        <v>11</v>
      </c>
      <c r="D853" s="149">
        <v>320</v>
      </c>
      <c r="E853" s="149">
        <v>0</v>
      </c>
      <c r="F853" s="149">
        <v>83700</v>
      </c>
      <c r="G853" s="149">
        <v>53510</v>
      </c>
      <c r="H853" s="150" t="str">
        <f t="shared" si="39"/>
        <v>5</v>
      </c>
      <c r="I853" s="150" t="str">
        <f t="shared" si="40"/>
        <v>53</v>
      </c>
      <c r="J853" s="150" t="str">
        <f t="shared" si="41"/>
        <v>535</v>
      </c>
      <c r="K853" s="150" t="s">
        <v>8897</v>
      </c>
      <c r="L853" s="149" t="s">
        <v>1534</v>
      </c>
      <c r="M853" s="151">
        <v>18.399999999999999</v>
      </c>
    </row>
    <row r="854" spans="1:13" s="149" customFormat="1" x14ac:dyDescent="0.25">
      <c r="A854" s="149" t="s">
        <v>7639</v>
      </c>
      <c r="B854" s="149" t="s">
        <v>1535</v>
      </c>
      <c r="C854" s="149">
        <v>11</v>
      </c>
      <c r="D854" s="149">
        <v>320</v>
      </c>
      <c r="E854" s="149">
        <v>0</v>
      </c>
      <c r="F854" s="149">
        <v>83700</v>
      </c>
      <c r="G854" s="149">
        <v>53610</v>
      </c>
      <c r="H854" s="150" t="str">
        <f t="shared" si="39"/>
        <v>5</v>
      </c>
      <c r="I854" s="150" t="str">
        <f t="shared" si="40"/>
        <v>53</v>
      </c>
      <c r="J854" s="150" t="str">
        <f t="shared" si="41"/>
        <v>536</v>
      </c>
      <c r="K854" s="150" t="s">
        <v>8898</v>
      </c>
      <c r="L854" s="149" t="s">
        <v>1536</v>
      </c>
      <c r="M854" s="151">
        <v>695.82</v>
      </c>
    </row>
    <row r="855" spans="1:13" s="149" customFormat="1" x14ac:dyDescent="0.25">
      <c r="A855" s="149" t="s">
        <v>7639</v>
      </c>
      <c r="B855" s="149" t="s">
        <v>1537</v>
      </c>
      <c r="C855" s="149">
        <v>11</v>
      </c>
      <c r="D855" s="149">
        <v>320</v>
      </c>
      <c r="E855" s="149">
        <v>0</v>
      </c>
      <c r="F855" s="149">
        <v>83700</v>
      </c>
      <c r="G855" s="149">
        <v>55630</v>
      </c>
      <c r="H855" s="150" t="str">
        <f t="shared" si="39"/>
        <v>5</v>
      </c>
      <c r="I855" s="150" t="str">
        <f t="shared" si="40"/>
        <v>55</v>
      </c>
      <c r="J855" s="150" t="str">
        <f t="shared" si="41"/>
        <v>556</v>
      </c>
      <c r="K855" s="150" t="s">
        <v>8213</v>
      </c>
      <c r="L855" s="149" t="s">
        <v>1538</v>
      </c>
      <c r="M855" s="151">
        <v>5.47</v>
      </c>
    </row>
    <row r="856" spans="1:13" s="149" customFormat="1" x14ac:dyDescent="0.25">
      <c r="A856" s="149" t="s">
        <v>7639</v>
      </c>
      <c r="B856" s="149" t="s">
        <v>1539</v>
      </c>
      <c r="C856" s="149">
        <v>11</v>
      </c>
      <c r="D856" s="149">
        <v>320</v>
      </c>
      <c r="E856" s="149">
        <v>0</v>
      </c>
      <c r="F856" s="149">
        <v>130600</v>
      </c>
      <c r="G856" s="149">
        <v>51311</v>
      </c>
      <c r="H856" s="150" t="str">
        <f t="shared" si="39"/>
        <v>5</v>
      </c>
      <c r="I856" s="150" t="str">
        <f t="shared" si="40"/>
        <v>51</v>
      </c>
      <c r="J856" s="150" t="str">
        <f t="shared" si="41"/>
        <v>513</v>
      </c>
      <c r="K856" s="150" t="s">
        <v>7738</v>
      </c>
      <c r="L856" s="149" t="s">
        <v>1540</v>
      </c>
      <c r="M856" s="151">
        <v>35000</v>
      </c>
    </row>
    <row r="857" spans="1:13" s="149" customFormat="1" x14ac:dyDescent="0.25">
      <c r="A857" s="149" t="s">
        <v>7639</v>
      </c>
      <c r="B857" s="149" t="s">
        <v>1541</v>
      </c>
      <c r="C857" s="149">
        <v>11</v>
      </c>
      <c r="D857" s="149">
        <v>320</v>
      </c>
      <c r="E857" s="149">
        <v>0</v>
      </c>
      <c r="F857" s="149">
        <v>130600</v>
      </c>
      <c r="G857" s="149">
        <v>53110</v>
      </c>
      <c r="H857" s="150" t="str">
        <f t="shared" si="39"/>
        <v>5</v>
      </c>
      <c r="I857" s="150" t="str">
        <f t="shared" si="40"/>
        <v>53</v>
      </c>
      <c r="J857" s="150" t="str">
        <f t="shared" si="41"/>
        <v>531</v>
      </c>
      <c r="K857" s="150" t="s">
        <v>8899</v>
      </c>
      <c r="L857" s="149" t="s">
        <v>1542</v>
      </c>
      <c r="M857" s="151">
        <v>5652.5</v>
      </c>
    </row>
    <row r="858" spans="1:13" s="149" customFormat="1" x14ac:dyDescent="0.25">
      <c r="A858" s="149" t="s">
        <v>7639</v>
      </c>
      <c r="B858" s="149" t="s">
        <v>1543</v>
      </c>
      <c r="C858" s="149">
        <v>11</v>
      </c>
      <c r="D858" s="149">
        <v>320</v>
      </c>
      <c r="E858" s="149">
        <v>0</v>
      </c>
      <c r="F858" s="149">
        <v>130600</v>
      </c>
      <c r="G858" s="149">
        <v>53330</v>
      </c>
      <c r="H858" s="150" t="str">
        <f t="shared" si="39"/>
        <v>5</v>
      </c>
      <c r="I858" s="150" t="str">
        <f t="shared" si="40"/>
        <v>53</v>
      </c>
      <c r="J858" s="150" t="str">
        <f t="shared" si="41"/>
        <v>533</v>
      </c>
      <c r="K858" s="150" t="s">
        <v>8900</v>
      </c>
      <c r="L858" s="149" t="s">
        <v>1544</v>
      </c>
      <c r="M858" s="151">
        <v>507.5</v>
      </c>
    </row>
    <row r="859" spans="1:13" s="149" customFormat="1" x14ac:dyDescent="0.25">
      <c r="A859" s="149" t="s">
        <v>7639</v>
      </c>
      <c r="B859" s="149" t="s">
        <v>1545</v>
      </c>
      <c r="C859" s="149">
        <v>11</v>
      </c>
      <c r="D859" s="149">
        <v>320</v>
      </c>
      <c r="E859" s="149">
        <v>0</v>
      </c>
      <c r="F859" s="149">
        <v>130600</v>
      </c>
      <c r="G859" s="149">
        <v>53510</v>
      </c>
      <c r="H859" s="150" t="str">
        <f t="shared" si="39"/>
        <v>5</v>
      </c>
      <c r="I859" s="150" t="str">
        <f t="shared" si="40"/>
        <v>53</v>
      </c>
      <c r="J859" s="150" t="str">
        <f t="shared" si="41"/>
        <v>535</v>
      </c>
      <c r="K859" s="150" t="s">
        <v>8901</v>
      </c>
      <c r="L859" s="149" t="s">
        <v>1546</v>
      </c>
      <c r="M859" s="151">
        <v>17.5</v>
      </c>
    </row>
    <row r="860" spans="1:13" s="149" customFormat="1" x14ac:dyDescent="0.25">
      <c r="A860" s="149" t="s">
        <v>7639</v>
      </c>
      <c r="B860" s="149" t="s">
        <v>1547</v>
      </c>
      <c r="C860" s="149">
        <v>11</v>
      </c>
      <c r="D860" s="149">
        <v>320</v>
      </c>
      <c r="E860" s="149">
        <v>0</v>
      </c>
      <c r="F860" s="149">
        <v>130600</v>
      </c>
      <c r="G860" s="149">
        <v>53610</v>
      </c>
      <c r="H860" s="150" t="str">
        <f t="shared" si="39"/>
        <v>5</v>
      </c>
      <c r="I860" s="150" t="str">
        <f t="shared" si="40"/>
        <v>53</v>
      </c>
      <c r="J860" s="150" t="str">
        <f t="shared" si="41"/>
        <v>536</v>
      </c>
      <c r="K860" s="150" t="s">
        <v>8902</v>
      </c>
      <c r="L860" s="149" t="s">
        <v>1548</v>
      </c>
      <c r="M860" s="151">
        <v>661.78</v>
      </c>
    </row>
    <row r="861" spans="1:13" s="149" customFormat="1" x14ac:dyDescent="0.25">
      <c r="A861" s="149" t="s">
        <v>7639</v>
      </c>
      <c r="B861" s="149" t="s">
        <v>1549</v>
      </c>
      <c r="C861" s="149">
        <v>11</v>
      </c>
      <c r="D861" s="149">
        <v>320</v>
      </c>
      <c r="E861" s="149">
        <v>0</v>
      </c>
      <c r="F861" s="149">
        <v>130600</v>
      </c>
      <c r="G861" s="149">
        <v>55630</v>
      </c>
      <c r="H861" s="150" t="str">
        <f t="shared" si="39"/>
        <v>5</v>
      </c>
      <c r="I861" s="150" t="str">
        <f t="shared" si="40"/>
        <v>55</v>
      </c>
      <c r="J861" s="150" t="str">
        <f t="shared" si="41"/>
        <v>556</v>
      </c>
      <c r="K861" s="150" t="s">
        <v>8214</v>
      </c>
      <c r="L861" s="149" t="s">
        <v>1550</v>
      </c>
      <c r="M861" s="151">
        <v>4.5</v>
      </c>
    </row>
    <row r="862" spans="1:13" s="149" customFormat="1" x14ac:dyDescent="0.25">
      <c r="A862" s="149" t="s">
        <v>7639</v>
      </c>
      <c r="B862" s="149" t="s">
        <v>1551</v>
      </c>
      <c r="C862" s="149">
        <v>11</v>
      </c>
      <c r="D862" s="149">
        <v>320</v>
      </c>
      <c r="E862" s="149">
        <v>0</v>
      </c>
      <c r="F862" s="149">
        <v>601000</v>
      </c>
      <c r="G862" s="149">
        <v>51210</v>
      </c>
      <c r="H862" s="150" t="str">
        <f t="shared" si="39"/>
        <v>5</v>
      </c>
      <c r="I862" s="150" t="str">
        <f t="shared" si="40"/>
        <v>51</v>
      </c>
      <c r="J862" s="150" t="str">
        <f t="shared" si="41"/>
        <v>512</v>
      </c>
      <c r="K862" s="150" t="s">
        <v>8903</v>
      </c>
      <c r="L862" s="149" t="s">
        <v>477</v>
      </c>
      <c r="M862" s="151">
        <v>36851.75</v>
      </c>
    </row>
    <row r="863" spans="1:13" s="149" customFormat="1" x14ac:dyDescent="0.25">
      <c r="A863" s="149" t="s">
        <v>7639</v>
      </c>
      <c r="B863" s="149" t="s">
        <v>1552</v>
      </c>
      <c r="C863" s="149">
        <v>11</v>
      </c>
      <c r="D863" s="149">
        <v>320</v>
      </c>
      <c r="E863" s="149">
        <v>0</v>
      </c>
      <c r="F863" s="149">
        <v>601000</v>
      </c>
      <c r="G863" s="149">
        <v>52105</v>
      </c>
      <c r="H863" s="150" t="str">
        <f t="shared" si="39"/>
        <v>5</v>
      </c>
      <c r="I863" s="150" t="str">
        <f t="shared" si="40"/>
        <v>52</v>
      </c>
      <c r="J863" s="150" t="str">
        <f t="shared" si="41"/>
        <v>521</v>
      </c>
      <c r="K863" s="150" t="s">
        <v>8904</v>
      </c>
      <c r="L863" s="149" t="s">
        <v>481</v>
      </c>
      <c r="M863" s="151">
        <v>87994.05</v>
      </c>
    </row>
    <row r="864" spans="1:13" s="149" customFormat="1" x14ac:dyDescent="0.25">
      <c r="A864" s="149" t="s">
        <v>7639</v>
      </c>
      <c r="B864" s="149" t="s">
        <v>1553</v>
      </c>
      <c r="C864" s="149">
        <v>11</v>
      </c>
      <c r="D864" s="149">
        <v>320</v>
      </c>
      <c r="E864" s="149">
        <v>0</v>
      </c>
      <c r="F864" s="149">
        <v>601000</v>
      </c>
      <c r="G864" s="149">
        <v>52300</v>
      </c>
      <c r="H864" s="150" t="str">
        <f t="shared" si="39"/>
        <v>5</v>
      </c>
      <c r="I864" s="150" t="str">
        <f t="shared" si="40"/>
        <v>52</v>
      </c>
      <c r="J864" s="150" t="str">
        <f t="shared" si="41"/>
        <v>523</v>
      </c>
      <c r="K864" s="150" t="s">
        <v>7820</v>
      </c>
      <c r="L864" s="149" t="s">
        <v>483</v>
      </c>
      <c r="M864" s="151">
        <v>0</v>
      </c>
    </row>
    <row r="865" spans="1:13" s="149" customFormat="1" x14ac:dyDescent="0.25">
      <c r="A865" s="149" t="s">
        <v>7639</v>
      </c>
      <c r="B865" s="149" t="s">
        <v>1554</v>
      </c>
      <c r="C865" s="149">
        <v>11</v>
      </c>
      <c r="D865" s="149">
        <v>320</v>
      </c>
      <c r="E865" s="149">
        <v>0</v>
      </c>
      <c r="F865" s="149">
        <v>601000</v>
      </c>
      <c r="G865" s="149">
        <v>53120</v>
      </c>
      <c r="H865" s="150" t="str">
        <f t="shared" si="39"/>
        <v>5</v>
      </c>
      <c r="I865" s="150" t="str">
        <f t="shared" si="40"/>
        <v>53</v>
      </c>
      <c r="J865" s="150" t="str">
        <f t="shared" si="41"/>
        <v>531</v>
      </c>
      <c r="K865" s="150" t="s">
        <v>8905</v>
      </c>
      <c r="L865" s="149" t="s">
        <v>485</v>
      </c>
      <c r="M865" s="151">
        <v>5951.56</v>
      </c>
    </row>
    <row r="866" spans="1:13" s="149" customFormat="1" x14ac:dyDescent="0.25">
      <c r="A866" s="149" t="s">
        <v>7639</v>
      </c>
      <c r="B866" s="149" t="s">
        <v>1555</v>
      </c>
      <c r="C866" s="149">
        <v>11</v>
      </c>
      <c r="D866" s="149">
        <v>320</v>
      </c>
      <c r="E866" s="149">
        <v>0</v>
      </c>
      <c r="F866" s="149">
        <v>601000</v>
      </c>
      <c r="G866" s="149">
        <v>53220</v>
      </c>
      <c r="H866" s="150" t="str">
        <f t="shared" si="39"/>
        <v>5</v>
      </c>
      <c r="I866" s="150" t="str">
        <f t="shared" si="40"/>
        <v>53</v>
      </c>
      <c r="J866" s="150" t="str">
        <f t="shared" si="41"/>
        <v>532</v>
      </c>
      <c r="K866" s="150" t="s">
        <v>8906</v>
      </c>
      <c r="L866" s="149" t="s">
        <v>487</v>
      </c>
      <c r="M866" s="151">
        <v>18214.77</v>
      </c>
    </row>
    <row r="867" spans="1:13" s="149" customFormat="1" x14ac:dyDescent="0.25">
      <c r="A867" s="149" t="s">
        <v>7639</v>
      </c>
      <c r="B867" s="149" t="s">
        <v>1556</v>
      </c>
      <c r="C867" s="149">
        <v>11</v>
      </c>
      <c r="D867" s="149">
        <v>320</v>
      </c>
      <c r="E867" s="149">
        <v>0</v>
      </c>
      <c r="F867" s="149">
        <v>601000</v>
      </c>
      <c r="G867" s="149">
        <v>53320</v>
      </c>
      <c r="H867" s="150" t="str">
        <f t="shared" si="39"/>
        <v>5</v>
      </c>
      <c r="I867" s="150" t="str">
        <f t="shared" si="40"/>
        <v>53</v>
      </c>
      <c r="J867" s="150" t="str">
        <f t="shared" si="41"/>
        <v>533</v>
      </c>
      <c r="K867" s="150" t="s">
        <v>8907</v>
      </c>
      <c r="L867" s="149" t="s">
        <v>489</v>
      </c>
      <c r="M867" s="151">
        <v>5455.63</v>
      </c>
    </row>
    <row r="868" spans="1:13" s="149" customFormat="1" x14ac:dyDescent="0.25">
      <c r="A868" s="149" t="s">
        <v>7639</v>
      </c>
      <c r="B868" s="149" t="s">
        <v>1557</v>
      </c>
      <c r="C868" s="149">
        <v>11</v>
      </c>
      <c r="D868" s="149">
        <v>320</v>
      </c>
      <c r="E868" s="149">
        <v>0</v>
      </c>
      <c r="F868" s="149">
        <v>601000</v>
      </c>
      <c r="G868" s="149">
        <v>53340</v>
      </c>
      <c r="H868" s="150" t="str">
        <f t="shared" si="39"/>
        <v>5</v>
      </c>
      <c r="I868" s="150" t="str">
        <f t="shared" si="40"/>
        <v>53</v>
      </c>
      <c r="J868" s="150" t="str">
        <f t="shared" si="41"/>
        <v>533</v>
      </c>
      <c r="K868" s="150" t="s">
        <v>8908</v>
      </c>
      <c r="L868" s="149" t="s">
        <v>491</v>
      </c>
      <c r="M868" s="151">
        <v>1810.27</v>
      </c>
    </row>
    <row r="869" spans="1:13" s="149" customFormat="1" x14ac:dyDescent="0.25">
      <c r="A869" s="149" t="s">
        <v>7639</v>
      </c>
      <c r="B869" s="149" t="s">
        <v>1558</v>
      </c>
      <c r="C869" s="149">
        <v>11</v>
      </c>
      <c r="D869" s="149">
        <v>320</v>
      </c>
      <c r="E869" s="149">
        <v>0</v>
      </c>
      <c r="F869" s="149">
        <v>601000</v>
      </c>
      <c r="G869" s="149">
        <v>53420</v>
      </c>
      <c r="H869" s="150" t="str">
        <f t="shared" si="39"/>
        <v>5</v>
      </c>
      <c r="I869" s="150" t="str">
        <f t="shared" si="40"/>
        <v>53</v>
      </c>
      <c r="J869" s="150" t="str">
        <f t="shared" si="41"/>
        <v>534</v>
      </c>
      <c r="K869" s="150" t="s">
        <v>8909</v>
      </c>
      <c r="L869" s="149" t="s">
        <v>493</v>
      </c>
      <c r="M869" s="151">
        <v>34019.370000000003</v>
      </c>
    </row>
    <row r="870" spans="1:13" s="149" customFormat="1" x14ac:dyDescent="0.25">
      <c r="A870" s="149" t="s">
        <v>7639</v>
      </c>
      <c r="B870" s="149" t="s">
        <v>1559</v>
      </c>
      <c r="C870" s="149">
        <v>11</v>
      </c>
      <c r="D870" s="149">
        <v>320</v>
      </c>
      <c r="E870" s="149">
        <v>0</v>
      </c>
      <c r="F870" s="149">
        <v>601000</v>
      </c>
      <c r="G870" s="149">
        <v>53520</v>
      </c>
      <c r="H870" s="150" t="str">
        <f t="shared" si="39"/>
        <v>5</v>
      </c>
      <c r="I870" s="150" t="str">
        <f t="shared" si="40"/>
        <v>53</v>
      </c>
      <c r="J870" s="150" t="str">
        <f t="shared" si="41"/>
        <v>535</v>
      </c>
      <c r="K870" s="150" t="s">
        <v>8910</v>
      </c>
      <c r="L870" s="149" t="s">
        <v>495</v>
      </c>
      <c r="M870" s="151">
        <v>62.43</v>
      </c>
    </row>
    <row r="871" spans="1:13" s="149" customFormat="1" x14ac:dyDescent="0.25">
      <c r="A871" s="149" t="s">
        <v>7639</v>
      </c>
      <c r="B871" s="149" t="s">
        <v>1560</v>
      </c>
      <c r="C871" s="149">
        <v>11</v>
      </c>
      <c r="D871" s="149">
        <v>320</v>
      </c>
      <c r="E871" s="149">
        <v>0</v>
      </c>
      <c r="F871" s="149">
        <v>601000</v>
      </c>
      <c r="G871" s="149">
        <v>53620</v>
      </c>
      <c r="H871" s="150" t="str">
        <f t="shared" si="39"/>
        <v>5</v>
      </c>
      <c r="I871" s="150" t="str">
        <f t="shared" si="40"/>
        <v>53</v>
      </c>
      <c r="J871" s="150" t="str">
        <f t="shared" si="41"/>
        <v>536</v>
      </c>
      <c r="K871" s="150" t="s">
        <v>8911</v>
      </c>
      <c r="L871" s="149" t="s">
        <v>497</v>
      </c>
      <c r="M871" s="151">
        <v>2360.58</v>
      </c>
    </row>
    <row r="872" spans="1:13" s="149" customFormat="1" x14ac:dyDescent="0.25">
      <c r="A872" s="149" t="s">
        <v>7639</v>
      </c>
      <c r="B872" s="149" t="s">
        <v>1561</v>
      </c>
      <c r="C872" s="149">
        <v>11</v>
      </c>
      <c r="D872" s="149">
        <v>320</v>
      </c>
      <c r="E872" s="149">
        <v>0</v>
      </c>
      <c r="F872" s="149">
        <v>601000</v>
      </c>
      <c r="G872" s="149">
        <v>53920</v>
      </c>
      <c r="H872" s="150" t="str">
        <f t="shared" si="39"/>
        <v>5</v>
      </c>
      <c r="I872" s="150" t="str">
        <f t="shared" si="40"/>
        <v>53</v>
      </c>
      <c r="J872" s="150" t="str">
        <f t="shared" si="41"/>
        <v>539</v>
      </c>
      <c r="K872" s="150" t="s">
        <v>8912</v>
      </c>
      <c r="L872" s="149" t="s">
        <v>499</v>
      </c>
      <c r="M872" s="151">
        <v>3000</v>
      </c>
    </row>
    <row r="873" spans="1:13" s="149" customFormat="1" x14ac:dyDescent="0.25">
      <c r="A873" s="149" t="s">
        <v>7639</v>
      </c>
      <c r="B873" s="149" t="s">
        <v>1562</v>
      </c>
      <c r="C873" s="149">
        <v>11</v>
      </c>
      <c r="D873" s="149">
        <v>320</v>
      </c>
      <c r="E873" s="149">
        <v>0</v>
      </c>
      <c r="F873" s="149">
        <v>601000</v>
      </c>
      <c r="G873" s="149">
        <v>55630</v>
      </c>
      <c r="H873" s="150" t="str">
        <f t="shared" si="39"/>
        <v>5</v>
      </c>
      <c r="I873" s="150" t="str">
        <f t="shared" si="40"/>
        <v>55</v>
      </c>
      <c r="J873" s="150" t="str">
        <f t="shared" si="41"/>
        <v>556</v>
      </c>
      <c r="K873" s="150" t="s">
        <v>8215</v>
      </c>
      <c r="L873" s="149" t="s">
        <v>509</v>
      </c>
      <c r="M873" s="151">
        <v>1000</v>
      </c>
    </row>
    <row r="874" spans="1:13" s="149" customFormat="1" x14ac:dyDescent="0.25">
      <c r="A874" s="149" t="s">
        <v>7639</v>
      </c>
      <c r="B874" s="149" t="s">
        <v>1563</v>
      </c>
      <c r="C874" s="149">
        <v>11</v>
      </c>
      <c r="D874" s="149">
        <v>320</v>
      </c>
      <c r="E874" s="149">
        <v>0</v>
      </c>
      <c r="F874" s="149">
        <v>696500</v>
      </c>
      <c r="G874" s="149">
        <v>51210</v>
      </c>
      <c r="H874" s="150" t="str">
        <f t="shared" si="39"/>
        <v>5</v>
      </c>
      <c r="I874" s="150" t="str">
        <f t="shared" si="40"/>
        <v>51</v>
      </c>
      <c r="J874" s="150" t="str">
        <f t="shared" si="41"/>
        <v>512</v>
      </c>
      <c r="K874" s="150" t="s">
        <v>8913</v>
      </c>
      <c r="L874" s="149" t="s">
        <v>1564</v>
      </c>
      <c r="M874" s="151">
        <v>110555.25</v>
      </c>
    </row>
    <row r="875" spans="1:13" s="149" customFormat="1" x14ac:dyDescent="0.25">
      <c r="A875" s="149" t="s">
        <v>7639</v>
      </c>
      <c r="B875" s="149" t="s">
        <v>1565</v>
      </c>
      <c r="C875" s="149">
        <v>11</v>
      </c>
      <c r="D875" s="149">
        <v>320</v>
      </c>
      <c r="E875" s="149">
        <v>0</v>
      </c>
      <c r="F875" s="149">
        <v>696500</v>
      </c>
      <c r="G875" s="149">
        <v>51412</v>
      </c>
      <c r="H875" s="150" t="str">
        <f t="shared" si="39"/>
        <v>5</v>
      </c>
      <c r="I875" s="150" t="str">
        <f t="shared" si="40"/>
        <v>51</v>
      </c>
      <c r="J875" s="150" t="str">
        <f t="shared" si="41"/>
        <v>514</v>
      </c>
      <c r="K875" s="150" t="s">
        <v>7790</v>
      </c>
      <c r="L875" s="149" t="s">
        <v>1566</v>
      </c>
      <c r="M875" s="151">
        <v>141000</v>
      </c>
    </row>
    <row r="876" spans="1:13" s="149" customFormat="1" x14ac:dyDescent="0.25">
      <c r="A876" s="149" t="s">
        <v>7639</v>
      </c>
      <c r="B876" s="149" t="s">
        <v>1567</v>
      </c>
      <c r="C876" s="149">
        <v>11</v>
      </c>
      <c r="D876" s="149">
        <v>320</v>
      </c>
      <c r="E876" s="149">
        <v>0</v>
      </c>
      <c r="F876" s="149">
        <v>696500</v>
      </c>
      <c r="G876" s="149">
        <v>52105</v>
      </c>
      <c r="H876" s="150" t="str">
        <f t="shared" si="39"/>
        <v>5</v>
      </c>
      <c r="I876" s="150" t="str">
        <f t="shared" si="40"/>
        <v>52</v>
      </c>
      <c r="J876" s="150" t="str">
        <f t="shared" si="41"/>
        <v>521</v>
      </c>
      <c r="K876" s="150" t="s">
        <v>8914</v>
      </c>
      <c r="L876" s="149" t="s">
        <v>1568</v>
      </c>
      <c r="M876" s="151">
        <v>149210.70000000001</v>
      </c>
    </row>
    <row r="877" spans="1:13" s="149" customFormat="1" x14ac:dyDescent="0.25">
      <c r="A877" s="149" t="s">
        <v>7639</v>
      </c>
      <c r="B877" s="149" t="s">
        <v>1569</v>
      </c>
      <c r="C877" s="149">
        <v>11</v>
      </c>
      <c r="D877" s="149">
        <v>320</v>
      </c>
      <c r="E877" s="149">
        <v>0</v>
      </c>
      <c r="F877" s="149">
        <v>696500</v>
      </c>
      <c r="G877" s="149">
        <v>52300</v>
      </c>
      <c r="H877" s="150" t="str">
        <f t="shared" si="39"/>
        <v>5</v>
      </c>
      <c r="I877" s="150" t="str">
        <f t="shared" si="40"/>
        <v>52</v>
      </c>
      <c r="J877" s="150" t="str">
        <f t="shared" si="41"/>
        <v>523</v>
      </c>
      <c r="K877" s="150" t="s">
        <v>7821</v>
      </c>
      <c r="L877" s="149" t="s">
        <v>1570</v>
      </c>
      <c r="M877" s="151">
        <v>0</v>
      </c>
    </row>
    <row r="878" spans="1:13" s="149" customFormat="1" x14ac:dyDescent="0.25">
      <c r="A878" s="149" t="s">
        <v>7639</v>
      </c>
      <c r="B878" s="149" t="s">
        <v>1571</v>
      </c>
      <c r="C878" s="149">
        <v>11</v>
      </c>
      <c r="D878" s="149">
        <v>320</v>
      </c>
      <c r="E878" s="149">
        <v>0</v>
      </c>
      <c r="F878" s="149">
        <v>696500</v>
      </c>
      <c r="G878" s="149">
        <v>52360</v>
      </c>
      <c r="H878" s="150" t="str">
        <f t="shared" si="39"/>
        <v>5</v>
      </c>
      <c r="I878" s="150" t="str">
        <f t="shared" si="40"/>
        <v>52</v>
      </c>
      <c r="J878" s="150" t="str">
        <f t="shared" si="41"/>
        <v>523</v>
      </c>
      <c r="K878" s="150" t="s">
        <v>7870</v>
      </c>
      <c r="L878" s="149" t="s">
        <v>1572</v>
      </c>
      <c r="M878" s="151">
        <v>15000</v>
      </c>
    </row>
    <row r="879" spans="1:13" s="149" customFormat="1" x14ac:dyDescent="0.25">
      <c r="A879" s="149" t="s">
        <v>7639</v>
      </c>
      <c r="B879" s="149" t="s">
        <v>1573</v>
      </c>
      <c r="C879" s="149">
        <v>11</v>
      </c>
      <c r="D879" s="149">
        <v>320</v>
      </c>
      <c r="E879" s="149">
        <v>0</v>
      </c>
      <c r="F879" s="149">
        <v>696500</v>
      </c>
      <c r="G879" s="149">
        <v>53120</v>
      </c>
      <c r="H879" s="150" t="str">
        <f t="shared" si="39"/>
        <v>5</v>
      </c>
      <c r="I879" s="150" t="str">
        <f t="shared" si="40"/>
        <v>53</v>
      </c>
      <c r="J879" s="150" t="str">
        <f t="shared" si="41"/>
        <v>531</v>
      </c>
      <c r="K879" s="150" t="s">
        <v>8915</v>
      </c>
      <c r="L879" s="149" t="s">
        <v>1574</v>
      </c>
      <c r="M879" s="151">
        <v>40626.17</v>
      </c>
    </row>
    <row r="880" spans="1:13" s="149" customFormat="1" x14ac:dyDescent="0.25">
      <c r="A880" s="149" t="s">
        <v>7639</v>
      </c>
      <c r="B880" s="149" t="s">
        <v>1575</v>
      </c>
      <c r="C880" s="149">
        <v>11</v>
      </c>
      <c r="D880" s="149">
        <v>320</v>
      </c>
      <c r="E880" s="149">
        <v>0</v>
      </c>
      <c r="F880" s="149">
        <v>696500</v>
      </c>
      <c r="G880" s="149">
        <v>53220</v>
      </c>
      <c r="H880" s="150" t="str">
        <f t="shared" si="39"/>
        <v>5</v>
      </c>
      <c r="I880" s="150" t="str">
        <f t="shared" si="40"/>
        <v>53</v>
      </c>
      <c r="J880" s="150" t="str">
        <f t="shared" si="41"/>
        <v>532</v>
      </c>
      <c r="K880" s="150" t="s">
        <v>8916</v>
      </c>
      <c r="L880" s="149" t="s">
        <v>1576</v>
      </c>
      <c r="M880" s="151">
        <v>30886.62</v>
      </c>
    </row>
    <row r="881" spans="1:13" s="149" customFormat="1" x14ac:dyDescent="0.25">
      <c r="A881" s="149" t="s">
        <v>7639</v>
      </c>
      <c r="B881" s="149" t="s">
        <v>1577</v>
      </c>
      <c r="C881" s="149">
        <v>11</v>
      </c>
      <c r="D881" s="149">
        <v>320</v>
      </c>
      <c r="E881" s="149">
        <v>0</v>
      </c>
      <c r="F881" s="149">
        <v>696500</v>
      </c>
      <c r="G881" s="149">
        <v>53320</v>
      </c>
      <c r="H881" s="150" t="str">
        <f t="shared" si="39"/>
        <v>5</v>
      </c>
      <c r="I881" s="150" t="str">
        <f t="shared" si="40"/>
        <v>53</v>
      </c>
      <c r="J881" s="150" t="str">
        <f t="shared" si="41"/>
        <v>533</v>
      </c>
      <c r="K881" s="150" t="s">
        <v>8917</v>
      </c>
      <c r="L881" s="149" t="s">
        <v>1578</v>
      </c>
      <c r="M881" s="151">
        <v>10181.07</v>
      </c>
    </row>
    <row r="882" spans="1:13" s="149" customFormat="1" x14ac:dyDescent="0.25">
      <c r="A882" s="149" t="s">
        <v>7639</v>
      </c>
      <c r="B882" s="149" t="s">
        <v>1579</v>
      </c>
      <c r="C882" s="149">
        <v>11</v>
      </c>
      <c r="D882" s="149">
        <v>320</v>
      </c>
      <c r="E882" s="149">
        <v>0</v>
      </c>
      <c r="F882" s="149">
        <v>696500</v>
      </c>
      <c r="G882" s="149">
        <v>53340</v>
      </c>
      <c r="H882" s="150" t="str">
        <f t="shared" si="39"/>
        <v>5</v>
      </c>
      <c r="I882" s="150" t="str">
        <f t="shared" si="40"/>
        <v>53</v>
      </c>
      <c r="J882" s="150" t="str">
        <f t="shared" si="41"/>
        <v>533</v>
      </c>
      <c r="K882" s="150" t="s">
        <v>8918</v>
      </c>
      <c r="L882" s="149" t="s">
        <v>1580</v>
      </c>
      <c r="M882" s="151">
        <v>6028.61</v>
      </c>
    </row>
    <row r="883" spans="1:13" s="149" customFormat="1" x14ac:dyDescent="0.25">
      <c r="A883" s="149" t="s">
        <v>7639</v>
      </c>
      <c r="B883" s="149" t="s">
        <v>1581</v>
      </c>
      <c r="C883" s="149">
        <v>11</v>
      </c>
      <c r="D883" s="149">
        <v>320</v>
      </c>
      <c r="E883" s="149">
        <v>0</v>
      </c>
      <c r="F883" s="149">
        <v>696500</v>
      </c>
      <c r="G883" s="149">
        <v>53420</v>
      </c>
      <c r="H883" s="150" t="str">
        <f t="shared" si="39"/>
        <v>5</v>
      </c>
      <c r="I883" s="150" t="str">
        <f t="shared" si="40"/>
        <v>53</v>
      </c>
      <c r="J883" s="150" t="str">
        <f t="shared" si="41"/>
        <v>534</v>
      </c>
      <c r="K883" s="150" t="s">
        <v>8919</v>
      </c>
      <c r="L883" s="149" t="s">
        <v>1582</v>
      </c>
      <c r="M883" s="151">
        <v>57979.040000000001</v>
      </c>
    </row>
    <row r="884" spans="1:13" s="149" customFormat="1" x14ac:dyDescent="0.25">
      <c r="A884" s="149" t="s">
        <v>7639</v>
      </c>
      <c r="B884" s="149" t="s">
        <v>1583</v>
      </c>
      <c r="C884" s="149">
        <v>11</v>
      </c>
      <c r="D884" s="149">
        <v>320</v>
      </c>
      <c r="E884" s="149">
        <v>0</v>
      </c>
      <c r="F884" s="149">
        <v>696500</v>
      </c>
      <c r="G884" s="149">
        <v>53520</v>
      </c>
      <c r="H884" s="150" t="str">
        <f t="shared" si="39"/>
        <v>5</v>
      </c>
      <c r="I884" s="150" t="str">
        <f t="shared" si="40"/>
        <v>53</v>
      </c>
      <c r="J884" s="150" t="str">
        <f t="shared" si="41"/>
        <v>535</v>
      </c>
      <c r="K884" s="150" t="s">
        <v>8920</v>
      </c>
      <c r="L884" s="149" t="s">
        <v>1584</v>
      </c>
      <c r="M884" s="151">
        <v>207.88</v>
      </c>
    </row>
    <row r="885" spans="1:13" s="149" customFormat="1" x14ac:dyDescent="0.25">
      <c r="A885" s="149" t="s">
        <v>7639</v>
      </c>
      <c r="B885" s="149" t="s">
        <v>1585</v>
      </c>
      <c r="C885" s="149">
        <v>11</v>
      </c>
      <c r="D885" s="149">
        <v>320</v>
      </c>
      <c r="E885" s="149">
        <v>0</v>
      </c>
      <c r="F885" s="149">
        <v>696500</v>
      </c>
      <c r="G885" s="149">
        <v>53620</v>
      </c>
      <c r="H885" s="150" t="str">
        <f t="shared" si="39"/>
        <v>5</v>
      </c>
      <c r="I885" s="150" t="str">
        <f t="shared" si="40"/>
        <v>53</v>
      </c>
      <c r="J885" s="150" t="str">
        <f t="shared" si="41"/>
        <v>536</v>
      </c>
      <c r="K885" s="150" t="s">
        <v>8921</v>
      </c>
      <c r="L885" s="149" t="s">
        <v>1586</v>
      </c>
      <c r="M885" s="151">
        <v>7861.31</v>
      </c>
    </row>
    <row r="886" spans="1:13" s="149" customFormat="1" x14ac:dyDescent="0.25">
      <c r="A886" s="149" t="s">
        <v>7639</v>
      </c>
      <c r="B886" s="149" t="s">
        <v>1587</v>
      </c>
      <c r="C886" s="149">
        <v>11</v>
      </c>
      <c r="D886" s="149">
        <v>320</v>
      </c>
      <c r="E886" s="149">
        <v>0</v>
      </c>
      <c r="F886" s="149">
        <v>696500</v>
      </c>
      <c r="G886" s="149">
        <v>53920</v>
      </c>
      <c r="H886" s="150" t="str">
        <f t="shared" si="39"/>
        <v>5</v>
      </c>
      <c r="I886" s="150" t="str">
        <f t="shared" si="40"/>
        <v>53</v>
      </c>
      <c r="J886" s="150" t="str">
        <f t="shared" si="41"/>
        <v>539</v>
      </c>
      <c r="K886" s="150" t="s">
        <v>8922</v>
      </c>
      <c r="L886" s="149" t="s">
        <v>1588</v>
      </c>
      <c r="M886" s="151">
        <v>1800</v>
      </c>
    </row>
    <row r="887" spans="1:13" s="149" customFormat="1" x14ac:dyDescent="0.25">
      <c r="A887" s="149" t="s">
        <v>7639</v>
      </c>
      <c r="B887" s="149" t="s">
        <v>1589</v>
      </c>
      <c r="C887" s="149">
        <v>11</v>
      </c>
      <c r="D887" s="149">
        <v>320</v>
      </c>
      <c r="E887" s="149">
        <v>0</v>
      </c>
      <c r="F887" s="149">
        <v>696500</v>
      </c>
      <c r="G887" s="149">
        <v>54300</v>
      </c>
      <c r="H887" s="150" t="str">
        <f t="shared" si="39"/>
        <v>5</v>
      </c>
      <c r="I887" s="150" t="str">
        <f t="shared" si="40"/>
        <v>54</v>
      </c>
      <c r="J887" s="150" t="str">
        <f t="shared" si="41"/>
        <v>543</v>
      </c>
      <c r="K887" s="150" t="s">
        <v>7937</v>
      </c>
      <c r="L887" s="149" t="s">
        <v>1590</v>
      </c>
      <c r="M887" s="151">
        <v>112967.77</v>
      </c>
    </row>
    <row r="888" spans="1:13" s="149" customFormat="1" x14ac:dyDescent="0.25">
      <c r="A888" s="149" t="s">
        <v>7639</v>
      </c>
      <c r="B888" s="149" t="s">
        <v>1591</v>
      </c>
      <c r="C888" s="149">
        <v>11</v>
      </c>
      <c r="D888" s="149">
        <v>320</v>
      </c>
      <c r="E888" s="149">
        <v>0</v>
      </c>
      <c r="F888" s="149">
        <v>696500</v>
      </c>
      <c r="G888" s="149">
        <v>55100</v>
      </c>
      <c r="H888" s="150" t="str">
        <f t="shared" si="39"/>
        <v>5</v>
      </c>
      <c r="I888" s="150" t="str">
        <f t="shared" si="40"/>
        <v>55</v>
      </c>
      <c r="J888" s="150" t="str">
        <f t="shared" si="41"/>
        <v>551</v>
      </c>
      <c r="K888" s="150" t="s">
        <v>7997</v>
      </c>
      <c r="L888" s="149" t="s">
        <v>1592</v>
      </c>
      <c r="M888" s="151">
        <v>0</v>
      </c>
    </row>
    <row r="889" spans="1:13" s="149" customFormat="1" x14ac:dyDescent="0.25">
      <c r="A889" s="149" t="s">
        <v>7639</v>
      </c>
      <c r="B889" s="149" t="s">
        <v>1593</v>
      </c>
      <c r="C889" s="149">
        <v>11</v>
      </c>
      <c r="D889" s="149">
        <v>320</v>
      </c>
      <c r="E889" s="149">
        <v>0</v>
      </c>
      <c r="F889" s="149">
        <v>696500</v>
      </c>
      <c r="G889" s="149">
        <v>55105</v>
      </c>
      <c r="H889" s="150" t="str">
        <f t="shared" si="39"/>
        <v>5</v>
      </c>
      <c r="I889" s="150" t="str">
        <f t="shared" si="40"/>
        <v>55</v>
      </c>
      <c r="J889" s="150" t="str">
        <f t="shared" si="41"/>
        <v>551</v>
      </c>
      <c r="K889" s="150" t="s">
        <v>8012</v>
      </c>
      <c r="L889" s="149" t="s">
        <v>1594</v>
      </c>
      <c r="M889" s="151">
        <v>41447</v>
      </c>
    </row>
    <row r="890" spans="1:13" s="149" customFormat="1" x14ac:dyDescent="0.25">
      <c r="A890" s="149" t="s">
        <v>7639</v>
      </c>
      <c r="B890" s="149" t="s">
        <v>1595</v>
      </c>
      <c r="C890" s="149">
        <v>11</v>
      </c>
      <c r="D890" s="149">
        <v>320</v>
      </c>
      <c r="E890" s="149">
        <v>0</v>
      </c>
      <c r="F890" s="149">
        <v>696500</v>
      </c>
      <c r="G890" s="149">
        <v>55110</v>
      </c>
      <c r="H890" s="150" t="str">
        <f t="shared" si="39"/>
        <v>5</v>
      </c>
      <c r="I890" s="150" t="str">
        <f t="shared" si="40"/>
        <v>55</v>
      </c>
      <c r="J890" s="150" t="str">
        <f t="shared" si="41"/>
        <v>551</v>
      </c>
      <c r="K890" s="150" t="s">
        <v>8026</v>
      </c>
      <c r="L890" s="149" t="s">
        <v>1596</v>
      </c>
      <c r="M890" s="151">
        <v>-20925.97</v>
      </c>
    </row>
    <row r="891" spans="1:13" s="149" customFormat="1" x14ac:dyDescent="0.25">
      <c r="A891" s="149" t="s">
        <v>7639</v>
      </c>
      <c r="B891" s="149" t="s">
        <v>9594</v>
      </c>
      <c r="C891" s="149">
        <v>11</v>
      </c>
      <c r="D891" s="149">
        <v>320</v>
      </c>
      <c r="E891" s="149">
        <v>0</v>
      </c>
      <c r="F891" s="149">
        <v>696500</v>
      </c>
      <c r="G891" s="149">
        <v>55125</v>
      </c>
      <c r="H891" s="150" t="str">
        <f t="shared" si="39"/>
        <v>5</v>
      </c>
      <c r="I891" s="150" t="str">
        <f t="shared" si="40"/>
        <v>55</v>
      </c>
      <c r="J891" s="150" t="str">
        <f t="shared" si="41"/>
        <v>551</v>
      </c>
      <c r="K891" s="150" t="s">
        <v>8030</v>
      </c>
      <c r="L891" s="149" t="s">
        <v>9595</v>
      </c>
      <c r="M891" s="151">
        <v>0</v>
      </c>
    </row>
    <row r="892" spans="1:13" s="149" customFormat="1" x14ac:dyDescent="0.25">
      <c r="A892" s="149" t="s">
        <v>7639</v>
      </c>
      <c r="B892" s="149" t="s">
        <v>1597</v>
      </c>
      <c r="C892" s="149">
        <v>11</v>
      </c>
      <c r="D892" s="149">
        <v>320</v>
      </c>
      <c r="E892" s="149">
        <v>0</v>
      </c>
      <c r="F892" s="149">
        <v>696500</v>
      </c>
      <c r="G892" s="149">
        <v>55200</v>
      </c>
      <c r="H892" s="150" t="str">
        <f t="shared" si="39"/>
        <v>5</v>
      </c>
      <c r="I892" s="150" t="str">
        <f t="shared" si="40"/>
        <v>55</v>
      </c>
      <c r="J892" s="150" t="str">
        <f t="shared" si="41"/>
        <v>552</v>
      </c>
      <c r="K892" s="150" t="s">
        <v>8050</v>
      </c>
      <c r="L892" s="149" t="s">
        <v>1598</v>
      </c>
      <c r="M892" s="151">
        <v>-10000</v>
      </c>
    </row>
    <row r="893" spans="1:13" s="149" customFormat="1" x14ac:dyDescent="0.25">
      <c r="A893" s="149" t="s">
        <v>7639</v>
      </c>
      <c r="B893" s="149" t="s">
        <v>1599</v>
      </c>
      <c r="C893" s="149">
        <v>11</v>
      </c>
      <c r="D893" s="149">
        <v>320</v>
      </c>
      <c r="E893" s="149">
        <v>0</v>
      </c>
      <c r="F893" s="149">
        <v>696500</v>
      </c>
      <c r="G893" s="149">
        <v>55240</v>
      </c>
      <c r="H893" s="150" t="str">
        <f t="shared" si="39"/>
        <v>5</v>
      </c>
      <c r="I893" s="150" t="str">
        <f t="shared" si="40"/>
        <v>55</v>
      </c>
      <c r="J893" s="150" t="str">
        <f t="shared" si="41"/>
        <v>552</v>
      </c>
      <c r="K893" s="150" t="s">
        <v>8075</v>
      </c>
      <c r="L893" s="149" t="s">
        <v>1600</v>
      </c>
      <c r="M893" s="151">
        <v>125000</v>
      </c>
    </row>
    <row r="894" spans="1:13" s="149" customFormat="1" x14ac:dyDescent="0.25">
      <c r="A894" s="149" t="s">
        <v>7639</v>
      </c>
      <c r="B894" s="149" t="s">
        <v>1601</v>
      </c>
      <c r="C894" s="149">
        <v>11</v>
      </c>
      <c r="D894" s="149">
        <v>320</v>
      </c>
      <c r="E894" s="149">
        <v>0</v>
      </c>
      <c r="F894" s="149">
        <v>696500</v>
      </c>
      <c r="G894" s="149">
        <v>55264</v>
      </c>
      <c r="H894" s="150" t="str">
        <f t="shared" si="39"/>
        <v>5</v>
      </c>
      <c r="I894" s="150" t="str">
        <f t="shared" si="40"/>
        <v>55</v>
      </c>
      <c r="J894" s="150" t="str">
        <f t="shared" si="41"/>
        <v>552</v>
      </c>
      <c r="K894" s="150" t="s">
        <v>8076</v>
      </c>
      <c r="L894" s="149" t="s">
        <v>1602</v>
      </c>
      <c r="M894" s="151">
        <v>0</v>
      </c>
    </row>
    <row r="895" spans="1:13" s="149" customFormat="1" x14ac:dyDescent="0.25">
      <c r="A895" s="149" t="s">
        <v>7639</v>
      </c>
      <c r="B895" s="149" t="s">
        <v>1603</v>
      </c>
      <c r="C895" s="149">
        <v>11</v>
      </c>
      <c r="D895" s="149">
        <v>320</v>
      </c>
      <c r="E895" s="149">
        <v>0</v>
      </c>
      <c r="F895" s="149">
        <v>696500</v>
      </c>
      <c r="G895" s="149">
        <v>55300</v>
      </c>
      <c r="H895" s="150" t="str">
        <f t="shared" si="39"/>
        <v>5</v>
      </c>
      <c r="I895" s="150" t="str">
        <f t="shared" si="40"/>
        <v>55</v>
      </c>
      <c r="J895" s="150" t="str">
        <f t="shared" si="41"/>
        <v>553</v>
      </c>
      <c r="K895" s="150" t="s">
        <v>8088</v>
      </c>
      <c r="L895" s="149" t="s">
        <v>1604</v>
      </c>
      <c r="M895" s="151">
        <v>25000</v>
      </c>
    </row>
    <row r="896" spans="1:13" s="149" customFormat="1" x14ac:dyDescent="0.25">
      <c r="A896" s="149" t="s">
        <v>7639</v>
      </c>
      <c r="B896" s="149" t="s">
        <v>1605</v>
      </c>
      <c r="C896" s="149">
        <v>11</v>
      </c>
      <c r="D896" s="149">
        <v>320</v>
      </c>
      <c r="E896" s="149">
        <v>0</v>
      </c>
      <c r="F896" s="149">
        <v>696500</v>
      </c>
      <c r="G896" s="149">
        <v>55309</v>
      </c>
      <c r="H896" s="150" t="str">
        <f t="shared" si="39"/>
        <v>5</v>
      </c>
      <c r="I896" s="150" t="str">
        <f t="shared" si="40"/>
        <v>55</v>
      </c>
      <c r="J896" s="150" t="str">
        <f t="shared" si="41"/>
        <v>553</v>
      </c>
      <c r="K896" s="150" t="s">
        <v>8106</v>
      </c>
      <c r="L896" s="149" t="s">
        <v>1606</v>
      </c>
      <c r="M896" s="151">
        <v>800</v>
      </c>
    </row>
    <row r="897" spans="1:13" s="149" customFormat="1" x14ac:dyDescent="0.25">
      <c r="A897" s="149" t="s">
        <v>7639</v>
      </c>
      <c r="B897" s="149" t="s">
        <v>1607</v>
      </c>
      <c r="C897" s="149">
        <v>11</v>
      </c>
      <c r="D897" s="149">
        <v>320</v>
      </c>
      <c r="E897" s="149">
        <v>0</v>
      </c>
      <c r="F897" s="149">
        <v>696500</v>
      </c>
      <c r="G897" s="149">
        <v>55400</v>
      </c>
      <c r="H897" s="150" t="str">
        <f t="shared" si="39"/>
        <v>5</v>
      </c>
      <c r="I897" s="150" t="str">
        <f t="shared" si="40"/>
        <v>55</v>
      </c>
      <c r="J897" s="150" t="str">
        <f t="shared" si="41"/>
        <v>554</v>
      </c>
      <c r="K897" s="150" t="s">
        <v>8114</v>
      </c>
      <c r="L897" s="149" t="s">
        <v>1608</v>
      </c>
      <c r="M897" s="151">
        <v>69570</v>
      </c>
    </row>
    <row r="898" spans="1:13" s="149" customFormat="1" x14ac:dyDescent="0.25">
      <c r="A898" s="149" t="s">
        <v>7639</v>
      </c>
      <c r="B898" s="149" t="s">
        <v>1609</v>
      </c>
      <c r="C898" s="149">
        <v>11</v>
      </c>
      <c r="D898" s="149">
        <v>320</v>
      </c>
      <c r="E898" s="149">
        <v>0</v>
      </c>
      <c r="F898" s="149">
        <v>696500</v>
      </c>
      <c r="G898" s="149">
        <v>55600</v>
      </c>
      <c r="H898" s="150" t="str">
        <f t="shared" si="39"/>
        <v>5</v>
      </c>
      <c r="I898" s="150" t="str">
        <f t="shared" si="40"/>
        <v>55</v>
      </c>
      <c r="J898" s="150" t="str">
        <f t="shared" si="41"/>
        <v>556</v>
      </c>
      <c r="K898" s="150" t="s">
        <v>8150</v>
      </c>
      <c r="L898" s="149" t="s">
        <v>1610</v>
      </c>
      <c r="M898" s="151">
        <v>0</v>
      </c>
    </row>
    <row r="899" spans="1:13" s="149" customFormat="1" x14ac:dyDescent="0.25">
      <c r="A899" s="149" t="s">
        <v>7639</v>
      </c>
      <c r="B899" s="149" t="s">
        <v>1611</v>
      </c>
      <c r="C899" s="149">
        <v>11</v>
      </c>
      <c r="D899" s="149">
        <v>320</v>
      </c>
      <c r="E899" s="149">
        <v>0</v>
      </c>
      <c r="F899" s="149">
        <v>696500</v>
      </c>
      <c r="G899" s="149">
        <v>55630</v>
      </c>
      <c r="H899" s="150" t="str">
        <f t="shared" ref="H899:H962" si="42">LEFT(G899,1)</f>
        <v>5</v>
      </c>
      <c r="I899" s="150" t="str">
        <f t="shared" ref="I899:I962" si="43">LEFT(G899,2)</f>
        <v>55</v>
      </c>
      <c r="J899" s="150" t="str">
        <f t="shared" ref="J899:J962" si="44">LEFT(G899,3)</f>
        <v>556</v>
      </c>
      <c r="K899" s="150" t="s">
        <v>8216</v>
      </c>
      <c r="L899" s="149" t="s">
        <v>1612</v>
      </c>
      <c r="M899" s="151">
        <v>317.42</v>
      </c>
    </row>
    <row r="900" spans="1:13" s="149" customFormat="1" x14ac:dyDescent="0.25">
      <c r="A900" s="149" t="s">
        <v>7639</v>
      </c>
      <c r="B900" s="149" t="s">
        <v>1613</v>
      </c>
      <c r="C900" s="149">
        <v>11</v>
      </c>
      <c r="D900" s="149">
        <v>320</v>
      </c>
      <c r="E900" s="149">
        <v>0</v>
      </c>
      <c r="F900" s="149">
        <v>696500</v>
      </c>
      <c r="G900" s="149">
        <v>55651</v>
      </c>
      <c r="H900" s="150" t="str">
        <f t="shared" si="42"/>
        <v>5</v>
      </c>
      <c r="I900" s="150" t="str">
        <f t="shared" si="43"/>
        <v>55</v>
      </c>
      <c r="J900" s="150" t="str">
        <f t="shared" si="44"/>
        <v>556</v>
      </c>
      <c r="K900" s="150" t="s">
        <v>8319</v>
      </c>
      <c r="L900" s="149" t="s">
        <v>1614</v>
      </c>
      <c r="M900" s="151">
        <v>12000</v>
      </c>
    </row>
    <row r="901" spans="1:13" s="149" customFormat="1" x14ac:dyDescent="0.25">
      <c r="A901" s="149" t="s">
        <v>7639</v>
      </c>
      <c r="B901" s="149" t="s">
        <v>1615</v>
      </c>
      <c r="C901" s="149">
        <v>11</v>
      </c>
      <c r="D901" s="149">
        <v>320</v>
      </c>
      <c r="E901" s="149">
        <v>0</v>
      </c>
      <c r="F901" s="149">
        <v>696500</v>
      </c>
      <c r="G901" s="149">
        <v>56400</v>
      </c>
      <c r="H901" s="150" t="str">
        <f t="shared" si="42"/>
        <v>5</v>
      </c>
      <c r="I901" s="150" t="str">
        <f t="shared" si="43"/>
        <v>56</v>
      </c>
      <c r="J901" s="150" t="str">
        <f t="shared" si="44"/>
        <v>564</v>
      </c>
      <c r="K901" s="150" t="s">
        <v>8374</v>
      </c>
      <c r="L901" s="149" t="s">
        <v>1616</v>
      </c>
      <c r="M901" s="151">
        <v>9158.2000000000007</v>
      </c>
    </row>
    <row r="902" spans="1:13" s="149" customFormat="1" x14ac:dyDescent="0.25">
      <c r="A902" s="149" t="s">
        <v>7639</v>
      </c>
      <c r="B902" s="149" t="s">
        <v>1617</v>
      </c>
      <c r="C902" s="149">
        <v>11</v>
      </c>
      <c r="D902" s="149">
        <v>320</v>
      </c>
      <c r="E902" s="149">
        <v>0</v>
      </c>
      <c r="F902" s="149">
        <v>696500</v>
      </c>
      <c r="G902" s="149">
        <v>57552</v>
      </c>
      <c r="H902" s="150" t="str">
        <f t="shared" si="42"/>
        <v>5</v>
      </c>
      <c r="I902" s="150" t="str">
        <f t="shared" si="43"/>
        <v>57</v>
      </c>
      <c r="J902" s="150" t="str">
        <f t="shared" si="44"/>
        <v>575</v>
      </c>
      <c r="K902" s="150" t="s">
        <v>8397</v>
      </c>
      <c r="L902" s="149" t="s">
        <v>9596</v>
      </c>
      <c r="M902" s="151">
        <v>19000</v>
      </c>
    </row>
    <row r="903" spans="1:13" s="149" customFormat="1" x14ac:dyDescent="0.25">
      <c r="A903" s="149" t="s">
        <v>7639</v>
      </c>
      <c r="B903" s="149" t="s">
        <v>1619</v>
      </c>
      <c r="C903" s="149">
        <v>11</v>
      </c>
      <c r="D903" s="149">
        <v>330</v>
      </c>
      <c r="E903" s="149">
        <v>0</v>
      </c>
      <c r="F903" s="149">
        <v>40110</v>
      </c>
      <c r="G903" s="149">
        <v>51100</v>
      </c>
      <c r="H903" s="150" t="str">
        <f t="shared" si="42"/>
        <v>5</v>
      </c>
      <c r="I903" s="150" t="str">
        <f t="shared" si="43"/>
        <v>51</v>
      </c>
      <c r="J903" s="150" t="str">
        <f t="shared" si="44"/>
        <v>511</v>
      </c>
      <c r="K903" s="150" t="s">
        <v>8924</v>
      </c>
      <c r="L903" s="149" t="s">
        <v>1620</v>
      </c>
      <c r="M903" s="151">
        <v>600769</v>
      </c>
    </row>
    <row r="904" spans="1:13" s="149" customFormat="1" x14ac:dyDescent="0.25">
      <c r="A904" s="149" t="s">
        <v>7639</v>
      </c>
      <c r="B904" s="149" t="s">
        <v>1621</v>
      </c>
      <c r="C904" s="149">
        <v>11</v>
      </c>
      <c r="D904" s="149">
        <v>330</v>
      </c>
      <c r="E904" s="149">
        <v>0</v>
      </c>
      <c r="F904" s="149">
        <v>40110</v>
      </c>
      <c r="G904" s="149">
        <v>51310</v>
      </c>
      <c r="H904" s="150" t="str">
        <f t="shared" si="42"/>
        <v>5</v>
      </c>
      <c r="I904" s="150" t="str">
        <f t="shared" si="43"/>
        <v>51</v>
      </c>
      <c r="J904" s="150" t="str">
        <f t="shared" si="44"/>
        <v>513</v>
      </c>
      <c r="K904" s="150" t="s">
        <v>7664</v>
      </c>
      <c r="L904" s="149" t="s">
        <v>1622</v>
      </c>
      <c r="M904" s="151">
        <v>32000</v>
      </c>
    </row>
    <row r="905" spans="1:13" s="149" customFormat="1" x14ac:dyDescent="0.25">
      <c r="A905" s="149" t="s">
        <v>7639</v>
      </c>
      <c r="B905" s="149" t="s">
        <v>1623</v>
      </c>
      <c r="C905" s="149">
        <v>11</v>
      </c>
      <c r="D905" s="149">
        <v>330</v>
      </c>
      <c r="E905" s="149">
        <v>0</v>
      </c>
      <c r="F905" s="149">
        <v>40110</v>
      </c>
      <c r="G905" s="149">
        <v>51311</v>
      </c>
      <c r="H905" s="150" t="str">
        <f t="shared" si="42"/>
        <v>5</v>
      </c>
      <c r="I905" s="150" t="str">
        <f t="shared" si="43"/>
        <v>51</v>
      </c>
      <c r="J905" s="150" t="str">
        <f t="shared" si="44"/>
        <v>513</v>
      </c>
      <c r="K905" s="150" t="s">
        <v>7739</v>
      </c>
      <c r="L905" s="149" t="s">
        <v>217</v>
      </c>
      <c r="M905" s="151">
        <v>231000</v>
      </c>
    </row>
    <row r="906" spans="1:13" s="149" customFormat="1" x14ac:dyDescent="0.25">
      <c r="A906" s="149" t="s">
        <v>7639</v>
      </c>
      <c r="B906" s="149" t="s">
        <v>1624</v>
      </c>
      <c r="C906" s="149">
        <v>11</v>
      </c>
      <c r="D906" s="149">
        <v>330</v>
      </c>
      <c r="E906" s="149">
        <v>0</v>
      </c>
      <c r="F906" s="149">
        <v>40110</v>
      </c>
      <c r="G906" s="149">
        <v>52200</v>
      </c>
      <c r="H906" s="150" t="str">
        <f t="shared" si="42"/>
        <v>5</v>
      </c>
      <c r="I906" s="150" t="str">
        <f t="shared" si="43"/>
        <v>52</v>
      </c>
      <c r="J906" s="150" t="str">
        <f t="shared" si="44"/>
        <v>522</v>
      </c>
      <c r="K906" s="150" t="s">
        <v>8925</v>
      </c>
      <c r="L906" s="149" t="s">
        <v>1625</v>
      </c>
      <c r="M906" s="151">
        <v>134040.9</v>
      </c>
    </row>
    <row r="907" spans="1:13" s="149" customFormat="1" x14ac:dyDescent="0.25">
      <c r="A907" s="149" t="s">
        <v>7639</v>
      </c>
      <c r="B907" s="149" t="s">
        <v>1626</v>
      </c>
      <c r="C907" s="149">
        <v>11</v>
      </c>
      <c r="D907" s="149">
        <v>330</v>
      </c>
      <c r="E907" s="149">
        <v>0</v>
      </c>
      <c r="F907" s="149">
        <v>40110</v>
      </c>
      <c r="G907" s="149">
        <v>52300</v>
      </c>
      <c r="H907" s="150" t="str">
        <f t="shared" si="42"/>
        <v>5</v>
      </c>
      <c r="I907" s="150" t="str">
        <f t="shared" si="43"/>
        <v>52</v>
      </c>
      <c r="J907" s="150" t="str">
        <f t="shared" si="44"/>
        <v>523</v>
      </c>
      <c r="K907" s="150" t="s">
        <v>7822</v>
      </c>
      <c r="L907" s="149" t="s">
        <v>1627</v>
      </c>
      <c r="M907" s="151">
        <v>0</v>
      </c>
    </row>
    <row r="908" spans="1:13" s="149" customFormat="1" x14ac:dyDescent="0.25">
      <c r="A908" s="149" t="s">
        <v>7639</v>
      </c>
      <c r="B908" s="149" t="s">
        <v>1628</v>
      </c>
      <c r="C908" s="149">
        <v>11</v>
      </c>
      <c r="D908" s="149">
        <v>330</v>
      </c>
      <c r="E908" s="149">
        <v>0</v>
      </c>
      <c r="F908" s="149">
        <v>40110</v>
      </c>
      <c r="G908" s="149">
        <v>53110</v>
      </c>
      <c r="H908" s="150" t="str">
        <f t="shared" si="42"/>
        <v>5</v>
      </c>
      <c r="I908" s="150" t="str">
        <f t="shared" si="43"/>
        <v>53</v>
      </c>
      <c r="J908" s="150" t="str">
        <f t="shared" si="44"/>
        <v>531</v>
      </c>
      <c r="K908" s="150" t="s">
        <v>8926</v>
      </c>
      <c r="L908" s="149" t="s">
        <v>219</v>
      </c>
      <c r="M908" s="151">
        <v>139498.70000000001</v>
      </c>
    </row>
    <row r="909" spans="1:13" s="149" customFormat="1" x14ac:dyDescent="0.25">
      <c r="A909" s="149" t="s">
        <v>7639</v>
      </c>
      <c r="B909" s="149" t="s">
        <v>1629</v>
      </c>
      <c r="C909" s="149">
        <v>11</v>
      </c>
      <c r="D909" s="149">
        <v>330</v>
      </c>
      <c r="E909" s="149">
        <v>0</v>
      </c>
      <c r="F909" s="149">
        <v>40110</v>
      </c>
      <c r="G909" s="149">
        <v>53210</v>
      </c>
      <c r="H909" s="150" t="str">
        <f t="shared" si="42"/>
        <v>5</v>
      </c>
      <c r="I909" s="150" t="str">
        <f t="shared" si="43"/>
        <v>53</v>
      </c>
      <c r="J909" s="150" t="str">
        <f t="shared" si="44"/>
        <v>532</v>
      </c>
      <c r="K909" s="150" t="s">
        <v>8927</v>
      </c>
      <c r="L909" s="149" t="s">
        <v>1630</v>
      </c>
      <c r="M909" s="151">
        <v>27746.46</v>
      </c>
    </row>
    <row r="910" spans="1:13" s="149" customFormat="1" x14ac:dyDescent="0.25">
      <c r="A910" s="149" t="s">
        <v>7639</v>
      </c>
      <c r="B910" s="149" t="s">
        <v>1631</v>
      </c>
      <c r="C910" s="149">
        <v>11</v>
      </c>
      <c r="D910" s="149">
        <v>330</v>
      </c>
      <c r="E910" s="149">
        <v>0</v>
      </c>
      <c r="F910" s="149">
        <v>40110</v>
      </c>
      <c r="G910" s="149">
        <v>53310</v>
      </c>
      <c r="H910" s="150" t="str">
        <f t="shared" si="42"/>
        <v>5</v>
      </c>
      <c r="I910" s="150" t="str">
        <f t="shared" si="43"/>
        <v>53</v>
      </c>
      <c r="J910" s="150" t="str">
        <f t="shared" si="44"/>
        <v>533</v>
      </c>
      <c r="K910" s="150" t="s">
        <v>8928</v>
      </c>
      <c r="L910" s="149" t="s">
        <v>221</v>
      </c>
      <c r="M910" s="151">
        <v>8310.5400000000009</v>
      </c>
    </row>
    <row r="911" spans="1:13" s="149" customFormat="1" x14ac:dyDescent="0.25">
      <c r="A911" s="149" t="s">
        <v>7639</v>
      </c>
      <c r="B911" s="149" t="s">
        <v>1632</v>
      </c>
      <c r="C911" s="149">
        <v>11</v>
      </c>
      <c r="D911" s="149">
        <v>330</v>
      </c>
      <c r="E911" s="149">
        <v>0</v>
      </c>
      <c r="F911" s="149">
        <v>40110</v>
      </c>
      <c r="G911" s="149">
        <v>53320</v>
      </c>
      <c r="H911" s="150" t="str">
        <f t="shared" si="42"/>
        <v>5</v>
      </c>
      <c r="I911" s="150" t="str">
        <f t="shared" si="43"/>
        <v>53</v>
      </c>
      <c r="J911" s="150" t="str">
        <f t="shared" si="44"/>
        <v>533</v>
      </c>
      <c r="K911" s="150" t="s">
        <v>8929</v>
      </c>
      <c r="L911" s="149" t="s">
        <v>1633</v>
      </c>
      <c r="M911" s="151">
        <v>0</v>
      </c>
    </row>
    <row r="912" spans="1:13" s="149" customFormat="1" x14ac:dyDescent="0.25">
      <c r="A912" s="149" t="s">
        <v>7639</v>
      </c>
      <c r="B912" s="149" t="s">
        <v>1634</v>
      </c>
      <c r="C912" s="149">
        <v>11</v>
      </c>
      <c r="D912" s="149">
        <v>330</v>
      </c>
      <c r="E912" s="149">
        <v>0</v>
      </c>
      <c r="F912" s="149">
        <v>40110</v>
      </c>
      <c r="G912" s="149">
        <v>53330</v>
      </c>
      <c r="H912" s="150" t="str">
        <f t="shared" si="42"/>
        <v>5</v>
      </c>
      <c r="I912" s="150" t="str">
        <f t="shared" si="43"/>
        <v>53</v>
      </c>
      <c r="J912" s="150" t="str">
        <f t="shared" si="44"/>
        <v>533</v>
      </c>
      <c r="K912" s="150" t="s">
        <v>8930</v>
      </c>
      <c r="L912" s="149" t="s">
        <v>223</v>
      </c>
      <c r="M912" s="151">
        <v>14468.24</v>
      </c>
    </row>
    <row r="913" spans="1:13" s="149" customFormat="1" x14ac:dyDescent="0.25">
      <c r="A913" s="149" t="s">
        <v>7639</v>
      </c>
      <c r="B913" s="149" t="s">
        <v>1635</v>
      </c>
      <c r="C913" s="149">
        <v>11</v>
      </c>
      <c r="D913" s="149">
        <v>330</v>
      </c>
      <c r="E913" s="149">
        <v>0</v>
      </c>
      <c r="F913" s="149">
        <v>40110</v>
      </c>
      <c r="G913" s="149">
        <v>53340</v>
      </c>
      <c r="H913" s="150" t="str">
        <f t="shared" si="42"/>
        <v>5</v>
      </c>
      <c r="I913" s="150" t="str">
        <f t="shared" si="43"/>
        <v>53</v>
      </c>
      <c r="J913" s="150" t="str">
        <f t="shared" si="44"/>
        <v>533</v>
      </c>
      <c r="K913" s="150" t="s">
        <v>8931</v>
      </c>
      <c r="L913" s="149" t="s">
        <v>1636</v>
      </c>
      <c r="M913" s="151">
        <v>0</v>
      </c>
    </row>
    <row r="914" spans="1:13" s="149" customFormat="1" x14ac:dyDescent="0.25">
      <c r="A914" s="149" t="s">
        <v>7639</v>
      </c>
      <c r="B914" s="149" t="s">
        <v>1637</v>
      </c>
      <c r="C914" s="149">
        <v>11</v>
      </c>
      <c r="D914" s="149">
        <v>330</v>
      </c>
      <c r="E914" s="149">
        <v>0</v>
      </c>
      <c r="F914" s="149">
        <v>40110</v>
      </c>
      <c r="G914" s="149">
        <v>53410</v>
      </c>
      <c r="H914" s="150" t="str">
        <f t="shared" si="42"/>
        <v>5</v>
      </c>
      <c r="I914" s="150" t="str">
        <f t="shared" si="43"/>
        <v>53</v>
      </c>
      <c r="J914" s="150" t="str">
        <f t="shared" si="44"/>
        <v>534</v>
      </c>
      <c r="K914" s="150" t="s">
        <v>8932</v>
      </c>
      <c r="L914" s="149" t="s">
        <v>1638</v>
      </c>
      <c r="M914" s="151">
        <v>171023.48</v>
      </c>
    </row>
    <row r="915" spans="1:13" s="149" customFormat="1" x14ac:dyDescent="0.25">
      <c r="A915" s="149" t="s">
        <v>7639</v>
      </c>
      <c r="B915" s="149" t="s">
        <v>1639</v>
      </c>
      <c r="C915" s="149">
        <v>11</v>
      </c>
      <c r="D915" s="149">
        <v>330</v>
      </c>
      <c r="E915" s="149">
        <v>0</v>
      </c>
      <c r="F915" s="149">
        <v>40110</v>
      </c>
      <c r="G915" s="149">
        <v>53510</v>
      </c>
      <c r="H915" s="150" t="str">
        <f t="shared" si="42"/>
        <v>5</v>
      </c>
      <c r="I915" s="150" t="str">
        <f t="shared" si="43"/>
        <v>53</v>
      </c>
      <c r="J915" s="150" t="str">
        <f t="shared" si="44"/>
        <v>535</v>
      </c>
      <c r="K915" s="150" t="s">
        <v>8933</v>
      </c>
      <c r="L915" s="149" t="s">
        <v>225</v>
      </c>
      <c r="M915" s="151">
        <v>498.91</v>
      </c>
    </row>
    <row r="916" spans="1:13" s="149" customFormat="1" x14ac:dyDescent="0.25">
      <c r="A916" s="149" t="s">
        <v>7639</v>
      </c>
      <c r="B916" s="149" t="s">
        <v>1640</v>
      </c>
      <c r="C916" s="149">
        <v>11</v>
      </c>
      <c r="D916" s="149">
        <v>330</v>
      </c>
      <c r="E916" s="149">
        <v>0</v>
      </c>
      <c r="F916" s="149">
        <v>40110</v>
      </c>
      <c r="G916" s="149">
        <v>53610</v>
      </c>
      <c r="H916" s="150" t="str">
        <f t="shared" si="42"/>
        <v>5</v>
      </c>
      <c r="I916" s="150" t="str">
        <f t="shared" si="43"/>
        <v>53</v>
      </c>
      <c r="J916" s="150" t="str">
        <f t="shared" si="44"/>
        <v>536</v>
      </c>
      <c r="K916" s="150" t="s">
        <v>8934</v>
      </c>
      <c r="L916" s="149" t="s">
        <v>227</v>
      </c>
      <c r="M916" s="151">
        <v>18866.599999999999</v>
      </c>
    </row>
    <row r="917" spans="1:13" s="149" customFormat="1" x14ac:dyDescent="0.25">
      <c r="A917" s="149" t="s">
        <v>7639</v>
      </c>
      <c r="B917" s="149" t="s">
        <v>1641</v>
      </c>
      <c r="C917" s="149">
        <v>11</v>
      </c>
      <c r="D917" s="149">
        <v>330</v>
      </c>
      <c r="E917" s="149">
        <v>0</v>
      </c>
      <c r="F917" s="149">
        <v>40110</v>
      </c>
      <c r="G917" s="149">
        <v>53620</v>
      </c>
      <c r="H917" s="150" t="str">
        <f t="shared" si="42"/>
        <v>5</v>
      </c>
      <c r="I917" s="150" t="str">
        <f t="shared" si="43"/>
        <v>53</v>
      </c>
      <c r="J917" s="150" t="str">
        <f t="shared" si="44"/>
        <v>536</v>
      </c>
      <c r="K917" s="150" t="s">
        <v>8935</v>
      </c>
      <c r="L917" s="149" t="s">
        <v>1642</v>
      </c>
      <c r="M917" s="151">
        <v>0</v>
      </c>
    </row>
    <row r="918" spans="1:13" s="149" customFormat="1" x14ac:dyDescent="0.25">
      <c r="A918" s="149" t="s">
        <v>7639</v>
      </c>
      <c r="B918" s="149" t="s">
        <v>1643</v>
      </c>
      <c r="C918" s="149">
        <v>11</v>
      </c>
      <c r="D918" s="149">
        <v>330</v>
      </c>
      <c r="E918" s="149">
        <v>0</v>
      </c>
      <c r="F918" s="149">
        <v>40110</v>
      </c>
      <c r="G918" s="149">
        <v>53910</v>
      </c>
      <c r="H918" s="150" t="str">
        <f t="shared" si="42"/>
        <v>5</v>
      </c>
      <c r="I918" s="150" t="str">
        <f t="shared" si="43"/>
        <v>53</v>
      </c>
      <c r="J918" s="150" t="str">
        <f t="shared" si="44"/>
        <v>539</v>
      </c>
      <c r="K918" s="150" t="s">
        <v>8936</v>
      </c>
      <c r="L918" s="149" t="s">
        <v>1644</v>
      </c>
      <c r="M918" s="151">
        <v>7800</v>
      </c>
    </row>
    <row r="919" spans="1:13" s="149" customFormat="1" x14ac:dyDescent="0.25">
      <c r="A919" s="149" t="s">
        <v>7639</v>
      </c>
      <c r="B919" s="149" t="s">
        <v>1645</v>
      </c>
      <c r="C919" s="149">
        <v>11</v>
      </c>
      <c r="D919" s="149">
        <v>330</v>
      </c>
      <c r="E919" s="149">
        <v>0</v>
      </c>
      <c r="F919" s="149">
        <v>40110</v>
      </c>
      <c r="G919" s="149">
        <v>54300</v>
      </c>
      <c r="H919" s="150" t="str">
        <f t="shared" si="42"/>
        <v>5</v>
      </c>
      <c r="I919" s="150" t="str">
        <f t="shared" si="43"/>
        <v>54</v>
      </c>
      <c r="J919" s="150" t="str">
        <f t="shared" si="44"/>
        <v>543</v>
      </c>
      <c r="K919" s="150" t="s">
        <v>7938</v>
      </c>
      <c r="L919" s="149" t="s">
        <v>1646</v>
      </c>
      <c r="M919" s="151">
        <v>34660</v>
      </c>
    </row>
    <row r="920" spans="1:13" s="149" customFormat="1" x14ac:dyDescent="0.25">
      <c r="A920" s="149" t="s">
        <v>7639</v>
      </c>
      <c r="B920" s="149" t="s">
        <v>1647</v>
      </c>
      <c r="C920" s="149">
        <v>11</v>
      </c>
      <c r="D920" s="149">
        <v>330</v>
      </c>
      <c r="E920" s="149">
        <v>0</v>
      </c>
      <c r="F920" s="149">
        <v>40110</v>
      </c>
      <c r="G920" s="149">
        <v>55630</v>
      </c>
      <c r="H920" s="150" t="str">
        <f t="shared" si="42"/>
        <v>5</v>
      </c>
      <c r="I920" s="150" t="str">
        <f t="shared" si="43"/>
        <v>55</v>
      </c>
      <c r="J920" s="150" t="str">
        <f t="shared" si="44"/>
        <v>556</v>
      </c>
      <c r="K920" s="150" t="s">
        <v>8217</v>
      </c>
      <c r="L920" s="149" t="s">
        <v>1648</v>
      </c>
      <c r="M920" s="151">
        <v>339.23</v>
      </c>
    </row>
    <row r="921" spans="1:13" s="149" customFormat="1" x14ac:dyDescent="0.25">
      <c r="A921" s="149" t="s">
        <v>7639</v>
      </c>
      <c r="B921" s="149" t="s">
        <v>1649</v>
      </c>
      <c r="C921" s="149">
        <v>11</v>
      </c>
      <c r="D921" s="149">
        <v>330</v>
      </c>
      <c r="E921" s="149">
        <v>0</v>
      </c>
      <c r="F921" s="149">
        <v>40110</v>
      </c>
      <c r="G921" s="149">
        <v>55650</v>
      </c>
      <c r="H921" s="150" t="str">
        <f t="shared" si="42"/>
        <v>5</v>
      </c>
      <c r="I921" s="150" t="str">
        <f t="shared" si="43"/>
        <v>55</v>
      </c>
      <c r="J921" s="150" t="str">
        <f t="shared" si="44"/>
        <v>556</v>
      </c>
      <c r="K921" s="150" t="s">
        <v>8297</v>
      </c>
      <c r="L921" s="149" t="s">
        <v>1650</v>
      </c>
      <c r="M921" s="151">
        <v>-3965</v>
      </c>
    </row>
    <row r="922" spans="1:13" s="149" customFormat="1" x14ac:dyDescent="0.25">
      <c r="A922" s="149" t="s">
        <v>7639</v>
      </c>
      <c r="B922" s="149" t="s">
        <v>1651</v>
      </c>
      <c r="C922" s="149">
        <v>11</v>
      </c>
      <c r="D922" s="149">
        <v>330</v>
      </c>
      <c r="E922" s="149">
        <v>0</v>
      </c>
      <c r="F922" s="149">
        <v>70710</v>
      </c>
      <c r="G922" s="149">
        <v>54300</v>
      </c>
      <c r="H922" s="150" t="str">
        <f t="shared" si="42"/>
        <v>5</v>
      </c>
      <c r="I922" s="150" t="str">
        <f t="shared" si="43"/>
        <v>54</v>
      </c>
      <c r="J922" s="150" t="str">
        <f t="shared" si="44"/>
        <v>543</v>
      </c>
      <c r="K922" s="150" t="s">
        <v>7939</v>
      </c>
      <c r="L922" s="149" t="s">
        <v>1652</v>
      </c>
      <c r="M922" s="151">
        <v>470</v>
      </c>
    </row>
    <row r="923" spans="1:13" s="149" customFormat="1" x14ac:dyDescent="0.25">
      <c r="A923" s="149" t="s">
        <v>7639</v>
      </c>
      <c r="B923" s="149" t="s">
        <v>1653</v>
      </c>
      <c r="C923" s="149">
        <v>11</v>
      </c>
      <c r="D923" s="149">
        <v>330</v>
      </c>
      <c r="E923" s="149">
        <v>0</v>
      </c>
      <c r="F923" s="149">
        <v>70710</v>
      </c>
      <c r="G923" s="149">
        <v>55630</v>
      </c>
      <c r="H923" s="150" t="str">
        <f t="shared" si="42"/>
        <v>5</v>
      </c>
      <c r="I923" s="150" t="str">
        <f t="shared" si="43"/>
        <v>55</v>
      </c>
      <c r="J923" s="150" t="str">
        <f t="shared" si="44"/>
        <v>556</v>
      </c>
      <c r="K923" s="150" t="s">
        <v>8218</v>
      </c>
      <c r="L923" s="149" t="s">
        <v>1654</v>
      </c>
      <c r="M923" s="151">
        <v>27.9</v>
      </c>
    </row>
    <row r="924" spans="1:13" s="149" customFormat="1" x14ac:dyDescent="0.25">
      <c r="A924" s="149" t="s">
        <v>7639</v>
      </c>
      <c r="B924" s="149" t="s">
        <v>1655</v>
      </c>
      <c r="C924" s="149">
        <v>11</v>
      </c>
      <c r="D924" s="149">
        <v>330</v>
      </c>
      <c r="E924" s="149">
        <v>0</v>
      </c>
      <c r="F924" s="149">
        <v>90100</v>
      </c>
      <c r="G924" s="149">
        <v>51100</v>
      </c>
      <c r="H924" s="150" t="str">
        <f t="shared" si="42"/>
        <v>5</v>
      </c>
      <c r="I924" s="150" t="str">
        <f t="shared" si="43"/>
        <v>51</v>
      </c>
      <c r="J924" s="150" t="str">
        <f t="shared" si="44"/>
        <v>511</v>
      </c>
      <c r="K924" s="150" t="s">
        <v>8937</v>
      </c>
      <c r="L924" s="149" t="s">
        <v>1656</v>
      </c>
      <c r="M924" s="151">
        <v>120754</v>
      </c>
    </row>
    <row r="925" spans="1:13" s="149" customFormat="1" x14ac:dyDescent="0.25">
      <c r="A925" s="149" t="s">
        <v>7639</v>
      </c>
      <c r="B925" s="149" t="s">
        <v>1657</v>
      </c>
      <c r="C925" s="149">
        <v>11</v>
      </c>
      <c r="D925" s="149">
        <v>330</v>
      </c>
      <c r="E925" s="149">
        <v>0</v>
      </c>
      <c r="F925" s="149">
        <v>90100</v>
      </c>
      <c r="G925" s="149">
        <v>51310</v>
      </c>
      <c r="H925" s="150" t="str">
        <f t="shared" si="42"/>
        <v>5</v>
      </c>
      <c r="I925" s="150" t="str">
        <f t="shared" si="43"/>
        <v>51</v>
      </c>
      <c r="J925" s="150" t="str">
        <f t="shared" si="44"/>
        <v>513</v>
      </c>
      <c r="K925" s="150" t="s">
        <v>7665</v>
      </c>
      <c r="L925" s="149" t="s">
        <v>1658</v>
      </c>
      <c r="M925" s="151">
        <v>34000</v>
      </c>
    </row>
    <row r="926" spans="1:13" s="149" customFormat="1" x14ac:dyDescent="0.25">
      <c r="A926" s="149" t="s">
        <v>7639</v>
      </c>
      <c r="B926" s="149" t="s">
        <v>1659</v>
      </c>
      <c r="C926" s="149">
        <v>11</v>
      </c>
      <c r="D926" s="149">
        <v>330</v>
      </c>
      <c r="E926" s="149">
        <v>0</v>
      </c>
      <c r="F926" s="149">
        <v>90100</v>
      </c>
      <c r="G926" s="149">
        <v>51311</v>
      </c>
      <c r="H926" s="150" t="str">
        <f t="shared" si="42"/>
        <v>5</v>
      </c>
      <c r="I926" s="150" t="str">
        <f t="shared" si="43"/>
        <v>51</v>
      </c>
      <c r="J926" s="150" t="str">
        <f t="shared" si="44"/>
        <v>513</v>
      </c>
      <c r="K926" s="150" t="s">
        <v>7740</v>
      </c>
      <c r="L926" s="149" t="s">
        <v>1660</v>
      </c>
      <c r="M926" s="151">
        <v>620</v>
      </c>
    </row>
    <row r="927" spans="1:13" s="149" customFormat="1" x14ac:dyDescent="0.25">
      <c r="A927" s="149" t="s">
        <v>7639</v>
      </c>
      <c r="B927" s="149" t="s">
        <v>1661</v>
      </c>
      <c r="C927" s="149">
        <v>11</v>
      </c>
      <c r="D927" s="149">
        <v>330</v>
      </c>
      <c r="E927" s="149">
        <v>0</v>
      </c>
      <c r="F927" s="149">
        <v>90100</v>
      </c>
      <c r="G927" s="149">
        <v>51412</v>
      </c>
      <c r="H927" s="150" t="str">
        <f t="shared" si="42"/>
        <v>5</v>
      </c>
      <c r="I927" s="150" t="str">
        <f t="shared" si="43"/>
        <v>51</v>
      </c>
      <c r="J927" s="150" t="str">
        <f t="shared" si="44"/>
        <v>514</v>
      </c>
      <c r="K927" s="150" t="s">
        <v>7791</v>
      </c>
      <c r="L927" s="149" t="s">
        <v>1662</v>
      </c>
      <c r="M927" s="151">
        <v>0</v>
      </c>
    </row>
    <row r="928" spans="1:13" s="149" customFormat="1" x14ac:dyDescent="0.25">
      <c r="A928" s="149" t="s">
        <v>7639</v>
      </c>
      <c r="B928" s="149" t="s">
        <v>1663</v>
      </c>
      <c r="C928" s="149">
        <v>11</v>
      </c>
      <c r="D928" s="149">
        <v>330</v>
      </c>
      <c r="E928" s="149">
        <v>0</v>
      </c>
      <c r="F928" s="149">
        <v>90100</v>
      </c>
      <c r="G928" s="149">
        <v>52200</v>
      </c>
      <c r="H928" s="150" t="str">
        <f t="shared" si="42"/>
        <v>5</v>
      </c>
      <c r="I928" s="150" t="str">
        <f t="shared" si="43"/>
        <v>52</v>
      </c>
      <c r="J928" s="150" t="str">
        <f t="shared" si="44"/>
        <v>522</v>
      </c>
      <c r="K928" s="150" t="s">
        <v>8938</v>
      </c>
      <c r="L928" s="149" t="s">
        <v>1664</v>
      </c>
      <c r="M928" s="151">
        <v>13012.74</v>
      </c>
    </row>
    <row r="929" spans="1:13" s="149" customFormat="1" x14ac:dyDescent="0.25">
      <c r="A929" s="149" t="s">
        <v>7639</v>
      </c>
      <c r="B929" s="149" t="s">
        <v>1665</v>
      </c>
      <c r="C929" s="149">
        <v>11</v>
      </c>
      <c r="D929" s="149">
        <v>330</v>
      </c>
      <c r="E929" s="149">
        <v>0</v>
      </c>
      <c r="F929" s="149">
        <v>90100</v>
      </c>
      <c r="G929" s="149">
        <v>52300</v>
      </c>
      <c r="H929" s="150" t="str">
        <f t="shared" si="42"/>
        <v>5</v>
      </c>
      <c r="I929" s="150" t="str">
        <f t="shared" si="43"/>
        <v>52</v>
      </c>
      <c r="J929" s="150" t="str">
        <f t="shared" si="44"/>
        <v>523</v>
      </c>
      <c r="K929" s="150" t="s">
        <v>7823</v>
      </c>
      <c r="L929" s="149" t="s">
        <v>1666</v>
      </c>
      <c r="M929" s="151">
        <v>0</v>
      </c>
    </row>
    <row r="930" spans="1:13" s="149" customFormat="1" x14ac:dyDescent="0.25">
      <c r="A930" s="149" t="s">
        <v>7639</v>
      </c>
      <c r="B930" s="149" t="s">
        <v>1667</v>
      </c>
      <c r="C930" s="149">
        <v>11</v>
      </c>
      <c r="D930" s="149">
        <v>330</v>
      </c>
      <c r="E930" s="149">
        <v>0</v>
      </c>
      <c r="F930" s="149">
        <v>90100</v>
      </c>
      <c r="G930" s="149">
        <v>53110</v>
      </c>
      <c r="H930" s="150" t="str">
        <f t="shared" si="42"/>
        <v>5</v>
      </c>
      <c r="I930" s="150" t="str">
        <f t="shared" si="43"/>
        <v>53</v>
      </c>
      <c r="J930" s="150" t="str">
        <f t="shared" si="44"/>
        <v>531</v>
      </c>
      <c r="K930" s="150" t="s">
        <v>8939</v>
      </c>
      <c r="L930" s="149" t="s">
        <v>1668</v>
      </c>
      <c r="M930" s="151">
        <v>25092.9</v>
      </c>
    </row>
    <row r="931" spans="1:13" s="149" customFormat="1" x14ac:dyDescent="0.25">
      <c r="A931" s="149" t="s">
        <v>7639</v>
      </c>
      <c r="B931" s="149" t="s">
        <v>1669</v>
      </c>
      <c r="C931" s="149">
        <v>11</v>
      </c>
      <c r="D931" s="149">
        <v>330</v>
      </c>
      <c r="E931" s="149">
        <v>0</v>
      </c>
      <c r="F931" s="149">
        <v>90100</v>
      </c>
      <c r="G931" s="149">
        <v>53120</v>
      </c>
      <c r="H931" s="150" t="str">
        <f t="shared" si="42"/>
        <v>5</v>
      </c>
      <c r="I931" s="150" t="str">
        <f t="shared" si="43"/>
        <v>53</v>
      </c>
      <c r="J931" s="150" t="str">
        <f t="shared" si="44"/>
        <v>531</v>
      </c>
      <c r="K931" s="150" t="s">
        <v>8940</v>
      </c>
      <c r="L931" s="149" t="s">
        <v>1670</v>
      </c>
      <c r="M931" s="151">
        <v>0</v>
      </c>
    </row>
    <row r="932" spans="1:13" s="149" customFormat="1" x14ac:dyDescent="0.25">
      <c r="A932" s="149" t="s">
        <v>7639</v>
      </c>
      <c r="B932" s="149" t="s">
        <v>1671</v>
      </c>
      <c r="C932" s="149">
        <v>11</v>
      </c>
      <c r="D932" s="149">
        <v>330</v>
      </c>
      <c r="E932" s="149">
        <v>0</v>
      </c>
      <c r="F932" s="149">
        <v>90100</v>
      </c>
      <c r="G932" s="149">
        <v>53210</v>
      </c>
      <c r="H932" s="150" t="str">
        <f t="shared" si="42"/>
        <v>5</v>
      </c>
      <c r="I932" s="150" t="str">
        <f t="shared" si="43"/>
        <v>53</v>
      </c>
      <c r="J932" s="150" t="str">
        <f t="shared" si="44"/>
        <v>532</v>
      </c>
      <c r="K932" s="150" t="s">
        <v>8941</v>
      </c>
      <c r="L932" s="149" t="s">
        <v>1672</v>
      </c>
      <c r="M932" s="151">
        <v>2693.64</v>
      </c>
    </row>
    <row r="933" spans="1:13" s="149" customFormat="1" x14ac:dyDescent="0.25">
      <c r="A933" s="149" t="s">
        <v>7639</v>
      </c>
      <c r="B933" s="149" t="s">
        <v>1673</v>
      </c>
      <c r="C933" s="149">
        <v>11</v>
      </c>
      <c r="D933" s="149">
        <v>330</v>
      </c>
      <c r="E933" s="149">
        <v>0</v>
      </c>
      <c r="F933" s="149">
        <v>90100</v>
      </c>
      <c r="G933" s="149">
        <v>53310</v>
      </c>
      <c r="H933" s="150" t="str">
        <f t="shared" si="42"/>
        <v>5</v>
      </c>
      <c r="I933" s="150" t="str">
        <f t="shared" si="43"/>
        <v>53</v>
      </c>
      <c r="J933" s="150" t="str">
        <f t="shared" si="44"/>
        <v>533</v>
      </c>
      <c r="K933" s="150" t="s">
        <v>8942</v>
      </c>
      <c r="L933" s="149" t="s">
        <v>1674</v>
      </c>
      <c r="M933" s="151">
        <v>806.79</v>
      </c>
    </row>
    <row r="934" spans="1:13" s="149" customFormat="1" x14ac:dyDescent="0.25">
      <c r="A934" s="149" t="s">
        <v>7639</v>
      </c>
      <c r="B934" s="149" t="s">
        <v>1675</v>
      </c>
      <c r="C934" s="149">
        <v>11</v>
      </c>
      <c r="D934" s="149">
        <v>330</v>
      </c>
      <c r="E934" s="149">
        <v>0</v>
      </c>
      <c r="F934" s="149">
        <v>90100</v>
      </c>
      <c r="G934" s="149">
        <v>53320</v>
      </c>
      <c r="H934" s="150" t="str">
        <f t="shared" si="42"/>
        <v>5</v>
      </c>
      <c r="I934" s="150" t="str">
        <f t="shared" si="43"/>
        <v>53</v>
      </c>
      <c r="J934" s="150" t="str">
        <f t="shared" si="44"/>
        <v>533</v>
      </c>
      <c r="K934" s="150" t="s">
        <v>8943</v>
      </c>
      <c r="L934" s="149" t="s">
        <v>1676</v>
      </c>
      <c r="M934" s="151">
        <v>0</v>
      </c>
    </row>
    <row r="935" spans="1:13" s="149" customFormat="1" x14ac:dyDescent="0.25">
      <c r="A935" s="149" t="s">
        <v>7639</v>
      </c>
      <c r="B935" s="149" t="s">
        <v>1677</v>
      </c>
      <c r="C935" s="149">
        <v>11</v>
      </c>
      <c r="D935" s="149">
        <v>330</v>
      </c>
      <c r="E935" s="149">
        <v>0</v>
      </c>
      <c r="F935" s="149">
        <v>90100</v>
      </c>
      <c r="G935" s="149">
        <v>53330</v>
      </c>
      <c r="H935" s="150" t="str">
        <f t="shared" si="42"/>
        <v>5</v>
      </c>
      <c r="I935" s="150" t="str">
        <f t="shared" si="43"/>
        <v>53</v>
      </c>
      <c r="J935" s="150" t="str">
        <f t="shared" si="44"/>
        <v>533</v>
      </c>
      <c r="K935" s="150" t="s">
        <v>8944</v>
      </c>
      <c r="L935" s="149" t="s">
        <v>1678</v>
      </c>
      <c r="M935" s="151">
        <v>2441.6</v>
      </c>
    </row>
    <row r="936" spans="1:13" s="149" customFormat="1" x14ac:dyDescent="0.25">
      <c r="A936" s="149" t="s">
        <v>7639</v>
      </c>
      <c r="B936" s="149" t="s">
        <v>1679</v>
      </c>
      <c r="C936" s="149">
        <v>11</v>
      </c>
      <c r="D936" s="149">
        <v>330</v>
      </c>
      <c r="E936" s="149">
        <v>0</v>
      </c>
      <c r="F936" s="149">
        <v>90100</v>
      </c>
      <c r="G936" s="149">
        <v>53340</v>
      </c>
      <c r="H936" s="150" t="str">
        <f t="shared" si="42"/>
        <v>5</v>
      </c>
      <c r="I936" s="150" t="str">
        <f t="shared" si="43"/>
        <v>53</v>
      </c>
      <c r="J936" s="150" t="str">
        <f t="shared" si="44"/>
        <v>533</v>
      </c>
      <c r="K936" s="150" t="s">
        <v>8945</v>
      </c>
      <c r="L936" s="149" t="s">
        <v>1680</v>
      </c>
      <c r="M936" s="151">
        <v>0</v>
      </c>
    </row>
    <row r="937" spans="1:13" s="149" customFormat="1" x14ac:dyDescent="0.25">
      <c r="A937" s="149" t="s">
        <v>7639</v>
      </c>
      <c r="B937" s="149" t="s">
        <v>1681</v>
      </c>
      <c r="C937" s="149">
        <v>11</v>
      </c>
      <c r="D937" s="149">
        <v>330</v>
      </c>
      <c r="E937" s="149">
        <v>0</v>
      </c>
      <c r="F937" s="149">
        <v>90100</v>
      </c>
      <c r="G937" s="149">
        <v>53410</v>
      </c>
      <c r="H937" s="150" t="str">
        <f t="shared" si="42"/>
        <v>5</v>
      </c>
      <c r="I937" s="150" t="str">
        <f t="shared" si="43"/>
        <v>53</v>
      </c>
      <c r="J937" s="150" t="str">
        <f t="shared" si="44"/>
        <v>534</v>
      </c>
      <c r="K937" s="150" t="s">
        <v>8946</v>
      </c>
      <c r="L937" s="149" t="s">
        <v>1682</v>
      </c>
      <c r="M937" s="151">
        <v>37742.75</v>
      </c>
    </row>
    <row r="938" spans="1:13" s="149" customFormat="1" x14ac:dyDescent="0.25">
      <c r="A938" s="149" t="s">
        <v>7639</v>
      </c>
      <c r="B938" s="149" t="s">
        <v>1683</v>
      </c>
      <c r="C938" s="149">
        <v>11</v>
      </c>
      <c r="D938" s="149">
        <v>330</v>
      </c>
      <c r="E938" s="149">
        <v>0</v>
      </c>
      <c r="F938" s="149">
        <v>90100</v>
      </c>
      <c r="G938" s="149">
        <v>53510</v>
      </c>
      <c r="H938" s="150" t="str">
        <f t="shared" si="42"/>
        <v>5</v>
      </c>
      <c r="I938" s="150" t="str">
        <f t="shared" si="43"/>
        <v>53</v>
      </c>
      <c r="J938" s="150" t="str">
        <f t="shared" si="44"/>
        <v>535</v>
      </c>
      <c r="K938" s="150" t="s">
        <v>8947</v>
      </c>
      <c r="L938" s="149" t="s">
        <v>1684</v>
      </c>
      <c r="M938" s="151">
        <v>84.2</v>
      </c>
    </row>
    <row r="939" spans="1:13" s="149" customFormat="1" x14ac:dyDescent="0.25">
      <c r="A939" s="149" t="s">
        <v>7639</v>
      </c>
      <c r="B939" s="149" t="s">
        <v>1685</v>
      </c>
      <c r="C939" s="149">
        <v>11</v>
      </c>
      <c r="D939" s="149">
        <v>330</v>
      </c>
      <c r="E939" s="149">
        <v>0</v>
      </c>
      <c r="F939" s="149">
        <v>90100</v>
      </c>
      <c r="G939" s="149">
        <v>53520</v>
      </c>
      <c r="H939" s="150" t="str">
        <f t="shared" si="42"/>
        <v>5</v>
      </c>
      <c r="I939" s="150" t="str">
        <f t="shared" si="43"/>
        <v>53</v>
      </c>
      <c r="J939" s="150" t="str">
        <f t="shared" si="44"/>
        <v>535</v>
      </c>
      <c r="K939" s="150" t="s">
        <v>8948</v>
      </c>
      <c r="L939" s="149" t="s">
        <v>1686</v>
      </c>
      <c r="M939" s="151">
        <v>0</v>
      </c>
    </row>
    <row r="940" spans="1:13" s="149" customFormat="1" x14ac:dyDescent="0.25">
      <c r="A940" s="149" t="s">
        <v>7639</v>
      </c>
      <c r="B940" s="149" t="s">
        <v>1687</v>
      </c>
      <c r="C940" s="149">
        <v>11</v>
      </c>
      <c r="D940" s="149">
        <v>330</v>
      </c>
      <c r="E940" s="149">
        <v>0</v>
      </c>
      <c r="F940" s="149">
        <v>90100</v>
      </c>
      <c r="G940" s="149">
        <v>53610</v>
      </c>
      <c r="H940" s="150" t="str">
        <f t="shared" si="42"/>
        <v>5</v>
      </c>
      <c r="I940" s="150" t="str">
        <f t="shared" si="43"/>
        <v>53</v>
      </c>
      <c r="J940" s="150" t="str">
        <f t="shared" si="44"/>
        <v>536</v>
      </c>
      <c r="K940" s="150" t="s">
        <v>8949</v>
      </c>
      <c r="L940" s="149" t="s">
        <v>1688</v>
      </c>
      <c r="M940" s="151">
        <v>3183.85</v>
      </c>
    </row>
    <row r="941" spans="1:13" s="149" customFormat="1" x14ac:dyDescent="0.25">
      <c r="A941" s="149" t="s">
        <v>7639</v>
      </c>
      <c r="B941" s="149" t="s">
        <v>1689</v>
      </c>
      <c r="C941" s="149">
        <v>11</v>
      </c>
      <c r="D941" s="149">
        <v>330</v>
      </c>
      <c r="E941" s="149">
        <v>0</v>
      </c>
      <c r="F941" s="149">
        <v>90100</v>
      </c>
      <c r="G941" s="149">
        <v>53620</v>
      </c>
      <c r="H941" s="150" t="str">
        <f t="shared" si="42"/>
        <v>5</v>
      </c>
      <c r="I941" s="150" t="str">
        <f t="shared" si="43"/>
        <v>53</v>
      </c>
      <c r="J941" s="150" t="str">
        <f t="shared" si="44"/>
        <v>536</v>
      </c>
      <c r="K941" s="150" t="s">
        <v>8950</v>
      </c>
      <c r="L941" s="149" t="s">
        <v>1690</v>
      </c>
      <c r="M941" s="151">
        <v>0</v>
      </c>
    </row>
    <row r="942" spans="1:13" s="149" customFormat="1" x14ac:dyDescent="0.25">
      <c r="A942" s="149" t="s">
        <v>7639</v>
      </c>
      <c r="B942" s="149" t="s">
        <v>1691</v>
      </c>
      <c r="C942" s="149">
        <v>11</v>
      </c>
      <c r="D942" s="149">
        <v>330</v>
      </c>
      <c r="E942" s="149">
        <v>0</v>
      </c>
      <c r="F942" s="149">
        <v>90100</v>
      </c>
      <c r="G942" s="149">
        <v>53910</v>
      </c>
      <c r="H942" s="150" t="str">
        <f t="shared" si="42"/>
        <v>5</v>
      </c>
      <c r="I942" s="150" t="str">
        <f t="shared" si="43"/>
        <v>53</v>
      </c>
      <c r="J942" s="150" t="str">
        <f t="shared" si="44"/>
        <v>539</v>
      </c>
      <c r="K942" s="150" t="s">
        <v>8951</v>
      </c>
      <c r="L942" s="149" t="s">
        <v>1692</v>
      </c>
      <c r="M942" s="151">
        <v>480</v>
      </c>
    </row>
    <row r="943" spans="1:13" s="149" customFormat="1" x14ac:dyDescent="0.25">
      <c r="A943" s="149" t="s">
        <v>7639</v>
      </c>
      <c r="B943" s="149" t="s">
        <v>1693</v>
      </c>
      <c r="C943" s="149">
        <v>11</v>
      </c>
      <c r="D943" s="149">
        <v>330</v>
      </c>
      <c r="E943" s="149">
        <v>0</v>
      </c>
      <c r="F943" s="149">
        <v>90100</v>
      </c>
      <c r="G943" s="149">
        <v>54300</v>
      </c>
      <c r="H943" s="150" t="str">
        <f t="shared" si="42"/>
        <v>5</v>
      </c>
      <c r="I943" s="150" t="str">
        <f t="shared" si="43"/>
        <v>54</v>
      </c>
      <c r="J943" s="150" t="str">
        <f t="shared" si="44"/>
        <v>543</v>
      </c>
      <c r="K943" s="150" t="s">
        <v>7940</v>
      </c>
      <c r="L943" s="149" t="s">
        <v>1694</v>
      </c>
      <c r="M943" s="151">
        <v>1674</v>
      </c>
    </row>
    <row r="944" spans="1:13" s="149" customFormat="1" x14ac:dyDescent="0.25">
      <c r="A944" s="149" t="s">
        <v>7639</v>
      </c>
      <c r="B944" s="149" t="s">
        <v>1695</v>
      </c>
      <c r="C944" s="149">
        <v>11</v>
      </c>
      <c r="D944" s="149">
        <v>330</v>
      </c>
      <c r="E944" s="149">
        <v>0</v>
      </c>
      <c r="F944" s="149">
        <v>90100</v>
      </c>
      <c r="G944" s="149">
        <v>55630</v>
      </c>
      <c r="H944" s="150" t="str">
        <f t="shared" si="42"/>
        <v>5</v>
      </c>
      <c r="I944" s="150" t="str">
        <f t="shared" si="43"/>
        <v>55</v>
      </c>
      <c r="J944" s="150" t="str">
        <f t="shared" si="44"/>
        <v>556</v>
      </c>
      <c r="K944" s="150" t="s">
        <v>8219</v>
      </c>
      <c r="L944" s="149" t="s">
        <v>1696</v>
      </c>
      <c r="M944" s="151">
        <v>27.9</v>
      </c>
    </row>
    <row r="945" spans="1:13" s="149" customFormat="1" x14ac:dyDescent="0.25">
      <c r="A945" s="149" t="s">
        <v>7639</v>
      </c>
      <c r="B945" s="149" t="s">
        <v>1697</v>
      </c>
      <c r="C945" s="149">
        <v>11</v>
      </c>
      <c r="D945" s="149">
        <v>330</v>
      </c>
      <c r="E945" s="149">
        <v>0</v>
      </c>
      <c r="F945" s="149">
        <v>170100</v>
      </c>
      <c r="G945" s="149">
        <v>51100</v>
      </c>
      <c r="H945" s="150" t="str">
        <f t="shared" si="42"/>
        <v>5</v>
      </c>
      <c r="I945" s="150" t="str">
        <f t="shared" si="43"/>
        <v>51</v>
      </c>
      <c r="J945" s="150" t="str">
        <f t="shared" si="44"/>
        <v>511</v>
      </c>
      <c r="K945" s="150" t="s">
        <v>8952</v>
      </c>
      <c r="L945" s="149" t="s">
        <v>1698</v>
      </c>
      <c r="M945" s="151">
        <v>1601955.82</v>
      </c>
    </row>
    <row r="946" spans="1:13" s="149" customFormat="1" x14ac:dyDescent="0.25">
      <c r="A946" s="149" t="s">
        <v>7639</v>
      </c>
      <c r="B946" s="149" t="s">
        <v>1699</v>
      </c>
      <c r="C946" s="149">
        <v>11</v>
      </c>
      <c r="D946" s="149">
        <v>330</v>
      </c>
      <c r="E946" s="149">
        <v>0</v>
      </c>
      <c r="F946" s="149">
        <v>170100</v>
      </c>
      <c r="G946" s="149">
        <v>51310</v>
      </c>
      <c r="H946" s="150" t="str">
        <f t="shared" si="42"/>
        <v>5</v>
      </c>
      <c r="I946" s="150" t="str">
        <f t="shared" si="43"/>
        <v>51</v>
      </c>
      <c r="J946" s="150" t="str">
        <f t="shared" si="44"/>
        <v>513</v>
      </c>
      <c r="K946" s="150" t="s">
        <v>7666</v>
      </c>
      <c r="L946" s="149" t="s">
        <v>1700</v>
      </c>
      <c r="M946" s="151">
        <v>271000</v>
      </c>
    </row>
    <row r="947" spans="1:13" s="149" customFormat="1" x14ac:dyDescent="0.25">
      <c r="A947" s="149" t="s">
        <v>7639</v>
      </c>
      <c r="B947" s="149" t="s">
        <v>1701</v>
      </c>
      <c r="C947" s="149">
        <v>11</v>
      </c>
      <c r="D947" s="149">
        <v>330</v>
      </c>
      <c r="E947" s="149">
        <v>0</v>
      </c>
      <c r="F947" s="149">
        <v>170100</v>
      </c>
      <c r="G947" s="149">
        <v>51311</v>
      </c>
      <c r="H947" s="150" t="str">
        <f t="shared" si="42"/>
        <v>5</v>
      </c>
      <c r="I947" s="150" t="str">
        <f t="shared" si="43"/>
        <v>51</v>
      </c>
      <c r="J947" s="150" t="str">
        <f t="shared" si="44"/>
        <v>513</v>
      </c>
      <c r="K947" s="150" t="s">
        <v>7741</v>
      </c>
      <c r="L947" s="149" t="s">
        <v>329</v>
      </c>
      <c r="M947" s="151">
        <v>240000</v>
      </c>
    </row>
    <row r="948" spans="1:13" s="149" customFormat="1" x14ac:dyDescent="0.25">
      <c r="A948" s="149" t="s">
        <v>7639</v>
      </c>
      <c r="B948" s="149" t="s">
        <v>1702</v>
      </c>
      <c r="C948" s="149">
        <v>11</v>
      </c>
      <c r="D948" s="149">
        <v>330</v>
      </c>
      <c r="E948" s="149">
        <v>0</v>
      </c>
      <c r="F948" s="149">
        <v>170100</v>
      </c>
      <c r="G948" s="149">
        <v>51412</v>
      </c>
      <c r="H948" s="150" t="str">
        <f t="shared" si="42"/>
        <v>5</v>
      </c>
      <c r="I948" s="150" t="str">
        <f t="shared" si="43"/>
        <v>51</v>
      </c>
      <c r="J948" s="150" t="str">
        <f t="shared" si="44"/>
        <v>514</v>
      </c>
      <c r="K948" s="150" t="s">
        <v>7792</v>
      </c>
      <c r="L948" s="149" t="s">
        <v>1703</v>
      </c>
      <c r="M948" s="151">
        <v>0</v>
      </c>
    </row>
    <row r="949" spans="1:13" s="149" customFormat="1" x14ac:dyDescent="0.25">
      <c r="A949" s="149" t="s">
        <v>7639</v>
      </c>
      <c r="B949" s="149" t="s">
        <v>1704</v>
      </c>
      <c r="C949" s="149">
        <v>11</v>
      </c>
      <c r="D949" s="149">
        <v>330</v>
      </c>
      <c r="E949" s="149">
        <v>0</v>
      </c>
      <c r="F949" s="149">
        <v>170100</v>
      </c>
      <c r="G949" s="149">
        <v>53110</v>
      </c>
      <c r="H949" s="150" t="str">
        <f t="shared" si="42"/>
        <v>5</v>
      </c>
      <c r="I949" s="150" t="str">
        <f t="shared" si="43"/>
        <v>53</v>
      </c>
      <c r="J949" s="150" t="str">
        <f t="shared" si="44"/>
        <v>531</v>
      </c>
      <c r="K949" s="150" t="s">
        <v>8953</v>
      </c>
      <c r="L949" s="149" t="s">
        <v>331</v>
      </c>
      <c r="M949" s="151">
        <v>341242.36</v>
      </c>
    </row>
    <row r="950" spans="1:13" s="149" customFormat="1" x14ac:dyDescent="0.25">
      <c r="A950" s="149" t="s">
        <v>7639</v>
      </c>
      <c r="B950" s="149" t="s">
        <v>1705</v>
      </c>
      <c r="C950" s="149">
        <v>11</v>
      </c>
      <c r="D950" s="149">
        <v>330</v>
      </c>
      <c r="E950" s="149">
        <v>0</v>
      </c>
      <c r="F950" s="149">
        <v>170100</v>
      </c>
      <c r="G950" s="149">
        <v>53120</v>
      </c>
      <c r="H950" s="150" t="str">
        <f t="shared" si="42"/>
        <v>5</v>
      </c>
      <c r="I950" s="150" t="str">
        <f t="shared" si="43"/>
        <v>53</v>
      </c>
      <c r="J950" s="150" t="str">
        <f t="shared" si="44"/>
        <v>531</v>
      </c>
      <c r="K950" s="150" t="s">
        <v>8954</v>
      </c>
      <c r="L950" s="149" t="s">
        <v>1706</v>
      </c>
      <c r="M950" s="151">
        <v>0</v>
      </c>
    </row>
    <row r="951" spans="1:13" s="149" customFormat="1" x14ac:dyDescent="0.25">
      <c r="A951" s="149" t="s">
        <v>7639</v>
      </c>
      <c r="B951" s="149" t="s">
        <v>1707</v>
      </c>
      <c r="C951" s="149">
        <v>11</v>
      </c>
      <c r="D951" s="149">
        <v>330</v>
      </c>
      <c r="E951" s="149">
        <v>0</v>
      </c>
      <c r="F951" s="149">
        <v>170100</v>
      </c>
      <c r="G951" s="149">
        <v>53310</v>
      </c>
      <c r="H951" s="150" t="str">
        <f t="shared" si="42"/>
        <v>5</v>
      </c>
      <c r="I951" s="150" t="str">
        <f t="shared" si="43"/>
        <v>53</v>
      </c>
      <c r="J951" s="150" t="str">
        <f t="shared" si="44"/>
        <v>533</v>
      </c>
      <c r="K951" s="150" t="s">
        <v>8955</v>
      </c>
      <c r="L951" s="149" t="s">
        <v>1708</v>
      </c>
      <c r="M951" s="151">
        <v>0</v>
      </c>
    </row>
    <row r="952" spans="1:13" s="149" customFormat="1" x14ac:dyDescent="0.25">
      <c r="A952" s="149" t="s">
        <v>7639</v>
      </c>
      <c r="B952" s="149" t="s">
        <v>1709</v>
      </c>
      <c r="C952" s="149">
        <v>11</v>
      </c>
      <c r="D952" s="149">
        <v>330</v>
      </c>
      <c r="E952" s="149">
        <v>0</v>
      </c>
      <c r="F952" s="149">
        <v>170100</v>
      </c>
      <c r="G952" s="149">
        <v>53330</v>
      </c>
      <c r="H952" s="150" t="str">
        <f t="shared" si="42"/>
        <v>5</v>
      </c>
      <c r="I952" s="150" t="str">
        <f t="shared" si="43"/>
        <v>53</v>
      </c>
      <c r="J952" s="150" t="str">
        <f t="shared" si="44"/>
        <v>533</v>
      </c>
      <c r="K952" s="150" t="s">
        <v>8956</v>
      </c>
      <c r="L952" s="149" t="s">
        <v>333</v>
      </c>
      <c r="M952" s="151">
        <v>30637.85</v>
      </c>
    </row>
    <row r="953" spans="1:13" s="149" customFormat="1" x14ac:dyDescent="0.25">
      <c r="A953" s="149" t="s">
        <v>7639</v>
      </c>
      <c r="B953" s="149" t="s">
        <v>1710</v>
      </c>
      <c r="C953" s="149">
        <v>11</v>
      </c>
      <c r="D953" s="149">
        <v>330</v>
      </c>
      <c r="E953" s="149">
        <v>0</v>
      </c>
      <c r="F953" s="149">
        <v>170100</v>
      </c>
      <c r="G953" s="149">
        <v>53340</v>
      </c>
      <c r="H953" s="150" t="str">
        <f t="shared" si="42"/>
        <v>5</v>
      </c>
      <c r="I953" s="150" t="str">
        <f t="shared" si="43"/>
        <v>53</v>
      </c>
      <c r="J953" s="150" t="str">
        <f t="shared" si="44"/>
        <v>533</v>
      </c>
      <c r="K953" s="150" t="s">
        <v>8957</v>
      </c>
      <c r="L953" s="149" t="s">
        <v>1711</v>
      </c>
      <c r="M953" s="151">
        <v>0</v>
      </c>
    </row>
    <row r="954" spans="1:13" s="149" customFormat="1" x14ac:dyDescent="0.25">
      <c r="A954" s="149" t="s">
        <v>7639</v>
      </c>
      <c r="B954" s="149" t="s">
        <v>1712</v>
      </c>
      <c r="C954" s="149">
        <v>11</v>
      </c>
      <c r="D954" s="149">
        <v>330</v>
      </c>
      <c r="E954" s="149">
        <v>0</v>
      </c>
      <c r="F954" s="149">
        <v>170100</v>
      </c>
      <c r="G954" s="149">
        <v>53410</v>
      </c>
      <c r="H954" s="150" t="str">
        <f t="shared" si="42"/>
        <v>5</v>
      </c>
      <c r="I954" s="150" t="str">
        <f t="shared" si="43"/>
        <v>53</v>
      </c>
      <c r="J954" s="150" t="str">
        <f t="shared" si="44"/>
        <v>534</v>
      </c>
      <c r="K954" s="150" t="s">
        <v>8958</v>
      </c>
      <c r="L954" s="149" t="s">
        <v>1713</v>
      </c>
      <c r="M954" s="151">
        <v>380293.15</v>
      </c>
    </row>
    <row r="955" spans="1:13" s="149" customFormat="1" x14ac:dyDescent="0.25">
      <c r="A955" s="149" t="s">
        <v>7639</v>
      </c>
      <c r="B955" s="149" t="s">
        <v>1714</v>
      </c>
      <c r="C955" s="149">
        <v>11</v>
      </c>
      <c r="D955" s="149">
        <v>330</v>
      </c>
      <c r="E955" s="149">
        <v>0</v>
      </c>
      <c r="F955" s="149">
        <v>170100</v>
      </c>
      <c r="G955" s="149">
        <v>53510</v>
      </c>
      <c r="H955" s="150" t="str">
        <f t="shared" si="42"/>
        <v>5</v>
      </c>
      <c r="I955" s="150" t="str">
        <f t="shared" si="43"/>
        <v>53</v>
      </c>
      <c r="J955" s="150" t="str">
        <f t="shared" si="44"/>
        <v>535</v>
      </c>
      <c r="K955" s="150" t="s">
        <v>8959</v>
      </c>
      <c r="L955" s="149" t="s">
        <v>335</v>
      </c>
      <c r="M955" s="151">
        <v>1056.48</v>
      </c>
    </row>
    <row r="956" spans="1:13" s="149" customFormat="1" x14ac:dyDescent="0.25">
      <c r="A956" s="149" t="s">
        <v>7639</v>
      </c>
      <c r="B956" s="149" t="s">
        <v>1715</v>
      </c>
      <c r="C956" s="149">
        <v>11</v>
      </c>
      <c r="D956" s="149">
        <v>330</v>
      </c>
      <c r="E956" s="149">
        <v>0</v>
      </c>
      <c r="F956" s="149">
        <v>170100</v>
      </c>
      <c r="G956" s="149">
        <v>53520</v>
      </c>
      <c r="H956" s="150" t="str">
        <f t="shared" si="42"/>
        <v>5</v>
      </c>
      <c r="I956" s="150" t="str">
        <f t="shared" si="43"/>
        <v>53</v>
      </c>
      <c r="J956" s="150" t="str">
        <f t="shared" si="44"/>
        <v>535</v>
      </c>
      <c r="K956" s="150" t="s">
        <v>8960</v>
      </c>
      <c r="L956" s="149" t="s">
        <v>1716</v>
      </c>
      <c r="M956" s="151">
        <v>0</v>
      </c>
    </row>
    <row r="957" spans="1:13" s="149" customFormat="1" x14ac:dyDescent="0.25">
      <c r="A957" s="149" t="s">
        <v>7639</v>
      </c>
      <c r="B957" s="149" t="s">
        <v>1717</v>
      </c>
      <c r="C957" s="149">
        <v>11</v>
      </c>
      <c r="D957" s="149">
        <v>330</v>
      </c>
      <c r="E957" s="149">
        <v>0</v>
      </c>
      <c r="F957" s="149">
        <v>170100</v>
      </c>
      <c r="G957" s="149">
        <v>53610</v>
      </c>
      <c r="H957" s="150" t="str">
        <f t="shared" si="42"/>
        <v>5</v>
      </c>
      <c r="I957" s="150" t="str">
        <f t="shared" si="43"/>
        <v>53</v>
      </c>
      <c r="J957" s="150" t="str">
        <f t="shared" si="44"/>
        <v>536</v>
      </c>
      <c r="K957" s="150" t="s">
        <v>8961</v>
      </c>
      <c r="L957" s="149" t="s">
        <v>337</v>
      </c>
      <c r="M957" s="151">
        <v>39951.78</v>
      </c>
    </row>
    <row r="958" spans="1:13" s="149" customFormat="1" x14ac:dyDescent="0.25">
      <c r="A958" s="149" t="s">
        <v>7639</v>
      </c>
      <c r="B958" s="149" t="s">
        <v>1718</v>
      </c>
      <c r="C958" s="149">
        <v>11</v>
      </c>
      <c r="D958" s="149">
        <v>330</v>
      </c>
      <c r="E958" s="149">
        <v>0</v>
      </c>
      <c r="F958" s="149">
        <v>170100</v>
      </c>
      <c r="G958" s="149">
        <v>53620</v>
      </c>
      <c r="H958" s="150" t="str">
        <f t="shared" si="42"/>
        <v>5</v>
      </c>
      <c r="I958" s="150" t="str">
        <f t="shared" si="43"/>
        <v>53</v>
      </c>
      <c r="J958" s="150" t="str">
        <f t="shared" si="44"/>
        <v>536</v>
      </c>
      <c r="K958" s="150" t="s">
        <v>8962</v>
      </c>
      <c r="L958" s="149" t="s">
        <v>1719</v>
      </c>
      <c r="M958" s="151">
        <v>0</v>
      </c>
    </row>
    <row r="959" spans="1:13" s="149" customFormat="1" x14ac:dyDescent="0.25">
      <c r="A959" s="149" t="s">
        <v>7639</v>
      </c>
      <c r="B959" s="149" t="s">
        <v>1720</v>
      </c>
      <c r="C959" s="149">
        <v>11</v>
      </c>
      <c r="D959" s="149">
        <v>330</v>
      </c>
      <c r="E959" s="149">
        <v>0</v>
      </c>
      <c r="F959" s="149">
        <v>170100</v>
      </c>
      <c r="G959" s="149">
        <v>53910</v>
      </c>
      <c r="H959" s="150" t="str">
        <f t="shared" si="42"/>
        <v>5</v>
      </c>
      <c r="I959" s="150" t="str">
        <f t="shared" si="43"/>
        <v>53</v>
      </c>
      <c r="J959" s="150" t="str">
        <f t="shared" si="44"/>
        <v>539</v>
      </c>
      <c r="K959" s="150" t="s">
        <v>8963</v>
      </c>
      <c r="L959" s="149" t="s">
        <v>1721</v>
      </c>
      <c r="M959" s="151">
        <v>4800</v>
      </c>
    </row>
    <row r="960" spans="1:13" s="149" customFormat="1" x14ac:dyDescent="0.25">
      <c r="A960" s="149" t="s">
        <v>7639</v>
      </c>
      <c r="B960" s="149" t="s">
        <v>1722</v>
      </c>
      <c r="C960" s="149">
        <v>11</v>
      </c>
      <c r="D960" s="149">
        <v>330</v>
      </c>
      <c r="E960" s="149">
        <v>0</v>
      </c>
      <c r="F960" s="149">
        <v>170100</v>
      </c>
      <c r="G960" s="149">
        <v>54300</v>
      </c>
      <c r="H960" s="150" t="str">
        <f t="shared" si="42"/>
        <v>5</v>
      </c>
      <c r="I960" s="150" t="str">
        <f t="shared" si="43"/>
        <v>54</v>
      </c>
      <c r="J960" s="150" t="str">
        <f t="shared" si="44"/>
        <v>543</v>
      </c>
      <c r="K960" s="150" t="s">
        <v>7941</v>
      </c>
      <c r="L960" s="149" t="s">
        <v>1723</v>
      </c>
      <c r="M960" s="151">
        <v>930</v>
      </c>
    </row>
    <row r="961" spans="1:13" s="149" customFormat="1" x14ac:dyDescent="0.25">
      <c r="A961" s="149" t="s">
        <v>7639</v>
      </c>
      <c r="B961" s="149" t="s">
        <v>1724</v>
      </c>
      <c r="C961" s="149">
        <v>11</v>
      </c>
      <c r="D961" s="149">
        <v>330</v>
      </c>
      <c r="E961" s="149">
        <v>0</v>
      </c>
      <c r="F961" s="149">
        <v>170100</v>
      </c>
      <c r="G961" s="149">
        <v>55630</v>
      </c>
      <c r="H961" s="150" t="str">
        <f t="shared" si="42"/>
        <v>5</v>
      </c>
      <c r="I961" s="150" t="str">
        <f t="shared" si="43"/>
        <v>55</v>
      </c>
      <c r="J961" s="150" t="str">
        <f t="shared" si="44"/>
        <v>556</v>
      </c>
      <c r="K961" s="150" t="s">
        <v>8220</v>
      </c>
      <c r="L961" s="149" t="s">
        <v>339</v>
      </c>
      <c r="M961" s="151">
        <v>976.3</v>
      </c>
    </row>
    <row r="962" spans="1:13" s="149" customFormat="1" x14ac:dyDescent="0.25">
      <c r="A962" s="149" t="s">
        <v>7639</v>
      </c>
      <c r="B962" s="149" t="s">
        <v>1725</v>
      </c>
      <c r="C962" s="149">
        <v>11</v>
      </c>
      <c r="D962" s="149">
        <v>330</v>
      </c>
      <c r="E962" s="149">
        <v>0</v>
      </c>
      <c r="F962" s="149">
        <v>170100</v>
      </c>
      <c r="G962" s="149">
        <v>55650</v>
      </c>
      <c r="H962" s="150" t="str">
        <f t="shared" si="42"/>
        <v>5</v>
      </c>
      <c r="I962" s="150" t="str">
        <f t="shared" si="43"/>
        <v>55</v>
      </c>
      <c r="J962" s="150" t="str">
        <f t="shared" si="44"/>
        <v>556</v>
      </c>
      <c r="K962" s="150" t="s">
        <v>8298</v>
      </c>
      <c r="L962" s="149" t="s">
        <v>1726</v>
      </c>
      <c r="M962" s="151">
        <v>470</v>
      </c>
    </row>
    <row r="963" spans="1:13" s="149" customFormat="1" x14ac:dyDescent="0.25">
      <c r="A963" s="149" t="s">
        <v>7639</v>
      </c>
      <c r="B963" s="149" t="s">
        <v>1727</v>
      </c>
      <c r="C963" s="149">
        <v>11</v>
      </c>
      <c r="D963" s="149">
        <v>330</v>
      </c>
      <c r="E963" s="149">
        <v>0</v>
      </c>
      <c r="F963" s="149">
        <v>190200</v>
      </c>
      <c r="G963" s="149">
        <v>51100</v>
      </c>
      <c r="H963" s="150" t="str">
        <f t="shared" ref="H963:H1026" si="45">LEFT(G963,1)</f>
        <v>5</v>
      </c>
      <c r="I963" s="150" t="str">
        <f t="shared" ref="I963:I1026" si="46">LEFT(G963,2)</f>
        <v>51</v>
      </c>
      <c r="J963" s="150" t="str">
        <f t="shared" ref="J963:J1026" si="47">LEFT(G963,3)</f>
        <v>511</v>
      </c>
      <c r="K963" s="150" t="s">
        <v>8964</v>
      </c>
      <c r="L963" s="149" t="s">
        <v>1728</v>
      </c>
      <c r="M963" s="151">
        <v>95696</v>
      </c>
    </row>
    <row r="964" spans="1:13" s="149" customFormat="1" x14ac:dyDescent="0.25">
      <c r="A964" s="149" t="s">
        <v>7639</v>
      </c>
      <c r="B964" s="149" t="s">
        <v>1729</v>
      </c>
      <c r="C964" s="149">
        <v>11</v>
      </c>
      <c r="D964" s="149">
        <v>330</v>
      </c>
      <c r="E964" s="149">
        <v>0</v>
      </c>
      <c r="F964" s="149">
        <v>190200</v>
      </c>
      <c r="G964" s="149">
        <v>51310</v>
      </c>
      <c r="H964" s="150" t="str">
        <f t="shared" si="45"/>
        <v>5</v>
      </c>
      <c r="I964" s="150" t="str">
        <f t="shared" si="46"/>
        <v>51</v>
      </c>
      <c r="J964" s="150" t="str">
        <f t="shared" si="47"/>
        <v>513</v>
      </c>
      <c r="K964" s="150" t="s">
        <v>7667</v>
      </c>
      <c r="L964" s="149" t="s">
        <v>1730</v>
      </c>
      <c r="M964" s="151">
        <v>7287</v>
      </c>
    </row>
    <row r="965" spans="1:13" s="149" customFormat="1" x14ac:dyDescent="0.25">
      <c r="A965" s="149" t="s">
        <v>7639</v>
      </c>
      <c r="B965" s="149" t="s">
        <v>1731</v>
      </c>
      <c r="C965" s="149">
        <v>11</v>
      </c>
      <c r="D965" s="149">
        <v>330</v>
      </c>
      <c r="E965" s="149">
        <v>0</v>
      </c>
      <c r="F965" s="149">
        <v>190200</v>
      </c>
      <c r="G965" s="149">
        <v>51311</v>
      </c>
      <c r="H965" s="150" t="str">
        <f t="shared" si="45"/>
        <v>5</v>
      </c>
      <c r="I965" s="150" t="str">
        <f t="shared" si="46"/>
        <v>51</v>
      </c>
      <c r="J965" s="150" t="str">
        <f t="shared" si="47"/>
        <v>513</v>
      </c>
      <c r="K965" s="150" t="s">
        <v>7742</v>
      </c>
      <c r="L965" s="149" t="s">
        <v>341</v>
      </c>
      <c r="M965" s="151">
        <v>39000</v>
      </c>
    </row>
    <row r="966" spans="1:13" s="149" customFormat="1" x14ac:dyDescent="0.25">
      <c r="A966" s="149" t="s">
        <v>7639</v>
      </c>
      <c r="B966" s="149" t="s">
        <v>1732</v>
      </c>
      <c r="C966" s="149">
        <v>11</v>
      </c>
      <c r="D966" s="149">
        <v>330</v>
      </c>
      <c r="E966" s="149">
        <v>0</v>
      </c>
      <c r="F966" s="149">
        <v>190200</v>
      </c>
      <c r="G966" s="149">
        <v>52200</v>
      </c>
      <c r="H966" s="150" t="str">
        <f t="shared" si="45"/>
        <v>5</v>
      </c>
      <c r="I966" s="150" t="str">
        <f t="shared" si="46"/>
        <v>52</v>
      </c>
      <c r="J966" s="150" t="str">
        <f t="shared" si="47"/>
        <v>522</v>
      </c>
      <c r="K966" s="150" t="s">
        <v>8965</v>
      </c>
      <c r="L966" s="149" t="s">
        <v>1733</v>
      </c>
      <c r="M966" s="151">
        <v>48797.78</v>
      </c>
    </row>
    <row r="967" spans="1:13" s="149" customFormat="1" x14ac:dyDescent="0.25">
      <c r="A967" s="149" t="s">
        <v>7639</v>
      </c>
      <c r="B967" s="149" t="s">
        <v>1734</v>
      </c>
      <c r="C967" s="149">
        <v>11</v>
      </c>
      <c r="D967" s="149">
        <v>330</v>
      </c>
      <c r="E967" s="149">
        <v>0</v>
      </c>
      <c r="F967" s="149">
        <v>190200</v>
      </c>
      <c r="G967" s="149">
        <v>52300</v>
      </c>
      <c r="H967" s="150" t="str">
        <f t="shared" si="45"/>
        <v>5</v>
      </c>
      <c r="I967" s="150" t="str">
        <f t="shared" si="46"/>
        <v>52</v>
      </c>
      <c r="J967" s="150" t="str">
        <f t="shared" si="47"/>
        <v>523</v>
      </c>
      <c r="K967" s="150" t="s">
        <v>7824</v>
      </c>
      <c r="L967" s="149" t="s">
        <v>1735</v>
      </c>
      <c r="M967" s="151">
        <v>0</v>
      </c>
    </row>
    <row r="968" spans="1:13" s="149" customFormat="1" x14ac:dyDescent="0.25">
      <c r="A968" s="149" t="s">
        <v>7639</v>
      </c>
      <c r="B968" s="149" t="s">
        <v>1736</v>
      </c>
      <c r="C968" s="149">
        <v>11</v>
      </c>
      <c r="D968" s="149">
        <v>330</v>
      </c>
      <c r="E968" s="149">
        <v>0</v>
      </c>
      <c r="F968" s="149">
        <v>190200</v>
      </c>
      <c r="G968" s="149">
        <v>53110</v>
      </c>
      <c r="H968" s="150" t="str">
        <f t="shared" si="45"/>
        <v>5</v>
      </c>
      <c r="I968" s="150" t="str">
        <f t="shared" si="46"/>
        <v>53</v>
      </c>
      <c r="J968" s="150" t="str">
        <f t="shared" si="47"/>
        <v>531</v>
      </c>
      <c r="K968" s="150" t="s">
        <v>8966</v>
      </c>
      <c r="L968" s="149" t="s">
        <v>343</v>
      </c>
      <c r="M968" s="151">
        <v>22930.25</v>
      </c>
    </row>
    <row r="969" spans="1:13" s="149" customFormat="1" x14ac:dyDescent="0.25">
      <c r="A969" s="149" t="s">
        <v>7639</v>
      </c>
      <c r="B969" s="149" t="s">
        <v>1737</v>
      </c>
      <c r="C969" s="149">
        <v>11</v>
      </c>
      <c r="D969" s="149">
        <v>330</v>
      </c>
      <c r="E969" s="149">
        <v>0</v>
      </c>
      <c r="F969" s="149">
        <v>190200</v>
      </c>
      <c r="G969" s="149">
        <v>53210</v>
      </c>
      <c r="H969" s="150" t="str">
        <f t="shared" si="45"/>
        <v>5</v>
      </c>
      <c r="I969" s="150" t="str">
        <f t="shared" si="46"/>
        <v>53</v>
      </c>
      <c r="J969" s="150" t="str">
        <f t="shared" si="47"/>
        <v>532</v>
      </c>
      <c r="K969" s="150" t="s">
        <v>8967</v>
      </c>
      <c r="L969" s="149" t="s">
        <v>1738</v>
      </c>
      <c r="M969" s="151">
        <v>10101.14</v>
      </c>
    </row>
    <row r="970" spans="1:13" s="149" customFormat="1" x14ac:dyDescent="0.25">
      <c r="A970" s="149" t="s">
        <v>7639</v>
      </c>
      <c r="B970" s="149" t="s">
        <v>1739</v>
      </c>
      <c r="C970" s="149">
        <v>11</v>
      </c>
      <c r="D970" s="149">
        <v>330</v>
      </c>
      <c r="E970" s="149">
        <v>0</v>
      </c>
      <c r="F970" s="149">
        <v>190200</v>
      </c>
      <c r="G970" s="149">
        <v>53310</v>
      </c>
      <c r="H970" s="150" t="str">
        <f t="shared" si="45"/>
        <v>5</v>
      </c>
      <c r="I970" s="150" t="str">
        <f t="shared" si="46"/>
        <v>53</v>
      </c>
      <c r="J970" s="150" t="str">
        <f t="shared" si="47"/>
        <v>533</v>
      </c>
      <c r="K970" s="150" t="s">
        <v>8968</v>
      </c>
      <c r="L970" s="149" t="s">
        <v>1740</v>
      </c>
      <c r="M970" s="151">
        <v>3025.46</v>
      </c>
    </row>
    <row r="971" spans="1:13" s="149" customFormat="1" x14ac:dyDescent="0.25">
      <c r="A971" s="149" t="s">
        <v>7639</v>
      </c>
      <c r="B971" s="149" t="s">
        <v>1741</v>
      </c>
      <c r="C971" s="149">
        <v>11</v>
      </c>
      <c r="D971" s="149">
        <v>330</v>
      </c>
      <c r="E971" s="149">
        <v>0</v>
      </c>
      <c r="F971" s="149">
        <v>190200</v>
      </c>
      <c r="G971" s="149">
        <v>53320</v>
      </c>
      <c r="H971" s="150" t="str">
        <f t="shared" si="45"/>
        <v>5</v>
      </c>
      <c r="I971" s="150" t="str">
        <f t="shared" si="46"/>
        <v>53</v>
      </c>
      <c r="J971" s="150" t="str">
        <f t="shared" si="47"/>
        <v>533</v>
      </c>
      <c r="K971" s="150" t="s">
        <v>8969</v>
      </c>
      <c r="L971" s="149" t="s">
        <v>1742</v>
      </c>
      <c r="M971" s="151">
        <v>0</v>
      </c>
    </row>
    <row r="972" spans="1:13" s="149" customFormat="1" x14ac:dyDescent="0.25">
      <c r="A972" s="149" t="s">
        <v>7639</v>
      </c>
      <c r="B972" s="149" t="s">
        <v>1743</v>
      </c>
      <c r="C972" s="149">
        <v>11</v>
      </c>
      <c r="D972" s="149">
        <v>330</v>
      </c>
      <c r="E972" s="149">
        <v>0</v>
      </c>
      <c r="F972" s="149">
        <v>190200</v>
      </c>
      <c r="G972" s="149">
        <v>53330</v>
      </c>
      <c r="H972" s="150" t="str">
        <f t="shared" si="45"/>
        <v>5</v>
      </c>
      <c r="I972" s="150" t="str">
        <f t="shared" si="46"/>
        <v>53</v>
      </c>
      <c r="J972" s="150" t="str">
        <f t="shared" si="47"/>
        <v>533</v>
      </c>
      <c r="K972" s="150" t="s">
        <v>8970</v>
      </c>
      <c r="L972" s="149" t="s">
        <v>345</v>
      </c>
      <c r="M972" s="151">
        <v>2766.32</v>
      </c>
    </row>
    <row r="973" spans="1:13" s="149" customFormat="1" x14ac:dyDescent="0.25">
      <c r="A973" s="149" t="s">
        <v>7639</v>
      </c>
      <c r="B973" s="149" t="s">
        <v>1744</v>
      </c>
      <c r="C973" s="149">
        <v>11</v>
      </c>
      <c r="D973" s="149">
        <v>330</v>
      </c>
      <c r="E973" s="149">
        <v>0</v>
      </c>
      <c r="F973" s="149">
        <v>190200</v>
      </c>
      <c r="G973" s="149">
        <v>53340</v>
      </c>
      <c r="H973" s="150" t="str">
        <f t="shared" si="45"/>
        <v>5</v>
      </c>
      <c r="I973" s="150" t="str">
        <f t="shared" si="46"/>
        <v>53</v>
      </c>
      <c r="J973" s="150" t="str">
        <f t="shared" si="47"/>
        <v>533</v>
      </c>
      <c r="K973" s="150" t="s">
        <v>8971</v>
      </c>
      <c r="L973" s="149" t="s">
        <v>1745</v>
      </c>
      <c r="M973" s="151">
        <v>0</v>
      </c>
    </row>
    <row r="974" spans="1:13" s="149" customFormat="1" x14ac:dyDescent="0.25">
      <c r="A974" s="149" t="s">
        <v>7639</v>
      </c>
      <c r="B974" s="149" t="s">
        <v>1746</v>
      </c>
      <c r="C974" s="149">
        <v>11</v>
      </c>
      <c r="D974" s="149">
        <v>330</v>
      </c>
      <c r="E974" s="149">
        <v>0</v>
      </c>
      <c r="F974" s="149">
        <v>190200</v>
      </c>
      <c r="G974" s="149">
        <v>53410</v>
      </c>
      <c r="H974" s="150" t="str">
        <f t="shared" si="45"/>
        <v>5</v>
      </c>
      <c r="I974" s="150" t="str">
        <f t="shared" si="46"/>
        <v>53</v>
      </c>
      <c r="J974" s="150" t="str">
        <f t="shared" si="47"/>
        <v>534</v>
      </c>
      <c r="K974" s="150" t="s">
        <v>8972</v>
      </c>
      <c r="L974" s="149" t="s">
        <v>1747</v>
      </c>
      <c r="M974" s="151">
        <v>18988.59</v>
      </c>
    </row>
    <row r="975" spans="1:13" s="149" customFormat="1" x14ac:dyDescent="0.25">
      <c r="A975" s="149" t="s">
        <v>7639</v>
      </c>
      <c r="B975" s="149" t="s">
        <v>1748</v>
      </c>
      <c r="C975" s="149">
        <v>11</v>
      </c>
      <c r="D975" s="149">
        <v>330</v>
      </c>
      <c r="E975" s="149">
        <v>0</v>
      </c>
      <c r="F975" s="149">
        <v>190200</v>
      </c>
      <c r="G975" s="149">
        <v>53510</v>
      </c>
      <c r="H975" s="150" t="str">
        <f t="shared" si="45"/>
        <v>5</v>
      </c>
      <c r="I975" s="150" t="str">
        <f t="shared" si="46"/>
        <v>53</v>
      </c>
      <c r="J975" s="150" t="str">
        <f t="shared" si="47"/>
        <v>535</v>
      </c>
      <c r="K975" s="150" t="s">
        <v>8973</v>
      </c>
      <c r="L975" s="149" t="s">
        <v>347</v>
      </c>
      <c r="M975" s="151">
        <v>95.39</v>
      </c>
    </row>
    <row r="976" spans="1:13" s="149" customFormat="1" x14ac:dyDescent="0.25">
      <c r="A976" s="149" t="s">
        <v>7639</v>
      </c>
      <c r="B976" s="149" t="s">
        <v>1749</v>
      </c>
      <c r="C976" s="149">
        <v>11</v>
      </c>
      <c r="D976" s="149">
        <v>330</v>
      </c>
      <c r="E976" s="149">
        <v>0</v>
      </c>
      <c r="F976" s="149">
        <v>190200</v>
      </c>
      <c r="G976" s="149">
        <v>53520</v>
      </c>
      <c r="H976" s="150" t="str">
        <f t="shared" si="45"/>
        <v>5</v>
      </c>
      <c r="I976" s="150" t="str">
        <f t="shared" si="46"/>
        <v>53</v>
      </c>
      <c r="J976" s="150" t="str">
        <f t="shared" si="47"/>
        <v>535</v>
      </c>
      <c r="K976" s="150" t="s">
        <v>8974</v>
      </c>
      <c r="L976" s="149" t="s">
        <v>1750</v>
      </c>
      <c r="M976" s="151">
        <v>0</v>
      </c>
    </row>
    <row r="977" spans="1:13" s="149" customFormat="1" x14ac:dyDescent="0.25">
      <c r="A977" s="149" t="s">
        <v>7639</v>
      </c>
      <c r="B977" s="149" t="s">
        <v>1751</v>
      </c>
      <c r="C977" s="149">
        <v>11</v>
      </c>
      <c r="D977" s="149">
        <v>330</v>
      </c>
      <c r="E977" s="149">
        <v>0</v>
      </c>
      <c r="F977" s="149">
        <v>190200</v>
      </c>
      <c r="G977" s="149">
        <v>53610</v>
      </c>
      <c r="H977" s="150" t="str">
        <f t="shared" si="45"/>
        <v>5</v>
      </c>
      <c r="I977" s="150" t="str">
        <f t="shared" si="46"/>
        <v>53</v>
      </c>
      <c r="J977" s="150" t="str">
        <f t="shared" si="47"/>
        <v>536</v>
      </c>
      <c r="K977" s="150" t="s">
        <v>8975</v>
      </c>
      <c r="L977" s="149" t="s">
        <v>349</v>
      </c>
      <c r="M977" s="151">
        <v>3607.28</v>
      </c>
    </row>
    <row r="978" spans="1:13" s="149" customFormat="1" x14ac:dyDescent="0.25">
      <c r="A978" s="149" t="s">
        <v>7639</v>
      </c>
      <c r="B978" s="149" t="s">
        <v>1752</v>
      </c>
      <c r="C978" s="149">
        <v>11</v>
      </c>
      <c r="D978" s="149">
        <v>330</v>
      </c>
      <c r="E978" s="149">
        <v>0</v>
      </c>
      <c r="F978" s="149">
        <v>190200</v>
      </c>
      <c r="G978" s="149">
        <v>53620</v>
      </c>
      <c r="H978" s="150" t="str">
        <f t="shared" si="45"/>
        <v>5</v>
      </c>
      <c r="I978" s="150" t="str">
        <f t="shared" si="46"/>
        <v>53</v>
      </c>
      <c r="J978" s="150" t="str">
        <f t="shared" si="47"/>
        <v>536</v>
      </c>
      <c r="K978" s="150" t="s">
        <v>8976</v>
      </c>
      <c r="L978" s="149" t="s">
        <v>1753</v>
      </c>
      <c r="M978" s="151">
        <v>0</v>
      </c>
    </row>
    <row r="979" spans="1:13" s="149" customFormat="1" x14ac:dyDescent="0.25">
      <c r="A979" s="149" t="s">
        <v>7639</v>
      </c>
      <c r="B979" s="149" t="s">
        <v>1754</v>
      </c>
      <c r="C979" s="149">
        <v>11</v>
      </c>
      <c r="D979" s="149">
        <v>330</v>
      </c>
      <c r="E979" s="149">
        <v>0</v>
      </c>
      <c r="F979" s="149">
        <v>190200</v>
      </c>
      <c r="G979" s="149">
        <v>53910</v>
      </c>
      <c r="H979" s="150" t="str">
        <f t="shared" si="45"/>
        <v>5</v>
      </c>
      <c r="I979" s="150" t="str">
        <f t="shared" si="46"/>
        <v>53</v>
      </c>
      <c r="J979" s="150" t="str">
        <f t="shared" si="47"/>
        <v>539</v>
      </c>
      <c r="K979" s="150" t="s">
        <v>8977</v>
      </c>
      <c r="L979" s="149" t="s">
        <v>1755</v>
      </c>
      <c r="M979" s="151">
        <v>4200</v>
      </c>
    </row>
    <row r="980" spans="1:13" s="149" customFormat="1" x14ac:dyDescent="0.25">
      <c r="A980" s="149" t="s">
        <v>7639</v>
      </c>
      <c r="B980" s="149" t="s">
        <v>1756</v>
      </c>
      <c r="C980" s="149">
        <v>11</v>
      </c>
      <c r="D980" s="149">
        <v>330</v>
      </c>
      <c r="E980" s="149">
        <v>0</v>
      </c>
      <c r="F980" s="149">
        <v>190200</v>
      </c>
      <c r="G980" s="149">
        <v>54300</v>
      </c>
      <c r="H980" s="150" t="str">
        <f t="shared" si="45"/>
        <v>5</v>
      </c>
      <c r="I980" s="150" t="str">
        <f t="shared" si="46"/>
        <v>54</v>
      </c>
      <c r="J980" s="150" t="str">
        <f t="shared" si="47"/>
        <v>543</v>
      </c>
      <c r="K980" s="150" t="s">
        <v>7942</v>
      </c>
      <c r="L980" s="149" t="s">
        <v>1757</v>
      </c>
      <c r="M980" s="151">
        <v>1750</v>
      </c>
    </row>
    <row r="981" spans="1:13" s="149" customFormat="1" x14ac:dyDescent="0.25">
      <c r="A981" s="149" t="s">
        <v>7639</v>
      </c>
      <c r="B981" s="149" t="s">
        <v>1758</v>
      </c>
      <c r="C981" s="149">
        <v>11</v>
      </c>
      <c r="D981" s="149">
        <v>330</v>
      </c>
      <c r="E981" s="149">
        <v>0</v>
      </c>
      <c r="F981" s="149">
        <v>190200</v>
      </c>
      <c r="G981" s="149">
        <v>55630</v>
      </c>
      <c r="H981" s="150" t="str">
        <f t="shared" si="45"/>
        <v>5</v>
      </c>
      <c r="I981" s="150" t="str">
        <f t="shared" si="46"/>
        <v>55</v>
      </c>
      <c r="J981" s="150" t="str">
        <f t="shared" si="47"/>
        <v>556</v>
      </c>
      <c r="K981" s="150" t="s">
        <v>8221</v>
      </c>
      <c r="L981" s="149" t="s">
        <v>351</v>
      </c>
      <c r="M981" s="151">
        <v>37.200000000000003</v>
      </c>
    </row>
    <row r="982" spans="1:13" s="149" customFormat="1" x14ac:dyDescent="0.25">
      <c r="A982" s="149" t="s">
        <v>7639</v>
      </c>
      <c r="B982" s="149" t="s">
        <v>1759</v>
      </c>
      <c r="C982" s="149">
        <v>11</v>
      </c>
      <c r="D982" s="149">
        <v>330</v>
      </c>
      <c r="E982" s="149">
        <v>0</v>
      </c>
      <c r="F982" s="149">
        <v>190500</v>
      </c>
      <c r="G982" s="149">
        <v>51100</v>
      </c>
      <c r="H982" s="150" t="str">
        <f t="shared" si="45"/>
        <v>5</v>
      </c>
      <c r="I982" s="150" t="str">
        <f t="shared" si="46"/>
        <v>51</v>
      </c>
      <c r="J982" s="150" t="str">
        <f t="shared" si="47"/>
        <v>511</v>
      </c>
      <c r="K982" s="150" t="s">
        <v>8978</v>
      </c>
      <c r="L982" s="149" t="s">
        <v>1760</v>
      </c>
      <c r="M982" s="151">
        <v>286968</v>
      </c>
    </row>
    <row r="983" spans="1:13" s="149" customFormat="1" x14ac:dyDescent="0.25">
      <c r="A983" s="149" t="s">
        <v>7639</v>
      </c>
      <c r="B983" s="149" t="s">
        <v>1761</v>
      </c>
      <c r="C983" s="149">
        <v>11</v>
      </c>
      <c r="D983" s="149">
        <v>330</v>
      </c>
      <c r="E983" s="149">
        <v>0</v>
      </c>
      <c r="F983" s="149">
        <v>190500</v>
      </c>
      <c r="G983" s="149">
        <v>51310</v>
      </c>
      <c r="H983" s="150" t="str">
        <f t="shared" si="45"/>
        <v>5</v>
      </c>
      <c r="I983" s="150" t="str">
        <f t="shared" si="46"/>
        <v>51</v>
      </c>
      <c r="J983" s="150" t="str">
        <f t="shared" si="47"/>
        <v>513</v>
      </c>
      <c r="K983" s="150" t="s">
        <v>7668</v>
      </c>
      <c r="L983" s="149" t="s">
        <v>1762</v>
      </c>
      <c r="M983" s="151">
        <v>26000</v>
      </c>
    </row>
    <row r="984" spans="1:13" s="149" customFormat="1" x14ac:dyDescent="0.25">
      <c r="A984" s="149" t="s">
        <v>7639</v>
      </c>
      <c r="B984" s="149" t="s">
        <v>1763</v>
      </c>
      <c r="C984" s="149">
        <v>11</v>
      </c>
      <c r="D984" s="149">
        <v>330</v>
      </c>
      <c r="E984" s="149">
        <v>0</v>
      </c>
      <c r="F984" s="149">
        <v>190500</v>
      </c>
      <c r="G984" s="149">
        <v>51311</v>
      </c>
      <c r="H984" s="150" t="str">
        <f t="shared" si="45"/>
        <v>5</v>
      </c>
      <c r="I984" s="150" t="str">
        <f t="shared" si="46"/>
        <v>51</v>
      </c>
      <c r="J984" s="150" t="str">
        <f t="shared" si="47"/>
        <v>513</v>
      </c>
      <c r="K984" s="150" t="s">
        <v>7743</v>
      </c>
      <c r="L984" s="149" t="s">
        <v>1764</v>
      </c>
      <c r="M984" s="151">
        <v>81500</v>
      </c>
    </row>
    <row r="985" spans="1:13" s="149" customFormat="1" x14ac:dyDescent="0.25">
      <c r="A985" s="149" t="s">
        <v>7639</v>
      </c>
      <c r="B985" s="149" t="s">
        <v>1765</v>
      </c>
      <c r="C985" s="149">
        <v>11</v>
      </c>
      <c r="D985" s="149">
        <v>330</v>
      </c>
      <c r="E985" s="149">
        <v>0</v>
      </c>
      <c r="F985" s="149">
        <v>190500</v>
      </c>
      <c r="G985" s="149">
        <v>52200</v>
      </c>
      <c r="H985" s="150" t="str">
        <f t="shared" si="45"/>
        <v>5</v>
      </c>
      <c r="I985" s="150" t="str">
        <f t="shared" si="46"/>
        <v>52</v>
      </c>
      <c r="J985" s="150" t="str">
        <f t="shared" si="47"/>
        <v>522</v>
      </c>
      <c r="K985" s="150" t="s">
        <v>8979</v>
      </c>
      <c r="L985" s="149" t="s">
        <v>1766</v>
      </c>
      <c r="M985" s="151">
        <v>114778.9</v>
      </c>
    </row>
    <row r="986" spans="1:13" s="149" customFormat="1" x14ac:dyDescent="0.25">
      <c r="A986" s="149" t="s">
        <v>7639</v>
      </c>
      <c r="B986" s="149" t="s">
        <v>1767</v>
      </c>
      <c r="C986" s="149">
        <v>11</v>
      </c>
      <c r="D986" s="149">
        <v>330</v>
      </c>
      <c r="E986" s="149">
        <v>0</v>
      </c>
      <c r="F986" s="149">
        <v>190500</v>
      </c>
      <c r="G986" s="149">
        <v>52300</v>
      </c>
      <c r="H986" s="150" t="str">
        <f t="shared" si="45"/>
        <v>5</v>
      </c>
      <c r="I986" s="150" t="str">
        <f t="shared" si="46"/>
        <v>52</v>
      </c>
      <c r="J986" s="150" t="str">
        <f t="shared" si="47"/>
        <v>523</v>
      </c>
      <c r="K986" s="150" t="s">
        <v>7825</v>
      </c>
      <c r="L986" s="149" t="s">
        <v>1768</v>
      </c>
      <c r="M986" s="151">
        <v>0</v>
      </c>
    </row>
    <row r="987" spans="1:13" s="149" customFormat="1" x14ac:dyDescent="0.25">
      <c r="A987" s="149" t="s">
        <v>7639</v>
      </c>
      <c r="B987" s="149" t="s">
        <v>1769</v>
      </c>
      <c r="C987" s="149">
        <v>11</v>
      </c>
      <c r="D987" s="149">
        <v>330</v>
      </c>
      <c r="E987" s="149">
        <v>0</v>
      </c>
      <c r="F987" s="149">
        <v>190500</v>
      </c>
      <c r="G987" s="149">
        <v>53110</v>
      </c>
      <c r="H987" s="150" t="str">
        <f t="shared" si="45"/>
        <v>5</v>
      </c>
      <c r="I987" s="150" t="str">
        <f t="shared" si="46"/>
        <v>53</v>
      </c>
      <c r="J987" s="150" t="str">
        <f t="shared" si="47"/>
        <v>531</v>
      </c>
      <c r="K987" s="150" t="s">
        <v>8980</v>
      </c>
      <c r="L987" s="149" t="s">
        <v>1770</v>
      </c>
      <c r="M987" s="151">
        <v>63706.58</v>
      </c>
    </row>
    <row r="988" spans="1:13" s="149" customFormat="1" x14ac:dyDescent="0.25">
      <c r="A988" s="149" t="s">
        <v>7639</v>
      </c>
      <c r="B988" s="149" t="s">
        <v>1771</v>
      </c>
      <c r="C988" s="149">
        <v>11</v>
      </c>
      <c r="D988" s="149">
        <v>330</v>
      </c>
      <c r="E988" s="149">
        <v>0</v>
      </c>
      <c r="F988" s="149">
        <v>190500</v>
      </c>
      <c r="G988" s="149">
        <v>53210</v>
      </c>
      <c r="H988" s="150" t="str">
        <f t="shared" si="45"/>
        <v>5</v>
      </c>
      <c r="I988" s="150" t="str">
        <f t="shared" si="46"/>
        <v>53</v>
      </c>
      <c r="J988" s="150" t="str">
        <f t="shared" si="47"/>
        <v>532</v>
      </c>
      <c r="K988" s="150" t="s">
        <v>8981</v>
      </c>
      <c r="L988" s="149" t="s">
        <v>1772</v>
      </c>
      <c r="M988" s="151">
        <v>23759.23</v>
      </c>
    </row>
    <row r="989" spans="1:13" s="149" customFormat="1" x14ac:dyDescent="0.25">
      <c r="A989" s="149" t="s">
        <v>7639</v>
      </c>
      <c r="B989" s="149" t="s">
        <v>1773</v>
      </c>
      <c r="C989" s="149">
        <v>11</v>
      </c>
      <c r="D989" s="149">
        <v>330</v>
      </c>
      <c r="E989" s="149">
        <v>0</v>
      </c>
      <c r="F989" s="149">
        <v>190500</v>
      </c>
      <c r="G989" s="149">
        <v>53310</v>
      </c>
      <c r="H989" s="150" t="str">
        <f t="shared" si="45"/>
        <v>5</v>
      </c>
      <c r="I989" s="150" t="str">
        <f t="shared" si="46"/>
        <v>53</v>
      </c>
      <c r="J989" s="150" t="str">
        <f t="shared" si="47"/>
        <v>533</v>
      </c>
      <c r="K989" s="150" t="s">
        <v>8982</v>
      </c>
      <c r="L989" s="149" t="s">
        <v>1774</v>
      </c>
      <c r="M989" s="151">
        <v>7116.29</v>
      </c>
    </row>
    <row r="990" spans="1:13" s="149" customFormat="1" x14ac:dyDescent="0.25">
      <c r="A990" s="149" t="s">
        <v>7639</v>
      </c>
      <c r="B990" s="149" t="s">
        <v>1775</v>
      </c>
      <c r="C990" s="149">
        <v>11</v>
      </c>
      <c r="D990" s="149">
        <v>330</v>
      </c>
      <c r="E990" s="149">
        <v>0</v>
      </c>
      <c r="F990" s="149">
        <v>190500</v>
      </c>
      <c r="G990" s="149">
        <v>53320</v>
      </c>
      <c r="H990" s="150" t="str">
        <f t="shared" si="45"/>
        <v>5</v>
      </c>
      <c r="I990" s="150" t="str">
        <f t="shared" si="46"/>
        <v>53</v>
      </c>
      <c r="J990" s="150" t="str">
        <f t="shared" si="47"/>
        <v>533</v>
      </c>
      <c r="K990" s="150" t="s">
        <v>8983</v>
      </c>
      <c r="L990" s="149" t="s">
        <v>1776</v>
      </c>
      <c r="M990" s="151">
        <v>0</v>
      </c>
    </row>
    <row r="991" spans="1:13" s="149" customFormat="1" x14ac:dyDescent="0.25">
      <c r="A991" s="149" t="s">
        <v>7639</v>
      </c>
      <c r="B991" s="149" t="s">
        <v>1777</v>
      </c>
      <c r="C991" s="149">
        <v>11</v>
      </c>
      <c r="D991" s="149">
        <v>330</v>
      </c>
      <c r="E991" s="149">
        <v>0</v>
      </c>
      <c r="F991" s="149">
        <v>190500</v>
      </c>
      <c r="G991" s="149">
        <v>53330</v>
      </c>
      <c r="H991" s="150" t="str">
        <f t="shared" si="45"/>
        <v>5</v>
      </c>
      <c r="I991" s="150" t="str">
        <f t="shared" si="46"/>
        <v>53</v>
      </c>
      <c r="J991" s="150" t="str">
        <f t="shared" si="47"/>
        <v>533</v>
      </c>
      <c r="K991" s="150" t="s">
        <v>8984</v>
      </c>
      <c r="L991" s="149" t="s">
        <v>1778</v>
      </c>
      <c r="M991" s="151">
        <v>7384.07</v>
      </c>
    </row>
    <row r="992" spans="1:13" s="149" customFormat="1" x14ac:dyDescent="0.25">
      <c r="A992" s="149" t="s">
        <v>7639</v>
      </c>
      <c r="B992" s="149" t="s">
        <v>1779</v>
      </c>
      <c r="C992" s="149">
        <v>11</v>
      </c>
      <c r="D992" s="149">
        <v>330</v>
      </c>
      <c r="E992" s="149">
        <v>0</v>
      </c>
      <c r="F992" s="149">
        <v>190500</v>
      </c>
      <c r="G992" s="149">
        <v>53340</v>
      </c>
      <c r="H992" s="150" t="str">
        <f t="shared" si="45"/>
        <v>5</v>
      </c>
      <c r="I992" s="150" t="str">
        <f t="shared" si="46"/>
        <v>53</v>
      </c>
      <c r="J992" s="150" t="str">
        <f t="shared" si="47"/>
        <v>533</v>
      </c>
      <c r="K992" s="150" t="s">
        <v>8985</v>
      </c>
      <c r="L992" s="149" t="s">
        <v>1780</v>
      </c>
      <c r="M992" s="151">
        <v>0</v>
      </c>
    </row>
    <row r="993" spans="1:13" s="149" customFormat="1" x14ac:dyDescent="0.25">
      <c r="A993" s="149" t="s">
        <v>7639</v>
      </c>
      <c r="B993" s="149" t="s">
        <v>1781</v>
      </c>
      <c r="C993" s="149">
        <v>11</v>
      </c>
      <c r="D993" s="149">
        <v>330</v>
      </c>
      <c r="E993" s="149">
        <v>0</v>
      </c>
      <c r="F993" s="149">
        <v>190500</v>
      </c>
      <c r="G993" s="149">
        <v>53410</v>
      </c>
      <c r="H993" s="150" t="str">
        <f t="shared" si="45"/>
        <v>5</v>
      </c>
      <c r="I993" s="150" t="str">
        <f t="shared" si="46"/>
        <v>53</v>
      </c>
      <c r="J993" s="150" t="str">
        <f t="shared" si="47"/>
        <v>534</v>
      </c>
      <c r="K993" s="150" t="s">
        <v>8986</v>
      </c>
      <c r="L993" s="149" t="s">
        <v>1782</v>
      </c>
      <c r="M993" s="151">
        <v>73211.78</v>
      </c>
    </row>
    <row r="994" spans="1:13" s="149" customFormat="1" x14ac:dyDescent="0.25">
      <c r="A994" s="149" t="s">
        <v>7639</v>
      </c>
      <c r="B994" s="149" t="s">
        <v>1783</v>
      </c>
      <c r="C994" s="149">
        <v>11</v>
      </c>
      <c r="D994" s="149">
        <v>330</v>
      </c>
      <c r="E994" s="149">
        <v>0</v>
      </c>
      <c r="F994" s="149">
        <v>190500</v>
      </c>
      <c r="G994" s="149">
        <v>53510</v>
      </c>
      <c r="H994" s="150" t="str">
        <f t="shared" si="45"/>
        <v>5</v>
      </c>
      <c r="I994" s="150" t="str">
        <f t="shared" si="46"/>
        <v>53</v>
      </c>
      <c r="J994" s="150" t="str">
        <f t="shared" si="47"/>
        <v>535</v>
      </c>
      <c r="K994" s="150" t="s">
        <v>8987</v>
      </c>
      <c r="L994" s="149" t="s">
        <v>1784</v>
      </c>
      <c r="M994" s="151">
        <v>254.62</v>
      </c>
    </row>
    <row r="995" spans="1:13" s="149" customFormat="1" x14ac:dyDescent="0.25">
      <c r="A995" s="149" t="s">
        <v>7639</v>
      </c>
      <c r="B995" s="149" t="s">
        <v>1785</v>
      </c>
      <c r="C995" s="149">
        <v>11</v>
      </c>
      <c r="D995" s="149">
        <v>330</v>
      </c>
      <c r="E995" s="149">
        <v>0</v>
      </c>
      <c r="F995" s="149">
        <v>190500</v>
      </c>
      <c r="G995" s="149">
        <v>53520</v>
      </c>
      <c r="H995" s="150" t="str">
        <f t="shared" si="45"/>
        <v>5</v>
      </c>
      <c r="I995" s="150" t="str">
        <f t="shared" si="46"/>
        <v>53</v>
      </c>
      <c r="J995" s="150" t="str">
        <f t="shared" si="47"/>
        <v>535</v>
      </c>
      <c r="K995" s="150" t="s">
        <v>8988</v>
      </c>
      <c r="L995" s="149" t="s">
        <v>1786</v>
      </c>
      <c r="M995" s="151">
        <v>0</v>
      </c>
    </row>
    <row r="996" spans="1:13" s="149" customFormat="1" x14ac:dyDescent="0.25">
      <c r="A996" s="149" t="s">
        <v>7639</v>
      </c>
      <c r="B996" s="149" t="s">
        <v>1787</v>
      </c>
      <c r="C996" s="149">
        <v>11</v>
      </c>
      <c r="D996" s="149">
        <v>330</v>
      </c>
      <c r="E996" s="149">
        <v>0</v>
      </c>
      <c r="F996" s="149">
        <v>190500</v>
      </c>
      <c r="G996" s="149">
        <v>53610</v>
      </c>
      <c r="H996" s="150" t="str">
        <f t="shared" si="45"/>
        <v>5</v>
      </c>
      <c r="I996" s="150" t="str">
        <f t="shared" si="46"/>
        <v>53</v>
      </c>
      <c r="J996" s="150" t="str">
        <f t="shared" si="47"/>
        <v>536</v>
      </c>
      <c r="K996" s="150" t="s">
        <v>8989</v>
      </c>
      <c r="L996" s="149" t="s">
        <v>1788</v>
      </c>
      <c r="M996" s="151">
        <v>9628.85</v>
      </c>
    </row>
    <row r="997" spans="1:13" s="149" customFormat="1" x14ac:dyDescent="0.25">
      <c r="A997" s="149" t="s">
        <v>7639</v>
      </c>
      <c r="B997" s="149" t="s">
        <v>1789</v>
      </c>
      <c r="C997" s="149">
        <v>11</v>
      </c>
      <c r="D997" s="149">
        <v>330</v>
      </c>
      <c r="E997" s="149">
        <v>0</v>
      </c>
      <c r="F997" s="149">
        <v>190500</v>
      </c>
      <c r="G997" s="149">
        <v>53620</v>
      </c>
      <c r="H997" s="150" t="str">
        <f t="shared" si="45"/>
        <v>5</v>
      </c>
      <c r="I997" s="150" t="str">
        <f t="shared" si="46"/>
        <v>53</v>
      </c>
      <c r="J997" s="150" t="str">
        <f t="shared" si="47"/>
        <v>536</v>
      </c>
      <c r="K997" s="150" t="s">
        <v>8990</v>
      </c>
      <c r="L997" s="149" t="s">
        <v>1790</v>
      </c>
      <c r="M997" s="151">
        <v>0</v>
      </c>
    </row>
    <row r="998" spans="1:13" s="149" customFormat="1" x14ac:dyDescent="0.25">
      <c r="A998" s="149" t="s">
        <v>7639</v>
      </c>
      <c r="B998" s="149" t="s">
        <v>1791</v>
      </c>
      <c r="C998" s="149">
        <v>11</v>
      </c>
      <c r="D998" s="149">
        <v>330</v>
      </c>
      <c r="E998" s="149">
        <v>0</v>
      </c>
      <c r="F998" s="149">
        <v>190500</v>
      </c>
      <c r="G998" s="149">
        <v>53910</v>
      </c>
      <c r="H998" s="150" t="str">
        <f t="shared" si="45"/>
        <v>5</v>
      </c>
      <c r="I998" s="150" t="str">
        <f t="shared" si="46"/>
        <v>53</v>
      </c>
      <c r="J998" s="150" t="str">
        <f t="shared" si="47"/>
        <v>539</v>
      </c>
      <c r="K998" s="150" t="s">
        <v>8991</v>
      </c>
      <c r="L998" s="149" t="s">
        <v>1792</v>
      </c>
      <c r="M998" s="151">
        <v>4200</v>
      </c>
    </row>
    <row r="999" spans="1:13" s="149" customFormat="1" x14ac:dyDescent="0.25">
      <c r="A999" s="149" t="s">
        <v>7639</v>
      </c>
      <c r="B999" s="149" t="s">
        <v>1793</v>
      </c>
      <c r="C999" s="149">
        <v>11</v>
      </c>
      <c r="D999" s="149">
        <v>330</v>
      </c>
      <c r="E999" s="149">
        <v>0</v>
      </c>
      <c r="F999" s="149">
        <v>190500</v>
      </c>
      <c r="G999" s="149">
        <v>54300</v>
      </c>
      <c r="H999" s="150" t="str">
        <f t="shared" si="45"/>
        <v>5</v>
      </c>
      <c r="I999" s="150" t="str">
        <f t="shared" si="46"/>
        <v>54</v>
      </c>
      <c r="J999" s="150" t="str">
        <f t="shared" si="47"/>
        <v>543</v>
      </c>
      <c r="K999" s="150" t="s">
        <v>7943</v>
      </c>
      <c r="L999" s="149" t="s">
        <v>1794</v>
      </c>
      <c r="M999" s="151">
        <v>10500</v>
      </c>
    </row>
    <row r="1000" spans="1:13" s="149" customFormat="1" x14ac:dyDescent="0.25">
      <c r="A1000" s="149" t="s">
        <v>7639</v>
      </c>
      <c r="B1000" s="149" t="s">
        <v>1795</v>
      </c>
      <c r="C1000" s="149">
        <v>11</v>
      </c>
      <c r="D1000" s="149">
        <v>330</v>
      </c>
      <c r="E1000" s="149">
        <v>0</v>
      </c>
      <c r="F1000" s="149">
        <v>190500</v>
      </c>
      <c r="G1000" s="149">
        <v>55630</v>
      </c>
      <c r="H1000" s="150" t="str">
        <f t="shared" si="45"/>
        <v>5</v>
      </c>
      <c r="I1000" s="150" t="str">
        <f t="shared" si="46"/>
        <v>55</v>
      </c>
      <c r="J1000" s="150" t="str">
        <f t="shared" si="47"/>
        <v>556</v>
      </c>
      <c r="K1000" s="150" t="s">
        <v>8222</v>
      </c>
      <c r="L1000" s="149" t="s">
        <v>1796</v>
      </c>
      <c r="M1000" s="151">
        <v>193.73</v>
      </c>
    </row>
    <row r="1001" spans="1:13" s="149" customFormat="1" x14ac:dyDescent="0.25">
      <c r="A1001" s="149" t="s">
        <v>7639</v>
      </c>
      <c r="B1001" s="149" t="s">
        <v>1797</v>
      </c>
      <c r="C1001" s="149">
        <v>11</v>
      </c>
      <c r="D1001" s="149">
        <v>330</v>
      </c>
      <c r="E1001" s="149">
        <v>0</v>
      </c>
      <c r="F1001" s="149">
        <v>190500</v>
      </c>
      <c r="G1001" s="149">
        <v>55650</v>
      </c>
      <c r="H1001" s="150" t="str">
        <f t="shared" si="45"/>
        <v>5</v>
      </c>
      <c r="I1001" s="150" t="str">
        <f t="shared" si="46"/>
        <v>55</v>
      </c>
      <c r="J1001" s="150" t="str">
        <f t="shared" si="47"/>
        <v>556</v>
      </c>
      <c r="K1001" s="150" t="s">
        <v>8299</v>
      </c>
      <c r="L1001" s="149" t="s">
        <v>1798</v>
      </c>
      <c r="M1001" s="151">
        <v>2400</v>
      </c>
    </row>
    <row r="1002" spans="1:13" s="149" customFormat="1" x14ac:dyDescent="0.25">
      <c r="A1002" s="149" t="s">
        <v>7639</v>
      </c>
      <c r="B1002" s="149" t="s">
        <v>1799</v>
      </c>
      <c r="C1002" s="149">
        <v>11</v>
      </c>
      <c r="D1002" s="149">
        <v>330</v>
      </c>
      <c r="E1002" s="149">
        <v>0</v>
      </c>
      <c r="F1002" s="149">
        <v>191100</v>
      </c>
      <c r="G1002" s="149">
        <v>51100</v>
      </c>
      <c r="H1002" s="150" t="str">
        <f t="shared" si="45"/>
        <v>5</v>
      </c>
      <c r="I1002" s="150" t="str">
        <f t="shared" si="46"/>
        <v>51</v>
      </c>
      <c r="J1002" s="150" t="str">
        <f t="shared" si="47"/>
        <v>511</v>
      </c>
      <c r="K1002" s="150" t="s">
        <v>8992</v>
      </c>
      <c r="L1002" s="149" t="s">
        <v>1800</v>
      </c>
      <c r="M1002" s="151">
        <v>117774</v>
      </c>
    </row>
    <row r="1003" spans="1:13" s="149" customFormat="1" x14ac:dyDescent="0.25">
      <c r="A1003" s="149" t="s">
        <v>7639</v>
      </c>
      <c r="B1003" s="149" t="s">
        <v>1801</v>
      </c>
      <c r="C1003" s="149">
        <v>11</v>
      </c>
      <c r="D1003" s="149">
        <v>330</v>
      </c>
      <c r="E1003" s="149">
        <v>0</v>
      </c>
      <c r="F1003" s="149">
        <v>191100</v>
      </c>
      <c r="G1003" s="149">
        <v>51310</v>
      </c>
      <c r="H1003" s="150" t="str">
        <f t="shared" si="45"/>
        <v>5</v>
      </c>
      <c r="I1003" s="150" t="str">
        <f t="shared" si="46"/>
        <v>51</v>
      </c>
      <c r="J1003" s="150" t="str">
        <f t="shared" si="47"/>
        <v>513</v>
      </c>
      <c r="K1003" s="150" t="s">
        <v>7669</v>
      </c>
      <c r="L1003" s="149" t="s">
        <v>1802</v>
      </c>
      <c r="M1003" s="151">
        <v>1300</v>
      </c>
    </row>
    <row r="1004" spans="1:13" s="149" customFormat="1" x14ac:dyDescent="0.25">
      <c r="A1004" s="149" t="s">
        <v>7639</v>
      </c>
      <c r="B1004" s="149" t="s">
        <v>1803</v>
      </c>
      <c r="C1004" s="149">
        <v>11</v>
      </c>
      <c r="D1004" s="149">
        <v>330</v>
      </c>
      <c r="E1004" s="149">
        <v>0</v>
      </c>
      <c r="F1004" s="149">
        <v>191100</v>
      </c>
      <c r="G1004" s="149">
        <v>51311</v>
      </c>
      <c r="H1004" s="150" t="str">
        <f t="shared" si="45"/>
        <v>5</v>
      </c>
      <c r="I1004" s="150" t="str">
        <f t="shared" si="46"/>
        <v>51</v>
      </c>
      <c r="J1004" s="150" t="str">
        <f t="shared" si="47"/>
        <v>513</v>
      </c>
      <c r="K1004" s="150" t="s">
        <v>7744</v>
      </c>
      <c r="L1004" s="149" t="s">
        <v>1804</v>
      </c>
      <c r="M1004" s="151">
        <v>33400</v>
      </c>
    </row>
    <row r="1005" spans="1:13" s="149" customFormat="1" x14ac:dyDescent="0.25">
      <c r="A1005" s="149" t="s">
        <v>7639</v>
      </c>
      <c r="B1005" s="149" t="s">
        <v>1805</v>
      </c>
      <c r="C1005" s="149">
        <v>11</v>
      </c>
      <c r="D1005" s="149">
        <v>330</v>
      </c>
      <c r="E1005" s="149">
        <v>0</v>
      </c>
      <c r="F1005" s="149">
        <v>191100</v>
      </c>
      <c r="G1005" s="149">
        <v>53110</v>
      </c>
      <c r="H1005" s="150" t="str">
        <f t="shared" si="45"/>
        <v>5</v>
      </c>
      <c r="I1005" s="150" t="str">
        <f t="shared" si="46"/>
        <v>53</v>
      </c>
      <c r="J1005" s="150" t="str">
        <f t="shared" si="47"/>
        <v>531</v>
      </c>
      <c r="K1005" s="150" t="s">
        <v>8993</v>
      </c>
      <c r="L1005" s="149" t="s">
        <v>1806</v>
      </c>
      <c r="M1005" s="151">
        <v>24624.55</v>
      </c>
    </row>
    <row r="1006" spans="1:13" s="149" customFormat="1" x14ac:dyDescent="0.25">
      <c r="A1006" s="149" t="s">
        <v>7639</v>
      </c>
      <c r="B1006" s="149" t="s">
        <v>1807</v>
      </c>
      <c r="C1006" s="149">
        <v>11</v>
      </c>
      <c r="D1006" s="149">
        <v>330</v>
      </c>
      <c r="E1006" s="149">
        <v>0</v>
      </c>
      <c r="F1006" s="149">
        <v>191100</v>
      </c>
      <c r="G1006" s="149">
        <v>53330</v>
      </c>
      <c r="H1006" s="150" t="str">
        <f t="shared" si="45"/>
        <v>5</v>
      </c>
      <c r="I1006" s="150" t="str">
        <f t="shared" si="46"/>
        <v>53</v>
      </c>
      <c r="J1006" s="150" t="str">
        <f t="shared" si="47"/>
        <v>533</v>
      </c>
      <c r="K1006" s="150" t="s">
        <v>8994</v>
      </c>
      <c r="L1006" s="149" t="s">
        <v>1808</v>
      </c>
      <c r="M1006" s="151">
        <v>2210.87</v>
      </c>
    </row>
    <row r="1007" spans="1:13" s="149" customFormat="1" x14ac:dyDescent="0.25">
      <c r="A1007" s="149" t="s">
        <v>7639</v>
      </c>
      <c r="B1007" s="149" t="s">
        <v>1809</v>
      </c>
      <c r="C1007" s="149">
        <v>11</v>
      </c>
      <c r="D1007" s="149">
        <v>330</v>
      </c>
      <c r="E1007" s="149">
        <v>0</v>
      </c>
      <c r="F1007" s="149">
        <v>191100</v>
      </c>
      <c r="G1007" s="149">
        <v>53410</v>
      </c>
      <c r="H1007" s="150" t="str">
        <f t="shared" si="45"/>
        <v>5</v>
      </c>
      <c r="I1007" s="150" t="str">
        <f t="shared" si="46"/>
        <v>53</v>
      </c>
      <c r="J1007" s="150" t="str">
        <f t="shared" si="47"/>
        <v>534</v>
      </c>
      <c r="K1007" s="150" t="s">
        <v>8995</v>
      </c>
      <c r="L1007" s="149" t="s">
        <v>1810</v>
      </c>
      <c r="M1007" s="151">
        <v>33121.43</v>
      </c>
    </row>
    <row r="1008" spans="1:13" s="149" customFormat="1" x14ac:dyDescent="0.25">
      <c r="A1008" s="149" t="s">
        <v>7639</v>
      </c>
      <c r="B1008" s="149" t="s">
        <v>1811</v>
      </c>
      <c r="C1008" s="149">
        <v>11</v>
      </c>
      <c r="D1008" s="149">
        <v>330</v>
      </c>
      <c r="E1008" s="149">
        <v>0</v>
      </c>
      <c r="F1008" s="149">
        <v>191100</v>
      </c>
      <c r="G1008" s="149">
        <v>53510</v>
      </c>
      <c r="H1008" s="150" t="str">
        <f t="shared" si="45"/>
        <v>5</v>
      </c>
      <c r="I1008" s="150" t="str">
        <f t="shared" si="46"/>
        <v>53</v>
      </c>
      <c r="J1008" s="150" t="str">
        <f t="shared" si="47"/>
        <v>535</v>
      </c>
      <c r="K1008" s="150" t="s">
        <v>8996</v>
      </c>
      <c r="L1008" s="149" t="s">
        <v>1812</v>
      </c>
      <c r="M1008" s="151">
        <v>76.239999999999995</v>
      </c>
    </row>
    <row r="1009" spans="1:13" s="149" customFormat="1" x14ac:dyDescent="0.25">
      <c r="A1009" s="149" t="s">
        <v>7639</v>
      </c>
      <c r="B1009" s="149" t="s">
        <v>1813</v>
      </c>
      <c r="C1009" s="149">
        <v>11</v>
      </c>
      <c r="D1009" s="149">
        <v>330</v>
      </c>
      <c r="E1009" s="149">
        <v>0</v>
      </c>
      <c r="F1009" s="149">
        <v>191100</v>
      </c>
      <c r="G1009" s="149">
        <v>53610</v>
      </c>
      <c r="H1009" s="150" t="str">
        <f t="shared" si="45"/>
        <v>5</v>
      </c>
      <c r="I1009" s="150" t="str">
        <f t="shared" si="46"/>
        <v>53</v>
      </c>
      <c r="J1009" s="150" t="str">
        <f t="shared" si="47"/>
        <v>536</v>
      </c>
      <c r="K1009" s="150" t="s">
        <v>8997</v>
      </c>
      <c r="L1009" s="149" t="s">
        <v>1814</v>
      </c>
      <c r="M1009" s="151">
        <v>2882.98</v>
      </c>
    </row>
    <row r="1010" spans="1:13" s="149" customFormat="1" x14ac:dyDescent="0.25">
      <c r="A1010" s="149" t="s">
        <v>7639</v>
      </c>
      <c r="B1010" s="149" t="s">
        <v>1815</v>
      </c>
      <c r="C1010" s="149">
        <v>11</v>
      </c>
      <c r="D1010" s="149">
        <v>330</v>
      </c>
      <c r="E1010" s="149">
        <v>0</v>
      </c>
      <c r="F1010" s="149">
        <v>191100</v>
      </c>
      <c r="G1010" s="149">
        <v>54300</v>
      </c>
      <c r="H1010" s="150" t="str">
        <f t="shared" si="45"/>
        <v>5</v>
      </c>
      <c r="I1010" s="150" t="str">
        <f t="shared" si="46"/>
        <v>54</v>
      </c>
      <c r="J1010" s="150" t="str">
        <f t="shared" si="47"/>
        <v>543</v>
      </c>
      <c r="K1010" s="150" t="s">
        <v>7944</v>
      </c>
      <c r="L1010" s="149" t="s">
        <v>1816</v>
      </c>
      <c r="M1010" s="151">
        <v>930</v>
      </c>
    </row>
    <row r="1011" spans="1:13" s="149" customFormat="1" x14ac:dyDescent="0.25">
      <c r="A1011" s="149" t="s">
        <v>7639</v>
      </c>
      <c r="B1011" s="149" t="s">
        <v>1817</v>
      </c>
      <c r="C1011" s="149">
        <v>11</v>
      </c>
      <c r="D1011" s="149">
        <v>330</v>
      </c>
      <c r="E1011" s="149">
        <v>0</v>
      </c>
      <c r="F1011" s="149">
        <v>191100</v>
      </c>
      <c r="G1011" s="149">
        <v>55630</v>
      </c>
      <c r="H1011" s="150" t="str">
        <f t="shared" si="45"/>
        <v>5</v>
      </c>
      <c r="I1011" s="150" t="str">
        <f t="shared" si="46"/>
        <v>55</v>
      </c>
      <c r="J1011" s="150" t="str">
        <f t="shared" si="47"/>
        <v>556</v>
      </c>
      <c r="K1011" s="150" t="s">
        <v>8223</v>
      </c>
      <c r="L1011" s="149" t="s">
        <v>1818</v>
      </c>
      <c r="M1011" s="151">
        <v>51.75</v>
      </c>
    </row>
    <row r="1012" spans="1:13" s="149" customFormat="1" x14ac:dyDescent="0.25">
      <c r="A1012" s="149" t="s">
        <v>7639</v>
      </c>
      <c r="B1012" s="149" t="s">
        <v>1819</v>
      </c>
      <c r="C1012" s="149">
        <v>11</v>
      </c>
      <c r="D1012" s="149">
        <v>330</v>
      </c>
      <c r="E1012" s="149">
        <v>0</v>
      </c>
      <c r="F1012" s="149">
        <v>191400</v>
      </c>
      <c r="G1012" s="149">
        <v>51100</v>
      </c>
      <c r="H1012" s="150" t="str">
        <f t="shared" si="45"/>
        <v>5</v>
      </c>
      <c r="I1012" s="150" t="str">
        <f t="shared" si="46"/>
        <v>51</v>
      </c>
      <c r="J1012" s="150" t="str">
        <f t="shared" si="47"/>
        <v>511</v>
      </c>
      <c r="K1012" s="150" t="s">
        <v>8998</v>
      </c>
      <c r="L1012" s="149" t="s">
        <v>1820</v>
      </c>
      <c r="M1012" s="151">
        <v>83356.800000000003</v>
      </c>
    </row>
    <row r="1013" spans="1:13" s="149" customFormat="1" x14ac:dyDescent="0.25">
      <c r="A1013" s="149" t="s">
        <v>7639</v>
      </c>
      <c r="B1013" s="149" t="s">
        <v>1821</v>
      </c>
      <c r="C1013" s="149">
        <v>11</v>
      </c>
      <c r="D1013" s="149">
        <v>330</v>
      </c>
      <c r="E1013" s="149">
        <v>0</v>
      </c>
      <c r="F1013" s="149">
        <v>191400</v>
      </c>
      <c r="G1013" s="149">
        <v>51311</v>
      </c>
      <c r="H1013" s="150" t="str">
        <f t="shared" si="45"/>
        <v>5</v>
      </c>
      <c r="I1013" s="150" t="str">
        <f t="shared" si="46"/>
        <v>51</v>
      </c>
      <c r="J1013" s="150" t="str">
        <f t="shared" si="47"/>
        <v>513</v>
      </c>
      <c r="K1013" s="150" t="s">
        <v>7745</v>
      </c>
      <c r="L1013" s="149" t="s">
        <v>1822</v>
      </c>
      <c r="M1013" s="151">
        <v>2900</v>
      </c>
    </row>
    <row r="1014" spans="1:13" s="149" customFormat="1" x14ac:dyDescent="0.25">
      <c r="A1014" s="149" t="s">
        <v>7639</v>
      </c>
      <c r="B1014" s="149" t="s">
        <v>1823</v>
      </c>
      <c r="C1014" s="149">
        <v>11</v>
      </c>
      <c r="D1014" s="149">
        <v>330</v>
      </c>
      <c r="E1014" s="149">
        <v>0</v>
      </c>
      <c r="F1014" s="149">
        <v>191400</v>
      </c>
      <c r="G1014" s="149">
        <v>52200</v>
      </c>
      <c r="H1014" s="150" t="str">
        <f t="shared" si="45"/>
        <v>5</v>
      </c>
      <c r="I1014" s="150" t="str">
        <f t="shared" si="46"/>
        <v>52</v>
      </c>
      <c r="J1014" s="150" t="str">
        <f t="shared" si="47"/>
        <v>522</v>
      </c>
      <c r="K1014" s="150" t="s">
        <v>8999</v>
      </c>
      <c r="L1014" s="149" t="s">
        <v>1824</v>
      </c>
      <c r="M1014" s="151">
        <v>3253.19</v>
      </c>
    </row>
    <row r="1015" spans="1:13" s="149" customFormat="1" x14ac:dyDescent="0.25">
      <c r="A1015" s="149" t="s">
        <v>7639</v>
      </c>
      <c r="B1015" s="149" t="s">
        <v>1825</v>
      </c>
      <c r="C1015" s="149">
        <v>11</v>
      </c>
      <c r="D1015" s="149">
        <v>330</v>
      </c>
      <c r="E1015" s="149">
        <v>0</v>
      </c>
      <c r="F1015" s="149">
        <v>191400</v>
      </c>
      <c r="G1015" s="149">
        <v>52300</v>
      </c>
      <c r="H1015" s="150" t="str">
        <f t="shared" si="45"/>
        <v>5</v>
      </c>
      <c r="I1015" s="150" t="str">
        <f t="shared" si="46"/>
        <v>52</v>
      </c>
      <c r="J1015" s="150" t="str">
        <f t="shared" si="47"/>
        <v>523</v>
      </c>
      <c r="K1015" s="150" t="s">
        <v>7826</v>
      </c>
      <c r="L1015" s="149" t="s">
        <v>1826</v>
      </c>
      <c r="M1015" s="151">
        <v>0</v>
      </c>
    </row>
    <row r="1016" spans="1:13" s="149" customFormat="1" x14ac:dyDescent="0.25">
      <c r="A1016" s="149" t="s">
        <v>7639</v>
      </c>
      <c r="B1016" s="149" t="s">
        <v>1827</v>
      </c>
      <c r="C1016" s="149">
        <v>11</v>
      </c>
      <c r="D1016" s="149">
        <v>330</v>
      </c>
      <c r="E1016" s="149">
        <v>0</v>
      </c>
      <c r="F1016" s="149">
        <v>191400</v>
      </c>
      <c r="G1016" s="149">
        <v>53110</v>
      </c>
      <c r="H1016" s="150" t="str">
        <f t="shared" si="45"/>
        <v>5</v>
      </c>
      <c r="I1016" s="150" t="str">
        <f t="shared" si="46"/>
        <v>53</v>
      </c>
      <c r="J1016" s="150" t="str">
        <f t="shared" si="47"/>
        <v>531</v>
      </c>
      <c r="K1016" s="150" t="s">
        <v>9000</v>
      </c>
      <c r="L1016" s="149" t="s">
        <v>1828</v>
      </c>
      <c r="M1016" s="151">
        <v>13930.47</v>
      </c>
    </row>
    <row r="1017" spans="1:13" s="149" customFormat="1" x14ac:dyDescent="0.25">
      <c r="A1017" s="149" t="s">
        <v>7639</v>
      </c>
      <c r="B1017" s="149" t="s">
        <v>1829</v>
      </c>
      <c r="C1017" s="149">
        <v>11</v>
      </c>
      <c r="D1017" s="149">
        <v>330</v>
      </c>
      <c r="E1017" s="149">
        <v>0</v>
      </c>
      <c r="F1017" s="149">
        <v>191400</v>
      </c>
      <c r="G1017" s="149">
        <v>53210</v>
      </c>
      <c r="H1017" s="150" t="str">
        <f t="shared" si="45"/>
        <v>5</v>
      </c>
      <c r="I1017" s="150" t="str">
        <f t="shared" si="46"/>
        <v>53</v>
      </c>
      <c r="J1017" s="150" t="str">
        <f t="shared" si="47"/>
        <v>532</v>
      </c>
      <c r="K1017" s="150" t="s">
        <v>9001</v>
      </c>
      <c r="L1017" s="149" t="s">
        <v>1830</v>
      </c>
      <c r="M1017" s="151">
        <v>673.41</v>
      </c>
    </row>
    <row r="1018" spans="1:13" s="149" customFormat="1" x14ac:dyDescent="0.25">
      <c r="A1018" s="149" t="s">
        <v>7639</v>
      </c>
      <c r="B1018" s="149" t="s">
        <v>1831</v>
      </c>
      <c r="C1018" s="149">
        <v>11</v>
      </c>
      <c r="D1018" s="149">
        <v>330</v>
      </c>
      <c r="E1018" s="149">
        <v>0</v>
      </c>
      <c r="F1018" s="149">
        <v>191400</v>
      </c>
      <c r="G1018" s="149">
        <v>53310</v>
      </c>
      <c r="H1018" s="150" t="str">
        <f t="shared" si="45"/>
        <v>5</v>
      </c>
      <c r="I1018" s="150" t="str">
        <f t="shared" si="46"/>
        <v>53</v>
      </c>
      <c r="J1018" s="150" t="str">
        <f t="shared" si="47"/>
        <v>533</v>
      </c>
      <c r="K1018" s="150" t="s">
        <v>9002</v>
      </c>
      <c r="L1018" s="149" t="s">
        <v>1832</v>
      </c>
      <c r="M1018" s="151">
        <v>201.7</v>
      </c>
    </row>
    <row r="1019" spans="1:13" s="149" customFormat="1" x14ac:dyDescent="0.25">
      <c r="A1019" s="149" t="s">
        <v>7639</v>
      </c>
      <c r="B1019" s="149" t="s">
        <v>1833</v>
      </c>
      <c r="C1019" s="149">
        <v>11</v>
      </c>
      <c r="D1019" s="149">
        <v>330</v>
      </c>
      <c r="E1019" s="149">
        <v>0</v>
      </c>
      <c r="F1019" s="149">
        <v>191400</v>
      </c>
      <c r="G1019" s="149">
        <v>53320</v>
      </c>
      <c r="H1019" s="150" t="str">
        <f t="shared" si="45"/>
        <v>5</v>
      </c>
      <c r="I1019" s="150" t="str">
        <f t="shared" si="46"/>
        <v>53</v>
      </c>
      <c r="J1019" s="150" t="str">
        <f t="shared" si="47"/>
        <v>533</v>
      </c>
      <c r="K1019" s="150" t="s">
        <v>9003</v>
      </c>
      <c r="L1019" s="149" t="s">
        <v>1834</v>
      </c>
      <c r="M1019" s="151">
        <v>0</v>
      </c>
    </row>
    <row r="1020" spans="1:13" s="149" customFormat="1" x14ac:dyDescent="0.25">
      <c r="A1020" s="149" t="s">
        <v>7639</v>
      </c>
      <c r="B1020" s="149" t="s">
        <v>1835</v>
      </c>
      <c r="C1020" s="149">
        <v>11</v>
      </c>
      <c r="D1020" s="149">
        <v>330</v>
      </c>
      <c r="E1020" s="149">
        <v>0</v>
      </c>
      <c r="F1020" s="149">
        <v>191400</v>
      </c>
      <c r="G1020" s="149">
        <v>53330</v>
      </c>
      <c r="H1020" s="150" t="str">
        <f t="shared" si="45"/>
        <v>5</v>
      </c>
      <c r="I1020" s="150" t="str">
        <f t="shared" si="46"/>
        <v>53</v>
      </c>
      <c r="J1020" s="150" t="str">
        <f t="shared" si="47"/>
        <v>533</v>
      </c>
      <c r="K1020" s="150" t="s">
        <v>9004</v>
      </c>
      <c r="L1020" s="149" t="s">
        <v>1836</v>
      </c>
      <c r="M1020" s="151">
        <v>1297.8900000000001</v>
      </c>
    </row>
    <row r="1021" spans="1:13" s="149" customFormat="1" x14ac:dyDescent="0.25">
      <c r="A1021" s="149" t="s">
        <v>7639</v>
      </c>
      <c r="B1021" s="149" t="s">
        <v>1837</v>
      </c>
      <c r="C1021" s="149">
        <v>11</v>
      </c>
      <c r="D1021" s="149">
        <v>330</v>
      </c>
      <c r="E1021" s="149">
        <v>0</v>
      </c>
      <c r="F1021" s="149">
        <v>191400</v>
      </c>
      <c r="G1021" s="149">
        <v>53340</v>
      </c>
      <c r="H1021" s="150" t="str">
        <f t="shared" si="45"/>
        <v>5</v>
      </c>
      <c r="I1021" s="150" t="str">
        <f t="shared" si="46"/>
        <v>53</v>
      </c>
      <c r="J1021" s="150" t="str">
        <f t="shared" si="47"/>
        <v>533</v>
      </c>
      <c r="K1021" s="150" t="s">
        <v>9005</v>
      </c>
      <c r="L1021" s="149" t="s">
        <v>1838</v>
      </c>
      <c r="M1021" s="151">
        <v>0</v>
      </c>
    </row>
    <row r="1022" spans="1:13" s="149" customFormat="1" x14ac:dyDescent="0.25">
      <c r="A1022" s="149" t="s">
        <v>7639</v>
      </c>
      <c r="B1022" s="149" t="s">
        <v>1839</v>
      </c>
      <c r="C1022" s="149">
        <v>11</v>
      </c>
      <c r="D1022" s="149">
        <v>330</v>
      </c>
      <c r="E1022" s="149">
        <v>0</v>
      </c>
      <c r="F1022" s="149">
        <v>191400</v>
      </c>
      <c r="G1022" s="149">
        <v>53410</v>
      </c>
      <c r="H1022" s="150" t="str">
        <f t="shared" si="45"/>
        <v>5</v>
      </c>
      <c r="I1022" s="150" t="str">
        <f t="shared" si="46"/>
        <v>53</v>
      </c>
      <c r="J1022" s="150" t="str">
        <f t="shared" si="47"/>
        <v>534</v>
      </c>
      <c r="K1022" s="150" t="s">
        <v>9006</v>
      </c>
      <c r="L1022" s="149" t="s">
        <v>1840</v>
      </c>
      <c r="M1022" s="151">
        <v>21347.91</v>
      </c>
    </row>
    <row r="1023" spans="1:13" s="149" customFormat="1" x14ac:dyDescent="0.25">
      <c r="A1023" s="149" t="s">
        <v>7639</v>
      </c>
      <c r="B1023" s="149" t="s">
        <v>1841</v>
      </c>
      <c r="C1023" s="149">
        <v>11</v>
      </c>
      <c r="D1023" s="149">
        <v>330</v>
      </c>
      <c r="E1023" s="149">
        <v>0</v>
      </c>
      <c r="F1023" s="149">
        <v>191400</v>
      </c>
      <c r="G1023" s="149">
        <v>53510</v>
      </c>
      <c r="H1023" s="150" t="str">
        <f t="shared" si="45"/>
        <v>5</v>
      </c>
      <c r="I1023" s="150" t="str">
        <f t="shared" si="46"/>
        <v>53</v>
      </c>
      <c r="J1023" s="150" t="str">
        <f t="shared" si="47"/>
        <v>535</v>
      </c>
      <c r="K1023" s="150" t="s">
        <v>9007</v>
      </c>
      <c r="L1023" s="149" t="s">
        <v>1842</v>
      </c>
      <c r="M1023" s="151">
        <v>44.76</v>
      </c>
    </row>
    <row r="1024" spans="1:13" s="149" customFormat="1" x14ac:dyDescent="0.25">
      <c r="A1024" s="149" t="s">
        <v>7639</v>
      </c>
      <c r="B1024" s="149" t="s">
        <v>1843</v>
      </c>
      <c r="C1024" s="149">
        <v>11</v>
      </c>
      <c r="D1024" s="149">
        <v>330</v>
      </c>
      <c r="E1024" s="149">
        <v>0</v>
      </c>
      <c r="F1024" s="149">
        <v>191400</v>
      </c>
      <c r="G1024" s="149">
        <v>53520</v>
      </c>
      <c r="H1024" s="150" t="str">
        <f t="shared" si="45"/>
        <v>5</v>
      </c>
      <c r="I1024" s="150" t="str">
        <f t="shared" si="46"/>
        <v>53</v>
      </c>
      <c r="J1024" s="150" t="str">
        <f t="shared" si="47"/>
        <v>535</v>
      </c>
      <c r="K1024" s="150" t="s">
        <v>9008</v>
      </c>
      <c r="L1024" s="149" t="s">
        <v>1844</v>
      </c>
      <c r="M1024" s="151">
        <v>0</v>
      </c>
    </row>
    <row r="1025" spans="1:13" s="149" customFormat="1" x14ac:dyDescent="0.25">
      <c r="A1025" s="149" t="s">
        <v>7639</v>
      </c>
      <c r="B1025" s="149" t="s">
        <v>1845</v>
      </c>
      <c r="C1025" s="149">
        <v>11</v>
      </c>
      <c r="D1025" s="149">
        <v>330</v>
      </c>
      <c r="E1025" s="149">
        <v>0</v>
      </c>
      <c r="F1025" s="149">
        <v>191400</v>
      </c>
      <c r="G1025" s="149">
        <v>53610</v>
      </c>
      <c r="H1025" s="150" t="str">
        <f t="shared" si="45"/>
        <v>5</v>
      </c>
      <c r="I1025" s="150" t="str">
        <f t="shared" si="46"/>
        <v>53</v>
      </c>
      <c r="J1025" s="150" t="str">
        <f t="shared" si="47"/>
        <v>536</v>
      </c>
      <c r="K1025" s="150" t="s">
        <v>9009</v>
      </c>
      <c r="L1025" s="149" t="s">
        <v>1846</v>
      </c>
      <c r="M1025" s="151">
        <v>1692.45</v>
      </c>
    </row>
    <row r="1026" spans="1:13" s="149" customFormat="1" x14ac:dyDescent="0.25">
      <c r="A1026" s="149" t="s">
        <v>7639</v>
      </c>
      <c r="B1026" s="149" t="s">
        <v>1847</v>
      </c>
      <c r="C1026" s="149">
        <v>11</v>
      </c>
      <c r="D1026" s="149">
        <v>330</v>
      </c>
      <c r="E1026" s="149">
        <v>0</v>
      </c>
      <c r="F1026" s="149">
        <v>191400</v>
      </c>
      <c r="G1026" s="149">
        <v>53620</v>
      </c>
      <c r="H1026" s="150" t="str">
        <f t="shared" si="45"/>
        <v>5</v>
      </c>
      <c r="I1026" s="150" t="str">
        <f t="shared" si="46"/>
        <v>53</v>
      </c>
      <c r="J1026" s="150" t="str">
        <f t="shared" si="47"/>
        <v>536</v>
      </c>
      <c r="K1026" s="150" t="s">
        <v>9010</v>
      </c>
      <c r="L1026" s="149" t="s">
        <v>1848</v>
      </c>
      <c r="M1026" s="151">
        <v>0</v>
      </c>
    </row>
    <row r="1027" spans="1:13" s="149" customFormat="1" x14ac:dyDescent="0.25">
      <c r="A1027" s="149" t="s">
        <v>7639</v>
      </c>
      <c r="B1027" s="149" t="s">
        <v>1849</v>
      </c>
      <c r="C1027" s="149">
        <v>11</v>
      </c>
      <c r="D1027" s="149">
        <v>330</v>
      </c>
      <c r="E1027" s="149">
        <v>0</v>
      </c>
      <c r="F1027" s="149">
        <v>191400</v>
      </c>
      <c r="G1027" s="149">
        <v>53910</v>
      </c>
      <c r="H1027" s="150" t="str">
        <f t="shared" ref="H1027:H1090" si="48">LEFT(G1027,1)</f>
        <v>5</v>
      </c>
      <c r="I1027" s="150" t="str">
        <f t="shared" ref="I1027:I1090" si="49">LEFT(G1027,2)</f>
        <v>53</v>
      </c>
      <c r="J1027" s="150" t="str">
        <f t="shared" ref="J1027:J1090" si="50">LEFT(G1027,3)</f>
        <v>539</v>
      </c>
      <c r="K1027" s="150" t="s">
        <v>9011</v>
      </c>
      <c r="L1027" s="149" t="s">
        <v>1850</v>
      </c>
      <c r="M1027" s="151">
        <v>120</v>
      </c>
    </row>
    <row r="1028" spans="1:13" s="149" customFormat="1" x14ac:dyDescent="0.25">
      <c r="A1028" s="149" t="s">
        <v>7639</v>
      </c>
      <c r="B1028" s="149" t="s">
        <v>1851</v>
      </c>
      <c r="C1028" s="149">
        <v>11</v>
      </c>
      <c r="D1028" s="149">
        <v>330</v>
      </c>
      <c r="E1028" s="149">
        <v>0</v>
      </c>
      <c r="F1028" s="149">
        <v>191400</v>
      </c>
      <c r="G1028" s="149">
        <v>54300</v>
      </c>
      <c r="H1028" s="150" t="str">
        <f t="shared" si="48"/>
        <v>5</v>
      </c>
      <c r="I1028" s="150" t="str">
        <f t="shared" si="49"/>
        <v>54</v>
      </c>
      <c r="J1028" s="150" t="str">
        <f t="shared" si="50"/>
        <v>543</v>
      </c>
      <c r="K1028" s="150" t="s">
        <v>7945</v>
      </c>
      <c r="L1028" s="149" t="s">
        <v>1852</v>
      </c>
      <c r="M1028" s="151">
        <v>1000</v>
      </c>
    </row>
    <row r="1029" spans="1:13" s="149" customFormat="1" x14ac:dyDescent="0.25">
      <c r="A1029" s="149" t="s">
        <v>7639</v>
      </c>
      <c r="B1029" s="149" t="s">
        <v>1853</v>
      </c>
      <c r="C1029" s="149">
        <v>11</v>
      </c>
      <c r="D1029" s="149">
        <v>330</v>
      </c>
      <c r="E1029" s="149">
        <v>0</v>
      </c>
      <c r="F1029" s="149">
        <v>191400</v>
      </c>
      <c r="G1029" s="149">
        <v>55630</v>
      </c>
      <c r="H1029" s="150" t="str">
        <f t="shared" si="48"/>
        <v>5</v>
      </c>
      <c r="I1029" s="150" t="str">
        <f t="shared" si="49"/>
        <v>55</v>
      </c>
      <c r="J1029" s="150" t="str">
        <f t="shared" si="50"/>
        <v>556</v>
      </c>
      <c r="K1029" s="150" t="s">
        <v>8224</v>
      </c>
      <c r="L1029" s="149" t="s">
        <v>1854</v>
      </c>
      <c r="M1029" s="151">
        <v>55.8</v>
      </c>
    </row>
    <row r="1030" spans="1:13" s="149" customFormat="1" x14ac:dyDescent="0.25">
      <c r="A1030" s="149" t="s">
        <v>7639</v>
      </c>
      <c r="B1030" s="149" t="s">
        <v>1855</v>
      </c>
      <c r="C1030" s="149">
        <v>11</v>
      </c>
      <c r="D1030" s="149">
        <v>330</v>
      </c>
      <c r="E1030" s="149">
        <v>0</v>
      </c>
      <c r="F1030" s="149">
        <v>191900</v>
      </c>
      <c r="G1030" s="149">
        <v>51100</v>
      </c>
      <c r="H1030" s="150" t="str">
        <f t="shared" si="48"/>
        <v>5</v>
      </c>
      <c r="I1030" s="150" t="str">
        <f t="shared" si="49"/>
        <v>51</v>
      </c>
      <c r="J1030" s="150" t="str">
        <f t="shared" si="50"/>
        <v>511</v>
      </c>
      <c r="K1030" s="150" t="s">
        <v>9012</v>
      </c>
      <c r="L1030" s="149" t="s">
        <v>1856</v>
      </c>
      <c r="M1030" s="151">
        <v>20839.2</v>
      </c>
    </row>
    <row r="1031" spans="1:13" s="149" customFormat="1" x14ac:dyDescent="0.25">
      <c r="A1031" s="149" t="s">
        <v>7639</v>
      </c>
      <c r="B1031" s="149" t="s">
        <v>1857</v>
      </c>
      <c r="C1031" s="149">
        <v>11</v>
      </c>
      <c r="D1031" s="149">
        <v>330</v>
      </c>
      <c r="E1031" s="149">
        <v>0</v>
      </c>
      <c r="F1031" s="149">
        <v>191900</v>
      </c>
      <c r="G1031" s="149">
        <v>51311</v>
      </c>
      <c r="H1031" s="150" t="str">
        <f t="shared" si="48"/>
        <v>5</v>
      </c>
      <c r="I1031" s="150" t="str">
        <f t="shared" si="49"/>
        <v>51</v>
      </c>
      <c r="J1031" s="150" t="str">
        <f t="shared" si="50"/>
        <v>513</v>
      </c>
      <c r="K1031" s="150" t="s">
        <v>7746</v>
      </c>
      <c r="L1031" s="149" t="s">
        <v>353</v>
      </c>
      <c r="M1031" s="151">
        <v>3400</v>
      </c>
    </row>
    <row r="1032" spans="1:13" s="149" customFormat="1" x14ac:dyDescent="0.25">
      <c r="A1032" s="149" t="s">
        <v>7639</v>
      </c>
      <c r="B1032" s="149" t="s">
        <v>1858</v>
      </c>
      <c r="C1032" s="149">
        <v>11</v>
      </c>
      <c r="D1032" s="149">
        <v>330</v>
      </c>
      <c r="E1032" s="149">
        <v>0</v>
      </c>
      <c r="F1032" s="149">
        <v>191900</v>
      </c>
      <c r="G1032" s="149">
        <v>53110</v>
      </c>
      <c r="H1032" s="150" t="str">
        <f t="shared" si="48"/>
        <v>5</v>
      </c>
      <c r="I1032" s="150" t="str">
        <f t="shared" si="49"/>
        <v>53</v>
      </c>
      <c r="J1032" s="150" t="str">
        <f t="shared" si="50"/>
        <v>531</v>
      </c>
      <c r="K1032" s="150" t="s">
        <v>9013</v>
      </c>
      <c r="L1032" s="149" t="s">
        <v>355</v>
      </c>
      <c r="M1032" s="151">
        <v>3914.63</v>
      </c>
    </row>
    <row r="1033" spans="1:13" s="149" customFormat="1" x14ac:dyDescent="0.25">
      <c r="A1033" s="149" t="s">
        <v>7639</v>
      </c>
      <c r="B1033" s="149" t="s">
        <v>1859</v>
      </c>
      <c r="C1033" s="149">
        <v>11</v>
      </c>
      <c r="D1033" s="149">
        <v>330</v>
      </c>
      <c r="E1033" s="149">
        <v>0</v>
      </c>
      <c r="F1033" s="149">
        <v>191900</v>
      </c>
      <c r="G1033" s="149">
        <v>53330</v>
      </c>
      <c r="H1033" s="150" t="str">
        <f t="shared" si="48"/>
        <v>5</v>
      </c>
      <c r="I1033" s="150" t="str">
        <f t="shared" si="49"/>
        <v>53</v>
      </c>
      <c r="J1033" s="150" t="str">
        <f t="shared" si="50"/>
        <v>533</v>
      </c>
      <c r="K1033" s="150" t="s">
        <v>9014</v>
      </c>
      <c r="L1033" s="149" t="s">
        <v>357</v>
      </c>
      <c r="M1033" s="151">
        <v>351.47</v>
      </c>
    </row>
    <row r="1034" spans="1:13" s="149" customFormat="1" x14ac:dyDescent="0.25">
      <c r="A1034" s="149" t="s">
        <v>7639</v>
      </c>
      <c r="B1034" s="149" t="s">
        <v>1860</v>
      </c>
      <c r="C1034" s="149">
        <v>11</v>
      </c>
      <c r="D1034" s="149">
        <v>330</v>
      </c>
      <c r="E1034" s="149">
        <v>0</v>
      </c>
      <c r="F1034" s="149">
        <v>191900</v>
      </c>
      <c r="G1034" s="149">
        <v>53410</v>
      </c>
      <c r="H1034" s="150" t="str">
        <f t="shared" si="48"/>
        <v>5</v>
      </c>
      <c r="I1034" s="150" t="str">
        <f t="shared" si="49"/>
        <v>53</v>
      </c>
      <c r="J1034" s="150" t="str">
        <f t="shared" si="50"/>
        <v>534</v>
      </c>
      <c r="K1034" s="150" t="s">
        <v>9015</v>
      </c>
      <c r="L1034" s="149" t="s">
        <v>1861</v>
      </c>
      <c r="M1034" s="151">
        <v>5048.1499999999996</v>
      </c>
    </row>
    <row r="1035" spans="1:13" s="149" customFormat="1" x14ac:dyDescent="0.25">
      <c r="A1035" s="149" t="s">
        <v>7639</v>
      </c>
      <c r="B1035" s="149" t="s">
        <v>1862</v>
      </c>
      <c r="C1035" s="149">
        <v>11</v>
      </c>
      <c r="D1035" s="149">
        <v>330</v>
      </c>
      <c r="E1035" s="149">
        <v>0</v>
      </c>
      <c r="F1035" s="149">
        <v>191900</v>
      </c>
      <c r="G1035" s="149">
        <v>53510</v>
      </c>
      <c r="H1035" s="150" t="str">
        <f t="shared" si="48"/>
        <v>5</v>
      </c>
      <c r="I1035" s="150" t="str">
        <f t="shared" si="49"/>
        <v>53</v>
      </c>
      <c r="J1035" s="150" t="str">
        <f t="shared" si="50"/>
        <v>535</v>
      </c>
      <c r="K1035" s="150" t="s">
        <v>9016</v>
      </c>
      <c r="L1035" s="149" t="s">
        <v>359</v>
      </c>
      <c r="M1035" s="151">
        <v>12.12</v>
      </c>
    </row>
    <row r="1036" spans="1:13" s="149" customFormat="1" x14ac:dyDescent="0.25">
      <c r="A1036" s="149" t="s">
        <v>7639</v>
      </c>
      <c r="B1036" s="149" t="s">
        <v>1863</v>
      </c>
      <c r="C1036" s="149">
        <v>11</v>
      </c>
      <c r="D1036" s="149">
        <v>330</v>
      </c>
      <c r="E1036" s="149">
        <v>0</v>
      </c>
      <c r="F1036" s="149">
        <v>191900</v>
      </c>
      <c r="G1036" s="149">
        <v>53610</v>
      </c>
      <c r="H1036" s="150" t="str">
        <f t="shared" si="48"/>
        <v>5</v>
      </c>
      <c r="I1036" s="150" t="str">
        <f t="shared" si="49"/>
        <v>53</v>
      </c>
      <c r="J1036" s="150" t="str">
        <f t="shared" si="50"/>
        <v>536</v>
      </c>
      <c r="K1036" s="150" t="s">
        <v>9017</v>
      </c>
      <c r="L1036" s="149" t="s">
        <v>361</v>
      </c>
      <c r="M1036" s="151">
        <v>458.32</v>
      </c>
    </row>
    <row r="1037" spans="1:13" s="149" customFormat="1" x14ac:dyDescent="0.25">
      <c r="A1037" s="149" t="s">
        <v>7639</v>
      </c>
      <c r="B1037" s="149" t="s">
        <v>1864</v>
      </c>
      <c r="C1037" s="149">
        <v>11</v>
      </c>
      <c r="D1037" s="149">
        <v>330</v>
      </c>
      <c r="E1037" s="149">
        <v>0</v>
      </c>
      <c r="F1037" s="149">
        <v>191900</v>
      </c>
      <c r="G1037" s="149">
        <v>55630</v>
      </c>
      <c r="H1037" s="150" t="str">
        <f t="shared" si="48"/>
        <v>5</v>
      </c>
      <c r="I1037" s="150" t="str">
        <f t="shared" si="49"/>
        <v>55</v>
      </c>
      <c r="J1037" s="150" t="str">
        <f t="shared" si="50"/>
        <v>556</v>
      </c>
      <c r="K1037" s="150" t="s">
        <v>8225</v>
      </c>
      <c r="L1037" s="149" t="s">
        <v>1865</v>
      </c>
      <c r="M1037" s="151">
        <v>18.600000000000001</v>
      </c>
    </row>
    <row r="1038" spans="1:13" s="149" customFormat="1" x14ac:dyDescent="0.25">
      <c r="A1038" s="149" t="s">
        <v>7639</v>
      </c>
      <c r="B1038" s="149" t="s">
        <v>1866</v>
      </c>
      <c r="C1038" s="149">
        <v>11</v>
      </c>
      <c r="D1038" s="149">
        <v>330</v>
      </c>
      <c r="E1038" s="149">
        <v>0</v>
      </c>
      <c r="F1038" s="149">
        <v>220600</v>
      </c>
      <c r="G1038" s="149">
        <v>51311</v>
      </c>
      <c r="H1038" s="150" t="str">
        <f t="shared" si="48"/>
        <v>5</v>
      </c>
      <c r="I1038" s="150" t="str">
        <f t="shared" si="49"/>
        <v>51</v>
      </c>
      <c r="J1038" s="150" t="str">
        <f t="shared" si="50"/>
        <v>513</v>
      </c>
      <c r="K1038" s="150" t="s">
        <v>7747</v>
      </c>
      <c r="L1038" s="149" t="s">
        <v>423</v>
      </c>
      <c r="M1038" s="151">
        <v>3500</v>
      </c>
    </row>
    <row r="1039" spans="1:13" s="149" customFormat="1" x14ac:dyDescent="0.25">
      <c r="A1039" s="149" t="s">
        <v>7639</v>
      </c>
      <c r="B1039" s="149" t="s">
        <v>1867</v>
      </c>
      <c r="C1039" s="149">
        <v>11</v>
      </c>
      <c r="D1039" s="149">
        <v>330</v>
      </c>
      <c r="E1039" s="149">
        <v>0</v>
      </c>
      <c r="F1039" s="149">
        <v>220600</v>
      </c>
      <c r="G1039" s="149">
        <v>53110</v>
      </c>
      <c r="H1039" s="150" t="str">
        <f t="shared" si="48"/>
        <v>5</v>
      </c>
      <c r="I1039" s="150" t="str">
        <f t="shared" si="49"/>
        <v>53</v>
      </c>
      <c r="J1039" s="150" t="str">
        <f t="shared" si="50"/>
        <v>531</v>
      </c>
      <c r="K1039" s="150" t="s">
        <v>9018</v>
      </c>
      <c r="L1039" s="149" t="s">
        <v>425</v>
      </c>
      <c r="M1039" s="151">
        <v>565.25</v>
      </c>
    </row>
    <row r="1040" spans="1:13" s="149" customFormat="1" x14ac:dyDescent="0.25">
      <c r="A1040" s="149" t="s">
        <v>7639</v>
      </c>
      <c r="B1040" s="149" t="s">
        <v>1868</v>
      </c>
      <c r="C1040" s="149">
        <v>11</v>
      </c>
      <c r="D1040" s="149">
        <v>330</v>
      </c>
      <c r="E1040" s="149">
        <v>0</v>
      </c>
      <c r="F1040" s="149">
        <v>220600</v>
      </c>
      <c r="G1040" s="149">
        <v>53310</v>
      </c>
      <c r="H1040" s="150" t="str">
        <f t="shared" si="48"/>
        <v>5</v>
      </c>
      <c r="I1040" s="150" t="str">
        <f t="shared" si="49"/>
        <v>53</v>
      </c>
      <c r="J1040" s="150" t="str">
        <f t="shared" si="50"/>
        <v>533</v>
      </c>
      <c r="K1040" s="150" t="s">
        <v>9019</v>
      </c>
      <c r="L1040" s="149" t="s">
        <v>1869</v>
      </c>
      <c r="M1040" s="151">
        <v>0</v>
      </c>
    </row>
    <row r="1041" spans="1:13" s="149" customFormat="1" x14ac:dyDescent="0.25">
      <c r="A1041" s="149" t="s">
        <v>7639</v>
      </c>
      <c r="B1041" s="149" t="s">
        <v>1870</v>
      </c>
      <c r="C1041" s="149">
        <v>11</v>
      </c>
      <c r="D1041" s="149">
        <v>330</v>
      </c>
      <c r="E1041" s="149">
        <v>0</v>
      </c>
      <c r="F1041" s="149">
        <v>220600</v>
      </c>
      <c r="G1041" s="149">
        <v>53330</v>
      </c>
      <c r="H1041" s="150" t="str">
        <f t="shared" si="48"/>
        <v>5</v>
      </c>
      <c r="I1041" s="150" t="str">
        <f t="shared" si="49"/>
        <v>53</v>
      </c>
      <c r="J1041" s="150" t="str">
        <f t="shared" si="50"/>
        <v>533</v>
      </c>
      <c r="K1041" s="150" t="s">
        <v>9020</v>
      </c>
      <c r="L1041" s="149" t="s">
        <v>427</v>
      </c>
      <c r="M1041" s="151">
        <v>50.75</v>
      </c>
    </row>
    <row r="1042" spans="1:13" s="149" customFormat="1" x14ac:dyDescent="0.25">
      <c r="A1042" s="149" t="s">
        <v>7639</v>
      </c>
      <c r="B1042" s="149" t="s">
        <v>1871</v>
      </c>
      <c r="C1042" s="149">
        <v>11</v>
      </c>
      <c r="D1042" s="149">
        <v>330</v>
      </c>
      <c r="E1042" s="149">
        <v>0</v>
      </c>
      <c r="F1042" s="149">
        <v>220600</v>
      </c>
      <c r="G1042" s="149">
        <v>53510</v>
      </c>
      <c r="H1042" s="150" t="str">
        <f t="shared" si="48"/>
        <v>5</v>
      </c>
      <c r="I1042" s="150" t="str">
        <f t="shared" si="49"/>
        <v>53</v>
      </c>
      <c r="J1042" s="150" t="str">
        <f t="shared" si="50"/>
        <v>535</v>
      </c>
      <c r="K1042" s="150" t="s">
        <v>9021</v>
      </c>
      <c r="L1042" s="149" t="s">
        <v>429</v>
      </c>
      <c r="M1042" s="151">
        <v>1.75</v>
      </c>
    </row>
    <row r="1043" spans="1:13" s="149" customFormat="1" x14ac:dyDescent="0.25">
      <c r="A1043" s="149" t="s">
        <v>7639</v>
      </c>
      <c r="B1043" s="149" t="s">
        <v>1872</v>
      </c>
      <c r="C1043" s="149">
        <v>11</v>
      </c>
      <c r="D1043" s="149">
        <v>330</v>
      </c>
      <c r="E1043" s="149">
        <v>0</v>
      </c>
      <c r="F1043" s="149">
        <v>220600</v>
      </c>
      <c r="G1043" s="149">
        <v>53610</v>
      </c>
      <c r="H1043" s="150" t="str">
        <f t="shared" si="48"/>
        <v>5</v>
      </c>
      <c r="I1043" s="150" t="str">
        <f t="shared" si="49"/>
        <v>53</v>
      </c>
      <c r="J1043" s="150" t="str">
        <f t="shared" si="50"/>
        <v>536</v>
      </c>
      <c r="K1043" s="150" t="s">
        <v>9022</v>
      </c>
      <c r="L1043" s="149" t="s">
        <v>431</v>
      </c>
      <c r="M1043" s="151">
        <v>66.180000000000007</v>
      </c>
    </row>
    <row r="1044" spans="1:13" s="149" customFormat="1" x14ac:dyDescent="0.25">
      <c r="A1044" s="149" t="s">
        <v>7639</v>
      </c>
      <c r="B1044" s="149" t="s">
        <v>1873</v>
      </c>
      <c r="C1044" s="149">
        <v>11</v>
      </c>
      <c r="D1044" s="149">
        <v>330</v>
      </c>
      <c r="E1044" s="149">
        <v>0</v>
      </c>
      <c r="F1044" s="149">
        <v>220600</v>
      </c>
      <c r="G1044" s="149">
        <v>55630</v>
      </c>
      <c r="H1044" s="150" t="str">
        <f t="shared" si="48"/>
        <v>5</v>
      </c>
      <c r="I1044" s="150" t="str">
        <f t="shared" si="49"/>
        <v>55</v>
      </c>
      <c r="J1044" s="150" t="str">
        <f t="shared" si="50"/>
        <v>556</v>
      </c>
      <c r="K1044" s="150" t="s">
        <v>8226</v>
      </c>
      <c r="L1044" s="149" t="s">
        <v>1874</v>
      </c>
      <c r="M1044" s="151">
        <v>93</v>
      </c>
    </row>
    <row r="1045" spans="1:13" s="149" customFormat="1" x14ac:dyDescent="0.25">
      <c r="A1045" s="149" t="s">
        <v>7639</v>
      </c>
      <c r="B1045" s="149" t="s">
        <v>1875</v>
      </c>
      <c r="C1045" s="149">
        <v>11</v>
      </c>
      <c r="D1045" s="149">
        <v>330</v>
      </c>
      <c r="E1045" s="149">
        <v>0</v>
      </c>
      <c r="F1045" s="149">
        <v>601000</v>
      </c>
      <c r="G1045" s="149">
        <v>52130</v>
      </c>
      <c r="H1045" s="150" t="str">
        <f t="shared" si="48"/>
        <v>5</v>
      </c>
      <c r="I1045" s="150" t="str">
        <f t="shared" si="49"/>
        <v>52</v>
      </c>
      <c r="J1045" s="150" t="str">
        <f t="shared" si="50"/>
        <v>521</v>
      </c>
      <c r="K1045" s="150" t="s">
        <v>9023</v>
      </c>
      <c r="L1045" s="149" t="s">
        <v>1876</v>
      </c>
      <c r="M1045" s="151">
        <v>12302.1</v>
      </c>
    </row>
    <row r="1046" spans="1:13" s="149" customFormat="1" x14ac:dyDescent="0.25">
      <c r="A1046" s="149" t="s">
        <v>7639</v>
      </c>
      <c r="B1046" s="149" t="s">
        <v>1877</v>
      </c>
      <c r="C1046" s="149">
        <v>11</v>
      </c>
      <c r="D1046" s="149">
        <v>330</v>
      </c>
      <c r="E1046" s="149">
        <v>0</v>
      </c>
      <c r="F1046" s="149">
        <v>601000</v>
      </c>
      <c r="G1046" s="149">
        <v>53220</v>
      </c>
      <c r="H1046" s="150" t="str">
        <f t="shared" si="48"/>
        <v>5</v>
      </c>
      <c r="I1046" s="150" t="str">
        <f t="shared" si="49"/>
        <v>53</v>
      </c>
      <c r="J1046" s="150" t="str">
        <f t="shared" si="50"/>
        <v>532</v>
      </c>
      <c r="K1046" s="150" t="s">
        <v>9024</v>
      </c>
      <c r="L1046" s="149" t="s">
        <v>487</v>
      </c>
      <c r="M1046" s="151">
        <v>2546.5300000000002</v>
      </c>
    </row>
    <row r="1047" spans="1:13" s="149" customFormat="1" x14ac:dyDescent="0.25">
      <c r="A1047" s="149" t="s">
        <v>7639</v>
      </c>
      <c r="B1047" s="149" t="s">
        <v>1878</v>
      </c>
      <c r="C1047" s="149">
        <v>11</v>
      </c>
      <c r="D1047" s="149">
        <v>330</v>
      </c>
      <c r="E1047" s="149">
        <v>0</v>
      </c>
      <c r="F1047" s="149">
        <v>601000</v>
      </c>
      <c r="G1047" s="149">
        <v>53320</v>
      </c>
      <c r="H1047" s="150" t="str">
        <f t="shared" si="48"/>
        <v>5</v>
      </c>
      <c r="I1047" s="150" t="str">
        <f t="shared" si="49"/>
        <v>53</v>
      </c>
      <c r="J1047" s="150" t="str">
        <f t="shared" si="50"/>
        <v>533</v>
      </c>
      <c r="K1047" s="150" t="s">
        <v>9025</v>
      </c>
      <c r="L1047" s="149" t="s">
        <v>489</v>
      </c>
      <c r="M1047" s="151">
        <v>762.73</v>
      </c>
    </row>
    <row r="1048" spans="1:13" s="149" customFormat="1" x14ac:dyDescent="0.25">
      <c r="A1048" s="149" t="s">
        <v>7639</v>
      </c>
      <c r="B1048" s="149" t="s">
        <v>1879</v>
      </c>
      <c r="C1048" s="149">
        <v>11</v>
      </c>
      <c r="D1048" s="149">
        <v>330</v>
      </c>
      <c r="E1048" s="149">
        <v>0</v>
      </c>
      <c r="F1048" s="149">
        <v>601000</v>
      </c>
      <c r="G1048" s="149">
        <v>53340</v>
      </c>
      <c r="H1048" s="150" t="str">
        <f t="shared" si="48"/>
        <v>5</v>
      </c>
      <c r="I1048" s="150" t="str">
        <f t="shared" si="49"/>
        <v>53</v>
      </c>
      <c r="J1048" s="150" t="str">
        <f t="shared" si="50"/>
        <v>533</v>
      </c>
      <c r="K1048" s="150" t="s">
        <v>9026</v>
      </c>
      <c r="L1048" s="149" t="s">
        <v>491</v>
      </c>
      <c r="M1048" s="151">
        <v>178.38</v>
      </c>
    </row>
    <row r="1049" spans="1:13" s="149" customFormat="1" x14ac:dyDescent="0.25">
      <c r="A1049" s="149" t="s">
        <v>7639</v>
      </c>
      <c r="B1049" s="149" t="s">
        <v>1880</v>
      </c>
      <c r="C1049" s="149">
        <v>11</v>
      </c>
      <c r="D1049" s="149">
        <v>330</v>
      </c>
      <c r="E1049" s="149">
        <v>0</v>
      </c>
      <c r="F1049" s="149">
        <v>601000</v>
      </c>
      <c r="G1049" s="149">
        <v>53420</v>
      </c>
      <c r="H1049" s="150" t="str">
        <f t="shared" si="48"/>
        <v>5</v>
      </c>
      <c r="I1049" s="150" t="str">
        <f t="shared" si="49"/>
        <v>53</v>
      </c>
      <c r="J1049" s="150" t="str">
        <f t="shared" si="50"/>
        <v>534</v>
      </c>
      <c r="K1049" s="150" t="s">
        <v>9027</v>
      </c>
      <c r="L1049" s="149" t="s">
        <v>493</v>
      </c>
      <c r="M1049" s="151">
        <v>1314.16</v>
      </c>
    </row>
    <row r="1050" spans="1:13" s="149" customFormat="1" x14ac:dyDescent="0.25">
      <c r="A1050" s="149" t="s">
        <v>7639</v>
      </c>
      <c r="B1050" s="149" t="s">
        <v>1881</v>
      </c>
      <c r="C1050" s="149">
        <v>11</v>
      </c>
      <c r="D1050" s="149">
        <v>330</v>
      </c>
      <c r="E1050" s="149">
        <v>0</v>
      </c>
      <c r="F1050" s="149">
        <v>601000</v>
      </c>
      <c r="G1050" s="149">
        <v>53520</v>
      </c>
      <c r="H1050" s="150" t="str">
        <f t="shared" si="48"/>
        <v>5</v>
      </c>
      <c r="I1050" s="150" t="str">
        <f t="shared" si="49"/>
        <v>53</v>
      </c>
      <c r="J1050" s="150" t="str">
        <f t="shared" si="50"/>
        <v>535</v>
      </c>
      <c r="K1050" s="150" t="s">
        <v>9028</v>
      </c>
      <c r="L1050" s="149" t="s">
        <v>495</v>
      </c>
      <c r="M1050" s="151">
        <v>6.15</v>
      </c>
    </row>
    <row r="1051" spans="1:13" s="149" customFormat="1" x14ac:dyDescent="0.25">
      <c r="A1051" s="149" t="s">
        <v>7639</v>
      </c>
      <c r="B1051" s="149" t="s">
        <v>1882</v>
      </c>
      <c r="C1051" s="149">
        <v>11</v>
      </c>
      <c r="D1051" s="149">
        <v>330</v>
      </c>
      <c r="E1051" s="149">
        <v>0</v>
      </c>
      <c r="F1051" s="149">
        <v>601000</v>
      </c>
      <c r="G1051" s="149">
        <v>53620</v>
      </c>
      <c r="H1051" s="150" t="str">
        <f t="shared" si="48"/>
        <v>5</v>
      </c>
      <c r="I1051" s="150" t="str">
        <f t="shared" si="49"/>
        <v>53</v>
      </c>
      <c r="J1051" s="150" t="str">
        <f t="shared" si="50"/>
        <v>536</v>
      </c>
      <c r="K1051" s="150" t="s">
        <v>9029</v>
      </c>
      <c r="L1051" s="149" t="s">
        <v>497</v>
      </c>
      <c r="M1051" s="151">
        <v>232.61</v>
      </c>
    </row>
    <row r="1052" spans="1:13" s="149" customFormat="1" x14ac:dyDescent="0.25">
      <c r="A1052" s="149" t="s">
        <v>7639</v>
      </c>
      <c r="B1052" s="149" t="s">
        <v>1883</v>
      </c>
      <c r="C1052" s="149">
        <v>11</v>
      </c>
      <c r="D1052" s="149">
        <v>330</v>
      </c>
      <c r="E1052" s="149">
        <v>0</v>
      </c>
      <c r="F1052" s="149">
        <v>601000</v>
      </c>
      <c r="G1052" s="149">
        <v>55630</v>
      </c>
      <c r="H1052" s="150" t="str">
        <f t="shared" si="48"/>
        <v>5</v>
      </c>
      <c r="I1052" s="150" t="str">
        <f t="shared" si="49"/>
        <v>55</v>
      </c>
      <c r="J1052" s="150" t="str">
        <f t="shared" si="50"/>
        <v>556</v>
      </c>
      <c r="K1052" s="150" t="s">
        <v>8227</v>
      </c>
      <c r="L1052" s="149" t="s">
        <v>509</v>
      </c>
      <c r="M1052" s="151">
        <v>9.3000000000000007</v>
      </c>
    </row>
    <row r="1053" spans="1:13" s="149" customFormat="1" x14ac:dyDescent="0.25">
      <c r="A1053" s="149" t="s">
        <v>7639</v>
      </c>
      <c r="B1053" s="149" t="s">
        <v>1884</v>
      </c>
      <c r="C1053" s="149">
        <v>11</v>
      </c>
      <c r="D1053" s="149">
        <v>330</v>
      </c>
      <c r="E1053" s="149">
        <v>0</v>
      </c>
      <c r="F1053" s="149">
        <v>703800</v>
      </c>
      <c r="G1053" s="149">
        <v>52105</v>
      </c>
      <c r="H1053" s="150" t="str">
        <f t="shared" si="48"/>
        <v>5</v>
      </c>
      <c r="I1053" s="150" t="str">
        <f t="shared" si="49"/>
        <v>52</v>
      </c>
      <c r="J1053" s="150" t="str">
        <f t="shared" si="50"/>
        <v>521</v>
      </c>
      <c r="K1053" s="150" t="s">
        <v>9030</v>
      </c>
      <c r="L1053" s="149" t="s">
        <v>1096</v>
      </c>
      <c r="M1053" s="151">
        <v>0</v>
      </c>
    </row>
    <row r="1054" spans="1:13" s="149" customFormat="1" x14ac:dyDescent="0.25">
      <c r="A1054" s="149" t="s">
        <v>7639</v>
      </c>
      <c r="B1054" s="149" t="s">
        <v>1885</v>
      </c>
      <c r="C1054" s="149">
        <v>11</v>
      </c>
      <c r="D1054" s="149">
        <v>330</v>
      </c>
      <c r="E1054" s="149">
        <v>0</v>
      </c>
      <c r="F1054" s="149">
        <v>703800</v>
      </c>
      <c r="G1054" s="149">
        <v>53220</v>
      </c>
      <c r="H1054" s="150" t="str">
        <f t="shared" si="48"/>
        <v>5</v>
      </c>
      <c r="I1054" s="150" t="str">
        <f t="shared" si="49"/>
        <v>53</v>
      </c>
      <c r="J1054" s="150" t="str">
        <f t="shared" si="50"/>
        <v>532</v>
      </c>
      <c r="K1054" s="150" t="s">
        <v>9031</v>
      </c>
      <c r="L1054" s="149" t="s">
        <v>1106</v>
      </c>
      <c r="M1054" s="151">
        <v>0</v>
      </c>
    </row>
    <row r="1055" spans="1:13" s="149" customFormat="1" x14ac:dyDescent="0.25">
      <c r="A1055" s="149" t="s">
        <v>7639</v>
      </c>
      <c r="B1055" s="149" t="s">
        <v>1886</v>
      </c>
      <c r="C1055" s="149">
        <v>11</v>
      </c>
      <c r="D1055" s="149">
        <v>330</v>
      </c>
      <c r="E1055" s="149">
        <v>0</v>
      </c>
      <c r="F1055" s="149">
        <v>703800</v>
      </c>
      <c r="G1055" s="149">
        <v>53320</v>
      </c>
      <c r="H1055" s="150" t="str">
        <f t="shared" si="48"/>
        <v>5</v>
      </c>
      <c r="I1055" s="150" t="str">
        <f t="shared" si="49"/>
        <v>53</v>
      </c>
      <c r="J1055" s="150" t="str">
        <f t="shared" si="50"/>
        <v>533</v>
      </c>
      <c r="K1055" s="150" t="s">
        <v>9032</v>
      </c>
      <c r="L1055" s="149" t="s">
        <v>1108</v>
      </c>
      <c r="M1055" s="151">
        <v>0</v>
      </c>
    </row>
    <row r="1056" spans="1:13" s="149" customFormat="1" x14ac:dyDescent="0.25">
      <c r="A1056" s="149" t="s">
        <v>7639</v>
      </c>
      <c r="B1056" s="149" t="s">
        <v>1887</v>
      </c>
      <c r="C1056" s="149">
        <v>11</v>
      </c>
      <c r="D1056" s="149">
        <v>330</v>
      </c>
      <c r="E1056" s="149">
        <v>0</v>
      </c>
      <c r="F1056" s="149">
        <v>703800</v>
      </c>
      <c r="G1056" s="149">
        <v>53340</v>
      </c>
      <c r="H1056" s="150" t="str">
        <f t="shared" si="48"/>
        <v>5</v>
      </c>
      <c r="I1056" s="150" t="str">
        <f t="shared" si="49"/>
        <v>53</v>
      </c>
      <c r="J1056" s="150" t="str">
        <f t="shared" si="50"/>
        <v>533</v>
      </c>
      <c r="K1056" s="150" t="s">
        <v>9033</v>
      </c>
      <c r="L1056" s="149" t="s">
        <v>1110</v>
      </c>
      <c r="M1056" s="151">
        <v>0</v>
      </c>
    </row>
    <row r="1057" spans="1:13" s="149" customFormat="1" x14ac:dyDescent="0.25">
      <c r="A1057" s="149" t="s">
        <v>7639</v>
      </c>
      <c r="B1057" s="149" t="s">
        <v>1888</v>
      </c>
      <c r="C1057" s="149">
        <v>11</v>
      </c>
      <c r="D1057" s="149">
        <v>330</v>
      </c>
      <c r="E1057" s="149">
        <v>0</v>
      </c>
      <c r="F1057" s="149">
        <v>703800</v>
      </c>
      <c r="G1057" s="149">
        <v>53420</v>
      </c>
      <c r="H1057" s="150" t="str">
        <f t="shared" si="48"/>
        <v>5</v>
      </c>
      <c r="I1057" s="150" t="str">
        <f t="shared" si="49"/>
        <v>53</v>
      </c>
      <c r="J1057" s="150" t="str">
        <f t="shared" si="50"/>
        <v>534</v>
      </c>
      <c r="K1057" s="150" t="s">
        <v>9034</v>
      </c>
      <c r="L1057" s="149" t="s">
        <v>1112</v>
      </c>
      <c r="M1057" s="151">
        <v>0</v>
      </c>
    </row>
    <row r="1058" spans="1:13" s="149" customFormat="1" x14ac:dyDescent="0.25">
      <c r="A1058" s="149" t="s">
        <v>7639</v>
      </c>
      <c r="B1058" s="149" t="s">
        <v>1889</v>
      </c>
      <c r="C1058" s="149">
        <v>11</v>
      </c>
      <c r="D1058" s="149">
        <v>330</v>
      </c>
      <c r="E1058" s="149">
        <v>0</v>
      </c>
      <c r="F1058" s="149">
        <v>703800</v>
      </c>
      <c r="G1058" s="149">
        <v>53520</v>
      </c>
      <c r="H1058" s="150" t="str">
        <f t="shared" si="48"/>
        <v>5</v>
      </c>
      <c r="I1058" s="150" t="str">
        <f t="shared" si="49"/>
        <v>53</v>
      </c>
      <c r="J1058" s="150" t="str">
        <f t="shared" si="50"/>
        <v>535</v>
      </c>
      <c r="K1058" s="150" t="s">
        <v>9035</v>
      </c>
      <c r="L1058" s="149" t="s">
        <v>1114</v>
      </c>
      <c r="M1058" s="151">
        <v>0</v>
      </c>
    </row>
    <row r="1059" spans="1:13" s="149" customFormat="1" x14ac:dyDescent="0.25">
      <c r="A1059" s="149" t="s">
        <v>7639</v>
      </c>
      <c r="B1059" s="149" t="s">
        <v>1890</v>
      </c>
      <c r="C1059" s="149">
        <v>11</v>
      </c>
      <c r="D1059" s="149">
        <v>330</v>
      </c>
      <c r="E1059" s="149">
        <v>0</v>
      </c>
      <c r="F1059" s="149">
        <v>703800</v>
      </c>
      <c r="G1059" s="149">
        <v>53620</v>
      </c>
      <c r="H1059" s="150" t="str">
        <f t="shared" si="48"/>
        <v>5</v>
      </c>
      <c r="I1059" s="150" t="str">
        <f t="shared" si="49"/>
        <v>53</v>
      </c>
      <c r="J1059" s="150" t="str">
        <f t="shared" si="50"/>
        <v>536</v>
      </c>
      <c r="K1059" s="150" t="s">
        <v>9036</v>
      </c>
      <c r="L1059" s="149" t="s">
        <v>1116</v>
      </c>
      <c r="M1059" s="151">
        <v>0</v>
      </c>
    </row>
    <row r="1060" spans="1:13" s="149" customFormat="1" x14ac:dyDescent="0.25">
      <c r="A1060" s="149" t="s">
        <v>7639</v>
      </c>
      <c r="B1060" s="149" t="s">
        <v>1891</v>
      </c>
      <c r="C1060" s="149">
        <v>11</v>
      </c>
      <c r="D1060" s="149">
        <v>330</v>
      </c>
      <c r="E1060" s="149">
        <v>1</v>
      </c>
      <c r="F1060" s="149">
        <v>70100</v>
      </c>
      <c r="G1060" s="149">
        <v>51100</v>
      </c>
      <c r="H1060" s="150" t="str">
        <f t="shared" si="48"/>
        <v>5</v>
      </c>
      <c r="I1060" s="150" t="str">
        <f t="shared" si="49"/>
        <v>51</v>
      </c>
      <c r="J1060" s="150" t="str">
        <f t="shared" si="50"/>
        <v>511</v>
      </c>
      <c r="K1060" s="150" t="s">
        <v>9037</v>
      </c>
      <c r="L1060" s="149" t="s">
        <v>1892</v>
      </c>
      <c r="M1060" s="151">
        <v>258523</v>
      </c>
    </row>
    <row r="1061" spans="1:13" s="149" customFormat="1" x14ac:dyDescent="0.25">
      <c r="A1061" s="149" t="s">
        <v>7639</v>
      </c>
      <c r="B1061" s="149" t="s">
        <v>1893</v>
      </c>
      <c r="C1061" s="149">
        <v>11</v>
      </c>
      <c r="D1061" s="149">
        <v>330</v>
      </c>
      <c r="E1061" s="149">
        <v>1</v>
      </c>
      <c r="F1061" s="149">
        <v>70100</v>
      </c>
      <c r="G1061" s="149">
        <v>51310</v>
      </c>
      <c r="H1061" s="150" t="str">
        <f t="shared" si="48"/>
        <v>5</v>
      </c>
      <c r="I1061" s="150" t="str">
        <f t="shared" si="49"/>
        <v>51</v>
      </c>
      <c r="J1061" s="150" t="str">
        <f t="shared" si="50"/>
        <v>513</v>
      </c>
      <c r="K1061" s="150" t="s">
        <v>7670</v>
      </c>
      <c r="L1061" s="149" t="s">
        <v>1894</v>
      </c>
      <c r="M1061" s="151">
        <v>33000</v>
      </c>
    </row>
    <row r="1062" spans="1:13" s="149" customFormat="1" x14ac:dyDescent="0.25">
      <c r="A1062" s="149" t="s">
        <v>7639</v>
      </c>
      <c r="B1062" s="149" t="s">
        <v>1895</v>
      </c>
      <c r="C1062" s="149">
        <v>11</v>
      </c>
      <c r="D1062" s="149">
        <v>330</v>
      </c>
      <c r="E1062" s="149">
        <v>1</v>
      </c>
      <c r="F1062" s="149">
        <v>70100</v>
      </c>
      <c r="G1062" s="149">
        <v>53110</v>
      </c>
      <c r="H1062" s="150" t="str">
        <f t="shared" si="48"/>
        <v>5</v>
      </c>
      <c r="I1062" s="150" t="str">
        <f t="shared" si="49"/>
        <v>53</v>
      </c>
      <c r="J1062" s="150" t="str">
        <f t="shared" si="50"/>
        <v>531</v>
      </c>
      <c r="K1062" s="150" t="s">
        <v>9038</v>
      </c>
      <c r="L1062" s="149" t="s">
        <v>243</v>
      </c>
      <c r="M1062" s="151">
        <v>47080.97</v>
      </c>
    </row>
    <row r="1063" spans="1:13" s="149" customFormat="1" x14ac:dyDescent="0.25">
      <c r="A1063" s="149" t="s">
        <v>7639</v>
      </c>
      <c r="B1063" s="149" t="s">
        <v>1896</v>
      </c>
      <c r="C1063" s="149">
        <v>11</v>
      </c>
      <c r="D1063" s="149">
        <v>330</v>
      </c>
      <c r="E1063" s="149">
        <v>1</v>
      </c>
      <c r="F1063" s="149">
        <v>70100</v>
      </c>
      <c r="G1063" s="149">
        <v>53330</v>
      </c>
      <c r="H1063" s="150" t="str">
        <f t="shared" si="48"/>
        <v>5</v>
      </c>
      <c r="I1063" s="150" t="str">
        <f t="shared" si="49"/>
        <v>53</v>
      </c>
      <c r="J1063" s="150" t="str">
        <f t="shared" si="50"/>
        <v>533</v>
      </c>
      <c r="K1063" s="150" t="s">
        <v>9039</v>
      </c>
      <c r="L1063" s="149" t="s">
        <v>245</v>
      </c>
      <c r="M1063" s="151">
        <v>4227.08</v>
      </c>
    </row>
    <row r="1064" spans="1:13" s="149" customFormat="1" x14ac:dyDescent="0.25">
      <c r="A1064" s="149" t="s">
        <v>7639</v>
      </c>
      <c r="B1064" s="149" t="s">
        <v>1897</v>
      </c>
      <c r="C1064" s="149">
        <v>11</v>
      </c>
      <c r="D1064" s="149">
        <v>330</v>
      </c>
      <c r="E1064" s="149">
        <v>1</v>
      </c>
      <c r="F1064" s="149">
        <v>70100</v>
      </c>
      <c r="G1064" s="149">
        <v>53410</v>
      </c>
      <c r="H1064" s="150" t="str">
        <f t="shared" si="48"/>
        <v>5</v>
      </c>
      <c r="I1064" s="150" t="str">
        <f t="shared" si="49"/>
        <v>53</v>
      </c>
      <c r="J1064" s="150" t="str">
        <f t="shared" si="50"/>
        <v>534</v>
      </c>
      <c r="K1064" s="150" t="s">
        <v>9040</v>
      </c>
      <c r="L1064" s="149" t="s">
        <v>1898</v>
      </c>
      <c r="M1064" s="151">
        <v>61561.64</v>
      </c>
    </row>
    <row r="1065" spans="1:13" s="149" customFormat="1" x14ac:dyDescent="0.25">
      <c r="A1065" s="149" t="s">
        <v>7639</v>
      </c>
      <c r="B1065" s="149" t="s">
        <v>1899</v>
      </c>
      <c r="C1065" s="149">
        <v>11</v>
      </c>
      <c r="D1065" s="149">
        <v>330</v>
      </c>
      <c r="E1065" s="149">
        <v>1</v>
      </c>
      <c r="F1065" s="149">
        <v>70100</v>
      </c>
      <c r="G1065" s="149">
        <v>53510</v>
      </c>
      <c r="H1065" s="150" t="str">
        <f t="shared" si="48"/>
        <v>5</v>
      </c>
      <c r="I1065" s="150" t="str">
        <f t="shared" si="49"/>
        <v>53</v>
      </c>
      <c r="J1065" s="150" t="str">
        <f t="shared" si="50"/>
        <v>535</v>
      </c>
      <c r="K1065" s="150" t="s">
        <v>9041</v>
      </c>
      <c r="L1065" s="149" t="s">
        <v>247</v>
      </c>
      <c r="M1065" s="151">
        <v>145.76</v>
      </c>
    </row>
    <row r="1066" spans="1:13" s="149" customFormat="1" x14ac:dyDescent="0.25">
      <c r="A1066" s="149" t="s">
        <v>7639</v>
      </c>
      <c r="B1066" s="149" t="s">
        <v>1900</v>
      </c>
      <c r="C1066" s="149">
        <v>11</v>
      </c>
      <c r="D1066" s="149">
        <v>330</v>
      </c>
      <c r="E1066" s="149">
        <v>1</v>
      </c>
      <c r="F1066" s="149">
        <v>70100</v>
      </c>
      <c r="G1066" s="149">
        <v>53610</v>
      </c>
      <c r="H1066" s="150" t="str">
        <f t="shared" si="48"/>
        <v>5</v>
      </c>
      <c r="I1066" s="150" t="str">
        <f t="shared" si="49"/>
        <v>53</v>
      </c>
      <c r="J1066" s="150" t="str">
        <f t="shared" si="50"/>
        <v>536</v>
      </c>
      <c r="K1066" s="150" t="s">
        <v>9042</v>
      </c>
      <c r="L1066" s="149" t="s">
        <v>249</v>
      </c>
      <c r="M1066" s="151">
        <v>5512.12</v>
      </c>
    </row>
    <row r="1067" spans="1:13" s="149" customFormat="1" x14ac:dyDescent="0.25">
      <c r="A1067" s="149" t="s">
        <v>7639</v>
      </c>
      <c r="B1067" s="149" t="s">
        <v>1901</v>
      </c>
      <c r="C1067" s="149">
        <v>11</v>
      </c>
      <c r="D1067" s="149">
        <v>330</v>
      </c>
      <c r="E1067" s="149">
        <v>1</v>
      </c>
      <c r="F1067" s="149">
        <v>70100</v>
      </c>
      <c r="G1067" s="149">
        <v>53910</v>
      </c>
      <c r="H1067" s="150" t="str">
        <f t="shared" si="48"/>
        <v>5</v>
      </c>
      <c r="I1067" s="150" t="str">
        <f t="shared" si="49"/>
        <v>53</v>
      </c>
      <c r="J1067" s="150" t="str">
        <f t="shared" si="50"/>
        <v>539</v>
      </c>
      <c r="K1067" s="150" t="s">
        <v>9043</v>
      </c>
      <c r="L1067" s="149" t="s">
        <v>1902</v>
      </c>
      <c r="M1067" s="151">
        <v>2400</v>
      </c>
    </row>
    <row r="1068" spans="1:13" s="149" customFormat="1" x14ac:dyDescent="0.25">
      <c r="A1068" s="149" t="s">
        <v>7639</v>
      </c>
      <c r="B1068" s="149" t="s">
        <v>1903</v>
      </c>
      <c r="C1068" s="149">
        <v>11</v>
      </c>
      <c r="D1068" s="149">
        <v>330</v>
      </c>
      <c r="E1068" s="149">
        <v>1</v>
      </c>
      <c r="F1068" s="149">
        <v>70100</v>
      </c>
      <c r="G1068" s="149">
        <v>54300</v>
      </c>
      <c r="H1068" s="150" t="str">
        <f t="shared" si="48"/>
        <v>5</v>
      </c>
      <c r="I1068" s="150" t="str">
        <f t="shared" si="49"/>
        <v>54</v>
      </c>
      <c r="J1068" s="150" t="str">
        <f t="shared" si="50"/>
        <v>543</v>
      </c>
      <c r="K1068" s="150" t="s">
        <v>7946</v>
      </c>
      <c r="L1068" s="149" t="s">
        <v>1904</v>
      </c>
      <c r="M1068" s="151">
        <v>744</v>
      </c>
    </row>
    <row r="1069" spans="1:13" s="149" customFormat="1" x14ac:dyDescent="0.25">
      <c r="A1069" s="149" t="s">
        <v>7639</v>
      </c>
      <c r="B1069" s="149" t="s">
        <v>1905</v>
      </c>
      <c r="C1069" s="149">
        <v>11</v>
      </c>
      <c r="D1069" s="149">
        <v>330</v>
      </c>
      <c r="E1069" s="149">
        <v>1</v>
      </c>
      <c r="F1069" s="149">
        <v>70100</v>
      </c>
      <c r="G1069" s="149">
        <v>55630</v>
      </c>
      <c r="H1069" s="150" t="str">
        <f t="shared" si="48"/>
        <v>5</v>
      </c>
      <c r="I1069" s="150" t="str">
        <f t="shared" si="49"/>
        <v>55</v>
      </c>
      <c r="J1069" s="150" t="str">
        <f t="shared" si="50"/>
        <v>556</v>
      </c>
      <c r="K1069" s="150" t="s">
        <v>8228</v>
      </c>
      <c r="L1069" s="149" t="s">
        <v>1906</v>
      </c>
      <c r="M1069" s="151">
        <v>32.5</v>
      </c>
    </row>
    <row r="1070" spans="1:13" s="149" customFormat="1" x14ac:dyDescent="0.25">
      <c r="A1070" s="149" t="s">
        <v>7639</v>
      </c>
      <c r="B1070" s="149" t="s">
        <v>1907</v>
      </c>
      <c r="C1070" s="149">
        <v>11</v>
      </c>
      <c r="D1070" s="149">
        <v>330</v>
      </c>
      <c r="E1070" s="149">
        <v>1</v>
      </c>
      <c r="F1070" s="149">
        <v>70100</v>
      </c>
      <c r="G1070" s="149">
        <v>55650</v>
      </c>
      <c r="H1070" s="150" t="str">
        <f t="shared" si="48"/>
        <v>5</v>
      </c>
      <c r="I1070" s="150" t="str">
        <f t="shared" si="49"/>
        <v>55</v>
      </c>
      <c r="J1070" s="150" t="str">
        <f t="shared" si="50"/>
        <v>556</v>
      </c>
      <c r="K1070" s="150" t="s">
        <v>8300</v>
      </c>
      <c r="L1070" s="149" t="s">
        <v>1908</v>
      </c>
      <c r="M1070" s="151">
        <v>300</v>
      </c>
    </row>
    <row r="1071" spans="1:13" s="149" customFormat="1" x14ac:dyDescent="0.25">
      <c r="A1071" s="149" t="s">
        <v>7639</v>
      </c>
      <c r="B1071" s="149" t="s">
        <v>1909</v>
      </c>
      <c r="C1071" s="149">
        <v>11</v>
      </c>
      <c r="D1071" s="149">
        <v>330</v>
      </c>
      <c r="E1071" s="149">
        <v>1</v>
      </c>
      <c r="F1071" s="149">
        <v>90100</v>
      </c>
      <c r="G1071" s="149">
        <v>51100</v>
      </c>
      <c r="H1071" s="150" t="str">
        <f t="shared" si="48"/>
        <v>5</v>
      </c>
      <c r="I1071" s="150" t="str">
        <f t="shared" si="49"/>
        <v>51</v>
      </c>
      <c r="J1071" s="150" t="str">
        <f t="shared" si="50"/>
        <v>511</v>
      </c>
      <c r="K1071" s="150" t="s">
        <v>9044</v>
      </c>
      <c r="L1071" s="149" t="s">
        <v>1656</v>
      </c>
      <c r="M1071" s="151">
        <v>20839.2</v>
      </c>
    </row>
    <row r="1072" spans="1:13" s="149" customFormat="1" x14ac:dyDescent="0.25">
      <c r="A1072" s="149" t="s">
        <v>7639</v>
      </c>
      <c r="B1072" s="149" t="s">
        <v>1910</v>
      </c>
      <c r="C1072" s="149">
        <v>11</v>
      </c>
      <c r="D1072" s="149">
        <v>330</v>
      </c>
      <c r="E1072" s="149">
        <v>1</v>
      </c>
      <c r="F1072" s="149">
        <v>90100</v>
      </c>
      <c r="G1072" s="149">
        <v>53110</v>
      </c>
      <c r="H1072" s="150" t="str">
        <f t="shared" si="48"/>
        <v>5</v>
      </c>
      <c r="I1072" s="150" t="str">
        <f t="shared" si="49"/>
        <v>53</v>
      </c>
      <c r="J1072" s="150" t="str">
        <f t="shared" si="50"/>
        <v>531</v>
      </c>
      <c r="K1072" s="150" t="s">
        <v>9045</v>
      </c>
      <c r="L1072" s="149" t="s">
        <v>1668</v>
      </c>
      <c r="M1072" s="151">
        <v>3365.53</v>
      </c>
    </row>
    <row r="1073" spans="1:13" s="149" customFormat="1" x14ac:dyDescent="0.25">
      <c r="A1073" s="149" t="s">
        <v>7639</v>
      </c>
      <c r="B1073" s="149" t="s">
        <v>1911</v>
      </c>
      <c r="C1073" s="149">
        <v>11</v>
      </c>
      <c r="D1073" s="149">
        <v>330</v>
      </c>
      <c r="E1073" s="149">
        <v>1</v>
      </c>
      <c r="F1073" s="149">
        <v>90100</v>
      </c>
      <c r="G1073" s="149">
        <v>53330</v>
      </c>
      <c r="H1073" s="150" t="str">
        <f t="shared" si="48"/>
        <v>5</v>
      </c>
      <c r="I1073" s="150" t="str">
        <f t="shared" si="49"/>
        <v>53</v>
      </c>
      <c r="J1073" s="150" t="str">
        <f t="shared" si="50"/>
        <v>533</v>
      </c>
      <c r="K1073" s="150" t="s">
        <v>9046</v>
      </c>
      <c r="L1073" s="149" t="s">
        <v>1678</v>
      </c>
      <c r="M1073" s="151">
        <v>302.17</v>
      </c>
    </row>
    <row r="1074" spans="1:13" s="149" customFormat="1" x14ac:dyDescent="0.25">
      <c r="A1074" s="149" t="s">
        <v>7639</v>
      </c>
      <c r="B1074" s="149" t="s">
        <v>1912</v>
      </c>
      <c r="C1074" s="149">
        <v>11</v>
      </c>
      <c r="D1074" s="149">
        <v>330</v>
      </c>
      <c r="E1074" s="149">
        <v>1</v>
      </c>
      <c r="F1074" s="149">
        <v>90100</v>
      </c>
      <c r="G1074" s="149">
        <v>53410</v>
      </c>
      <c r="H1074" s="150" t="str">
        <f t="shared" si="48"/>
        <v>5</v>
      </c>
      <c r="I1074" s="150" t="str">
        <f t="shared" si="49"/>
        <v>53</v>
      </c>
      <c r="J1074" s="150" t="str">
        <f t="shared" si="50"/>
        <v>534</v>
      </c>
      <c r="K1074" s="150" t="s">
        <v>9047</v>
      </c>
      <c r="L1074" s="149" t="s">
        <v>1682</v>
      </c>
      <c r="M1074" s="151">
        <v>6624.29</v>
      </c>
    </row>
    <row r="1075" spans="1:13" s="149" customFormat="1" x14ac:dyDescent="0.25">
      <c r="A1075" s="149" t="s">
        <v>7639</v>
      </c>
      <c r="B1075" s="149" t="s">
        <v>1913</v>
      </c>
      <c r="C1075" s="149">
        <v>11</v>
      </c>
      <c r="D1075" s="149">
        <v>330</v>
      </c>
      <c r="E1075" s="149">
        <v>1</v>
      </c>
      <c r="F1075" s="149">
        <v>90100</v>
      </c>
      <c r="G1075" s="149">
        <v>53510</v>
      </c>
      <c r="H1075" s="150" t="str">
        <f t="shared" si="48"/>
        <v>5</v>
      </c>
      <c r="I1075" s="150" t="str">
        <f t="shared" si="49"/>
        <v>53</v>
      </c>
      <c r="J1075" s="150" t="str">
        <f t="shared" si="50"/>
        <v>535</v>
      </c>
      <c r="K1075" s="150" t="s">
        <v>9048</v>
      </c>
      <c r="L1075" s="149" t="s">
        <v>1684</v>
      </c>
      <c r="M1075" s="151">
        <v>10.42</v>
      </c>
    </row>
    <row r="1076" spans="1:13" s="149" customFormat="1" x14ac:dyDescent="0.25">
      <c r="A1076" s="149" t="s">
        <v>7639</v>
      </c>
      <c r="B1076" s="149" t="s">
        <v>1914</v>
      </c>
      <c r="C1076" s="149">
        <v>11</v>
      </c>
      <c r="D1076" s="149">
        <v>330</v>
      </c>
      <c r="E1076" s="149">
        <v>1</v>
      </c>
      <c r="F1076" s="149">
        <v>90100</v>
      </c>
      <c r="G1076" s="149">
        <v>53610</v>
      </c>
      <c r="H1076" s="150" t="str">
        <f t="shared" si="48"/>
        <v>5</v>
      </c>
      <c r="I1076" s="150" t="str">
        <f t="shared" si="49"/>
        <v>53</v>
      </c>
      <c r="J1076" s="150" t="str">
        <f t="shared" si="50"/>
        <v>536</v>
      </c>
      <c r="K1076" s="150" t="s">
        <v>9049</v>
      </c>
      <c r="L1076" s="149" t="s">
        <v>1688</v>
      </c>
      <c r="M1076" s="151">
        <v>394.03</v>
      </c>
    </row>
    <row r="1077" spans="1:13" s="149" customFormat="1" x14ac:dyDescent="0.25">
      <c r="A1077" s="149" t="s">
        <v>7639</v>
      </c>
      <c r="B1077" s="149" t="s">
        <v>1915</v>
      </c>
      <c r="C1077" s="149">
        <v>11</v>
      </c>
      <c r="D1077" s="149">
        <v>330</v>
      </c>
      <c r="E1077" s="149">
        <v>1</v>
      </c>
      <c r="F1077" s="149">
        <v>90100</v>
      </c>
      <c r="G1077" s="149">
        <v>55630</v>
      </c>
      <c r="H1077" s="150" t="str">
        <f t="shared" si="48"/>
        <v>5</v>
      </c>
      <c r="I1077" s="150" t="str">
        <f t="shared" si="49"/>
        <v>55</v>
      </c>
      <c r="J1077" s="150" t="str">
        <f t="shared" si="50"/>
        <v>556</v>
      </c>
      <c r="K1077" s="150" t="s">
        <v>8229</v>
      </c>
      <c r="L1077" s="149" t="s">
        <v>1696</v>
      </c>
      <c r="M1077" s="151">
        <v>9.3000000000000007</v>
      </c>
    </row>
    <row r="1078" spans="1:13" s="149" customFormat="1" x14ac:dyDescent="0.25">
      <c r="A1078" s="149" t="s">
        <v>7639</v>
      </c>
      <c r="B1078" s="149" t="s">
        <v>1916</v>
      </c>
      <c r="C1078" s="149">
        <v>11</v>
      </c>
      <c r="D1078" s="149">
        <v>335</v>
      </c>
      <c r="E1078" s="149">
        <v>0</v>
      </c>
      <c r="F1078" s="149">
        <v>120300</v>
      </c>
      <c r="G1078" s="149">
        <v>51100</v>
      </c>
      <c r="H1078" s="150" t="str">
        <f t="shared" si="48"/>
        <v>5</v>
      </c>
      <c r="I1078" s="150" t="str">
        <f t="shared" si="49"/>
        <v>51</v>
      </c>
      <c r="J1078" s="150" t="str">
        <f t="shared" si="50"/>
        <v>511</v>
      </c>
      <c r="K1078" s="150" t="s">
        <v>9050</v>
      </c>
      <c r="L1078" s="149" t="s">
        <v>1917</v>
      </c>
      <c r="M1078" s="151">
        <v>652791.5</v>
      </c>
    </row>
    <row r="1079" spans="1:13" s="149" customFormat="1" x14ac:dyDescent="0.25">
      <c r="A1079" s="149" t="s">
        <v>7639</v>
      </c>
      <c r="B1079" s="149" t="s">
        <v>1918</v>
      </c>
      <c r="C1079" s="149">
        <v>11</v>
      </c>
      <c r="D1079" s="149">
        <v>335</v>
      </c>
      <c r="E1079" s="149">
        <v>0</v>
      </c>
      <c r="F1079" s="149">
        <v>120300</v>
      </c>
      <c r="G1079" s="149">
        <v>51310</v>
      </c>
      <c r="H1079" s="150" t="str">
        <f t="shared" si="48"/>
        <v>5</v>
      </c>
      <c r="I1079" s="150" t="str">
        <f t="shared" si="49"/>
        <v>51</v>
      </c>
      <c r="J1079" s="150" t="str">
        <f t="shared" si="50"/>
        <v>513</v>
      </c>
      <c r="K1079" s="150" t="s">
        <v>7671</v>
      </c>
      <c r="L1079" s="149" t="s">
        <v>1919</v>
      </c>
      <c r="M1079" s="151">
        <v>19123</v>
      </c>
    </row>
    <row r="1080" spans="1:13" s="149" customFormat="1" x14ac:dyDescent="0.25">
      <c r="A1080" s="149" t="s">
        <v>7639</v>
      </c>
      <c r="B1080" s="149" t="s">
        <v>1920</v>
      </c>
      <c r="C1080" s="149">
        <v>11</v>
      </c>
      <c r="D1080" s="149">
        <v>335</v>
      </c>
      <c r="E1080" s="149">
        <v>0</v>
      </c>
      <c r="F1080" s="149">
        <v>120300</v>
      </c>
      <c r="G1080" s="149">
        <v>51311</v>
      </c>
      <c r="H1080" s="150" t="str">
        <f t="shared" si="48"/>
        <v>5</v>
      </c>
      <c r="I1080" s="150" t="str">
        <f t="shared" si="49"/>
        <v>51</v>
      </c>
      <c r="J1080" s="150" t="str">
        <f t="shared" si="50"/>
        <v>513</v>
      </c>
      <c r="K1080" s="150" t="s">
        <v>7748</v>
      </c>
      <c r="L1080" s="149" t="s">
        <v>1921</v>
      </c>
      <c r="M1080" s="151">
        <v>142438</v>
      </c>
    </row>
    <row r="1081" spans="1:13" s="149" customFormat="1" x14ac:dyDescent="0.25">
      <c r="A1081" s="149" t="s">
        <v>7639</v>
      </c>
      <c r="B1081" s="149" t="s">
        <v>1922</v>
      </c>
      <c r="C1081" s="149">
        <v>11</v>
      </c>
      <c r="D1081" s="149">
        <v>335</v>
      </c>
      <c r="E1081" s="149">
        <v>0</v>
      </c>
      <c r="F1081" s="149">
        <v>120300</v>
      </c>
      <c r="G1081" s="149">
        <v>51412</v>
      </c>
      <c r="H1081" s="150" t="str">
        <f t="shared" si="48"/>
        <v>5</v>
      </c>
      <c r="I1081" s="150" t="str">
        <f t="shared" si="49"/>
        <v>51</v>
      </c>
      <c r="J1081" s="150" t="str">
        <f t="shared" si="50"/>
        <v>514</v>
      </c>
      <c r="K1081" s="150" t="s">
        <v>7793</v>
      </c>
      <c r="L1081" s="149" t="s">
        <v>1923</v>
      </c>
      <c r="M1081" s="151">
        <v>1800</v>
      </c>
    </row>
    <row r="1082" spans="1:13" s="149" customFormat="1" x14ac:dyDescent="0.25">
      <c r="A1082" s="149" t="s">
        <v>7639</v>
      </c>
      <c r="B1082" s="149" t="s">
        <v>1924</v>
      </c>
      <c r="C1082" s="149">
        <v>11</v>
      </c>
      <c r="D1082" s="149">
        <v>335</v>
      </c>
      <c r="E1082" s="149">
        <v>0</v>
      </c>
      <c r="F1082" s="149">
        <v>120300</v>
      </c>
      <c r="G1082" s="149">
        <v>52360</v>
      </c>
      <c r="H1082" s="150" t="str">
        <f t="shared" si="48"/>
        <v>5</v>
      </c>
      <c r="I1082" s="150" t="str">
        <f t="shared" si="49"/>
        <v>52</v>
      </c>
      <c r="J1082" s="150" t="str">
        <f t="shared" si="50"/>
        <v>523</v>
      </c>
      <c r="K1082" s="150" t="s">
        <v>7871</v>
      </c>
      <c r="L1082" s="149" t="s">
        <v>1925</v>
      </c>
      <c r="M1082" s="151">
        <v>2687</v>
      </c>
    </row>
    <row r="1083" spans="1:13" s="149" customFormat="1" x14ac:dyDescent="0.25">
      <c r="A1083" s="149" t="s">
        <v>7639</v>
      </c>
      <c r="B1083" s="149" t="s">
        <v>1926</v>
      </c>
      <c r="C1083" s="149">
        <v>11</v>
      </c>
      <c r="D1083" s="149">
        <v>335</v>
      </c>
      <c r="E1083" s="149">
        <v>0</v>
      </c>
      <c r="F1083" s="149">
        <v>120300</v>
      </c>
      <c r="G1083" s="149">
        <v>53110</v>
      </c>
      <c r="H1083" s="150" t="str">
        <f t="shared" si="48"/>
        <v>5</v>
      </c>
      <c r="I1083" s="150" t="str">
        <f t="shared" si="49"/>
        <v>53</v>
      </c>
      <c r="J1083" s="150" t="str">
        <f t="shared" si="50"/>
        <v>531</v>
      </c>
      <c r="K1083" s="150" t="s">
        <v>9051</v>
      </c>
      <c r="L1083" s="149" t="s">
        <v>1927</v>
      </c>
      <c r="M1083" s="151">
        <v>131931.69</v>
      </c>
    </row>
    <row r="1084" spans="1:13" s="149" customFormat="1" x14ac:dyDescent="0.25">
      <c r="A1084" s="149" t="s">
        <v>7639</v>
      </c>
      <c r="B1084" s="149" t="s">
        <v>1928</v>
      </c>
      <c r="C1084" s="149">
        <v>11</v>
      </c>
      <c r="D1084" s="149">
        <v>335</v>
      </c>
      <c r="E1084" s="149">
        <v>0</v>
      </c>
      <c r="F1084" s="149">
        <v>120300</v>
      </c>
      <c r="G1084" s="149">
        <v>53120</v>
      </c>
      <c r="H1084" s="150" t="str">
        <f t="shared" si="48"/>
        <v>5</v>
      </c>
      <c r="I1084" s="150" t="str">
        <f t="shared" si="49"/>
        <v>53</v>
      </c>
      <c r="J1084" s="150" t="str">
        <f t="shared" si="50"/>
        <v>531</v>
      </c>
      <c r="K1084" s="150" t="s">
        <v>9052</v>
      </c>
      <c r="L1084" s="149" t="s">
        <v>1929</v>
      </c>
      <c r="M1084" s="151">
        <v>310.89</v>
      </c>
    </row>
    <row r="1085" spans="1:13" s="149" customFormat="1" x14ac:dyDescent="0.25">
      <c r="A1085" s="149" t="s">
        <v>7639</v>
      </c>
      <c r="B1085" s="149" t="s">
        <v>1930</v>
      </c>
      <c r="C1085" s="149">
        <v>11</v>
      </c>
      <c r="D1085" s="149">
        <v>335</v>
      </c>
      <c r="E1085" s="149">
        <v>0</v>
      </c>
      <c r="F1085" s="149">
        <v>120300</v>
      </c>
      <c r="G1085" s="149">
        <v>53310</v>
      </c>
      <c r="H1085" s="150" t="str">
        <f t="shared" si="48"/>
        <v>5</v>
      </c>
      <c r="I1085" s="150" t="str">
        <f t="shared" si="49"/>
        <v>53</v>
      </c>
      <c r="J1085" s="150" t="str">
        <f t="shared" si="50"/>
        <v>533</v>
      </c>
      <c r="K1085" s="150" t="s">
        <v>9053</v>
      </c>
      <c r="L1085" s="149" t="s">
        <v>1931</v>
      </c>
      <c r="M1085" s="151">
        <v>0</v>
      </c>
    </row>
    <row r="1086" spans="1:13" s="149" customFormat="1" x14ac:dyDescent="0.25">
      <c r="A1086" s="149" t="s">
        <v>7639</v>
      </c>
      <c r="B1086" s="149" t="s">
        <v>1932</v>
      </c>
      <c r="C1086" s="149">
        <v>11</v>
      </c>
      <c r="D1086" s="149">
        <v>335</v>
      </c>
      <c r="E1086" s="149">
        <v>0</v>
      </c>
      <c r="F1086" s="149">
        <v>120300</v>
      </c>
      <c r="G1086" s="149">
        <v>53320</v>
      </c>
      <c r="H1086" s="150" t="str">
        <f t="shared" si="48"/>
        <v>5</v>
      </c>
      <c r="I1086" s="150" t="str">
        <f t="shared" si="49"/>
        <v>53</v>
      </c>
      <c r="J1086" s="150" t="str">
        <f t="shared" si="50"/>
        <v>533</v>
      </c>
      <c r="K1086" s="150" t="s">
        <v>9054</v>
      </c>
      <c r="L1086" s="149" t="s">
        <v>1933</v>
      </c>
      <c r="M1086" s="151">
        <v>0</v>
      </c>
    </row>
    <row r="1087" spans="1:13" s="149" customFormat="1" x14ac:dyDescent="0.25">
      <c r="A1087" s="149" t="s">
        <v>7639</v>
      </c>
      <c r="B1087" s="149" t="s">
        <v>1934</v>
      </c>
      <c r="C1087" s="149">
        <v>11</v>
      </c>
      <c r="D1087" s="149">
        <v>335</v>
      </c>
      <c r="E1087" s="149">
        <v>0</v>
      </c>
      <c r="F1087" s="149">
        <v>120300</v>
      </c>
      <c r="G1087" s="149">
        <v>53330</v>
      </c>
      <c r="H1087" s="150" t="str">
        <f t="shared" si="48"/>
        <v>5</v>
      </c>
      <c r="I1087" s="150" t="str">
        <f t="shared" si="49"/>
        <v>53</v>
      </c>
      <c r="J1087" s="150" t="str">
        <f t="shared" si="50"/>
        <v>533</v>
      </c>
      <c r="K1087" s="150" t="s">
        <v>9055</v>
      </c>
      <c r="L1087" s="149" t="s">
        <v>1935</v>
      </c>
      <c r="M1087" s="151">
        <v>11845.26</v>
      </c>
    </row>
    <row r="1088" spans="1:13" s="149" customFormat="1" x14ac:dyDescent="0.25">
      <c r="A1088" s="149" t="s">
        <v>7639</v>
      </c>
      <c r="B1088" s="149" t="s">
        <v>1936</v>
      </c>
      <c r="C1088" s="149">
        <v>11</v>
      </c>
      <c r="D1088" s="149">
        <v>335</v>
      </c>
      <c r="E1088" s="149">
        <v>0</v>
      </c>
      <c r="F1088" s="149">
        <v>120300</v>
      </c>
      <c r="G1088" s="149">
        <v>53340</v>
      </c>
      <c r="H1088" s="150" t="str">
        <f t="shared" si="48"/>
        <v>5</v>
      </c>
      <c r="I1088" s="150" t="str">
        <f t="shared" si="49"/>
        <v>53</v>
      </c>
      <c r="J1088" s="150" t="str">
        <f t="shared" si="50"/>
        <v>533</v>
      </c>
      <c r="K1088" s="150" t="s">
        <v>9056</v>
      </c>
      <c r="L1088" s="149" t="s">
        <v>1937</v>
      </c>
      <c r="M1088" s="151">
        <v>27.91</v>
      </c>
    </row>
    <row r="1089" spans="1:13" s="149" customFormat="1" x14ac:dyDescent="0.25">
      <c r="A1089" s="149" t="s">
        <v>7639</v>
      </c>
      <c r="B1089" s="149" t="s">
        <v>1938</v>
      </c>
      <c r="C1089" s="149">
        <v>11</v>
      </c>
      <c r="D1089" s="149">
        <v>335</v>
      </c>
      <c r="E1089" s="149">
        <v>0</v>
      </c>
      <c r="F1089" s="149">
        <v>120300</v>
      </c>
      <c r="G1089" s="149">
        <v>53410</v>
      </c>
      <c r="H1089" s="150" t="str">
        <f t="shared" si="48"/>
        <v>5</v>
      </c>
      <c r="I1089" s="150" t="str">
        <f t="shared" si="49"/>
        <v>53</v>
      </c>
      <c r="J1089" s="150" t="str">
        <f t="shared" si="50"/>
        <v>534</v>
      </c>
      <c r="K1089" s="150" t="s">
        <v>9057</v>
      </c>
      <c r="L1089" s="149" t="s">
        <v>1939</v>
      </c>
      <c r="M1089" s="151">
        <v>146499.35</v>
      </c>
    </row>
    <row r="1090" spans="1:13" s="149" customFormat="1" x14ac:dyDescent="0.25">
      <c r="A1090" s="149" t="s">
        <v>7639</v>
      </c>
      <c r="B1090" s="149" t="s">
        <v>1940</v>
      </c>
      <c r="C1090" s="149">
        <v>11</v>
      </c>
      <c r="D1090" s="149">
        <v>335</v>
      </c>
      <c r="E1090" s="149">
        <v>0</v>
      </c>
      <c r="F1090" s="149">
        <v>120300</v>
      </c>
      <c r="G1090" s="149">
        <v>53420</v>
      </c>
      <c r="H1090" s="150" t="str">
        <f t="shared" si="48"/>
        <v>5</v>
      </c>
      <c r="I1090" s="150" t="str">
        <f t="shared" si="49"/>
        <v>53</v>
      </c>
      <c r="J1090" s="150" t="str">
        <f t="shared" si="50"/>
        <v>534</v>
      </c>
      <c r="K1090" s="150" t="s">
        <v>9058</v>
      </c>
      <c r="L1090" s="149" t="s">
        <v>1941</v>
      </c>
      <c r="M1090" s="151">
        <v>0</v>
      </c>
    </row>
    <row r="1091" spans="1:13" s="149" customFormat="1" x14ac:dyDescent="0.25">
      <c r="A1091" s="149" t="s">
        <v>7639</v>
      </c>
      <c r="B1091" s="149" t="s">
        <v>1942</v>
      </c>
      <c r="C1091" s="149">
        <v>11</v>
      </c>
      <c r="D1091" s="149">
        <v>335</v>
      </c>
      <c r="E1091" s="149">
        <v>0</v>
      </c>
      <c r="F1091" s="149">
        <v>120300</v>
      </c>
      <c r="G1091" s="149">
        <v>53510</v>
      </c>
      <c r="H1091" s="150" t="str">
        <f t="shared" ref="H1091:H1154" si="51">LEFT(G1091,1)</f>
        <v>5</v>
      </c>
      <c r="I1091" s="150" t="str">
        <f t="shared" ref="I1091:I1154" si="52">LEFT(G1091,2)</f>
        <v>53</v>
      </c>
      <c r="J1091" s="150" t="str">
        <f t="shared" ref="J1091:J1154" si="53">LEFT(G1091,3)</f>
        <v>535</v>
      </c>
      <c r="K1091" s="150" t="s">
        <v>9059</v>
      </c>
      <c r="L1091" s="149" t="s">
        <v>1943</v>
      </c>
      <c r="M1091" s="151">
        <v>408.47</v>
      </c>
    </row>
    <row r="1092" spans="1:13" s="149" customFormat="1" x14ac:dyDescent="0.25">
      <c r="A1092" s="149" t="s">
        <v>7639</v>
      </c>
      <c r="B1092" s="149" t="s">
        <v>1944</v>
      </c>
      <c r="C1092" s="149">
        <v>11</v>
      </c>
      <c r="D1092" s="149">
        <v>335</v>
      </c>
      <c r="E1092" s="149">
        <v>0</v>
      </c>
      <c r="F1092" s="149">
        <v>120300</v>
      </c>
      <c r="G1092" s="149">
        <v>53520</v>
      </c>
      <c r="H1092" s="150" t="str">
        <f t="shared" si="51"/>
        <v>5</v>
      </c>
      <c r="I1092" s="150" t="str">
        <f t="shared" si="52"/>
        <v>53</v>
      </c>
      <c r="J1092" s="150" t="str">
        <f t="shared" si="53"/>
        <v>535</v>
      </c>
      <c r="K1092" s="150" t="s">
        <v>9060</v>
      </c>
      <c r="L1092" s="149" t="s">
        <v>1945</v>
      </c>
      <c r="M1092" s="151">
        <v>0.96</v>
      </c>
    </row>
    <row r="1093" spans="1:13" s="149" customFormat="1" x14ac:dyDescent="0.25">
      <c r="A1093" s="149" t="s">
        <v>7639</v>
      </c>
      <c r="B1093" s="149" t="s">
        <v>1946</v>
      </c>
      <c r="C1093" s="149">
        <v>11</v>
      </c>
      <c r="D1093" s="149">
        <v>335</v>
      </c>
      <c r="E1093" s="149">
        <v>0</v>
      </c>
      <c r="F1093" s="149">
        <v>120300</v>
      </c>
      <c r="G1093" s="149">
        <v>53610</v>
      </c>
      <c r="H1093" s="150" t="str">
        <f t="shared" si="51"/>
        <v>5</v>
      </c>
      <c r="I1093" s="150" t="str">
        <f t="shared" si="52"/>
        <v>53</v>
      </c>
      <c r="J1093" s="150" t="str">
        <f t="shared" si="53"/>
        <v>536</v>
      </c>
      <c r="K1093" s="150" t="s">
        <v>9061</v>
      </c>
      <c r="L1093" s="149" t="s">
        <v>1947</v>
      </c>
      <c r="M1093" s="151">
        <v>15446.23</v>
      </c>
    </row>
    <row r="1094" spans="1:13" s="149" customFormat="1" x14ac:dyDescent="0.25">
      <c r="A1094" s="149" t="s">
        <v>7639</v>
      </c>
      <c r="B1094" s="149" t="s">
        <v>1948</v>
      </c>
      <c r="C1094" s="149">
        <v>11</v>
      </c>
      <c r="D1094" s="149">
        <v>335</v>
      </c>
      <c r="E1094" s="149">
        <v>0</v>
      </c>
      <c r="F1094" s="149">
        <v>120300</v>
      </c>
      <c r="G1094" s="149">
        <v>53620</v>
      </c>
      <c r="H1094" s="150" t="str">
        <f t="shared" si="51"/>
        <v>5</v>
      </c>
      <c r="I1094" s="150" t="str">
        <f t="shared" si="52"/>
        <v>53</v>
      </c>
      <c r="J1094" s="150" t="str">
        <f t="shared" si="53"/>
        <v>536</v>
      </c>
      <c r="K1094" s="150" t="s">
        <v>9062</v>
      </c>
      <c r="L1094" s="149" t="s">
        <v>1949</v>
      </c>
      <c r="M1094" s="151">
        <v>36.4</v>
      </c>
    </row>
    <row r="1095" spans="1:13" s="149" customFormat="1" x14ac:dyDescent="0.25">
      <c r="A1095" s="149" t="s">
        <v>7639</v>
      </c>
      <c r="B1095" s="149" t="s">
        <v>1950</v>
      </c>
      <c r="C1095" s="149">
        <v>11</v>
      </c>
      <c r="D1095" s="149">
        <v>335</v>
      </c>
      <c r="E1095" s="149">
        <v>0</v>
      </c>
      <c r="F1095" s="149">
        <v>120300</v>
      </c>
      <c r="G1095" s="149">
        <v>54300</v>
      </c>
      <c r="H1095" s="150" t="str">
        <f t="shared" si="51"/>
        <v>5</v>
      </c>
      <c r="I1095" s="150" t="str">
        <f t="shared" si="52"/>
        <v>54</v>
      </c>
      <c r="J1095" s="150" t="str">
        <f t="shared" si="53"/>
        <v>543</v>
      </c>
      <c r="K1095" s="150" t="s">
        <v>7947</v>
      </c>
      <c r="L1095" s="149" t="s">
        <v>1951</v>
      </c>
      <c r="M1095" s="151">
        <v>2100</v>
      </c>
    </row>
    <row r="1096" spans="1:13" s="149" customFormat="1" x14ac:dyDescent="0.25">
      <c r="A1096" s="149" t="s">
        <v>7639</v>
      </c>
      <c r="B1096" s="149" t="s">
        <v>1952</v>
      </c>
      <c r="C1096" s="149">
        <v>11</v>
      </c>
      <c r="D1096" s="149">
        <v>335</v>
      </c>
      <c r="E1096" s="149">
        <v>0</v>
      </c>
      <c r="F1096" s="149">
        <v>120300</v>
      </c>
      <c r="G1096" s="149">
        <v>55200</v>
      </c>
      <c r="H1096" s="150" t="str">
        <f t="shared" si="51"/>
        <v>5</v>
      </c>
      <c r="I1096" s="150" t="str">
        <f t="shared" si="52"/>
        <v>55</v>
      </c>
      <c r="J1096" s="150" t="str">
        <f t="shared" si="53"/>
        <v>552</v>
      </c>
      <c r="K1096" s="150" t="s">
        <v>8051</v>
      </c>
      <c r="L1096" s="149" t="s">
        <v>1953</v>
      </c>
      <c r="M1096" s="151">
        <v>0</v>
      </c>
    </row>
    <row r="1097" spans="1:13" s="149" customFormat="1" x14ac:dyDescent="0.25">
      <c r="A1097" s="149" t="s">
        <v>7639</v>
      </c>
      <c r="B1097" s="149" t="s">
        <v>1954</v>
      </c>
      <c r="C1097" s="149">
        <v>11</v>
      </c>
      <c r="D1097" s="149">
        <v>335</v>
      </c>
      <c r="E1097" s="149">
        <v>0</v>
      </c>
      <c r="F1097" s="149">
        <v>120300</v>
      </c>
      <c r="G1097" s="149">
        <v>55300</v>
      </c>
      <c r="H1097" s="150" t="str">
        <f t="shared" si="51"/>
        <v>5</v>
      </c>
      <c r="I1097" s="150" t="str">
        <f t="shared" si="52"/>
        <v>55</v>
      </c>
      <c r="J1097" s="150" t="str">
        <f t="shared" si="53"/>
        <v>553</v>
      </c>
      <c r="K1097" s="150" t="s">
        <v>8089</v>
      </c>
      <c r="L1097" s="149" t="s">
        <v>1955</v>
      </c>
      <c r="M1097" s="151">
        <v>12143</v>
      </c>
    </row>
    <row r="1098" spans="1:13" s="149" customFormat="1" x14ac:dyDescent="0.25">
      <c r="A1098" s="149" t="s">
        <v>7639</v>
      </c>
      <c r="B1098" s="149" t="s">
        <v>1956</v>
      </c>
      <c r="C1098" s="149">
        <v>11</v>
      </c>
      <c r="D1098" s="149">
        <v>335</v>
      </c>
      <c r="E1098" s="149">
        <v>0</v>
      </c>
      <c r="F1098" s="149">
        <v>120300</v>
      </c>
      <c r="G1098" s="149">
        <v>55625</v>
      </c>
      <c r="H1098" s="150" t="str">
        <f t="shared" si="51"/>
        <v>5</v>
      </c>
      <c r="I1098" s="150" t="str">
        <f t="shared" si="52"/>
        <v>55</v>
      </c>
      <c r="J1098" s="150" t="str">
        <f t="shared" si="53"/>
        <v>556</v>
      </c>
      <c r="K1098" s="150" t="s">
        <v>8157</v>
      </c>
      <c r="L1098" s="149" t="s">
        <v>1957</v>
      </c>
      <c r="M1098" s="151">
        <v>250</v>
      </c>
    </row>
    <row r="1099" spans="1:13" s="149" customFormat="1" x14ac:dyDescent="0.25">
      <c r="A1099" s="149" t="s">
        <v>7639</v>
      </c>
      <c r="B1099" s="149" t="s">
        <v>1958</v>
      </c>
      <c r="C1099" s="149">
        <v>11</v>
      </c>
      <c r="D1099" s="149">
        <v>335</v>
      </c>
      <c r="E1099" s="149">
        <v>0</v>
      </c>
      <c r="F1099" s="149">
        <v>120300</v>
      </c>
      <c r="G1099" s="149">
        <v>55630</v>
      </c>
      <c r="H1099" s="150" t="str">
        <f t="shared" si="51"/>
        <v>5</v>
      </c>
      <c r="I1099" s="150" t="str">
        <f t="shared" si="52"/>
        <v>55</v>
      </c>
      <c r="J1099" s="150" t="str">
        <f t="shared" si="53"/>
        <v>556</v>
      </c>
      <c r="K1099" s="150" t="s">
        <v>8230</v>
      </c>
      <c r="L1099" s="149" t="s">
        <v>1959</v>
      </c>
      <c r="M1099" s="151">
        <v>900</v>
      </c>
    </row>
    <row r="1100" spans="1:13" s="149" customFormat="1" x14ac:dyDescent="0.25">
      <c r="A1100" s="149" t="s">
        <v>7639</v>
      </c>
      <c r="B1100" s="149" t="s">
        <v>1960</v>
      </c>
      <c r="C1100" s="149">
        <v>11</v>
      </c>
      <c r="D1100" s="149">
        <v>335</v>
      </c>
      <c r="E1100" s="149">
        <v>0</v>
      </c>
      <c r="F1100" s="149">
        <v>120300</v>
      </c>
      <c r="G1100" s="149">
        <v>55650</v>
      </c>
      <c r="H1100" s="150" t="str">
        <f t="shared" si="51"/>
        <v>5</v>
      </c>
      <c r="I1100" s="150" t="str">
        <f t="shared" si="52"/>
        <v>55</v>
      </c>
      <c r="J1100" s="150" t="str">
        <f t="shared" si="53"/>
        <v>556</v>
      </c>
      <c r="K1100" s="150" t="s">
        <v>8301</v>
      </c>
      <c r="L1100" s="149" t="s">
        <v>1961</v>
      </c>
      <c r="M1100" s="151">
        <v>10635</v>
      </c>
    </row>
    <row r="1101" spans="1:13" s="149" customFormat="1" x14ac:dyDescent="0.25">
      <c r="A1101" s="149" t="s">
        <v>7639</v>
      </c>
      <c r="B1101" s="149" t="s">
        <v>1962</v>
      </c>
      <c r="C1101" s="149">
        <v>11</v>
      </c>
      <c r="D1101" s="149">
        <v>335</v>
      </c>
      <c r="E1101" s="149">
        <v>0</v>
      </c>
      <c r="F1101" s="149">
        <v>120320</v>
      </c>
      <c r="G1101" s="149">
        <v>51100</v>
      </c>
      <c r="H1101" s="150" t="str">
        <f t="shared" si="51"/>
        <v>5</v>
      </c>
      <c r="I1101" s="150" t="str">
        <f t="shared" si="52"/>
        <v>51</v>
      </c>
      <c r="J1101" s="150" t="str">
        <f t="shared" si="53"/>
        <v>511</v>
      </c>
      <c r="K1101" s="150" t="s">
        <v>9063</v>
      </c>
      <c r="L1101" s="149" t="s">
        <v>1963</v>
      </c>
      <c r="M1101" s="151">
        <v>174157.5</v>
      </c>
    </row>
    <row r="1102" spans="1:13" s="149" customFormat="1" x14ac:dyDescent="0.25">
      <c r="A1102" s="149" t="s">
        <v>7639</v>
      </c>
      <c r="B1102" s="149" t="s">
        <v>1964</v>
      </c>
      <c r="C1102" s="149">
        <v>11</v>
      </c>
      <c r="D1102" s="149">
        <v>335</v>
      </c>
      <c r="E1102" s="149">
        <v>0</v>
      </c>
      <c r="F1102" s="149">
        <v>120320</v>
      </c>
      <c r="G1102" s="149">
        <v>51310</v>
      </c>
      <c r="H1102" s="150" t="str">
        <f t="shared" si="51"/>
        <v>5</v>
      </c>
      <c r="I1102" s="150" t="str">
        <f t="shared" si="52"/>
        <v>51</v>
      </c>
      <c r="J1102" s="150" t="str">
        <f t="shared" si="53"/>
        <v>513</v>
      </c>
      <c r="K1102" s="150" t="s">
        <v>7672</v>
      </c>
      <c r="L1102" s="149" t="s">
        <v>1965</v>
      </c>
      <c r="M1102" s="151">
        <v>12000</v>
      </c>
    </row>
    <row r="1103" spans="1:13" s="149" customFormat="1" x14ac:dyDescent="0.25">
      <c r="A1103" s="149" t="s">
        <v>7639</v>
      </c>
      <c r="B1103" s="149" t="s">
        <v>1966</v>
      </c>
      <c r="C1103" s="149">
        <v>11</v>
      </c>
      <c r="D1103" s="149">
        <v>335</v>
      </c>
      <c r="E1103" s="149">
        <v>0</v>
      </c>
      <c r="F1103" s="149">
        <v>120320</v>
      </c>
      <c r="G1103" s="149">
        <v>51311</v>
      </c>
      <c r="H1103" s="150" t="str">
        <f t="shared" si="51"/>
        <v>5</v>
      </c>
      <c r="I1103" s="150" t="str">
        <f t="shared" si="52"/>
        <v>51</v>
      </c>
      <c r="J1103" s="150" t="str">
        <f t="shared" si="53"/>
        <v>513</v>
      </c>
      <c r="K1103" s="150" t="s">
        <v>7749</v>
      </c>
      <c r="L1103" s="149" t="s">
        <v>1967</v>
      </c>
      <c r="M1103" s="151">
        <v>95000</v>
      </c>
    </row>
    <row r="1104" spans="1:13" s="149" customFormat="1" x14ac:dyDescent="0.25">
      <c r="A1104" s="149" t="s">
        <v>7639</v>
      </c>
      <c r="B1104" s="149" t="s">
        <v>1968</v>
      </c>
      <c r="C1104" s="149">
        <v>11</v>
      </c>
      <c r="D1104" s="149">
        <v>335</v>
      </c>
      <c r="E1104" s="149">
        <v>0</v>
      </c>
      <c r="F1104" s="149">
        <v>120320</v>
      </c>
      <c r="G1104" s="149">
        <v>53110</v>
      </c>
      <c r="H1104" s="150" t="str">
        <f t="shared" si="51"/>
        <v>5</v>
      </c>
      <c r="I1104" s="150" t="str">
        <f t="shared" si="52"/>
        <v>53</v>
      </c>
      <c r="J1104" s="150" t="str">
        <f t="shared" si="53"/>
        <v>531</v>
      </c>
      <c r="K1104" s="150" t="s">
        <v>9064</v>
      </c>
      <c r="L1104" s="149" t="s">
        <v>1969</v>
      </c>
      <c r="M1104" s="151">
        <v>45406.94</v>
      </c>
    </row>
    <row r="1105" spans="1:13" s="149" customFormat="1" x14ac:dyDescent="0.25">
      <c r="A1105" s="149" t="s">
        <v>7639</v>
      </c>
      <c r="B1105" s="149" t="s">
        <v>1970</v>
      </c>
      <c r="C1105" s="149">
        <v>11</v>
      </c>
      <c r="D1105" s="149">
        <v>335</v>
      </c>
      <c r="E1105" s="149">
        <v>0</v>
      </c>
      <c r="F1105" s="149">
        <v>120320</v>
      </c>
      <c r="G1105" s="149">
        <v>53310</v>
      </c>
      <c r="H1105" s="150" t="str">
        <f t="shared" si="51"/>
        <v>5</v>
      </c>
      <c r="I1105" s="150" t="str">
        <f t="shared" si="52"/>
        <v>53</v>
      </c>
      <c r="J1105" s="150" t="str">
        <f t="shared" si="53"/>
        <v>533</v>
      </c>
      <c r="K1105" s="150" t="s">
        <v>9065</v>
      </c>
      <c r="L1105" s="149" t="s">
        <v>1971</v>
      </c>
      <c r="M1105" s="151">
        <v>0</v>
      </c>
    </row>
    <row r="1106" spans="1:13" s="149" customFormat="1" x14ac:dyDescent="0.25">
      <c r="A1106" s="149" t="s">
        <v>7639</v>
      </c>
      <c r="B1106" s="149" t="s">
        <v>1972</v>
      </c>
      <c r="C1106" s="149">
        <v>11</v>
      </c>
      <c r="D1106" s="149">
        <v>335</v>
      </c>
      <c r="E1106" s="149">
        <v>0</v>
      </c>
      <c r="F1106" s="149">
        <v>120320</v>
      </c>
      <c r="G1106" s="149">
        <v>53330</v>
      </c>
      <c r="H1106" s="150" t="str">
        <f t="shared" si="51"/>
        <v>5</v>
      </c>
      <c r="I1106" s="150" t="str">
        <f t="shared" si="52"/>
        <v>53</v>
      </c>
      <c r="J1106" s="150" t="str">
        <f t="shared" si="53"/>
        <v>533</v>
      </c>
      <c r="K1106" s="150" t="s">
        <v>9066</v>
      </c>
      <c r="L1106" s="149" t="s">
        <v>1973</v>
      </c>
      <c r="M1106" s="151">
        <v>4076.78</v>
      </c>
    </row>
    <row r="1107" spans="1:13" s="149" customFormat="1" x14ac:dyDescent="0.25">
      <c r="A1107" s="149" t="s">
        <v>7639</v>
      </c>
      <c r="B1107" s="149" t="s">
        <v>1974</v>
      </c>
      <c r="C1107" s="149">
        <v>11</v>
      </c>
      <c r="D1107" s="149">
        <v>335</v>
      </c>
      <c r="E1107" s="149">
        <v>0</v>
      </c>
      <c r="F1107" s="149">
        <v>120320</v>
      </c>
      <c r="G1107" s="149">
        <v>53410</v>
      </c>
      <c r="H1107" s="150" t="str">
        <f t="shared" si="51"/>
        <v>5</v>
      </c>
      <c r="I1107" s="150" t="str">
        <f t="shared" si="52"/>
        <v>53</v>
      </c>
      <c r="J1107" s="150" t="str">
        <f t="shared" si="53"/>
        <v>534</v>
      </c>
      <c r="K1107" s="150" t="s">
        <v>9067</v>
      </c>
      <c r="L1107" s="149" t="s">
        <v>1975</v>
      </c>
      <c r="M1107" s="151">
        <v>49682.15</v>
      </c>
    </row>
    <row r="1108" spans="1:13" s="149" customFormat="1" x14ac:dyDescent="0.25">
      <c r="A1108" s="149" t="s">
        <v>7639</v>
      </c>
      <c r="B1108" s="149" t="s">
        <v>1976</v>
      </c>
      <c r="C1108" s="149">
        <v>11</v>
      </c>
      <c r="D1108" s="149">
        <v>335</v>
      </c>
      <c r="E1108" s="149">
        <v>0</v>
      </c>
      <c r="F1108" s="149">
        <v>120320</v>
      </c>
      <c r="G1108" s="149">
        <v>53510</v>
      </c>
      <c r="H1108" s="150" t="str">
        <f t="shared" si="51"/>
        <v>5</v>
      </c>
      <c r="I1108" s="150" t="str">
        <f t="shared" si="52"/>
        <v>53</v>
      </c>
      <c r="J1108" s="150" t="str">
        <f t="shared" si="53"/>
        <v>535</v>
      </c>
      <c r="K1108" s="150" t="s">
        <v>9068</v>
      </c>
      <c r="L1108" s="149" t="s">
        <v>1977</v>
      </c>
      <c r="M1108" s="151">
        <v>140.58000000000001</v>
      </c>
    </row>
    <row r="1109" spans="1:13" s="149" customFormat="1" x14ac:dyDescent="0.25">
      <c r="A1109" s="149" t="s">
        <v>7639</v>
      </c>
      <c r="B1109" s="149" t="s">
        <v>1978</v>
      </c>
      <c r="C1109" s="149">
        <v>11</v>
      </c>
      <c r="D1109" s="149">
        <v>335</v>
      </c>
      <c r="E1109" s="149">
        <v>0</v>
      </c>
      <c r="F1109" s="149">
        <v>120320</v>
      </c>
      <c r="G1109" s="149">
        <v>53610</v>
      </c>
      <c r="H1109" s="150" t="str">
        <f t="shared" si="51"/>
        <v>5</v>
      </c>
      <c r="I1109" s="150" t="str">
        <f t="shared" si="52"/>
        <v>53</v>
      </c>
      <c r="J1109" s="150" t="str">
        <f t="shared" si="53"/>
        <v>536</v>
      </c>
      <c r="K1109" s="150" t="s">
        <v>9069</v>
      </c>
      <c r="L1109" s="149" t="s">
        <v>1979</v>
      </c>
      <c r="M1109" s="151">
        <v>5316.13</v>
      </c>
    </row>
    <row r="1110" spans="1:13" s="149" customFormat="1" x14ac:dyDescent="0.25">
      <c r="A1110" s="149" t="s">
        <v>7639</v>
      </c>
      <c r="B1110" s="149" t="s">
        <v>1980</v>
      </c>
      <c r="C1110" s="149">
        <v>11</v>
      </c>
      <c r="D1110" s="149">
        <v>335</v>
      </c>
      <c r="E1110" s="149">
        <v>0</v>
      </c>
      <c r="F1110" s="149">
        <v>120320</v>
      </c>
      <c r="G1110" s="149">
        <v>55200</v>
      </c>
      <c r="H1110" s="150" t="str">
        <f t="shared" si="51"/>
        <v>5</v>
      </c>
      <c r="I1110" s="150" t="str">
        <f t="shared" si="52"/>
        <v>55</v>
      </c>
      <c r="J1110" s="150" t="str">
        <f t="shared" si="53"/>
        <v>552</v>
      </c>
      <c r="K1110" s="150" t="s">
        <v>8052</v>
      </c>
      <c r="L1110" s="149" t="s">
        <v>1981</v>
      </c>
      <c r="M1110" s="151">
        <v>0</v>
      </c>
    </row>
    <row r="1111" spans="1:13" s="149" customFormat="1" x14ac:dyDescent="0.25">
      <c r="A1111" s="149" t="s">
        <v>7639</v>
      </c>
      <c r="B1111" s="149" t="s">
        <v>1982</v>
      </c>
      <c r="C1111" s="149">
        <v>11</v>
      </c>
      <c r="D1111" s="149">
        <v>335</v>
      </c>
      <c r="E1111" s="149">
        <v>0</v>
      </c>
      <c r="F1111" s="149">
        <v>120320</v>
      </c>
      <c r="G1111" s="149">
        <v>55630</v>
      </c>
      <c r="H1111" s="150" t="str">
        <f t="shared" si="51"/>
        <v>5</v>
      </c>
      <c r="I1111" s="150" t="str">
        <f t="shared" si="52"/>
        <v>55</v>
      </c>
      <c r="J1111" s="150" t="str">
        <f t="shared" si="53"/>
        <v>556</v>
      </c>
      <c r="K1111" s="150" t="s">
        <v>8231</v>
      </c>
      <c r="L1111" s="149" t="s">
        <v>1983</v>
      </c>
      <c r="M1111" s="151">
        <v>40.700000000000003</v>
      </c>
    </row>
    <row r="1112" spans="1:13" s="149" customFormat="1" x14ac:dyDescent="0.25">
      <c r="A1112" s="149" t="s">
        <v>7639</v>
      </c>
      <c r="B1112" s="149" t="s">
        <v>1984</v>
      </c>
      <c r="C1112" s="149">
        <v>11</v>
      </c>
      <c r="D1112" s="149">
        <v>335</v>
      </c>
      <c r="E1112" s="149">
        <v>0</v>
      </c>
      <c r="F1112" s="149">
        <v>120400</v>
      </c>
      <c r="G1112" s="149">
        <v>51100</v>
      </c>
      <c r="H1112" s="150" t="str">
        <f t="shared" si="51"/>
        <v>5</v>
      </c>
      <c r="I1112" s="150" t="str">
        <f t="shared" si="52"/>
        <v>51</v>
      </c>
      <c r="J1112" s="150" t="str">
        <f t="shared" si="53"/>
        <v>511</v>
      </c>
      <c r="K1112" s="150" t="s">
        <v>9070</v>
      </c>
      <c r="L1112" s="149" t="s">
        <v>1985</v>
      </c>
      <c r="M1112" s="151">
        <v>189515.15</v>
      </c>
    </row>
    <row r="1113" spans="1:13" s="149" customFormat="1" x14ac:dyDescent="0.25">
      <c r="A1113" s="149" t="s">
        <v>7639</v>
      </c>
      <c r="B1113" s="149" t="s">
        <v>1986</v>
      </c>
      <c r="C1113" s="149">
        <v>11</v>
      </c>
      <c r="D1113" s="149">
        <v>335</v>
      </c>
      <c r="E1113" s="149">
        <v>0</v>
      </c>
      <c r="F1113" s="149">
        <v>120400</v>
      </c>
      <c r="G1113" s="149">
        <v>51310</v>
      </c>
      <c r="H1113" s="150" t="str">
        <f t="shared" si="51"/>
        <v>5</v>
      </c>
      <c r="I1113" s="150" t="str">
        <f t="shared" si="52"/>
        <v>51</v>
      </c>
      <c r="J1113" s="150" t="str">
        <f t="shared" si="53"/>
        <v>513</v>
      </c>
      <c r="K1113" s="150" t="s">
        <v>7673</v>
      </c>
      <c r="L1113" s="149" t="s">
        <v>1987</v>
      </c>
      <c r="M1113" s="151">
        <v>2520</v>
      </c>
    </row>
    <row r="1114" spans="1:13" s="149" customFormat="1" x14ac:dyDescent="0.25">
      <c r="A1114" s="149" t="s">
        <v>7639</v>
      </c>
      <c r="B1114" s="149" t="s">
        <v>1988</v>
      </c>
      <c r="C1114" s="149">
        <v>11</v>
      </c>
      <c r="D1114" s="149">
        <v>335</v>
      </c>
      <c r="E1114" s="149">
        <v>0</v>
      </c>
      <c r="F1114" s="149">
        <v>120400</v>
      </c>
      <c r="G1114" s="149">
        <v>51311</v>
      </c>
      <c r="H1114" s="150" t="str">
        <f t="shared" si="51"/>
        <v>5</v>
      </c>
      <c r="I1114" s="150" t="str">
        <f t="shared" si="52"/>
        <v>51</v>
      </c>
      <c r="J1114" s="150" t="str">
        <f t="shared" si="53"/>
        <v>513</v>
      </c>
      <c r="K1114" s="150" t="s">
        <v>7750</v>
      </c>
      <c r="L1114" s="149" t="s">
        <v>1989</v>
      </c>
      <c r="M1114" s="151">
        <v>64500</v>
      </c>
    </row>
    <row r="1115" spans="1:13" s="149" customFormat="1" x14ac:dyDescent="0.25">
      <c r="A1115" s="149" t="s">
        <v>7639</v>
      </c>
      <c r="B1115" s="149" t="s">
        <v>1990</v>
      </c>
      <c r="C1115" s="149">
        <v>11</v>
      </c>
      <c r="D1115" s="149">
        <v>335</v>
      </c>
      <c r="E1115" s="149">
        <v>0</v>
      </c>
      <c r="F1115" s="149">
        <v>120400</v>
      </c>
      <c r="G1115" s="149">
        <v>53110</v>
      </c>
      <c r="H1115" s="150" t="str">
        <f t="shared" si="51"/>
        <v>5</v>
      </c>
      <c r="I1115" s="150" t="str">
        <f t="shared" si="52"/>
        <v>53</v>
      </c>
      <c r="J1115" s="150" t="str">
        <f t="shared" si="53"/>
        <v>531</v>
      </c>
      <c r="K1115" s="150" t="s">
        <v>9071</v>
      </c>
      <c r="L1115" s="149" t="s">
        <v>1991</v>
      </c>
      <c r="M1115" s="151">
        <v>41430.43</v>
      </c>
    </row>
    <row r="1116" spans="1:13" s="149" customFormat="1" x14ac:dyDescent="0.25">
      <c r="A1116" s="149" t="s">
        <v>7639</v>
      </c>
      <c r="B1116" s="149" t="s">
        <v>1992</v>
      </c>
      <c r="C1116" s="149">
        <v>11</v>
      </c>
      <c r="D1116" s="149">
        <v>335</v>
      </c>
      <c r="E1116" s="149">
        <v>0</v>
      </c>
      <c r="F1116" s="149">
        <v>120400</v>
      </c>
      <c r="G1116" s="149">
        <v>53310</v>
      </c>
      <c r="H1116" s="150" t="str">
        <f t="shared" si="51"/>
        <v>5</v>
      </c>
      <c r="I1116" s="150" t="str">
        <f t="shared" si="52"/>
        <v>53</v>
      </c>
      <c r="J1116" s="150" t="str">
        <f t="shared" si="53"/>
        <v>533</v>
      </c>
      <c r="K1116" s="150" t="s">
        <v>9072</v>
      </c>
      <c r="L1116" s="149" t="s">
        <v>1993</v>
      </c>
      <c r="M1116" s="151">
        <v>0</v>
      </c>
    </row>
    <row r="1117" spans="1:13" s="149" customFormat="1" x14ac:dyDescent="0.25">
      <c r="A1117" s="149" t="s">
        <v>7639</v>
      </c>
      <c r="B1117" s="149" t="s">
        <v>1994</v>
      </c>
      <c r="C1117" s="149">
        <v>11</v>
      </c>
      <c r="D1117" s="149">
        <v>335</v>
      </c>
      <c r="E1117" s="149">
        <v>0</v>
      </c>
      <c r="F1117" s="149">
        <v>120400</v>
      </c>
      <c r="G1117" s="149">
        <v>53330</v>
      </c>
      <c r="H1117" s="150" t="str">
        <f t="shared" si="51"/>
        <v>5</v>
      </c>
      <c r="I1117" s="150" t="str">
        <f t="shared" si="52"/>
        <v>53</v>
      </c>
      <c r="J1117" s="150" t="str">
        <f t="shared" si="53"/>
        <v>533</v>
      </c>
      <c r="K1117" s="150" t="s">
        <v>9073</v>
      </c>
      <c r="L1117" s="149" t="s">
        <v>1995</v>
      </c>
      <c r="M1117" s="151">
        <v>3719.76</v>
      </c>
    </row>
    <row r="1118" spans="1:13" s="149" customFormat="1" x14ac:dyDescent="0.25">
      <c r="A1118" s="149" t="s">
        <v>7639</v>
      </c>
      <c r="B1118" s="149" t="s">
        <v>1996</v>
      </c>
      <c r="C1118" s="149">
        <v>11</v>
      </c>
      <c r="D1118" s="149">
        <v>335</v>
      </c>
      <c r="E1118" s="149">
        <v>0</v>
      </c>
      <c r="F1118" s="149">
        <v>120400</v>
      </c>
      <c r="G1118" s="149">
        <v>53410</v>
      </c>
      <c r="H1118" s="150" t="str">
        <f t="shared" si="51"/>
        <v>5</v>
      </c>
      <c r="I1118" s="150" t="str">
        <f t="shared" si="52"/>
        <v>53</v>
      </c>
      <c r="J1118" s="150" t="str">
        <f t="shared" si="53"/>
        <v>534</v>
      </c>
      <c r="K1118" s="150" t="s">
        <v>9074</v>
      </c>
      <c r="L1118" s="149" t="s">
        <v>1997</v>
      </c>
      <c r="M1118" s="151">
        <v>42909.22</v>
      </c>
    </row>
    <row r="1119" spans="1:13" s="149" customFormat="1" x14ac:dyDescent="0.25">
      <c r="A1119" s="149" t="s">
        <v>7639</v>
      </c>
      <c r="B1119" s="149" t="s">
        <v>1998</v>
      </c>
      <c r="C1119" s="149">
        <v>11</v>
      </c>
      <c r="D1119" s="149">
        <v>335</v>
      </c>
      <c r="E1119" s="149">
        <v>0</v>
      </c>
      <c r="F1119" s="149">
        <v>120400</v>
      </c>
      <c r="G1119" s="149">
        <v>53510</v>
      </c>
      <c r="H1119" s="150" t="str">
        <f t="shared" si="51"/>
        <v>5</v>
      </c>
      <c r="I1119" s="150" t="str">
        <f t="shared" si="52"/>
        <v>53</v>
      </c>
      <c r="J1119" s="150" t="str">
        <f t="shared" si="53"/>
        <v>535</v>
      </c>
      <c r="K1119" s="150" t="s">
        <v>9075</v>
      </c>
      <c r="L1119" s="149" t="s">
        <v>1999</v>
      </c>
      <c r="M1119" s="151">
        <v>128.27000000000001</v>
      </c>
    </row>
    <row r="1120" spans="1:13" s="149" customFormat="1" x14ac:dyDescent="0.25">
      <c r="A1120" s="149" t="s">
        <v>7639</v>
      </c>
      <c r="B1120" s="149" t="s">
        <v>2000</v>
      </c>
      <c r="C1120" s="149">
        <v>11</v>
      </c>
      <c r="D1120" s="149">
        <v>335</v>
      </c>
      <c r="E1120" s="149">
        <v>0</v>
      </c>
      <c r="F1120" s="149">
        <v>120400</v>
      </c>
      <c r="G1120" s="149">
        <v>53610</v>
      </c>
      <c r="H1120" s="150" t="str">
        <f t="shared" si="51"/>
        <v>5</v>
      </c>
      <c r="I1120" s="150" t="str">
        <f t="shared" si="52"/>
        <v>53</v>
      </c>
      <c r="J1120" s="150" t="str">
        <f t="shared" si="53"/>
        <v>536</v>
      </c>
      <c r="K1120" s="150" t="s">
        <v>9076</v>
      </c>
      <c r="L1120" s="149" t="s">
        <v>2001</v>
      </c>
      <c r="M1120" s="151">
        <v>4850.57</v>
      </c>
    </row>
    <row r="1121" spans="1:13" s="149" customFormat="1" x14ac:dyDescent="0.25">
      <c r="A1121" s="149" t="s">
        <v>7639</v>
      </c>
      <c r="B1121" s="149" t="s">
        <v>2002</v>
      </c>
      <c r="C1121" s="149">
        <v>11</v>
      </c>
      <c r="D1121" s="149">
        <v>335</v>
      </c>
      <c r="E1121" s="149">
        <v>0</v>
      </c>
      <c r="F1121" s="149">
        <v>120400</v>
      </c>
      <c r="G1121" s="149">
        <v>54210</v>
      </c>
      <c r="H1121" s="150" t="str">
        <f t="shared" si="51"/>
        <v>5</v>
      </c>
      <c r="I1121" s="150" t="str">
        <f t="shared" si="52"/>
        <v>54</v>
      </c>
      <c r="J1121" s="150" t="str">
        <f t="shared" si="53"/>
        <v>542</v>
      </c>
      <c r="K1121" s="150" t="s">
        <v>7912</v>
      </c>
      <c r="L1121" s="149" t="s">
        <v>2003</v>
      </c>
      <c r="M1121" s="151">
        <v>0</v>
      </c>
    </row>
    <row r="1122" spans="1:13" s="149" customFormat="1" x14ac:dyDescent="0.25">
      <c r="A1122" s="149" t="s">
        <v>7639</v>
      </c>
      <c r="B1122" s="149" t="s">
        <v>2004</v>
      </c>
      <c r="C1122" s="149">
        <v>11</v>
      </c>
      <c r="D1122" s="149">
        <v>335</v>
      </c>
      <c r="E1122" s="149">
        <v>0</v>
      </c>
      <c r="F1122" s="149">
        <v>120400</v>
      </c>
      <c r="G1122" s="149">
        <v>54300</v>
      </c>
      <c r="H1122" s="150" t="str">
        <f t="shared" si="51"/>
        <v>5</v>
      </c>
      <c r="I1122" s="150" t="str">
        <f t="shared" si="52"/>
        <v>54</v>
      </c>
      <c r="J1122" s="150" t="str">
        <f t="shared" si="53"/>
        <v>543</v>
      </c>
      <c r="K1122" s="150" t="s">
        <v>7948</v>
      </c>
      <c r="L1122" s="149" t="s">
        <v>2005</v>
      </c>
      <c r="M1122" s="151">
        <v>2600</v>
      </c>
    </row>
    <row r="1123" spans="1:13" s="149" customFormat="1" x14ac:dyDescent="0.25">
      <c r="A1123" s="149" t="s">
        <v>7639</v>
      </c>
      <c r="B1123" s="149" t="s">
        <v>2006</v>
      </c>
      <c r="C1123" s="149">
        <v>11</v>
      </c>
      <c r="D1123" s="149">
        <v>335</v>
      </c>
      <c r="E1123" s="149">
        <v>0</v>
      </c>
      <c r="F1123" s="149">
        <v>120400</v>
      </c>
      <c r="G1123" s="149">
        <v>55309</v>
      </c>
      <c r="H1123" s="150" t="str">
        <f t="shared" si="51"/>
        <v>5</v>
      </c>
      <c r="I1123" s="150" t="str">
        <f t="shared" si="52"/>
        <v>55</v>
      </c>
      <c r="J1123" s="150" t="str">
        <f t="shared" si="53"/>
        <v>553</v>
      </c>
      <c r="K1123" s="150" t="s">
        <v>8107</v>
      </c>
      <c r="L1123" s="149" t="s">
        <v>2007</v>
      </c>
      <c r="M1123" s="151">
        <v>4952</v>
      </c>
    </row>
    <row r="1124" spans="1:13" s="149" customFormat="1" x14ac:dyDescent="0.25">
      <c r="A1124" s="149" t="s">
        <v>7639</v>
      </c>
      <c r="B1124" s="149" t="s">
        <v>2008</v>
      </c>
      <c r="C1124" s="149">
        <v>11</v>
      </c>
      <c r="D1124" s="149">
        <v>335</v>
      </c>
      <c r="E1124" s="149">
        <v>0</v>
      </c>
      <c r="F1124" s="149">
        <v>120400</v>
      </c>
      <c r="G1124" s="149">
        <v>55630</v>
      </c>
      <c r="H1124" s="150" t="str">
        <f t="shared" si="51"/>
        <v>5</v>
      </c>
      <c r="I1124" s="150" t="str">
        <f t="shared" si="52"/>
        <v>55</v>
      </c>
      <c r="J1124" s="150" t="str">
        <f t="shared" si="53"/>
        <v>556</v>
      </c>
      <c r="K1124" s="150" t="s">
        <v>8232</v>
      </c>
      <c r="L1124" s="149" t="s">
        <v>2009</v>
      </c>
      <c r="M1124" s="151">
        <v>21.1</v>
      </c>
    </row>
    <row r="1125" spans="1:13" s="149" customFormat="1" x14ac:dyDescent="0.25">
      <c r="A1125" s="149" t="s">
        <v>7639</v>
      </c>
      <c r="B1125" s="149" t="s">
        <v>2010</v>
      </c>
      <c r="C1125" s="149">
        <v>11</v>
      </c>
      <c r="D1125" s="149">
        <v>335</v>
      </c>
      <c r="E1125" s="149">
        <v>0</v>
      </c>
      <c r="F1125" s="149">
        <v>120400</v>
      </c>
      <c r="G1125" s="149">
        <v>55650</v>
      </c>
      <c r="H1125" s="150" t="str">
        <f t="shared" si="51"/>
        <v>5</v>
      </c>
      <c r="I1125" s="150" t="str">
        <f t="shared" si="52"/>
        <v>55</v>
      </c>
      <c r="J1125" s="150" t="str">
        <f t="shared" si="53"/>
        <v>556</v>
      </c>
      <c r="K1125" s="150" t="s">
        <v>8302</v>
      </c>
      <c r="L1125" s="149" t="s">
        <v>2011</v>
      </c>
      <c r="M1125" s="151">
        <v>5000</v>
      </c>
    </row>
    <row r="1126" spans="1:13" s="149" customFormat="1" x14ac:dyDescent="0.25">
      <c r="A1126" s="149" t="s">
        <v>7639</v>
      </c>
      <c r="B1126" s="149" t="s">
        <v>2012</v>
      </c>
      <c r="C1126" s="149">
        <v>11</v>
      </c>
      <c r="D1126" s="149">
        <v>335</v>
      </c>
      <c r="E1126" s="149">
        <v>0</v>
      </c>
      <c r="F1126" s="149">
        <v>125000</v>
      </c>
      <c r="G1126" s="149">
        <v>51310</v>
      </c>
      <c r="H1126" s="150" t="str">
        <f t="shared" si="51"/>
        <v>5</v>
      </c>
      <c r="I1126" s="150" t="str">
        <f t="shared" si="52"/>
        <v>51</v>
      </c>
      <c r="J1126" s="150" t="str">
        <f t="shared" si="53"/>
        <v>513</v>
      </c>
      <c r="K1126" s="150" t="s">
        <v>7674</v>
      </c>
      <c r="L1126" s="149" t="s">
        <v>2013</v>
      </c>
      <c r="M1126" s="151">
        <v>0</v>
      </c>
    </row>
    <row r="1127" spans="1:13" s="149" customFormat="1" x14ac:dyDescent="0.25">
      <c r="A1127" s="149" t="s">
        <v>7639</v>
      </c>
      <c r="B1127" s="149" t="s">
        <v>2014</v>
      </c>
      <c r="C1127" s="149">
        <v>11</v>
      </c>
      <c r="D1127" s="149">
        <v>335</v>
      </c>
      <c r="E1127" s="149">
        <v>0</v>
      </c>
      <c r="F1127" s="149">
        <v>125000</v>
      </c>
      <c r="G1127" s="149">
        <v>51311</v>
      </c>
      <c r="H1127" s="150" t="str">
        <f t="shared" si="51"/>
        <v>5</v>
      </c>
      <c r="I1127" s="150" t="str">
        <f t="shared" si="52"/>
        <v>51</v>
      </c>
      <c r="J1127" s="150" t="str">
        <f t="shared" si="53"/>
        <v>513</v>
      </c>
      <c r="K1127" s="150" t="s">
        <v>7751</v>
      </c>
      <c r="L1127" s="149" t="s">
        <v>2015</v>
      </c>
      <c r="M1127" s="151">
        <v>13000</v>
      </c>
    </row>
    <row r="1128" spans="1:13" s="149" customFormat="1" x14ac:dyDescent="0.25">
      <c r="A1128" s="149" t="s">
        <v>7639</v>
      </c>
      <c r="B1128" s="149" t="s">
        <v>2016</v>
      </c>
      <c r="C1128" s="149">
        <v>11</v>
      </c>
      <c r="D1128" s="149">
        <v>335</v>
      </c>
      <c r="E1128" s="149">
        <v>0</v>
      </c>
      <c r="F1128" s="149">
        <v>125000</v>
      </c>
      <c r="G1128" s="149">
        <v>52400</v>
      </c>
      <c r="H1128" s="150" t="str">
        <f t="shared" si="51"/>
        <v>5</v>
      </c>
      <c r="I1128" s="150" t="str">
        <f t="shared" si="52"/>
        <v>52</v>
      </c>
      <c r="J1128" s="150" t="str">
        <f t="shared" si="53"/>
        <v>524</v>
      </c>
      <c r="K1128" s="150" t="s">
        <v>7890</v>
      </c>
      <c r="L1128" s="149" t="s">
        <v>2017</v>
      </c>
      <c r="M1128" s="151">
        <v>34500</v>
      </c>
    </row>
    <row r="1129" spans="1:13" s="149" customFormat="1" x14ac:dyDescent="0.25">
      <c r="A1129" s="149" t="s">
        <v>7639</v>
      </c>
      <c r="B1129" s="149" t="s">
        <v>2018</v>
      </c>
      <c r="C1129" s="149">
        <v>11</v>
      </c>
      <c r="D1129" s="149">
        <v>335</v>
      </c>
      <c r="E1129" s="149">
        <v>0</v>
      </c>
      <c r="F1129" s="149">
        <v>125000</v>
      </c>
      <c r="G1129" s="149">
        <v>53110</v>
      </c>
      <c r="H1129" s="150" t="str">
        <f t="shared" si="51"/>
        <v>5</v>
      </c>
      <c r="I1129" s="150" t="str">
        <f t="shared" si="52"/>
        <v>53</v>
      </c>
      <c r="J1129" s="150" t="str">
        <f t="shared" si="53"/>
        <v>531</v>
      </c>
      <c r="K1129" s="150" t="s">
        <v>9077</v>
      </c>
      <c r="L1129" s="149" t="s">
        <v>2019</v>
      </c>
      <c r="M1129" s="151">
        <v>2099.5</v>
      </c>
    </row>
    <row r="1130" spans="1:13" s="149" customFormat="1" x14ac:dyDescent="0.25">
      <c r="A1130" s="149" t="s">
        <v>7639</v>
      </c>
      <c r="B1130" s="149" t="s">
        <v>2020</v>
      </c>
      <c r="C1130" s="149">
        <v>11</v>
      </c>
      <c r="D1130" s="149">
        <v>335</v>
      </c>
      <c r="E1130" s="149">
        <v>0</v>
      </c>
      <c r="F1130" s="149">
        <v>125000</v>
      </c>
      <c r="G1130" s="149">
        <v>53310</v>
      </c>
      <c r="H1130" s="150" t="str">
        <f t="shared" si="51"/>
        <v>5</v>
      </c>
      <c r="I1130" s="150" t="str">
        <f t="shared" si="52"/>
        <v>53</v>
      </c>
      <c r="J1130" s="150" t="str">
        <f t="shared" si="53"/>
        <v>533</v>
      </c>
      <c r="K1130" s="150" t="s">
        <v>9078</v>
      </c>
      <c r="L1130" s="149" t="s">
        <v>2021</v>
      </c>
      <c r="M1130" s="151">
        <v>2139</v>
      </c>
    </row>
    <row r="1131" spans="1:13" s="149" customFormat="1" x14ac:dyDescent="0.25">
      <c r="A1131" s="149" t="s">
        <v>7639</v>
      </c>
      <c r="B1131" s="149" t="s">
        <v>2022</v>
      </c>
      <c r="C1131" s="149">
        <v>11</v>
      </c>
      <c r="D1131" s="149">
        <v>335</v>
      </c>
      <c r="E1131" s="149">
        <v>0</v>
      </c>
      <c r="F1131" s="149">
        <v>125000</v>
      </c>
      <c r="G1131" s="149">
        <v>53330</v>
      </c>
      <c r="H1131" s="150" t="str">
        <f t="shared" si="51"/>
        <v>5</v>
      </c>
      <c r="I1131" s="150" t="str">
        <f t="shared" si="52"/>
        <v>53</v>
      </c>
      <c r="J1131" s="150" t="str">
        <f t="shared" si="53"/>
        <v>533</v>
      </c>
      <c r="K1131" s="150" t="s">
        <v>9079</v>
      </c>
      <c r="L1131" s="149" t="s">
        <v>2023</v>
      </c>
      <c r="M1131" s="151">
        <v>688.75</v>
      </c>
    </row>
    <row r="1132" spans="1:13" s="149" customFormat="1" x14ac:dyDescent="0.25">
      <c r="A1132" s="149" t="s">
        <v>7639</v>
      </c>
      <c r="B1132" s="149" t="s">
        <v>2024</v>
      </c>
      <c r="C1132" s="149">
        <v>11</v>
      </c>
      <c r="D1132" s="149">
        <v>335</v>
      </c>
      <c r="E1132" s="149">
        <v>0</v>
      </c>
      <c r="F1132" s="149">
        <v>125000</v>
      </c>
      <c r="G1132" s="149">
        <v>53410</v>
      </c>
      <c r="H1132" s="150" t="str">
        <f t="shared" si="51"/>
        <v>5</v>
      </c>
      <c r="I1132" s="150" t="str">
        <f t="shared" si="52"/>
        <v>53</v>
      </c>
      <c r="J1132" s="150" t="str">
        <f t="shared" si="53"/>
        <v>534</v>
      </c>
      <c r="K1132" s="150" t="s">
        <v>9080</v>
      </c>
      <c r="L1132" s="149" t="s">
        <v>2025</v>
      </c>
      <c r="M1132" s="151">
        <v>0</v>
      </c>
    </row>
    <row r="1133" spans="1:13" s="149" customFormat="1" x14ac:dyDescent="0.25">
      <c r="A1133" s="149" t="s">
        <v>7639</v>
      </c>
      <c r="B1133" s="149" t="s">
        <v>2026</v>
      </c>
      <c r="C1133" s="149">
        <v>11</v>
      </c>
      <c r="D1133" s="149">
        <v>335</v>
      </c>
      <c r="E1133" s="149">
        <v>0</v>
      </c>
      <c r="F1133" s="149">
        <v>125000</v>
      </c>
      <c r="G1133" s="149">
        <v>53510</v>
      </c>
      <c r="H1133" s="150" t="str">
        <f t="shared" si="51"/>
        <v>5</v>
      </c>
      <c r="I1133" s="150" t="str">
        <f t="shared" si="52"/>
        <v>53</v>
      </c>
      <c r="J1133" s="150" t="str">
        <f t="shared" si="53"/>
        <v>535</v>
      </c>
      <c r="K1133" s="150" t="s">
        <v>9081</v>
      </c>
      <c r="L1133" s="149" t="s">
        <v>2027</v>
      </c>
      <c r="M1133" s="151">
        <v>23.75</v>
      </c>
    </row>
    <row r="1134" spans="1:13" s="149" customFormat="1" x14ac:dyDescent="0.25">
      <c r="A1134" s="149" t="s">
        <v>7639</v>
      </c>
      <c r="B1134" s="149" t="s">
        <v>2028</v>
      </c>
      <c r="C1134" s="149">
        <v>11</v>
      </c>
      <c r="D1134" s="149">
        <v>335</v>
      </c>
      <c r="E1134" s="149">
        <v>0</v>
      </c>
      <c r="F1134" s="149">
        <v>125000</v>
      </c>
      <c r="G1134" s="149">
        <v>53610</v>
      </c>
      <c r="H1134" s="150" t="str">
        <f t="shared" si="51"/>
        <v>5</v>
      </c>
      <c r="I1134" s="150" t="str">
        <f t="shared" si="52"/>
        <v>53</v>
      </c>
      <c r="J1134" s="150" t="str">
        <f t="shared" si="53"/>
        <v>536</v>
      </c>
      <c r="K1134" s="150" t="s">
        <v>9082</v>
      </c>
      <c r="L1134" s="149" t="s">
        <v>2029</v>
      </c>
      <c r="M1134" s="151">
        <v>898.13</v>
      </c>
    </row>
    <row r="1135" spans="1:13" s="149" customFormat="1" x14ac:dyDescent="0.25">
      <c r="A1135" s="149" t="s">
        <v>7639</v>
      </c>
      <c r="B1135" s="149" t="s">
        <v>2030</v>
      </c>
      <c r="C1135" s="149">
        <v>11</v>
      </c>
      <c r="D1135" s="149">
        <v>335</v>
      </c>
      <c r="E1135" s="149">
        <v>0</v>
      </c>
      <c r="F1135" s="149">
        <v>125000</v>
      </c>
      <c r="G1135" s="149">
        <v>53910</v>
      </c>
      <c r="H1135" s="150" t="str">
        <f t="shared" si="51"/>
        <v>5</v>
      </c>
      <c r="I1135" s="150" t="str">
        <f t="shared" si="52"/>
        <v>53</v>
      </c>
      <c r="J1135" s="150" t="str">
        <f t="shared" si="53"/>
        <v>539</v>
      </c>
      <c r="K1135" s="150" t="s">
        <v>9083</v>
      </c>
      <c r="L1135" s="149" t="s">
        <v>2031</v>
      </c>
      <c r="M1135" s="151">
        <v>0</v>
      </c>
    </row>
    <row r="1136" spans="1:13" s="149" customFormat="1" x14ac:dyDescent="0.25">
      <c r="A1136" s="149" t="s">
        <v>7639</v>
      </c>
      <c r="B1136" s="149" t="s">
        <v>2032</v>
      </c>
      <c r="C1136" s="149">
        <v>11</v>
      </c>
      <c r="D1136" s="149">
        <v>335</v>
      </c>
      <c r="E1136" s="149">
        <v>0</v>
      </c>
      <c r="F1136" s="149">
        <v>125000</v>
      </c>
      <c r="G1136" s="149">
        <v>54300</v>
      </c>
      <c r="H1136" s="150" t="str">
        <f t="shared" si="51"/>
        <v>5</v>
      </c>
      <c r="I1136" s="150" t="str">
        <f t="shared" si="52"/>
        <v>54</v>
      </c>
      <c r="J1136" s="150" t="str">
        <f t="shared" si="53"/>
        <v>543</v>
      </c>
      <c r="K1136" s="150" t="s">
        <v>7949</v>
      </c>
      <c r="L1136" s="149" t="s">
        <v>2033</v>
      </c>
      <c r="M1136" s="151">
        <v>3000</v>
      </c>
    </row>
    <row r="1137" spans="1:13" s="149" customFormat="1" x14ac:dyDescent="0.25">
      <c r="A1137" s="149" t="s">
        <v>7639</v>
      </c>
      <c r="B1137" s="149" t="s">
        <v>2034</v>
      </c>
      <c r="C1137" s="149">
        <v>11</v>
      </c>
      <c r="D1137" s="149">
        <v>335</v>
      </c>
      <c r="E1137" s="149">
        <v>0</v>
      </c>
      <c r="F1137" s="149">
        <v>125000</v>
      </c>
      <c r="G1137" s="149">
        <v>55630</v>
      </c>
      <c r="H1137" s="150" t="str">
        <f t="shared" si="51"/>
        <v>5</v>
      </c>
      <c r="I1137" s="150" t="str">
        <f t="shared" si="52"/>
        <v>55</v>
      </c>
      <c r="J1137" s="150" t="str">
        <f t="shared" si="53"/>
        <v>556</v>
      </c>
      <c r="K1137" s="150" t="s">
        <v>8233</v>
      </c>
      <c r="L1137" s="149" t="s">
        <v>2035</v>
      </c>
      <c r="M1137" s="151">
        <v>84</v>
      </c>
    </row>
    <row r="1138" spans="1:13" s="149" customFormat="1" x14ac:dyDescent="0.25">
      <c r="A1138" s="149" t="s">
        <v>7639</v>
      </c>
      <c r="B1138" s="149" t="s">
        <v>2036</v>
      </c>
      <c r="C1138" s="149">
        <v>11</v>
      </c>
      <c r="D1138" s="149">
        <v>335</v>
      </c>
      <c r="E1138" s="149">
        <v>0</v>
      </c>
      <c r="F1138" s="149">
        <v>126000</v>
      </c>
      <c r="G1138" s="149">
        <v>51310</v>
      </c>
      <c r="H1138" s="150" t="str">
        <f t="shared" si="51"/>
        <v>5</v>
      </c>
      <c r="I1138" s="150" t="str">
        <f t="shared" si="52"/>
        <v>51</v>
      </c>
      <c r="J1138" s="150" t="str">
        <f t="shared" si="53"/>
        <v>513</v>
      </c>
      <c r="K1138" s="150" t="s">
        <v>7675</v>
      </c>
      <c r="L1138" s="149" t="s">
        <v>2037</v>
      </c>
      <c r="M1138" s="151">
        <v>6000</v>
      </c>
    </row>
    <row r="1139" spans="1:13" s="149" customFormat="1" x14ac:dyDescent="0.25">
      <c r="A1139" s="149" t="s">
        <v>7639</v>
      </c>
      <c r="B1139" s="149" t="s">
        <v>2038</v>
      </c>
      <c r="C1139" s="149">
        <v>11</v>
      </c>
      <c r="D1139" s="149">
        <v>335</v>
      </c>
      <c r="E1139" s="149">
        <v>0</v>
      </c>
      <c r="F1139" s="149">
        <v>126000</v>
      </c>
      <c r="G1139" s="149">
        <v>51311</v>
      </c>
      <c r="H1139" s="150" t="str">
        <f t="shared" si="51"/>
        <v>5</v>
      </c>
      <c r="I1139" s="150" t="str">
        <f t="shared" si="52"/>
        <v>51</v>
      </c>
      <c r="J1139" s="150" t="str">
        <f t="shared" si="53"/>
        <v>513</v>
      </c>
      <c r="K1139" s="150" t="s">
        <v>7752</v>
      </c>
      <c r="L1139" s="149" t="s">
        <v>2039</v>
      </c>
      <c r="M1139" s="151">
        <v>30000</v>
      </c>
    </row>
    <row r="1140" spans="1:13" s="149" customFormat="1" x14ac:dyDescent="0.25">
      <c r="A1140" s="149" t="s">
        <v>7639</v>
      </c>
      <c r="B1140" s="149" t="s">
        <v>2040</v>
      </c>
      <c r="C1140" s="149">
        <v>11</v>
      </c>
      <c r="D1140" s="149">
        <v>335</v>
      </c>
      <c r="E1140" s="149">
        <v>0</v>
      </c>
      <c r="F1140" s="149">
        <v>126000</v>
      </c>
      <c r="G1140" s="149">
        <v>52400</v>
      </c>
      <c r="H1140" s="150" t="str">
        <f t="shared" si="51"/>
        <v>5</v>
      </c>
      <c r="I1140" s="150" t="str">
        <f t="shared" si="52"/>
        <v>52</v>
      </c>
      <c r="J1140" s="150" t="str">
        <f t="shared" si="53"/>
        <v>524</v>
      </c>
      <c r="K1140" s="150" t="s">
        <v>7891</v>
      </c>
      <c r="L1140" s="149" t="s">
        <v>2041</v>
      </c>
      <c r="M1140" s="151">
        <v>1000</v>
      </c>
    </row>
    <row r="1141" spans="1:13" s="149" customFormat="1" x14ac:dyDescent="0.25">
      <c r="A1141" s="149" t="s">
        <v>7639</v>
      </c>
      <c r="B1141" s="149" t="s">
        <v>2042</v>
      </c>
      <c r="C1141" s="149">
        <v>11</v>
      </c>
      <c r="D1141" s="149">
        <v>335</v>
      </c>
      <c r="E1141" s="149">
        <v>0</v>
      </c>
      <c r="F1141" s="149">
        <v>126000</v>
      </c>
      <c r="G1141" s="149">
        <v>53110</v>
      </c>
      <c r="H1141" s="150" t="str">
        <f t="shared" si="51"/>
        <v>5</v>
      </c>
      <c r="I1141" s="150" t="str">
        <f t="shared" si="52"/>
        <v>53</v>
      </c>
      <c r="J1141" s="150" t="str">
        <f t="shared" si="53"/>
        <v>531</v>
      </c>
      <c r="K1141" s="150" t="s">
        <v>9084</v>
      </c>
      <c r="L1141" s="149" t="s">
        <v>2043</v>
      </c>
      <c r="M1141" s="151">
        <v>5814</v>
      </c>
    </row>
    <row r="1142" spans="1:13" s="149" customFormat="1" x14ac:dyDescent="0.25">
      <c r="A1142" s="149" t="s">
        <v>7639</v>
      </c>
      <c r="B1142" s="149" t="s">
        <v>2044</v>
      </c>
      <c r="C1142" s="149">
        <v>11</v>
      </c>
      <c r="D1142" s="149">
        <v>335</v>
      </c>
      <c r="E1142" s="149">
        <v>0</v>
      </c>
      <c r="F1142" s="149">
        <v>126000</v>
      </c>
      <c r="G1142" s="149">
        <v>53310</v>
      </c>
      <c r="H1142" s="150" t="str">
        <f t="shared" si="51"/>
        <v>5</v>
      </c>
      <c r="I1142" s="150" t="str">
        <f t="shared" si="52"/>
        <v>53</v>
      </c>
      <c r="J1142" s="150" t="str">
        <f t="shared" si="53"/>
        <v>533</v>
      </c>
      <c r="K1142" s="150" t="s">
        <v>9085</v>
      </c>
      <c r="L1142" s="149" t="s">
        <v>2045</v>
      </c>
      <c r="M1142" s="151">
        <v>62</v>
      </c>
    </row>
    <row r="1143" spans="1:13" s="149" customFormat="1" x14ac:dyDescent="0.25">
      <c r="A1143" s="149" t="s">
        <v>7639</v>
      </c>
      <c r="B1143" s="149" t="s">
        <v>2046</v>
      </c>
      <c r="C1143" s="149">
        <v>11</v>
      </c>
      <c r="D1143" s="149">
        <v>335</v>
      </c>
      <c r="E1143" s="149">
        <v>0</v>
      </c>
      <c r="F1143" s="149">
        <v>126000</v>
      </c>
      <c r="G1143" s="149">
        <v>53330</v>
      </c>
      <c r="H1143" s="150" t="str">
        <f t="shared" si="51"/>
        <v>5</v>
      </c>
      <c r="I1143" s="150" t="str">
        <f t="shared" si="52"/>
        <v>53</v>
      </c>
      <c r="J1143" s="150" t="str">
        <f t="shared" si="53"/>
        <v>533</v>
      </c>
      <c r="K1143" s="150" t="s">
        <v>9086</v>
      </c>
      <c r="L1143" s="149" t="s">
        <v>2047</v>
      </c>
      <c r="M1143" s="151">
        <v>536.5</v>
      </c>
    </row>
    <row r="1144" spans="1:13" s="149" customFormat="1" x14ac:dyDescent="0.25">
      <c r="A1144" s="149" t="s">
        <v>7639</v>
      </c>
      <c r="B1144" s="149" t="s">
        <v>2048</v>
      </c>
      <c r="C1144" s="149">
        <v>11</v>
      </c>
      <c r="D1144" s="149">
        <v>335</v>
      </c>
      <c r="E1144" s="149">
        <v>0</v>
      </c>
      <c r="F1144" s="149">
        <v>126000</v>
      </c>
      <c r="G1144" s="149">
        <v>53410</v>
      </c>
      <c r="H1144" s="150" t="str">
        <f t="shared" si="51"/>
        <v>5</v>
      </c>
      <c r="I1144" s="150" t="str">
        <f t="shared" si="52"/>
        <v>53</v>
      </c>
      <c r="J1144" s="150" t="str">
        <f t="shared" si="53"/>
        <v>534</v>
      </c>
      <c r="K1144" s="150" t="s">
        <v>9087</v>
      </c>
      <c r="L1144" s="149" t="s">
        <v>2049</v>
      </c>
      <c r="M1144" s="151">
        <v>0</v>
      </c>
    </row>
    <row r="1145" spans="1:13" s="149" customFormat="1" x14ac:dyDescent="0.25">
      <c r="A1145" s="149" t="s">
        <v>7639</v>
      </c>
      <c r="B1145" s="149" t="s">
        <v>2050</v>
      </c>
      <c r="C1145" s="149">
        <v>11</v>
      </c>
      <c r="D1145" s="149">
        <v>335</v>
      </c>
      <c r="E1145" s="149">
        <v>0</v>
      </c>
      <c r="F1145" s="149">
        <v>126000</v>
      </c>
      <c r="G1145" s="149">
        <v>53510</v>
      </c>
      <c r="H1145" s="150" t="str">
        <f t="shared" si="51"/>
        <v>5</v>
      </c>
      <c r="I1145" s="150" t="str">
        <f t="shared" si="52"/>
        <v>53</v>
      </c>
      <c r="J1145" s="150" t="str">
        <f t="shared" si="53"/>
        <v>535</v>
      </c>
      <c r="K1145" s="150" t="s">
        <v>9088</v>
      </c>
      <c r="L1145" s="149" t="s">
        <v>2051</v>
      </c>
      <c r="M1145" s="151">
        <v>18.5</v>
      </c>
    </row>
    <row r="1146" spans="1:13" s="149" customFormat="1" x14ac:dyDescent="0.25">
      <c r="A1146" s="149" t="s">
        <v>7639</v>
      </c>
      <c r="B1146" s="149" t="s">
        <v>2052</v>
      </c>
      <c r="C1146" s="149">
        <v>11</v>
      </c>
      <c r="D1146" s="149">
        <v>335</v>
      </c>
      <c r="E1146" s="149">
        <v>0</v>
      </c>
      <c r="F1146" s="149">
        <v>126000</v>
      </c>
      <c r="G1146" s="149">
        <v>53610</v>
      </c>
      <c r="H1146" s="150" t="str">
        <f t="shared" si="51"/>
        <v>5</v>
      </c>
      <c r="I1146" s="150" t="str">
        <f t="shared" si="52"/>
        <v>53</v>
      </c>
      <c r="J1146" s="150" t="str">
        <f t="shared" si="53"/>
        <v>536</v>
      </c>
      <c r="K1146" s="150" t="s">
        <v>9089</v>
      </c>
      <c r="L1146" s="149" t="s">
        <v>2053</v>
      </c>
      <c r="M1146" s="151">
        <v>699.6</v>
      </c>
    </row>
    <row r="1147" spans="1:13" s="149" customFormat="1" x14ac:dyDescent="0.25">
      <c r="A1147" s="149" t="s">
        <v>7639</v>
      </c>
      <c r="B1147" s="149" t="s">
        <v>2054</v>
      </c>
      <c r="C1147" s="149">
        <v>11</v>
      </c>
      <c r="D1147" s="149">
        <v>335</v>
      </c>
      <c r="E1147" s="149">
        <v>0</v>
      </c>
      <c r="F1147" s="149">
        <v>126000</v>
      </c>
      <c r="G1147" s="149">
        <v>53910</v>
      </c>
      <c r="H1147" s="150" t="str">
        <f t="shared" si="51"/>
        <v>5</v>
      </c>
      <c r="I1147" s="150" t="str">
        <f t="shared" si="52"/>
        <v>53</v>
      </c>
      <c r="J1147" s="150" t="str">
        <f t="shared" si="53"/>
        <v>539</v>
      </c>
      <c r="K1147" s="150" t="s">
        <v>9090</v>
      </c>
      <c r="L1147" s="149" t="s">
        <v>2055</v>
      </c>
      <c r="M1147" s="151">
        <v>0</v>
      </c>
    </row>
    <row r="1148" spans="1:13" s="149" customFormat="1" x14ac:dyDescent="0.25">
      <c r="A1148" s="149" t="s">
        <v>7639</v>
      </c>
      <c r="B1148" s="149" t="s">
        <v>2056</v>
      </c>
      <c r="C1148" s="149">
        <v>11</v>
      </c>
      <c r="D1148" s="149">
        <v>335</v>
      </c>
      <c r="E1148" s="149">
        <v>0</v>
      </c>
      <c r="F1148" s="149">
        <v>126000</v>
      </c>
      <c r="G1148" s="149">
        <v>54300</v>
      </c>
      <c r="H1148" s="150" t="str">
        <f t="shared" si="51"/>
        <v>5</v>
      </c>
      <c r="I1148" s="150" t="str">
        <f t="shared" si="52"/>
        <v>54</v>
      </c>
      <c r="J1148" s="150" t="str">
        <f t="shared" si="53"/>
        <v>543</v>
      </c>
      <c r="K1148" s="150" t="s">
        <v>7950</v>
      </c>
      <c r="L1148" s="149" t="s">
        <v>2057</v>
      </c>
      <c r="M1148" s="151">
        <v>2000</v>
      </c>
    </row>
    <row r="1149" spans="1:13" s="149" customFormat="1" x14ac:dyDescent="0.25">
      <c r="A1149" s="149" t="s">
        <v>7639</v>
      </c>
      <c r="B1149" s="149" t="s">
        <v>2058</v>
      </c>
      <c r="C1149" s="149">
        <v>11</v>
      </c>
      <c r="D1149" s="149">
        <v>335</v>
      </c>
      <c r="E1149" s="149">
        <v>0</v>
      </c>
      <c r="F1149" s="149">
        <v>601000</v>
      </c>
      <c r="G1149" s="149">
        <v>51210</v>
      </c>
      <c r="H1149" s="150" t="str">
        <f t="shared" si="51"/>
        <v>5</v>
      </c>
      <c r="I1149" s="150" t="str">
        <f t="shared" si="52"/>
        <v>51</v>
      </c>
      <c r="J1149" s="150" t="str">
        <f t="shared" si="53"/>
        <v>512</v>
      </c>
      <c r="K1149" s="150" t="s">
        <v>9091</v>
      </c>
      <c r="L1149" s="149" t="s">
        <v>477</v>
      </c>
      <c r="M1149" s="151">
        <v>148907</v>
      </c>
    </row>
    <row r="1150" spans="1:13" s="149" customFormat="1" x14ac:dyDescent="0.25">
      <c r="A1150" s="149" t="s">
        <v>7639</v>
      </c>
      <c r="B1150" s="149" t="s">
        <v>2059</v>
      </c>
      <c r="C1150" s="149">
        <v>11</v>
      </c>
      <c r="D1150" s="149">
        <v>335</v>
      </c>
      <c r="E1150" s="149">
        <v>0</v>
      </c>
      <c r="F1150" s="149">
        <v>601000</v>
      </c>
      <c r="G1150" s="149">
        <v>52105</v>
      </c>
      <c r="H1150" s="150" t="str">
        <f t="shared" si="51"/>
        <v>5</v>
      </c>
      <c r="I1150" s="150" t="str">
        <f t="shared" si="52"/>
        <v>52</v>
      </c>
      <c r="J1150" s="150" t="str">
        <f t="shared" si="53"/>
        <v>521</v>
      </c>
      <c r="K1150" s="150" t="s">
        <v>9092</v>
      </c>
      <c r="L1150" s="149" t="s">
        <v>481</v>
      </c>
      <c r="M1150" s="151">
        <v>107815.39</v>
      </c>
    </row>
    <row r="1151" spans="1:13" s="149" customFormat="1" x14ac:dyDescent="0.25">
      <c r="A1151" s="149" t="s">
        <v>7639</v>
      </c>
      <c r="B1151" s="149" t="s">
        <v>2060</v>
      </c>
      <c r="C1151" s="149">
        <v>11</v>
      </c>
      <c r="D1151" s="149">
        <v>335</v>
      </c>
      <c r="E1151" s="149">
        <v>0</v>
      </c>
      <c r="F1151" s="149">
        <v>601000</v>
      </c>
      <c r="G1151" s="149">
        <v>53120</v>
      </c>
      <c r="H1151" s="150" t="str">
        <f t="shared" si="51"/>
        <v>5</v>
      </c>
      <c r="I1151" s="150" t="str">
        <f t="shared" si="52"/>
        <v>53</v>
      </c>
      <c r="J1151" s="150" t="str">
        <f t="shared" si="53"/>
        <v>531</v>
      </c>
      <c r="K1151" s="150" t="s">
        <v>9093</v>
      </c>
      <c r="L1151" s="149" t="s">
        <v>485</v>
      </c>
      <c r="M1151" s="151">
        <v>24048.48</v>
      </c>
    </row>
    <row r="1152" spans="1:13" s="149" customFormat="1" x14ac:dyDescent="0.25">
      <c r="A1152" s="149" t="s">
        <v>7639</v>
      </c>
      <c r="B1152" s="149" t="s">
        <v>2061</v>
      </c>
      <c r="C1152" s="149">
        <v>11</v>
      </c>
      <c r="D1152" s="149">
        <v>335</v>
      </c>
      <c r="E1152" s="149">
        <v>0</v>
      </c>
      <c r="F1152" s="149">
        <v>601000</v>
      </c>
      <c r="G1152" s="149">
        <v>53220</v>
      </c>
      <c r="H1152" s="150" t="str">
        <f t="shared" si="51"/>
        <v>5</v>
      </c>
      <c r="I1152" s="150" t="str">
        <f t="shared" si="52"/>
        <v>53</v>
      </c>
      <c r="J1152" s="150" t="str">
        <f t="shared" si="53"/>
        <v>532</v>
      </c>
      <c r="K1152" s="150" t="s">
        <v>9094</v>
      </c>
      <c r="L1152" s="149" t="s">
        <v>487</v>
      </c>
      <c r="M1152" s="151">
        <v>22317.78</v>
      </c>
    </row>
    <row r="1153" spans="1:13" s="149" customFormat="1" x14ac:dyDescent="0.25">
      <c r="A1153" s="149" t="s">
        <v>7639</v>
      </c>
      <c r="B1153" s="149" t="s">
        <v>2062</v>
      </c>
      <c r="C1153" s="149">
        <v>11</v>
      </c>
      <c r="D1153" s="149">
        <v>335</v>
      </c>
      <c r="E1153" s="149">
        <v>0</v>
      </c>
      <c r="F1153" s="149">
        <v>601000</v>
      </c>
      <c r="G1153" s="149">
        <v>53320</v>
      </c>
      <c r="H1153" s="150" t="str">
        <f t="shared" si="51"/>
        <v>5</v>
      </c>
      <c r="I1153" s="150" t="str">
        <f t="shared" si="52"/>
        <v>53</v>
      </c>
      <c r="J1153" s="150" t="str">
        <f t="shared" si="53"/>
        <v>533</v>
      </c>
      <c r="K1153" s="150" t="s">
        <v>9095</v>
      </c>
      <c r="L1153" s="149" t="s">
        <v>489</v>
      </c>
      <c r="M1153" s="151">
        <v>6684.55</v>
      </c>
    </row>
    <row r="1154" spans="1:13" s="149" customFormat="1" x14ac:dyDescent="0.25">
      <c r="A1154" s="149" t="s">
        <v>7639</v>
      </c>
      <c r="B1154" s="149" t="s">
        <v>2063</v>
      </c>
      <c r="C1154" s="149">
        <v>11</v>
      </c>
      <c r="D1154" s="149">
        <v>335</v>
      </c>
      <c r="E1154" s="149">
        <v>0</v>
      </c>
      <c r="F1154" s="149">
        <v>601000</v>
      </c>
      <c r="G1154" s="149">
        <v>53340</v>
      </c>
      <c r="H1154" s="150" t="str">
        <f t="shared" si="51"/>
        <v>5</v>
      </c>
      <c r="I1154" s="150" t="str">
        <f t="shared" si="52"/>
        <v>53</v>
      </c>
      <c r="J1154" s="150" t="str">
        <f t="shared" si="53"/>
        <v>533</v>
      </c>
      <c r="K1154" s="150" t="s">
        <v>9096</v>
      </c>
      <c r="L1154" s="149" t="s">
        <v>491</v>
      </c>
      <c r="M1154" s="151">
        <v>3722.47</v>
      </c>
    </row>
    <row r="1155" spans="1:13" s="149" customFormat="1" x14ac:dyDescent="0.25">
      <c r="A1155" s="149" t="s">
        <v>7639</v>
      </c>
      <c r="B1155" s="149" t="s">
        <v>2064</v>
      </c>
      <c r="C1155" s="149">
        <v>11</v>
      </c>
      <c r="D1155" s="149">
        <v>335</v>
      </c>
      <c r="E1155" s="149">
        <v>0</v>
      </c>
      <c r="F1155" s="149">
        <v>601000</v>
      </c>
      <c r="G1155" s="149">
        <v>53420</v>
      </c>
      <c r="H1155" s="150" t="str">
        <f t="shared" ref="H1155:H1218" si="54">LEFT(G1155,1)</f>
        <v>5</v>
      </c>
      <c r="I1155" s="150" t="str">
        <f t="shared" ref="I1155:I1218" si="55">LEFT(G1155,2)</f>
        <v>53</v>
      </c>
      <c r="J1155" s="150" t="str">
        <f t="shared" ref="J1155:J1218" si="56">LEFT(G1155,3)</f>
        <v>534</v>
      </c>
      <c r="K1155" s="150" t="s">
        <v>9097</v>
      </c>
      <c r="L1155" s="149" t="s">
        <v>493</v>
      </c>
      <c r="M1155" s="151">
        <v>54876.63</v>
      </c>
    </row>
    <row r="1156" spans="1:13" s="149" customFormat="1" x14ac:dyDescent="0.25">
      <c r="A1156" s="149" t="s">
        <v>7639</v>
      </c>
      <c r="B1156" s="149" t="s">
        <v>2065</v>
      </c>
      <c r="C1156" s="149">
        <v>11</v>
      </c>
      <c r="D1156" s="149">
        <v>335</v>
      </c>
      <c r="E1156" s="149">
        <v>0</v>
      </c>
      <c r="F1156" s="149">
        <v>601000</v>
      </c>
      <c r="G1156" s="149">
        <v>53520</v>
      </c>
      <c r="H1156" s="150" t="str">
        <f t="shared" si="54"/>
        <v>5</v>
      </c>
      <c r="I1156" s="150" t="str">
        <f t="shared" si="55"/>
        <v>53</v>
      </c>
      <c r="J1156" s="150" t="str">
        <f t="shared" si="56"/>
        <v>535</v>
      </c>
      <c r="K1156" s="150" t="s">
        <v>9098</v>
      </c>
      <c r="L1156" s="149" t="s">
        <v>495</v>
      </c>
      <c r="M1156" s="151">
        <v>128.36000000000001</v>
      </c>
    </row>
    <row r="1157" spans="1:13" s="149" customFormat="1" x14ac:dyDescent="0.25">
      <c r="A1157" s="149" t="s">
        <v>7639</v>
      </c>
      <c r="B1157" s="149" t="s">
        <v>2066</v>
      </c>
      <c r="C1157" s="149">
        <v>11</v>
      </c>
      <c r="D1157" s="149">
        <v>335</v>
      </c>
      <c r="E1157" s="149">
        <v>0</v>
      </c>
      <c r="F1157" s="149">
        <v>601000</v>
      </c>
      <c r="G1157" s="149">
        <v>53620</v>
      </c>
      <c r="H1157" s="150" t="str">
        <f t="shared" si="54"/>
        <v>5</v>
      </c>
      <c r="I1157" s="150" t="str">
        <f t="shared" si="55"/>
        <v>53</v>
      </c>
      <c r="J1157" s="150" t="str">
        <f t="shared" si="56"/>
        <v>536</v>
      </c>
      <c r="K1157" s="150" t="s">
        <v>9099</v>
      </c>
      <c r="L1157" s="149" t="s">
        <v>497</v>
      </c>
      <c r="M1157" s="151">
        <v>4854.1000000000004</v>
      </c>
    </row>
    <row r="1158" spans="1:13" s="149" customFormat="1" x14ac:dyDescent="0.25">
      <c r="A1158" s="149" t="s">
        <v>7639</v>
      </c>
      <c r="B1158" s="149" t="s">
        <v>2067</v>
      </c>
      <c r="C1158" s="149">
        <v>11</v>
      </c>
      <c r="D1158" s="149">
        <v>335</v>
      </c>
      <c r="E1158" s="149">
        <v>0</v>
      </c>
      <c r="F1158" s="149">
        <v>601000</v>
      </c>
      <c r="G1158" s="149">
        <v>53920</v>
      </c>
      <c r="H1158" s="150" t="str">
        <f t="shared" si="54"/>
        <v>5</v>
      </c>
      <c r="I1158" s="150" t="str">
        <f t="shared" si="55"/>
        <v>53</v>
      </c>
      <c r="J1158" s="150" t="str">
        <f t="shared" si="56"/>
        <v>539</v>
      </c>
      <c r="K1158" s="150" t="s">
        <v>9100</v>
      </c>
      <c r="L1158" s="149" t="s">
        <v>499</v>
      </c>
      <c r="M1158" s="151">
        <v>2400</v>
      </c>
    </row>
    <row r="1159" spans="1:13" s="149" customFormat="1" x14ac:dyDescent="0.25">
      <c r="A1159" s="149" t="s">
        <v>7639</v>
      </c>
      <c r="B1159" s="149" t="s">
        <v>2068</v>
      </c>
      <c r="C1159" s="149">
        <v>11</v>
      </c>
      <c r="D1159" s="149">
        <v>335</v>
      </c>
      <c r="E1159" s="149">
        <v>0</v>
      </c>
      <c r="F1159" s="149">
        <v>601000</v>
      </c>
      <c r="G1159" s="149">
        <v>55630</v>
      </c>
      <c r="H1159" s="150" t="str">
        <f t="shared" si="54"/>
        <v>5</v>
      </c>
      <c r="I1159" s="150" t="str">
        <f t="shared" si="55"/>
        <v>55</v>
      </c>
      <c r="J1159" s="150" t="str">
        <f t="shared" si="56"/>
        <v>556</v>
      </c>
      <c r="K1159" s="150" t="s">
        <v>8234</v>
      </c>
      <c r="L1159" s="149" t="s">
        <v>509</v>
      </c>
      <c r="M1159" s="151">
        <v>457.32</v>
      </c>
    </row>
    <row r="1160" spans="1:13" s="149" customFormat="1" x14ac:dyDescent="0.25">
      <c r="A1160" s="149" t="s">
        <v>7639</v>
      </c>
      <c r="B1160" s="149" t="s">
        <v>2069</v>
      </c>
      <c r="C1160" s="149">
        <v>11</v>
      </c>
      <c r="D1160" s="149">
        <v>340</v>
      </c>
      <c r="E1160" s="149">
        <v>0</v>
      </c>
      <c r="F1160" s="149">
        <v>682500</v>
      </c>
      <c r="G1160" s="149">
        <v>51210</v>
      </c>
      <c r="H1160" s="150" t="str">
        <f t="shared" si="54"/>
        <v>5</v>
      </c>
      <c r="I1160" s="150" t="str">
        <f t="shared" si="55"/>
        <v>51</v>
      </c>
      <c r="J1160" s="150" t="str">
        <f t="shared" si="56"/>
        <v>512</v>
      </c>
      <c r="K1160" s="150" t="s">
        <v>9101</v>
      </c>
      <c r="L1160" s="149" t="s">
        <v>2070</v>
      </c>
      <c r="M1160" s="151">
        <v>197859</v>
      </c>
    </row>
    <row r="1161" spans="1:13" s="149" customFormat="1" x14ac:dyDescent="0.25">
      <c r="A1161" s="149" t="s">
        <v>7639</v>
      </c>
      <c r="B1161" s="149" t="s">
        <v>2071</v>
      </c>
      <c r="C1161" s="149">
        <v>11</v>
      </c>
      <c r="D1161" s="149">
        <v>340</v>
      </c>
      <c r="E1161" s="149">
        <v>0</v>
      </c>
      <c r="F1161" s="149">
        <v>682500</v>
      </c>
      <c r="G1161" s="149">
        <v>52360</v>
      </c>
      <c r="H1161" s="150" t="str">
        <f t="shared" si="54"/>
        <v>5</v>
      </c>
      <c r="I1161" s="150" t="str">
        <f t="shared" si="55"/>
        <v>52</v>
      </c>
      <c r="J1161" s="150" t="str">
        <f t="shared" si="56"/>
        <v>523</v>
      </c>
      <c r="K1161" s="150" t="s">
        <v>7872</v>
      </c>
      <c r="L1161" s="149" t="s">
        <v>2072</v>
      </c>
      <c r="M1161" s="151">
        <v>378500</v>
      </c>
    </row>
    <row r="1162" spans="1:13" s="149" customFormat="1" x14ac:dyDescent="0.25">
      <c r="A1162" s="149" t="s">
        <v>7639</v>
      </c>
      <c r="B1162" s="149" t="s">
        <v>2073</v>
      </c>
      <c r="C1162" s="149">
        <v>11</v>
      </c>
      <c r="D1162" s="149">
        <v>340</v>
      </c>
      <c r="E1162" s="149">
        <v>0</v>
      </c>
      <c r="F1162" s="149">
        <v>682500</v>
      </c>
      <c r="G1162" s="149">
        <v>53120</v>
      </c>
      <c r="H1162" s="150" t="str">
        <f t="shared" si="54"/>
        <v>5</v>
      </c>
      <c r="I1162" s="150" t="str">
        <f t="shared" si="55"/>
        <v>53</v>
      </c>
      <c r="J1162" s="150" t="str">
        <f t="shared" si="56"/>
        <v>531</v>
      </c>
      <c r="K1162" s="150" t="s">
        <v>9102</v>
      </c>
      <c r="L1162" s="149" t="s">
        <v>2074</v>
      </c>
      <c r="M1162" s="151">
        <v>31954.23</v>
      </c>
    </row>
    <row r="1163" spans="1:13" s="149" customFormat="1" x14ac:dyDescent="0.25">
      <c r="A1163" s="149" t="s">
        <v>7639</v>
      </c>
      <c r="B1163" s="149" t="s">
        <v>2075</v>
      </c>
      <c r="C1163" s="149">
        <v>11</v>
      </c>
      <c r="D1163" s="149">
        <v>340</v>
      </c>
      <c r="E1163" s="149">
        <v>0</v>
      </c>
      <c r="F1163" s="149">
        <v>682500</v>
      </c>
      <c r="G1163" s="149">
        <v>53220</v>
      </c>
      <c r="H1163" s="150" t="str">
        <f t="shared" si="54"/>
        <v>5</v>
      </c>
      <c r="I1163" s="150" t="str">
        <f t="shared" si="55"/>
        <v>53</v>
      </c>
      <c r="J1163" s="150" t="str">
        <f t="shared" si="56"/>
        <v>532</v>
      </c>
      <c r="K1163" s="150" t="s">
        <v>9103</v>
      </c>
      <c r="L1163" s="149" t="s">
        <v>2076</v>
      </c>
      <c r="M1163" s="151">
        <v>0</v>
      </c>
    </row>
    <row r="1164" spans="1:13" s="149" customFormat="1" x14ac:dyDescent="0.25">
      <c r="A1164" s="149" t="s">
        <v>7639</v>
      </c>
      <c r="B1164" s="149" t="s">
        <v>2077</v>
      </c>
      <c r="C1164" s="149">
        <v>11</v>
      </c>
      <c r="D1164" s="149">
        <v>340</v>
      </c>
      <c r="E1164" s="149">
        <v>0</v>
      </c>
      <c r="F1164" s="149">
        <v>682500</v>
      </c>
      <c r="G1164" s="149">
        <v>53320</v>
      </c>
      <c r="H1164" s="150" t="str">
        <f t="shared" si="54"/>
        <v>5</v>
      </c>
      <c r="I1164" s="150" t="str">
        <f t="shared" si="55"/>
        <v>53</v>
      </c>
      <c r="J1164" s="150" t="str">
        <f t="shared" si="56"/>
        <v>533</v>
      </c>
      <c r="K1164" s="150" t="s">
        <v>9104</v>
      </c>
      <c r="L1164" s="149" t="s">
        <v>2078</v>
      </c>
      <c r="M1164" s="151">
        <v>23467</v>
      </c>
    </row>
    <row r="1165" spans="1:13" s="149" customFormat="1" x14ac:dyDescent="0.25">
      <c r="A1165" s="149" t="s">
        <v>7639</v>
      </c>
      <c r="B1165" s="149" t="s">
        <v>2079</v>
      </c>
      <c r="C1165" s="149">
        <v>11</v>
      </c>
      <c r="D1165" s="149">
        <v>340</v>
      </c>
      <c r="E1165" s="149">
        <v>0</v>
      </c>
      <c r="F1165" s="149">
        <v>682500</v>
      </c>
      <c r="G1165" s="149">
        <v>53340</v>
      </c>
      <c r="H1165" s="150" t="str">
        <f t="shared" si="54"/>
        <v>5</v>
      </c>
      <c r="I1165" s="150" t="str">
        <f t="shared" si="55"/>
        <v>53</v>
      </c>
      <c r="J1165" s="150" t="str">
        <f t="shared" si="56"/>
        <v>533</v>
      </c>
      <c r="K1165" s="150" t="s">
        <v>9105</v>
      </c>
      <c r="L1165" s="149" t="s">
        <v>2080</v>
      </c>
      <c r="M1165" s="151">
        <v>8357.2099999999991</v>
      </c>
    </row>
    <row r="1166" spans="1:13" s="149" customFormat="1" x14ac:dyDescent="0.25">
      <c r="A1166" s="149" t="s">
        <v>7639</v>
      </c>
      <c r="B1166" s="149" t="s">
        <v>2081</v>
      </c>
      <c r="C1166" s="149">
        <v>11</v>
      </c>
      <c r="D1166" s="149">
        <v>340</v>
      </c>
      <c r="E1166" s="149">
        <v>0</v>
      </c>
      <c r="F1166" s="149">
        <v>682500</v>
      </c>
      <c r="G1166" s="149">
        <v>53420</v>
      </c>
      <c r="H1166" s="150" t="str">
        <f t="shared" si="54"/>
        <v>5</v>
      </c>
      <c r="I1166" s="150" t="str">
        <f t="shared" si="55"/>
        <v>53</v>
      </c>
      <c r="J1166" s="150" t="str">
        <f t="shared" si="56"/>
        <v>534</v>
      </c>
      <c r="K1166" s="150" t="s">
        <v>9106</v>
      </c>
      <c r="L1166" s="149" t="s">
        <v>2082</v>
      </c>
      <c r="M1166" s="151">
        <v>42608.57</v>
      </c>
    </row>
    <row r="1167" spans="1:13" s="149" customFormat="1" x14ac:dyDescent="0.25">
      <c r="A1167" s="149" t="s">
        <v>7639</v>
      </c>
      <c r="B1167" s="149" t="s">
        <v>2083</v>
      </c>
      <c r="C1167" s="149">
        <v>11</v>
      </c>
      <c r="D1167" s="149">
        <v>340</v>
      </c>
      <c r="E1167" s="149">
        <v>0</v>
      </c>
      <c r="F1167" s="149">
        <v>682500</v>
      </c>
      <c r="G1167" s="149">
        <v>53520</v>
      </c>
      <c r="H1167" s="150" t="str">
        <f t="shared" si="54"/>
        <v>5</v>
      </c>
      <c r="I1167" s="150" t="str">
        <f t="shared" si="55"/>
        <v>53</v>
      </c>
      <c r="J1167" s="150" t="str">
        <f t="shared" si="56"/>
        <v>535</v>
      </c>
      <c r="K1167" s="150" t="s">
        <v>9107</v>
      </c>
      <c r="L1167" s="149" t="s">
        <v>2084</v>
      </c>
      <c r="M1167" s="151">
        <v>288.18</v>
      </c>
    </row>
    <row r="1168" spans="1:13" s="149" customFormat="1" x14ac:dyDescent="0.25">
      <c r="A1168" s="149" t="s">
        <v>7639</v>
      </c>
      <c r="B1168" s="149" t="s">
        <v>2085</v>
      </c>
      <c r="C1168" s="149">
        <v>11</v>
      </c>
      <c r="D1168" s="149">
        <v>340</v>
      </c>
      <c r="E1168" s="149">
        <v>0</v>
      </c>
      <c r="F1168" s="149">
        <v>682500</v>
      </c>
      <c r="G1168" s="149">
        <v>53620</v>
      </c>
      <c r="H1168" s="150" t="str">
        <f t="shared" si="54"/>
        <v>5</v>
      </c>
      <c r="I1168" s="150" t="str">
        <f t="shared" si="55"/>
        <v>53</v>
      </c>
      <c r="J1168" s="150" t="str">
        <f t="shared" si="56"/>
        <v>536</v>
      </c>
      <c r="K1168" s="150" t="s">
        <v>9108</v>
      </c>
      <c r="L1168" s="149" t="s">
        <v>2086</v>
      </c>
      <c r="M1168" s="151">
        <v>10897.79</v>
      </c>
    </row>
    <row r="1169" spans="1:13" s="149" customFormat="1" x14ac:dyDescent="0.25">
      <c r="A1169" s="149" t="s">
        <v>7639</v>
      </c>
      <c r="B1169" s="149" t="s">
        <v>2087</v>
      </c>
      <c r="C1169" s="149">
        <v>11</v>
      </c>
      <c r="D1169" s="149">
        <v>340</v>
      </c>
      <c r="E1169" s="149">
        <v>0</v>
      </c>
      <c r="F1169" s="149">
        <v>682500</v>
      </c>
      <c r="G1169" s="149">
        <v>53920</v>
      </c>
      <c r="H1169" s="150" t="str">
        <f t="shared" si="54"/>
        <v>5</v>
      </c>
      <c r="I1169" s="150" t="str">
        <f t="shared" si="55"/>
        <v>53</v>
      </c>
      <c r="J1169" s="150" t="str">
        <f t="shared" si="56"/>
        <v>539</v>
      </c>
      <c r="K1169" s="150" t="s">
        <v>9109</v>
      </c>
      <c r="L1169" s="149" t="s">
        <v>2088</v>
      </c>
      <c r="M1169" s="151">
        <v>2400</v>
      </c>
    </row>
    <row r="1170" spans="1:13" s="149" customFormat="1" x14ac:dyDescent="0.25">
      <c r="A1170" s="149" t="s">
        <v>7639</v>
      </c>
      <c r="B1170" s="149" t="s">
        <v>2089</v>
      </c>
      <c r="C1170" s="149">
        <v>11</v>
      </c>
      <c r="D1170" s="149">
        <v>340</v>
      </c>
      <c r="E1170" s="149">
        <v>0</v>
      </c>
      <c r="F1170" s="149">
        <v>682500</v>
      </c>
      <c r="G1170" s="149">
        <v>54300</v>
      </c>
      <c r="H1170" s="150" t="str">
        <f t="shared" si="54"/>
        <v>5</v>
      </c>
      <c r="I1170" s="150" t="str">
        <f t="shared" si="55"/>
        <v>54</v>
      </c>
      <c r="J1170" s="150" t="str">
        <f t="shared" si="56"/>
        <v>543</v>
      </c>
      <c r="K1170" s="150" t="s">
        <v>7951</v>
      </c>
      <c r="L1170" s="149" t="s">
        <v>2090</v>
      </c>
      <c r="M1170" s="151">
        <v>0</v>
      </c>
    </row>
    <row r="1171" spans="1:13" s="149" customFormat="1" x14ac:dyDescent="0.25">
      <c r="A1171" s="149" t="s">
        <v>7639</v>
      </c>
      <c r="B1171" s="149" t="s">
        <v>2091</v>
      </c>
      <c r="C1171" s="149">
        <v>11</v>
      </c>
      <c r="D1171" s="149">
        <v>340</v>
      </c>
      <c r="E1171" s="149">
        <v>0</v>
      </c>
      <c r="F1171" s="149">
        <v>682500</v>
      </c>
      <c r="G1171" s="149">
        <v>54320</v>
      </c>
      <c r="H1171" s="150" t="str">
        <f t="shared" si="54"/>
        <v>5</v>
      </c>
      <c r="I1171" s="150" t="str">
        <f t="shared" si="55"/>
        <v>54</v>
      </c>
      <c r="J1171" s="150" t="str">
        <f t="shared" si="56"/>
        <v>543</v>
      </c>
      <c r="K1171" s="150" t="s">
        <v>7984</v>
      </c>
      <c r="L1171" s="149" t="s">
        <v>2092</v>
      </c>
      <c r="M1171" s="151">
        <v>0</v>
      </c>
    </row>
    <row r="1172" spans="1:13" s="149" customFormat="1" x14ac:dyDescent="0.25">
      <c r="A1172" s="149" t="s">
        <v>7639</v>
      </c>
      <c r="B1172" s="149" t="s">
        <v>2093</v>
      </c>
      <c r="C1172" s="149">
        <v>11</v>
      </c>
      <c r="D1172" s="149">
        <v>340</v>
      </c>
      <c r="E1172" s="149">
        <v>0</v>
      </c>
      <c r="F1172" s="149">
        <v>682500</v>
      </c>
      <c r="G1172" s="149">
        <v>55105</v>
      </c>
      <c r="H1172" s="150" t="str">
        <f t="shared" si="54"/>
        <v>5</v>
      </c>
      <c r="I1172" s="150" t="str">
        <f t="shared" si="55"/>
        <v>55</v>
      </c>
      <c r="J1172" s="150" t="str">
        <f t="shared" si="56"/>
        <v>551</v>
      </c>
      <c r="K1172" s="150" t="s">
        <v>8013</v>
      </c>
      <c r="L1172" s="149" t="s">
        <v>2094</v>
      </c>
      <c r="M1172" s="151">
        <v>28085</v>
      </c>
    </row>
    <row r="1173" spans="1:13" s="149" customFormat="1" x14ac:dyDescent="0.25">
      <c r="A1173" s="149" t="s">
        <v>7639</v>
      </c>
      <c r="B1173" s="149" t="s">
        <v>2095</v>
      </c>
      <c r="C1173" s="149">
        <v>11</v>
      </c>
      <c r="D1173" s="149">
        <v>340</v>
      </c>
      <c r="E1173" s="149">
        <v>0</v>
      </c>
      <c r="F1173" s="149">
        <v>682500</v>
      </c>
      <c r="G1173" s="149">
        <v>55200</v>
      </c>
      <c r="H1173" s="150" t="str">
        <f t="shared" si="54"/>
        <v>5</v>
      </c>
      <c r="I1173" s="150" t="str">
        <f t="shared" si="55"/>
        <v>55</v>
      </c>
      <c r="J1173" s="150" t="str">
        <f t="shared" si="56"/>
        <v>552</v>
      </c>
      <c r="K1173" s="150" t="s">
        <v>8053</v>
      </c>
      <c r="L1173" s="149" t="s">
        <v>2096</v>
      </c>
      <c r="M1173" s="151">
        <v>-1000</v>
      </c>
    </row>
    <row r="1174" spans="1:13" s="149" customFormat="1" x14ac:dyDescent="0.25">
      <c r="A1174" s="149" t="s">
        <v>7639</v>
      </c>
      <c r="B1174" s="149" t="s">
        <v>2097</v>
      </c>
      <c r="C1174" s="149">
        <v>11</v>
      </c>
      <c r="D1174" s="149">
        <v>340</v>
      </c>
      <c r="E1174" s="149">
        <v>0</v>
      </c>
      <c r="F1174" s="149">
        <v>682500</v>
      </c>
      <c r="G1174" s="149">
        <v>55600</v>
      </c>
      <c r="H1174" s="150" t="str">
        <f t="shared" si="54"/>
        <v>5</v>
      </c>
      <c r="I1174" s="150" t="str">
        <f t="shared" si="55"/>
        <v>55</v>
      </c>
      <c r="J1174" s="150" t="str">
        <f t="shared" si="56"/>
        <v>556</v>
      </c>
      <c r="K1174" s="150" t="s">
        <v>8151</v>
      </c>
      <c r="L1174" s="149" t="s">
        <v>2098</v>
      </c>
      <c r="M1174" s="151">
        <v>-20600</v>
      </c>
    </row>
    <row r="1175" spans="1:13" s="149" customFormat="1" x14ac:dyDescent="0.25">
      <c r="A1175" s="149" t="s">
        <v>7639</v>
      </c>
      <c r="B1175" s="149" t="s">
        <v>2099</v>
      </c>
      <c r="C1175" s="149">
        <v>11</v>
      </c>
      <c r="D1175" s="149">
        <v>340</v>
      </c>
      <c r="E1175" s="149">
        <v>0</v>
      </c>
      <c r="F1175" s="149">
        <v>682500</v>
      </c>
      <c r="G1175" s="149">
        <v>55630</v>
      </c>
      <c r="H1175" s="150" t="str">
        <f t="shared" si="54"/>
        <v>5</v>
      </c>
      <c r="I1175" s="150" t="str">
        <f t="shared" si="55"/>
        <v>55</v>
      </c>
      <c r="J1175" s="150" t="str">
        <f t="shared" si="56"/>
        <v>556</v>
      </c>
      <c r="K1175" s="150" t="s">
        <v>8235</v>
      </c>
      <c r="L1175" s="149" t="s">
        <v>2100</v>
      </c>
      <c r="M1175" s="151">
        <v>57.5</v>
      </c>
    </row>
    <row r="1176" spans="1:13" s="149" customFormat="1" x14ac:dyDescent="0.25">
      <c r="A1176" s="149" t="s">
        <v>7639</v>
      </c>
      <c r="B1176" s="149" t="s">
        <v>2101</v>
      </c>
      <c r="C1176" s="149">
        <v>11</v>
      </c>
      <c r="D1176" s="149">
        <v>340</v>
      </c>
      <c r="E1176" s="149">
        <v>0</v>
      </c>
      <c r="F1176" s="149">
        <v>682500</v>
      </c>
      <c r="G1176" s="149">
        <v>55635</v>
      </c>
      <c r="H1176" s="150" t="str">
        <f t="shared" si="54"/>
        <v>5</v>
      </c>
      <c r="I1176" s="150" t="str">
        <f t="shared" si="55"/>
        <v>55</v>
      </c>
      <c r="J1176" s="150" t="str">
        <f t="shared" si="56"/>
        <v>556</v>
      </c>
      <c r="K1176" s="150" t="s">
        <v>8279</v>
      </c>
      <c r="L1176" s="149" t="s">
        <v>2102</v>
      </c>
      <c r="M1176" s="151">
        <v>0</v>
      </c>
    </row>
    <row r="1177" spans="1:13" s="149" customFormat="1" x14ac:dyDescent="0.25">
      <c r="A1177" s="149" t="s">
        <v>7639</v>
      </c>
      <c r="B1177" s="149" t="s">
        <v>2103</v>
      </c>
      <c r="C1177" s="149">
        <v>11</v>
      </c>
      <c r="D1177" s="149">
        <v>340</v>
      </c>
      <c r="E1177" s="149">
        <v>0</v>
      </c>
      <c r="F1177" s="149">
        <v>682500</v>
      </c>
      <c r="G1177" s="149">
        <v>55650</v>
      </c>
      <c r="H1177" s="150" t="str">
        <f t="shared" si="54"/>
        <v>5</v>
      </c>
      <c r="I1177" s="150" t="str">
        <f t="shared" si="55"/>
        <v>55</v>
      </c>
      <c r="J1177" s="150" t="str">
        <f t="shared" si="56"/>
        <v>556</v>
      </c>
      <c r="K1177" s="150" t="s">
        <v>8303</v>
      </c>
      <c r="L1177" s="149" t="s">
        <v>2104</v>
      </c>
      <c r="M1177" s="151">
        <v>0</v>
      </c>
    </row>
    <row r="1178" spans="1:13" s="149" customFormat="1" x14ac:dyDescent="0.25">
      <c r="A1178" s="149" t="s">
        <v>7639</v>
      </c>
      <c r="B1178" s="149" t="s">
        <v>2105</v>
      </c>
      <c r="C1178" s="149">
        <v>11</v>
      </c>
      <c r="D1178" s="149">
        <v>340</v>
      </c>
      <c r="E1178" s="149">
        <v>0</v>
      </c>
      <c r="F1178" s="149">
        <v>682500</v>
      </c>
      <c r="G1178" s="149">
        <v>55651</v>
      </c>
      <c r="H1178" s="150" t="str">
        <f t="shared" si="54"/>
        <v>5</v>
      </c>
      <c r="I1178" s="150" t="str">
        <f t="shared" si="55"/>
        <v>55</v>
      </c>
      <c r="J1178" s="150" t="str">
        <f t="shared" si="56"/>
        <v>556</v>
      </c>
      <c r="K1178" s="150" t="s">
        <v>8320</v>
      </c>
      <c r="L1178" s="149" t="s">
        <v>2106</v>
      </c>
      <c r="M1178" s="151">
        <v>0</v>
      </c>
    </row>
    <row r="1179" spans="1:13" s="149" customFormat="1" x14ac:dyDescent="0.25">
      <c r="A1179" s="149" t="s">
        <v>7639</v>
      </c>
      <c r="B1179" s="149" t="s">
        <v>2107</v>
      </c>
      <c r="C1179" s="149">
        <v>11</v>
      </c>
      <c r="D1179" s="149">
        <v>340</v>
      </c>
      <c r="E1179" s="149">
        <v>0</v>
      </c>
      <c r="F1179" s="149">
        <v>682500</v>
      </c>
      <c r="G1179" s="149">
        <v>55810</v>
      </c>
      <c r="H1179" s="150" t="str">
        <f t="shared" si="54"/>
        <v>5</v>
      </c>
      <c r="I1179" s="150" t="str">
        <f t="shared" si="55"/>
        <v>55</v>
      </c>
      <c r="J1179" s="150" t="str">
        <f t="shared" si="56"/>
        <v>558</v>
      </c>
      <c r="K1179" s="150" t="s">
        <v>8339</v>
      </c>
      <c r="L1179" s="149" t="s">
        <v>2108</v>
      </c>
      <c r="M1179" s="151">
        <v>0</v>
      </c>
    </row>
    <row r="1180" spans="1:13" s="149" customFormat="1" x14ac:dyDescent="0.25">
      <c r="A1180" s="149" t="s">
        <v>7639</v>
      </c>
      <c r="B1180" s="149" t="s">
        <v>2109</v>
      </c>
      <c r="C1180" s="149">
        <v>11</v>
      </c>
      <c r="D1180" s="149">
        <v>340</v>
      </c>
      <c r="E1180" s="149">
        <v>0</v>
      </c>
      <c r="F1180" s="149">
        <v>682500</v>
      </c>
      <c r="G1180" s="149">
        <v>55820</v>
      </c>
      <c r="H1180" s="150" t="str">
        <f t="shared" si="54"/>
        <v>5</v>
      </c>
      <c r="I1180" s="150" t="str">
        <f t="shared" si="55"/>
        <v>55</v>
      </c>
      <c r="J1180" s="150" t="str">
        <f t="shared" si="56"/>
        <v>558</v>
      </c>
      <c r="K1180" s="150" t="s">
        <v>8342</v>
      </c>
      <c r="L1180" s="149" t="s">
        <v>2110</v>
      </c>
      <c r="M1180" s="151">
        <v>0</v>
      </c>
    </row>
    <row r="1181" spans="1:13" s="149" customFormat="1" x14ac:dyDescent="0.25">
      <c r="A1181" s="149" t="s">
        <v>7639</v>
      </c>
      <c r="B1181" s="149" t="s">
        <v>2111</v>
      </c>
      <c r="C1181" s="149">
        <v>11</v>
      </c>
      <c r="D1181" s="149">
        <v>340</v>
      </c>
      <c r="E1181" s="149">
        <v>0</v>
      </c>
      <c r="F1181" s="149">
        <v>682500</v>
      </c>
      <c r="G1181" s="149">
        <v>55830</v>
      </c>
      <c r="H1181" s="150" t="str">
        <f t="shared" si="54"/>
        <v>5</v>
      </c>
      <c r="I1181" s="150" t="str">
        <f t="shared" si="55"/>
        <v>55</v>
      </c>
      <c r="J1181" s="150" t="str">
        <f t="shared" si="56"/>
        <v>558</v>
      </c>
      <c r="K1181" s="150" t="s">
        <v>8350</v>
      </c>
      <c r="L1181" s="149" t="s">
        <v>2112</v>
      </c>
      <c r="M1181" s="151">
        <v>-36500</v>
      </c>
    </row>
    <row r="1182" spans="1:13" s="149" customFormat="1" x14ac:dyDescent="0.25">
      <c r="A1182" s="149" t="s">
        <v>7639</v>
      </c>
      <c r="B1182" s="149" t="s">
        <v>2113</v>
      </c>
      <c r="C1182" s="149">
        <v>11</v>
      </c>
      <c r="D1182" s="149">
        <v>350</v>
      </c>
      <c r="E1182" s="149">
        <v>0</v>
      </c>
      <c r="F1182" s="149">
        <v>50000</v>
      </c>
      <c r="G1182" s="149">
        <v>51100</v>
      </c>
      <c r="H1182" s="150" t="str">
        <f t="shared" si="54"/>
        <v>5</v>
      </c>
      <c r="I1182" s="150" t="str">
        <f t="shared" si="55"/>
        <v>51</v>
      </c>
      <c r="J1182" s="150" t="str">
        <f t="shared" si="56"/>
        <v>511</v>
      </c>
      <c r="K1182" s="150" t="s">
        <v>9110</v>
      </c>
      <c r="L1182" s="149" t="s">
        <v>2114</v>
      </c>
      <c r="M1182" s="151">
        <v>312963</v>
      </c>
    </row>
    <row r="1183" spans="1:13" s="149" customFormat="1" x14ac:dyDescent="0.25">
      <c r="A1183" s="149" t="s">
        <v>7639</v>
      </c>
      <c r="B1183" s="149" t="s">
        <v>2115</v>
      </c>
      <c r="C1183" s="149">
        <v>11</v>
      </c>
      <c r="D1183" s="149">
        <v>350</v>
      </c>
      <c r="E1183" s="149">
        <v>0</v>
      </c>
      <c r="F1183" s="149">
        <v>50000</v>
      </c>
      <c r="G1183" s="149">
        <v>51310</v>
      </c>
      <c r="H1183" s="150" t="str">
        <f t="shared" si="54"/>
        <v>5</v>
      </c>
      <c r="I1183" s="150" t="str">
        <f t="shared" si="55"/>
        <v>51</v>
      </c>
      <c r="J1183" s="150" t="str">
        <f t="shared" si="56"/>
        <v>513</v>
      </c>
      <c r="K1183" s="150" t="s">
        <v>7676</v>
      </c>
      <c r="L1183" s="149" t="s">
        <v>229</v>
      </c>
      <c r="M1183" s="151">
        <v>111716</v>
      </c>
    </row>
    <row r="1184" spans="1:13" s="149" customFormat="1" x14ac:dyDescent="0.25">
      <c r="A1184" s="149" t="s">
        <v>7639</v>
      </c>
      <c r="B1184" s="149" t="s">
        <v>2116</v>
      </c>
      <c r="C1184" s="149">
        <v>11</v>
      </c>
      <c r="D1184" s="149">
        <v>350</v>
      </c>
      <c r="E1184" s="149">
        <v>0</v>
      </c>
      <c r="F1184" s="149">
        <v>50000</v>
      </c>
      <c r="G1184" s="149">
        <v>51311</v>
      </c>
      <c r="H1184" s="150" t="str">
        <f t="shared" si="54"/>
        <v>5</v>
      </c>
      <c r="I1184" s="150" t="str">
        <f t="shared" si="55"/>
        <v>51</v>
      </c>
      <c r="J1184" s="150" t="str">
        <f t="shared" si="56"/>
        <v>513</v>
      </c>
      <c r="K1184" s="150" t="s">
        <v>7753</v>
      </c>
      <c r="L1184" s="149" t="s">
        <v>231</v>
      </c>
      <c r="M1184" s="151">
        <v>101500</v>
      </c>
    </row>
    <row r="1185" spans="1:13" s="149" customFormat="1" x14ac:dyDescent="0.25">
      <c r="A1185" s="149" t="s">
        <v>7639</v>
      </c>
      <c r="B1185" s="149" t="s">
        <v>2117</v>
      </c>
      <c r="C1185" s="149">
        <v>11</v>
      </c>
      <c r="D1185" s="149">
        <v>350</v>
      </c>
      <c r="E1185" s="149">
        <v>0</v>
      </c>
      <c r="F1185" s="149">
        <v>50000</v>
      </c>
      <c r="G1185" s="149">
        <v>53110</v>
      </c>
      <c r="H1185" s="150" t="str">
        <f t="shared" si="54"/>
        <v>5</v>
      </c>
      <c r="I1185" s="150" t="str">
        <f t="shared" si="55"/>
        <v>53</v>
      </c>
      <c r="J1185" s="150" t="str">
        <f t="shared" si="56"/>
        <v>531</v>
      </c>
      <c r="K1185" s="150" t="s">
        <v>9111</v>
      </c>
      <c r="L1185" s="149" t="s">
        <v>233</v>
      </c>
      <c r="M1185" s="151">
        <v>84977.9</v>
      </c>
    </row>
    <row r="1186" spans="1:13" s="149" customFormat="1" x14ac:dyDescent="0.25">
      <c r="A1186" s="149" t="s">
        <v>7639</v>
      </c>
      <c r="B1186" s="149" t="s">
        <v>2118</v>
      </c>
      <c r="C1186" s="149">
        <v>11</v>
      </c>
      <c r="D1186" s="149">
        <v>350</v>
      </c>
      <c r="E1186" s="149">
        <v>0</v>
      </c>
      <c r="F1186" s="149">
        <v>50000</v>
      </c>
      <c r="G1186" s="149">
        <v>53310</v>
      </c>
      <c r="H1186" s="150" t="str">
        <f t="shared" si="54"/>
        <v>5</v>
      </c>
      <c r="I1186" s="150" t="str">
        <f t="shared" si="55"/>
        <v>53</v>
      </c>
      <c r="J1186" s="150" t="str">
        <f t="shared" si="56"/>
        <v>533</v>
      </c>
      <c r="K1186" s="150" t="s">
        <v>9112</v>
      </c>
      <c r="L1186" s="149" t="s">
        <v>1125</v>
      </c>
      <c r="M1186" s="151">
        <v>0</v>
      </c>
    </row>
    <row r="1187" spans="1:13" s="149" customFormat="1" x14ac:dyDescent="0.25">
      <c r="A1187" s="149" t="s">
        <v>7639</v>
      </c>
      <c r="B1187" s="149" t="s">
        <v>2119</v>
      </c>
      <c r="C1187" s="149">
        <v>11</v>
      </c>
      <c r="D1187" s="149">
        <v>350</v>
      </c>
      <c r="E1187" s="149">
        <v>0</v>
      </c>
      <c r="F1187" s="149">
        <v>50000</v>
      </c>
      <c r="G1187" s="149">
        <v>53330</v>
      </c>
      <c r="H1187" s="150" t="str">
        <f t="shared" si="54"/>
        <v>5</v>
      </c>
      <c r="I1187" s="150" t="str">
        <f t="shared" si="55"/>
        <v>53</v>
      </c>
      <c r="J1187" s="150" t="str">
        <f t="shared" si="56"/>
        <v>533</v>
      </c>
      <c r="K1187" s="150" t="s">
        <v>9113</v>
      </c>
      <c r="L1187" s="149" t="s">
        <v>235</v>
      </c>
      <c r="M1187" s="151">
        <v>7629.59</v>
      </c>
    </row>
    <row r="1188" spans="1:13" s="149" customFormat="1" x14ac:dyDescent="0.25">
      <c r="A1188" s="149" t="s">
        <v>7639</v>
      </c>
      <c r="B1188" s="149" t="s">
        <v>2120</v>
      </c>
      <c r="C1188" s="149">
        <v>11</v>
      </c>
      <c r="D1188" s="149">
        <v>350</v>
      </c>
      <c r="E1188" s="149">
        <v>0</v>
      </c>
      <c r="F1188" s="149">
        <v>50000</v>
      </c>
      <c r="G1188" s="149">
        <v>53410</v>
      </c>
      <c r="H1188" s="150" t="str">
        <f t="shared" si="54"/>
        <v>5</v>
      </c>
      <c r="I1188" s="150" t="str">
        <f t="shared" si="55"/>
        <v>53</v>
      </c>
      <c r="J1188" s="150" t="str">
        <f t="shared" si="56"/>
        <v>534</v>
      </c>
      <c r="K1188" s="150" t="s">
        <v>9114</v>
      </c>
      <c r="L1188" s="149" t="s">
        <v>2121</v>
      </c>
      <c r="M1188" s="151">
        <v>49622.43</v>
      </c>
    </row>
    <row r="1189" spans="1:13" s="149" customFormat="1" x14ac:dyDescent="0.25">
      <c r="A1189" s="149" t="s">
        <v>7639</v>
      </c>
      <c r="B1189" s="149" t="s">
        <v>2122</v>
      </c>
      <c r="C1189" s="149">
        <v>11</v>
      </c>
      <c r="D1189" s="149">
        <v>350</v>
      </c>
      <c r="E1189" s="149">
        <v>0</v>
      </c>
      <c r="F1189" s="149">
        <v>50000</v>
      </c>
      <c r="G1189" s="149">
        <v>53510</v>
      </c>
      <c r="H1189" s="150" t="str">
        <f t="shared" si="54"/>
        <v>5</v>
      </c>
      <c r="I1189" s="150" t="str">
        <f t="shared" si="55"/>
        <v>53</v>
      </c>
      <c r="J1189" s="150" t="str">
        <f t="shared" si="56"/>
        <v>535</v>
      </c>
      <c r="K1189" s="150" t="s">
        <v>9115</v>
      </c>
      <c r="L1189" s="149" t="s">
        <v>237</v>
      </c>
      <c r="M1189" s="151">
        <v>263.08999999999997</v>
      </c>
    </row>
    <row r="1190" spans="1:13" s="149" customFormat="1" x14ac:dyDescent="0.25">
      <c r="A1190" s="149" t="s">
        <v>7639</v>
      </c>
      <c r="B1190" s="149" t="s">
        <v>2123</v>
      </c>
      <c r="C1190" s="149">
        <v>11</v>
      </c>
      <c r="D1190" s="149">
        <v>350</v>
      </c>
      <c r="E1190" s="149">
        <v>0</v>
      </c>
      <c r="F1190" s="149">
        <v>50000</v>
      </c>
      <c r="G1190" s="149">
        <v>53610</v>
      </c>
      <c r="H1190" s="150" t="str">
        <f t="shared" si="54"/>
        <v>5</v>
      </c>
      <c r="I1190" s="150" t="str">
        <f t="shared" si="55"/>
        <v>53</v>
      </c>
      <c r="J1190" s="150" t="str">
        <f t="shared" si="56"/>
        <v>536</v>
      </c>
      <c r="K1190" s="150" t="s">
        <v>9116</v>
      </c>
      <c r="L1190" s="149" t="s">
        <v>239</v>
      </c>
      <c r="M1190" s="151">
        <v>9949</v>
      </c>
    </row>
    <row r="1191" spans="1:13" s="149" customFormat="1" x14ac:dyDescent="0.25">
      <c r="A1191" s="149" t="s">
        <v>7639</v>
      </c>
      <c r="B1191" s="149" t="s">
        <v>2124</v>
      </c>
      <c r="C1191" s="149">
        <v>11</v>
      </c>
      <c r="D1191" s="149">
        <v>350</v>
      </c>
      <c r="E1191" s="149">
        <v>0</v>
      </c>
      <c r="F1191" s="149">
        <v>50000</v>
      </c>
      <c r="G1191" s="149">
        <v>53910</v>
      </c>
      <c r="H1191" s="150" t="str">
        <f t="shared" si="54"/>
        <v>5</v>
      </c>
      <c r="I1191" s="150" t="str">
        <f t="shared" si="55"/>
        <v>53</v>
      </c>
      <c r="J1191" s="150" t="str">
        <f t="shared" si="56"/>
        <v>539</v>
      </c>
      <c r="K1191" s="150" t="s">
        <v>9117</v>
      </c>
      <c r="L1191" s="149" t="s">
        <v>2125</v>
      </c>
      <c r="M1191" s="151">
        <v>2400</v>
      </c>
    </row>
    <row r="1192" spans="1:13" s="149" customFormat="1" x14ac:dyDescent="0.25">
      <c r="A1192" s="149" t="s">
        <v>7639</v>
      </c>
      <c r="B1192" s="149" t="s">
        <v>2126</v>
      </c>
      <c r="C1192" s="149">
        <v>11</v>
      </c>
      <c r="D1192" s="149">
        <v>350</v>
      </c>
      <c r="E1192" s="149">
        <v>0</v>
      </c>
      <c r="F1192" s="149">
        <v>50000</v>
      </c>
      <c r="G1192" s="149">
        <v>54300</v>
      </c>
      <c r="H1192" s="150" t="str">
        <f t="shared" si="54"/>
        <v>5</v>
      </c>
      <c r="I1192" s="150" t="str">
        <f t="shared" si="55"/>
        <v>54</v>
      </c>
      <c r="J1192" s="150" t="str">
        <f t="shared" si="56"/>
        <v>543</v>
      </c>
      <c r="K1192" s="150" t="s">
        <v>7952</v>
      </c>
      <c r="L1192" s="149" t="s">
        <v>2127</v>
      </c>
      <c r="M1192" s="151">
        <v>250</v>
      </c>
    </row>
    <row r="1193" spans="1:13" s="149" customFormat="1" x14ac:dyDescent="0.25">
      <c r="A1193" s="149" t="s">
        <v>7639</v>
      </c>
      <c r="B1193" s="149" t="s">
        <v>2128</v>
      </c>
      <c r="C1193" s="149">
        <v>11</v>
      </c>
      <c r="D1193" s="149">
        <v>350</v>
      </c>
      <c r="E1193" s="149">
        <v>0</v>
      </c>
      <c r="F1193" s="149">
        <v>50000</v>
      </c>
      <c r="G1193" s="149">
        <v>55630</v>
      </c>
      <c r="H1193" s="150" t="str">
        <f t="shared" si="54"/>
        <v>5</v>
      </c>
      <c r="I1193" s="150" t="str">
        <f t="shared" si="55"/>
        <v>55</v>
      </c>
      <c r="J1193" s="150" t="str">
        <f t="shared" si="56"/>
        <v>556</v>
      </c>
      <c r="K1193" s="150" t="s">
        <v>8236</v>
      </c>
      <c r="L1193" s="149" t="s">
        <v>2129</v>
      </c>
      <c r="M1193" s="151">
        <v>25</v>
      </c>
    </row>
    <row r="1194" spans="1:13" s="149" customFormat="1" x14ac:dyDescent="0.25">
      <c r="A1194" s="149" t="s">
        <v>7639</v>
      </c>
      <c r="B1194" s="149" t="s">
        <v>2130</v>
      </c>
      <c r="C1194" s="149">
        <v>11</v>
      </c>
      <c r="D1194" s="149">
        <v>350</v>
      </c>
      <c r="E1194" s="149">
        <v>0</v>
      </c>
      <c r="F1194" s="149">
        <v>50000</v>
      </c>
      <c r="G1194" s="149">
        <v>56400</v>
      </c>
      <c r="H1194" s="150" t="str">
        <f t="shared" si="54"/>
        <v>5</v>
      </c>
      <c r="I1194" s="150" t="str">
        <f t="shared" si="55"/>
        <v>56</v>
      </c>
      <c r="J1194" s="150" t="str">
        <f t="shared" si="56"/>
        <v>564</v>
      </c>
      <c r="K1194" s="150" t="s">
        <v>8375</v>
      </c>
      <c r="L1194" s="149" t="s">
        <v>2131</v>
      </c>
      <c r="M1194" s="151">
        <v>0</v>
      </c>
    </row>
    <row r="1195" spans="1:13" s="149" customFormat="1" x14ac:dyDescent="0.25">
      <c r="A1195" s="149" t="s">
        <v>7639</v>
      </c>
      <c r="B1195" s="149" t="s">
        <v>2132</v>
      </c>
      <c r="C1195" s="149">
        <v>11</v>
      </c>
      <c r="D1195" s="149">
        <v>350</v>
      </c>
      <c r="E1195" s="149">
        <v>0</v>
      </c>
      <c r="F1195" s="149">
        <v>94800</v>
      </c>
      <c r="G1195" s="149">
        <v>55630</v>
      </c>
      <c r="H1195" s="150" t="str">
        <f t="shared" si="54"/>
        <v>5</v>
      </c>
      <c r="I1195" s="150" t="str">
        <f t="shared" si="55"/>
        <v>55</v>
      </c>
      <c r="J1195" s="150" t="str">
        <f t="shared" si="56"/>
        <v>556</v>
      </c>
      <c r="K1195" s="150" t="s">
        <v>8237</v>
      </c>
      <c r="L1195" s="149" t="s">
        <v>2133</v>
      </c>
      <c r="M1195" s="151">
        <v>2.7</v>
      </c>
    </row>
    <row r="1196" spans="1:13" s="149" customFormat="1" x14ac:dyDescent="0.25">
      <c r="A1196" s="149" t="s">
        <v>7639</v>
      </c>
      <c r="B1196" s="149" t="s">
        <v>2134</v>
      </c>
      <c r="C1196" s="149">
        <v>11</v>
      </c>
      <c r="D1196" s="149">
        <v>350</v>
      </c>
      <c r="E1196" s="149">
        <v>0</v>
      </c>
      <c r="F1196" s="149">
        <v>130500</v>
      </c>
      <c r="G1196" s="149">
        <v>51100</v>
      </c>
      <c r="H1196" s="150" t="str">
        <f t="shared" si="54"/>
        <v>5</v>
      </c>
      <c r="I1196" s="150" t="str">
        <f t="shared" si="55"/>
        <v>51</v>
      </c>
      <c r="J1196" s="150" t="str">
        <f t="shared" si="56"/>
        <v>511</v>
      </c>
      <c r="K1196" s="150" t="s">
        <v>9118</v>
      </c>
      <c r="L1196" s="149" t="s">
        <v>2135</v>
      </c>
      <c r="M1196" s="151">
        <v>300610</v>
      </c>
    </row>
    <row r="1197" spans="1:13" s="149" customFormat="1" x14ac:dyDescent="0.25">
      <c r="A1197" s="149" t="s">
        <v>7639</v>
      </c>
      <c r="B1197" s="149" t="s">
        <v>2136</v>
      </c>
      <c r="C1197" s="149">
        <v>11</v>
      </c>
      <c r="D1197" s="149">
        <v>350</v>
      </c>
      <c r="E1197" s="149">
        <v>0</v>
      </c>
      <c r="F1197" s="149">
        <v>130500</v>
      </c>
      <c r="G1197" s="149">
        <v>51310</v>
      </c>
      <c r="H1197" s="150" t="str">
        <f t="shared" si="54"/>
        <v>5</v>
      </c>
      <c r="I1197" s="150" t="str">
        <f t="shared" si="55"/>
        <v>51</v>
      </c>
      <c r="J1197" s="150" t="str">
        <f t="shared" si="56"/>
        <v>513</v>
      </c>
      <c r="K1197" s="150" t="s">
        <v>7677</v>
      </c>
      <c r="L1197" s="149" t="s">
        <v>1257</v>
      </c>
      <c r="M1197" s="151">
        <v>17658</v>
      </c>
    </row>
    <row r="1198" spans="1:13" s="149" customFormat="1" x14ac:dyDescent="0.25">
      <c r="A1198" s="149" t="s">
        <v>7639</v>
      </c>
      <c r="B1198" s="149" t="s">
        <v>2137</v>
      </c>
      <c r="C1198" s="149">
        <v>11</v>
      </c>
      <c r="D1198" s="149">
        <v>350</v>
      </c>
      <c r="E1198" s="149">
        <v>0</v>
      </c>
      <c r="F1198" s="149">
        <v>130500</v>
      </c>
      <c r="G1198" s="149">
        <v>51311</v>
      </c>
      <c r="H1198" s="150" t="str">
        <f t="shared" si="54"/>
        <v>5</v>
      </c>
      <c r="I1198" s="150" t="str">
        <f t="shared" si="55"/>
        <v>51</v>
      </c>
      <c r="J1198" s="150" t="str">
        <f t="shared" si="56"/>
        <v>513</v>
      </c>
      <c r="K1198" s="150" t="s">
        <v>7754</v>
      </c>
      <c r="L1198" s="149" t="s">
        <v>291</v>
      </c>
      <c r="M1198" s="151">
        <v>8480</v>
      </c>
    </row>
    <row r="1199" spans="1:13" s="149" customFormat="1" x14ac:dyDescent="0.25">
      <c r="A1199" s="149" t="s">
        <v>7639</v>
      </c>
      <c r="B1199" s="149" t="s">
        <v>2138</v>
      </c>
      <c r="C1199" s="149">
        <v>11</v>
      </c>
      <c r="D1199" s="149">
        <v>350</v>
      </c>
      <c r="E1199" s="149">
        <v>0</v>
      </c>
      <c r="F1199" s="149">
        <v>130500</v>
      </c>
      <c r="G1199" s="149">
        <v>52200</v>
      </c>
      <c r="H1199" s="150" t="str">
        <f t="shared" si="54"/>
        <v>5</v>
      </c>
      <c r="I1199" s="150" t="str">
        <f t="shared" si="55"/>
        <v>52</v>
      </c>
      <c r="J1199" s="150" t="str">
        <f t="shared" si="56"/>
        <v>522</v>
      </c>
      <c r="K1199" s="150" t="s">
        <v>9119</v>
      </c>
      <c r="L1199" s="149" t="s">
        <v>1259</v>
      </c>
      <c r="M1199" s="151">
        <v>20098</v>
      </c>
    </row>
    <row r="1200" spans="1:13" s="149" customFormat="1" x14ac:dyDescent="0.25">
      <c r="A1200" s="149" t="s">
        <v>7639</v>
      </c>
      <c r="B1200" s="149" t="s">
        <v>2139</v>
      </c>
      <c r="C1200" s="149">
        <v>11</v>
      </c>
      <c r="D1200" s="149">
        <v>350</v>
      </c>
      <c r="E1200" s="149">
        <v>0</v>
      </c>
      <c r="F1200" s="149">
        <v>130500</v>
      </c>
      <c r="G1200" s="149">
        <v>53110</v>
      </c>
      <c r="H1200" s="150" t="str">
        <f t="shared" si="54"/>
        <v>5</v>
      </c>
      <c r="I1200" s="150" t="str">
        <f t="shared" si="55"/>
        <v>53</v>
      </c>
      <c r="J1200" s="150" t="str">
        <f t="shared" si="56"/>
        <v>531</v>
      </c>
      <c r="K1200" s="150" t="s">
        <v>9120</v>
      </c>
      <c r="L1200" s="149" t="s">
        <v>293</v>
      </c>
      <c r="M1200" s="151">
        <v>52769.8</v>
      </c>
    </row>
    <row r="1201" spans="1:13" s="149" customFormat="1" x14ac:dyDescent="0.25">
      <c r="A1201" s="149" t="s">
        <v>7639</v>
      </c>
      <c r="B1201" s="149" t="s">
        <v>2140</v>
      </c>
      <c r="C1201" s="149">
        <v>11</v>
      </c>
      <c r="D1201" s="149">
        <v>350</v>
      </c>
      <c r="E1201" s="149">
        <v>0</v>
      </c>
      <c r="F1201" s="149">
        <v>130500</v>
      </c>
      <c r="G1201" s="149">
        <v>53210</v>
      </c>
      <c r="H1201" s="150" t="str">
        <f t="shared" si="54"/>
        <v>5</v>
      </c>
      <c r="I1201" s="150" t="str">
        <f t="shared" si="55"/>
        <v>53</v>
      </c>
      <c r="J1201" s="150" t="str">
        <f t="shared" si="56"/>
        <v>532</v>
      </c>
      <c r="K1201" s="150" t="s">
        <v>9121</v>
      </c>
      <c r="L1201" s="149" t="s">
        <v>1262</v>
      </c>
      <c r="M1201" s="151">
        <v>4160.29</v>
      </c>
    </row>
    <row r="1202" spans="1:13" s="149" customFormat="1" x14ac:dyDescent="0.25">
      <c r="A1202" s="149" t="s">
        <v>7639</v>
      </c>
      <c r="B1202" s="149" t="s">
        <v>2141</v>
      </c>
      <c r="C1202" s="149">
        <v>11</v>
      </c>
      <c r="D1202" s="149">
        <v>350</v>
      </c>
      <c r="E1202" s="149">
        <v>0</v>
      </c>
      <c r="F1202" s="149">
        <v>130500</v>
      </c>
      <c r="G1202" s="149">
        <v>53310</v>
      </c>
      <c r="H1202" s="150" t="str">
        <f t="shared" si="54"/>
        <v>5</v>
      </c>
      <c r="I1202" s="150" t="str">
        <f t="shared" si="55"/>
        <v>53</v>
      </c>
      <c r="J1202" s="150" t="str">
        <f t="shared" si="56"/>
        <v>533</v>
      </c>
      <c r="K1202" s="150" t="s">
        <v>9122</v>
      </c>
      <c r="L1202" s="149" t="s">
        <v>295</v>
      </c>
      <c r="M1202" s="151">
        <v>1246.08</v>
      </c>
    </row>
    <row r="1203" spans="1:13" s="149" customFormat="1" x14ac:dyDescent="0.25">
      <c r="A1203" s="149" t="s">
        <v>7639</v>
      </c>
      <c r="B1203" s="149" t="s">
        <v>2142</v>
      </c>
      <c r="C1203" s="149">
        <v>11</v>
      </c>
      <c r="D1203" s="149">
        <v>350</v>
      </c>
      <c r="E1203" s="149">
        <v>0</v>
      </c>
      <c r="F1203" s="149">
        <v>130500</v>
      </c>
      <c r="G1203" s="149">
        <v>53330</v>
      </c>
      <c r="H1203" s="150" t="str">
        <f t="shared" si="54"/>
        <v>5</v>
      </c>
      <c r="I1203" s="150" t="str">
        <f t="shared" si="55"/>
        <v>53</v>
      </c>
      <c r="J1203" s="150" t="str">
        <f t="shared" si="56"/>
        <v>533</v>
      </c>
      <c r="K1203" s="150" t="s">
        <v>9123</v>
      </c>
      <c r="L1203" s="149" t="s">
        <v>297</v>
      </c>
      <c r="M1203" s="151">
        <v>5029.26</v>
      </c>
    </row>
    <row r="1204" spans="1:13" s="149" customFormat="1" x14ac:dyDescent="0.25">
      <c r="A1204" s="149" t="s">
        <v>7639</v>
      </c>
      <c r="B1204" s="149" t="s">
        <v>2143</v>
      </c>
      <c r="C1204" s="149">
        <v>11</v>
      </c>
      <c r="D1204" s="149">
        <v>350</v>
      </c>
      <c r="E1204" s="149">
        <v>0</v>
      </c>
      <c r="F1204" s="149">
        <v>130500</v>
      </c>
      <c r="G1204" s="149">
        <v>53410</v>
      </c>
      <c r="H1204" s="150" t="str">
        <f t="shared" si="54"/>
        <v>5</v>
      </c>
      <c r="I1204" s="150" t="str">
        <f t="shared" si="55"/>
        <v>53</v>
      </c>
      <c r="J1204" s="150" t="str">
        <f t="shared" si="56"/>
        <v>534</v>
      </c>
      <c r="K1204" s="150" t="s">
        <v>9124</v>
      </c>
      <c r="L1204" s="149" t="s">
        <v>2144</v>
      </c>
      <c r="M1204" s="151">
        <v>66406.850000000006</v>
      </c>
    </row>
    <row r="1205" spans="1:13" s="149" customFormat="1" x14ac:dyDescent="0.25">
      <c r="A1205" s="149" t="s">
        <v>7639</v>
      </c>
      <c r="B1205" s="149" t="s">
        <v>2145</v>
      </c>
      <c r="C1205" s="149">
        <v>11</v>
      </c>
      <c r="D1205" s="149">
        <v>350</v>
      </c>
      <c r="E1205" s="149">
        <v>0</v>
      </c>
      <c r="F1205" s="149">
        <v>130500</v>
      </c>
      <c r="G1205" s="149">
        <v>53510</v>
      </c>
      <c r="H1205" s="150" t="str">
        <f t="shared" si="54"/>
        <v>5</v>
      </c>
      <c r="I1205" s="150" t="str">
        <f t="shared" si="55"/>
        <v>53</v>
      </c>
      <c r="J1205" s="150" t="str">
        <f t="shared" si="56"/>
        <v>535</v>
      </c>
      <c r="K1205" s="150" t="s">
        <v>9125</v>
      </c>
      <c r="L1205" s="149" t="s">
        <v>299</v>
      </c>
      <c r="M1205" s="151">
        <v>173.43</v>
      </c>
    </row>
    <row r="1206" spans="1:13" s="149" customFormat="1" x14ac:dyDescent="0.25">
      <c r="A1206" s="149" t="s">
        <v>7639</v>
      </c>
      <c r="B1206" s="149" t="s">
        <v>2146</v>
      </c>
      <c r="C1206" s="149">
        <v>11</v>
      </c>
      <c r="D1206" s="149">
        <v>350</v>
      </c>
      <c r="E1206" s="149">
        <v>0</v>
      </c>
      <c r="F1206" s="149">
        <v>130500</v>
      </c>
      <c r="G1206" s="149">
        <v>53610</v>
      </c>
      <c r="H1206" s="150" t="str">
        <f t="shared" si="54"/>
        <v>5</v>
      </c>
      <c r="I1206" s="150" t="str">
        <f t="shared" si="55"/>
        <v>53</v>
      </c>
      <c r="J1206" s="150" t="str">
        <f t="shared" si="56"/>
        <v>536</v>
      </c>
      <c r="K1206" s="150" t="s">
        <v>9126</v>
      </c>
      <c r="L1206" s="149" t="s">
        <v>301</v>
      </c>
      <c r="M1206" s="151">
        <v>6558.17</v>
      </c>
    </row>
    <row r="1207" spans="1:13" s="149" customFormat="1" x14ac:dyDescent="0.25">
      <c r="A1207" s="149" t="s">
        <v>7639</v>
      </c>
      <c r="B1207" s="149" t="s">
        <v>2147</v>
      </c>
      <c r="C1207" s="149">
        <v>11</v>
      </c>
      <c r="D1207" s="149">
        <v>350</v>
      </c>
      <c r="E1207" s="149">
        <v>0</v>
      </c>
      <c r="F1207" s="149">
        <v>130500</v>
      </c>
      <c r="G1207" s="149">
        <v>55630</v>
      </c>
      <c r="H1207" s="150" t="str">
        <f t="shared" si="54"/>
        <v>5</v>
      </c>
      <c r="I1207" s="150" t="str">
        <f t="shared" si="55"/>
        <v>55</v>
      </c>
      <c r="J1207" s="150" t="str">
        <f t="shared" si="56"/>
        <v>556</v>
      </c>
      <c r="K1207" s="150" t="s">
        <v>8238</v>
      </c>
      <c r="L1207" s="149" t="s">
        <v>1268</v>
      </c>
      <c r="M1207" s="151">
        <v>25</v>
      </c>
    </row>
    <row r="1208" spans="1:13" s="149" customFormat="1" x14ac:dyDescent="0.25">
      <c r="A1208" s="149" t="s">
        <v>7639</v>
      </c>
      <c r="B1208" s="149" t="s">
        <v>2148</v>
      </c>
      <c r="C1208" s="149">
        <v>11</v>
      </c>
      <c r="D1208" s="149">
        <v>350</v>
      </c>
      <c r="E1208" s="149">
        <v>0</v>
      </c>
      <c r="F1208" s="149">
        <v>210440</v>
      </c>
      <c r="G1208" s="149">
        <v>51100</v>
      </c>
      <c r="H1208" s="150" t="str">
        <f t="shared" si="54"/>
        <v>5</v>
      </c>
      <c r="I1208" s="150" t="str">
        <f t="shared" si="55"/>
        <v>51</v>
      </c>
      <c r="J1208" s="150" t="str">
        <f t="shared" si="56"/>
        <v>511</v>
      </c>
      <c r="K1208" s="150" t="s">
        <v>9127</v>
      </c>
      <c r="L1208" s="149" t="s">
        <v>1326</v>
      </c>
      <c r="M1208" s="151">
        <v>84189</v>
      </c>
    </row>
    <row r="1209" spans="1:13" s="149" customFormat="1" x14ac:dyDescent="0.25">
      <c r="A1209" s="149" t="s">
        <v>7639</v>
      </c>
      <c r="B1209" s="149" t="s">
        <v>2149</v>
      </c>
      <c r="C1209" s="149">
        <v>11</v>
      </c>
      <c r="D1209" s="149">
        <v>350</v>
      </c>
      <c r="E1209" s="149">
        <v>0</v>
      </c>
      <c r="F1209" s="149">
        <v>210440</v>
      </c>
      <c r="G1209" s="149">
        <v>51310</v>
      </c>
      <c r="H1209" s="150" t="str">
        <f t="shared" si="54"/>
        <v>5</v>
      </c>
      <c r="I1209" s="150" t="str">
        <f t="shared" si="55"/>
        <v>51</v>
      </c>
      <c r="J1209" s="150" t="str">
        <f t="shared" si="56"/>
        <v>513</v>
      </c>
      <c r="K1209" s="150" t="s">
        <v>7678</v>
      </c>
      <c r="L1209" s="149" t="s">
        <v>2150</v>
      </c>
      <c r="M1209" s="151">
        <v>0</v>
      </c>
    </row>
    <row r="1210" spans="1:13" s="149" customFormat="1" x14ac:dyDescent="0.25">
      <c r="A1210" s="149" t="s">
        <v>7639</v>
      </c>
      <c r="B1210" s="149" t="s">
        <v>2151</v>
      </c>
      <c r="C1210" s="149">
        <v>11</v>
      </c>
      <c r="D1210" s="149">
        <v>350</v>
      </c>
      <c r="E1210" s="149">
        <v>0</v>
      </c>
      <c r="F1210" s="149">
        <v>210440</v>
      </c>
      <c r="G1210" s="149">
        <v>51311</v>
      </c>
      <c r="H1210" s="150" t="str">
        <f t="shared" si="54"/>
        <v>5</v>
      </c>
      <c r="I1210" s="150" t="str">
        <f t="shared" si="55"/>
        <v>51</v>
      </c>
      <c r="J1210" s="150" t="str">
        <f t="shared" si="56"/>
        <v>513</v>
      </c>
      <c r="K1210" s="150" t="s">
        <v>7755</v>
      </c>
      <c r="L1210" s="149" t="s">
        <v>2152</v>
      </c>
      <c r="M1210" s="151">
        <v>9572</v>
      </c>
    </row>
    <row r="1211" spans="1:13" s="149" customFormat="1" x14ac:dyDescent="0.25">
      <c r="A1211" s="149" t="s">
        <v>7639</v>
      </c>
      <c r="B1211" s="149" t="s">
        <v>2153</v>
      </c>
      <c r="C1211" s="149">
        <v>11</v>
      </c>
      <c r="D1211" s="149">
        <v>350</v>
      </c>
      <c r="E1211" s="149">
        <v>0</v>
      </c>
      <c r="F1211" s="149">
        <v>210440</v>
      </c>
      <c r="G1211" s="149">
        <v>51412</v>
      </c>
      <c r="H1211" s="150" t="str">
        <f t="shared" si="54"/>
        <v>5</v>
      </c>
      <c r="I1211" s="150" t="str">
        <f t="shared" si="55"/>
        <v>51</v>
      </c>
      <c r="J1211" s="150" t="str">
        <f t="shared" si="56"/>
        <v>514</v>
      </c>
      <c r="K1211" s="150" t="s">
        <v>7794</v>
      </c>
      <c r="L1211" s="149" t="s">
        <v>2154</v>
      </c>
      <c r="M1211" s="151">
        <v>75</v>
      </c>
    </row>
    <row r="1212" spans="1:13" s="149" customFormat="1" x14ac:dyDescent="0.25">
      <c r="A1212" s="149" t="s">
        <v>7639</v>
      </c>
      <c r="B1212" s="149" t="s">
        <v>2155</v>
      </c>
      <c r="C1212" s="149">
        <v>11</v>
      </c>
      <c r="D1212" s="149">
        <v>350</v>
      </c>
      <c r="E1212" s="149">
        <v>0</v>
      </c>
      <c r="F1212" s="149">
        <v>210440</v>
      </c>
      <c r="G1212" s="149">
        <v>53110</v>
      </c>
      <c r="H1212" s="150" t="str">
        <f t="shared" si="54"/>
        <v>5</v>
      </c>
      <c r="I1212" s="150" t="str">
        <f t="shared" si="55"/>
        <v>53</v>
      </c>
      <c r="J1212" s="150" t="str">
        <f t="shared" si="56"/>
        <v>531</v>
      </c>
      <c r="K1212" s="150" t="s">
        <v>9128</v>
      </c>
      <c r="L1212" s="149" t="s">
        <v>1328</v>
      </c>
      <c r="M1212" s="151">
        <v>15142.4</v>
      </c>
    </row>
    <row r="1213" spans="1:13" s="149" customFormat="1" x14ac:dyDescent="0.25">
      <c r="A1213" s="149" t="s">
        <v>7639</v>
      </c>
      <c r="B1213" s="149" t="s">
        <v>2156</v>
      </c>
      <c r="C1213" s="149">
        <v>11</v>
      </c>
      <c r="D1213" s="149">
        <v>350</v>
      </c>
      <c r="E1213" s="149">
        <v>0</v>
      </c>
      <c r="F1213" s="149">
        <v>210440</v>
      </c>
      <c r="G1213" s="149">
        <v>53120</v>
      </c>
      <c r="H1213" s="150" t="str">
        <f t="shared" si="54"/>
        <v>5</v>
      </c>
      <c r="I1213" s="150" t="str">
        <f t="shared" si="55"/>
        <v>53</v>
      </c>
      <c r="J1213" s="150" t="str">
        <f t="shared" si="56"/>
        <v>531</v>
      </c>
      <c r="K1213" s="150" t="s">
        <v>9129</v>
      </c>
      <c r="L1213" s="149" t="s">
        <v>2157</v>
      </c>
      <c r="M1213" s="151">
        <v>12.11</v>
      </c>
    </row>
    <row r="1214" spans="1:13" s="149" customFormat="1" x14ac:dyDescent="0.25">
      <c r="A1214" s="149" t="s">
        <v>7639</v>
      </c>
      <c r="B1214" s="149" t="s">
        <v>2158</v>
      </c>
      <c r="C1214" s="149">
        <v>11</v>
      </c>
      <c r="D1214" s="149">
        <v>350</v>
      </c>
      <c r="E1214" s="149">
        <v>0</v>
      </c>
      <c r="F1214" s="149">
        <v>210440</v>
      </c>
      <c r="G1214" s="149">
        <v>53330</v>
      </c>
      <c r="H1214" s="150" t="str">
        <f t="shared" si="54"/>
        <v>5</v>
      </c>
      <c r="I1214" s="150" t="str">
        <f t="shared" si="55"/>
        <v>53</v>
      </c>
      <c r="J1214" s="150" t="str">
        <f t="shared" si="56"/>
        <v>533</v>
      </c>
      <c r="K1214" s="150" t="s">
        <v>9130</v>
      </c>
      <c r="L1214" s="149" t="s">
        <v>1330</v>
      </c>
      <c r="M1214" s="151">
        <v>1359.53</v>
      </c>
    </row>
    <row r="1215" spans="1:13" s="149" customFormat="1" x14ac:dyDescent="0.25">
      <c r="A1215" s="149" t="s">
        <v>7639</v>
      </c>
      <c r="B1215" s="149" t="s">
        <v>2159</v>
      </c>
      <c r="C1215" s="149">
        <v>11</v>
      </c>
      <c r="D1215" s="149">
        <v>350</v>
      </c>
      <c r="E1215" s="149">
        <v>0</v>
      </c>
      <c r="F1215" s="149">
        <v>210440</v>
      </c>
      <c r="G1215" s="149">
        <v>53340</v>
      </c>
      <c r="H1215" s="150" t="str">
        <f t="shared" si="54"/>
        <v>5</v>
      </c>
      <c r="I1215" s="150" t="str">
        <f t="shared" si="55"/>
        <v>53</v>
      </c>
      <c r="J1215" s="150" t="str">
        <f t="shared" si="56"/>
        <v>533</v>
      </c>
      <c r="K1215" s="150" t="s">
        <v>9131</v>
      </c>
      <c r="L1215" s="149" t="s">
        <v>2160</v>
      </c>
      <c r="M1215" s="151">
        <v>1.0900000000000001</v>
      </c>
    </row>
    <row r="1216" spans="1:13" s="149" customFormat="1" x14ac:dyDescent="0.25">
      <c r="A1216" s="149" t="s">
        <v>7639</v>
      </c>
      <c r="B1216" s="149" t="s">
        <v>2161</v>
      </c>
      <c r="C1216" s="149">
        <v>11</v>
      </c>
      <c r="D1216" s="149">
        <v>350</v>
      </c>
      <c r="E1216" s="149">
        <v>0</v>
      </c>
      <c r="F1216" s="149">
        <v>210440</v>
      </c>
      <c r="G1216" s="149">
        <v>53410</v>
      </c>
      <c r="H1216" s="150" t="str">
        <f t="shared" si="54"/>
        <v>5</v>
      </c>
      <c r="I1216" s="150" t="str">
        <f t="shared" si="55"/>
        <v>53</v>
      </c>
      <c r="J1216" s="150" t="str">
        <f t="shared" si="56"/>
        <v>534</v>
      </c>
      <c r="K1216" s="150" t="s">
        <v>9132</v>
      </c>
      <c r="L1216" s="149" t="s">
        <v>1332</v>
      </c>
      <c r="M1216" s="151">
        <v>13214.31</v>
      </c>
    </row>
    <row r="1217" spans="1:13" s="149" customFormat="1" x14ac:dyDescent="0.25">
      <c r="A1217" s="149" t="s">
        <v>7639</v>
      </c>
      <c r="B1217" s="149" t="s">
        <v>2162</v>
      </c>
      <c r="C1217" s="149">
        <v>11</v>
      </c>
      <c r="D1217" s="149">
        <v>350</v>
      </c>
      <c r="E1217" s="149">
        <v>0</v>
      </c>
      <c r="F1217" s="149">
        <v>210440</v>
      </c>
      <c r="G1217" s="149">
        <v>53510</v>
      </c>
      <c r="H1217" s="150" t="str">
        <f t="shared" si="54"/>
        <v>5</v>
      </c>
      <c r="I1217" s="150" t="str">
        <f t="shared" si="55"/>
        <v>53</v>
      </c>
      <c r="J1217" s="150" t="str">
        <f t="shared" si="56"/>
        <v>535</v>
      </c>
      <c r="K1217" s="150" t="s">
        <v>9133</v>
      </c>
      <c r="L1217" s="149" t="s">
        <v>1334</v>
      </c>
      <c r="M1217" s="151">
        <v>46.88</v>
      </c>
    </row>
    <row r="1218" spans="1:13" s="149" customFormat="1" x14ac:dyDescent="0.25">
      <c r="A1218" s="149" t="s">
        <v>7639</v>
      </c>
      <c r="B1218" s="149" t="s">
        <v>2163</v>
      </c>
      <c r="C1218" s="149">
        <v>11</v>
      </c>
      <c r="D1218" s="149">
        <v>350</v>
      </c>
      <c r="E1218" s="149">
        <v>0</v>
      </c>
      <c r="F1218" s="149">
        <v>210440</v>
      </c>
      <c r="G1218" s="149">
        <v>53520</v>
      </c>
      <c r="H1218" s="150" t="str">
        <f t="shared" si="54"/>
        <v>5</v>
      </c>
      <c r="I1218" s="150" t="str">
        <f t="shared" si="55"/>
        <v>53</v>
      </c>
      <c r="J1218" s="150" t="str">
        <f t="shared" si="56"/>
        <v>535</v>
      </c>
      <c r="K1218" s="150" t="s">
        <v>9134</v>
      </c>
      <c r="L1218" s="149" t="s">
        <v>2164</v>
      </c>
      <c r="M1218" s="151">
        <v>0.04</v>
      </c>
    </row>
    <row r="1219" spans="1:13" s="149" customFormat="1" x14ac:dyDescent="0.25">
      <c r="A1219" s="149" t="s">
        <v>7639</v>
      </c>
      <c r="B1219" s="149" t="s">
        <v>2165</v>
      </c>
      <c r="C1219" s="149">
        <v>11</v>
      </c>
      <c r="D1219" s="149">
        <v>350</v>
      </c>
      <c r="E1219" s="149">
        <v>0</v>
      </c>
      <c r="F1219" s="149">
        <v>210440</v>
      </c>
      <c r="G1219" s="149">
        <v>53610</v>
      </c>
      <c r="H1219" s="150" t="str">
        <f t="shared" ref="H1219:H1282" si="57">LEFT(G1219,1)</f>
        <v>5</v>
      </c>
      <c r="I1219" s="150" t="str">
        <f t="shared" ref="I1219:I1282" si="58">LEFT(G1219,2)</f>
        <v>53</v>
      </c>
      <c r="J1219" s="150" t="str">
        <f t="shared" ref="J1219:J1282" si="59">LEFT(G1219,3)</f>
        <v>536</v>
      </c>
      <c r="K1219" s="150" t="s">
        <v>9135</v>
      </c>
      <c r="L1219" s="149" t="s">
        <v>1336</v>
      </c>
      <c r="M1219" s="151">
        <v>1772.84</v>
      </c>
    </row>
    <row r="1220" spans="1:13" s="149" customFormat="1" x14ac:dyDescent="0.25">
      <c r="A1220" s="149" t="s">
        <v>7639</v>
      </c>
      <c r="B1220" s="149" t="s">
        <v>2166</v>
      </c>
      <c r="C1220" s="149">
        <v>11</v>
      </c>
      <c r="D1220" s="149">
        <v>350</v>
      </c>
      <c r="E1220" s="149">
        <v>0</v>
      </c>
      <c r="F1220" s="149">
        <v>210440</v>
      </c>
      <c r="G1220" s="149">
        <v>53620</v>
      </c>
      <c r="H1220" s="150" t="str">
        <f t="shared" si="57"/>
        <v>5</v>
      </c>
      <c r="I1220" s="150" t="str">
        <f t="shared" si="58"/>
        <v>53</v>
      </c>
      <c r="J1220" s="150" t="str">
        <f t="shared" si="59"/>
        <v>536</v>
      </c>
      <c r="K1220" s="150" t="s">
        <v>9136</v>
      </c>
      <c r="L1220" s="149" t="s">
        <v>2167</v>
      </c>
      <c r="M1220" s="151">
        <v>1.42</v>
      </c>
    </row>
    <row r="1221" spans="1:13" s="149" customFormat="1" x14ac:dyDescent="0.25">
      <c r="A1221" s="149" t="s">
        <v>7639</v>
      </c>
      <c r="B1221" s="149" t="s">
        <v>2168</v>
      </c>
      <c r="C1221" s="149">
        <v>11</v>
      </c>
      <c r="D1221" s="149">
        <v>350</v>
      </c>
      <c r="E1221" s="149">
        <v>0</v>
      </c>
      <c r="F1221" s="149">
        <v>210440</v>
      </c>
      <c r="G1221" s="149">
        <v>55630</v>
      </c>
      <c r="H1221" s="150" t="str">
        <f t="shared" si="57"/>
        <v>5</v>
      </c>
      <c r="I1221" s="150" t="str">
        <f t="shared" si="58"/>
        <v>55</v>
      </c>
      <c r="J1221" s="150" t="str">
        <f t="shared" si="59"/>
        <v>556</v>
      </c>
      <c r="K1221" s="150" t="s">
        <v>8239</v>
      </c>
      <c r="L1221" s="149" t="s">
        <v>1338</v>
      </c>
      <c r="M1221" s="151">
        <v>15</v>
      </c>
    </row>
    <row r="1222" spans="1:13" s="149" customFormat="1" x14ac:dyDescent="0.25">
      <c r="A1222" s="149" t="s">
        <v>7639</v>
      </c>
      <c r="B1222" s="149" t="s">
        <v>2169</v>
      </c>
      <c r="C1222" s="149">
        <v>11</v>
      </c>
      <c r="D1222" s="149">
        <v>350</v>
      </c>
      <c r="E1222" s="149">
        <v>0</v>
      </c>
      <c r="F1222" s="149">
        <v>210500</v>
      </c>
      <c r="G1222" s="149">
        <v>51100</v>
      </c>
      <c r="H1222" s="150" t="str">
        <f t="shared" si="57"/>
        <v>5</v>
      </c>
      <c r="I1222" s="150" t="str">
        <f t="shared" si="58"/>
        <v>51</v>
      </c>
      <c r="J1222" s="150" t="str">
        <f t="shared" si="59"/>
        <v>511</v>
      </c>
      <c r="K1222" s="150" t="s">
        <v>9137</v>
      </c>
      <c r="L1222" s="149" t="s">
        <v>2170</v>
      </c>
      <c r="M1222" s="151">
        <v>224950</v>
      </c>
    </row>
    <row r="1223" spans="1:13" s="149" customFormat="1" x14ac:dyDescent="0.25">
      <c r="A1223" s="149" t="s">
        <v>7639</v>
      </c>
      <c r="B1223" s="149" t="s">
        <v>2171</v>
      </c>
      <c r="C1223" s="149">
        <v>11</v>
      </c>
      <c r="D1223" s="149">
        <v>350</v>
      </c>
      <c r="E1223" s="149">
        <v>0</v>
      </c>
      <c r="F1223" s="149">
        <v>210500</v>
      </c>
      <c r="G1223" s="149">
        <v>51310</v>
      </c>
      <c r="H1223" s="150" t="str">
        <f t="shared" si="57"/>
        <v>5</v>
      </c>
      <c r="I1223" s="150" t="str">
        <f t="shared" si="58"/>
        <v>51</v>
      </c>
      <c r="J1223" s="150" t="str">
        <f t="shared" si="59"/>
        <v>513</v>
      </c>
      <c r="K1223" s="150" t="s">
        <v>7679</v>
      </c>
      <c r="L1223" s="149" t="s">
        <v>1340</v>
      </c>
      <c r="M1223" s="151">
        <v>32521</v>
      </c>
    </row>
    <row r="1224" spans="1:13" s="149" customFormat="1" x14ac:dyDescent="0.25">
      <c r="A1224" s="149" t="s">
        <v>7639</v>
      </c>
      <c r="B1224" s="149" t="s">
        <v>2172</v>
      </c>
      <c r="C1224" s="149">
        <v>11</v>
      </c>
      <c r="D1224" s="149">
        <v>350</v>
      </c>
      <c r="E1224" s="149">
        <v>0</v>
      </c>
      <c r="F1224" s="149">
        <v>210500</v>
      </c>
      <c r="G1224" s="149">
        <v>51311</v>
      </c>
      <c r="H1224" s="150" t="str">
        <f t="shared" si="57"/>
        <v>5</v>
      </c>
      <c r="I1224" s="150" t="str">
        <f t="shared" si="58"/>
        <v>51</v>
      </c>
      <c r="J1224" s="150" t="str">
        <f t="shared" si="59"/>
        <v>513</v>
      </c>
      <c r="K1224" s="150" t="s">
        <v>7756</v>
      </c>
      <c r="L1224" s="149" t="s">
        <v>375</v>
      </c>
      <c r="M1224" s="151">
        <v>176227</v>
      </c>
    </row>
    <row r="1225" spans="1:13" s="149" customFormat="1" x14ac:dyDescent="0.25">
      <c r="A1225" s="149" t="s">
        <v>7639</v>
      </c>
      <c r="B1225" s="149" t="s">
        <v>2173</v>
      </c>
      <c r="C1225" s="149">
        <v>11</v>
      </c>
      <c r="D1225" s="149">
        <v>350</v>
      </c>
      <c r="E1225" s="149">
        <v>0</v>
      </c>
      <c r="F1225" s="149">
        <v>210500</v>
      </c>
      <c r="G1225" s="149">
        <v>51412</v>
      </c>
      <c r="H1225" s="150" t="str">
        <f t="shared" si="57"/>
        <v>5</v>
      </c>
      <c r="I1225" s="150" t="str">
        <f t="shared" si="58"/>
        <v>51</v>
      </c>
      <c r="J1225" s="150" t="str">
        <f t="shared" si="59"/>
        <v>514</v>
      </c>
      <c r="K1225" s="150" t="s">
        <v>7795</v>
      </c>
      <c r="L1225" s="149" t="s">
        <v>2174</v>
      </c>
      <c r="M1225" s="151">
        <v>5350</v>
      </c>
    </row>
    <row r="1226" spans="1:13" s="149" customFormat="1" x14ac:dyDescent="0.25">
      <c r="A1226" s="149" t="s">
        <v>7639</v>
      </c>
      <c r="B1226" s="149" t="s">
        <v>2175</v>
      </c>
      <c r="C1226" s="149">
        <v>11</v>
      </c>
      <c r="D1226" s="149">
        <v>350</v>
      </c>
      <c r="E1226" s="149">
        <v>0</v>
      </c>
      <c r="F1226" s="149">
        <v>210500</v>
      </c>
      <c r="G1226" s="149">
        <v>52360</v>
      </c>
      <c r="H1226" s="150" t="str">
        <f t="shared" si="57"/>
        <v>5</v>
      </c>
      <c r="I1226" s="150" t="str">
        <f t="shared" si="58"/>
        <v>52</v>
      </c>
      <c r="J1226" s="150" t="str">
        <f t="shared" si="59"/>
        <v>523</v>
      </c>
      <c r="K1226" s="150" t="s">
        <v>7873</v>
      </c>
      <c r="L1226" s="149" t="s">
        <v>2176</v>
      </c>
      <c r="M1226" s="151">
        <v>100</v>
      </c>
    </row>
    <row r="1227" spans="1:13" s="149" customFormat="1" x14ac:dyDescent="0.25">
      <c r="A1227" s="149" t="s">
        <v>7639</v>
      </c>
      <c r="B1227" s="149" t="s">
        <v>2177</v>
      </c>
      <c r="C1227" s="149">
        <v>11</v>
      </c>
      <c r="D1227" s="149">
        <v>350</v>
      </c>
      <c r="E1227" s="149">
        <v>0</v>
      </c>
      <c r="F1227" s="149">
        <v>210500</v>
      </c>
      <c r="G1227" s="149">
        <v>53110</v>
      </c>
      <c r="H1227" s="150" t="str">
        <f t="shared" si="57"/>
        <v>5</v>
      </c>
      <c r="I1227" s="150" t="str">
        <f t="shared" si="58"/>
        <v>53</v>
      </c>
      <c r="J1227" s="150" t="str">
        <f t="shared" si="59"/>
        <v>531</v>
      </c>
      <c r="K1227" s="150" t="s">
        <v>9138</v>
      </c>
      <c r="L1227" s="149" t="s">
        <v>377</v>
      </c>
      <c r="M1227" s="151">
        <v>70141.539999999994</v>
      </c>
    </row>
    <row r="1228" spans="1:13" s="149" customFormat="1" x14ac:dyDescent="0.25">
      <c r="A1228" s="149" t="s">
        <v>7639</v>
      </c>
      <c r="B1228" s="149" t="s">
        <v>2178</v>
      </c>
      <c r="C1228" s="149">
        <v>11</v>
      </c>
      <c r="D1228" s="149">
        <v>350</v>
      </c>
      <c r="E1228" s="149">
        <v>0</v>
      </c>
      <c r="F1228" s="149">
        <v>210500</v>
      </c>
      <c r="G1228" s="149">
        <v>53120</v>
      </c>
      <c r="H1228" s="150" t="str">
        <f t="shared" si="57"/>
        <v>5</v>
      </c>
      <c r="I1228" s="150" t="str">
        <f t="shared" si="58"/>
        <v>53</v>
      </c>
      <c r="J1228" s="150" t="str">
        <f t="shared" si="59"/>
        <v>531</v>
      </c>
      <c r="K1228" s="150" t="s">
        <v>9139</v>
      </c>
      <c r="L1228" s="149" t="s">
        <v>2179</v>
      </c>
      <c r="M1228" s="151">
        <v>864.03</v>
      </c>
    </row>
    <row r="1229" spans="1:13" s="149" customFormat="1" x14ac:dyDescent="0.25">
      <c r="A1229" s="149" t="s">
        <v>7639</v>
      </c>
      <c r="B1229" s="149" t="s">
        <v>2180</v>
      </c>
      <c r="C1229" s="149">
        <v>11</v>
      </c>
      <c r="D1229" s="149">
        <v>350</v>
      </c>
      <c r="E1229" s="149">
        <v>0</v>
      </c>
      <c r="F1229" s="149">
        <v>210500</v>
      </c>
      <c r="G1229" s="149">
        <v>53310</v>
      </c>
      <c r="H1229" s="150" t="str">
        <f t="shared" si="57"/>
        <v>5</v>
      </c>
      <c r="I1229" s="150" t="str">
        <f t="shared" si="58"/>
        <v>53</v>
      </c>
      <c r="J1229" s="150" t="str">
        <f t="shared" si="59"/>
        <v>533</v>
      </c>
      <c r="K1229" s="150" t="s">
        <v>9140</v>
      </c>
      <c r="L1229" s="149" t="s">
        <v>379</v>
      </c>
      <c r="M1229" s="151">
        <v>0</v>
      </c>
    </row>
    <row r="1230" spans="1:13" s="149" customFormat="1" x14ac:dyDescent="0.25">
      <c r="A1230" s="149" t="s">
        <v>7639</v>
      </c>
      <c r="B1230" s="149" t="s">
        <v>2181</v>
      </c>
      <c r="C1230" s="149">
        <v>11</v>
      </c>
      <c r="D1230" s="149">
        <v>350</v>
      </c>
      <c r="E1230" s="149">
        <v>0</v>
      </c>
      <c r="F1230" s="149">
        <v>210500</v>
      </c>
      <c r="G1230" s="149">
        <v>53320</v>
      </c>
      <c r="H1230" s="150" t="str">
        <f t="shared" si="57"/>
        <v>5</v>
      </c>
      <c r="I1230" s="150" t="str">
        <f t="shared" si="58"/>
        <v>53</v>
      </c>
      <c r="J1230" s="150" t="str">
        <f t="shared" si="59"/>
        <v>533</v>
      </c>
      <c r="K1230" s="150" t="s">
        <v>9141</v>
      </c>
      <c r="L1230" s="149" t="s">
        <v>2182</v>
      </c>
      <c r="M1230" s="151">
        <v>6.2</v>
      </c>
    </row>
    <row r="1231" spans="1:13" s="149" customFormat="1" x14ac:dyDescent="0.25">
      <c r="A1231" s="149" t="s">
        <v>7639</v>
      </c>
      <c r="B1231" s="149" t="s">
        <v>2183</v>
      </c>
      <c r="C1231" s="149">
        <v>11</v>
      </c>
      <c r="D1231" s="149">
        <v>350</v>
      </c>
      <c r="E1231" s="149">
        <v>0</v>
      </c>
      <c r="F1231" s="149">
        <v>210500</v>
      </c>
      <c r="G1231" s="149">
        <v>53330</v>
      </c>
      <c r="H1231" s="150" t="str">
        <f t="shared" si="57"/>
        <v>5</v>
      </c>
      <c r="I1231" s="150" t="str">
        <f t="shared" si="58"/>
        <v>53</v>
      </c>
      <c r="J1231" s="150" t="str">
        <f t="shared" si="59"/>
        <v>533</v>
      </c>
      <c r="K1231" s="150" t="s">
        <v>9142</v>
      </c>
      <c r="L1231" s="149" t="s">
        <v>381</v>
      </c>
      <c r="M1231" s="151">
        <v>6297.53</v>
      </c>
    </row>
    <row r="1232" spans="1:13" s="149" customFormat="1" x14ac:dyDescent="0.25">
      <c r="A1232" s="149" t="s">
        <v>7639</v>
      </c>
      <c r="B1232" s="149" t="s">
        <v>2184</v>
      </c>
      <c r="C1232" s="149">
        <v>11</v>
      </c>
      <c r="D1232" s="149">
        <v>350</v>
      </c>
      <c r="E1232" s="149">
        <v>0</v>
      </c>
      <c r="F1232" s="149">
        <v>210500</v>
      </c>
      <c r="G1232" s="149">
        <v>53340</v>
      </c>
      <c r="H1232" s="150" t="str">
        <f t="shared" si="57"/>
        <v>5</v>
      </c>
      <c r="I1232" s="150" t="str">
        <f t="shared" si="58"/>
        <v>53</v>
      </c>
      <c r="J1232" s="150" t="str">
        <f t="shared" si="59"/>
        <v>533</v>
      </c>
      <c r="K1232" s="150" t="s">
        <v>9143</v>
      </c>
      <c r="L1232" s="149" t="s">
        <v>2185</v>
      </c>
      <c r="M1232" s="151">
        <v>79.03</v>
      </c>
    </row>
    <row r="1233" spans="1:13" s="149" customFormat="1" x14ac:dyDescent="0.25">
      <c r="A1233" s="149" t="s">
        <v>7639</v>
      </c>
      <c r="B1233" s="149" t="s">
        <v>2186</v>
      </c>
      <c r="C1233" s="149">
        <v>11</v>
      </c>
      <c r="D1233" s="149">
        <v>350</v>
      </c>
      <c r="E1233" s="149">
        <v>0</v>
      </c>
      <c r="F1233" s="149">
        <v>210500</v>
      </c>
      <c r="G1233" s="149">
        <v>53410</v>
      </c>
      <c r="H1233" s="150" t="str">
        <f t="shared" si="57"/>
        <v>5</v>
      </c>
      <c r="I1233" s="150" t="str">
        <f t="shared" si="58"/>
        <v>53</v>
      </c>
      <c r="J1233" s="150" t="str">
        <f t="shared" si="59"/>
        <v>534</v>
      </c>
      <c r="K1233" s="150" t="s">
        <v>9144</v>
      </c>
      <c r="L1233" s="149" t="s">
        <v>2187</v>
      </c>
      <c r="M1233" s="151">
        <v>58362.16</v>
      </c>
    </row>
    <row r="1234" spans="1:13" s="149" customFormat="1" x14ac:dyDescent="0.25">
      <c r="A1234" s="149" t="s">
        <v>7639</v>
      </c>
      <c r="B1234" s="149" t="s">
        <v>2188</v>
      </c>
      <c r="C1234" s="149">
        <v>11</v>
      </c>
      <c r="D1234" s="149">
        <v>350</v>
      </c>
      <c r="E1234" s="149">
        <v>0</v>
      </c>
      <c r="F1234" s="149">
        <v>210500</v>
      </c>
      <c r="G1234" s="149">
        <v>53510</v>
      </c>
      <c r="H1234" s="150" t="str">
        <f t="shared" si="57"/>
        <v>5</v>
      </c>
      <c r="I1234" s="150" t="str">
        <f t="shared" si="58"/>
        <v>53</v>
      </c>
      <c r="J1234" s="150" t="str">
        <f t="shared" si="59"/>
        <v>535</v>
      </c>
      <c r="K1234" s="150" t="s">
        <v>9145</v>
      </c>
      <c r="L1234" s="149" t="s">
        <v>383</v>
      </c>
      <c r="M1234" s="151">
        <v>217.16</v>
      </c>
    </row>
    <row r="1235" spans="1:13" s="149" customFormat="1" x14ac:dyDescent="0.25">
      <c r="A1235" s="149" t="s">
        <v>7639</v>
      </c>
      <c r="B1235" s="149" t="s">
        <v>2189</v>
      </c>
      <c r="C1235" s="149">
        <v>11</v>
      </c>
      <c r="D1235" s="149">
        <v>350</v>
      </c>
      <c r="E1235" s="149">
        <v>0</v>
      </c>
      <c r="F1235" s="149">
        <v>210500</v>
      </c>
      <c r="G1235" s="149">
        <v>53520</v>
      </c>
      <c r="H1235" s="150" t="str">
        <f t="shared" si="57"/>
        <v>5</v>
      </c>
      <c r="I1235" s="150" t="str">
        <f t="shared" si="58"/>
        <v>53</v>
      </c>
      <c r="J1235" s="150" t="str">
        <f t="shared" si="59"/>
        <v>535</v>
      </c>
      <c r="K1235" s="150" t="s">
        <v>9146</v>
      </c>
      <c r="L1235" s="149" t="s">
        <v>2190</v>
      </c>
      <c r="M1235" s="151">
        <v>2.73</v>
      </c>
    </row>
    <row r="1236" spans="1:13" s="149" customFormat="1" x14ac:dyDescent="0.25">
      <c r="A1236" s="149" t="s">
        <v>7639</v>
      </c>
      <c r="B1236" s="149" t="s">
        <v>2191</v>
      </c>
      <c r="C1236" s="149">
        <v>11</v>
      </c>
      <c r="D1236" s="149">
        <v>350</v>
      </c>
      <c r="E1236" s="149">
        <v>0</v>
      </c>
      <c r="F1236" s="149">
        <v>210500</v>
      </c>
      <c r="G1236" s="149">
        <v>53610</v>
      </c>
      <c r="H1236" s="150" t="str">
        <f t="shared" si="57"/>
        <v>5</v>
      </c>
      <c r="I1236" s="150" t="str">
        <f t="shared" si="58"/>
        <v>53</v>
      </c>
      <c r="J1236" s="150" t="str">
        <f t="shared" si="59"/>
        <v>536</v>
      </c>
      <c r="K1236" s="150" t="s">
        <v>9147</v>
      </c>
      <c r="L1236" s="149" t="s">
        <v>385</v>
      </c>
      <c r="M1236" s="151">
        <v>8212</v>
      </c>
    </row>
    <row r="1237" spans="1:13" s="149" customFormat="1" x14ac:dyDescent="0.25">
      <c r="A1237" s="149" t="s">
        <v>7639</v>
      </c>
      <c r="B1237" s="149" t="s">
        <v>2192</v>
      </c>
      <c r="C1237" s="149">
        <v>11</v>
      </c>
      <c r="D1237" s="149">
        <v>350</v>
      </c>
      <c r="E1237" s="149">
        <v>0</v>
      </c>
      <c r="F1237" s="149">
        <v>210500</v>
      </c>
      <c r="G1237" s="149">
        <v>53620</v>
      </c>
      <c r="H1237" s="150" t="str">
        <f t="shared" si="57"/>
        <v>5</v>
      </c>
      <c r="I1237" s="150" t="str">
        <f t="shared" si="58"/>
        <v>53</v>
      </c>
      <c r="J1237" s="150" t="str">
        <f t="shared" si="59"/>
        <v>536</v>
      </c>
      <c r="K1237" s="150" t="s">
        <v>9148</v>
      </c>
      <c r="L1237" s="149" t="s">
        <v>2193</v>
      </c>
      <c r="M1237" s="151">
        <v>103.05</v>
      </c>
    </row>
    <row r="1238" spans="1:13" s="149" customFormat="1" x14ac:dyDescent="0.25">
      <c r="A1238" s="149" t="s">
        <v>7639</v>
      </c>
      <c r="B1238" s="149" t="s">
        <v>2194</v>
      </c>
      <c r="C1238" s="149">
        <v>11</v>
      </c>
      <c r="D1238" s="149">
        <v>350</v>
      </c>
      <c r="E1238" s="149">
        <v>0</v>
      </c>
      <c r="F1238" s="149">
        <v>210500</v>
      </c>
      <c r="G1238" s="149">
        <v>55309</v>
      </c>
      <c r="H1238" s="150" t="str">
        <f t="shared" si="57"/>
        <v>5</v>
      </c>
      <c r="I1238" s="150" t="str">
        <f t="shared" si="58"/>
        <v>55</v>
      </c>
      <c r="J1238" s="150" t="str">
        <f t="shared" si="59"/>
        <v>553</v>
      </c>
      <c r="K1238" s="150" t="s">
        <v>8108</v>
      </c>
      <c r="L1238" s="149" t="s">
        <v>2195</v>
      </c>
      <c r="M1238" s="151">
        <v>5700</v>
      </c>
    </row>
    <row r="1239" spans="1:13" s="149" customFormat="1" x14ac:dyDescent="0.25">
      <c r="A1239" s="149" t="s">
        <v>7639</v>
      </c>
      <c r="B1239" s="149" t="s">
        <v>2196</v>
      </c>
      <c r="C1239" s="149">
        <v>11</v>
      </c>
      <c r="D1239" s="149">
        <v>350</v>
      </c>
      <c r="E1239" s="149">
        <v>0</v>
      </c>
      <c r="F1239" s="149">
        <v>210500</v>
      </c>
      <c r="G1239" s="149">
        <v>55630</v>
      </c>
      <c r="H1239" s="150" t="str">
        <f t="shared" si="57"/>
        <v>5</v>
      </c>
      <c r="I1239" s="150" t="str">
        <f t="shared" si="58"/>
        <v>55</v>
      </c>
      <c r="J1239" s="150" t="str">
        <f t="shared" si="59"/>
        <v>556</v>
      </c>
      <c r="K1239" s="150" t="s">
        <v>8240</v>
      </c>
      <c r="L1239" s="149" t="s">
        <v>387</v>
      </c>
      <c r="M1239" s="151">
        <v>25</v>
      </c>
    </row>
    <row r="1240" spans="1:13" s="149" customFormat="1" x14ac:dyDescent="0.25">
      <c r="A1240" s="149" t="s">
        <v>7639</v>
      </c>
      <c r="B1240" s="149" t="s">
        <v>2197</v>
      </c>
      <c r="C1240" s="149">
        <v>11</v>
      </c>
      <c r="D1240" s="149">
        <v>350</v>
      </c>
      <c r="E1240" s="149">
        <v>0</v>
      </c>
      <c r="F1240" s="149">
        <v>601000</v>
      </c>
      <c r="G1240" s="149">
        <v>51210</v>
      </c>
      <c r="H1240" s="150" t="str">
        <f t="shared" si="57"/>
        <v>5</v>
      </c>
      <c r="I1240" s="150" t="str">
        <f t="shared" si="58"/>
        <v>51</v>
      </c>
      <c r="J1240" s="150" t="str">
        <f t="shared" si="59"/>
        <v>512</v>
      </c>
      <c r="K1240" s="150" t="s">
        <v>9149</v>
      </c>
      <c r="L1240" s="149" t="s">
        <v>477</v>
      </c>
      <c r="M1240" s="151">
        <v>21806</v>
      </c>
    </row>
    <row r="1241" spans="1:13" s="149" customFormat="1" x14ac:dyDescent="0.25">
      <c r="A1241" s="149" t="s">
        <v>7639</v>
      </c>
      <c r="B1241" s="149" t="s">
        <v>2198</v>
      </c>
      <c r="C1241" s="149">
        <v>11</v>
      </c>
      <c r="D1241" s="149">
        <v>350</v>
      </c>
      <c r="E1241" s="149">
        <v>0</v>
      </c>
      <c r="F1241" s="149">
        <v>601000</v>
      </c>
      <c r="G1241" s="149">
        <v>52105</v>
      </c>
      <c r="H1241" s="150" t="str">
        <f t="shared" si="57"/>
        <v>5</v>
      </c>
      <c r="I1241" s="150" t="str">
        <f t="shared" si="58"/>
        <v>52</v>
      </c>
      <c r="J1241" s="150" t="str">
        <f t="shared" si="59"/>
        <v>521</v>
      </c>
      <c r="K1241" s="150" t="s">
        <v>9150</v>
      </c>
      <c r="L1241" s="149" t="s">
        <v>481</v>
      </c>
      <c r="M1241" s="151">
        <v>5283.12</v>
      </c>
    </row>
    <row r="1242" spans="1:13" s="149" customFormat="1" x14ac:dyDescent="0.25">
      <c r="A1242" s="149" t="s">
        <v>7639</v>
      </c>
      <c r="B1242" s="149" t="s">
        <v>2199</v>
      </c>
      <c r="C1242" s="149">
        <v>11</v>
      </c>
      <c r="D1242" s="149">
        <v>350</v>
      </c>
      <c r="E1242" s="149">
        <v>0</v>
      </c>
      <c r="F1242" s="149">
        <v>601000</v>
      </c>
      <c r="G1242" s="149">
        <v>52360</v>
      </c>
      <c r="H1242" s="150" t="str">
        <f t="shared" si="57"/>
        <v>5</v>
      </c>
      <c r="I1242" s="150" t="str">
        <f t="shared" si="58"/>
        <v>52</v>
      </c>
      <c r="J1242" s="150" t="str">
        <f t="shared" si="59"/>
        <v>523</v>
      </c>
      <c r="K1242" s="150" t="s">
        <v>7874</v>
      </c>
      <c r="L1242" s="149" t="s">
        <v>1008</v>
      </c>
      <c r="M1242" s="151">
        <v>250</v>
      </c>
    </row>
    <row r="1243" spans="1:13" s="149" customFormat="1" x14ac:dyDescent="0.25">
      <c r="A1243" s="149" t="s">
        <v>7639</v>
      </c>
      <c r="B1243" s="149" t="s">
        <v>2200</v>
      </c>
      <c r="C1243" s="149">
        <v>11</v>
      </c>
      <c r="D1243" s="149">
        <v>350</v>
      </c>
      <c r="E1243" s="149">
        <v>0</v>
      </c>
      <c r="F1243" s="149">
        <v>601000</v>
      </c>
      <c r="G1243" s="149">
        <v>53120</v>
      </c>
      <c r="H1243" s="150" t="str">
        <f t="shared" si="57"/>
        <v>5</v>
      </c>
      <c r="I1243" s="150" t="str">
        <f t="shared" si="58"/>
        <v>53</v>
      </c>
      <c r="J1243" s="150" t="str">
        <f t="shared" si="59"/>
        <v>531</v>
      </c>
      <c r="K1243" s="150" t="s">
        <v>9151</v>
      </c>
      <c r="L1243" s="149" t="s">
        <v>485</v>
      </c>
      <c r="M1243" s="151">
        <v>3521.67</v>
      </c>
    </row>
    <row r="1244" spans="1:13" s="149" customFormat="1" x14ac:dyDescent="0.25">
      <c r="A1244" s="149" t="s">
        <v>7639</v>
      </c>
      <c r="B1244" s="149" t="s">
        <v>2201</v>
      </c>
      <c r="C1244" s="149">
        <v>11</v>
      </c>
      <c r="D1244" s="149">
        <v>350</v>
      </c>
      <c r="E1244" s="149">
        <v>0</v>
      </c>
      <c r="F1244" s="149">
        <v>601000</v>
      </c>
      <c r="G1244" s="149">
        <v>53220</v>
      </c>
      <c r="H1244" s="150" t="str">
        <f t="shared" si="57"/>
        <v>5</v>
      </c>
      <c r="I1244" s="150" t="str">
        <f t="shared" si="58"/>
        <v>53</v>
      </c>
      <c r="J1244" s="150" t="str">
        <f t="shared" si="59"/>
        <v>532</v>
      </c>
      <c r="K1244" s="150" t="s">
        <v>9152</v>
      </c>
      <c r="L1244" s="149" t="s">
        <v>487</v>
      </c>
      <c r="M1244" s="151">
        <v>1093.6099999999999</v>
      </c>
    </row>
    <row r="1245" spans="1:13" s="149" customFormat="1" x14ac:dyDescent="0.25">
      <c r="A1245" s="149" t="s">
        <v>7639</v>
      </c>
      <c r="B1245" s="149" t="s">
        <v>2202</v>
      </c>
      <c r="C1245" s="149">
        <v>11</v>
      </c>
      <c r="D1245" s="149">
        <v>350</v>
      </c>
      <c r="E1245" s="149">
        <v>0</v>
      </c>
      <c r="F1245" s="149">
        <v>601000</v>
      </c>
      <c r="G1245" s="149">
        <v>53320</v>
      </c>
      <c r="H1245" s="150" t="str">
        <f t="shared" si="57"/>
        <v>5</v>
      </c>
      <c r="I1245" s="150" t="str">
        <f t="shared" si="58"/>
        <v>53</v>
      </c>
      <c r="J1245" s="150" t="str">
        <f t="shared" si="59"/>
        <v>533</v>
      </c>
      <c r="K1245" s="150" t="s">
        <v>9153</v>
      </c>
      <c r="L1245" s="149" t="s">
        <v>489</v>
      </c>
      <c r="M1245" s="151">
        <v>343.05</v>
      </c>
    </row>
    <row r="1246" spans="1:13" s="149" customFormat="1" x14ac:dyDescent="0.25">
      <c r="A1246" s="149" t="s">
        <v>7639</v>
      </c>
      <c r="B1246" s="149" t="s">
        <v>2203</v>
      </c>
      <c r="C1246" s="149">
        <v>11</v>
      </c>
      <c r="D1246" s="149">
        <v>350</v>
      </c>
      <c r="E1246" s="149">
        <v>0</v>
      </c>
      <c r="F1246" s="149">
        <v>601000</v>
      </c>
      <c r="G1246" s="149">
        <v>53340</v>
      </c>
      <c r="H1246" s="150" t="str">
        <f t="shared" si="57"/>
        <v>5</v>
      </c>
      <c r="I1246" s="150" t="str">
        <f t="shared" si="58"/>
        <v>53</v>
      </c>
      <c r="J1246" s="150" t="str">
        <f t="shared" si="59"/>
        <v>533</v>
      </c>
      <c r="K1246" s="150" t="s">
        <v>9154</v>
      </c>
      <c r="L1246" s="149" t="s">
        <v>491</v>
      </c>
      <c r="M1246" s="151">
        <v>396.43</v>
      </c>
    </row>
    <row r="1247" spans="1:13" s="149" customFormat="1" x14ac:dyDescent="0.25">
      <c r="A1247" s="149" t="s">
        <v>7639</v>
      </c>
      <c r="B1247" s="149" t="s">
        <v>2204</v>
      </c>
      <c r="C1247" s="149">
        <v>11</v>
      </c>
      <c r="D1247" s="149">
        <v>350</v>
      </c>
      <c r="E1247" s="149">
        <v>0</v>
      </c>
      <c r="F1247" s="149">
        <v>601000</v>
      </c>
      <c r="G1247" s="149">
        <v>53420</v>
      </c>
      <c r="H1247" s="150" t="str">
        <f t="shared" si="57"/>
        <v>5</v>
      </c>
      <c r="I1247" s="150" t="str">
        <f t="shared" si="58"/>
        <v>53</v>
      </c>
      <c r="J1247" s="150" t="str">
        <f t="shared" si="59"/>
        <v>534</v>
      </c>
      <c r="K1247" s="150" t="s">
        <v>9155</v>
      </c>
      <c r="L1247" s="149" t="s">
        <v>493</v>
      </c>
      <c r="M1247" s="151">
        <v>5940.47</v>
      </c>
    </row>
    <row r="1248" spans="1:13" s="149" customFormat="1" x14ac:dyDescent="0.25">
      <c r="A1248" s="149" t="s">
        <v>7639</v>
      </c>
      <c r="B1248" s="149" t="s">
        <v>2205</v>
      </c>
      <c r="C1248" s="149">
        <v>11</v>
      </c>
      <c r="D1248" s="149">
        <v>350</v>
      </c>
      <c r="E1248" s="149">
        <v>0</v>
      </c>
      <c r="F1248" s="149">
        <v>601000</v>
      </c>
      <c r="G1248" s="149">
        <v>53520</v>
      </c>
      <c r="H1248" s="150" t="str">
        <f t="shared" si="57"/>
        <v>5</v>
      </c>
      <c r="I1248" s="150" t="str">
        <f t="shared" si="58"/>
        <v>53</v>
      </c>
      <c r="J1248" s="150" t="str">
        <f t="shared" si="59"/>
        <v>535</v>
      </c>
      <c r="K1248" s="150" t="s">
        <v>9156</v>
      </c>
      <c r="L1248" s="149" t="s">
        <v>495</v>
      </c>
      <c r="M1248" s="151">
        <v>13.67</v>
      </c>
    </row>
    <row r="1249" spans="1:13" s="149" customFormat="1" x14ac:dyDescent="0.25">
      <c r="A1249" s="149" t="s">
        <v>7639</v>
      </c>
      <c r="B1249" s="149" t="s">
        <v>2206</v>
      </c>
      <c r="C1249" s="149">
        <v>11</v>
      </c>
      <c r="D1249" s="149">
        <v>350</v>
      </c>
      <c r="E1249" s="149">
        <v>0</v>
      </c>
      <c r="F1249" s="149">
        <v>601000</v>
      </c>
      <c r="G1249" s="149">
        <v>53620</v>
      </c>
      <c r="H1249" s="150" t="str">
        <f t="shared" si="57"/>
        <v>5</v>
      </c>
      <c r="I1249" s="150" t="str">
        <f t="shared" si="58"/>
        <v>53</v>
      </c>
      <c r="J1249" s="150" t="str">
        <f t="shared" si="59"/>
        <v>536</v>
      </c>
      <c r="K1249" s="150" t="s">
        <v>9157</v>
      </c>
      <c r="L1249" s="149" t="s">
        <v>497</v>
      </c>
      <c r="M1249" s="151">
        <v>516.92999999999995</v>
      </c>
    </row>
    <row r="1250" spans="1:13" s="149" customFormat="1" x14ac:dyDescent="0.25">
      <c r="A1250" s="149" t="s">
        <v>7639</v>
      </c>
      <c r="B1250" s="149" t="s">
        <v>2207</v>
      </c>
      <c r="C1250" s="149">
        <v>11</v>
      </c>
      <c r="D1250" s="149">
        <v>350</v>
      </c>
      <c r="E1250" s="149">
        <v>0</v>
      </c>
      <c r="F1250" s="149">
        <v>601000</v>
      </c>
      <c r="G1250" s="149">
        <v>54349</v>
      </c>
      <c r="H1250" s="150" t="str">
        <f t="shared" si="57"/>
        <v>5</v>
      </c>
      <c r="I1250" s="150" t="str">
        <f t="shared" si="58"/>
        <v>54</v>
      </c>
      <c r="J1250" s="150" t="str">
        <f t="shared" si="59"/>
        <v>543</v>
      </c>
      <c r="K1250" s="150" t="s">
        <v>7992</v>
      </c>
      <c r="L1250" s="149" t="s">
        <v>2208</v>
      </c>
      <c r="M1250" s="151">
        <v>200</v>
      </c>
    </row>
    <row r="1251" spans="1:13" s="149" customFormat="1" x14ac:dyDescent="0.25">
      <c r="A1251" s="149" t="s">
        <v>7639</v>
      </c>
      <c r="B1251" s="149" t="s">
        <v>2209</v>
      </c>
      <c r="C1251" s="149">
        <v>11</v>
      </c>
      <c r="D1251" s="149">
        <v>350</v>
      </c>
      <c r="E1251" s="149">
        <v>0</v>
      </c>
      <c r="F1251" s="149">
        <v>601000</v>
      </c>
      <c r="G1251" s="149">
        <v>55630</v>
      </c>
      <c r="H1251" s="150" t="str">
        <f t="shared" si="57"/>
        <v>5</v>
      </c>
      <c r="I1251" s="150" t="str">
        <f t="shared" si="58"/>
        <v>55</v>
      </c>
      <c r="J1251" s="150" t="str">
        <f t="shared" si="59"/>
        <v>556</v>
      </c>
      <c r="K1251" s="150" t="s">
        <v>8241</v>
      </c>
      <c r="L1251" s="149" t="s">
        <v>509</v>
      </c>
      <c r="M1251" s="151">
        <v>10</v>
      </c>
    </row>
    <row r="1252" spans="1:13" s="149" customFormat="1" x14ac:dyDescent="0.25">
      <c r="A1252" s="149" t="s">
        <v>7639</v>
      </c>
      <c r="B1252" s="149" t="s">
        <v>2210</v>
      </c>
      <c r="C1252" s="149">
        <v>11</v>
      </c>
      <c r="D1252" s="149">
        <v>350</v>
      </c>
      <c r="E1252" s="149">
        <v>0</v>
      </c>
      <c r="F1252" s="149">
        <v>703800</v>
      </c>
      <c r="G1252" s="149">
        <v>51412</v>
      </c>
      <c r="H1252" s="150" t="str">
        <f t="shared" si="57"/>
        <v>5</v>
      </c>
      <c r="I1252" s="150" t="str">
        <f t="shared" si="58"/>
        <v>51</v>
      </c>
      <c r="J1252" s="150" t="str">
        <f t="shared" si="59"/>
        <v>514</v>
      </c>
      <c r="K1252" s="150" t="s">
        <v>7796</v>
      </c>
      <c r="L1252" s="149" t="s">
        <v>2211</v>
      </c>
      <c r="M1252" s="151">
        <v>0</v>
      </c>
    </row>
    <row r="1253" spans="1:13" s="149" customFormat="1" x14ac:dyDescent="0.25">
      <c r="A1253" s="149" t="s">
        <v>7639</v>
      </c>
      <c r="B1253" s="149" t="s">
        <v>2212</v>
      </c>
      <c r="C1253" s="149">
        <v>11</v>
      </c>
      <c r="D1253" s="149">
        <v>350</v>
      </c>
      <c r="E1253" s="149">
        <v>0</v>
      </c>
      <c r="F1253" s="149">
        <v>703800</v>
      </c>
      <c r="G1253" s="149">
        <v>52105</v>
      </c>
      <c r="H1253" s="150" t="str">
        <f t="shared" si="57"/>
        <v>5</v>
      </c>
      <c r="I1253" s="150" t="str">
        <f t="shared" si="58"/>
        <v>52</v>
      </c>
      <c r="J1253" s="150" t="str">
        <f t="shared" si="59"/>
        <v>521</v>
      </c>
      <c r="K1253" s="150" t="s">
        <v>9158</v>
      </c>
      <c r="L1253" s="149" t="s">
        <v>1096</v>
      </c>
      <c r="M1253" s="151">
        <v>0</v>
      </c>
    </row>
    <row r="1254" spans="1:13" s="149" customFormat="1" x14ac:dyDescent="0.25">
      <c r="A1254" s="149" t="s">
        <v>7639</v>
      </c>
      <c r="B1254" s="149" t="s">
        <v>2213</v>
      </c>
      <c r="C1254" s="149">
        <v>11</v>
      </c>
      <c r="D1254" s="149">
        <v>350</v>
      </c>
      <c r="E1254" s="149">
        <v>0</v>
      </c>
      <c r="F1254" s="149">
        <v>703800</v>
      </c>
      <c r="G1254" s="149">
        <v>53120</v>
      </c>
      <c r="H1254" s="150" t="str">
        <f t="shared" si="57"/>
        <v>5</v>
      </c>
      <c r="I1254" s="150" t="str">
        <f t="shared" si="58"/>
        <v>53</v>
      </c>
      <c r="J1254" s="150" t="str">
        <f t="shared" si="59"/>
        <v>531</v>
      </c>
      <c r="K1254" s="150" t="s">
        <v>9159</v>
      </c>
      <c r="L1254" s="149" t="s">
        <v>1104</v>
      </c>
      <c r="M1254" s="151">
        <v>0</v>
      </c>
    </row>
    <row r="1255" spans="1:13" s="149" customFormat="1" x14ac:dyDescent="0.25">
      <c r="A1255" s="149" t="s">
        <v>7639</v>
      </c>
      <c r="B1255" s="149" t="s">
        <v>2214</v>
      </c>
      <c r="C1255" s="149">
        <v>11</v>
      </c>
      <c r="D1255" s="149">
        <v>350</v>
      </c>
      <c r="E1255" s="149">
        <v>0</v>
      </c>
      <c r="F1255" s="149">
        <v>703800</v>
      </c>
      <c r="G1255" s="149">
        <v>53220</v>
      </c>
      <c r="H1255" s="150" t="str">
        <f t="shared" si="57"/>
        <v>5</v>
      </c>
      <c r="I1255" s="150" t="str">
        <f t="shared" si="58"/>
        <v>53</v>
      </c>
      <c r="J1255" s="150" t="str">
        <f t="shared" si="59"/>
        <v>532</v>
      </c>
      <c r="K1255" s="150" t="s">
        <v>9160</v>
      </c>
      <c r="L1255" s="149" t="s">
        <v>1106</v>
      </c>
      <c r="M1255" s="151">
        <v>0</v>
      </c>
    </row>
    <row r="1256" spans="1:13" s="149" customFormat="1" x14ac:dyDescent="0.25">
      <c r="A1256" s="149" t="s">
        <v>7639</v>
      </c>
      <c r="B1256" s="149" t="s">
        <v>2215</v>
      </c>
      <c r="C1256" s="149">
        <v>11</v>
      </c>
      <c r="D1256" s="149">
        <v>350</v>
      </c>
      <c r="E1256" s="149">
        <v>0</v>
      </c>
      <c r="F1256" s="149">
        <v>703800</v>
      </c>
      <c r="G1256" s="149">
        <v>53320</v>
      </c>
      <c r="H1256" s="150" t="str">
        <f t="shared" si="57"/>
        <v>5</v>
      </c>
      <c r="I1256" s="150" t="str">
        <f t="shared" si="58"/>
        <v>53</v>
      </c>
      <c r="J1256" s="150" t="str">
        <f t="shared" si="59"/>
        <v>533</v>
      </c>
      <c r="K1256" s="150" t="s">
        <v>9161</v>
      </c>
      <c r="L1256" s="149" t="s">
        <v>1108</v>
      </c>
      <c r="M1256" s="151">
        <v>0</v>
      </c>
    </row>
    <row r="1257" spans="1:13" s="149" customFormat="1" x14ac:dyDescent="0.25">
      <c r="A1257" s="149" t="s">
        <v>7639</v>
      </c>
      <c r="B1257" s="149" t="s">
        <v>2216</v>
      </c>
      <c r="C1257" s="149">
        <v>11</v>
      </c>
      <c r="D1257" s="149">
        <v>350</v>
      </c>
      <c r="E1257" s="149">
        <v>0</v>
      </c>
      <c r="F1257" s="149">
        <v>703800</v>
      </c>
      <c r="G1257" s="149">
        <v>53340</v>
      </c>
      <c r="H1257" s="150" t="str">
        <f t="shared" si="57"/>
        <v>5</v>
      </c>
      <c r="I1257" s="150" t="str">
        <f t="shared" si="58"/>
        <v>53</v>
      </c>
      <c r="J1257" s="150" t="str">
        <f t="shared" si="59"/>
        <v>533</v>
      </c>
      <c r="K1257" s="150" t="s">
        <v>9162</v>
      </c>
      <c r="L1257" s="149" t="s">
        <v>1110</v>
      </c>
      <c r="M1257" s="151">
        <v>0</v>
      </c>
    </row>
    <row r="1258" spans="1:13" s="149" customFormat="1" x14ac:dyDescent="0.25">
      <c r="A1258" s="149" t="s">
        <v>7639</v>
      </c>
      <c r="B1258" s="149" t="s">
        <v>2217</v>
      </c>
      <c r="C1258" s="149">
        <v>11</v>
      </c>
      <c r="D1258" s="149">
        <v>350</v>
      </c>
      <c r="E1258" s="149">
        <v>0</v>
      </c>
      <c r="F1258" s="149">
        <v>703800</v>
      </c>
      <c r="G1258" s="149">
        <v>53420</v>
      </c>
      <c r="H1258" s="150" t="str">
        <f t="shared" si="57"/>
        <v>5</v>
      </c>
      <c r="I1258" s="150" t="str">
        <f t="shared" si="58"/>
        <v>53</v>
      </c>
      <c r="J1258" s="150" t="str">
        <f t="shared" si="59"/>
        <v>534</v>
      </c>
      <c r="K1258" s="150" t="s">
        <v>9163</v>
      </c>
      <c r="L1258" s="149" t="s">
        <v>1112</v>
      </c>
      <c r="M1258" s="151">
        <v>0</v>
      </c>
    </row>
    <row r="1259" spans="1:13" s="149" customFormat="1" x14ac:dyDescent="0.25">
      <c r="A1259" s="149" t="s">
        <v>7639</v>
      </c>
      <c r="B1259" s="149" t="s">
        <v>2218</v>
      </c>
      <c r="C1259" s="149">
        <v>11</v>
      </c>
      <c r="D1259" s="149">
        <v>350</v>
      </c>
      <c r="E1259" s="149">
        <v>0</v>
      </c>
      <c r="F1259" s="149">
        <v>703800</v>
      </c>
      <c r="G1259" s="149">
        <v>53520</v>
      </c>
      <c r="H1259" s="150" t="str">
        <f t="shared" si="57"/>
        <v>5</v>
      </c>
      <c r="I1259" s="150" t="str">
        <f t="shared" si="58"/>
        <v>53</v>
      </c>
      <c r="J1259" s="150" t="str">
        <f t="shared" si="59"/>
        <v>535</v>
      </c>
      <c r="K1259" s="150" t="s">
        <v>9164</v>
      </c>
      <c r="L1259" s="149" t="s">
        <v>1114</v>
      </c>
      <c r="M1259" s="151">
        <v>0</v>
      </c>
    </row>
    <row r="1260" spans="1:13" s="149" customFormat="1" x14ac:dyDescent="0.25">
      <c r="A1260" s="149" t="s">
        <v>7639</v>
      </c>
      <c r="B1260" s="149" t="s">
        <v>2219</v>
      </c>
      <c r="C1260" s="149">
        <v>11</v>
      </c>
      <c r="D1260" s="149">
        <v>350</v>
      </c>
      <c r="E1260" s="149">
        <v>0</v>
      </c>
      <c r="F1260" s="149">
        <v>703800</v>
      </c>
      <c r="G1260" s="149">
        <v>53620</v>
      </c>
      <c r="H1260" s="150" t="str">
        <f t="shared" si="57"/>
        <v>5</v>
      </c>
      <c r="I1260" s="150" t="str">
        <f t="shared" si="58"/>
        <v>53</v>
      </c>
      <c r="J1260" s="150" t="str">
        <f t="shared" si="59"/>
        <v>536</v>
      </c>
      <c r="K1260" s="150" t="s">
        <v>9165</v>
      </c>
      <c r="L1260" s="149" t="s">
        <v>1116</v>
      </c>
      <c r="M1260" s="151">
        <v>0</v>
      </c>
    </row>
    <row r="1261" spans="1:13" s="149" customFormat="1" x14ac:dyDescent="0.25">
      <c r="A1261" s="149" t="s">
        <v>7639</v>
      </c>
      <c r="B1261" s="149" t="s">
        <v>2220</v>
      </c>
      <c r="C1261" s="149">
        <v>11</v>
      </c>
      <c r="D1261" s="149">
        <v>350</v>
      </c>
      <c r="E1261" s="149">
        <v>1</v>
      </c>
      <c r="F1261" s="149">
        <v>10100</v>
      </c>
      <c r="G1261" s="149">
        <v>51100</v>
      </c>
      <c r="H1261" s="150" t="str">
        <f t="shared" si="57"/>
        <v>5</v>
      </c>
      <c r="I1261" s="150" t="str">
        <f t="shared" si="58"/>
        <v>51</v>
      </c>
      <c r="J1261" s="150" t="str">
        <f t="shared" si="59"/>
        <v>511</v>
      </c>
      <c r="K1261" s="150" t="s">
        <v>9166</v>
      </c>
      <c r="L1261" s="149" t="s">
        <v>2221</v>
      </c>
      <c r="M1261" s="151">
        <v>187884</v>
      </c>
    </row>
    <row r="1262" spans="1:13" s="149" customFormat="1" x14ac:dyDescent="0.25">
      <c r="A1262" s="149" t="s">
        <v>7639</v>
      </c>
      <c r="B1262" s="149" t="s">
        <v>2222</v>
      </c>
      <c r="C1262" s="149">
        <v>11</v>
      </c>
      <c r="D1262" s="149">
        <v>350</v>
      </c>
      <c r="E1262" s="149">
        <v>1</v>
      </c>
      <c r="F1262" s="149">
        <v>10100</v>
      </c>
      <c r="G1262" s="149">
        <v>51310</v>
      </c>
      <c r="H1262" s="150" t="str">
        <f t="shared" si="57"/>
        <v>5</v>
      </c>
      <c r="I1262" s="150" t="str">
        <f t="shared" si="58"/>
        <v>51</v>
      </c>
      <c r="J1262" s="150" t="str">
        <f t="shared" si="59"/>
        <v>513</v>
      </c>
      <c r="K1262" s="150" t="s">
        <v>7680</v>
      </c>
      <c r="L1262" s="149" t="s">
        <v>2223</v>
      </c>
      <c r="M1262" s="151">
        <v>25000</v>
      </c>
    </row>
    <row r="1263" spans="1:13" s="149" customFormat="1" x14ac:dyDescent="0.25">
      <c r="A1263" s="149" t="s">
        <v>7639</v>
      </c>
      <c r="B1263" s="149" t="s">
        <v>2224</v>
      </c>
      <c r="C1263" s="149">
        <v>11</v>
      </c>
      <c r="D1263" s="149">
        <v>350</v>
      </c>
      <c r="E1263" s="149">
        <v>1</v>
      </c>
      <c r="F1263" s="149">
        <v>10100</v>
      </c>
      <c r="G1263" s="149">
        <v>51311</v>
      </c>
      <c r="H1263" s="150" t="str">
        <f t="shared" si="57"/>
        <v>5</v>
      </c>
      <c r="I1263" s="150" t="str">
        <f t="shared" si="58"/>
        <v>51</v>
      </c>
      <c r="J1263" s="150" t="str">
        <f t="shared" si="59"/>
        <v>513</v>
      </c>
      <c r="K1263" s="150" t="s">
        <v>7757</v>
      </c>
      <c r="L1263" s="149" t="s">
        <v>2225</v>
      </c>
      <c r="M1263" s="151">
        <v>100266</v>
      </c>
    </row>
    <row r="1264" spans="1:13" s="149" customFormat="1" x14ac:dyDescent="0.25">
      <c r="A1264" s="149" t="s">
        <v>7639</v>
      </c>
      <c r="B1264" s="149" t="s">
        <v>2226</v>
      </c>
      <c r="C1264" s="149">
        <v>11</v>
      </c>
      <c r="D1264" s="149">
        <v>350</v>
      </c>
      <c r="E1264" s="149">
        <v>1</v>
      </c>
      <c r="F1264" s="149">
        <v>10100</v>
      </c>
      <c r="G1264" s="149">
        <v>51412</v>
      </c>
      <c r="H1264" s="150" t="str">
        <f t="shared" si="57"/>
        <v>5</v>
      </c>
      <c r="I1264" s="150" t="str">
        <f t="shared" si="58"/>
        <v>51</v>
      </c>
      <c r="J1264" s="150" t="str">
        <f t="shared" si="59"/>
        <v>514</v>
      </c>
      <c r="K1264" s="150" t="s">
        <v>7797</v>
      </c>
      <c r="L1264" s="149" t="s">
        <v>2227</v>
      </c>
      <c r="M1264" s="151">
        <v>100</v>
      </c>
    </row>
    <row r="1265" spans="1:13" s="149" customFormat="1" x14ac:dyDescent="0.25">
      <c r="A1265" s="149" t="s">
        <v>7639</v>
      </c>
      <c r="B1265" s="149" t="s">
        <v>2228</v>
      </c>
      <c r="C1265" s="149">
        <v>11</v>
      </c>
      <c r="D1265" s="149">
        <v>350</v>
      </c>
      <c r="E1265" s="149">
        <v>1</v>
      </c>
      <c r="F1265" s="149">
        <v>10100</v>
      </c>
      <c r="G1265" s="149">
        <v>52200</v>
      </c>
      <c r="H1265" s="150" t="str">
        <f t="shared" si="57"/>
        <v>5</v>
      </c>
      <c r="I1265" s="150" t="str">
        <f t="shared" si="58"/>
        <v>52</v>
      </c>
      <c r="J1265" s="150" t="str">
        <f t="shared" si="59"/>
        <v>522</v>
      </c>
      <c r="K1265" s="150" t="s">
        <v>9167</v>
      </c>
      <c r="L1265" s="149" t="s">
        <v>2229</v>
      </c>
      <c r="M1265" s="151">
        <v>67893</v>
      </c>
    </row>
    <row r="1266" spans="1:13" s="149" customFormat="1" x14ac:dyDescent="0.25">
      <c r="A1266" s="149" t="s">
        <v>7639</v>
      </c>
      <c r="B1266" s="149" t="s">
        <v>2230</v>
      </c>
      <c r="C1266" s="149">
        <v>11</v>
      </c>
      <c r="D1266" s="149">
        <v>350</v>
      </c>
      <c r="E1266" s="149">
        <v>1</v>
      </c>
      <c r="F1266" s="149">
        <v>10100</v>
      </c>
      <c r="G1266" s="149">
        <v>52300</v>
      </c>
      <c r="H1266" s="150" t="str">
        <f t="shared" si="57"/>
        <v>5</v>
      </c>
      <c r="I1266" s="150" t="str">
        <f t="shared" si="58"/>
        <v>52</v>
      </c>
      <c r="J1266" s="150" t="str">
        <f t="shared" si="59"/>
        <v>523</v>
      </c>
      <c r="K1266" s="150" t="s">
        <v>7827</v>
      </c>
      <c r="L1266" s="149" t="s">
        <v>2231</v>
      </c>
      <c r="M1266" s="151">
        <v>0</v>
      </c>
    </row>
    <row r="1267" spans="1:13" s="149" customFormat="1" x14ac:dyDescent="0.25">
      <c r="A1267" s="149" t="s">
        <v>7639</v>
      </c>
      <c r="B1267" s="149" t="s">
        <v>2232</v>
      </c>
      <c r="C1267" s="149">
        <v>11</v>
      </c>
      <c r="D1267" s="149">
        <v>350</v>
      </c>
      <c r="E1267" s="149">
        <v>1</v>
      </c>
      <c r="F1267" s="149">
        <v>10100</v>
      </c>
      <c r="G1267" s="149">
        <v>53110</v>
      </c>
      <c r="H1267" s="150" t="str">
        <f t="shared" si="57"/>
        <v>5</v>
      </c>
      <c r="I1267" s="150" t="str">
        <f t="shared" si="58"/>
        <v>53</v>
      </c>
      <c r="J1267" s="150" t="str">
        <f t="shared" si="59"/>
        <v>531</v>
      </c>
      <c r="K1267" s="150" t="s">
        <v>9168</v>
      </c>
      <c r="L1267" s="149" t="s">
        <v>2233</v>
      </c>
      <c r="M1267" s="151">
        <v>50573.72</v>
      </c>
    </row>
    <row r="1268" spans="1:13" s="149" customFormat="1" x14ac:dyDescent="0.25">
      <c r="A1268" s="149" t="s">
        <v>7639</v>
      </c>
      <c r="B1268" s="149" t="s">
        <v>2234</v>
      </c>
      <c r="C1268" s="149">
        <v>11</v>
      </c>
      <c r="D1268" s="149">
        <v>350</v>
      </c>
      <c r="E1268" s="149">
        <v>1</v>
      </c>
      <c r="F1268" s="149">
        <v>10100</v>
      </c>
      <c r="G1268" s="149">
        <v>53120</v>
      </c>
      <c r="H1268" s="150" t="str">
        <f t="shared" si="57"/>
        <v>5</v>
      </c>
      <c r="I1268" s="150" t="str">
        <f t="shared" si="58"/>
        <v>53</v>
      </c>
      <c r="J1268" s="150" t="str">
        <f t="shared" si="59"/>
        <v>531</v>
      </c>
      <c r="K1268" s="150" t="s">
        <v>9169</v>
      </c>
      <c r="L1268" s="149" t="s">
        <v>2235</v>
      </c>
      <c r="M1268" s="151">
        <v>16.149999999999999</v>
      </c>
    </row>
    <row r="1269" spans="1:13" s="149" customFormat="1" x14ac:dyDescent="0.25">
      <c r="A1269" s="149" t="s">
        <v>7639</v>
      </c>
      <c r="B1269" s="149" t="s">
        <v>2236</v>
      </c>
      <c r="C1269" s="149">
        <v>11</v>
      </c>
      <c r="D1269" s="149">
        <v>350</v>
      </c>
      <c r="E1269" s="149">
        <v>1</v>
      </c>
      <c r="F1269" s="149">
        <v>10100</v>
      </c>
      <c r="G1269" s="149">
        <v>53210</v>
      </c>
      <c r="H1269" s="150" t="str">
        <f t="shared" si="57"/>
        <v>5</v>
      </c>
      <c r="I1269" s="150" t="str">
        <f t="shared" si="58"/>
        <v>53</v>
      </c>
      <c r="J1269" s="150" t="str">
        <f t="shared" si="59"/>
        <v>532</v>
      </c>
      <c r="K1269" s="150" t="s">
        <v>9170</v>
      </c>
      <c r="L1269" s="149" t="s">
        <v>2237</v>
      </c>
      <c r="M1269" s="151">
        <v>14053.85</v>
      </c>
    </row>
    <row r="1270" spans="1:13" s="149" customFormat="1" x14ac:dyDescent="0.25">
      <c r="A1270" s="149" t="s">
        <v>7639</v>
      </c>
      <c r="B1270" s="149" t="s">
        <v>2238</v>
      </c>
      <c r="C1270" s="149">
        <v>11</v>
      </c>
      <c r="D1270" s="149">
        <v>350</v>
      </c>
      <c r="E1270" s="149">
        <v>1</v>
      </c>
      <c r="F1270" s="149">
        <v>10100</v>
      </c>
      <c r="G1270" s="149">
        <v>53310</v>
      </c>
      <c r="H1270" s="150" t="str">
        <f t="shared" si="57"/>
        <v>5</v>
      </c>
      <c r="I1270" s="150" t="str">
        <f t="shared" si="58"/>
        <v>53</v>
      </c>
      <c r="J1270" s="150" t="str">
        <f t="shared" si="59"/>
        <v>533</v>
      </c>
      <c r="K1270" s="150" t="s">
        <v>9171</v>
      </c>
      <c r="L1270" s="149" t="s">
        <v>2239</v>
      </c>
      <c r="M1270" s="151">
        <v>4209.37</v>
      </c>
    </row>
    <row r="1271" spans="1:13" s="149" customFormat="1" x14ac:dyDescent="0.25">
      <c r="A1271" s="149" t="s">
        <v>7639</v>
      </c>
      <c r="B1271" s="149" t="s">
        <v>2240</v>
      </c>
      <c r="C1271" s="149">
        <v>11</v>
      </c>
      <c r="D1271" s="149">
        <v>350</v>
      </c>
      <c r="E1271" s="149">
        <v>1</v>
      </c>
      <c r="F1271" s="149">
        <v>10100</v>
      </c>
      <c r="G1271" s="149">
        <v>53320</v>
      </c>
      <c r="H1271" s="150" t="str">
        <f t="shared" si="57"/>
        <v>5</v>
      </c>
      <c r="I1271" s="150" t="str">
        <f t="shared" si="58"/>
        <v>53</v>
      </c>
      <c r="J1271" s="150" t="str">
        <f t="shared" si="59"/>
        <v>533</v>
      </c>
      <c r="K1271" s="150" t="s">
        <v>9172</v>
      </c>
      <c r="L1271" s="149" t="s">
        <v>2241</v>
      </c>
      <c r="M1271" s="151">
        <v>0</v>
      </c>
    </row>
    <row r="1272" spans="1:13" s="149" customFormat="1" x14ac:dyDescent="0.25">
      <c r="A1272" s="149" t="s">
        <v>7639</v>
      </c>
      <c r="B1272" s="149" t="s">
        <v>2242</v>
      </c>
      <c r="C1272" s="149">
        <v>11</v>
      </c>
      <c r="D1272" s="149">
        <v>350</v>
      </c>
      <c r="E1272" s="149">
        <v>1</v>
      </c>
      <c r="F1272" s="149">
        <v>10100</v>
      </c>
      <c r="G1272" s="149">
        <v>53330</v>
      </c>
      <c r="H1272" s="150" t="str">
        <f t="shared" si="57"/>
        <v>5</v>
      </c>
      <c r="I1272" s="150" t="str">
        <f t="shared" si="58"/>
        <v>53</v>
      </c>
      <c r="J1272" s="150" t="str">
        <f t="shared" si="59"/>
        <v>533</v>
      </c>
      <c r="K1272" s="150" t="s">
        <v>9173</v>
      </c>
      <c r="L1272" s="149" t="s">
        <v>2243</v>
      </c>
      <c r="M1272" s="151">
        <v>5525.13</v>
      </c>
    </row>
    <row r="1273" spans="1:13" s="149" customFormat="1" x14ac:dyDescent="0.25">
      <c r="A1273" s="149" t="s">
        <v>7639</v>
      </c>
      <c r="B1273" s="149" t="s">
        <v>2244</v>
      </c>
      <c r="C1273" s="149">
        <v>11</v>
      </c>
      <c r="D1273" s="149">
        <v>350</v>
      </c>
      <c r="E1273" s="149">
        <v>1</v>
      </c>
      <c r="F1273" s="149">
        <v>10100</v>
      </c>
      <c r="G1273" s="149">
        <v>53340</v>
      </c>
      <c r="H1273" s="150" t="str">
        <f t="shared" si="57"/>
        <v>5</v>
      </c>
      <c r="I1273" s="150" t="str">
        <f t="shared" si="58"/>
        <v>53</v>
      </c>
      <c r="J1273" s="150" t="str">
        <f t="shared" si="59"/>
        <v>533</v>
      </c>
      <c r="K1273" s="150" t="s">
        <v>9174</v>
      </c>
      <c r="L1273" s="149" t="s">
        <v>2245</v>
      </c>
      <c r="M1273" s="151">
        <v>1.45</v>
      </c>
    </row>
    <row r="1274" spans="1:13" s="149" customFormat="1" x14ac:dyDescent="0.25">
      <c r="A1274" s="149" t="s">
        <v>7639</v>
      </c>
      <c r="B1274" s="149" t="s">
        <v>2246</v>
      </c>
      <c r="C1274" s="149">
        <v>11</v>
      </c>
      <c r="D1274" s="149">
        <v>350</v>
      </c>
      <c r="E1274" s="149">
        <v>1</v>
      </c>
      <c r="F1274" s="149">
        <v>10100</v>
      </c>
      <c r="G1274" s="149">
        <v>53410</v>
      </c>
      <c r="H1274" s="150" t="str">
        <f t="shared" si="57"/>
        <v>5</v>
      </c>
      <c r="I1274" s="150" t="str">
        <f t="shared" si="58"/>
        <v>53</v>
      </c>
      <c r="J1274" s="150" t="str">
        <f t="shared" si="59"/>
        <v>534</v>
      </c>
      <c r="K1274" s="150" t="s">
        <v>9175</v>
      </c>
      <c r="L1274" s="149" t="s">
        <v>2247</v>
      </c>
      <c r="M1274" s="151">
        <v>63703.58</v>
      </c>
    </row>
    <row r="1275" spans="1:13" s="149" customFormat="1" x14ac:dyDescent="0.25">
      <c r="A1275" s="149" t="s">
        <v>7639</v>
      </c>
      <c r="B1275" s="149" t="s">
        <v>2248</v>
      </c>
      <c r="C1275" s="149">
        <v>11</v>
      </c>
      <c r="D1275" s="149">
        <v>350</v>
      </c>
      <c r="E1275" s="149">
        <v>1</v>
      </c>
      <c r="F1275" s="149">
        <v>10100</v>
      </c>
      <c r="G1275" s="149">
        <v>53510</v>
      </c>
      <c r="H1275" s="150" t="str">
        <f t="shared" si="57"/>
        <v>5</v>
      </c>
      <c r="I1275" s="150" t="str">
        <f t="shared" si="58"/>
        <v>53</v>
      </c>
      <c r="J1275" s="150" t="str">
        <f t="shared" si="59"/>
        <v>535</v>
      </c>
      <c r="K1275" s="150" t="s">
        <v>9176</v>
      </c>
      <c r="L1275" s="149" t="s">
        <v>2249</v>
      </c>
      <c r="M1275" s="151">
        <v>190.52</v>
      </c>
    </row>
    <row r="1276" spans="1:13" s="149" customFormat="1" x14ac:dyDescent="0.25">
      <c r="A1276" s="149" t="s">
        <v>7639</v>
      </c>
      <c r="B1276" s="149" t="s">
        <v>2250</v>
      </c>
      <c r="C1276" s="149">
        <v>11</v>
      </c>
      <c r="D1276" s="149">
        <v>350</v>
      </c>
      <c r="E1276" s="149">
        <v>1</v>
      </c>
      <c r="F1276" s="149">
        <v>10100</v>
      </c>
      <c r="G1276" s="149">
        <v>53520</v>
      </c>
      <c r="H1276" s="150" t="str">
        <f t="shared" si="57"/>
        <v>5</v>
      </c>
      <c r="I1276" s="150" t="str">
        <f t="shared" si="58"/>
        <v>53</v>
      </c>
      <c r="J1276" s="150" t="str">
        <f t="shared" si="59"/>
        <v>535</v>
      </c>
      <c r="K1276" s="150" t="s">
        <v>9177</v>
      </c>
      <c r="L1276" s="149" t="s">
        <v>2251</v>
      </c>
      <c r="M1276" s="151">
        <v>0.05</v>
      </c>
    </row>
    <row r="1277" spans="1:13" s="149" customFormat="1" x14ac:dyDescent="0.25">
      <c r="A1277" s="149" t="s">
        <v>7639</v>
      </c>
      <c r="B1277" s="149" t="s">
        <v>2252</v>
      </c>
      <c r="C1277" s="149">
        <v>11</v>
      </c>
      <c r="D1277" s="149">
        <v>350</v>
      </c>
      <c r="E1277" s="149">
        <v>1</v>
      </c>
      <c r="F1277" s="149">
        <v>10100</v>
      </c>
      <c r="G1277" s="149">
        <v>53610</v>
      </c>
      <c r="H1277" s="150" t="str">
        <f t="shared" si="57"/>
        <v>5</v>
      </c>
      <c r="I1277" s="150" t="str">
        <f t="shared" si="58"/>
        <v>53</v>
      </c>
      <c r="J1277" s="150" t="str">
        <f t="shared" si="59"/>
        <v>536</v>
      </c>
      <c r="K1277" s="150" t="s">
        <v>9178</v>
      </c>
      <c r="L1277" s="149" t="s">
        <v>2253</v>
      </c>
      <c r="M1277" s="151">
        <v>9604.76</v>
      </c>
    </row>
    <row r="1278" spans="1:13" s="149" customFormat="1" x14ac:dyDescent="0.25">
      <c r="A1278" s="149" t="s">
        <v>7639</v>
      </c>
      <c r="B1278" s="149" t="s">
        <v>2254</v>
      </c>
      <c r="C1278" s="149">
        <v>11</v>
      </c>
      <c r="D1278" s="149">
        <v>350</v>
      </c>
      <c r="E1278" s="149">
        <v>1</v>
      </c>
      <c r="F1278" s="149">
        <v>10100</v>
      </c>
      <c r="G1278" s="149">
        <v>53620</v>
      </c>
      <c r="H1278" s="150" t="str">
        <f t="shared" si="57"/>
        <v>5</v>
      </c>
      <c r="I1278" s="150" t="str">
        <f t="shared" si="58"/>
        <v>53</v>
      </c>
      <c r="J1278" s="150" t="str">
        <f t="shared" si="59"/>
        <v>536</v>
      </c>
      <c r="K1278" s="150" t="s">
        <v>9179</v>
      </c>
      <c r="L1278" s="149" t="s">
        <v>2255</v>
      </c>
      <c r="M1278" s="151">
        <v>1.89</v>
      </c>
    </row>
    <row r="1279" spans="1:13" s="149" customFormat="1" x14ac:dyDescent="0.25">
      <c r="A1279" s="149" t="s">
        <v>7639</v>
      </c>
      <c r="B1279" s="149" t="s">
        <v>2256</v>
      </c>
      <c r="C1279" s="149">
        <v>11</v>
      </c>
      <c r="D1279" s="149">
        <v>350</v>
      </c>
      <c r="E1279" s="149">
        <v>1</v>
      </c>
      <c r="F1279" s="149">
        <v>10100</v>
      </c>
      <c r="G1279" s="149">
        <v>53910</v>
      </c>
      <c r="H1279" s="150" t="str">
        <f t="shared" si="57"/>
        <v>5</v>
      </c>
      <c r="I1279" s="150" t="str">
        <f t="shared" si="58"/>
        <v>53</v>
      </c>
      <c r="J1279" s="150" t="str">
        <f t="shared" si="59"/>
        <v>539</v>
      </c>
      <c r="K1279" s="150" t="s">
        <v>9180</v>
      </c>
      <c r="L1279" s="149" t="s">
        <v>2257</v>
      </c>
      <c r="M1279" s="151">
        <v>0</v>
      </c>
    </row>
    <row r="1280" spans="1:13" s="149" customFormat="1" x14ac:dyDescent="0.25">
      <c r="A1280" s="149" t="s">
        <v>7639</v>
      </c>
      <c r="B1280" s="149" t="s">
        <v>2258</v>
      </c>
      <c r="C1280" s="149">
        <v>11</v>
      </c>
      <c r="D1280" s="149">
        <v>350</v>
      </c>
      <c r="E1280" s="149">
        <v>1</v>
      </c>
      <c r="F1280" s="149">
        <v>10100</v>
      </c>
      <c r="G1280" s="149">
        <v>54300</v>
      </c>
      <c r="H1280" s="150" t="str">
        <f t="shared" si="57"/>
        <v>5</v>
      </c>
      <c r="I1280" s="150" t="str">
        <f t="shared" si="58"/>
        <v>54</v>
      </c>
      <c r="J1280" s="150" t="str">
        <f t="shared" si="59"/>
        <v>543</v>
      </c>
      <c r="K1280" s="150" t="s">
        <v>7953</v>
      </c>
      <c r="L1280" s="149" t="s">
        <v>2259</v>
      </c>
      <c r="M1280" s="151">
        <v>1000</v>
      </c>
    </row>
    <row r="1281" spans="1:13" s="149" customFormat="1" x14ac:dyDescent="0.25">
      <c r="A1281" s="149" t="s">
        <v>7639</v>
      </c>
      <c r="B1281" s="149" t="s">
        <v>2260</v>
      </c>
      <c r="C1281" s="149">
        <v>11</v>
      </c>
      <c r="D1281" s="149">
        <v>350</v>
      </c>
      <c r="E1281" s="149">
        <v>1</v>
      </c>
      <c r="F1281" s="149">
        <v>10100</v>
      </c>
      <c r="G1281" s="149">
        <v>55200</v>
      </c>
      <c r="H1281" s="150" t="str">
        <f t="shared" si="57"/>
        <v>5</v>
      </c>
      <c r="I1281" s="150" t="str">
        <f t="shared" si="58"/>
        <v>55</v>
      </c>
      <c r="J1281" s="150" t="str">
        <f t="shared" si="59"/>
        <v>552</v>
      </c>
      <c r="K1281" s="150" t="s">
        <v>8054</v>
      </c>
      <c r="L1281" s="149" t="s">
        <v>2261</v>
      </c>
      <c r="M1281" s="151">
        <v>0</v>
      </c>
    </row>
    <row r="1282" spans="1:13" s="149" customFormat="1" x14ac:dyDescent="0.25">
      <c r="A1282" s="149" t="s">
        <v>7639</v>
      </c>
      <c r="B1282" s="149" t="s">
        <v>2262</v>
      </c>
      <c r="C1282" s="149">
        <v>11</v>
      </c>
      <c r="D1282" s="149">
        <v>350</v>
      </c>
      <c r="E1282" s="149">
        <v>1</v>
      </c>
      <c r="F1282" s="149">
        <v>10100</v>
      </c>
      <c r="G1282" s="149">
        <v>55300</v>
      </c>
      <c r="H1282" s="150" t="str">
        <f t="shared" si="57"/>
        <v>5</v>
      </c>
      <c r="I1282" s="150" t="str">
        <f t="shared" si="58"/>
        <v>55</v>
      </c>
      <c r="J1282" s="150" t="str">
        <f t="shared" si="59"/>
        <v>553</v>
      </c>
      <c r="K1282" s="150" t="s">
        <v>8090</v>
      </c>
      <c r="L1282" s="149" t="s">
        <v>2263</v>
      </c>
      <c r="M1282" s="151">
        <v>250</v>
      </c>
    </row>
    <row r="1283" spans="1:13" s="149" customFormat="1" x14ac:dyDescent="0.25">
      <c r="A1283" s="149" t="s">
        <v>7639</v>
      </c>
      <c r="B1283" s="149" t="s">
        <v>2264</v>
      </c>
      <c r="C1283" s="149">
        <v>11</v>
      </c>
      <c r="D1283" s="149">
        <v>350</v>
      </c>
      <c r="E1283" s="149">
        <v>1</v>
      </c>
      <c r="F1283" s="149">
        <v>10100</v>
      </c>
      <c r="G1283" s="149">
        <v>55560</v>
      </c>
      <c r="H1283" s="150" t="str">
        <f t="shared" ref="H1283:H1346" si="60">LEFT(G1283,1)</f>
        <v>5</v>
      </c>
      <c r="I1283" s="150" t="str">
        <f t="shared" ref="I1283:I1346" si="61">LEFT(G1283,2)</f>
        <v>55</v>
      </c>
      <c r="J1283" s="150" t="str">
        <f t="shared" ref="J1283:J1346" si="62">LEFT(G1283,3)</f>
        <v>555</v>
      </c>
      <c r="K1283" s="150" t="s">
        <v>8138</v>
      </c>
      <c r="L1283" s="149" t="s">
        <v>2265</v>
      </c>
      <c r="M1283" s="151">
        <v>1000</v>
      </c>
    </row>
    <row r="1284" spans="1:13" s="149" customFormat="1" x14ac:dyDescent="0.25">
      <c r="A1284" s="149" t="s">
        <v>7639</v>
      </c>
      <c r="B1284" s="149" t="s">
        <v>2266</v>
      </c>
      <c r="C1284" s="149">
        <v>11</v>
      </c>
      <c r="D1284" s="149">
        <v>350</v>
      </c>
      <c r="E1284" s="149">
        <v>1</v>
      </c>
      <c r="F1284" s="149">
        <v>10100</v>
      </c>
      <c r="G1284" s="149">
        <v>55630</v>
      </c>
      <c r="H1284" s="150" t="str">
        <f t="shared" si="60"/>
        <v>5</v>
      </c>
      <c r="I1284" s="150" t="str">
        <f t="shared" si="61"/>
        <v>55</v>
      </c>
      <c r="J1284" s="150" t="str">
        <f t="shared" si="62"/>
        <v>556</v>
      </c>
      <c r="K1284" s="150" t="s">
        <v>8242</v>
      </c>
      <c r="L1284" s="149" t="s">
        <v>2267</v>
      </c>
      <c r="M1284" s="151">
        <v>35</v>
      </c>
    </row>
    <row r="1285" spans="1:13" s="149" customFormat="1" x14ac:dyDescent="0.25">
      <c r="A1285" s="149" t="s">
        <v>7639</v>
      </c>
      <c r="B1285" s="149" t="s">
        <v>2268</v>
      </c>
      <c r="C1285" s="149">
        <v>11</v>
      </c>
      <c r="D1285" s="149">
        <v>350</v>
      </c>
      <c r="E1285" s="149">
        <v>1</v>
      </c>
      <c r="F1285" s="149">
        <v>10100</v>
      </c>
      <c r="G1285" s="149">
        <v>55635</v>
      </c>
      <c r="H1285" s="150" t="str">
        <f t="shared" si="60"/>
        <v>5</v>
      </c>
      <c r="I1285" s="150" t="str">
        <f t="shared" si="61"/>
        <v>55</v>
      </c>
      <c r="J1285" s="150" t="str">
        <f t="shared" si="62"/>
        <v>556</v>
      </c>
      <c r="K1285" s="150" t="s">
        <v>8280</v>
      </c>
      <c r="L1285" s="149" t="s">
        <v>2269</v>
      </c>
      <c r="M1285" s="151">
        <v>107</v>
      </c>
    </row>
    <row r="1286" spans="1:13" s="149" customFormat="1" x14ac:dyDescent="0.25">
      <c r="A1286" s="149" t="s">
        <v>7639</v>
      </c>
      <c r="B1286" s="149" t="s">
        <v>2270</v>
      </c>
      <c r="C1286" s="149">
        <v>11</v>
      </c>
      <c r="D1286" s="149">
        <v>350</v>
      </c>
      <c r="E1286" s="149">
        <v>1</v>
      </c>
      <c r="F1286" s="149">
        <v>10100</v>
      </c>
      <c r="G1286" s="149">
        <v>55650</v>
      </c>
      <c r="H1286" s="150" t="str">
        <f t="shared" si="60"/>
        <v>5</v>
      </c>
      <c r="I1286" s="150" t="str">
        <f t="shared" si="61"/>
        <v>55</v>
      </c>
      <c r="J1286" s="150" t="str">
        <f t="shared" si="62"/>
        <v>556</v>
      </c>
      <c r="K1286" s="150" t="s">
        <v>8304</v>
      </c>
      <c r="L1286" s="149" t="s">
        <v>2271</v>
      </c>
      <c r="M1286" s="151">
        <v>1150</v>
      </c>
    </row>
    <row r="1287" spans="1:13" s="149" customFormat="1" x14ac:dyDescent="0.25">
      <c r="A1287" s="149" t="s">
        <v>7639</v>
      </c>
      <c r="B1287" s="149" t="s">
        <v>2272</v>
      </c>
      <c r="C1287" s="149">
        <v>11</v>
      </c>
      <c r="D1287" s="149">
        <v>350</v>
      </c>
      <c r="E1287" s="149">
        <v>1</v>
      </c>
      <c r="F1287" s="149">
        <v>70100</v>
      </c>
      <c r="G1287" s="149">
        <v>51100</v>
      </c>
      <c r="H1287" s="150" t="str">
        <f t="shared" si="60"/>
        <v>5</v>
      </c>
      <c r="I1287" s="150" t="str">
        <f t="shared" si="61"/>
        <v>51</v>
      </c>
      <c r="J1287" s="150" t="str">
        <f t="shared" si="62"/>
        <v>511</v>
      </c>
      <c r="K1287" s="150" t="s">
        <v>9181</v>
      </c>
      <c r="L1287" s="149" t="s">
        <v>1892</v>
      </c>
      <c r="M1287" s="151">
        <v>72937.2</v>
      </c>
    </row>
    <row r="1288" spans="1:13" s="149" customFormat="1" x14ac:dyDescent="0.25">
      <c r="A1288" s="149" t="s">
        <v>7639</v>
      </c>
      <c r="B1288" s="149" t="s">
        <v>2273</v>
      </c>
      <c r="C1288" s="149">
        <v>11</v>
      </c>
      <c r="D1288" s="149">
        <v>350</v>
      </c>
      <c r="E1288" s="149">
        <v>1</v>
      </c>
      <c r="F1288" s="149">
        <v>70100</v>
      </c>
      <c r="G1288" s="149">
        <v>51200</v>
      </c>
      <c r="H1288" s="150" t="str">
        <f t="shared" si="60"/>
        <v>5</v>
      </c>
      <c r="I1288" s="150" t="str">
        <f t="shared" si="61"/>
        <v>51</v>
      </c>
      <c r="J1288" s="150" t="str">
        <f t="shared" si="62"/>
        <v>512</v>
      </c>
      <c r="K1288" s="150" t="s">
        <v>9182</v>
      </c>
      <c r="L1288" s="149" t="s">
        <v>2274</v>
      </c>
      <c r="M1288" s="151">
        <v>20839.2</v>
      </c>
    </row>
    <row r="1289" spans="1:13" s="149" customFormat="1" x14ac:dyDescent="0.25">
      <c r="A1289" s="149" t="s">
        <v>7639</v>
      </c>
      <c r="B1289" s="149" t="s">
        <v>2275</v>
      </c>
      <c r="C1289" s="149">
        <v>11</v>
      </c>
      <c r="D1289" s="149">
        <v>350</v>
      </c>
      <c r="E1289" s="149">
        <v>1</v>
      </c>
      <c r="F1289" s="149">
        <v>70100</v>
      </c>
      <c r="G1289" s="149">
        <v>51311</v>
      </c>
      <c r="H1289" s="150" t="str">
        <f t="shared" si="60"/>
        <v>5</v>
      </c>
      <c r="I1289" s="150" t="str">
        <f t="shared" si="61"/>
        <v>51</v>
      </c>
      <c r="J1289" s="150" t="str">
        <f t="shared" si="62"/>
        <v>513</v>
      </c>
      <c r="K1289" s="150" t="s">
        <v>7758</v>
      </c>
      <c r="L1289" s="149" t="s">
        <v>241</v>
      </c>
      <c r="M1289" s="151">
        <v>0</v>
      </c>
    </row>
    <row r="1290" spans="1:13" s="149" customFormat="1" x14ac:dyDescent="0.25">
      <c r="A1290" s="149" t="s">
        <v>7639</v>
      </c>
      <c r="B1290" s="149" t="s">
        <v>2276</v>
      </c>
      <c r="C1290" s="149">
        <v>11</v>
      </c>
      <c r="D1290" s="149">
        <v>350</v>
      </c>
      <c r="E1290" s="149">
        <v>1</v>
      </c>
      <c r="F1290" s="149">
        <v>70100</v>
      </c>
      <c r="G1290" s="149">
        <v>53110</v>
      </c>
      <c r="H1290" s="150" t="str">
        <f t="shared" si="60"/>
        <v>5</v>
      </c>
      <c r="I1290" s="150" t="str">
        <f t="shared" si="61"/>
        <v>53</v>
      </c>
      <c r="J1290" s="150" t="str">
        <f t="shared" si="62"/>
        <v>531</v>
      </c>
      <c r="K1290" s="150" t="s">
        <v>9183</v>
      </c>
      <c r="L1290" s="149" t="s">
        <v>243</v>
      </c>
      <c r="M1290" s="151">
        <v>11779.36</v>
      </c>
    </row>
    <row r="1291" spans="1:13" s="149" customFormat="1" x14ac:dyDescent="0.25">
      <c r="A1291" s="149" t="s">
        <v>7639</v>
      </c>
      <c r="B1291" s="149" t="s">
        <v>2277</v>
      </c>
      <c r="C1291" s="149">
        <v>11</v>
      </c>
      <c r="D1291" s="149">
        <v>350</v>
      </c>
      <c r="E1291" s="149">
        <v>1</v>
      </c>
      <c r="F1291" s="149">
        <v>70100</v>
      </c>
      <c r="G1291" s="149">
        <v>53120</v>
      </c>
      <c r="H1291" s="150" t="str">
        <f t="shared" si="60"/>
        <v>5</v>
      </c>
      <c r="I1291" s="150" t="str">
        <f t="shared" si="61"/>
        <v>53</v>
      </c>
      <c r="J1291" s="150" t="str">
        <f t="shared" si="62"/>
        <v>531</v>
      </c>
      <c r="K1291" s="150" t="s">
        <v>9184</v>
      </c>
      <c r="L1291" s="149" t="s">
        <v>2278</v>
      </c>
      <c r="M1291" s="151">
        <v>3365.53</v>
      </c>
    </row>
    <row r="1292" spans="1:13" s="149" customFormat="1" x14ac:dyDescent="0.25">
      <c r="A1292" s="149" t="s">
        <v>7639</v>
      </c>
      <c r="B1292" s="149" t="s">
        <v>2279</v>
      </c>
      <c r="C1292" s="149">
        <v>11</v>
      </c>
      <c r="D1292" s="149">
        <v>350</v>
      </c>
      <c r="E1292" s="149">
        <v>1</v>
      </c>
      <c r="F1292" s="149">
        <v>70100</v>
      </c>
      <c r="G1292" s="149">
        <v>53330</v>
      </c>
      <c r="H1292" s="150" t="str">
        <f t="shared" si="60"/>
        <v>5</v>
      </c>
      <c r="I1292" s="150" t="str">
        <f t="shared" si="61"/>
        <v>53</v>
      </c>
      <c r="J1292" s="150" t="str">
        <f t="shared" si="62"/>
        <v>533</v>
      </c>
      <c r="K1292" s="150" t="s">
        <v>9185</v>
      </c>
      <c r="L1292" s="149" t="s">
        <v>245</v>
      </c>
      <c r="M1292" s="151">
        <v>1057.5899999999999</v>
      </c>
    </row>
    <row r="1293" spans="1:13" s="149" customFormat="1" x14ac:dyDescent="0.25">
      <c r="A1293" s="149" t="s">
        <v>7639</v>
      </c>
      <c r="B1293" s="149" t="s">
        <v>2280</v>
      </c>
      <c r="C1293" s="149">
        <v>11</v>
      </c>
      <c r="D1293" s="149">
        <v>350</v>
      </c>
      <c r="E1293" s="149">
        <v>1</v>
      </c>
      <c r="F1293" s="149">
        <v>70100</v>
      </c>
      <c r="G1293" s="149">
        <v>53340</v>
      </c>
      <c r="H1293" s="150" t="str">
        <f t="shared" si="60"/>
        <v>5</v>
      </c>
      <c r="I1293" s="150" t="str">
        <f t="shared" si="61"/>
        <v>53</v>
      </c>
      <c r="J1293" s="150" t="str">
        <f t="shared" si="62"/>
        <v>533</v>
      </c>
      <c r="K1293" s="150" t="s">
        <v>9186</v>
      </c>
      <c r="L1293" s="149" t="s">
        <v>2281</v>
      </c>
      <c r="M1293" s="151">
        <v>302.17</v>
      </c>
    </row>
    <row r="1294" spans="1:13" s="149" customFormat="1" x14ac:dyDescent="0.25">
      <c r="A1294" s="149" t="s">
        <v>7639</v>
      </c>
      <c r="B1294" s="149" t="s">
        <v>2282</v>
      </c>
      <c r="C1294" s="149">
        <v>11</v>
      </c>
      <c r="D1294" s="149">
        <v>350</v>
      </c>
      <c r="E1294" s="149">
        <v>1</v>
      </c>
      <c r="F1294" s="149">
        <v>70100</v>
      </c>
      <c r="G1294" s="149">
        <v>53410</v>
      </c>
      <c r="H1294" s="150" t="str">
        <f t="shared" si="60"/>
        <v>5</v>
      </c>
      <c r="I1294" s="150" t="str">
        <f t="shared" si="61"/>
        <v>53</v>
      </c>
      <c r="J1294" s="150" t="str">
        <f t="shared" si="62"/>
        <v>534</v>
      </c>
      <c r="K1294" s="150" t="s">
        <v>9187</v>
      </c>
      <c r="L1294" s="149" t="s">
        <v>1898</v>
      </c>
      <c r="M1294" s="151">
        <v>17668.509999999998</v>
      </c>
    </row>
    <row r="1295" spans="1:13" s="149" customFormat="1" x14ac:dyDescent="0.25">
      <c r="A1295" s="149" t="s">
        <v>7639</v>
      </c>
      <c r="B1295" s="149" t="s">
        <v>2283</v>
      </c>
      <c r="C1295" s="149">
        <v>11</v>
      </c>
      <c r="D1295" s="149">
        <v>350</v>
      </c>
      <c r="E1295" s="149">
        <v>1</v>
      </c>
      <c r="F1295" s="149">
        <v>70100</v>
      </c>
      <c r="G1295" s="149">
        <v>53420</v>
      </c>
      <c r="H1295" s="150" t="str">
        <f t="shared" si="60"/>
        <v>5</v>
      </c>
      <c r="I1295" s="150" t="str">
        <f t="shared" si="61"/>
        <v>53</v>
      </c>
      <c r="J1295" s="150" t="str">
        <f t="shared" si="62"/>
        <v>534</v>
      </c>
      <c r="K1295" s="150" t="s">
        <v>9188</v>
      </c>
      <c r="L1295" s="149" t="s">
        <v>2284</v>
      </c>
      <c r="M1295" s="151">
        <v>5048.1499999999996</v>
      </c>
    </row>
    <row r="1296" spans="1:13" s="149" customFormat="1" x14ac:dyDescent="0.25">
      <c r="A1296" s="149" t="s">
        <v>7639</v>
      </c>
      <c r="B1296" s="149" t="s">
        <v>2285</v>
      </c>
      <c r="C1296" s="149">
        <v>11</v>
      </c>
      <c r="D1296" s="149">
        <v>350</v>
      </c>
      <c r="E1296" s="149">
        <v>1</v>
      </c>
      <c r="F1296" s="149">
        <v>70100</v>
      </c>
      <c r="G1296" s="149">
        <v>53510</v>
      </c>
      <c r="H1296" s="150" t="str">
        <f t="shared" si="60"/>
        <v>5</v>
      </c>
      <c r="I1296" s="150" t="str">
        <f t="shared" si="61"/>
        <v>53</v>
      </c>
      <c r="J1296" s="150" t="str">
        <f t="shared" si="62"/>
        <v>535</v>
      </c>
      <c r="K1296" s="150" t="s">
        <v>9189</v>
      </c>
      <c r="L1296" s="149" t="s">
        <v>247</v>
      </c>
      <c r="M1296" s="151">
        <v>36.47</v>
      </c>
    </row>
    <row r="1297" spans="1:13" s="149" customFormat="1" x14ac:dyDescent="0.25">
      <c r="A1297" s="149" t="s">
        <v>7639</v>
      </c>
      <c r="B1297" s="149" t="s">
        <v>2286</v>
      </c>
      <c r="C1297" s="149">
        <v>11</v>
      </c>
      <c r="D1297" s="149">
        <v>350</v>
      </c>
      <c r="E1297" s="149">
        <v>1</v>
      </c>
      <c r="F1297" s="149">
        <v>70100</v>
      </c>
      <c r="G1297" s="149">
        <v>53520</v>
      </c>
      <c r="H1297" s="150" t="str">
        <f t="shared" si="60"/>
        <v>5</v>
      </c>
      <c r="I1297" s="150" t="str">
        <f t="shared" si="61"/>
        <v>53</v>
      </c>
      <c r="J1297" s="150" t="str">
        <f t="shared" si="62"/>
        <v>535</v>
      </c>
      <c r="K1297" s="150" t="s">
        <v>9190</v>
      </c>
      <c r="L1297" s="149" t="s">
        <v>2287</v>
      </c>
      <c r="M1297" s="151">
        <v>10.42</v>
      </c>
    </row>
    <row r="1298" spans="1:13" s="149" customFormat="1" x14ac:dyDescent="0.25">
      <c r="A1298" s="149" t="s">
        <v>7639</v>
      </c>
      <c r="B1298" s="149" t="s">
        <v>2288</v>
      </c>
      <c r="C1298" s="149">
        <v>11</v>
      </c>
      <c r="D1298" s="149">
        <v>350</v>
      </c>
      <c r="E1298" s="149">
        <v>1</v>
      </c>
      <c r="F1298" s="149">
        <v>70100</v>
      </c>
      <c r="G1298" s="149">
        <v>53610</v>
      </c>
      <c r="H1298" s="150" t="str">
        <f t="shared" si="60"/>
        <v>5</v>
      </c>
      <c r="I1298" s="150" t="str">
        <f t="shared" si="61"/>
        <v>53</v>
      </c>
      <c r="J1298" s="150" t="str">
        <f t="shared" si="62"/>
        <v>536</v>
      </c>
      <c r="K1298" s="150" t="s">
        <v>9191</v>
      </c>
      <c r="L1298" s="149" t="s">
        <v>249</v>
      </c>
      <c r="M1298" s="151">
        <v>1379.1</v>
      </c>
    </row>
    <row r="1299" spans="1:13" s="149" customFormat="1" x14ac:dyDescent="0.25">
      <c r="A1299" s="149" t="s">
        <v>7639</v>
      </c>
      <c r="B1299" s="149" t="s">
        <v>2289</v>
      </c>
      <c r="C1299" s="149">
        <v>11</v>
      </c>
      <c r="D1299" s="149">
        <v>350</v>
      </c>
      <c r="E1299" s="149">
        <v>1</v>
      </c>
      <c r="F1299" s="149">
        <v>70100</v>
      </c>
      <c r="G1299" s="149">
        <v>53620</v>
      </c>
      <c r="H1299" s="150" t="str">
        <f t="shared" si="60"/>
        <v>5</v>
      </c>
      <c r="I1299" s="150" t="str">
        <f t="shared" si="61"/>
        <v>53</v>
      </c>
      <c r="J1299" s="150" t="str">
        <f t="shared" si="62"/>
        <v>536</v>
      </c>
      <c r="K1299" s="150" t="s">
        <v>9192</v>
      </c>
      <c r="L1299" s="149" t="s">
        <v>2290</v>
      </c>
      <c r="M1299" s="151">
        <v>394.03</v>
      </c>
    </row>
    <row r="1300" spans="1:13" s="149" customFormat="1" x14ac:dyDescent="0.25">
      <c r="A1300" s="149" t="s">
        <v>7639</v>
      </c>
      <c r="B1300" s="149" t="s">
        <v>2291</v>
      </c>
      <c r="C1300" s="149">
        <v>11</v>
      </c>
      <c r="D1300" s="149">
        <v>350</v>
      </c>
      <c r="E1300" s="149">
        <v>1</v>
      </c>
      <c r="F1300" s="149">
        <v>94500</v>
      </c>
      <c r="G1300" s="149">
        <v>52200</v>
      </c>
      <c r="H1300" s="150" t="str">
        <f t="shared" si="60"/>
        <v>5</v>
      </c>
      <c r="I1300" s="150" t="str">
        <f t="shared" si="61"/>
        <v>52</v>
      </c>
      <c r="J1300" s="150" t="str">
        <f t="shared" si="62"/>
        <v>522</v>
      </c>
      <c r="K1300" s="150" t="s">
        <v>9193</v>
      </c>
      <c r="L1300" s="149" t="s">
        <v>2292</v>
      </c>
      <c r="M1300" s="151">
        <v>29895.75</v>
      </c>
    </row>
    <row r="1301" spans="1:13" s="149" customFormat="1" x14ac:dyDescent="0.25">
      <c r="A1301" s="149" t="s">
        <v>7639</v>
      </c>
      <c r="B1301" s="149" t="s">
        <v>2293</v>
      </c>
      <c r="C1301" s="149">
        <v>11</v>
      </c>
      <c r="D1301" s="149">
        <v>350</v>
      </c>
      <c r="E1301" s="149">
        <v>1</v>
      </c>
      <c r="F1301" s="149">
        <v>94500</v>
      </c>
      <c r="G1301" s="149">
        <v>53210</v>
      </c>
      <c r="H1301" s="150" t="str">
        <f t="shared" si="60"/>
        <v>5</v>
      </c>
      <c r="I1301" s="150" t="str">
        <f t="shared" si="61"/>
        <v>53</v>
      </c>
      <c r="J1301" s="150" t="str">
        <f t="shared" si="62"/>
        <v>532</v>
      </c>
      <c r="K1301" s="150" t="s">
        <v>9194</v>
      </c>
      <c r="L1301" s="149" t="s">
        <v>2294</v>
      </c>
      <c r="M1301" s="151">
        <v>6188.42</v>
      </c>
    </row>
    <row r="1302" spans="1:13" s="149" customFormat="1" x14ac:dyDescent="0.25">
      <c r="A1302" s="149" t="s">
        <v>7639</v>
      </c>
      <c r="B1302" s="149" t="s">
        <v>2295</v>
      </c>
      <c r="C1302" s="149">
        <v>11</v>
      </c>
      <c r="D1302" s="149">
        <v>350</v>
      </c>
      <c r="E1302" s="149">
        <v>1</v>
      </c>
      <c r="F1302" s="149">
        <v>94500</v>
      </c>
      <c r="G1302" s="149">
        <v>53310</v>
      </c>
      <c r="H1302" s="150" t="str">
        <f t="shared" si="60"/>
        <v>5</v>
      </c>
      <c r="I1302" s="150" t="str">
        <f t="shared" si="61"/>
        <v>53</v>
      </c>
      <c r="J1302" s="150" t="str">
        <f t="shared" si="62"/>
        <v>533</v>
      </c>
      <c r="K1302" s="150" t="s">
        <v>9195</v>
      </c>
      <c r="L1302" s="149" t="s">
        <v>2296</v>
      </c>
      <c r="M1302" s="151">
        <v>1853.54</v>
      </c>
    </row>
    <row r="1303" spans="1:13" s="149" customFormat="1" x14ac:dyDescent="0.25">
      <c r="A1303" s="149" t="s">
        <v>7639</v>
      </c>
      <c r="B1303" s="149" t="s">
        <v>2297</v>
      </c>
      <c r="C1303" s="149">
        <v>11</v>
      </c>
      <c r="D1303" s="149">
        <v>350</v>
      </c>
      <c r="E1303" s="149">
        <v>1</v>
      </c>
      <c r="F1303" s="149">
        <v>94500</v>
      </c>
      <c r="G1303" s="149">
        <v>53330</v>
      </c>
      <c r="H1303" s="150" t="str">
        <f t="shared" si="60"/>
        <v>5</v>
      </c>
      <c r="I1303" s="150" t="str">
        <f t="shared" si="61"/>
        <v>53</v>
      </c>
      <c r="J1303" s="150" t="str">
        <f t="shared" si="62"/>
        <v>533</v>
      </c>
      <c r="K1303" s="150" t="s">
        <v>9196</v>
      </c>
      <c r="L1303" s="149" t="s">
        <v>2298</v>
      </c>
      <c r="M1303" s="151">
        <v>433.49</v>
      </c>
    </row>
    <row r="1304" spans="1:13" s="149" customFormat="1" x14ac:dyDescent="0.25">
      <c r="A1304" s="149" t="s">
        <v>7639</v>
      </c>
      <c r="B1304" s="149" t="s">
        <v>2299</v>
      </c>
      <c r="C1304" s="149">
        <v>11</v>
      </c>
      <c r="D1304" s="149">
        <v>350</v>
      </c>
      <c r="E1304" s="149">
        <v>1</v>
      </c>
      <c r="F1304" s="149">
        <v>94500</v>
      </c>
      <c r="G1304" s="149">
        <v>53410</v>
      </c>
      <c r="H1304" s="150" t="str">
        <f t="shared" si="60"/>
        <v>5</v>
      </c>
      <c r="I1304" s="150" t="str">
        <f t="shared" si="61"/>
        <v>53</v>
      </c>
      <c r="J1304" s="150" t="str">
        <f t="shared" si="62"/>
        <v>534</v>
      </c>
      <c r="K1304" s="150" t="s">
        <v>9197</v>
      </c>
      <c r="L1304" s="149" t="s">
        <v>2300</v>
      </c>
      <c r="M1304" s="151">
        <v>6570.81</v>
      </c>
    </row>
    <row r="1305" spans="1:13" s="149" customFormat="1" x14ac:dyDescent="0.25">
      <c r="A1305" s="149" t="s">
        <v>7639</v>
      </c>
      <c r="B1305" s="149" t="s">
        <v>2301</v>
      </c>
      <c r="C1305" s="149">
        <v>11</v>
      </c>
      <c r="D1305" s="149">
        <v>350</v>
      </c>
      <c r="E1305" s="149">
        <v>1</v>
      </c>
      <c r="F1305" s="149">
        <v>94500</v>
      </c>
      <c r="G1305" s="149">
        <v>53510</v>
      </c>
      <c r="H1305" s="150" t="str">
        <f t="shared" si="60"/>
        <v>5</v>
      </c>
      <c r="I1305" s="150" t="str">
        <f t="shared" si="61"/>
        <v>53</v>
      </c>
      <c r="J1305" s="150" t="str">
        <f t="shared" si="62"/>
        <v>535</v>
      </c>
      <c r="K1305" s="150" t="s">
        <v>9198</v>
      </c>
      <c r="L1305" s="149" t="s">
        <v>2302</v>
      </c>
      <c r="M1305" s="151">
        <v>14.95</v>
      </c>
    </row>
    <row r="1306" spans="1:13" s="149" customFormat="1" x14ac:dyDescent="0.25">
      <c r="A1306" s="149" t="s">
        <v>7639</v>
      </c>
      <c r="B1306" s="149" t="s">
        <v>2303</v>
      </c>
      <c r="C1306" s="149">
        <v>11</v>
      </c>
      <c r="D1306" s="149">
        <v>350</v>
      </c>
      <c r="E1306" s="149">
        <v>1</v>
      </c>
      <c r="F1306" s="149">
        <v>94500</v>
      </c>
      <c r="G1306" s="149">
        <v>53610</v>
      </c>
      <c r="H1306" s="150" t="str">
        <f t="shared" si="60"/>
        <v>5</v>
      </c>
      <c r="I1306" s="150" t="str">
        <f t="shared" si="61"/>
        <v>53</v>
      </c>
      <c r="J1306" s="150" t="str">
        <f t="shared" si="62"/>
        <v>536</v>
      </c>
      <c r="K1306" s="150" t="s">
        <v>9199</v>
      </c>
      <c r="L1306" s="149" t="s">
        <v>2304</v>
      </c>
      <c r="M1306" s="151">
        <v>565.27</v>
      </c>
    </row>
    <row r="1307" spans="1:13" s="149" customFormat="1" x14ac:dyDescent="0.25">
      <c r="A1307" s="149" t="s">
        <v>7639</v>
      </c>
      <c r="B1307" s="149" t="s">
        <v>2305</v>
      </c>
      <c r="C1307" s="149">
        <v>11</v>
      </c>
      <c r="D1307" s="149">
        <v>350</v>
      </c>
      <c r="E1307" s="149">
        <v>1</v>
      </c>
      <c r="F1307" s="149">
        <v>94500</v>
      </c>
      <c r="G1307" s="149">
        <v>54300</v>
      </c>
      <c r="H1307" s="150" t="str">
        <f t="shared" si="60"/>
        <v>5</v>
      </c>
      <c r="I1307" s="150" t="str">
        <f t="shared" si="61"/>
        <v>54</v>
      </c>
      <c r="J1307" s="150" t="str">
        <f t="shared" si="62"/>
        <v>543</v>
      </c>
      <c r="K1307" s="150" t="s">
        <v>7954</v>
      </c>
      <c r="L1307" s="149" t="s">
        <v>2306</v>
      </c>
      <c r="M1307" s="151">
        <v>1660</v>
      </c>
    </row>
    <row r="1308" spans="1:13" s="149" customFormat="1" x14ac:dyDescent="0.25">
      <c r="A1308" s="149" t="s">
        <v>7639</v>
      </c>
      <c r="B1308" s="149" t="s">
        <v>2307</v>
      </c>
      <c r="C1308" s="149">
        <v>11</v>
      </c>
      <c r="D1308" s="149">
        <v>350</v>
      </c>
      <c r="E1308" s="149">
        <v>1</v>
      </c>
      <c r="F1308" s="149">
        <v>94500</v>
      </c>
      <c r="G1308" s="149">
        <v>55200</v>
      </c>
      <c r="H1308" s="150" t="str">
        <f t="shared" si="60"/>
        <v>5</v>
      </c>
      <c r="I1308" s="150" t="str">
        <f t="shared" si="61"/>
        <v>55</v>
      </c>
      <c r="J1308" s="150" t="str">
        <f t="shared" si="62"/>
        <v>552</v>
      </c>
      <c r="K1308" s="150" t="s">
        <v>8055</v>
      </c>
      <c r="L1308" s="149" t="s">
        <v>2308</v>
      </c>
      <c r="M1308" s="151">
        <v>390</v>
      </c>
    </row>
    <row r="1309" spans="1:13" s="149" customFormat="1" x14ac:dyDescent="0.25">
      <c r="A1309" s="149" t="s">
        <v>7639</v>
      </c>
      <c r="B1309" s="149" t="s">
        <v>9597</v>
      </c>
      <c r="C1309" s="149">
        <v>11</v>
      </c>
      <c r="D1309" s="149">
        <v>350</v>
      </c>
      <c r="E1309" s="149">
        <v>1</v>
      </c>
      <c r="F1309" s="149">
        <v>94500</v>
      </c>
      <c r="G1309" s="149">
        <v>55300</v>
      </c>
      <c r="H1309" s="150" t="str">
        <f t="shared" si="60"/>
        <v>5</v>
      </c>
      <c r="I1309" s="150" t="str">
        <f t="shared" si="61"/>
        <v>55</v>
      </c>
      <c r="J1309" s="150" t="str">
        <f t="shared" si="62"/>
        <v>553</v>
      </c>
      <c r="K1309" s="150" t="s">
        <v>8091</v>
      </c>
      <c r="L1309" s="149" t="s">
        <v>9598</v>
      </c>
      <c r="M1309" s="151">
        <v>0</v>
      </c>
    </row>
    <row r="1310" spans="1:13" s="149" customFormat="1" x14ac:dyDescent="0.25">
      <c r="A1310" s="149" t="s">
        <v>7639</v>
      </c>
      <c r="B1310" s="149" t="s">
        <v>2309</v>
      </c>
      <c r="C1310" s="149">
        <v>11</v>
      </c>
      <c r="D1310" s="149">
        <v>350</v>
      </c>
      <c r="E1310" s="149">
        <v>1</v>
      </c>
      <c r="F1310" s="149">
        <v>94500</v>
      </c>
      <c r="G1310" s="149">
        <v>55630</v>
      </c>
      <c r="H1310" s="150" t="str">
        <f t="shared" si="60"/>
        <v>5</v>
      </c>
      <c r="I1310" s="150" t="str">
        <f t="shared" si="61"/>
        <v>55</v>
      </c>
      <c r="J1310" s="150" t="str">
        <f t="shared" si="62"/>
        <v>556</v>
      </c>
      <c r="K1310" s="150" t="s">
        <v>8243</v>
      </c>
      <c r="L1310" s="149" t="s">
        <v>2310</v>
      </c>
      <c r="M1310" s="151">
        <v>10</v>
      </c>
    </row>
    <row r="1311" spans="1:13" s="149" customFormat="1" x14ac:dyDescent="0.25">
      <c r="A1311" s="149" t="s">
        <v>7639</v>
      </c>
      <c r="B1311" s="149" t="s">
        <v>2311</v>
      </c>
      <c r="C1311" s="149">
        <v>11</v>
      </c>
      <c r="D1311" s="149">
        <v>350</v>
      </c>
      <c r="E1311" s="149">
        <v>1</v>
      </c>
      <c r="F1311" s="149">
        <v>94500</v>
      </c>
      <c r="G1311" s="149">
        <v>55651</v>
      </c>
      <c r="H1311" s="150" t="str">
        <f t="shared" si="60"/>
        <v>5</v>
      </c>
      <c r="I1311" s="150" t="str">
        <f t="shared" si="61"/>
        <v>55</v>
      </c>
      <c r="J1311" s="150" t="str">
        <f t="shared" si="62"/>
        <v>556</v>
      </c>
      <c r="K1311" s="150" t="s">
        <v>8321</v>
      </c>
      <c r="L1311" s="149" t="s">
        <v>2312</v>
      </c>
      <c r="M1311" s="151">
        <v>0</v>
      </c>
    </row>
    <row r="1312" spans="1:13" s="149" customFormat="1" x14ac:dyDescent="0.25">
      <c r="A1312" s="149" t="s">
        <v>7639</v>
      </c>
      <c r="B1312" s="149" t="s">
        <v>2313</v>
      </c>
      <c r="C1312" s="149">
        <v>11</v>
      </c>
      <c r="D1312" s="149">
        <v>350</v>
      </c>
      <c r="E1312" s="149">
        <v>1</v>
      </c>
      <c r="F1312" s="149">
        <v>94700</v>
      </c>
      <c r="G1312" s="149">
        <v>51100</v>
      </c>
      <c r="H1312" s="150" t="str">
        <f t="shared" si="60"/>
        <v>5</v>
      </c>
      <c r="I1312" s="150" t="str">
        <f t="shared" si="61"/>
        <v>51</v>
      </c>
      <c r="J1312" s="150" t="str">
        <f t="shared" si="62"/>
        <v>511</v>
      </c>
      <c r="K1312" s="150" t="s">
        <v>9200</v>
      </c>
      <c r="L1312" s="149" t="s">
        <v>2314</v>
      </c>
      <c r="M1312" s="151">
        <v>185435</v>
      </c>
    </row>
    <row r="1313" spans="1:13" s="149" customFormat="1" x14ac:dyDescent="0.25">
      <c r="A1313" s="149" t="s">
        <v>7639</v>
      </c>
      <c r="B1313" s="149" t="s">
        <v>2315</v>
      </c>
      <c r="C1313" s="149">
        <v>11</v>
      </c>
      <c r="D1313" s="149">
        <v>350</v>
      </c>
      <c r="E1313" s="149">
        <v>1</v>
      </c>
      <c r="F1313" s="149">
        <v>94700</v>
      </c>
      <c r="G1313" s="149">
        <v>51310</v>
      </c>
      <c r="H1313" s="150" t="str">
        <f t="shared" si="60"/>
        <v>5</v>
      </c>
      <c r="I1313" s="150" t="str">
        <f t="shared" si="61"/>
        <v>51</v>
      </c>
      <c r="J1313" s="150" t="str">
        <f t="shared" si="62"/>
        <v>513</v>
      </c>
      <c r="K1313" s="150" t="s">
        <v>7681</v>
      </c>
      <c r="L1313" s="149" t="s">
        <v>2316</v>
      </c>
      <c r="M1313" s="151">
        <v>34380</v>
      </c>
    </row>
    <row r="1314" spans="1:13" s="149" customFormat="1" x14ac:dyDescent="0.25">
      <c r="A1314" s="149" t="s">
        <v>7639</v>
      </c>
      <c r="B1314" s="149" t="s">
        <v>2317</v>
      </c>
      <c r="C1314" s="149">
        <v>11</v>
      </c>
      <c r="D1314" s="149">
        <v>350</v>
      </c>
      <c r="E1314" s="149">
        <v>1</v>
      </c>
      <c r="F1314" s="149">
        <v>94700</v>
      </c>
      <c r="G1314" s="149">
        <v>51311</v>
      </c>
      <c r="H1314" s="150" t="str">
        <f t="shared" si="60"/>
        <v>5</v>
      </c>
      <c r="I1314" s="150" t="str">
        <f t="shared" si="61"/>
        <v>51</v>
      </c>
      <c r="J1314" s="150" t="str">
        <f t="shared" si="62"/>
        <v>513</v>
      </c>
      <c r="K1314" s="150" t="s">
        <v>7759</v>
      </c>
      <c r="L1314" s="149" t="s">
        <v>2318</v>
      </c>
      <c r="M1314" s="151">
        <v>46109</v>
      </c>
    </row>
    <row r="1315" spans="1:13" s="149" customFormat="1" x14ac:dyDescent="0.25">
      <c r="A1315" s="149" t="s">
        <v>7639</v>
      </c>
      <c r="B1315" s="149" t="s">
        <v>2319</v>
      </c>
      <c r="C1315" s="149">
        <v>11</v>
      </c>
      <c r="D1315" s="149">
        <v>350</v>
      </c>
      <c r="E1315" s="149">
        <v>1</v>
      </c>
      <c r="F1315" s="149">
        <v>94700</v>
      </c>
      <c r="G1315" s="149">
        <v>51412</v>
      </c>
      <c r="H1315" s="150" t="str">
        <f t="shared" si="60"/>
        <v>5</v>
      </c>
      <c r="I1315" s="150" t="str">
        <f t="shared" si="61"/>
        <v>51</v>
      </c>
      <c r="J1315" s="150" t="str">
        <f t="shared" si="62"/>
        <v>514</v>
      </c>
      <c r="K1315" s="150" t="s">
        <v>7798</v>
      </c>
      <c r="L1315" s="149" t="s">
        <v>2320</v>
      </c>
      <c r="M1315" s="151">
        <v>1350</v>
      </c>
    </row>
    <row r="1316" spans="1:13" s="149" customFormat="1" x14ac:dyDescent="0.25">
      <c r="A1316" s="149" t="s">
        <v>7639</v>
      </c>
      <c r="B1316" s="149" t="s">
        <v>2321</v>
      </c>
      <c r="C1316" s="149">
        <v>11</v>
      </c>
      <c r="D1316" s="149">
        <v>350</v>
      </c>
      <c r="E1316" s="149">
        <v>1</v>
      </c>
      <c r="F1316" s="149">
        <v>94700</v>
      </c>
      <c r="G1316" s="149">
        <v>52200</v>
      </c>
      <c r="H1316" s="150" t="str">
        <f t="shared" si="60"/>
        <v>5</v>
      </c>
      <c r="I1316" s="150" t="str">
        <f t="shared" si="61"/>
        <v>52</v>
      </c>
      <c r="J1316" s="150" t="str">
        <f t="shared" si="62"/>
        <v>522</v>
      </c>
      <c r="K1316" s="150" t="s">
        <v>9201</v>
      </c>
      <c r="L1316" s="149" t="s">
        <v>2322</v>
      </c>
      <c r="M1316" s="151">
        <v>0</v>
      </c>
    </row>
    <row r="1317" spans="1:13" s="149" customFormat="1" x14ac:dyDescent="0.25">
      <c r="A1317" s="149" t="s">
        <v>7639</v>
      </c>
      <c r="B1317" s="149" t="s">
        <v>2323</v>
      </c>
      <c r="C1317" s="149">
        <v>11</v>
      </c>
      <c r="D1317" s="149">
        <v>350</v>
      </c>
      <c r="E1317" s="149">
        <v>1</v>
      </c>
      <c r="F1317" s="149">
        <v>94700</v>
      </c>
      <c r="G1317" s="149">
        <v>52360</v>
      </c>
      <c r="H1317" s="150" t="str">
        <f t="shared" si="60"/>
        <v>5</v>
      </c>
      <c r="I1317" s="150" t="str">
        <f t="shared" si="61"/>
        <v>52</v>
      </c>
      <c r="J1317" s="150" t="str">
        <f t="shared" si="62"/>
        <v>523</v>
      </c>
      <c r="K1317" s="150" t="s">
        <v>7875</v>
      </c>
      <c r="L1317" s="149" t="s">
        <v>2324</v>
      </c>
      <c r="M1317" s="151">
        <v>50</v>
      </c>
    </row>
    <row r="1318" spans="1:13" s="149" customFormat="1" x14ac:dyDescent="0.25">
      <c r="A1318" s="149" t="s">
        <v>7639</v>
      </c>
      <c r="B1318" s="149" t="s">
        <v>2325</v>
      </c>
      <c r="C1318" s="149">
        <v>11</v>
      </c>
      <c r="D1318" s="149">
        <v>350</v>
      </c>
      <c r="E1318" s="149">
        <v>1</v>
      </c>
      <c r="F1318" s="149">
        <v>94700</v>
      </c>
      <c r="G1318" s="149">
        <v>53110</v>
      </c>
      <c r="H1318" s="150" t="str">
        <f t="shared" si="60"/>
        <v>5</v>
      </c>
      <c r="I1318" s="150" t="str">
        <f t="shared" si="61"/>
        <v>53</v>
      </c>
      <c r="J1318" s="150" t="str">
        <f t="shared" si="62"/>
        <v>531</v>
      </c>
      <c r="K1318" s="150" t="s">
        <v>9202</v>
      </c>
      <c r="L1318" s="149" t="s">
        <v>2326</v>
      </c>
      <c r="M1318" s="151">
        <v>43156.67</v>
      </c>
    </row>
    <row r="1319" spans="1:13" s="149" customFormat="1" x14ac:dyDescent="0.25">
      <c r="A1319" s="149" t="s">
        <v>7639</v>
      </c>
      <c r="B1319" s="149" t="s">
        <v>2327</v>
      </c>
      <c r="C1319" s="149">
        <v>11</v>
      </c>
      <c r="D1319" s="149">
        <v>350</v>
      </c>
      <c r="E1319" s="149">
        <v>1</v>
      </c>
      <c r="F1319" s="149">
        <v>94700</v>
      </c>
      <c r="G1319" s="149">
        <v>53120</v>
      </c>
      <c r="H1319" s="150" t="str">
        <f t="shared" si="60"/>
        <v>5</v>
      </c>
      <c r="I1319" s="150" t="str">
        <f t="shared" si="61"/>
        <v>53</v>
      </c>
      <c r="J1319" s="150" t="str">
        <f t="shared" si="62"/>
        <v>531</v>
      </c>
      <c r="K1319" s="150" t="s">
        <v>9203</v>
      </c>
      <c r="L1319" s="149" t="s">
        <v>2328</v>
      </c>
      <c r="M1319" s="151">
        <v>8.08</v>
      </c>
    </row>
    <row r="1320" spans="1:13" s="149" customFormat="1" x14ac:dyDescent="0.25">
      <c r="A1320" s="149" t="s">
        <v>7639</v>
      </c>
      <c r="B1320" s="149" t="s">
        <v>2329</v>
      </c>
      <c r="C1320" s="149">
        <v>11</v>
      </c>
      <c r="D1320" s="149">
        <v>350</v>
      </c>
      <c r="E1320" s="149">
        <v>1</v>
      </c>
      <c r="F1320" s="149">
        <v>94700</v>
      </c>
      <c r="G1320" s="149">
        <v>53210</v>
      </c>
      <c r="H1320" s="150" t="str">
        <f t="shared" si="60"/>
        <v>5</v>
      </c>
      <c r="I1320" s="150" t="str">
        <f t="shared" si="61"/>
        <v>53</v>
      </c>
      <c r="J1320" s="150" t="str">
        <f t="shared" si="62"/>
        <v>532</v>
      </c>
      <c r="K1320" s="150" t="s">
        <v>9204</v>
      </c>
      <c r="L1320" s="149" t="s">
        <v>2330</v>
      </c>
      <c r="M1320" s="151">
        <v>0</v>
      </c>
    </row>
    <row r="1321" spans="1:13" s="149" customFormat="1" x14ac:dyDescent="0.25">
      <c r="A1321" s="149" t="s">
        <v>7639</v>
      </c>
      <c r="B1321" s="149" t="s">
        <v>2331</v>
      </c>
      <c r="C1321" s="149">
        <v>11</v>
      </c>
      <c r="D1321" s="149">
        <v>350</v>
      </c>
      <c r="E1321" s="149">
        <v>1</v>
      </c>
      <c r="F1321" s="149">
        <v>94700</v>
      </c>
      <c r="G1321" s="149">
        <v>53310</v>
      </c>
      <c r="H1321" s="150" t="str">
        <f t="shared" si="60"/>
        <v>5</v>
      </c>
      <c r="I1321" s="150" t="str">
        <f t="shared" si="61"/>
        <v>53</v>
      </c>
      <c r="J1321" s="150" t="str">
        <f t="shared" si="62"/>
        <v>533</v>
      </c>
      <c r="K1321" s="150" t="s">
        <v>9205</v>
      </c>
      <c r="L1321" s="149" t="s">
        <v>2332</v>
      </c>
      <c r="M1321" s="151">
        <v>0</v>
      </c>
    </row>
    <row r="1322" spans="1:13" s="149" customFormat="1" x14ac:dyDescent="0.25">
      <c r="A1322" s="149" t="s">
        <v>7639</v>
      </c>
      <c r="B1322" s="149" t="s">
        <v>2333</v>
      </c>
      <c r="C1322" s="149">
        <v>11</v>
      </c>
      <c r="D1322" s="149">
        <v>350</v>
      </c>
      <c r="E1322" s="149">
        <v>1</v>
      </c>
      <c r="F1322" s="149">
        <v>94700</v>
      </c>
      <c r="G1322" s="149">
        <v>53320</v>
      </c>
      <c r="H1322" s="150" t="str">
        <f t="shared" si="60"/>
        <v>5</v>
      </c>
      <c r="I1322" s="150" t="str">
        <f t="shared" si="61"/>
        <v>53</v>
      </c>
      <c r="J1322" s="150" t="str">
        <f t="shared" si="62"/>
        <v>533</v>
      </c>
      <c r="K1322" s="150" t="s">
        <v>9206</v>
      </c>
      <c r="L1322" s="149" t="s">
        <v>2334</v>
      </c>
      <c r="M1322" s="151">
        <v>3.1</v>
      </c>
    </row>
    <row r="1323" spans="1:13" s="149" customFormat="1" x14ac:dyDescent="0.25">
      <c r="A1323" s="149" t="s">
        <v>7639</v>
      </c>
      <c r="B1323" s="149" t="s">
        <v>2335</v>
      </c>
      <c r="C1323" s="149">
        <v>11</v>
      </c>
      <c r="D1323" s="149">
        <v>350</v>
      </c>
      <c r="E1323" s="149">
        <v>1</v>
      </c>
      <c r="F1323" s="149">
        <v>94700</v>
      </c>
      <c r="G1323" s="149">
        <v>53330</v>
      </c>
      <c r="H1323" s="150" t="str">
        <f t="shared" si="60"/>
        <v>5</v>
      </c>
      <c r="I1323" s="150" t="str">
        <f t="shared" si="61"/>
        <v>53</v>
      </c>
      <c r="J1323" s="150" t="str">
        <f t="shared" si="62"/>
        <v>533</v>
      </c>
      <c r="K1323" s="150" t="s">
        <v>9207</v>
      </c>
      <c r="L1323" s="149" t="s">
        <v>2336</v>
      </c>
      <c r="M1323" s="151">
        <v>3874.75</v>
      </c>
    </row>
    <row r="1324" spans="1:13" s="149" customFormat="1" x14ac:dyDescent="0.25">
      <c r="A1324" s="149" t="s">
        <v>7639</v>
      </c>
      <c r="B1324" s="149" t="s">
        <v>2337</v>
      </c>
      <c r="C1324" s="149">
        <v>11</v>
      </c>
      <c r="D1324" s="149">
        <v>350</v>
      </c>
      <c r="E1324" s="149">
        <v>1</v>
      </c>
      <c r="F1324" s="149">
        <v>94700</v>
      </c>
      <c r="G1324" s="149">
        <v>53340</v>
      </c>
      <c r="H1324" s="150" t="str">
        <f t="shared" si="60"/>
        <v>5</v>
      </c>
      <c r="I1324" s="150" t="str">
        <f t="shared" si="61"/>
        <v>53</v>
      </c>
      <c r="J1324" s="150" t="str">
        <f t="shared" si="62"/>
        <v>533</v>
      </c>
      <c r="K1324" s="150" t="s">
        <v>9208</v>
      </c>
      <c r="L1324" s="149" t="s">
        <v>2338</v>
      </c>
      <c r="M1324" s="151">
        <v>1.46</v>
      </c>
    </row>
    <row r="1325" spans="1:13" s="149" customFormat="1" x14ac:dyDescent="0.25">
      <c r="A1325" s="149" t="s">
        <v>7639</v>
      </c>
      <c r="B1325" s="149" t="s">
        <v>2339</v>
      </c>
      <c r="C1325" s="149">
        <v>11</v>
      </c>
      <c r="D1325" s="149">
        <v>350</v>
      </c>
      <c r="E1325" s="149">
        <v>1</v>
      </c>
      <c r="F1325" s="149">
        <v>94700</v>
      </c>
      <c r="G1325" s="149">
        <v>53410</v>
      </c>
      <c r="H1325" s="150" t="str">
        <f t="shared" si="60"/>
        <v>5</v>
      </c>
      <c r="I1325" s="150" t="str">
        <f t="shared" si="61"/>
        <v>53</v>
      </c>
      <c r="J1325" s="150" t="str">
        <f t="shared" si="62"/>
        <v>534</v>
      </c>
      <c r="K1325" s="150" t="s">
        <v>9209</v>
      </c>
      <c r="L1325" s="149" t="s">
        <v>2340</v>
      </c>
      <c r="M1325" s="151">
        <v>34128.17</v>
      </c>
    </row>
    <row r="1326" spans="1:13" s="149" customFormat="1" x14ac:dyDescent="0.25">
      <c r="A1326" s="149" t="s">
        <v>7639</v>
      </c>
      <c r="B1326" s="149" t="s">
        <v>2341</v>
      </c>
      <c r="C1326" s="149">
        <v>11</v>
      </c>
      <c r="D1326" s="149">
        <v>350</v>
      </c>
      <c r="E1326" s="149">
        <v>1</v>
      </c>
      <c r="F1326" s="149">
        <v>94700</v>
      </c>
      <c r="G1326" s="149">
        <v>53510</v>
      </c>
      <c r="H1326" s="150" t="str">
        <f t="shared" si="60"/>
        <v>5</v>
      </c>
      <c r="I1326" s="150" t="str">
        <f t="shared" si="61"/>
        <v>53</v>
      </c>
      <c r="J1326" s="150" t="str">
        <f t="shared" si="62"/>
        <v>535</v>
      </c>
      <c r="K1326" s="150" t="s">
        <v>9210</v>
      </c>
      <c r="L1326" s="149" t="s">
        <v>2342</v>
      </c>
      <c r="M1326" s="151">
        <v>133.6</v>
      </c>
    </row>
    <row r="1327" spans="1:13" s="149" customFormat="1" x14ac:dyDescent="0.25">
      <c r="A1327" s="149" t="s">
        <v>7639</v>
      </c>
      <c r="B1327" s="149" t="s">
        <v>2343</v>
      </c>
      <c r="C1327" s="149">
        <v>11</v>
      </c>
      <c r="D1327" s="149">
        <v>350</v>
      </c>
      <c r="E1327" s="149">
        <v>1</v>
      </c>
      <c r="F1327" s="149">
        <v>94700</v>
      </c>
      <c r="G1327" s="149">
        <v>53520</v>
      </c>
      <c r="H1327" s="150" t="str">
        <f t="shared" si="60"/>
        <v>5</v>
      </c>
      <c r="I1327" s="150" t="str">
        <f t="shared" si="61"/>
        <v>53</v>
      </c>
      <c r="J1327" s="150" t="str">
        <f t="shared" si="62"/>
        <v>535</v>
      </c>
      <c r="K1327" s="150" t="s">
        <v>9211</v>
      </c>
      <c r="L1327" s="149" t="s">
        <v>2344</v>
      </c>
      <c r="M1327" s="151">
        <v>0.06</v>
      </c>
    </row>
    <row r="1328" spans="1:13" s="149" customFormat="1" x14ac:dyDescent="0.25">
      <c r="A1328" s="149" t="s">
        <v>7639</v>
      </c>
      <c r="B1328" s="149" t="s">
        <v>2345</v>
      </c>
      <c r="C1328" s="149">
        <v>11</v>
      </c>
      <c r="D1328" s="149">
        <v>350</v>
      </c>
      <c r="E1328" s="149">
        <v>1</v>
      </c>
      <c r="F1328" s="149">
        <v>94700</v>
      </c>
      <c r="G1328" s="149">
        <v>53610</v>
      </c>
      <c r="H1328" s="150" t="str">
        <f t="shared" si="60"/>
        <v>5</v>
      </c>
      <c r="I1328" s="150" t="str">
        <f t="shared" si="61"/>
        <v>53</v>
      </c>
      <c r="J1328" s="150" t="str">
        <f t="shared" si="62"/>
        <v>536</v>
      </c>
      <c r="K1328" s="150" t="s">
        <v>9212</v>
      </c>
      <c r="L1328" s="149" t="s">
        <v>2346</v>
      </c>
      <c r="M1328" s="151">
        <v>5052.67</v>
      </c>
    </row>
    <row r="1329" spans="1:13" s="149" customFormat="1" x14ac:dyDescent="0.25">
      <c r="A1329" s="149" t="s">
        <v>7639</v>
      </c>
      <c r="B1329" s="149" t="s">
        <v>2347</v>
      </c>
      <c r="C1329" s="149">
        <v>11</v>
      </c>
      <c r="D1329" s="149">
        <v>350</v>
      </c>
      <c r="E1329" s="149">
        <v>1</v>
      </c>
      <c r="F1329" s="149">
        <v>94700</v>
      </c>
      <c r="G1329" s="149">
        <v>53620</v>
      </c>
      <c r="H1329" s="150" t="str">
        <f t="shared" si="60"/>
        <v>5</v>
      </c>
      <c r="I1329" s="150" t="str">
        <f t="shared" si="61"/>
        <v>53</v>
      </c>
      <c r="J1329" s="150" t="str">
        <f t="shared" si="62"/>
        <v>536</v>
      </c>
      <c r="K1329" s="150" t="s">
        <v>9213</v>
      </c>
      <c r="L1329" s="149" t="s">
        <v>2348</v>
      </c>
      <c r="M1329" s="151">
        <v>1.9</v>
      </c>
    </row>
    <row r="1330" spans="1:13" s="149" customFormat="1" x14ac:dyDescent="0.25">
      <c r="A1330" s="149" t="s">
        <v>7639</v>
      </c>
      <c r="B1330" s="149" t="s">
        <v>2349</v>
      </c>
      <c r="C1330" s="149">
        <v>11</v>
      </c>
      <c r="D1330" s="149">
        <v>350</v>
      </c>
      <c r="E1330" s="149">
        <v>1</v>
      </c>
      <c r="F1330" s="149">
        <v>94700</v>
      </c>
      <c r="G1330" s="149">
        <v>53910</v>
      </c>
      <c r="H1330" s="150" t="str">
        <f t="shared" si="60"/>
        <v>5</v>
      </c>
      <c r="I1330" s="150" t="str">
        <f t="shared" si="61"/>
        <v>53</v>
      </c>
      <c r="J1330" s="150" t="str">
        <f t="shared" si="62"/>
        <v>539</v>
      </c>
      <c r="K1330" s="150" t="s">
        <v>9214</v>
      </c>
      <c r="L1330" s="149" t="s">
        <v>2350</v>
      </c>
      <c r="M1330" s="151">
        <v>2400</v>
      </c>
    </row>
    <row r="1331" spans="1:13" s="149" customFormat="1" x14ac:dyDescent="0.25">
      <c r="A1331" s="149" t="s">
        <v>7639</v>
      </c>
      <c r="B1331" s="149" t="s">
        <v>2351</v>
      </c>
      <c r="C1331" s="149">
        <v>11</v>
      </c>
      <c r="D1331" s="149">
        <v>350</v>
      </c>
      <c r="E1331" s="149">
        <v>1</v>
      </c>
      <c r="F1331" s="149">
        <v>94700</v>
      </c>
      <c r="G1331" s="149">
        <v>54300</v>
      </c>
      <c r="H1331" s="150" t="str">
        <f t="shared" si="60"/>
        <v>5</v>
      </c>
      <c r="I1331" s="150" t="str">
        <f t="shared" si="61"/>
        <v>54</v>
      </c>
      <c r="J1331" s="150" t="str">
        <f t="shared" si="62"/>
        <v>543</v>
      </c>
      <c r="K1331" s="150" t="s">
        <v>7955</v>
      </c>
      <c r="L1331" s="149" t="s">
        <v>2352</v>
      </c>
      <c r="M1331" s="151">
        <v>1500</v>
      </c>
    </row>
    <row r="1332" spans="1:13" s="149" customFormat="1" x14ac:dyDescent="0.25">
      <c r="A1332" s="149" t="s">
        <v>7639</v>
      </c>
      <c r="B1332" s="149" t="s">
        <v>2353</v>
      </c>
      <c r="C1332" s="149">
        <v>11</v>
      </c>
      <c r="D1332" s="149">
        <v>350</v>
      </c>
      <c r="E1332" s="149">
        <v>1</v>
      </c>
      <c r="F1332" s="149">
        <v>94700</v>
      </c>
      <c r="G1332" s="149">
        <v>55125</v>
      </c>
      <c r="H1332" s="150" t="str">
        <f t="shared" si="60"/>
        <v>5</v>
      </c>
      <c r="I1332" s="150" t="str">
        <f t="shared" si="61"/>
        <v>55</v>
      </c>
      <c r="J1332" s="150" t="str">
        <f t="shared" si="62"/>
        <v>551</v>
      </c>
      <c r="K1332" s="150" t="s">
        <v>8031</v>
      </c>
      <c r="L1332" s="149" t="s">
        <v>2354</v>
      </c>
      <c r="M1332" s="151">
        <v>656</v>
      </c>
    </row>
    <row r="1333" spans="1:13" s="149" customFormat="1" x14ac:dyDescent="0.25">
      <c r="A1333" s="149" t="s">
        <v>7639</v>
      </c>
      <c r="B1333" s="149" t="s">
        <v>2355</v>
      </c>
      <c r="C1333" s="149">
        <v>11</v>
      </c>
      <c r="D1333" s="149">
        <v>350</v>
      </c>
      <c r="E1333" s="149">
        <v>1</v>
      </c>
      <c r="F1333" s="149">
        <v>94700</v>
      </c>
      <c r="G1333" s="149">
        <v>55575</v>
      </c>
      <c r="H1333" s="150" t="str">
        <f t="shared" si="60"/>
        <v>5</v>
      </c>
      <c r="I1333" s="150" t="str">
        <f t="shared" si="61"/>
        <v>55</v>
      </c>
      <c r="J1333" s="150" t="str">
        <f t="shared" si="62"/>
        <v>555</v>
      </c>
      <c r="K1333" s="150" t="s">
        <v>8144</v>
      </c>
      <c r="L1333" s="149" t="s">
        <v>2356</v>
      </c>
      <c r="M1333" s="151">
        <v>139</v>
      </c>
    </row>
    <row r="1334" spans="1:13" s="149" customFormat="1" x14ac:dyDescent="0.25">
      <c r="A1334" s="149" t="s">
        <v>7639</v>
      </c>
      <c r="B1334" s="149" t="s">
        <v>2357</v>
      </c>
      <c r="C1334" s="149">
        <v>11</v>
      </c>
      <c r="D1334" s="149">
        <v>350</v>
      </c>
      <c r="E1334" s="149">
        <v>1</v>
      </c>
      <c r="F1334" s="149">
        <v>94700</v>
      </c>
      <c r="G1334" s="149">
        <v>55630</v>
      </c>
      <c r="H1334" s="150" t="str">
        <f t="shared" si="60"/>
        <v>5</v>
      </c>
      <c r="I1334" s="150" t="str">
        <f t="shared" si="61"/>
        <v>55</v>
      </c>
      <c r="J1334" s="150" t="str">
        <f t="shared" si="62"/>
        <v>556</v>
      </c>
      <c r="K1334" s="150" t="s">
        <v>8244</v>
      </c>
      <c r="L1334" s="149" t="s">
        <v>2358</v>
      </c>
      <c r="M1334" s="151">
        <v>20</v>
      </c>
    </row>
    <row r="1335" spans="1:13" s="149" customFormat="1" x14ac:dyDescent="0.25">
      <c r="A1335" s="149" t="s">
        <v>7639</v>
      </c>
      <c r="B1335" s="149" t="s">
        <v>2359</v>
      </c>
      <c r="C1335" s="149">
        <v>11</v>
      </c>
      <c r="D1335" s="149">
        <v>350</v>
      </c>
      <c r="E1335" s="149">
        <v>1</v>
      </c>
      <c r="F1335" s="149">
        <v>94700</v>
      </c>
      <c r="G1335" s="149">
        <v>55650</v>
      </c>
      <c r="H1335" s="150" t="str">
        <f t="shared" si="60"/>
        <v>5</v>
      </c>
      <c r="I1335" s="150" t="str">
        <f t="shared" si="61"/>
        <v>55</v>
      </c>
      <c r="J1335" s="150" t="str">
        <f t="shared" si="62"/>
        <v>556</v>
      </c>
      <c r="K1335" s="150" t="s">
        <v>8305</v>
      </c>
      <c r="L1335" s="149" t="s">
        <v>2360</v>
      </c>
      <c r="M1335" s="151">
        <v>4100</v>
      </c>
    </row>
    <row r="1336" spans="1:13" s="149" customFormat="1" x14ac:dyDescent="0.25">
      <c r="A1336" s="149" t="s">
        <v>7639</v>
      </c>
      <c r="B1336" s="149" t="s">
        <v>2361</v>
      </c>
      <c r="C1336" s="149">
        <v>11</v>
      </c>
      <c r="D1336" s="149">
        <v>350</v>
      </c>
      <c r="E1336" s="149">
        <v>1</v>
      </c>
      <c r="F1336" s="149">
        <v>94700</v>
      </c>
      <c r="G1336" s="149">
        <v>55651</v>
      </c>
      <c r="H1336" s="150" t="str">
        <f t="shared" si="60"/>
        <v>5</v>
      </c>
      <c r="I1336" s="150" t="str">
        <f t="shared" si="61"/>
        <v>55</v>
      </c>
      <c r="J1336" s="150" t="str">
        <f t="shared" si="62"/>
        <v>556</v>
      </c>
      <c r="K1336" s="150" t="s">
        <v>8322</v>
      </c>
      <c r="L1336" s="149" t="s">
        <v>2362</v>
      </c>
      <c r="M1336" s="151">
        <v>642</v>
      </c>
    </row>
    <row r="1337" spans="1:13" s="149" customFormat="1" x14ac:dyDescent="0.25">
      <c r="A1337" s="149" t="s">
        <v>7639</v>
      </c>
      <c r="B1337" s="149" t="s">
        <v>2363</v>
      </c>
      <c r="C1337" s="149">
        <v>11</v>
      </c>
      <c r="D1337" s="149">
        <v>350</v>
      </c>
      <c r="E1337" s="149">
        <v>1</v>
      </c>
      <c r="F1337" s="149">
        <v>94700</v>
      </c>
      <c r="G1337" s="149">
        <v>55800</v>
      </c>
      <c r="H1337" s="150" t="str">
        <f t="shared" si="60"/>
        <v>5</v>
      </c>
      <c r="I1337" s="150" t="str">
        <f t="shared" si="61"/>
        <v>55</v>
      </c>
      <c r="J1337" s="150" t="str">
        <f t="shared" si="62"/>
        <v>558</v>
      </c>
      <c r="K1337" s="150" t="s">
        <v>8336</v>
      </c>
      <c r="L1337" s="149" t="s">
        <v>2364</v>
      </c>
      <c r="M1337" s="151">
        <v>27</v>
      </c>
    </row>
    <row r="1338" spans="1:13" s="149" customFormat="1" x14ac:dyDescent="0.25">
      <c r="A1338" s="149" t="s">
        <v>7639</v>
      </c>
      <c r="B1338" s="149" t="s">
        <v>2365</v>
      </c>
      <c r="C1338" s="149">
        <v>11</v>
      </c>
      <c r="D1338" s="149">
        <v>350</v>
      </c>
      <c r="E1338" s="149">
        <v>1</v>
      </c>
      <c r="F1338" s="149">
        <v>94700</v>
      </c>
      <c r="G1338" s="149">
        <v>56400</v>
      </c>
      <c r="H1338" s="150" t="str">
        <f t="shared" si="60"/>
        <v>5</v>
      </c>
      <c r="I1338" s="150" t="str">
        <f t="shared" si="61"/>
        <v>56</v>
      </c>
      <c r="J1338" s="150" t="str">
        <f t="shared" si="62"/>
        <v>564</v>
      </c>
      <c r="K1338" s="150" t="s">
        <v>8376</v>
      </c>
      <c r="L1338" s="149" t="s">
        <v>2366</v>
      </c>
      <c r="M1338" s="151">
        <v>300</v>
      </c>
    </row>
    <row r="1339" spans="1:13" s="149" customFormat="1" x14ac:dyDescent="0.25">
      <c r="A1339" s="149" t="s">
        <v>7639</v>
      </c>
      <c r="B1339" s="149" t="s">
        <v>2367</v>
      </c>
      <c r="C1339" s="149">
        <v>11</v>
      </c>
      <c r="D1339" s="149">
        <v>350</v>
      </c>
      <c r="E1339" s="149">
        <v>1</v>
      </c>
      <c r="F1339" s="149">
        <v>94800</v>
      </c>
      <c r="G1339" s="149">
        <v>51310</v>
      </c>
      <c r="H1339" s="150" t="str">
        <f t="shared" si="60"/>
        <v>5</v>
      </c>
      <c r="I1339" s="150" t="str">
        <f t="shared" si="61"/>
        <v>51</v>
      </c>
      <c r="J1339" s="150" t="str">
        <f t="shared" si="62"/>
        <v>513</v>
      </c>
      <c r="K1339" s="150" t="s">
        <v>7682</v>
      </c>
      <c r="L1339" s="149" t="s">
        <v>2368</v>
      </c>
      <c r="M1339" s="151">
        <v>36528</v>
      </c>
    </row>
    <row r="1340" spans="1:13" s="149" customFormat="1" x14ac:dyDescent="0.25">
      <c r="A1340" s="149" t="s">
        <v>7639</v>
      </c>
      <c r="B1340" s="149" t="s">
        <v>2369</v>
      </c>
      <c r="C1340" s="149">
        <v>11</v>
      </c>
      <c r="D1340" s="149">
        <v>350</v>
      </c>
      <c r="E1340" s="149">
        <v>1</v>
      </c>
      <c r="F1340" s="149">
        <v>94800</v>
      </c>
      <c r="G1340" s="149">
        <v>51311</v>
      </c>
      <c r="H1340" s="150" t="str">
        <f t="shared" si="60"/>
        <v>5</v>
      </c>
      <c r="I1340" s="150" t="str">
        <f t="shared" si="61"/>
        <v>51</v>
      </c>
      <c r="J1340" s="150" t="str">
        <f t="shared" si="62"/>
        <v>513</v>
      </c>
      <c r="K1340" s="150" t="s">
        <v>7760</v>
      </c>
      <c r="L1340" s="149" t="s">
        <v>2370</v>
      </c>
      <c r="M1340" s="151">
        <v>75234</v>
      </c>
    </row>
    <row r="1341" spans="1:13" s="149" customFormat="1" x14ac:dyDescent="0.25">
      <c r="A1341" s="149" t="s">
        <v>7639</v>
      </c>
      <c r="B1341" s="149" t="s">
        <v>2371</v>
      </c>
      <c r="C1341" s="149">
        <v>11</v>
      </c>
      <c r="D1341" s="149">
        <v>350</v>
      </c>
      <c r="E1341" s="149">
        <v>1</v>
      </c>
      <c r="F1341" s="149">
        <v>94800</v>
      </c>
      <c r="G1341" s="149">
        <v>51412</v>
      </c>
      <c r="H1341" s="150" t="str">
        <f t="shared" si="60"/>
        <v>5</v>
      </c>
      <c r="I1341" s="150" t="str">
        <f t="shared" si="61"/>
        <v>51</v>
      </c>
      <c r="J1341" s="150" t="str">
        <f t="shared" si="62"/>
        <v>514</v>
      </c>
      <c r="K1341" s="150" t="s">
        <v>7799</v>
      </c>
      <c r="L1341" s="149" t="s">
        <v>2372</v>
      </c>
      <c r="M1341" s="151">
        <v>0</v>
      </c>
    </row>
    <row r="1342" spans="1:13" s="149" customFormat="1" x14ac:dyDescent="0.25">
      <c r="A1342" s="149" t="s">
        <v>7639</v>
      </c>
      <c r="B1342" s="149" t="s">
        <v>2373</v>
      </c>
      <c r="C1342" s="149">
        <v>11</v>
      </c>
      <c r="D1342" s="149">
        <v>350</v>
      </c>
      <c r="E1342" s="149">
        <v>1</v>
      </c>
      <c r="F1342" s="149">
        <v>94800</v>
      </c>
      <c r="G1342" s="149">
        <v>53110</v>
      </c>
      <c r="H1342" s="150" t="str">
        <f t="shared" si="60"/>
        <v>5</v>
      </c>
      <c r="I1342" s="150" t="str">
        <f t="shared" si="61"/>
        <v>53</v>
      </c>
      <c r="J1342" s="150" t="str">
        <f t="shared" si="62"/>
        <v>531</v>
      </c>
      <c r="K1342" s="150" t="s">
        <v>9215</v>
      </c>
      <c r="L1342" s="149" t="s">
        <v>2374</v>
      </c>
      <c r="M1342" s="151">
        <v>18049.560000000001</v>
      </c>
    </row>
    <row r="1343" spans="1:13" s="149" customFormat="1" x14ac:dyDescent="0.25">
      <c r="A1343" s="149" t="s">
        <v>7639</v>
      </c>
      <c r="B1343" s="149" t="s">
        <v>2375</v>
      </c>
      <c r="C1343" s="149">
        <v>11</v>
      </c>
      <c r="D1343" s="149">
        <v>350</v>
      </c>
      <c r="E1343" s="149">
        <v>1</v>
      </c>
      <c r="F1343" s="149">
        <v>94800</v>
      </c>
      <c r="G1343" s="149">
        <v>53120</v>
      </c>
      <c r="H1343" s="150" t="str">
        <f t="shared" si="60"/>
        <v>5</v>
      </c>
      <c r="I1343" s="150" t="str">
        <f t="shared" si="61"/>
        <v>53</v>
      </c>
      <c r="J1343" s="150" t="str">
        <f t="shared" si="62"/>
        <v>531</v>
      </c>
      <c r="K1343" s="150" t="s">
        <v>9216</v>
      </c>
      <c r="L1343" s="149" t="s">
        <v>2376</v>
      </c>
      <c r="M1343" s="151">
        <v>0</v>
      </c>
    </row>
    <row r="1344" spans="1:13" s="149" customFormat="1" x14ac:dyDescent="0.25">
      <c r="A1344" s="149" t="s">
        <v>7639</v>
      </c>
      <c r="B1344" s="149" t="s">
        <v>2377</v>
      </c>
      <c r="C1344" s="149">
        <v>11</v>
      </c>
      <c r="D1344" s="149">
        <v>350</v>
      </c>
      <c r="E1344" s="149">
        <v>1</v>
      </c>
      <c r="F1344" s="149">
        <v>94800</v>
      </c>
      <c r="G1344" s="149">
        <v>53310</v>
      </c>
      <c r="H1344" s="150" t="str">
        <f t="shared" si="60"/>
        <v>5</v>
      </c>
      <c r="I1344" s="150" t="str">
        <f t="shared" si="61"/>
        <v>53</v>
      </c>
      <c r="J1344" s="150" t="str">
        <f t="shared" si="62"/>
        <v>533</v>
      </c>
      <c r="K1344" s="150" t="s">
        <v>9217</v>
      </c>
      <c r="L1344" s="149" t="s">
        <v>2378</v>
      </c>
      <c r="M1344" s="151">
        <v>0</v>
      </c>
    </row>
    <row r="1345" spans="1:13" s="149" customFormat="1" x14ac:dyDescent="0.25">
      <c r="A1345" s="149" t="s">
        <v>7639</v>
      </c>
      <c r="B1345" s="149" t="s">
        <v>2379</v>
      </c>
      <c r="C1345" s="149">
        <v>11</v>
      </c>
      <c r="D1345" s="149">
        <v>350</v>
      </c>
      <c r="E1345" s="149">
        <v>1</v>
      </c>
      <c r="F1345" s="149">
        <v>94800</v>
      </c>
      <c r="G1345" s="149">
        <v>53330</v>
      </c>
      <c r="H1345" s="150" t="str">
        <f t="shared" si="60"/>
        <v>5</v>
      </c>
      <c r="I1345" s="150" t="str">
        <f t="shared" si="61"/>
        <v>53</v>
      </c>
      <c r="J1345" s="150" t="str">
        <f t="shared" si="62"/>
        <v>533</v>
      </c>
      <c r="K1345" s="150" t="s">
        <v>9218</v>
      </c>
      <c r="L1345" s="149" t="s">
        <v>2380</v>
      </c>
      <c r="M1345" s="151">
        <v>1620.55</v>
      </c>
    </row>
    <row r="1346" spans="1:13" s="149" customFormat="1" x14ac:dyDescent="0.25">
      <c r="A1346" s="149" t="s">
        <v>7639</v>
      </c>
      <c r="B1346" s="149" t="s">
        <v>2381</v>
      </c>
      <c r="C1346" s="149">
        <v>11</v>
      </c>
      <c r="D1346" s="149">
        <v>350</v>
      </c>
      <c r="E1346" s="149">
        <v>1</v>
      </c>
      <c r="F1346" s="149">
        <v>94800</v>
      </c>
      <c r="G1346" s="149">
        <v>53340</v>
      </c>
      <c r="H1346" s="150" t="str">
        <f t="shared" si="60"/>
        <v>5</v>
      </c>
      <c r="I1346" s="150" t="str">
        <f t="shared" si="61"/>
        <v>53</v>
      </c>
      <c r="J1346" s="150" t="str">
        <f t="shared" si="62"/>
        <v>533</v>
      </c>
      <c r="K1346" s="150" t="s">
        <v>9219</v>
      </c>
      <c r="L1346" s="149" t="s">
        <v>2382</v>
      </c>
      <c r="M1346" s="151">
        <v>0</v>
      </c>
    </row>
    <row r="1347" spans="1:13" s="149" customFormat="1" x14ac:dyDescent="0.25">
      <c r="A1347" s="149" t="s">
        <v>7639</v>
      </c>
      <c r="B1347" s="149" t="s">
        <v>2383</v>
      </c>
      <c r="C1347" s="149">
        <v>11</v>
      </c>
      <c r="D1347" s="149">
        <v>350</v>
      </c>
      <c r="E1347" s="149">
        <v>1</v>
      </c>
      <c r="F1347" s="149">
        <v>94800</v>
      </c>
      <c r="G1347" s="149">
        <v>53510</v>
      </c>
      <c r="H1347" s="150" t="str">
        <f t="shared" ref="H1347:H1410" si="63">LEFT(G1347,1)</f>
        <v>5</v>
      </c>
      <c r="I1347" s="150" t="str">
        <f t="shared" ref="I1347:I1410" si="64">LEFT(G1347,2)</f>
        <v>53</v>
      </c>
      <c r="J1347" s="150" t="str">
        <f t="shared" ref="J1347:J1410" si="65">LEFT(G1347,3)</f>
        <v>535</v>
      </c>
      <c r="K1347" s="150" t="s">
        <v>9220</v>
      </c>
      <c r="L1347" s="149" t="s">
        <v>2384</v>
      </c>
      <c r="M1347" s="151">
        <v>55.88</v>
      </c>
    </row>
    <row r="1348" spans="1:13" s="149" customFormat="1" x14ac:dyDescent="0.25">
      <c r="A1348" s="149" t="s">
        <v>7639</v>
      </c>
      <c r="B1348" s="149" t="s">
        <v>2385</v>
      </c>
      <c r="C1348" s="149">
        <v>11</v>
      </c>
      <c r="D1348" s="149">
        <v>350</v>
      </c>
      <c r="E1348" s="149">
        <v>1</v>
      </c>
      <c r="F1348" s="149">
        <v>94800</v>
      </c>
      <c r="G1348" s="149">
        <v>53520</v>
      </c>
      <c r="H1348" s="150" t="str">
        <f t="shared" si="63"/>
        <v>5</v>
      </c>
      <c r="I1348" s="150" t="str">
        <f t="shared" si="64"/>
        <v>53</v>
      </c>
      <c r="J1348" s="150" t="str">
        <f t="shared" si="65"/>
        <v>535</v>
      </c>
      <c r="K1348" s="150" t="s">
        <v>9221</v>
      </c>
      <c r="L1348" s="149" t="s">
        <v>2386</v>
      </c>
      <c r="M1348" s="151">
        <v>0</v>
      </c>
    </row>
    <row r="1349" spans="1:13" s="149" customFormat="1" x14ac:dyDescent="0.25">
      <c r="A1349" s="149" t="s">
        <v>7639</v>
      </c>
      <c r="B1349" s="149" t="s">
        <v>2387</v>
      </c>
      <c r="C1349" s="149">
        <v>11</v>
      </c>
      <c r="D1349" s="149">
        <v>350</v>
      </c>
      <c r="E1349" s="149">
        <v>1</v>
      </c>
      <c r="F1349" s="149">
        <v>94800</v>
      </c>
      <c r="G1349" s="149">
        <v>53610</v>
      </c>
      <c r="H1349" s="150" t="str">
        <f t="shared" si="63"/>
        <v>5</v>
      </c>
      <c r="I1349" s="150" t="str">
        <f t="shared" si="64"/>
        <v>53</v>
      </c>
      <c r="J1349" s="150" t="str">
        <f t="shared" si="65"/>
        <v>536</v>
      </c>
      <c r="K1349" s="150" t="s">
        <v>9222</v>
      </c>
      <c r="L1349" s="149" t="s">
        <v>2388</v>
      </c>
      <c r="M1349" s="151">
        <v>2113.19</v>
      </c>
    </row>
    <row r="1350" spans="1:13" s="149" customFormat="1" x14ac:dyDescent="0.25">
      <c r="A1350" s="149" t="s">
        <v>7639</v>
      </c>
      <c r="B1350" s="149" t="s">
        <v>2389</v>
      </c>
      <c r="C1350" s="149">
        <v>11</v>
      </c>
      <c r="D1350" s="149">
        <v>350</v>
      </c>
      <c r="E1350" s="149">
        <v>1</v>
      </c>
      <c r="F1350" s="149">
        <v>94800</v>
      </c>
      <c r="G1350" s="149">
        <v>53620</v>
      </c>
      <c r="H1350" s="150" t="str">
        <f t="shared" si="63"/>
        <v>5</v>
      </c>
      <c r="I1350" s="150" t="str">
        <f t="shared" si="64"/>
        <v>53</v>
      </c>
      <c r="J1350" s="150" t="str">
        <f t="shared" si="65"/>
        <v>536</v>
      </c>
      <c r="K1350" s="150" t="s">
        <v>9223</v>
      </c>
      <c r="L1350" s="149" t="s">
        <v>2390</v>
      </c>
      <c r="M1350" s="151">
        <v>0</v>
      </c>
    </row>
    <row r="1351" spans="1:13" s="149" customFormat="1" x14ac:dyDescent="0.25">
      <c r="A1351" s="149" t="s">
        <v>7639</v>
      </c>
      <c r="B1351" s="149" t="s">
        <v>2391</v>
      </c>
      <c r="C1351" s="149">
        <v>11</v>
      </c>
      <c r="D1351" s="149">
        <v>350</v>
      </c>
      <c r="E1351" s="149">
        <v>1</v>
      </c>
      <c r="F1351" s="149">
        <v>94800</v>
      </c>
      <c r="G1351" s="149">
        <v>54300</v>
      </c>
      <c r="H1351" s="150" t="str">
        <f t="shared" si="63"/>
        <v>5</v>
      </c>
      <c r="I1351" s="150" t="str">
        <f t="shared" si="64"/>
        <v>54</v>
      </c>
      <c r="J1351" s="150" t="str">
        <f t="shared" si="65"/>
        <v>543</v>
      </c>
      <c r="K1351" s="150" t="s">
        <v>7956</v>
      </c>
      <c r="L1351" s="149" t="s">
        <v>2392</v>
      </c>
      <c r="M1351" s="151">
        <v>4500</v>
      </c>
    </row>
    <row r="1352" spans="1:13" s="149" customFormat="1" x14ac:dyDescent="0.25">
      <c r="A1352" s="149" t="s">
        <v>7639</v>
      </c>
      <c r="B1352" s="149" t="s">
        <v>2393</v>
      </c>
      <c r="C1352" s="149">
        <v>11</v>
      </c>
      <c r="D1352" s="149">
        <v>350</v>
      </c>
      <c r="E1352" s="149">
        <v>1</v>
      </c>
      <c r="F1352" s="149">
        <v>94800</v>
      </c>
      <c r="G1352" s="149">
        <v>55630</v>
      </c>
      <c r="H1352" s="150" t="str">
        <f t="shared" si="63"/>
        <v>5</v>
      </c>
      <c r="I1352" s="150" t="str">
        <f t="shared" si="64"/>
        <v>55</v>
      </c>
      <c r="J1352" s="150" t="str">
        <f t="shared" si="65"/>
        <v>556</v>
      </c>
      <c r="K1352" s="150" t="s">
        <v>8245</v>
      </c>
      <c r="L1352" s="149" t="s">
        <v>2133</v>
      </c>
      <c r="M1352" s="151">
        <v>4.5</v>
      </c>
    </row>
    <row r="1353" spans="1:13" s="149" customFormat="1" x14ac:dyDescent="0.25">
      <c r="A1353" s="149" t="s">
        <v>7639</v>
      </c>
      <c r="B1353" s="149" t="s">
        <v>2394</v>
      </c>
      <c r="C1353" s="149">
        <v>11</v>
      </c>
      <c r="D1353" s="149">
        <v>350</v>
      </c>
      <c r="E1353" s="149">
        <v>1</v>
      </c>
      <c r="F1353" s="149">
        <v>94800</v>
      </c>
      <c r="G1353" s="149">
        <v>55650</v>
      </c>
      <c r="H1353" s="150" t="str">
        <f t="shared" si="63"/>
        <v>5</v>
      </c>
      <c r="I1353" s="150" t="str">
        <f t="shared" si="64"/>
        <v>55</v>
      </c>
      <c r="J1353" s="150" t="str">
        <f t="shared" si="65"/>
        <v>556</v>
      </c>
      <c r="K1353" s="150" t="s">
        <v>8306</v>
      </c>
      <c r="L1353" s="149" t="s">
        <v>2395</v>
      </c>
      <c r="M1353" s="151">
        <v>1800</v>
      </c>
    </row>
    <row r="1354" spans="1:13" s="149" customFormat="1" x14ac:dyDescent="0.25">
      <c r="A1354" s="149" t="s">
        <v>7639</v>
      </c>
      <c r="B1354" s="149" t="s">
        <v>2396</v>
      </c>
      <c r="C1354" s="149">
        <v>11</v>
      </c>
      <c r="D1354" s="149">
        <v>350</v>
      </c>
      <c r="E1354" s="149">
        <v>1</v>
      </c>
      <c r="F1354" s="149">
        <v>94800</v>
      </c>
      <c r="G1354" s="149">
        <v>55651</v>
      </c>
      <c r="H1354" s="150" t="str">
        <f t="shared" si="63"/>
        <v>5</v>
      </c>
      <c r="I1354" s="150" t="str">
        <f t="shared" si="64"/>
        <v>55</v>
      </c>
      <c r="J1354" s="150" t="str">
        <f t="shared" si="65"/>
        <v>556</v>
      </c>
      <c r="K1354" s="150" t="s">
        <v>8323</v>
      </c>
      <c r="L1354" s="149" t="s">
        <v>2397</v>
      </c>
      <c r="M1354" s="151">
        <v>2000</v>
      </c>
    </row>
    <row r="1355" spans="1:13" s="149" customFormat="1" x14ac:dyDescent="0.25">
      <c r="A1355" s="149" t="s">
        <v>7639</v>
      </c>
      <c r="B1355" s="149" t="s">
        <v>2398</v>
      </c>
      <c r="C1355" s="149">
        <v>11</v>
      </c>
      <c r="D1355" s="149">
        <v>350</v>
      </c>
      <c r="E1355" s="149">
        <v>1</v>
      </c>
      <c r="F1355" s="149">
        <v>94800</v>
      </c>
      <c r="G1355" s="149">
        <v>56341</v>
      </c>
      <c r="H1355" s="150" t="str">
        <f t="shared" si="63"/>
        <v>5</v>
      </c>
      <c r="I1355" s="150" t="str">
        <f t="shared" si="64"/>
        <v>56</v>
      </c>
      <c r="J1355" s="150" t="str">
        <f t="shared" si="65"/>
        <v>563</v>
      </c>
      <c r="K1355" s="150" t="s">
        <v>8366</v>
      </c>
      <c r="L1355" s="149" t="s">
        <v>2399</v>
      </c>
      <c r="M1355" s="151">
        <v>6720</v>
      </c>
    </row>
    <row r="1356" spans="1:13" s="149" customFormat="1" x14ac:dyDescent="0.25">
      <c r="A1356" s="149" t="s">
        <v>7639</v>
      </c>
      <c r="B1356" s="149" t="s">
        <v>2400</v>
      </c>
      <c r="C1356" s="149">
        <v>11</v>
      </c>
      <c r="D1356" s="149">
        <v>350</v>
      </c>
      <c r="E1356" s="149">
        <v>1</v>
      </c>
      <c r="F1356" s="149">
        <v>95200</v>
      </c>
      <c r="G1356" s="149">
        <v>51100</v>
      </c>
      <c r="H1356" s="150" t="str">
        <f t="shared" si="63"/>
        <v>5</v>
      </c>
      <c r="I1356" s="150" t="str">
        <f t="shared" si="64"/>
        <v>51</v>
      </c>
      <c r="J1356" s="150" t="str">
        <f t="shared" si="65"/>
        <v>511</v>
      </c>
      <c r="K1356" s="150" t="s">
        <v>9224</v>
      </c>
      <c r="L1356" s="149" t="s">
        <v>2401</v>
      </c>
      <c r="M1356" s="151">
        <v>102880</v>
      </c>
    </row>
    <row r="1357" spans="1:13" s="149" customFormat="1" x14ac:dyDescent="0.25">
      <c r="A1357" s="149" t="s">
        <v>7639</v>
      </c>
      <c r="B1357" s="149" t="s">
        <v>2402</v>
      </c>
      <c r="C1357" s="149">
        <v>11</v>
      </c>
      <c r="D1357" s="149">
        <v>350</v>
      </c>
      <c r="E1357" s="149">
        <v>1</v>
      </c>
      <c r="F1357" s="149">
        <v>95200</v>
      </c>
      <c r="G1357" s="149">
        <v>51310</v>
      </c>
      <c r="H1357" s="150" t="str">
        <f t="shared" si="63"/>
        <v>5</v>
      </c>
      <c r="I1357" s="150" t="str">
        <f t="shared" si="64"/>
        <v>51</v>
      </c>
      <c r="J1357" s="150" t="str">
        <f t="shared" si="65"/>
        <v>513</v>
      </c>
      <c r="K1357" s="150" t="s">
        <v>7683</v>
      </c>
      <c r="L1357" s="149" t="s">
        <v>2403</v>
      </c>
      <c r="M1357" s="151">
        <v>13381</v>
      </c>
    </row>
    <row r="1358" spans="1:13" s="149" customFormat="1" x14ac:dyDescent="0.25">
      <c r="A1358" s="149" t="s">
        <v>7639</v>
      </c>
      <c r="B1358" s="149" t="s">
        <v>2404</v>
      </c>
      <c r="C1358" s="149">
        <v>11</v>
      </c>
      <c r="D1358" s="149">
        <v>350</v>
      </c>
      <c r="E1358" s="149">
        <v>1</v>
      </c>
      <c r="F1358" s="149">
        <v>95200</v>
      </c>
      <c r="G1358" s="149">
        <v>51311</v>
      </c>
      <c r="H1358" s="150" t="str">
        <f t="shared" si="63"/>
        <v>5</v>
      </c>
      <c r="I1358" s="150" t="str">
        <f t="shared" si="64"/>
        <v>51</v>
      </c>
      <c r="J1358" s="150" t="str">
        <f t="shared" si="65"/>
        <v>513</v>
      </c>
      <c r="K1358" s="150" t="s">
        <v>7761</v>
      </c>
      <c r="L1358" s="149" t="s">
        <v>2405</v>
      </c>
      <c r="M1358" s="151">
        <v>13944</v>
      </c>
    </row>
    <row r="1359" spans="1:13" s="149" customFormat="1" x14ac:dyDescent="0.25">
      <c r="A1359" s="149" t="s">
        <v>7639</v>
      </c>
      <c r="B1359" s="149" t="s">
        <v>2406</v>
      </c>
      <c r="C1359" s="149">
        <v>11</v>
      </c>
      <c r="D1359" s="149">
        <v>350</v>
      </c>
      <c r="E1359" s="149">
        <v>1</v>
      </c>
      <c r="F1359" s="149">
        <v>95200</v>
      </c>
      <c r="G1359" s="149">
        <v>53110</v>
      </c>
      <c r="H1359" s="150" t="str">
        <f t="shared" si="63"/>
        <v>5</v>
      </c>
      <c r="I1359" s="150" t="str">
        <f t="shared" si="64"/>
        <v>53</v>
      </c>
      <c r="J1359" s="150" t="str">
        <f t="shared" si="65"/>
        <v>531</v>
      </c>
      <c r="K1359" s="150" t="s">
        <v>9225</v>
      </c>
      <c r="L1359" s="149" t="s">
        <v>2407</v>
      </c>
      <c r="M1359" s="151">
        <v>21028.11</v>
      </c>
    </row>
    <row r="1360" spans="1:13" s="149" customFormat="1" x14ac:dyDescent="0.25">
      <c r="A1360" s="149" t="s">
        <v>7639</v>
      </c>
      <c r="B1360" s="149" t="s">
        <v>2408</v>
      </c>
      <c r="C1360" s="149">
        <v>11</v>
      </c>
      <c r="D1360" s="149">
        <v>350</v>
      </c>
      <c r="E1360" s="149">
        <v>1</v>
      </c>
      <c r="F1360" s="149">
        <v>95200</v>
      </c>
      <c r="G1360" s="149">
        <v>53330</v>
      </c>
      <c r="H1360" s="150" t="str">
        <f t="shared" si="63"/>
        <v>5</v>
      </c>
      <c r="I1360" s="150" t="str">
        <f t="shared" si="64"/>
        <v>53</v>
      </c>
      <c r="J1360" s="150" t="str">
        <f t="shared" si="65"/>
        <v>533</v>
      </c>
      <c r="K1360" s="150" t="s">
        <v>9226</v>
      </c>
      <c r="L1360" s="149" t="s">
        <v>2409</v>
      </c>
      <c r="M1360" s="151">
        <v>1887.97</v>
      </c>
    </row>
    <row r="1361" spans="1:13" s="149" customFormat="1" x14ac:dyDescent="0.25">
      <c r="A1361" s="149" t="s">
        <v>7639</v>
      </c>
      <c r="B1361" s="149" t="s">
        <v>2410</v>
      </c>
      <c r="C1361" s="149">
        <v>11</v>
      </c>
      <c r="D1361" s="149">
        <v>350</v>
      </c>
      <c r="E1361" s="149">
        <v>1</v>
      </c>
      <c r="F1361" s="149">
        <v>95200</v>
      </c>
      <c r="G1361" s="149">
        <v>53410</v>
      </c>
      <c r="H1361" s="150" t="str">
        <f t="shared" si="63"/>
        <v>5</v>
      </c>
      <c r="I1361" s="150" t="str">
        <f t="shared" si="64"/>
        <v>53</v>
      </c>
      <c r="J1361" s="150" t="str">
        <f t="shared" si="65"/>
        <v>534</v>
      </c>
      <c r="K1361" s="150" t="s">
        <v>9227</v>
      </c>
      <c r="L1361" s="149" t="s">
        <v>2411</v>
      </c>
      <c r="M1361" s="151">
        <v>207.24</v>
      </c>
    </row>
    <row r="1362" spans="1:13" s="149" customFormat="1" x14ac:dyDescent="0.25">
      <c r="A1362" s="149" t="s">
        <v>7639</v>
      </c>
      <c r="B1362" s="149" t="s">
        <v>2412</v>
      </c>
      <c r="C1362" s="149">
        <v>11</v>
      </c>
      <c r="D1362" s="149">
        <v>350</v>
      </c>
      <c r="E1362" s="149">
        <v>1</v>
      </c>
      <c r="F1362" s="149">
        <v>95200</v>
      </c>
      <c r="G1362" s="149">
        <v>53510</v>
      </c>
      <c r="H1362" s="150" t="str">
        <f t="shared" si="63"/>
        <v>5</v>
      </c>
      <c r="I1362" s="150" t="str">
        <f t="shared" si="64"/>
        <v>53</v>
      </c>
      <c r="J1362" s="150" t="str">
        <f t="shared" si="65"/>
        <v>535</v>
      </c>
      <c r="K1362" s="150" t="s">
        <v>9228</v>
      </c>
      <c r="L1362" s="149" t="s">
        <v>2413</v>
      </c>
      <c r="M1362" s="151">
        <v>65.099999999999994</v>
      </c>
    </row>
    <row r="1363" spans="1:13" s="149" customFormat="1" x14ac:dyDescent="0.25">
      <c r="A1363" s="149" t="s">
        <v>7639</v>
      </c>
      <c r="B1363" s="149" t="s">
        <v>2414</v>
      </c>
      <c r="C1363" s="149">
        <v>11</v>
      </c>
      <c r="D1363" s="149">
        <v>350</v>
      </c>
      <c r="E1363" s="149">
        <v>1</v>
      </c>
      <c r="F1363" s="149">
        <v>95200</v>
      </c>
      <c r="G1363" s="149">
        <v>53610</v>
      </c>
      <c r="H1363" s="150" t="str">
        <f t="shared" si="63"/>
        <v>5</v>
      </c>
      <c r="I1363" s="150" t="str">
        <f t="shared" si="64"/>
        <v>53</v>
      </c>
      <c r="J1363" s="150" t="str">
        <f t="shared" si="65"/>
        <v>536</v>
      </c>
      <c r="K1363" s="150" t="s">
        <v>9229</v>
      </c>
      <c r="L1363" s="149" t="s">
        <v>2415</v>
      </c>
      <c r="M1363" s="151">
        <v>2461.92</v>
      </c>
    </row>
    <row r="1364" spans="1:13" s="149" customFormat="1" x14ac:dyDescent="0.25">
      <c r="A1364" s="149" t="s">
        <v>7639</v>
      </c>
      <c r="B1364" s="149" t="s">
        <v>2416</v>
      </c>
      <c r="C1364" s="149">
        <v>11</v>
      </c>
      <c r="D1364" s="149">
        <v>350</v>
      </c>
      <c r="E1364" s="149">
        <v>1</v>
      </c>
      <c r="F1364" s="149">
        <v>95200</v>
      </c>
      <c r="G1364" s="149">
        <v>53910</v>
      </c>
      <c r="H1364" s="150" t="str">
        <f t="shared" si="63"/>
        <v>5</v>
      </c>
      <c r="I1364" s="150" t="str">
        <f t="shared" si="64"/>
        <v>53</v>
      </c>
      <c r="J1364" s="150" t="str">
        <f t="shared" si="65"/>
        <v>539</v>
      </c>
      <c r="K1364" s="150" t="s">
        <v>9230</v>
      </c>
      <c r="L1364" s="149" t="s">
        <v>2417</v>
      </c>
      <c r="M1364" s="151">
        <v>2400</v>
      </c>
    </row>
    <row r="1365" spans="1:13" s="149" customFormat="1" x14ac:dyDescent="0.25">
      <c r="A1365" s="149" t="s">
        <v>7639</v>
      </c>
      <c r="B1365" s="149" t="s">
        <v>2418</v>
      </c>
      <c r="C1365" s="149">
        <v>11</v>
      </c>
      <c r="D1365" s="149">
        <v>350</v>
      </c>
      <c r="E1365" s="149">
        <v>1</v>
      </c>
      <c r="F1365" s="149">
        <v>95200</v>
      </c>
      <c r="G1365" s="149">
        <v>54300</v>
      </c>
      <c r="H1365" s="150" t="str">
        <f t="shared" si="63"/>
        <v>5</v>
      </c>
      <c r="I1365" s="150" t="str">
        <f t="shared" si="64"/>
        <v>54</v>
      </c>
      <c r="J1365" s="150" t="str">
        <f t="shared" si="65"/>
        <v>543</v>
      </c>
      <c r="K1365" s="150" t="s">
        <v>7957</v>
      </c>
      <c r="L1365" s="149" t="s">
        <v>2419</v>
      </c>
      <c r="M1365" s="151">
        <v>3000</v>
      </c>
    </row>
    <row r="1366" spans="1:13" s="149" customFormat="1" x14ac:dyDescent="0.25">
      <c r="A1366" s="149" t="s">
        <v>7639</v>
      </c>
      <c r="B1366" s="149" t="s">
        <v>2420</v>
      </c>
      <c r="C1366" s="149">
        <v>11</v>
      </c>
      <c r="D1366" s="149">
        <v>350</v>
      </c>
      <c r="E1366" s="149">
        <v>1</v>
      </c>
      <c r="F1366" s="149">
        <v>95200</v>
      </c>
      <c r="G1366" s="149">
        <v>55300</v>
      </c>
      <c r="H1366" s="150" t="str">
        <f t="shared" si="63"/>
        <v>5</v>
      </c>
      <c r="I1366" s="150" t="str">
        <f t="shared" si="64"/>
        <v>55</v>
      </c>
      <c r="J1366" s="150" t="str">
        <f t="shared" si="65"/>
        <v>553</v>
      </c>
      <c r="K1366" s="150" t="s">
        <v>8092</v>
      </c>
      <c r="L1366" s="149" t="s">
        <v>2421</v>
      </c>
      <c r="M1366" s="151">
        <v>150</v>
      </c>
    </row>
    <row r="1367" spans="1:13" s="149" customFormat="1" x14ac:dyDescent="0.25">
      <c r="A1367" s="149" t="s">
        <v>7639</v>
      </c>
      <c r="B1367" s="149" t="s">
        <v>2422</v>
      </c>
      <c r="C1367" s="149">
        <v>11</v>
      </c>
      <c r="D1367" s="149">
        <v>350</v>
      </c>
      <c r="E1367" s="149">
        <v>1</v>
      </c>
      <c r="F1367" s="149">
        <v>95200</v>
      </c>
      <c r="G1367" s="149">
        <v>55309</v>
      </c>
      <c r="H1367" s="150" t="str">
        <f t="shared" si="63"/>
        <v>5</v>
      </c>
      <c r="I1367" s="150" t="str">
        <f t="shared" si="64"/>
        <v>55</v>
      </c>
      <c r="J1367" s="150" t="str">
        <f t="shared" si="65"/>
        <v>553</v>
      </c>
      <c r="K1367" s="150" t="s">
        <v>8109</v>
      </c>
      <c r="L1367" s="149" t="s">
        <v>2423</v>
      </c>
      <c r="M1367" s="151">
        <v>150</v>
      </c>
    </row>
    <row r="1368" spans="1:13" s="149" customFormat="1" x14ac:dyDescent="0.25">
      <c r="A1368" s="149" t="s">
        <v>7639</v>
      </c>
      <c r="B1368" s="149" t="s">
        <v>2424</v>
      </c>
      <c r="C1368" s="149">
        <v>11</v>
      </c>
      <c r="D1368" s="149">
        <v>350</v>
      </c>
      <c r="E1368" s="149">
        <v>1</v>
      </c>
      <c r="F1368" s="149">
        <v>95200</v>
      </c>
      <c r="G1368" s="149">
        <v>55630</v>
      </c>
      <c r="H1368" s="150" t="str">
        <f t="shared" si="63"/>
        <v>5</v>
      </c>
      <c r="I1368" s="150" t="str">
        <f t="shared" si="64"/>
        <v>55</v>
      </c>
      <c r="J1368" s="150" t="str">
        <f t="shared" si="65"/>
        <v>556</v>
      </c>
      <c r="K1368" s="150" t="s">
        <v>8246</v>
      </c>
      <c r="L1368" s="149" t="s">
        <v>2425</v>
      </c>
      <c r="M1368" s="151">
        <v>15</v>
      </c>
    </row>
    <row r="1369" spans="1:13" s="149" customFormat="1" x14ac:dyDescent="0.25">
      <c r="A1369" s="149" t="s">
        <v>7639</v>
      </c>
      <c r="B1369" s="149" t="s">
        <v>2426</v>
      </c>
      <c r="C1369" s="149">
        <v>11</v>
      </c>
      <c r="D1369" s="149">
        <v>350</v>
      </c>
      <c r="E1369" s="149">
        <v>1</v>
      </c>
      <c r="F1369" s="149">
        <v>95200</v>
      </c>
      <c r="G1369" s="149">
        <v>56400</v>
      </c>
      <c r="H1369" s="150" t="str">
        <f t="shared" si="63"/>
        <v>5</v>
      </c>
      <c r="I1369" s="150" t="str">
        <f t="shared" si="64"/>
        <v>56</v>
      </c>
      <c r="J1369" s="150" t="str">
        <f t="shared" si="65"/>
        <v>564</v>
      </c>
      <c r="K1369" s="150" t="s">
        <v>8377</v>
      </c>
      <c r="L1369" s="149" t="s">
        <v>2427</v>
      </c>
      <c r="M1369" s="151">
        <v>200</v>
      </c>
    </row>
    <row r="1370" spans="1:13" s="149" customFormat="1" x14ac:dyDescent="0.25">
      <c r="A1370" s="149" t="s">
        <v>7639</v>
      </c>
      <c r="B1370" s="149" t="s">
        <v>2428</v>
      </c>
      <c r="C1370" s="149">
        <v>11</v>
      </c>
      <c r="D1370" s="149">
        <v>350</v>
      </c>
      <c r="E1370" s="149">
        <v>1</v>
      </c>
      <c r="F1370" s="149">
        <v>95220</v>
      </c>
      <c r="G1370" s="149">
        <v>55105</v>
      </c>
      <c r="H1370" s="150" t="str">
        <f t="shared" si="63"/>
        <v>5</v>
      </c>
      <c r="I1370" s="150" t="str">
        <f t="shared" si="64"/>
        <v>55</v>
      </c>
      <c r="J1370" s="150" t="str">
        <f t="shared" si="65"/>
        <v>551</v>
      </c>
      <c r="K1370" s="150" t="s">
        <v>8014</v>
      </c>
      <c r="L1370" s="149" t="s">
        <v>2429</v>
      </c>
      <c r="M1370" s="151">
        <v>67000</v>
      </c>
    </row>
    <row r="1371" spans="1:13" s="149" customFormat="1" x14ac:dyDescent="0.25">
      <c r="A1371" s="149" t="s">
        <v>7639</v>
      </c>
      <c r="B1371" s="149" t="s">
        <v>2430</v>
      </c>
      <c r="C1371" s="149">
        <v>11</v>
      </c>
      <c r="D1371" s="149">
        <v>350</v>
      </c>
      <c r="E1371" s="149">
        <v>1</v>
      </c>
      <c r="F1371" s="149">
        <v>95300</v>
      </c>
      <c r="G1371" s="149">
        <v>51100</v>
      </c>
      <c r="H1371" s="150" t="str">
        <f t="shared" si="63"/>
        <v>5</v>
      </c>
      <c r="I1371" s="150" t="str">
        <f t="shared" si="64"/>
        <v>51</v>
      </c>
      <c r="J1371" s="150" t="str">
        <f t="shared" si="65"/>
        <v>511</v>
      </c>
      <c r="K1371" s="150" t="s">
        <v>9231</v>
      </c>
      <c r="L1371" s="149" t="s">
        <v>2431</v>
      </c>
      <c r="M1371" s="151">
        <v>83356.800000000003</v>
      </c>
    </row>
    <row r="1372" spans="1:13" s="149" customFormat="1" x14ac:dyDescent="0.25">
      <c r="A1372" s="149" t="s">
        <v>7639</v>
      </c>
      <c r="B1372" s="149" t="s">
        <v>2432</v>
      </c>
      <c r="C1372" s="149">
        <v>11</v>
      </c>
      <c r="D1372" s="149">
        <v>350</v>
      </c>
      <c r="E1372" s="149">
        <v>1</v>
      </c>
      <c r="F1372" s="149">
        <v>95300</v>
      </c>
      <c r="G1372" s="149">
        <v>53110</v>
      </c>
      <c r="H1372" s="150" t="str">
        <f t="shared" si="63"/>
        <v>5</v>
      </c>
      <c r="I1372" s="150" t="str">
        <f t="shared" si="64"/>
        <v>53</v>
      </c>
      <c r="J1372" s="150" t="str">
        <f t="shared" si="65"/>
        <v>531</v>
      </c>
      <c r="K1372" s="150" t="s">
        <v>9232</v>
      </c>
      <c r="L1372" s="149" t="s">
        <v>2433</v>
      </c>
      <c r="M1372" s="151">
        <v>13462.12</v>
      </c>
    </row>
    <row r="1373" spans="1:13" s="149" customFormat="1" x14ac:dyDescent="0.25">
      <c r="A1373" s="149" t="s">
        <v>7639</v>
      </c>
      <c r="B1373" s="149" t="s">
        <v>2434</v>
      </c>
      <c r="C1373" s="149">
        <v>11</v>
      </c>
      <c r="D1373" s="149">
        <v>350</v>
      </c>
      <c r="E1373" s="149">
        <v>1</v>
      </c>
      <c r="F1373" s="149">
        <v>95300</v>
      </c>
      <c r="G1373" s="149">
        <v>53330</v>
      </c>
      <c r="H1373" s="150" t="str">
        <f t="shared" si="63"/>
        <v>5</v>
      </c>
      <c r="I1373" s="150" t="str">
        <f t="shared" si="64"/>
        <v>53</v>
      </c>
      <c r="J1373" s="150" t="str">
        <f t="shared" si="65"/>
        <v>533</v>
      </c>
      <c r="K1373" s="150" t="s">
        <v>9233</v>
      </c>
      <c r="L1373" s="149" t="s">
        <v>2435</v>
      </c>
      <c r="M1373" s="151">
        <v>1208.67</v>
      </c>
    </row>
    <row r="1374" spans="1:13" s="149" customFormat="1" x14ac:dyDescent="0.25">
      <c r="A1374" s="149" t="s">
        <v>7639</v>
      </c>
      <c r="B1374" s="149" t="s">
        <v>2436</v>
      </c>
      <c r="C1374" s="149">
        <v>11</v>
      </c>
      <c r="D1374" s="149">
        <v>350</v>
      </c>
      <c r="E1374" s="149">
        <v>1</v>
      </c>
      <c r="F1374" s="149">
        <v>95300</v>
      </c>
      <c r="G1374" s="149">
        <v>53410</v>
      </c>
      <c r="H1374" s="150" t="str">
        <f t="shared" si="63"/>
        <v>5</v>
      </c>
      <c r="I1374" s="150" t="str">
        <f t="shared" si="64"/>
        <v>53</v>
      </c>
      <c r="J1374" s="150" t="str">
        <f t="shared" si="65"/>
        <v>534</v>
      </c>
      <c r="K1374" s="150" t="s">
        <v>9234</v>
      </c>
      <c r="L1374" s="149" t="s">
        <v>2437</v>
      </c>
      <c r="M1374" s="151">
        <v>26497.14</v>
      </c>
    </row>
    <row r="1375" spans="1:13" s="149" customFormat="1" x14ac:dyDescent="0.25">
      <c r="A1375" s="149" t="s">
        <v>7639</v>
      </c>
      <c r="B1375" s="149" t="s">
        <v>2438</v>
      </c>
      <c r="C1375" s="149">
        <v>11</v>
      </c>
      <c r="D1375" s="149">
        <v>350</v>
      </c>
      <c r="E1375" s="149">
        <v>1</v>
      </c>
      <c r="F1375" s="149">
        <v>95300</v>
      </c>
      <c r="G1375" s="149">
        <v>53510</v>
      </c>
      <c r="H1375" s="150" t="str">
        <f t="shared" si="63"/>
        <v>5</v>
      </c>
      <c r="I1375" s="150" t="str">
        <f t="shared" si="64"/>
        <v>53</v>
      </c>
      <c r="J1375" s="150" t="str">
        <f t="shared" si="65"/>
        <v>535</v>
      </c>
      <c r="K1375" s="150" t="s">
        <v>9235</v>
      </c>
      <c r="L1375" s="149" t="s">
        <v>2439</v>
      </c>
      <c r="M1375" s="151">
        <v>41.68</v>
      </c>
    </row>
    <row r="1376" spans="1:13" s="149" customFormat="1" x14ac:dyDescent="0.25">
      <c r="A1376" s="149" t="s">
        <v>7639</v>
      </c>
      <c r="B1376" s="149" t="s">
        <v>2440</v>
      </c>
      <c r="C1376" s="149">
        <v>11</v>
      </c>
      <c r="D1376" s="149">
        <v>350</v>
      </c>
      <c r="E1376" s="149">
        <v>1</v>
      </c>
      <c r="F1376" s="149">
        <v>95300</v>
      </c>
      <c r="G1376" s="149">
        <v>53610</v>
      </c>
      <c r="H1376" s="150" t="str">
        <f t="shared" si="63"/>
        <v>5</v>
      </c>
      <c r="I1376" s="150" t="str">
        <f t="shared" si="64"/>
        <v>53</v>
      </c>
      <c r="J1376" s="150" t="str">
        <f t="shared" si="65"/>
        <v>536</v>
      </c>
      <c r="K1376" s="150" t="s">
        <v>9236</v>
      </c>
      <c r="L1376" s="149" t="s">
        <v>2441</v>
      </c>
      <c r="M1376" s="151">
        <v>1576.11</v>
      </c>
    </row>
    <row r="1377" spans="1:13" s="149" customFormat="1" x14ac:dyDescent="0.25">
      <c r="A1377" s="149" t="s">
        <v>7639</v>
      </c>
      <c r="B1377" s="149" t="s">
        <v>2442</v>
      </c>
      <c r="C1377" s="149">
        <v>11</v>
      </c>
      <c r="D1377" s="149">
        <v>350</v>
      </c>
      <c r="E1377" s="149">
        <v>1</v>
      </c>
      <c r="F1377" s="149">
        <v>95300</v>
      </c>
      <c r="G1377" s="149">
        <v>54300</v>
      </c>
      <c r="H1377" s="150" t="str">
        <f t="shared" si="63"/>
        <v>5</v>
      </c>
      <c r="I1377" s="150" t="str">
        <f t="shared" si="64"/>
        <v>54</v>
      </c>
      <c r="J1377" s="150" t="str">
        <f t="shared" si="65"/>
        <v>543</v>
      </c>
      <c r="K1377" s="150" t="s">
        <v>7958</v>
      </c>
      <c r="L1377" s="149" t="s">
        <v>2443</v>
      </c>
      <c r="M1377" s="151">
        <v>107</v>
      </c>
    </row>
    <row r="1378" spans="1:13" s="149" customFormat="1" x14ac:dyDescent="0.25">
      <c r="A1378" s="149" t="s">
        <v>7639</v>
      </c>
      <c r="B1378" s="149" t="s">
        <v>2444</v>
      </c>
      <c r="C1378" s="149">
        <v>11</v>
      </c>
      <c r="D1378" s="149">
        <v>350</v>
      </c>
      <c r="E1378" s="149">
        <v>1</v>
      </c>
      <c r="F1378" s="149">
        <v>95300</v>
      </c>
      <c r="G1378" s="149">
        <v>55630</v>
      </c>
      <c r="H1378" s="150" t="str">
        <f t="shared" si="63"/>
        <v>5</v>
      </c>
      <c r="I1378" s="150" t="str">
        <f t="shared" si="64"/>
        <v>55</v>
      </c>
      <c r="J1378" s="150" t="str">
        <f t="shared" si="65"/>
        <v>556</v>
      </c>
      <c r="K1378" s="150" t="s">
        <v>8247</v>
      </c>
      <c r="L1378" s="149" t="s">
        <v>2445</v>
      </c>
      <c r="M1378" s="151">
        <v>15</v>
      </c>
    </row>
    <row r="1379" spans="1:13" s="149" customFormat="1" x14ac:dyDescent="0.25">
      <c r="A1379" s="149" t="s">
        <v>7639</v>
      </c>
      <c r="B1379" s="149" t="s">
        <v>2446</v>
      </c>
      <c r="C1379" s="149">
        <v>11</v>
      </c>
      <c r="D1379" s="149">
        <v>350</v>
      </c>
      <c r="E1379" s="149">
        <v>1</v>
      </c>
      <c r="F1379" s="149">
        <v>95300</v>
      </c>
      <c r="G1379" s="149">
        <v>55651</v>
      </c>
      <c r="H1379" s="150" t="str">
        <f t="shared" si="63"/>
        <v>5</v>
      </c>
      <c r="I1379" s="150" t="str">
        <f t="shared" si="64"/>
        <v>55</v>
      </c>
      <c r="J1379" s="150" t="str">
        <f t="shared" si="65"/>
        <v>556</v>
      </c>
      <c r="K1379" s="150" t="s">
        <v>8324</v>
      </c>
      <c r="L1379" s="149" t="s">
        <v>2447</v>
      </c>
      <c r="M1379" s="151">
        <v>54</v>
      </c>
    </row>
    <row r="1380" spans="1:13" s="149" customFormat="1" x14ac:dyDescent="0.25">
      <c r="A1380" s="149" t="s">
        <v>7639</v>
      </c>
      <c r="B1380" s="149" t="s">
        <v>2448</v>
      </c>
      <c r="C1380" s="149">
        <v>11</v>
      </c>
      <c r="D1380" s="149">
        <v>350</v>
      </c>
      <c r="E1380" s="149">
        <v>1</v>
      </c>
      <c r="F1380" s="149">
        <v>95300</v>
      </c>
      <c r="G1380" s="149">
        <v>56300</v>
      </c>
      <c r="H1380" s="150" t="str">
        <f t="shared" si="63"/>
        <v>5</v>
      </c>
      <c r="I1380" s="150" t="str">
        <f t="shared" si="64"/>
        <v>56</v>
      </c>
      <c r="J1380" s="150" t="str">
        <f t="shared" si="65"/>
        <v>563</v>
      </c>
      <c r="K1380" s="150" t="s">
        <v>8358</v>
      </c>
      <c r="L1380" s="149" t="s">
        <v>2449</v>
      </c>
      <c r="M1380" s="151">
        <v>3000</v>
      </c>
    </row>
    <row r="1381" spans="1:13" s="149" customFormat="1" x14ac:dyDescent="0.25">
      <c r="A1381" s="149" t="s">
        <v>7639</v>
      </c>
      <c r="B1381" s="149" t="s">
        <v>2450</v>
      </c>
      <c r="C1381" s="149">
        <v>11</v>
      </c>
      <c r="D1381" s="149">
        <v>350</v>
      </c>
      <c r="E1381" s="149">
        <v>1</v>
      </c>
      <c r="F1381" s="149">
        <v>95650</v>
      </c>
      <c r="G1381" s="149">
        <v>51100</v>
      </c>
      <c r="H1381" s="150" t="str">
        <f t="shared" si="63"/>
        <v>5</v>
      </c>
      <c r="I1381" s="150" t="str">
        <f t="shared" si="64"/>
        <v>51</v>
      </c>
      <c r="J1381" s="150" t="str">
        <f t="shared" si="65"/>
        <v>511</v>
      </c>
      <c r="K1381" s="150" t="s">
        <v>9237</v>
      </c>
      <c r="L1381" s="149" t="s">
        <v>2451</v>
      </c>
      <c r="M1381" s="151">
        <v>92310</v>
      </c>
    </row>
    <row r="1382" spans="1:13" s="149" customFormat="1" x14ac:dyDescent="0.25">
      <c r="A1382" s="149" t="s">
        <v>7639</v>
      </c>
      <c r="B1382" s="149" t="s">
        <v>2452</v>
      </c>
      <c r="C1382" s="149">
        <v>11</v>
      </c>
      <c r="D1382" s="149">
        <v>350</v>
      </c>
      <c r="E1382" s="149">
        <v>1</v>
      </c>
      <c r="F1382" s="149">
        <v>95650</v>
      </c>
      <c r="G1382" s="149">
        <v>51310</v>
      </c>
      <c r="H1382" s="150" t="str">
        <f t="shared" si="63"/>
        <v>5</v>
      </c>
      <c r="I1382" s="150" t="str">
        <f t="shared" si="64"/>
        <v>51</v>
      </c>
      <c r="J1382" s="150" t="str">
        <f t="shared" si="65"/>
        <v>513</v>
      </c>
      <c r="K1382" s="150" t="s">
        <v>7684</v>
      </c>
      <c r="L1382" s="149" t="s">
        <v>2453</v>
      </c>
      <c r="M1382" s="151">
        <v>10000</v>
      </c>
    </row>
    <row r="1383" spans="1:13" s="149" customFormat="1" x14ac:dyDescent="0.25">
      <c r="A1383" s="149" t="s">
        <v>7639</v>
      </c>
      <c r="B1383" s="149" t="s">
        <v>2454</v>
      </c>
      <c r="C1383" s="149">
        <v>11</v>
      </c>
      <c r="D1383" s="149">
        <v>350</v>
      </c>
      <c r="E1383" s="149">
        <v>1</v>
      </c>
      <c r="F1383" s="149">
        <v>95650</v>
      </c>
      <c r="G1383" s="149">
        <v>51311</v>
      </c>
      <c r="H1383" s="150" t="str">
        <f t="shared" si="63"/>
        <v>5</v>
      </c>
      <c r="I1383" s="150" t="str">
        <f t="shared" si="64"/>
        <v>51</v>
      </c>
      <c r="J1383" s="150" t="str">
        <f t="shared" si="65"/>
        <v>513</v>
      </c>
      <c r="K1383" s="150" t="s">
        <v>7762</v>
      </c>
      <c r="L1383" s="149" t="s">
        <v>2455</v>
      </c>
      <c r="M1383" s="151">
        <v>23000</v>
      </c>
    </row>
    <row r="1384" spans="1:13" s="149" customFormat="1" x14ac:dyDescent="0.25">
      <c r="A1384" s="149" t="s">
        <v>7639</v>
      </c>
      <c r="B1384" s="149" t="s">
        <v>2456</v>
      </c>
      <c r="C1384" s="149">
        <v>11</v>
      </c>
      <c r="D1384" s="149">
        <v>350</v>
      </c>
      <c r="E1384" s="149">
        <v>1</v>
      </c>
      <c r="F1384" s="149">
        <v>95650</v>
      </c>
      <c r="G1384" s="149">
        <v>52200</v>
      </c>
      <c r="H1384" s="150" t="str">
        <f t="shared" si="63"/>
        <v>5</v>
      </c>
      <c r="I1384" s="150" t="str">
        <f t="shared" si="64"/>
        <v>52</v>
      </c>
      <c r="J1384" s="150" t="str">
        <f t="shared" si="65"/>
        <v>522</v>
      </c>
      <c r="K1384" s="150" t="s">
        <v>9238</v>
      </c>
      <c r="L1384" s="149" t="s">
        <v>2457</v>
      </c>
      <c r="M1384" s="151">
        <v>27810</v>
      </c>
    </row>
    <row r="1385" spans="1:13" s="149" customFormat="1" x14ac:dyDescent="0.25">
      <c r="A1385" s="149" t="s">
        <v>7639</v>
      </c>
      <c r="B1385" s="149" t="s">
        <v>2458</v>
      </c>
      <c r="C1385" s="149">
        <v>11</v>
      </c>
      <c r="D1385" s="149">
        <v>350</v>
      </c>
      <c r="E1385" s="149">
        <v>1</v>
      </c>
      <c r="F1385" s="149">
        <v>95650</v>
      </c>
      <c r="G1385" s="149">
        <v>53110</v>
      </c>
      <c r="H1385" s="150" t="str">
        <f t="shared" si="63"/>
        <v>5</v>
      </c>
      <c r="I1385" s="150" t="str">
        <f t="shared" si="64"/>
        <v>53</v>
      </c>
      <c r="J1385" s="150" t="str">
        <f t="shared" si="65"/>
        <v>531</v>
      </c>
      <c r="K1385" s="150" t="s">
        <v>9239</v>
      </c>
      <c r="L1385" s="149" t="s">
        <v>2459</v>
      </c>
      <c r="M1385" s="151">
        <v>20237.57</v>
      </c>
    </row>
    <row r="1386" spans="1:13" s="149" customFormat="1" x14ac:dyDescent="0.25">
      <c r="A1386" s="149" t="s">
        <v>7639</v>
      </c>
      <c r="B1386" s="149" t="s">
        <v>2460</v>
      </c>
      <c r="C1386" s="149">
        <v>11</v>
      </c>
      <c r="D1386" s="149">
        <v>350</v>
      </c>
      <c r="E1386" s="149">
        <v>1</v>
      </c>
      <c r="F1386" s="149">
        <v>95650</v>
      </c>
      <c r="G1386" s="149">
        <v>53210</v>
      </c>
      <c r="H1386" s="150" t="str">
        <f t="shared" si="63"/>
        <v>5</v>
      </c>
      <c r="I1386" s="150" t="str">
        <f t="shared" si="64"/>
        <v>53</v>
      </c>
      <c r="J1386" s="150" t="str">
        <f t="shared" si="65"/>
        <v>532</v>
      </c>
      <c r="K1386" s="150" t="s">
        <v>9240</v>
      </c>
      <c r="L1386" s="149" t="s">
        <v>2461</v>
      </c>
      <c r="M1386" s="151">
        <v>5756.67</v>
      </c>
    </row>
    <row r="1387" spans="1:13" s="149" customFormat="1" x14ac:dyDescent="0.25">
      <c r="A1387" s="149" t="s">
        <v>7639</v>
      </c>
      <c r="B1387" s="149" t="s">
        <v>2462</v>
      </c>
      <c r="C1387" s="149">
        <v>11</v>
      </c>
      <c r="D1387" s="149">
        <v>350</v>
      </c>
      <c r="E1387" s="149">
        <v>1</v>
      </c>
      <c r="F1387" s="149">
        <v>95650</v>
      </c>
      <c r="G1387" s="149">
        <v>53310</v>
      </c>
      <c r="H1387" s="150" t="str">
        <f t="shared" si="63"/>
        <v>5</v>
      </c>
      <c r="I1387" s="150" t="str">
        <f t="shared" si="64"/>
        <v>53</v>
      </c>
      <c r="J1387" s="150" t="str">
        <f t="shared" si="65"/>
        <v>533</v>
      </c>
      <c r="K1387" s="150" t="s">
        <v>9241</v>
      </c>
      <c r="L1387" s="149" t="s">
        <v>2463</v>
      </c>
      <c r="M1387" s="151">
        <v>1724.22</v>
      </c>
    </row>
    <row r="1388" spans="1:13" s="149" customFormat="1" x14ac:dyDescent="0.25">
      <c r="A1388" s="149" t="s">
        <v>7639</v>
      </c>
      <c r="B1388" s="149" t="s">
        <v>2464</v>
      </c>
      <c r="C1388" s="149">
        <v>11</v>
      </c>
      <c r="D1388" s="149">
        <v>350</v>
      </c>
      <c r="E1388" s="149">
        <v>1</v>
      </c>
      <c r="F1388" s="149">
        <v>95650</v>
      </c>
      <c r="G1388" s="149">
        <v>53330</v>
      </c>
      <c r="H1388" s="150" t="str">
        <f t="shared" si="63"/>
        <v>5</v>
      </c>
      <c r="I1388" s="150" t="str">
        <f t="shared" si="64"/>
        <v>53</v>
      </c>
      <c r="J1388" s="150" t="str">
        <f t="shared" si="65"/>
        <v>533</v>
      </c>
      <c r="K1388" s="150" t="s">
        <v>9242</v>
      </c>
      <c r="L1388" s="149" t="s">
        <v>2465</v>
      </c>
      <c r="M1388" s="151">
        <v>2220.25</v>
      </c>
    </row>
    <row r="1389" spans="1:13" s="149" customFormat="1" x14ac:dyDescent="0.25">
      <c r="A1389" s="149" t="s">
        <v>7639</v>
      </c>
      <c r="B1389" s="149" t="s">
        <v>2466</v>
      </c>
      <c r="C1389" s="149">
        <v>11</v>
      </c>
      <c r="D1389" s="149">
        <v>350</v>
      </c>
      <c r="E1389" s="149">
        <v>1</v>
      </c>
      <c r="F1389" s="149">
        <v>95650</v>
      </c>
      <c r="G1389" s="149">
        <v>53410</v>
      </c>
      <c r="H1389" s="150" t="str">
        <f t="shared" si="63"/>
        <v>5</v>
      </c>
      <c r="I1389" s="150" t="str">
        <f t="shared" si="64"/>
        <v>53</v>
      </c>
      <c r="J1389" s="150" t="str">
        <f t="shared" si="65"/>
        <v>534</v>
      </c>
      <c r="K1389" s="150" t="s">
        <v>9243</v>
      </c>
      <c r="L1389" s="149" t="s">
        <v>2467</v>
      </c>
      <c r="M1389" s="151">
        <v>31811.54</v>
      </c>
    </row>
    <row r="1390" spans="1:13" s="149" customFormat="1" x14ac:dyDescent="0.25">
      <c r="A1390" s="149" t="s">
        <v>7639</v>
      </c>
      <c r="B1390" s="149" t="s">
        <v>2468</v>
      </c>
      <c r="C1390" s="149">
        <v>11</v>
      </c>
      <c r="D1390" s="149">
        <v>350</v>
      </c>
      <c r="E1390" s="149">
        <v>1</v>
      </c>
      <c r="F1390" s="149">
        <v>95650</v>
      </c>
      <c r="G1390" s="149">
        <v>53510</v>
      </c>
      <c r="H1390" s="150" t="str">
        <f t="shared" si="63"/>
        <v>5</v>
      </c>
      <c r="I1390" s="150" t="str">
        <f t="shared" si="64"/>
        <v>53</v>
      </c>
      <c r="J1390" s="150" t="str">
        <f t="shared" si="65"/>
        <v>535</v>
      </c>
      <c r="K1390" s="150" t="s">
        <v>9244</v>
      </c>
      <c r="L1390" s="149" t="s">
        <v>2469</v>
      </c>
      <c r="M1390" s="151">
        <v>76.569999999999993</v>
      </c>
    </row>
    <row r="1391" spans="1:13" s="149" customFormat="1" x14ac:dyDescent="0.25">
      <c r="A1391" s="149" t="s">
        <v>7639</v>
      </c>
      <c r="B1391" s="149" t="s">
        <v>2470</v>
      </c>
      <c r="C1391" s="149">
        <v>11</v>
      </c>
      <c r="D1391" s="149">
        <v>350</v>
      </c>
      <c r="E1391" s="149">
        <v>1</v>
      </c>
      <c r="F1391" s="149">
        <v>95650</v>
      </c>
      <c r="G1391" s="149">
        <v>53610</v>
      </c>
      <c r="H1391" s="150" t="str">
        <f t="shared" si="63"/>
        <v>5</v>
      </c>
      <c r="I1391" s="150" t="str">
        <f t="shared" si="64"/>
        <v>53</v>
      </c>
      <c r="J1391" s="150" t="str">
        <f t="shared" si="65"/>
        <v>536</v>
      </c>
      <c r="K1391" s="150" t="s">
        <v>9245</v>
      </c>
      <c r="L1391" s="149" t="s">
        <v>2471</v>
      </c>
      <c r="M1391" s="151">
        <v>2895.19</v>
      </c>
    </row>
    <row r="1392" spans="1:13" s="149" customFormat="1" x14ac:dyDescent="0.25">
      <c r="A1392" s="149" t="s">
        <v>7639</v>
      </c>
      <c r="B1392" s="149" t="s">
        <v>2472</v>
      </c>
      <c r="C1392" s="149">
        <v>11</v>
      </c>
      <c r="D1392" s="149">
        <v>350</v>
      </c>
      <c r="E1392" s="149">
        <v>1</v>
      </c>
      <c r="F1392" s="149">
        <v>95650</v>
      </c>
      <c r="G1392" s="149">
        <v>54300</v>
      </c>
      <c r="H1392" s="150" t="str">
        <f t="shared" si="63"/>
        <v>5</v>
      </c>
      <c r="I1392" s="150" t="str">
        <f t="shared" si="64"/>
        <v>54</v>
      </c>
      <c r="J1392" s="150" t="str">
        <f t="shared" si="65"/>
        <v>543</v>
      </c>
      <c r="K1392" s="150" t="s">
        <v>7959</v>
      </c>
      <c r="L1392" s="149" t="s">
        <v>2473</v>
      </c>
      <c r="M1392" s="151">
        <v>13735</v>
      </c>
    </row>
    <row r="1393" spans="1:13" s="149" customFormat="1" x14ac:dyDescent="0.25">
      <c r="A1393" s="149" t="s">
        <v>7639</v>
      </c>
      <c r="B1393" s="149" t="s">
        <v>2474</v>
      </c>
      <c r="C1393" s="149">
        <v>11</v>
      </c>
      <c r="D1393" s="149">
        <v>350</v>
      </c>
      <c r="E1393" s="149">
        <v>1</v>
      </c>
      <c r="F1393" s="149">
        <v>95650</v>
      </c>
      <c r="G1393" s="149">
        <v>55630</v>
      </c>
      <c r="H1393" s="150" t="str">
        <f t="shared" si="63"/>
        <v>5</v>
      </c>
      <c r="I1393" s="150" t="str">
        <f t="shared" si="64"/>
        <v>55</v>
      </c>
      <c r="J1393" s="150" t="str">
        <f t="shared" si="65"/>
        <v>556</v>
      </c>
      <c r="K1393" s="150" t="s">
        <v>8248</v>
      </c>
      <c r="L1393" s="149" t="s">
        <v>2475</v>
      </c>
      <c r="M1393" s="151">
        <v>60</v>
      </c>
    </row>
    <row r="1394" spans="1:13" s="149" customFormat="1" x14ac:dyDescent="0.25">
      <c r="A1394" s="149" t="s">
        <v>7639</v>
      </c>
      <c r="B1394" s="149" t="s">
        <v>2476</v>
      </c>
      <c r="C1394" s="149">
        <v>11</v>
      </c>
      <c r="D1394" s="149">
        <v>350</v>
      </c>
      <c r="E1394" s="149">
        <v>1</v>
      </c>
      <c r="F1394" s="149">
        <v>95650</v>
      </c>
      <c r="G1394" s="149">
        <v>55651</v>
      </c>
      <c r="H1394" s="150" t="str">
        <f t="shared" si="63"/>
        <v>5</v>
      </c>
      <c r="I1394" s="150" t="str">
        <f t="shared" si="64"/>
        <v>55</v>
      </c>
      <c r="J1394" s="150" t="str">
        <f t="shared" si="65"/>
        <v>556</v>
      </c>
      <c r="K1394" s="150" t="s">
        <v>8325</v>
      </c>
      <c r="L1394" s="149" t="s">
        <v>2477</v>
      </c>
      <c r="M1394" s="151">
        <v>2800</v>
      </c>
    </row>
    <row r="1395" spans="1:13" s="149" customFormat="1" x14ac:dyDescent="0.25">
      <c r="A1395" s="149" t="s">
        <v>7639</v>
      </c>
      <c r="B1395" s="149" t="s">
        <v>2478</v>
      </c>
      <c r="C1395" s="149">
        <v>11</v>
      </c>
      <c r="D1395" s="149">
        <v>350</v>
      </c>
      <c r="E1395" s="149">
        <v>1</v>
      </c>
      <c r="F1395" s="149">
        <v>95650</v>
      </c>
      <c r="G1395" s="149">
        <v>56400</v>
      </c>
      <c r="H1395" s="150" t="str">
        <f t="shared" si="63"/>
        <v>5</v>
      </c>
      <c r="I1395" s="150" t="str">
        <f t="shared" si="64"/>
        <v>56</v>
      </c>
      <c r="J1395" s="150" t="str">
        <f t="shared" si="65"/>
        <v>564</v>
      </c>
      <c r="K1395" s="150" t="s">
        <v>8378</v>
      </c>
      <c r="L1395" s="149" t="s">
        <v>2479</v>
      </c>
      <c r="M1395" s="151">
        <v>600</v>
      </c>
    </row>
    <row r="1396" spans="1:13" s="149" customFormat="1" x14ac:dyDescent="0.25">
      <c r="A1396" s="149" t="s">
        <v>7639</v>
      </c>
      <c r="B1396" s="149" t="s">
        <v>2480</v>
      </c>
      <c r="C1396" s="149">
        <v>11</v>
      </c>
      <c r="D1396" s="149">
        <v>350</v>
      </c>
      <c r="E1396" s="149">
        <v>1</v>
      </c>
      <c r="F1396" s="149">
        <v>601000</v>
      </c>
      <c r="G1396" s="149">
        <v>51210</v>
      </c>
      <c r="H1396" s="150" t="str">
        <f t="shared" si="63"/>
        <v>5</v>
      </c>
      <c r="I1396" s="150" t="str">
        <f t="shared" si="64"/>
        <v>51</v>
      </c>
      <c r="J1396" s="150" t="str">
        <f t="shared" si="65"/>
        <v>512</v>
      </c>
      <c r="K1396" s="150" t="s">
        <v>9246</v>
      </c>
      <c r="L1396" s="149" t="s">
        <v>477</v>
      </c>
      <c r="M1396" s="151">
        <v>0</v>
      </c>
    </row>
    <row r="1397" spans="1:13" s="149" customFormat="1" x14ac:dyDescent="0.25">
      <c r="A1397" s="149" t="s">
        <v>7639</v>
      </c>
      <c r="B1397" s="149" t="s">
        <v>2481</v>
      </c>
      <c r="C1397" s="149">
        <v>11</v>
      </c>
      <c r="D1397" s="149">
        <v>350</v>
      </c>
      <c r="E1397" s="149">
        <v>1</v>
      </c>
      <c r="F1397" s="149">
        <v>601000</v>
      </c>
      <c r="G1397" s="149">
        <v>52105</v>
      </c>
      <c r="H1397" s="150" t="str">
        <f t="shared" si="63"/>
        <v>5</v>
      </c>
      <c r="I1397" s="150" t="str">
        <f t="shared" si="64"/>
        <v>52</v>
      </c>
      <c r="J1397" s="150" t="str">
        <f t="shared" si="65"/>
        <v>521</v>
      </c>
      <c r="K1397" s="150" t="s">
        <v>9247</v>
      </c>
      <c r="L1397" s="149" t="s">
        <v>481</v>
      </c>
      <c r="M1397" s="151">
        <v>61886.83</v>
      </c>
    </row>
    <row r="1398" spans="1:13" s="149" customFormat="1" x14ac:dyDescent="0.25">
      <c r="A1398" s="149" t="s">
        <v>7639</v>
      </c>
      <c r="B1398" s="149" t="s">
        <v>2482</v>
      </c>
      <c r="C1398" s="149">
        <v>11</v>
      </c>
      <c r="D1398" s="149">
        <v>350</v>
      </c>
      <c r="E1398" s="149">
        <v>1</v>
      </c>
      <c r="F1398" s="149">
        <v>601000</v>
      </c>
      <c r="G1398" s="149">
        <v>52300</v>
      </c>
      <c r="H1398" s="150" t="str">
        <f t="shared" si="63"/>
        <v>5</v>
      </c>
      <c r="I1398" s="150" t="str">
        <f t="shared" si="64"/>
        <v>52</v>
      </c>
      <c r="J1398" s="150" t="str">
        <f t="shared" si="65"/>
        <v>523</v>
      </c>
      <c r="K1398" s="150" t="s">
        <v>7828</v>
      </c>
      <c r="L1398" s="149" t="s">
        <v>483</v>
      </c>
      <c r="M1398" s="151">
        <v>0</v>
      </c>
    </row>
    <row r="1399" spans="1:13" s="149" customFormat="1" x14ac:dyDescent="0.25">
      <c r="A1399" s="149" t="s">
        <v>7639</v>
      </c>
      <c r="B1399" s="149" t="s">
        <v>2483</v>
      </c>
      <c r="C1399" s="149">
        <v>11</v>
      </c>
      <c r="D1399" s="149">
        <v>350</v>
      </c>
      <c r="E1399" s="149">
        <v>1</v>
      </c>
      <c r="F1399" s="149">
        <v>601000</v>
      </c>
      <c r="G1399" s="149">
        <v>52350</v>
      </c>
      <c r="H1399" s="150" t="str">
        <f t="shared" si="63"/>
        <v>5</v>
      </c>
      <c r="I1399" s="150" t="str">
        <f t="shared" si="64"/>
        <v>52</v>
      </c>
      <c r="J1399" s="150" t="str">
        <f t="shared" si="65"/>
        <v>523</v>
      </c>
      <c r="K1399" s="150" t="s">
        <v>7855</v>
      </c>
      <c r="L1399" s="149" t="s">
        <v>1006</v>
      </c>
      <c r="M1399" s="151">
        <v>3500</v>
      </c>
    </row>
    <row r="1400" spans="1:13" s="149" customFormat="1" x14ac:dyDescent="0.25">
      <c r="A1400" s="149" t="s">
        <v>7639</v>
      </c>
      <c r="B1400" s="149" t="s">
        <v>2484</v>
      </c>
      <c r="C1400" s="149">
        <v>11</v>
      </c>
      <c r="D1400" s="149">
        <v>350</v>
      </c>
      <c r="E1400" s="149">
        <v>1</v>
      </c>
      <c r="F1400" s="149">
        <v>601000</v>
      </c>
      <c r="G1400" s="149">
        <v>53120</v>
      </c>
      <c r="H1400" s="150" t="str">
        <f t="shared" si="63"/>
        <v>5</v>
      </c>
      <c r="I1400" s="150" t="str">
        <f t="shared" si="64"/>
        <v>53</v>
      </c>
      <c r="J1400" s="150" t="str">
        <f t="shared" si="65"/>
        <v>531</v>
      </c>
      <c r="K1400" s="150" t="s">
        <v>9248</v>
      </c>
      <c r="L1400" s="149" t="s">
        <v>485</v>
      </c>
      <c r="M1400" s="151">
        <v>0</v>
      </c>
    </row>
    <row r="1401" spans="1:13" s="149" customFormat="1" x14ac:dyDescent="0.25">
      <c r="A1401" s="149" t="s">
        <v>7639</v>
      </c>
      <c r="B1401" s="149" t="s">
        <v>2485</v>
      </c>
      <c r="C1401" s="149">
        <v>11</v>
      </c>
      <c r="D1401" s="149">
        <v>350</v>
      </c>
      <c r="E1401" s="149">
        <v>1</v>
      </c>
      <c r="F1401" s="149">
        <v>601000</v>
      </c>
      <c r="G1401" s="149">
        <v>53220</v>
      </c>
      <c r="H1401" s="150" t="str">
        <f t="shared" si="63"/>
        <v>5</v>
      </c>
      <c r="I1401" s="150" t="str">
        <f t="shared" si="64"/>
        <v>53</v>
      </c>
      <c r="J1401" s="150" t="str">
        <f t="shared" si="65"/>
        <v>532</v>
      </c>
      <c r="K1401" s="150" t="s">
        <v>9249</v>
      </c>
      <c r="L1401" s="149" t="s">
        <v>487</v>
      </c>
      <c r="M1401" s="151">
        <v>12810.57</v>
      </c>
    </row>
    <row r="1402" spans="1:13" s="149" customFormat="1" x14ac:dyDescent="0.25">
      <c r="A1402" s="149" t="s">
        <v>7639</v>
      </c>
      <c r="B1402" s="149" t="s">
        <v>2486</v>
      </c>
      <c r="C1402" s="149">
        <v>11</v>
      </c>
      <c r="D1402" s="149">
        <v>350</v>
      </c>
      <c r="E1402" s="149">
        <v>1</v>
      </c>
      <c r="F1402" s="149">
        <v>601000</v>
      </c>
      <c r="G1402" s="149">
        <v>53320</v>
      </c>
      <c r="H1402" s="150" t="str">
        <f t="shared" si="63"/>
        <v>5</v>
      </c>
      <c r="I1402" s="150" t="str">
        <f t="shared" si="64"/>
        <v>53</v>
      </c>
      <c r="J1402" s="150" t="str">
        <f t="shared" si="65"/>
        <v>533</v>
      </c>
      <c r="K1402" s="150" t="s">
        <v>9250</v>
      </c>
      <c r="L1402" s="149" t="s">
        <v>489</v>
      </c>
      <c r="M1402" s="151">
        <v>3836.98</v>
      </c>
    </row>
    <row r="1403" spans="1:13" s="149" customFormat="1" x14ac:dyDescent="0.25">
      <c r="A1403" s="149" t="s">
        <v>7639</v>
      </c>
      <c r="B1403" s="149" t="s">
        <v>2487</v>
      </c>
      <c r="C1403" s="149">
        <v>11</v>
      </c>
      <c r="D1403" s="149">
        <v>350</v>
      </c>
      <c r="E1403" s="149">
        <v>1</v>
      </c>
      <c r="F1403" s="149">
        <v>601000</v>
      </c>
      <c r="G1403" s="149">
        <v>53340</v>
      </c>
      <c r="H1403" s="150" t="str">
        <f t="shared" si="63"/>
        <v>5</v>
      </c>
      <c r="I1403" s="150" t="str">
        <f t="shared" si="64"/>
        <v>53</v>
      </c>
      <c r="J1403" s="150" t="str">
        <f t="shared" si="65"/>
        <v>533</v>
      </c>
      <c r="K1403" s="150" t="s">
        <v>9251</v>
      </c>
      <c r="L1403" s="149" t="s">
        <v>491</v>
      </c>
      <c r="M1403" s="151">
        <v>897.36</v>
      </c>
    </row>
    <row r="1404" spans="1:13" s="149" customFormat="1" x14ac:dyDescent="0.25">
      <c r="A1404" s="149" t="s">
        <v>7639</v>
      </c>
      <c r="B1404" s="149" t="s">
        <v>2488</v>
      </c>
      <c r="C1404" s="149">
        <v>11</v>
      </c>
      <c r="D1404" s="149">
        <v>350</v>
      </c>
      <c r="E1404" s="149">
        <v>1</v>
      </c>
      <c r="F1404" s="149">
        <v>601000</v>
      </c>
      <c r="G1404" s="149">
        <v>53420</v>
      </c>
      <c r="H1404" s="150" t="str">
        <f t="shared" si="63"/>
        <v>5</v>
      </c>
      <c r="I1404" s="150" t="str">
        <f t="shared" si="64"/>
        <v>53</v>
      </c>
      <c r="J1404" s="150" t="str">
        <f t="shared" si="65"/>
        <v>534</v>
      </c>
      <c r="K1404" s="150" t="s">
        <v>9252</v>
      </c>
      <c r="L1404" s="149" t="s">
        <v>493</v>
      </c>
      <c r="M1404" s="151">
        <v>13141.62</v>
      </c>
    </row>
    <row r="1405" spans="1:13" s="149" customFormat="1" x14ac:dyDescent="0.25">
      <c r="A1405" s="149" t="s">
        <v>7639</v>
      </c>
      <c r="B1405" s="149" t="s">
        <v>2489</v>
      </c>
      <c r="C1405" s="149">
        <v>11</v>
      </c>
      <c r="D1405" s="149">
        <v>350</v>
      </c>
      <c r="E1405" s="149">
        <v>1</v>
      </c>
      <c r="F1405" s="149">
        <v>601000</v>
      </c>
      <c r="G1405" s="149">
        <v>53520</v>
      </c>
      <c r="H1405" s="150" t="str">
        <f t="shared" si="63"/>
        <v>5</v>
      </c>
      <c r="I1405" s="150" t="str">
        <f t="shared" si="64"/>
        <v>53</v>
      </c>
      <c r="J1405" s="150" t="str">
        <f t="shared" si="65"/>
        <v>535</v>
      </c>
      <c r="K1405" s="150" t="s">
        <v>9253</v>
      </c>
      <c r="L1405" s="149" t="s">
        <v>495</v>
      </c>
      <c r="M1405" s="151">
        <v>30.94</v>
      </c>
    </row>
    <row r="1406" spans="1:13" s="149" customFormat="1" x14ac:dyDescent="0.25">
      <c r="A1406" s="149" t="s">
        <v>7639</v>
      </c>
      <c r="B1406" s="149" t="s">
        <v>2490</v>
      </c>
      <c r="C1406" s="149">
        <v>11</v>
      </c>
      <c r="D1406" s="149">
        <v>350</v>
      </c>
      <c r="E1406" s="149">
        <v>1</v>
      </c>
      <c r="F1406" s="149">
        <v>601000</v>
      </c>
      <c r="G1406" s="149">
        <v>53620</v>
      </c>
      <c r="H1406" s="150" t="str">
        <f t="shared" si="63"/>
        <v>5</v>
      </c>
      <c r="I1406" s="150" t="str">
        <f t="shared" si="64"/>
        <v>53</v>
      </c>
      <c r="J1406" s="150" t="str">
        <f t="shared" si="65"/>
        <v>536</v>
      </c>
      <c r="K1406" s="150" t="s">
        <v>9254</v>
      </c>
      <c r="L1406" s="149" t="s">
        <v>497</v>
      </c>
      <c r="M1406" s="151">
        <v>1236.3399999999999</v>
      </c>
    </row>
    <row r="1407" spans="1:13" s="149" customFormat="1" x14ac:dyDescent="0.25">
      <c r="A1407" s="149" t="s">
        <v>7639</v>
      </c>
      <c r="B1407" s="149" t="s">
        <v>2491</v>
      </c>
      <c r="C1407" s="149">
        <v>11</v>
      </c>
      <c r="D1407" s="149">
        <v>350</v>
      </c>
      <c r="E1407" s="149">
        <v>1</v>
      </c>
      <c r="F1407" s="149">
        <v>601000</v>
      </c>
      <c r="G1407" s="149">
        <v>53920</v>
      </c>
      <c r="H1407" s="150" t="str">
        <f t="shared" si="63"/>
        <v>5</v>
      </c>
      <c r="I1407" s="150" t="str">
        <f t="shared" si="64"/>
        <v>53</v>
      </c>
      <c r="J1407" s="150" t="str">
        <f t="shared" si="65"/>
        <v>539</v>
      </c>
      <c r="K1407" s="150" t="s">
        <v>9255</v>
      </c>
      <c r="L1407" s="149" t="s">
        <v>499</v>
      </c>
      <c r="M1407" s="151">
        <v>0</v>
      </c>
    </row>
    <row r="1408" spans="1:13" s="149" customFormat="1" x14ac:dyDescent="0.25">
      <c r="A1408" s="149" t="s">
        <v>7639</v>
      </c>
      <c r="B1408" s="149" t="s">
        <v>2492</v>
      </c>
      <c r="C1408" s="149">
        <v>11</v>
      </c>
      <c r="D1408" s="149">
        <v>350</v>
      </c>
      <c r="E1408" s="149">
        <v>1</v>
      </c>
      <c r="F1408" s="149">
        <v>601000</v>
      </c>
      <c r="G1408" s="149">
        <v>54300</v>
      </c>
      <c r="H1408" s="150" t="str">
        <f t="shared" si="63"/>
        <v>5</v>
      </c>
      <c r="I1408" s="150" t="str">
        <f t="shared" si="64"/>
        <v>54</v>
      </c>
      <c r="J1408" s="150" t="str">
        <f t="shared" si="65"/>
        <v>543</v>
      </c>
      <c r="K1408" s="150" t="s">
        <v>7960</v>
      </c>
      <c r="L1408" s="149" t="s">
        <v>501</v>
      </c>
      <c r="M1408" s="151">
        <v>3300</v>
      </c>
    </row>
    <row r="1409" spans="1:13" s="149" customFormat="1" x14ac:dyDescent="0.25">
      <c r="A1409" s="149" t="s">
        <v>7639</v>
      </c>
      <c r="B1409" s="149" t="s">
        <v>2493</v>
      </c>
      <c r="C1409" s="149">
        <v>11</v>
      </c>
      <c r="D1409" s="149">
        <v>350</v>
      </c>
      <c r="E1409" s="149">
        <v>1</v>
      </c>
      <c r="F1409" s="149">
        <v>601000</v>
      </c>
      <c r="G1409" s="149">
        <v>54349</v>
      </c>
      <c r="H1409" s="150" t="str">
        <f t="shared" si="63"/>
        <v>5</v>
      </c>
      <c r="I1409" s="150" t="str">
        <f t="shared" si="64"/>
        <v>54</v>
      </c>
      <c r="J1409" s="150" t="str">
        <f t="shared" si="65"/>
        <v>543</v>
      </c>
      <c r="K1409" s="150" t="s">
        <v>7993</v>
      </c>
      <c r="L1409" s="149" t="s">
        <v>2208</v>
      </c>
      <c r="M1409" s="151">
        <v>1000</v>
      </c>
    </row>
    <row r="1410" spans="1:13" s="149" customFormat="1" x14ac:dyDescent="0.25">
      <c r="A1410" s="149" t="s">
        <v>7639</v>
      </c>
      <c r="B1410" s="149" t="s">
        <v>2494</v>
      </c>
      <c r="C1410" s="149">
        <v>11</v>
      </c>
      <c r="D1410" s="149">
        <v>350</v>
      </c>
      <c r="E1410" s="149">
        <v>1</v>
      </c>
      <c r="F1410" s="149">
        <v>601000</v>
      </c>
      <c r="G1410" s="149">
        <v>55125</v>
      </c>
      <c r="H1410" s="150" t="str">
        <f t="shared" si="63"/>
        <v>5</v>
      </c>
      <c r="I1410" s="150" t="str">
        <f t="shared" si="64"/>
        <v>55</v>
      </c>
      <c r="J1410" s="150" t="str">
        <f t="shared" si="65"/>
        <v>551</v>
      </c>
      <c r="K1410" s="150" t="s">
        <v>8032</v>
      </c>
      <c r="L1410" s="149" t="s">
        <v>503</v>
      </c>
      <c r="M1410" s="151">
        <v>0</v>
      </c>
    </row>
    <row r="1411" spans="1:13" s="149" customFormat="1" x14ac:dyDescent="0.25">
      <c r="A1411" s="149" t="s">
        <v>7639</v>
      </c>
      <c r="B1411" s="149" t="s">
        <v>2495</v>
      </c>
      <c r="C1411" s="149">
        <v>11</v>
      </c>
      <c r="D1411" s="149">
        <v>350</v>
      </c>
      <c r="E1411" s="149">
        <v>1</v>
      </c>
      <c r="F1411" s="149">
        <v>601000</v>
      </c>
      <c r="G1411" s="149">
        <v>55200</v>
      </c>
      <c r="H1411" s="150" t="str">
        <f t="shared" ref="H1411:H1474" si="66">LEFT(G1411,1)</f>
        <v>5</v>
      </c>
      <c r="I1411" s="150" t="str">
        <f t="shared" ref="I1411:I1474" si="67">LEFT(G1411,2)</f>
        <v>55</v>
      </c>
      <c r="J1411" s="150" t="str">
        <f t="shared" ref="J1411:J1474" si="68">LEFT(G1411,3)</f>
        <v>552</v>
      </c>
      <c r="K1411" s="150" t="s">
        <v>8056</v>
      </c>
      <c r="L1411" s="149" t="s">
        <v>505</v>
      </c>
      <c r="M1411" s="151">
        <v>0</v>
      </c>
    </row>
    <row r="1412" spans="1:13" s="149" customFormat="1" x14ac:dyDescent="0.25">
      <c r="A1412" s="149" t="s">
        <v>7639</v>
      </c>
      <c r="B1412" s="149" t="s">
        <v>2496</v>
      </c>
      <c r="C1412" s="149">
        <v>11</v>
      </c>
      <c r="D1412" s="149">
        <v>350</v>
      </c>
      <c r="E1412" s="149">
        <v>1</v>
      </c>
      <c r="F1412" s="149">
        <v>601000</v>
      </c>
      <c r="G1412" s="149">
        <v>55300</v>
      </c>
      <c r="H1412" s="150" t="str">
        <f t="shared" si="66"/>
        <v>5</v>
      </c>
      <c r="I1412" s="150" t="str">
        <f t="shared" si="67"/>
        <v>55</v>
      </c>
      <c r="J1412" s="150" t="str">
        <f t="shared" si="68"/>
        <v>553</v>
      </c>
      <c r="K1412" s="150" t="s">
        <v>8093</v>
      </c>
      <c r="L1412" s="149" t="s">
        <v>1024</v>
      </c>
      <c r="M1412" s="151">
        <v>1500</v>
      </c>
    </row>
    <row r="1413" spans="1:13" s="149" customFormat="1" x14ac:dyDescent="0.25">
      <c r="A1413" s="149" t="s">
        <v>7639</v>
      </c>
      <c r="B1413" s="149" t="s">
        <v>2497</v>
      </c>
      <c r="C1413" s="149">
        <v>11</v>
      </c>
      <c r="D1413" s="149">
        <v>350</v>
      </c>
      <c r="E1413" s="149">
        <v>1</v>
      </c>
      <c r="F1413" s="149">
        <v>601000</v>
      </c>
      <c r="G1413" s="149">
        <v>55309</v>
      </c>
      <c r="H1413" s="150" t="str">
        <f t="shared" si="66"/>
        <v>5</v>
      </c>
      <c r="I1413" s="150" t="str">
        <f t="shared" si="67"/>
        <v>55</v>
      </c>
      <c r="J1413" s="150" t="str">
        <f t="shared" si="68"/>
        <v>553</v>
      </c>
      <c r="K1413" s="150" t="s">
        <v>8110</v>
      </c>
      <c r="L1413" s="149" t="s">
        <v>2498</v>
      </c>
      <c r="M1413" s="151">
        <v>107</v>
      </c>
    </row>
    <row r="1414" spans="1:13" s="149" customFormat="1" x14ac:dyDescent="0.25">
      <c r="A1414" s="149" t="s">
        <v>7639</v>
      </c>
      <c r="B1414" s="149" t="s">
        <v>2499</v>
      </c>
      <c r="C1414" s="149">
        <v>11</v>
      </c>
      <c r="D1414" s="149">
        <v>350</v>
      </c>
      <c r="E1414" s="149">
        <v>1</v>
      </c>
      <c r="F1414" s="149">
        <v>601000</v>
      </c>
      <c r="G1414" s="149">
        <v>55600</v>
      </c>
      <c r="H1414" s="150" t="str">
        <f t="shared" si="66"/>
        <v>5</v>
      </c>
      <c r="I1414" s="150" t="str">
        <f t="shared" si="67"/>
        <v>55</v>
      </c>
      <c r="J1414" s="150" t="str">
        <f t="shared" si="68"/>
        <v>556</v>
      </c>
      <c r="K1414" s="150" t="s">
        <v>8152</v>
      </c>
      <c r="L1414" s="149" t="s">
        <v>2500</v>
      </c>
      <c r="M1414" s="151">
        <v>0</v>
      </c>
    </row>
    <row r="1415" spans="1:13" s="149" customFormat="1" x14ac:dyDescent="0.25">
      <c r="A1415" s="149" t="s">
        <v>7639</v>
      </c>
      <c r="B1415" s="149" t="s">
        <v>2501</v>
      </c>
      <c r="C1415" s="149">
        <v>11</v>
      </c>
      <c r="D1415" s="149">
        <v>350</v>
      </c>
      <c r="E1415" s="149">
        <v>1</v>
      </c>
      <c r="F1415" s="149">
        <v>601000</v>
      </c>
      <c r="G1415" s="149">
        <v>55630</v>
      </c>
      <c r="H1415" s="150" t="str">
        <f t="shared" si="66"/>
        <v>5</v>
      </c>
      <c r="I1415" s="150" t="str">
        <f t="shared" si="67"/>
        <v>55</v>
      </c>
      <c r="J1415" s="150" t="str">
        <f t="shared" si="68"/>
        <v>556</v>
      </c>
      <c r="K1415" s="150" t="s">
        <v>8249</v>
      </c>
      <c r="L1415" s="149" t="s">
        <v>509</v>
      </c>
      <c r="M1415" s="151">
        <v>32.1</v>
      </c>
    </row>
    <row r="1416" spans="1:13" s="149" customFormat="1" x14ac:dyDescent="0.25">
      <c r="A1416" s="149" t="s">
        <v>7639</v>
      </c>
      <c r="B1416" s="149" t="s">
        <v>2502</v>
      </c>
      <c r="C1416" s="149">
        <v>11</v>
      </c>
      <c r="D1416" s="149">
        <v>350</v>
      </c>
      <c r="E1416" s="149">
        <v>1</v>
      </c>
      <c r="F1416" s="149">
        <v>601000</v>
      </c>
      <c r="G1416" s="149">
        <v>55635</v>
      </c>
      <c r="H1416" s="150" t="str">
        <f t="shared" si="66"/>
        <v>5</v>
      </c>
      <c r="I1416" s="150" t="str">
        <f t="shared" si="67"/>
        <v>55</v>
      </c>
      <c r="J1416" s="150" t="str">
        <f t="shared" si="68"/>
        <v>556</v>
      </c>
      <c r="K1416" s="150" t="s">
        <v>8281</v>
      </c>
      <c r="L1416" s="149" t="s">
        <v>1027</v>
      </c>
      <c r="M1416" s="151">
        <v>214</v>
      </c>
    </row>
    <row r="1417" spans="1:13" s="149" customFormat="1" x14ac:dyDescent="0.25">
      <c r="A1417" s="149" t="s">
        <v>7639</v>
      </c>
      <c r="B1417" s="149" t="s">
        <v>2503</v>
      </c>
      <c r="C1417" s="149">
        <v>11</v>
      </c>
      <c r="D1417" s="149">
        <v>350</v>
      </c>
      <c r="E1417" s="149">
        <v>1</v>
      </c>
      <c r="F1417" s="149">
        <v>601000</v>
      </c>
      <c r="G1417" s="149">
        <v>55650</v>
      </c>
      <c r="H1417" s="150" t="str">
        <f t="shared" si="66"/>
        <v>5</v>
      </c>
      <c r="I1417" s="150" t="str">
        <f t="shared" si="67"/>
        <v>55</v>
      </c>
      <c r="J1417" s="150" t="str">
        <f t="shared" si="68"/>
        <v>556</v>
      </c>
      <c r="K1417" s="150" t="s">
        <v>8307</v>
      </c>
      <c r="L1417" s="149" t="s">
        <v>511</v>
      </c>
      <c r="M1417" s="151">
        <v>9800</v>
      </c>
    </row>
    <row r="1418" spans="1:13" s="149" customFormat="1" x14ac:dyDescent="0.25">
      <c r="A1418" s="149" t="s">
        <v>7639</v>
      </c>
      <c r="B1418" s="149" t="s">
        <v>2504</v>
      </c>
      <c r="C1418" s="149">
        <v>11</v>
      </c>
      <c r="D1418" s="149">
        <v>350</v>
      </c>
      <c r="E1418" s="149">
        <v>1</v>
      </c>
      <c r="F1418" s="149">
        <v>601000</v>
      </c>
      <c r="G1418" s="149">
        <v>55800</v>
      </c>
      <c r="H1418" s="150" t="str">
        <f t="shared" si="66"/>
        <v>5</v>
      </c>
      <c r="I1418" s="150" t="str">
        <f t="shared" si="67"/>
        <v>55</v>
      </c>
      <c r="J1418" s="150" t="str">
        <f t="shared" si="68"/>
        <v>558</v>
      </c>
      <c r="K1418" s="150" t="s">
        <v>8337</v>
      </c>
      <c r="L1418" s="149" t="s">
        <v>2505</v>
      </c>
      <c r="M1418" s="151">
        <v>500</v>
      </c>
    </row>
    <row r="1419" spans="1:13" s="149" customFormat="1" x14ac:dyDescent="0.25">
      <c r="A1419" s="149" t="s">
        <v>7639</v>
      </c>
      <c r="B1419" s="149" t="s">
        <v>2506</v>
      </c>
      <c r="C1419" s="149">
        <v>11</v>
      </c>
      <c r="D1419" s="149">
        <v>350</v>
      </c>
      <c r="E1419" s="149">
        <v>1</v>
      </c>
      <c r="F1419" s="149">
        <v>601000</v>
      </c>
      <c r="G1419" s="149">
        <v>55830</v>
      </c>
      <c r="H1419" s="150" t="str">
        <f t="shared" si="66"/>
        <v>5</v>
      </c>
      <c r="I1419" s="150" t="str">
        <f t="shared" si="67"/>
        <v>55</v>
      </c>
      <c r="J1419" s="150" t="str">
        <f t="shared" si="68"/>
        <v>558</v>
      </c>
      <c r="K1419" s="150" t="s">
        <v>8351</v>
      </c>
      <c r="L1419" s="149" t="s">
        <v>513</v>
      </c>
      <c r="M1419" s="151">
        <v>0</v>
      </c>
    </row>
    <row r="1420" spans="1:13" s="149" customFormat="1" x14ac:dyDescent="0.25">
      <c r="A1420" s="149" t="s">
        <v>7639</v>
      </c>
      <c r="B1420" s="149" t="s">
        <v>2507</v>
      </c>
      <c r="C1420" s="149">
        <v>11</v>
      </c>
      <c r="D1420" s="149">
        <v>350</v>
      </c>
      <c r="E1420" s="149">
        <v>1</v>
      </c>
      <c r="F1420" s="149">
        <v>601000</v>
      </c>
      <c r="G1420" s="149">
        <v>56300</v>
      </c>
      <c r="H1420" s="150" t="str">
        <f t="shared" si="66"/>
        <v>5</v>
      </c>
      <c r="I1420" s="150" t="str">
        <f t="shared" si="67"/>
        <v>56</v>
      </c>
      <c r="J1420" s="150" t="str">
        <f t="shared" si="68"/>
        <v>563</v>
      </c>
      <c r="K1420" s="150" t="s">
        <v>8359</v>
      </c>
      <c r="L1420" s="149" t="s">
        <v>2508</v>
      </c>
      <c r="M1420" s="151">
        <v>2660</v>
      </c>
    </row>
    <row r="1421" spans="1:13" s="149" customFormat="1" x14ac:dyDescent="0.25">
      <c r="A1421" s="149" t="s">
        <v>7639</v>
      </c>
      <c r="B1421" s="149" t="s">
        <v>2509</v>
      </c>
      <c r="C1421" s="149">
        <v>11</v>
      </c>
      <c r="D1421" s="149">
        <v>360</v>
      </c>
      <c r="E1421" s="149">
        <v>0</v>
      </c>
      <c r="F1421" s="149">
        <v>160100</v>
      </c>
      <c r="G1421" s="149">
        <v>51100</v>
      </c>
      <c r="H1421" s="150" t="str">
        <f t="shared" si="66"/>
        <v>5</v>
      </c>
      <c r="I1421" s="150" t="str">
        <f t="shared" si="67"/>
        <v>51</v>
      </c>
      <c r="J1421" s="150" t="str">
        <f t="shared" si="68"/>
        <v>511</v>
      </c>
      <c r="K1421" s="150" t="s">
        <v>9256</v>
      </c>
      <c r="L1421" s="149" t="s">
        <v>2510</v>
      </c>
      <c r="M1421" s="151">
        <v>117785.9</v>
      </c>
    </row>
    <row r="1422" spans="1:13" s="149" customFormat="1" x14ac:dyDescent="0.25">
      <c r="A1422" s="149" t="s">
        <v>7639</v>
      </c>
      <c r="B1422" s="149" t="s">
        <v>2511</v>
      </c>
      <c r="C1422" s="149">
        <v>11</v>
      </c>
      <c r="D1422" s="149">
        <v>360</v>
      </c>
      <c r="E1422" s="149">
        <v>0</v>
      </c>
      <c r="F1422" s="149">
        <v>160100</v>
      </c>
      <c r="G1422" s="149">
        <v>51310</v>
      </c>
      <c r="H1422" s="150" t="str">
        <f t="shared" si="66"/>
        <v>5</v>
      </c>
      <c r="I1422" s="150" t="str">
        <f t="shared" si="67"/>
        <v>51</v>
      </c>
      <c r="J1422" s="150" t="str">
        <f t="shared" si="68"/>
        <v>513</v>
      </c>
      <c r="K1422" s="150" t="s">
        <v>7685</v>
      </c>
      <c r="L1422" s="149" t="s">
        <v>2512</v>
      </c>
      <c r="M1422" s="151">
        <v>7000</v>
      </c>
    </row>
    <row r="1423" spans="1:13" s="149" customFormat="1" x14ac:dyDescent="0.25">
      <c r="A1423" s="149" t="s">
        <v>7639</v>
      </c>
      <c r="B1423" s="149" t="s">
        <v>2513</v>
      </c>
      <c r="C1423" s="149">
        <v>11</v>
      </c>
      <c r="D1423" s="149">
        <v>360</v>
      </c>
      <c r="E1423" s="149">
        <v>0</v>
      </c>
      <c r="F1423" s="149">
        <v>160100</v>
      </c>
      <c r="G1423" s="149">
        <v>51311</v>
      </c>
      <c r="H1423" s="150" t="str">
        <f t="shared" si="66"/>
        <v>5</v>
      </c>
      <c r="I1423" s="150" t="str">
        <f t="shared" si="67"/>
        <v>51</v>
      </c>
      <c r="J1423" s="150" t="str">
        <f t="shared" si="68"/>
        <v>513</v>
      </c>
      <c r="K1423" s="150" t="s">
        <v>7763</v>
      </c>
      <c r="L1423" s="149" t="s">
        <v>2514</v>
      </c>
      <c r="M1423" s="151">
        <v>3000</v>
      </c>
    </row>
    <row r="1424" spans="1:13" s="149" customFormat="1" x14ac:dyDescent="0.25">
      <c r="A1424" s="149" t="s">
        <v>7639</v>
      </c>
      <c r="B1424" s="149" t="s">
        <v>2515</v>
      </c>
      <c r="C1424" s="149">
        <v>11</v>
      </c>
      <c r="D1424" s="149">
        <v>360</v>
      </c>
      <c r="E1424" s="149">
        <v>0</v>
      </c>
      <c r="F1424" s="149">
        <v>160100</v>
      </c>
      <c r="G1424" s="149">
        <v>53110</v>
      </c>
      <c r="H1424" s="150" t="str">
        <f t="shared" si="66"/>
        <v>5</v>
      </c>
      <c r="I1424" s="150" t="str">
        <f t="shared" si="67"/>
        <v>53</v>
      </c>
      <c r="J1424" s="150" t="str">
        <f t="shared" si="68"/>
        <v>531</v>
      </c>
      <c r="K1424" s="150" t="s">
        <v>9257</v>
      </c>
      <c r="L1424" s="149" t="s">
        <v>2516</v>
      </c>
      <c r="M1424" s="151">
        <v>15692.47</v>
      </c>
    </row>
    <row r="1425" spans="1:13" s="149" customFormat="1" x14ac:dyDescent="0.25">
      <c r="A1425" s="149" t="s">
        <v>7639</v>
      </c>
      <c r="B1425" s="149" t="s">
        <v>2517</v>
      </c>
      <c r="C1425" s="149">
        <v>11</v>
      </c>
      <c r="D1425" s="149">
        <v>360</v>
      </c>
      <c r="E1425" s="149">
        <v>0</v>
      </c>
      <c r="F1425" s="149">
        <v>160100</v>
      </c>
      <c r="G1425" s="149">
        <v>53210</v>
      </c>
      <c r="H1425" s="150" t="str">
        <f t="shared" si="66"/>
        <v>5</v>
      </c>
      <c r="I1425" s="150" t="str">
        <f t="shared" si="67"/>
        <v>53</v>
      </c>
      <c r="J1425" s="150" t="str">
        <f t="shared" si="68"/>
        <v>532</v>
      </c>
      <c r="K1425" s="150" t="s">
        <v>9258</v>
      </c>
      <c r="L1425" s="149" t="s">
        <v>2518</v>
      </c>
      <c r="M1425" s="151">
        <v>6338.11</v>
      </c>
    </row>
    <row r="1426" spans="1:13" s="149" customFormat="1" x14ac:dyDescent="0.25">
      <c r="A1426" s="149" t="s">
        <v>7639</v>
      </c>
      <c r="B1426" s="149" t="s">
        <v>2519</v>
      </c>
      <c r="C1426" s="149">
        <v>11</v>
      </c>
      <c r="D1426" s="149">
        <v>360</v>
      </c>
      <c r="E1426" s="149">
        <v>0</v>
      </c>
      <c r="F1426" s="149">
        <v>160100</v>
      </c>
      <c r="G1426" s="149">
        <v>53310</v>
      </c>
      <c r="H1426" s="150" t="str">
        <f t="shared" si="66"/>
        <v>5</v>
      </c>
      <c r="I1426" s="150" t="str">
        <f t="shared" si="67"/>
        <v>53</v>
      </c>
      <c r="J1426" s="150" t="str">
        <f t="shared" si="68"/>
        <v>533</v>
      </c>
      <c r="K1426" s="150" t="s">
        <v>9259</v>
      </c>
      <c r="L1426" s="149" t="s">
        <v>2520</v>
      </c>
      <c r="M1426" s="151">
        <v>1898.37</v>
      </c>
    </row>
    <row r="1427" spans="1:13" s="149" customFormat="1" x14ac:dyDescent="0.25">
      <c r="A1427" s="149" t="s">
        <v>7639</v>
      </c>
      <c r="B1427" s="149" t="s">
        <v>2521</v>
      </c>
      <c r="C1427" s="149">
        <v>11</v>
      </c>
      <c r="D1427" s="149">
        <v>360</v>
      </c>
      <c r="E1427" s="149">
        <v>0</v>
      </c>
      <c r="F1427" s="149">
        <v>160100</v>
      </c>
      <c r="G1427" s="149">
        <v>53330</v>
      </c>
      <c r="H1427" s="150" t="str">
        <f t="shared" si="66"/>
        <v>5</v>
      </c>
      <c r="I1427" s="150" t="str">
        <f t="shared" si="67"/>
        <v>53</v>
      </c>
      <c r="J1427" s="150" t="str">
        <f t="shared" si="68"/>
        <v>533</v>
      </c>
      <c r="K1427" s="150" t="s">
        <v>9260</v>
      </c>
      <c r="L1427" s="149" t="s">
        <v>2522</v>
      </c>
      <c r="M1427" s="151">
        <v>1852.89</v>
      </c>
    </row>
    <row r="1428" spans="1:13" s="149" customFormat="1" x14ac:dyDescent="0.25">
      <c r="A1428" s="149" t="s">
        <v>7639</v>
      </c>
      <c r="B1428" s="149" t="s">
        <v>2523</v>
      </c>
      <c r="C1428" s="149">
        <v>11</v>
      </c>
      <c r="D1428" s="149">
        <v>360</v>
      </c>
      <c r="E1428" s="149">
        <v>0</v>
      </c>
      <c r="F1428" s="149">
        <v>160100</v>
      </c>
      <c r="G1428" s="149">
        <v>53410</v>
      </c>
      <c r="H1428" s="150" t="str">
        <f t="shared" si="66"/>
        <v>5</v>
      </c>
      <c r="I1428" s="150" t="str">
        <f t="shared" si="67"/>
        <v>53</v>
      </c>
      <c r="J1428" s="150" t="str">
        <f t="shared" si="68"/>
        <v>534</v>
      </c>
      <c r="K1428" s="150" t="s">
        <v>9261</v>
      </c>
      <c r="L1428" s="149" t="s">
        <v>2524</v>
      </c>
      <c r="M1428" s="151">
        <v>32812.949999999997</v>
      </c>
    </row>
    <row r="1429" spans="1:13" s="149" customFormat="1" x14ac:dyDescent="0.25">
      <c r="A1429" s="149" t="s">
        <v>7639</v>
      </c>
      <c r="B1429" s="149" t="s">
        <v>2525</v>
      </c>
      <c r="C1429" s="149">
        <v>11</v>
      </c>
      <c r="D1429" s="149">
        <v>360</v>
      </c>
      <c r="E1429" s="149">
        <v>0</v>
      </c>
      <c r="F1429" s="149">
        <v>160100</v>
      </c>
      <c r="G1429" s="149">
        <v>53510</v>
      </c>
      <c r="H1429" s="150" t="str">
        <f t="shared" si="66"/>
        <v>5</v>
      </c>
      <c r="I1429" s="150" t="str">
        <f t="shared" si="67"/>
        <v>53</v>
      </c>
      <c r="J1429" s="150" t="str">
        <f t="shared" si="68"/>
        <v>535</v>
      </c>
      <c r="K1429" s="150" t="s">
        <v>9262</v>
      </c>
      <c r="L1429" s="149" t="s">
        <v>2526</v>
      </c>
      <c r="M1429" s="151">
        <v>63.89</v>
      </c>
    </row>
    <row r="1430" spans="1:13" s="149" customFormat="1" x14ac:dyDescent="0.25">
      <c r="A1430" s="149" t="s">
        <v>7639</v>
      </c>
      <c r="B1430" s="149" t="s">
        <v>2527</v>
      </c>
      <c r="C1430" s="149">
        <v>11</v>
      </c>
      <c r="D1430" s="149">
        <v>360</v>
      </c>
      <c r="E1430" s="149">
        <v>0</v>
      </c>
      <c r="F1430" s="149">
        <v>160100</v>
      </c>
      <c r="G1430" s="149">
        <v>53610</v>
      </c>
      <c r="H1430" s="150" t="str">
        <f t="shared" si="66"/>
        <v>5</v>
      </c>
      <c r="I1430" s="150" t="str">
        <f t="shared" si="67"/>
        <v>53</v>
      </c>
      <c r="J1430" s="150" t="str">
        <f t="shared" si="68"/>
        <v>536</v>
      </c>
      <c r="K1430" s="150" t="s">
        <v>9263</v>
      </c>
      <c r="L1430" s="149" t="s">
        <v>2528</v>
      </c>
      <c r="M1430" s="151">
        <v>2416.17</v>
      </c>
    </row>
    <row r="1431" spans="1:13" s="149" customFormat="1" x14ac:dyDescent="0.25">
      <c r="A1431" s="149" t="s">
        <v>7639</v>
      </c>
      <c r="B1431" s="149" t="s">
        <v>2529</v>
      </c>
      <c r="C1431" s="149">
        <v>11</v>
      </c>
      <c r="D1431" s="149">
        <v>360</v>
      </c>
      <c r="E1431" s="149">
        <v>0</v>
      </c>
      <c r="F1431" s="149">
        <v>160100</v>
      </c>
      <c r="G1431" s="149">
        <v>54300</v>
      </c>
      <c r="H1431" s="150" t="str">
        <f t="shared" si="66"/>
        <v>5</v>
      </c>
      <c r="I1431" s="150" t="str">
        <f t="shared" si="67"/>
        <v>54</v>
      </c>
      <c r="J1431" s="150" t="str">
        <f t="shared" si="68"/>
        <v>543</v>
      </c>
      <c r="K1431" s="150" t="s">
        <v>7961</v>
      </c>
      <c r="L1431" s="149" t="s">
        <v>2530</v>
      </c>
      <c r="M1431" s="151">
        <v>505</v>
      </c>
    </row>
    <row r="1432" spans="1:13" s="149" customFormat="1" x14ac:dyDescent="0.25">
      <c r="A1432" s="149" t="s">
        <v>7639</v>
      </c>
      <c r="B1432" s="149" t="s">
        <v>2531</v>
      </c>
      <c r="C1432" s="149">
        <v>11</v>
      </c>
      <c r="D1432" s="149">
        <v>360</v>
      </c>
      <c r="E1432" s="149">
        <v>0</v>
      </c>
      <c r="F1432" s="149">
        <v>160100</v>
      </c>
      <c r="G1432" s="149">
        <v>55200</v>
      </c>
      <c r="H1432" s="150" t="str">
        <f t="shared" si="66"/>
        <v>5</v>
      </c>
      <c r="I1432" s="150" t="str">
        <f t="shared" si="67"/>
        <v>55</v>
      </c>
      <c r="J1432" s="150" t="str">
        <f t="shared" si="68"/>
        <v>552</v>
      </c>
      <c r="K1432" s="150" t="s">
        <v>8057</v>
      </c>
      <c r="L1432" s="149" t="s">
        <v>2532</v>
      </c>
      <c r="M1432" s="151">
        <v>0</v>
      </c>
    </row>
    <row r="1433" spans="1:13" s="149" customFormat="1" x14ac:dyDescent="0.25">
      <c r="A1433" s="149" t="s">
        <v>7639</v>
      </c>
      <c r="B1433" s="149" t="s">
        <v>2533</v>
      </c>
      <c r="C1433" s="149">
        <v>11</v>
      </c>
      <c r="D1433" s="149">
        <v>360</v>
      </c>
      <c r="E1433" s="149">
        <v>0</v>
      </c>
      <c r="F1433" s="149">
        <v>160100</v>
      </c>
      <c r="G1433" s="149">
        <v>55630</v>
      </c>
      <c r="H1433" s="150" t="str">
        <f t="shared" si="66"/>
        <v>5</v>
      </c>
      <c r="I1433" s="150" t="str">
        <f t="shared" si="67"/>
        <v>55</v>
      </c>
      <c r="J1433" s="150" t="str">
        <f t="shared" si="68"/>
        <v>556</v>
      </c>
      <c r="K1433" s="150" t="s">
        <v>8250</v>
      </c>
      <c r="L1433" s="149" t="s">
        <v>2534</v>
      </c>
      <c r="M1433" s="151">
        <v>51</v>
      </c>
    </row>
    <row r="1434" spans="1:13" s="149" customFormat="1" x14ac:dyDescent="0.25">
      <c r="A1434" s="149" t="s">
        <v>7639</v>
      </c>
      <c r="B1434" s="149" t="s">
        <v>2535</v>
      </c>
      <c r="C1434" s="149">
        <v>11</v>
      </c>
      <c r="D1434" s="149">
        <v>360</v>
      </c>
      <c r="E1434" s="149">
        <v>0</v>
      </c>
      <c r="F1434" s="149">
        <v>490110</v>
      </c>
      <c r="G1434" s="149">
        <v>54300</v>
      </c>
      <c r="H1434" s="150" t="str">
        <f t="shared" si="66"/>
        <v>5</v>
      </c>
      <c r="I1434" s="150" t="str">
        <f t="shared" si="67"/>
        <v>54</v>
      </c>
      <c r="J1434" s="150" t="str">
        <f t="shared" si="68"/>
        <v>543</v>
      </c>
      <c r="K1434" s="150" t="s">
        <v>7962</v>
      </c>
      <c r="L1434" s="149" t="s">
        <v>2536</v>
      </c>
      <c r="M1434" s="151">
        <v>705</v>
      </c>
    </row>
    <row r="1435" spans="1:13" s="149" customFormat="1" x14ac:dyDescent="0.25">
      <c r="A1435" s="149" t="s">
        <v>7639</v>
      </c>
      <c r="B1435" s="149" t="s">
        <v>2537</v>
      </c>
      <c r="C1435" s="149">
        <v>11</v>
      </c>
      <c r="D1435" s="149">
        <v>360</v>
      </c>
      <c r="E1435" s="149">
        <v>0</v>
      </c>
      <c r="F1435" s="149">
        <v>490110</v>
      </c>
      <c r="G1435" s="149">
        <v>55200</v>
      </c>
      <c r="H1435" s="150" t="str">
        <f t="shared" si="66"/>
        <v>5</v>
      </c>
      <c r="I1435" s="150" t="str">
        <f t="shared" si="67"/>
        <v>55</v>
      </c>
      <c r="J1435" s="150" t="str">
        <f t="shared" si="68"/>
        <v>552</v>
      </c>
      <c r="K1435" s="150" t="s">
        <v>8058</v>
      </c>
      <c r="L1435" s="149" t="s">
        <v>2538</v>
      </c>
      <c r="M1435" s="151">
        <v>0</v>
      </c>
    </row>
    <row r="1436" spans="1:13" s="149" customFormat="1" x14ac:dyDescent="0.25">
      <c r="A1436" s="149" t="s">
        <v>7639</v>
      </c>
      <c r="B1436" s="149" t="s">
        <v>2539</v>
      </c>
      <c r="C1436" s="149">
        <v>11</v>
      </c>
      <c r="D1436" s="149">
        <v>360</v>
      </c>
      <c r="E1436" s="149">
        <v>0</v>
      </c>
      <c r="F1436" s="149">
        <v>490110</v>
      </c>
      <c r="G1436" s="149">
        <v>56300</v>
      </c>
      <c r="H1436" s="150" t="str">
        <f t="shared" si="66"/>
        <v>5</v>
      </c>
      <c r="I1436" s="150" t="str">
        <f t="shared" si="67"/>
        <v>56</v>
      </c>
      <c r="J1436" s="150" t="str">
        <f t="shared" si="68"/>
        <v>563</v>
      </c>
      <c r="K1436" s="150" t="s">
        <v>8360</v>
      </c>
      <c r="L1436" s="149" t="s">
        <v>2540</v>
      </c>
      <c r="M1436" s="151">
        <v>500</v>
      </c>
    </row>
    <row r="1437" spans="1:13" s="149" customFormat="1" x14ac:dyDescent="0.25">
      <c r="A1437" s="149" t="s">
        <v>7639</v>
      </c>
      <c r="B1437" s="149" t="s">
        <v>2541</v>
      </c>
      <c r="C1437" s="149">
        <v>11</v>
      </c>
      <c r="D1437" s="149">
        <v>360</v>
      </c>
      <c r="E1437" s="149">
        <v>0</v>
      </c>
      <c r="F1437" s="149">
        <v>601000</v>
      </c>
      <c r="G1437" s="149">
        <v>51210</v>
      </c>
      <c r="H1437" s="150" t="str">
        <f t="shared" si="66"/>
        <v>5</v>
      </c>
      <c r="I1437" s="150" t="str">
        <f t="shared" si="67"/>
        <v>51</v>
      </c>
      <c r="J1437" s="150" t="str">
        <f t="shared" si="68"/>
        <v>512</v>
      </c>
      <c r="K1437" s="150" t="s">
        <v>9264</v>
      </c>
      <c r="L1437" s="149" t="s">
        <v>477</v>
      </c>
      <c r="M1437" s="151">
        <v>142041</v>
      </c>
    </row>
    <row r="1438" spans="1:13" s="149" customFormat="1" x14ac:dyDescent="0.25">
      <c r="A1438" s="149" t="s">
        <v>7639</v>
      </c>
      <c r="B1438" s="149" t="s">
        <v>2542</v>
      </c>
      <c r="C1438" s="149">
        <v>11</v>
      </c>
      <c r="D1438" s="149">
        <v>360</v>
      </c>
      <c r="E1438" s="149">
        <v>0</v>
      </c>
      <c r="F1438" s="149">
        <v>601000</v>
      </c>
      <c r="G1438" s="149">
        <v>52105</v>
      </c>
      <c r="H1438" s="150" t="str">
        <f t="shared" si="66"/>
        <v>5</v>
      </c>
      <c r="I1438" s="150" t="str">
        <f t="shared" si="67"/>
        <v>52</v>
      </c>
      <c r="J1438" s="150" t="str">
        <f t="shared" si="68"/>
        <v>521</v>
      </c>
      <c r="K1438" s="150" t="s">
        <v>9265</v>
      </c>
      <c r="L1438" s="149" t="s">
        <v>481</v>
      </c>
      <c r="M1438" s="151">
        <v>127776.55</v>
      </c>
    </row>
    <row r="1439" spans="1:13" s="149" customFormat="1" x14ac:dyDescent="0.25">
      <c r="A1439" s="149" t="s">
        <v>7639</v>
      </c>
      <c r="B1439" s="149" t="s">
        <v>2543</v>
      </c>
      <c r="C1439" s="149">
        <v>11</v>
      </c>
      <c r="D1439" s="149">
        <v>360</v>
      </c>
      <c r="E1439" s="149">
        <v>0</v>
      </c>
      <c r="F1439" s="149">
        <v>601000</v>
      </c>
      <c r="G1439" s="149">
        <v>52300</v>
      </c>
      <c r="H1439" s="150" t="str">
        <f t="shared" si="66"/>
        <v>5</v>
      </c>
      <c r="I1439" s="150" t="str">
        <f t="shared" si="67"/>
        <v>52</v>
      </c>
      <c r="J1439" s="150" t="str">
        <f t="shared" si="68"/>
        <v>523</v>
      </c>
      <c r="K1439" s="150" t="s">
        <v>7829</v>
      </c>
      <c r="L1439" s="149" t="s">
        <v>483</v>
      </c>
      <c r="M1439" s="151">
        <v>0</v>
      </c>
    </row>
    <row r="1440" spans="1:13" s="149" customFormat="1" x14ac:dyDescent="0.25">
      <c r="A1440" s="149" t="s">
        <v>7639</v>
      </c>
      <c r="B1440" s="149" t="s">
        <v>2544</v>
      </c>
      <c r="C1440" s="149">
        <v>11</v>
      </c>
      <c r="D1440" s="149">
        <v>360</v>
      </c>
      <c r="E1440" s="149">
        <v>0</v>
      </c>
      <c r="F1440" s="149">
        <v>601000</v>
      </c>
      <c r="G1440" s="149">
        <v>52360</v>
      </c>
      <c r="H1440" s="150" t="str">
        <f t="shared" si="66"/>
        <v>5</v>
      </c>
      <c r="I1440" s="150" t="str">
        <f t="shared" si="67"/>
        <v>52</v>
      </c>
      <c r="J1440" s="150" t="str">
        <f t="shared" si="68"/>
        <v>523</v>
      </c>
      <c r="K1440" s="150" t="s">
        <v>7876</v>
      </c>
      <c r="L1440" s="149" t="s">
        <v>1008</v>
      </c>
      <c r="M1440" s="151">
        <v>0</v>
      </c>
    </row>
    <row r="1441" spans="1:13" s="149" customFormat="1" x14ac:dyDescent="0.25">
      <c r="A1441" s="149" t="s">
        <v>7639</v>
      </c>
      <c r="B1441" s="149" t="s">
        <v>2545</v>
      </c>
      <c r="C1441" s="149">
        <v>11</v>
      </c>
      <c r="D1441" s="149">
        <v>360</v>
      </c>
      <c r="E1441" s="149">
        <v>0</v>
      </c>
      <c r="F1441" s="149">
        <v>601000</v>
      </c>
      <c r="G1441" s="149">
        <v>53120</v>
      </c>
      <c r="H1441" s="150" t="str">
        <f t="shared" si="66"/>
        <v>5</v>
      </c>
      <c r="I1441" s="150" t="str">
        <f t="shared" si="67"/>
        <v>53</v>
      </c>
      <c r="J1441" s="150" t="str">
        <f t="shared" si="68"/>
        <v>531</v>
      </c>
      <c r="K1441" s="150" t="s">
        <v>9266</v>
      </c>
      <c r="L1441" s="149" t="s">
        <v>485</v>
      </c>
      <c r="M1441" s="151">
        <v>22939.62</v>
      </c>
    </row>
    <row r="1442" spans="1:13" s="149" customFormat="1" x14ac:dyDescent="0.25">
      <c r="A1442" s="149" t="s">
        <v>7639</v>
      </c>
      <c r="B1442" s="149" t="s">
        <v>2546</v>
      </c>
      <c r="C1442" s="149">
        <v>11</v>
      </c>
      <c r="D1442" s="149">
        <v>360</v>
      </c>
      <c r="E1442" s="149">
        <v>0</v>
      </c>
      <c r="F1442" s="149">
        <v>601000</v>
      </c>
      <c r="G1442" s="149">
        <v>53220</v>
      </c>
      <c r="H1442" s="150" t="str">
        <f t="shared" si="66"/>
        <v>5</v>
      </c>
      <c r="I1442" s="150" t="str">
        <f t="shared" si="67"/>
        <v>53</v>
      </c>
      <c r="J1442" s="150" t="str">
        <f t="shared" si="68"/>
        <v>532</v>
      </c>
      <c r="K1442" s="150" t="s">
        <v>9267</v>
      </c>
      <c r="L1442" s="149" t="s">
        <v>487</v>
      </c>
      <c r="M1442" s="151">
        <v>26449.75</v>
      </c>
    </row>
    <row r="1443" spans="1:13" s="149" customFormat="1" x14ac:dyDescent="0.25">
      <c r="A1443" s="149" t="s">
        <v>7639</v>
      </c>
      <c r="B1443" s="149" t="s">
        <v>2547</v>
      </c>
      <c r="C1443" s="149">
        <v>11</v>
      </c>
      <c r="D1443" s="149">
        <v>360</v>
      </c>
      <c r="E1443" s="149">
        <v>0</v>
      </c>
      <c r="F1443" s="149">
        <v>601000</v>
      </c>
      <c r="G1443" s="149">
        <v>53320</v>
      </c>
      <c r="H1443" s="150" t="str">
        <f t="shared" si="66"/>
        <v>5</v>
      </c>
      <c r="I1443" s="150" t="str">
        <f t="shared" si="67"/>
        <v>53</v>
      </c>
      <c r="J1443" s="150" t="str">
        <f t="shared" si="68"/>
        <v>533</v>
      </c>
      <c r="K1443" s="150" t="s">
        <v>9268</v>
      </c>
      <c r="L1443" s="149" t="s">
        <v>489</v>
      </c>
      <c r="M1443" s="151">
        <v>7922.15</v>
      </c>
    </row>
    <row r="1444" spans="1:13" s="149" customFormat="1" x14ac:dyDescent="0.25">
      <c r="A1444" s="149" t="s">
        <v>7639</v>
      </c>
      <c r="B1444" s="149" t="s">
        <v>2548</v>
      </c>
      <c r="C1444" s="149">
        <v>11</v>
      </c>
      <c r="D1444" s="149">
        <v>360</v>
      </c>
      <c r="E1444" s="149">
        <v>0</v>
      </c>
      <c r="F1444" s="149">
        <v>601000</v>
      </c>
      <c r="G1444" s="149">
        <v>53340</v>
      </c>
      <c r="H1444" s="150" t="str">
        <f t="shared" si="66"/>
        <v>5</v>
      </c>
      <c r="I1444" s="150" t="str">
        <f t="shared" si="67"/>
        <v>53</v>
      </c>
      <c r="J1444" s="150" t="str">
        <f t="shared" si="68"/>
        <v>533</v>
      </c>
      <c r="K1444" s="150" t="s">
        <v>9269</v>
      </c>
      <c r="L1444" s="149" t="s">
        <v>491</v>
      </c>
      <c r="M1444" s="151">
        <v>3912.35</v>
      </c>
    </row>
    <row r="1445" spans="1:13" s="149" customFormat="1" x14ac:dyDescent="0.25">
      <c r="A1445" s="149" t="s">
        <v>7639</v>
      </c>
      <c r="B1445" s="149" t="s">
        <v>2549</v>
      </c>
      <c r="C1445" s="149">
        <v>11</v>
      </c>
      <c r="D1445" s="149">
        <v>360</v>
      </c>
      <c r="E1445" s="149">
        <v>0</v>
      </c>
      <c r="F1445" s="149">
        <v>601000</v>
      </c>
      <c r="G1445" s="149">
        <v>53420</v>
      </c>
      <c r="H1445" s="150" t="str">
        <f t="shared" si="66"/>
        <v>5</v>
      </c>
      <c r="I1445" s="150" t="str">
        <f t="shared" si="67"/>
        <v>53</v>
      </c>
      <c r="J1445" s="150" t="str">
        <f t="shared" si="68"/>
        <v>534</v>
      </c>
      <c r="K1445" s="150" t="s">
        <v>9270</v>
      </c>
      <c r="L1445" s="149" t="s">
        <v>493</v>
      </c>
      <c r="M1445" s="151">
        <v>58569.4</v>
      </c>
    </row>
    <row r="1446" spans="1:13" s="149" customFormat="1" x14ac:dyDescent="0.25">
      <c r="A1446" s="149" t="s">
        <v>7639</v>
      </c>
      <c r="B1446" s="149" t="s">
        <v>2550</v>
      </c>
      <c r="C1446" s="149">
        <v>11</v>
      </c>
      <c r="D1446" s="149">
        <v>360</v>
      </c>
      <c r="E1446" s="149">
        <v>0</v>
      </c>
      <c r="F1446" s="149">
        <v>601000</v>
      </c>
      <c r="G1446" s="149">
        <v>53520</v>
      </c>
      <c r="H1446" s="150" t="str">
        <f t="shared" si="66"/>
        <v>5</v>
      </c>
      <c r="I1446" s="150" t="str">
        <f t="shared" si="67"/>
        <v>53</v>
      </c>
      <c r="J1446" s="150" t="str">
        <f t="shared" si="68"/>
        <v>535</v>
      </c>
      <c r="K1446" s="150" t="s">
        <v>9271</v>
      </c>
      <c r="L1446" s="149" t="s">
        <v>495</v>
      </c>
      <c r="M1446" s="151">
        <v>134.91</v>
      </c>
    </row>
    <row r="1447" spans="1:13" s="149" customFormat="1" x14ac:dyDescent="0.25">
      <c r="A1447" s="149" t="s">
        <v>7639</v>
      </c>
      <c r="B1447" s="149" t="s">
        <v>2551</v>
      </c>
      <c r="C1447" s="149">
        <v>11</v>
      </c>
      <c r="D1447" s="149">
        <v>360</v>
      </c>
      <c r="E1447" s="149">
        <v>0</v>
      </c>
      <c r="F1447" s="149">
        <v>601000</v>
      </c>
      <c r="G1447" s="149">
        <v>53620</v>
      </c>
      <c r="H1447" s="150" t="str">
        <f t="shared" si="66"/>
        <v>5</v>
      </c>
      <c r="I1447" s="150" t="str">
        <f t="shared" si="67"/>
        <v>53</v>
      </c>
      <c r="J1447" s="150" t="str">
        <f t="shared" si="68"/>
        <v>536</v>
      </c>
      <c r="K1447" s="150" t="s">
        <v>9272</v>
      </c>
      <c r="L1447" s="149" t="s">
        <v>497</v>
      </c>
      <c r="M1447" s="151">
        <v>5101.71</v>
      </c>
    </row>
    <row r="1448" spans="1:13" s="149" customFormat="1" x14ac:dyDescent="0.25">
      <c r="A1448" s="149" t="s">
        <v>7639</v>
      </c>
      <c r="B1448" s="149" t="s">
        <v>2552</v>
      </c>
      <c r="C1448" s="149">
        <v>11</v>
      </c>
      <c r="D1448" s="149">
        <v>360</v>
      </c>
      <c r="E1448" s="149">
        <v>0</v>
      </c>
      <c r="F1448" s="149">
        <v>601000</v>
      </c>
      <c r="G1448" s="149">
        <v>53920</v>
      </c>
      <c r="H1448" s="150" t="str">
        <f t="shared" si="66"/>
        <v>5</v>
      </c>
      <c r="I1448" s="150" t="str">
        <f t="shared" si="67"/>
        <v>53</v>
      </c>
      <c r="J1448" s="150" t="str">
        <f t="shared" si="68"/>
        <v>539</v>
      </c>
      <c r="K1448" s="150" t="s">
        <v>9273</v>
      </c>
      <c r="L1448" s="149" t="s">
        <v>499</v>
      </c>
      <c r="M1448" s="151">
        <v>2400</v>
      </c>
    </row>
    <row r="1449" spans="1:13" s="149" customFormat="1" x14ac:dyDescent="0.25">
      <c r="A1449" s="149" t="s">
        <v>7639</v>
      </c>
      <c r="B1449" s="149" t="s">
        <v>2553</v>
      </c>
      <c r="C1449" s="149">
        <v>11</v>
      </c>
      <c r="D1449" s="149">
        <v>360</v>
      </c>
      <c r="E1449" s="149">
        <v>0</v>
      </c>
      <c r="F1449" s="149">
        <v>601000</v>
      </c>
      <c r="G1449" s="149">
        <v>54300</v>
      </c>
      <c r="H1449" s="150" t="str">
        <f t="shared" si="66"/>
        <v>5</v>
      </c>
      <c r="I1449" s="150" t="str">
        <f t="shared" si="67"/>
        <v>54</v>
      </c>
      <c r="J1449" s="150" t="str">
        <f t="shared" si="68"/>
        <v>543</v>
      </c>
      <c r="K1449" s="150" t="s">
        <v>7963</v>
      </c>
      <c r="L1449" s="149" t="s">
        <v>501</v>
      </c>
      <c r="M1449" s="151">
        <v>500</v>
      </c>
    </row>
    <row r="1450" spans="1:13" s="149" customFormat="1" x14ac:dyDescent="0.25">
      <c r="A1450" s="149" t="s">
        <v>7639</v>
      </c>
      <c r="B1450" s="149" t="s">
        <v>2554</v>
      </c>
      <c r="C1450" s="149">
        <v>11</v>
      </c>
      <c r="D1450" s="149">
        <v>360</v>
      </c>
      <c r="E1450" s="149">
        <v>0</v>
      </c>
      <c r="F1450" s="149">
        <v>601000</v>
      </c>
      <c r="G1450" s="149">
        <v>55630</v>
      </c>
      <c r="H1450" s="150" t="str">
        <f t="shared" si="66"/>
        <v>5</v>
      </c>
      <c r="I1450" s="150" t="str">
        <f t="shared" si="67"/>
        <v>55</v>
      </c>
      <c r="J1450" s="150" t="str">
        <f t="shared" si="68"/>
        <v>556</v>
      </c>
      <c r="K1450" s="150" t="s">
        <v>8251</v>
      </c>
      <c r="L1450" s="149" t="s">
        <v>509</v>
      </c>
      <c r="M1450" s="151">
        <v>0</v>
      </c>
    </row>
    <row r="1451" spans="1:13" s="149" customFormat="1" x14ac:dyDescent="0.25">
      <c r="A1451" s="149" t="s">
        <v>7639</v>
      </c>
      <c r="B1451" s="149" t="s">
        <v>2555</v>
      </c>
      <c r="C1451" s="149">
        <v>11</v>
      </c>
      <c r="D1451" s="149">
        <v>360</v>
      </c>
      <c r="E1451" s="149">
        <v>0</v>
      </c>
      <c r="F1451" s="149">
        <v>612000</v>
      </c>
      <c r="G1451" s="149">
        <v>51200</v>
      </c>
      <c r="H1451" s="150" t="str">
        <f t="shared" si="66"/>
        <v>5</v>
      </c>
      <c r="I1451" s="150" t="str">
        <f t="shared" si="67"/>
        <v>51</v>
      </c>
      <c r="J1451" s="150" t="str">
        <f t="shared" si="68"/>
        <v>512</v>
      </c>
      <c r="K1451" s="150" t="s">
        <v>9274</v>
      </c>
      <c r="L1451" s="149" t="s">
        <v>2556</v>
      </c>
      <c r="M1451" s="151">
        <v>71444.100000000006</v>
      </c>
    </row>
    <row r="1452" spans="1:13" s="149" customFormat="1" x14ac:dyDescent="0.25">
      <c r="A1452" s="149" t="s">
        <v>7639</v>
      </c>
      <c r="B1452" s="149" t="s">
        <v>2557</v>
      </c>
      <c r="C1452" s="149">
        <v>11</v>
      </c>
      <c r="D1452" s="149">
        <v>360</v>
      </c>
      <c r="E1452" s="149">
        <v>0</v>
      </c>
      <c r="F1452" s="149">
        <v>612000</v>
      </c>
      <c r="G1452" s="149">
        <v>51411</v>
      </c>
      <c r="H1452" s="150" t="str">
        <f t="shared" si="66"/>
        <v>5</v>
      </c>
      <c r="I1452" s="150" t="str">
        <f t="shared" si="67"/>
        <v>51</v>
      </c>
      <c r="J1452" s="150" t="str">
        <f t="shared" si="68"/>
        <v>514</v>
      </c>
      <c r="K1452" s="150" t="s">
        <v>7777</v>
      </c>
      <c r="L1452" s="149" t="s">
        <v>517</v>
      </c>
      <c r="M1452" s="151">
        <v>164000</v>
      </c>
    </row>
    <row r="1453" spans="1:13" s="149" customFormat="1" x14ac:dyDescent="0.25">
      <c r="A1453" s="149" t="s">
        <v>7639</v>
      </c>
      <c r="B1453" s="149" t="s">
        <v>2558</v>
      </c>
      <c r="C1453" s="149">
        <v>11</v>
      </c>
      <c r="D1453" s="149">
        <v>360</v>
      </c>
      <c r="E1453" s="149">
        <v>0</v>
      </c>
      <c r="F1453" s="149">
        <v>612000</v>
      </c>
      <c r="G1453" s="149">
        <v>51412</v>
      </c>
      <c r="H1453" s="150" t="str">
        <f t="shared" si="66"/>
        <v>5</v>
      </c>
      <c r="I1453" s="150" t="str">
        <f t="shared" si="67"/>
        <v>51</v>
      </c>
      <c r="J1453" s="150" t="str">
        <f t="shared" si="68"/>
        <v>514</v>
      </c>
      <c r="K1453" s="150" t="s">
        <v>7800</v>
      </c>
      <c r="L1453" s="149" t="s">
        <v>2559</v>
      </c>
      <c r="M1453" s="151">
        <v>3001</v>
      </c>
    </row>
    <row r="1454" spans="1:13" s="149" customFormat="1" x14ac:dyDescent="0.25">
      <c r="A1454" s="149" t="s">
        <v>7639</v>
      </c>
      <c r="B1454" s="149" t="s">
        <v>2560</v>
      </c>
      <c r="C1454" s="149">
        <v>11</v>
      </c>
      <c r="D1454" s="149">
        <v>360</v>
      </c>
      <c r="E1454" s="149">
        <v>0</v>
      </c>
      <c r="F1454" s="149">
        <v>612000</v>
      </c>
      <c r="G1454" s="149">
        <v>52105</v>
      </c>
      <c r="H1454" s="150" t="str">
        <f t="shared" si="66"/>
        <v>5</v>
      </c>
      <c r="I1454" s="150" t="str">
        <f t="shared" si="67"/>
        <v>52</v>
      </c>
      <c r="J1454" s="150" t="str">
        <f t="shared" si="68"/>
        <v>521</v>
      </c>
      <c r="K1454" s="150" t="s">
        <v>9275</v>
      </c>
      <c r="L1454" s="149" t="s">
        <v>2561</v>
      </c>
      <c r="M1454" s="151">
        <v>183164.66</v>
      </c>
    </row>
    <row r="1455" spans="1:13" s="149" customFormat="1" x14ac:dyDescent="0.25">
      <c r="A1455" s="149" t="s">
        <v>7639</v>
      </c>
      <c r="B1455" s="149" t="s">
        <v>2562</v>
      </c>
      <c r="C1455" s="149">
        <v>11</v>
      </c>
      <c r="D1455" s="149">
        <v>360</v>
      </c>
      <c r="E1455" s="149">
        <v>0</v>
      </c>
      <c r="F1455" s="149">
        <v>612000</v>
      </c>
      <c r="G1455" s="149">
        <v>52300</v>
      </c>
      <c r="H1455" s="150" t="str">
        <f t="shared" si="66"/>
        <v>5</v>
      </c>
      <c r="I1455" s="150" t="str">
        <f t="shared" si="67"/>
        <v>52</v>
      </c>
      <c r="J1455" s="150" t="str">
        <f t="shared" si="68"/>
        <v>523</v>
      </c>
      <c r="K1455" s="150" t="s">
        <v>7830</v>
      </c>
      <c r="L1455" s="149" t="s">
        <v>2563</v>
      </c>
      <c r="M1455" s="151">
        <v>1800</v>
      </c>
    </row>
    <row r="1456" spans="1:13" s="149" customFormat="1" x14ac:dyDescent="0.25">
      <c r="A1456" s="149" t="s">
        <v>7639</v>
      </c>
      <c r="B1456" s="149" t="s">
        <v>2564</v>
      </c>
      <c r="C1456" s="149">
        <v>11</v>
      </c>
      <c r="D1456" s="149">
        <v>360</v>
      </c>
      <c r="E1456" s="149">
        <v>0</v>
      </c>
      <c r="F1456" s="149">
        <v>612000</v>
      </c>
      <c r="G1456" s="149">
        <v>52350</v>
      </c>
      <c r="H1456" s="150" t="str">
        <f t="shared" si="66"/>
        <v>5</v>
      </c>
      <c r="I1456" s="150" t="str">
        <f t="shared" si="67"/>
        <v>52</v>
      </c>
      <c r="J1456" s="150" t="str">
        <f t="shared" si="68"/>
        <v>523</v>
      </c>
      <c r="K1456" s="150" t="s">
        <v>7856</v>
      </c>
      <c r="L1456" s="149" t="s">
        <v>2565</v>
      </c>
      <c r="M1456" s="151">
        <v>9000</v>
      </c>
    </row>
    <row r="1457" spans="1:13" s="149" customFormat="1" x14ac:dyDescent="0.25">
      <c r="A1457" s="149" t="s">
        <v>7639</v>
      </c>
      <c r="B1457" s="149" t="s">
        <v>2566</v>
      </c>
      <c r="C1457" s="149">
        <v>11</v>
      </c>
      <c r="D1457" s="149">
        <v>360</v>
      </c>
      <c r="E1457" s="149">
        <v>0</v>
      </c>
      <c r="F1457" s="149">
        <v>612000</v>
      </c>
      <c r="G1457" s="149">
        <v>53120</v>
      </c>
      <c r="H1457" s="150" t="str">
        <f t="shared" si="66"/>
        <v>5</v>
      </c>
      <c r="I1457" s="150" t="str">
        <f t="shared" si="67"/>
        <v>53</v>
      </c>
      <c r="J1457" s="150" t="str">
        <f t="shared" si="68"/>
        <v>531</v>
      </c>
      <c r="K1457" s="150" t="s">
        <v>9276</v>
      </c>
      <c r="L1457" s="149" t="s">
        <v>519</v>
      </c>
      <c r="M1457" s="151">
        <v>26970.66</v>
      </c>
    </row>
    <row r="1458" spans="1:13" s="149" customFormat="1" x14ac:dyDescent="0.25">
      <c r="A1458" s="149" t="s">
        <v>7639</v>
      </c>
      <c r="B1458" s="149" t="s">
        <v>2567</v>
      </c>
      <c r="C1458" s="149">
        <v>11</v>
      </c>
      <c r="D1458" s="149">
        <v>360</v>
      </c>
      <c r="E1458" s="149">
        <v>0</v>
      </c>
      <c r="F1458" s="149">
        <v>612000</v>
      </c>
      <c r="G1458" s="149">
        <v>53220</v>
      </c>
      <c r="H1458" s="150" t="str">
        <f t="shared" si="66"/>
        <v>5</v>
      </c>
      <c r="I1458" s="150" t="str">
        <f t="shared" si="67"/>
        <v>53</v>
      </c>
      <c r="J1458" s="150" t="str">
        <f t="shared" si="68"/>
        <v>532</v>
      </c>
      <c r="K1458" s="150" t="s">
        <v>9277</v>
      </c>
      <c r="L1458" s="149" t="s">
        <v>2568</v>
      </c>
      <c r="M1458" s="151">
        <v>52704.01</v>
      </c>
    </row>
    <row r="1459" spans="1:13" s="149" customFormat="1" x14ac:dyDescent="0.25">
      <c r="A1459" s="149" t="s">
        <v>7639</v>
      </c>
      <c r="B1459" s="149" t="s">
        <v>2569</v>
      </c>
      <c r="C1459" s="149">
        <v>11</v>
      </c>
      <c r="D1459" s="149">
        <v>360</v>
      </c>
      <c r="E1459" s="149">
        <v>0</v>
      </c>
      <c r="F1459" s="149">
        <v>612000</v>
      </c>
      <c r="G1459" s="149">
        <v>53320</v>
      </c>
      <c r="H1459" s="150" t="str">
        <f t="shared" si="66"/>
        <v>5</v>
      </c>
      <c r="I1459" s="150" t="str">
        <f t="shared" si="67"/>
        <v>53</v>
      </c>
      <c r="J1459" s="150" t="str">
        <f t="shared" si="68"/>
        <v>533</v>
      </c>
      <c r="K1459" s="150" t="s">
        <v>9278</v>
      </c>
      <c r="L1459" s="149" t="s">
        <v>2570</v>
      </c>
      <c r="M1459" s="151">
        <v>15897.34</v>
      </c>
    </row>
    <row r="1460" spans="1:13" s="149" customFormat="1" x14ac:dyDescent="0.25">
      <c r="A1460" s="149" t="s">
        <v>7639</v>
      </c>
      <c r="B1460" s="149" t="s">
        <v>2571</v>
      </c>
      <c r="C1460" s="149">
        <v>11</v>
      </c>
      <c r="D1460" s="149">
        <v>360</v>
      </c>
      <c r="E1460" s="149">
        <v>0</v>
      </c>
      <c r="F1460" s="149">
        <v>612000</v>
      </c>
      <c r="G1460" s="149">
        <v>53340</v>
      </c>
      <c r="H1460" s="150" t="str">
        <f t="shared" si="66"/>
        <v>5</v>
      </c>
      <c r="I1460" s="150" t="str">
        <f t="shared" si="67"/>
        <v>53</v>
      </c>
      <c r="J1460" s="150" t="str">
        <f t="shared" si="68"/>
        <v>533</v>
      </c>
      <c r="K1460" s="150" t="s">
        <v>9279</v>
      </c>
      <c r="L1460" s="149" t="s">
        <v>521</v>
      </c>
      <c r="M1460" s="151">
        <v>6139.44</v>
      </c>
    </row>
    <row r="1461" spans="1:13" s="149" customFormat="1" x14ac:dyDescent="0.25">
      <c r="A1461" s="149" t="s">
        <v>7639</v>
      </c>
      <c r="B1461" s="149" t="s">
        <v>2572</v>
      </c>
      <c r="C1461" s="149">
        <v>11</v>
      </c>
      <c r="D1461" s="149">
        <v>360</v>
      </c>
      <c r="E1461" s="149">
        <v>0</v>
      </c>
      <c r="F1461" s="149">
        <v>612000</v>
      </c>
      <c r="G1461" s="149">
        <v>53420</v>
      </c>
      <c r="H1461" s="150" t="str">
        <f t="shared" si="66"/>
        <v>5</v>
      </c>
      <c r="I1461" s="150" t="str">
        <f t="shared" si="67"/>
        <v>53</v>
      </c>
      <c r="J1461" s="150" t="str">
        <f t="shared" si="68"/>
        <v>534</v>
      </c>
      <c r="K1461" s="150" t="s">
        <v>9280</v>
      </c>
      <c r="L1461" s="149" t="s">
        <v>2573</v>
      </c>
      <c r="M1461" s="151">
        <v>67226.38</v>
      </c>
    </row>
    <row r="1462" spans="1:13" s="149" customFormat="1" x14ac:dyDescent="0.25">
      <c r="A1462" s="149" t="s">
        <v>7639</v>
      </c>
      <c r="B1462" s="149" t="s">
        <v>2574</v>
      </c>
      <c r="C1462" s="149">
        <v>11</v>
      </c>
      <c r="D1462" s="149">
        <v>360</v>
      </c>
      <c r="E1462" s="149">
        <v>0</v>
      </c>
      <c r="F1462" s="149">
        <v>612000</v>
      </c>
      <c r="G1462" s="149">
        <v>53520</v>
      </c>
      <c r="H1462" s="150" t="str">
        <f t="shared" si="66"/>
        <v>5</v>
      </c>
      <c r="I1462" s="150" t="str">
        <f t="shared" si="67"/>
        <v>53</v>
      </c>
      <c r="J1462" s="150" t="str">
        <f t="shared" si="68"/>
        <v>535</v>
      </c>
      <c r="K1462" s="150" t="s">
        <v>9281</v>
      </c>
      <c r="L1462" s="149" t="s">
        <v>523</v>
      </c>
      <c r="M1462" s="151">
        <v>211.7</v>
      </c>
    </row>
    <row r="1463" spans="1:13" s="149" customFormat="1" x14ac:dyDescent="0.25">
      <c r="A1463" s="149" t="s">
        <v>7639</v>
      </c>
      <c r="B1463" s="149" t="s">
        <v>2575</v>
      </c>
      <c r="C1463" s="149">
        <v>11</v>
      </c>
      <c r="D1463" s="149">
        <v>360</v>
      </c>
      <c r="E1463" s="149">
        <v>0</v>
      </c>
      <c r="F1463" s="149">
        <v>612000</v>
      </c>
      <c r="G1463" s="149">
        <v>53620</v>
      </c>
      <c r="H1463" s="150" t="str">
        <f t="shared" si="66"/>
        <v>5</v>
      </c>
      <c r="I1463" s="150" t="str">
        <f t="shared" si="67"/>
        <v>53</v>
      </c>
      <c r="J1463" s="150" t="str">
        <f t="shared" si="68"/>
        <v>536</v>
      </c>
      <c r="K1463" s="150" t="s">
        <v>9282</v>
      </c>
      <c r="L1463" s="149" t="s">
        <v>525</v>
      </c>
      <c r="M1463" s="151">
        <v>8175.99</v>
      </c>
    </row>
    <row r="1464" spans="1:13" s="149" customFormat="1" x14ac:dyDescent="0.25">
      <c r="A1464" s="149" t="s">
        <v>7639</v>
      </c>
      <c r="B1464" s="149" t="s">
        <v>2576</v>
      </c>
      <c r="C1464" s="149">
        <v>11</v>
      </c>
      <c r="D1464" s="149">
        <v>360</v>
      </c>
      <c r="E1464" s="149">
        <v>0</v>
      </c>
      <c r="F1464" s="149">
        <v>612000</v>
      </c>
      <c r="G1464" s="149">
        <v>54300</v>
      </c>
      <c r="H1464" s="150" t="str">
        <f t="shared" si="66"/>
        <v>5</v>
      </c>
      <c r="I1464" s="150" t="str">
        <f t="shared" si="67"/>
        <v>54</v>
      </c>
      <c r="J1464" s="150" t="str">
        <f t="shared" si="68"/>
        <v>543</v>
      </c>
      <c r="K1464" s="150" t="s">
        <v>7964</v>
      </c>
      <c r="L1464" s="149" t="s">
        <v>2577</v>
      </c>
      <c r="M1464" s="151">
        <v>4551</v>
      </c>
    </row>
    <row r="1465" spans="1:13" s="149" customFormat="1" x14ac:dyDescent="0.25">
      <c r="A1465" s="149" t="s">
        <v>7639</v>
      </c>
      <c r="B1465" s="149" t="s">
        <v>2578</v>
      </c>
      <c r="C1465" s="149">
        <v>11</v>
      </c>
      <c r="D1465" s="149">
        <v>360</v>
      </c>
      <c r="E1465" s="149">
        <v>0</v>
      </c>
      <c r="F1465" s="149">
        <v>612000</v>
      </c>
      <c r="G1465" s="149">
        <v>55200</v>
      </c>
      <c r="H1465" s="150" t="str">
        <f t="shared" si="66"/>
        <v>5</v>
      </c>
      <c r="I1465" s="150" t="str">
        <f t="shared" si="67"/>
        <v>55</v>
      </c>
      <c r="J1465" s="150" t="str">
        <f t="shared" si="68"/>
        <v>552</v>
      </c>
      <c r="K1465" s="150" t="s">
        <v>8059</v>
      </c>
      <c r="L1465" s="149" t="s">
        <v>2579</v>
      </c>
      <c r="M1465" s="151">
        <v>-3100</v>
      </c>
    </row>
    <row r="1466" spans="1:13" s="149" customFormat="1" x14ac:dyDescent="0.25">
      <c r="A1466" s="149" t="s">
        <v>7639</v>
      </c>
      <c r="B1466" s="149" t="s">
        <v>2580</v>
      </c>
      <c r="C1466" s="149">
        <v>11</v>
      </c>
      <c r="D1466" s="149">
        <v>360</v>
      </c>
      <c r="E1466" s="149">
        <v>0</v>
      </c>
      <c r="F1466" s="149">
        <v>612000</v>
      </c>
      <c r="G1466" s="149">
        <v>55300</v>
      </c>
      <c r="H1466" s="150" t="str">
        <f t="shared" si="66"/>
        <v>5</v>
      </c>
      <c r="I1466" s="150" t="str">
        <f t="shared" si="67"/>
        <v>55</v>
      </c>
      <c r="J1466" s="150" t="str">
        <f t="shared" si="68"/>
        <v>553</v>
      </c>
      <c r="K1466" s="150" t="s">
        <v>8094</v>
      </c>
      <c r="L1466" s="149" t="s">
        <v>2581</v>
      </c>
      <c r="M1466" s="151">
        <v>3000</v>
      </c>
    </row>
    <row r="1467" spans="1:13" s="149" customFormat="1" x14ac:dyDescent="0.25">
      <c r="A1467" s="149" t="s">
        <v>7639</v>
      </c>
      <c r="B1467" s="149" t="s">
        <v>2582</v>
      </c>
      <c r="C1467" s="149">
        <v>11</v>
      </c>
      <c r="D1467" s="149">
        <v>360</v>
      </c>
      <c r="E1467" s="149">
        <v>0</v>
      </c>
      <c r="F1467" s="149">
        <v>612000</v>
      </c>
      <c r="G1467" s="149">
        <v>55630</v>
      </c>
      <c r="H1467" s="150" t="str">
        <f t="shared" si="66"/>
        <v>5</v>
      </c>
      <c r="I1467" s="150" t="str">
        <f t="shared" si="67"/>
        <v>55</v>
      </c>
      <c r="J1467" s="150" t="str">
        <f t="shared" si="68"/>
        <v>556</v>
      </c>
      <c r="K1467" s="150" t="s">
        <v>8252</v>
      </c>
      <c r="L1467" s="149" t="s">
        <v>527</v>
      </c>
      <c r="M1467" s="151">
        <v>184.43</v>
      </c>
    </row>
    <row r="1468" spans="1:13" s="149" customFormat="1" x14ac:dyDescent="0.25">
      <c r="A1468" s="149" t="s">
        <v>7639</v>
      </c>
      <c r="B1468" s="149" t="s">
        <v>2583</v>
      </c>
      <c r="C1468" s="149">
        <v>11</v>
      </c>
      <c r="D1468" s="149">
        <v>360</v>
      </c>
      <c r="E1468" s="149">
        <v>0</v>
      </c>
      <c r="F1468" s="149">
        <v>612000</v>
      </c>
      <c r="G1468" s="149">
        <v>55650</v>
      </c>
      <c r="H1468" s="150" t="str">
        <f t="shared" si="66"/>
        <v>5</v>
      </c>
      <c r="I1468" s="150" t="str">
        <f t="shared" si="67"/>
        <v>55</v>
      </c>
      <c r="J1468" s="150" t="str">
        <f t="shared" si="68"/>
        <v>556</v>
      </c>
      <c r="K1468" s="150" t="s">
        <v>8308</v>
      </c>
      <c r="L1468" s="149" t="s">
        <v>2584</v>
      </c>
      <c r="M1468" s="151">
        <v>5000</v>
      </c>
    </row>
    <row r="1469" spans="1:13" s="149" customFormat="1" x14ac:dyDescent="0.25">
      <c r="A1469" s="149" t="s">
        <v>7639</v>
      </c>
      <c r="B1469" s="149" t="s">
        <v>2585</v>
      </c>
      <c r="C1469" s="149">
        <v>11</v>
      </c>
      <c r="D1469" s="149">
        <v>360</v>
      </c>
      <c r="E1469" s="149">
        <v>0</v>
      </c>
      <c r="F1469" s="149">
        <v>612000</v>
      </c>
      <c r="G1469" s="149">
        <v>56300</v>
      </c>
      <c r="H1469" s="150" t="str">
        <f t="shared" si="66"/>
        <v>5</v>
      </c>
      <c r="I1469" s="150" t="str">
        <f t="shared" si="67"/>
        <v>56</v>
      </c>
      <c r="J1469" s="150" t="str">
        <f t="shared" si="68"/>
        <v>563</v>
      </c>
      <c r="K1469" s="150" t="s">
        <v>8361</v>
      </c>
      <c r="L1469" s="149" t="s">
        <v>2586</v>
      </c>
      <c r="M1469" s="151">
        <v>24000</v>
      </c>
    </row>
    <row r="1470" spans="1:13" s="149" customFormat="1" x14ac:dyDescent="0.25">
      <c r="A1470" s="149" t="s">
        <v>7639</v>
      </c>
      <c r="B1470" s="149" t="s">
        <v>2587</v>
      </c>
      <c r="C1470" s="149">
        <v>11</v>
      </c>
      <c r="D1470" s="149">
        <v>360</v>
      </c>
      <c r="E1470" s="149">
        <v>0</v>
      </c>
      <c r="F1470" s="149">
        <v>612000</v>
      </c>
      <c r="G1470" s="149">
        <v>56310</v>
      </c>
      <c r="H1470" s="150" t="str">
        <f t="shared" si="66"/>
        <v>5</v>
      </c>
      <c r="I1470" s="150" t="str">
        <f t="shared" si="67"/>
        <v>56</v>
      </c>
      <c r="J1470" s="150" t="str">
        <f t="shared" si="68"/>
        <v>563</v>
      </c>
      <c r="K1470" s="150" t="s">
        <v>8364</v>
      </c>
      <c r="L1470" s="149" t="s">
        <v>1030</v>
      </c>
      <c r="M1470" s="151">
        <v>20871</v>
      </c>
    </row>
    <row r="1471" spans="1:13" s="149" customFormat="1" x14ac:dyDescent="0.25">
      <c r="A1471" s="149" t="s">
        <v>7639</v>
      </c>
      <c r="B1471" s="149" t="s">
        <v>2588</v>
      </c>
      <c r="C1471" s="149">
        <v>11</v>
      </c>
      <c r="D1471" s="149">
        <v>360</v>
      </c>
      <c r="E1471" s="149">
        <v>0</v>
      </c>
      <c r="F1471" s="149">
        <v>612000</v>
      </c>
      <c r="G1471" s="149">
        <v>56340</v>
      </c>
      <c r="H1471" s="150" t="str">
        <f t="shared" si="66"/>
        <v>5</v>
      </c>
      <c r="I1471" s="150" t="str">
        <f t="shared" si="67"/>
        <v>56</v>
      </c>
      <c r="J1471" s="150" t="str">
        <f t="shared" si="68"/>
        <v>563</v>
      </c>
      <c r="K1471" s="150" t="s">
        <v>8365</v>
      </c>
      <c r="L1471" s="149" t="s">
        <v>2589</v>
      </c>
      <c r="M1471" s="151">
        <v>7350</v>
      </c>
    </row>
    <row r="1472" spans="1:13" s="149" customFormat="1" x14ac:dyDescent="0.25">
      <c r="A1472" s="149" t="s">
        <v>7639</v>
      </c>
      <c r="B1472" s="149" t="s">
        <v>2590</v>
      </c>
      <c r="C1472" s="149">
        <v>11</v>
      </c>
      <c r="D1472" s="149">
        <v>360</v>
      </c>
      <c r="E1472" s="149">
        <v>0</v>
      </c>
      <c r="F1472" s="149">
        <v>612000</v>
      </c>
      <c r="G1472" s="149">
        <v>56341</v>
      </c>
      <c r="H1472" s="150" t="str">
        <f t="shared" si="66"/>
        <v>5</v>
      </c>
      <c r="I1472" s="150" t="str">
        <f t="shared" si="67"/>
        <v>56</v>
      </c>
      <c r="J1472" s="150" t="str">
        <f t="shared" si="68"/>
        <v>563</v>
      </c>
      <c r="K1472" s="150" t="s">
        <v>8367</v>
      </c>
      <c r="L1472" s="149" t="s">
        <v>2591</v>
      </c>
      <c r="M1472" s="151">
        <v>1150</v>
      </c>
    </row>
    <row r="1473" spans="1:13" s="149" customFormat="1" x14ac:dyDescent="0.25">
      <c r="A1473" s="149" t="s">
        <v>7639</v>
      </c>
      <c r="B1473" s="149" t="s">
        <v>2592</v>
      </c>
      <c r="C1473" s="149">
        <v>11</v>
      </c>
      <c r="D1473" s="149">
        <v>360</v>
      </c>
      <c r="E1473" s="149">
        <v>0</v>
      </c>
      <c r="F1473" s="149">
        <v>613000</v>
      </c>
      <c r="G1473" s="149">
        <v>52105</v>
      </c>
      <c r="H1473" s="150" t="str">
        <f t="shared" si="66"/>
        <v>5</v>
      </c>
      <c r="I1473" s="150" t="str">
        <f t="shared" si="67"/>
        <v>52</v>
      </c>
      <c r="J1473" s="150" t="str">
        <f t="shared" si="68"/>
        <v>521</v>
      </c>
      <c r="K1473" s="150" t="s">
        <v>9283</v>
      </c>
      <c r="L1473" s="149" t="s">
        <v>2593</v>
      </c>
      <c r="M1473" s="151">
        <v>117591.54</v>
      </c>
    </row>
    <row r="1474" spans="1:13" s="149" customFormat="1" x14ac:dyDescent="0.25">
      <c r="A1474" s="149" t="s">
        <v>7639</v>
      </c>
      <c r="B1474" s="149" t="s">
        <v>2594</v>
      </c>
      <c r="C1474" s="149">
        <v>11</v>
      </c>
      <c r="D1474" s="149">
        <v>360</v>
      </c>
      <c r="E1474" s="149">
        <v>0</v>
      </c>
      <c r="F1474" s="149">
        <v>613000</v>
      </c>
      <c r="G1474" s="149">
        <v>52300</v>
      </c>
      <c r="H1474" s="150" t="str">
        <f t="shared" si="66"/>
        <v>5</v>
      </c>
      <c r="I1474" s="150" t="str">
        <f t="shared" si="67"/>
        <v>52</v>
      </c>
      <c r="J1474" s="150" t="str">
        <f t="shared" si="68"/>
        <v>523</v>
      </c>
      <c r="K1474" s="150" t="s">
        <v>7831</v>
      </c>
      <c r="L1474" s="149" t="s">
        <v>2595</v>
      </c>
      <c r="M1474" s="151">
        <v>700</v>
      </c>
    </row>
    <row r="1475" spans="1:13" s="149" customFormat="1" x14ac:dyDescent="0.25">
      <c r="A1475" s="149" t="s">
        <v>7639</v>
      </c>
      <c r="B1475" s="149" t="s">
        <v>2596</v>
      </c>
      <c r="C1475" s="149">
        <v>11</v>
      </c>
      <c r="D1475" s="149">
        <v>360</v>
      </c>
      <c r="E1475" s="149">
        <v>0</v>
      </c>
      <c r="F1475" s="149">
        <v>613000</v>
      </c>
      <c r="G1475" s="149">
        <v>53220</v>
      </c>
      <c r="H1475" s="150" t="str">
        <f t="shared" ref="H1475:H1538" si="69">LEFT(G1475,1)</f>
        <v>5</v>
      </c>
      <c r="I1475" s="150" t="str">
        <f t="shared" ref="I1475:I1538" si="70">LEFT(G1475,2)</f>
        <v>53</v>
      </c>
      <c r="J1475" s="150" t="str">
        <f t="shared" ref="J1475:J1538" si="71">LEFT(G1475,3)</f>
        <v>532</v>
      </c>
      <c r="K1475" s="150" t="s">
        <v>9284</v>
      </c>
      <c r="L1475" s="149" t="s">
        <v>2597</v>
      </c>
      <c r="M1475" s="151">
        <v>24341.46</v>
      </c>
    </row>
    <row r="1476" spans="1:13" s="149" customFormat="1" x14ac:dyDescent="0.25">
      <c r="A1476" s="149" t="s">
        <v>7639</v>
      </c>
      <c r="B1476" s="149" t="s">
        <v>2598</v>
      </c>
      <c r="C1476" s="149">
        <v>11</v>
      </c>
      <c r="D1476" s="149">
        <v>360</v>
      </c>
      <c r="E1476" s="149">
        <v>0</v>
      </c>
      <c r="F1476" s="149">
        <v>613000</v>
      </c>
      <c r="G1476" s="149">
        <v>53320</v>
      </c>
      <c r="H1476" s="150" t="str">
        <f t="shared" si="69"/>
        <v>5</v>
      </c>
      <c r="I1476" s="150" t="str">
        <f t="shared" si="70"/>
        <v>53</v>
      </c>
      <c r="J1476" s="150" t="str">
        <f t="shared" si="71"/>
        <v>533</v>
      </c>
      <c r="K1476" s="150" t="s">
        <v>9285</v>
      </c>
      <c r="L1476" s="149" t="s">
        <v>2599</v>
      </c>
      <c r="M1476" s="151">
        <v>7334.07</v>
      </c>
    </row>
    <row r="1477" spans="1:13" s="149" customFormat="1" x14ac:dyDescent="0.25">
      <c r="A1477" s="149" t="s">
        <v>7639</v>
      </c>
      <c r="B1477" s="149" t="s">
        <v>2600</v>
      </c>
      <c r="C1477" s="149">
        <v>11</v>
      </c>
      <c r="D1477" s="149">
        <v>360</v>
      </c>
      <c r="E1477" s="149">
        <v>0</v>
      </c>
      <c r="F1477" s="149">
        <v>613000</v>
      </c>
      <c r="G1477" s="149">
        <v>53340</v>
      </c>
      <c r="H1477" s="150" t="str">
        <f t="shared" si="69"/>
        <v>5</v>
      </c>
      <c r="I1477" s="150" t="str">
        <f t="shared" si="70"/>
        <v>53</v>
      </c>
      <c r="J1477" s="150" t="str">
        <f t="shared" si="71"/>
        <v>533</v>
      </c>
      <c r="K1477" s="150" t="s">
        <v>9286</v>
      </c>
      <c r="L1477" s="149" t="s">
        <v>2601</v>
      </c>
      <c r="M1477" s="151">
        <v>1715.23</v>
      </c>
    </row>
    <row r="1478" spans="1:13" s="149" customFormat="1" x14ac:dyDescent="0.25">
      <c r="A1478" s="149" t="s">
        <v>7639</v>
      </c>
      <c r="B1478" s="149" t="s">
        <v>2602</v>
      </c>
      <c r="C1478" s="149">
        <v>11</v>
      </c>
      <c r="D1478" s="149">
        <v>360</v>
      </c>
      <c r="E1478" s="149">
        <v>0</v>
      </c>
      <c r="F1478" s="149">
        <v>613000</v>
      </c>
      <c r="G1478" s="149">
        <v>53420</v>
      </c>
      <c r="H1478" s="150" t="str">
        <f t="shared" si="69"/>
        <v>5</v>
      </c>
      <c r="I1478" s="150" t="str">
        <f t="shared" si="70"/>
        <v>53</v>
      </c>
      <c r="J1478" s="150" t="str">
        <f t="shared" si="71"/>
        <v>534</v>
      </c>
      <c r="K1478" s="150" t="s">
        <v>9287</v>
      </c>
      <c r="L1478" s="149" t="s">
        <v>2603</v>
      </c>
      <c r="M1478" s="151">
        <v>23244.5</v>
      </c>
    </row>
    <row r="1479" spans="1:13" s="149" customFormat="1" x14ac:dyDescent="0.25">
      <c r="A1479" s="149" t="s">
        <v>7639</v>
      </c>
      <c r="B1479" s="149" t="s">
        <v>2604</v>
      </c>
      <c r="C1479" s="149">
        <v>11</v>
      </c>
      <c r="D1479" s="149">
        <v>360</v>
      </c>
      <c r="E1479" s="149">
        <v>0</v>
      </c>
      <c r="F1479" s="149">
        <v>613000</v>
      </c>
      <c r="G1479" s="149">
        <v>53520</v>
      </c>
      <c r="H1479" s="150" t="str">
        <f t="shared" si="69"/>
        <v>5</v>
      </c>
      <c r="I1479" s="150" t="str">
        <f t="shared" si="70"/>
        <v>53</v>
      </c>
      <c r="J1479" s="150" t="str">
        <f t="shared" si="71"/>
        <v>535</v>
      </c>
      <c r="K1479" s="150" t="s">
        <v>9288</v>
      </c>
      <c r="L1479" s="149" t="s">
        <v>2605</v>
      </c>
      <c r="M1479" s="151">
        <v>59.15</v>
      </c>
    </row>
    <row r="1480" spans="1:13" s="149" customFormat="1" x14ac:dyDescent="0.25">
      <c r="A1480" s="149" t="s">
        <v>7639</v>
      </c>
      <c r="B1480" s="149" t="s">
        <v>2606</v>
      </c>
      <c r="C1480" s="149">
        <v>11</v>
      </c>
      <c r="D1480" s="149">
        <v>360</v>
      </c>
      <c r="E1480" s="149">
        <v>0</v>
      </c>
      <c r="F1480" s="149">
        <v>613000</v>
      </c>
      <c r="G1480" s="149">
        <v>53620</v>
      </c>
      <c r="H1480" s="150" t="str">
        <f t="shared" si="69"/>
        <v>5</v>
      </c>
      <c r="I1480" s="150" t="str">
        <f t="shared" si="70"/>
        <v>53</v>
      </c>
      <c r="J1480" s="150" t="str">
        <f t="shared" si="71"/>
        <v>536</v>
      </c>
      <c r="K1480" s="150" t="s">
        <v>9289</v>
      </c>
      <c r="L1480" s="149" t="s">
        <v>2607</v>
      </c>
      <c r="M1480" s="151">
        <v>2236.66</v>
      </c>
    </row>
    <row r="1481" spans="1:13" s="149" customFormat="1" x14ac:dyDescent="0.25">
      <c r="A1481" s="149" t="s">
        <v>7639</v>
      </c>
      <c r="B1481" s="149" t="s">
        <v>2608</v>
      </c>
      <c r="C1481" s="149">
        <v>11</v>
      </c>
      <c r="D1481" s="149">
        <v>360</v>
      </c>
      <c r="E1481" s="149">
        <v>0</v>
      </c>
      <c r="F1481" s="149">
        <v>613000</v>
      </c>
      <c r="G1481" s="149">
        <v>54300</v>
      </c>
      <c r="H1481" s="150" t="str">
        <f t="shared" si="69"/>
        <v>5</v>
      </c>
      <c r="I1481" s="150" t="str">
        <f t="shared" si="70"/>
        <v>54</v>
      </c>
      <c r="J1481" s="150" t="str">
        <f t="shared" si="71"/>
        <v>543</v>
      </c>
      <c r="K1481" s="150" t="s">
        <v>7965</v>
      </c>
      <c r="L1481" s="149" t="s">
        <v>2609</v>
      </c>
      <c r="M1481" s="151">
        <v>4615</v>
      </c>
    </row>
    <row r="1482" spans="1:13" s="149" customFormat="1" x14ac:dyDescent="0.25">
      <c r="A1482" s="149" t="s">
        <v>7639</v>
      </c>
      <c r="B1482" s="149" t="s">
        <v>2610</v>
      </c>
      <c r="C1482" s="149">
        <v>11</v>
      </c>
      <c r="D1482" s="149">
        <v>360</v>
      </c>
      <c r="E1482" s="149">
        <v>0</v>
      </c>
      <c r="F1482" s="149">
        <v>613000</v>
      </c>
      <c r="G1482" s="149">
        <v>55630</v>
      </c>
      <c r="H1482" s="150" t="str">
        <f t="shared" si="69"/>
        <v>5</v>
      </c>
      <c r="I1482" s="150" t="str">
        <f t="shared" si="70"/>
        <v>55</v>
      </c>
      <c r="J1482" s="150" t="str">
        <f t="shared" si="71"/>
        <v>556</v>
      </c>
      <c r="K1482" s="150" t="s">
        <v>8253</v>
      </c>
      <c r="L1482" s="149" t="s">
        <v>2611</v>
      </c>
      <c r="M1482" s="151">
        <v>60.75</v>
      </c>
    </row>
    <row r="1483" spans="1:13" s="149" customFormat="1" x14ac:dyDescent="0.25">
      <c r="A1483" s="149" t="s">
        <v>7639</v>
      </c>
      <c r="B1483" s="149" t="s">
        <v>2612</v>
      </c>
      <c r="C1483" s="149">
        <v>11</v>
      </c>
      <c r="D1483" s="149">
        <v>360</v>
      </c>
      <c r="E1483" s="149">
        <v>0</v>
      </c>
      <c r="F1483" s="149">
        <v>613000</v>
      </c>
      <c r="G1483" s="149">
        <v>56300</v>
      </c>
      <c r="H1483" s="150" t="str">
        <f t="shared" si="69"/>
        <v>5</v>
      </c>
      <c r="I1483" s="150" t="str">
        <f t="shared" si="70"/>
        <v>56</v>
      </c>
      <c r="J1483" s="150" t="str">
        <f t="shared" si="71"/>
        <v>563</v>
      </c>
      <c r="K1483" s="150" t="s">
        <v>8362</v>
      </c>
      <c r="L1483" s="149" t="s">
        <v>2613</v>
      </c>
      <c r="M1483" s="151">
        <v>600</v>
      </c>
    </row>
    <row r="1484" spans="1:13" s="149" customFormat="1" x14ac:dyDescent="0.25">
      <c r="A1484" s="149" t="s">
        <v>7639</v>
      </c>
      <c r="B1484" s="149" t="s">
        <v>2614</v>
      </c>
      <c r="C1484" s="149">
        <v>11</v>
      </c>
      <c r="D1484" s="149">
        <v>360</v>
      </c>
      <c r="E1484" s="149">
        <v>0</v>
      </c>
      <c r="F1484" s="149">
        <v>613000</v>
      </c>
      <c r="G1484" s="149">
        <v>56400</v>
      </c>
      <c r="H1484" s="150" t="str">
        <f t="shared" si="69"/>
        <v>5</v>
      </c>
      <c r="I1484" s="150" t="str">
        <f t="shared" si="70"/>
        <v>56</v>
      </c>
      <c r="J1484" s="150" t="str">
        <f t="shared" si="71"/>
        <v>564</v>
      </c>
      <c r="K1484" s="150" t="s">
        <v>8379</v>
      </c>
      <c r="L1484" s="149" t="s">
        <v>2615</v>
      </c>
      <c r="M1484" s="151">
        <v>500</v>
      </c>
    </row>
    <row r="1485" spans="1:13" s="149" customFormat="1" x14ac:dyDescent="0.25">
      <c r="A1485" s="149" t="s">
        <v>7639</v>
      </c>
      <c r="B1485" s="149" t="s">
        <v>2616</v>
      </c>
      <c r="C1485" s="149">
        <v>11</v>
      </c>
      <c r="D1485" s="149">
        <v>365</v>
      </c>
      <c r="E1485" s="149">
        <v>0</v>
      </c>
      <c r="F1485" s="149">
        <v>493034</v>
      </c>
      <c r="G1485" s="149">
        <v>51311</v>
      </c>
      <c r="H1485" s="150" t="str">
        <f t="shared" si="69"/>
        <v>5</v>
      </c>
      <c r="I1485" s="150" t="str">
        <f t="shared" si="70"/>
        <v>51</v>
      </c>
      <c r="J1485" s="150" t="str">
        <f t="shared" si="71"/>
        <v>513</v>
      </c>
      <c r="K1485" s="150" t="s">
        <v>7764</v>
      </c>
      <c r="L1485" s="149" t="s">
        <v>2617</v>
      </c>
      <c r="M1485" s="151">
        <v>3000</v>
      </c>
    </row>
    <row r="1486" spans="1:13" s="149" customFormat="1" x14ac:dyDescent="0.25">
      <c r="A1486" s="149" t="s">
        <v>7639</v>
      </c>
      <c r="B1486" s="149" t="s">
        <v>2618</v>
      </c>
      <c r="C1486" s="149">
        <v>11</v>
      </c>
      <c r="D1486" s="149">
        <v>365</v>
      </c>
      <c r="E1486" s="149">
        <v>0</v>
      </c>
      <c r="F1486" s="149">
        <v>493034</v>
      </c>
      <c r="G1486" s="149">
        <v>52350</v>
      </c>
      <c r="H1486" s="150" t="str">
        <f t="shared" si="69"/>
        <v>5</v>
      </c>
      <c r="I1486" s="150" t="str">
        <f t="shared" si="70"/>
        <v>52</v>
      </c>
      <c r="J1486" s="150" t="str">
        <f t="shared" si="71"/>
        <v>523</v>
      </c>
      <c r="K1486" s="150" t="s">
        <v>7857</v>
      </c>
      <c r="L1486" s="149" t="s">
        <v>2619</v>
      </c>
      <c r="M1486" s="151">
        <v>23000</v>
      </c>
    </row>
    <row r="1487" spans="1:13" s="149" customFormat="1" x14ac:dyDescent="0.25">
      <c r="A1487" s="149" t="s">
        <v>7639</v>
      </c>
      <c r="B1487" s="149" t="s">
        <v>2620</v>
      </c>
      <c r="C1487" s="149">
        <v>11</v>
      </c>
      <c r="D1487" s="149">
        <v>365</v>
      </c>
      <c r="E1487" s="149">
        <v>0</v>
      </c>
      <c r="F1487" s="149">
        <v>493034</v>
      </c>
      <c r="G1487" s="149">
        <v>52420</v>
      </c>
      <c r="H1487" s="150" t="str">
        <f t="shared" si="69"/>
        <v>5</v>
      </c>
      <c r="I1487" s="150" t="str">
        <f t="shared" si="70"/>
        <v>52</v>
      </c>
      <c r="J1487" s="150" t="str">
        <f t="shared" si="71"/>
        <v>524</v>
      </c>
      <c r="K1487" s="150" t="s">
        <v>7894</v>
      </c>
      <c r="L1487" s="149" t="s">
        <v>2621</v>
      </c>
      <c r="M1487" s="151">
        <v>0</v>
      </c>
    </row>
    <row r="1488" spans="1:13" s="149" customFormat="1" x14ac:dyDescent="0.25">
      <c r="A1488" s="149" t="s">
        <v>7639</v>
      </c>
      <c r="B1488" s="149" t="s">
        <v>2622</v>
      </c>
      <c r="C1488" s="149">
        <v>11</v>
      </c>
      <c r="D1488" s="149">
        <v>365</v>
      </c>
      <c r="E1488" s="149">
        <v>0</v>
      </c>
      <c r="F1488" s="149">
        <v>493034</v>
      </c>
      <c r="G1488" s="149">
        <v>53110</v>
      </c>
      <c r="H1488" s="150" t="str">
        <f t="shared" si="69"/>
        <v>5</v>
      </c>
      <c r="I1488" s="150" t="str">
        <f t="shared" si="70"/>
        <v>53</v>
      </c>
      <c r="J1488" s="150" t="str">
        <f t="shared" si="71"/>
        <v>531</v>
      </c>
      <c r="K1488" s="150" t="s">
        <v>9290</v>
      </c>
      <c r="L1488" s="149" t="s">
        <v>2623</v>
      </c>
      <c r="M1488" s="151">
        <v>484.5</v>
      </c>
    </row>
    <row r="1489" spans="1:13" s="149" customFormat="1" x14ac:dyDescent="0.25">
      <c r="A1489" s="149" t="s">
        <v>7639</v>
      </c>
      <c r="B1489" s="149" t="s">
        <v>2624</v>
      </c>
      <c r="C1489" s="149">
        <v>11</v>
      </c>
      <c r="D1489" s="149">
        <v>365</v>
      </c>
      <c r="E1489" s="149">
        <v>0</v>
      </c>
      <c r="F1489" s="149">
        <v>493034</v>
      </c>
      <c r="G1489" s="149">
        <v>53310</v>
      </c>
      <c r="H1489" s="150" t="str">
        <f t="shared" si="69"/>
        <v>5</v>
      </c>
      <c r="I1489" s="150" t="str">
        <f t="shared" si="70"/>
        <v>53</v>
      </c>
      <c r="J1489" s="150" t="str">
        <f t="shared" si="71"/>
        <v>533</v>
      </c>
      <c r="K1489" s="150" t="s">
        <v>9291</v>
      </c>
      <c r="L1489" s="149" t="s">
        <v>2625</v>
      </c>
      <c r="M1489" s="151">
        <v>0</v>
      </c>
    </row>
    <row r="1490" spans="1:13" s="149" customFormat="1" x14ac:dyDescent="0.25">
      <c r="A1490" s="149" t="s">
        <v>7639</v>
      </c>
      <c r="B1490" s="149" t="s">
        <v>2626</v>
      </c>
      <c r="C1490" s="149">
        <v>11</v>
      </c>
      <c r="D1490" s="149">
        <v>365</v>
      </c>
      <c r="E1490" s="149">
        <v>0</v>
      </c>
      <c r="F1490" s="149">
        <v>493034</v>
      </c>
      <c r="G1490" s="149">
        <v>53330</v>
      </c>
      <c r="H1490" s="150" t="str">
        <f t="shared" si="69"/>
        <v>5</v>
      </c>
      <c r="I1490" s="150" t="str">
        <f t="shared" si="70"/>
        <v>53</v>
      </c>
      <c r="J1490" s="150" t="str">
        <f t="shared" si="71"/>
        <v>533</v>
      </c>
      <c r="K1490" s="150" t="s">
        <v>9292</v>
      </c>
      <c r="L1490" s="149" t="s">
        <v>2627</v>
      </c>
      <c r="M1490" s="151">
        <v>43.5</v>
      </c>
    </row>
    <row r="1491" spans="1:13" s="149" customFormat="1" x14ac:dyDescent="0.25">
      <c r="A1491" s="149" t="s">
        <v>7639</v>
      </c>
      <c r="B1491" s="149" t="s">
        <v>2628</v>
      </c>
      <c r="C1491" s="149">
        <v>11</v>
      </c>
      <c r="D1491" s="149">
        <v>365</v>
      </c>
      <c r="E1491" s="149">
        <v>0</v>
      </c>
      <c r="F1491" s="149">
        <v>493034</v>
      </c>
      <c r="G1491" s="149">
        <v>53510</v>
      </c>
      <c r="H1491" s="150" t="str">
        <f t="shared" si="69"/>
        <v>5</v>
      </c>
      <c r="I1491" s="150" t="str">
        <f t="shared" si="70"/>
        <v>53</v>
      </c>
      <c r="J1491" s="150" t="str">
        <f t="shared" si="71"/>
        <v>535</v>
      </c>
      <c r="K1491" s="150" t="s">
        <v>9293</v>
      </c>
      <c r="L1491" s="149" t="s">
        <v>2629</v>
      </c>
      <c r="M1491" s="151">
        <v>1.5</v>
      </c>
    </row>
    <row r="1492" spans="1:13" s="149" customFormat="1" x14ac:dyDescent="0.25">
      <c r="A1492" s="149" t="s">
        <v>7639</v>
      </c>
      <c r="B1492" s="149" t="s">
        <v>2630</v>
      </c>
      <c r="C1492" s="149">
        <v>11</v>
      </c>
      <c r="D1492" s="149">
        <v>365</v>
      </c>
      <c r="E1492" s="149">
        <v>0</v>
      </c>
      <c r="F1492" s="149">
        <v>493034</v>
      </c>
      <c r="G1492" s="149">
        <v>53610</v>
      </c>
      <c r="H1492" s="150" t="str">
        <f t="shared" si="69"/>
        <v>5</v>
      </c>
      <c r="I1492" s="150" t="str">
        <f t="shared" si="70"/>
        <v>53</v>
      </c>
      <c r="J1492" s="150" t="str">
        <f t="shared" si="71"/>
        <v>536</v>
      </c>
      <c r="K1492" s="150" t="s">
        <v>9294</v>
      </c>
      <c r="L1492" s="149" t="s">
        <v>2631</v>
      </c>
      <c r="M1492" s="151">
        <v>56.72</v>
      </c>
    </row>
    <row r="1493" spans="1:13" s="149" customFormat="1" x14ac:dyDescent="0.25">
      <c r="A1493" s="149" t="s">
        <v>7639</v>
      </c>
      <c r="B1493" s="149" t="s">
        <v>2632</v>
      </c>
      <c r="C1493" s="149">
        <v>11</v>
      </c>
      <c r="D1493" s="149">
        <v>365</v>
      </c>
      <c r="E1493" s="149">
        <v>0</v>
      </c>
      <c r="F1493" s="149">
        <v>493034</v>
      </c>
      <c r="G1493" s="149">
        <v>53620</v>
      </c>
      <c r="H1493" s="150" t="str">
        <f t="shared" si="69"/>
        <v>5</v>
      </c>
      <c r="I1493" s="150" t="str">
        <f t="shared" si="70"/>
        <v>53</v>
      </c>
      <c r="J1493" s="150" t="str">
        <f t="shared" si="71"/>
        <v>536</v>
      </c>
      <c r="K1493" s="150" t="s">
        <v>9295</v>
      </c>
      <c r="L1493" s="149" t="s">
        <v>2633</v>
      </c>
      <c r="M1493" s="151">
        <v>434.88</v>
      </c>
    </row>
    <row r="1494" spans="1:13" s="149" customFormat="1" x14ac:dyDescent="0.25">
      <c r="A1494" s="149" t="s">
        <v>7639</v>
      </c>
      <c r="B1494" s="149" t="s">
        <v>2634</v>
      </c>
      <c r="C1494" s="149">
        <v>11</v>
      </c>
      <c r="D1494" s="149">
        <v>365</v>
      </c>
      <c r="E1494" s="149">
        <v>0</v>
      </c>
      <c r="F1494" s="149">
        <v>493034</v>
      </c>
      <c r="G1494" s="149">
        <v>55630</v>
      </c>
      <c r="H1494" s="150" t="str">
        <f t="shared" si="69"/>
        <v>5</v>
      </c>
      <c r="I1494" s="150" t="str">
        <f t="shared" si="70"/>
        <v>55</v>
      </c>
      <c r="J1494" s="150" t="str">
        <f t="shared" si="71"/>
        <v>556</v>
      </c>
      <c r="K1494" s="150" t="s">
        <v>8254</v>
      </c>
      <c r="L1494" s="149" t="s">
        <v>2635</v>
      </c>
      <c r="M1494" s="151">
        <v>10</v>
      </c>
    </row>
    <row r="1495" spans="1:13" s="149" customFormat="1" x14ac:dyDescent="0.25">
      <c r="A1495" s="149" t="s">
        <v>7639</v>
      </c>
      <c r="B1495" s="149" t="s">
        <v>2636</v>
      </c>
      <c r="C1495" s="149">
        <v>11</v>
      </c>
      <c r="D1495" s="149">
        <v>365</v>
      </c>
      <c r="E1495" s="149">
        <v>0</v>
      </c>
      <c r="F1495" s="149">
        <v>493035</v>
      </c>
      <c r="G1495" s="149">
        <v>52105</v>
      </c>
      <c r="H1495" s="150" t="str">
        <f t="shared" si="69"/>
        <v>5</v>
      </c>
      <c r="I1495" s="150" t="str">
        <f t="shared" si="70"/>
        <v>52</v>
      </c>
      <c r="J1495" s="150" t="str">
        <f t="shared" si="71"/>
        <v>521</v>
      </c>
      <c r="K1495" s="150" t="s">
        <v>9296</v>
      </c>
      <c r="L1495" s="149" t="s">
        <v>2637</v>
      </c>
      <c r="M1495" s="151">
        <v>67315</v>
      </c>
    </row>
    <row r="1496" spans="1:13" s="149" customFormat="1" x14ac:dyDescent="0.25">
      <c r="A1496" s="149" t="s">
        <v>7639</v>
      </c>
      <c r="B1496" s="149" t="s">
        <v>2638</v>
      </c>
      <c r="C1496" s="149">
        <v>11</v>
      </c>
      <c r="D1496" s="149">
        <v>365</v>
      </c>
      <c r="E1496" s="149">
        <v>0</v>
      </c>
      <c r="F1496" s="149">
        <v>493035</v>
      </c>
      <c r="G1496" s="149">
        <v>52350</v>
      </c>
      <c r="H1496" s="150" t="str">
        <f t="shared" si="69"/>
        <v>5</v>
      </c>
      <c r="I1496" s="150" t="str">
        <f t="shared" si="70"/>
        <v>52</v>
      </c>
      <c r="J1496" s="150" t="str">
        <f t="shared" si="71"/>
        <v>523</v>
      </c>
      <c r="K1496" s="150" t="s">
        <v>7858</v>
      </c>
      <c r="L1496" s="149" t="s">
        <v>2639</v>
      </c>
      <c r="M1496" s="151">
        <v>3800</v>
      </c>
    </row>
    <row r="1497" spans="1:13" s="149" customFormat="1" x14ac:dyDescent="0.25">
      <c r="A1497" s="149" t="s">
        <v>7639</v>
      </c>
      <c r="B1497" s="149" t="s">
        <v>2640</v>
      </c>
      <c r="C1497" s="149">
        <v>11</v>
      </c>
      <c r="D1497" s="149">
        <v>365</v>
      </c>
      <c r="E1497" s="149">
        <v>0</v>
      </c>
      <c r="F1497" s="149">
        <v>493035</v>
      </c>
      <c r="G1497" s="149">
        <v>52360</v>
      </c>
      <c r="H1497" s="150" t="str">
        <f t="shared" si="69"/>
        <v>5</v>
      </c>
      <c r="I1497" s="150" t="str">
        <f t="shared" si="70"/>
        <v>52</v>
      </c>
      <c r="J1497" s="150" t="str">
        <f t="shared" si="71"/>
        <v>523</v>
      </c>
      <c r="K1497" s="150" t="s">
        <v>7877</v>
      </c>
      <c r="L1497" s="149" t="s">
        <v>2641</v>
      </c>
      <c r="M1497" s="151">
        <v>1000</v>
      </c>
    </row>
    <row r="1498" spans="1:13" s="149" customFormat="1" x14ac:dyDescent="0.25">
      <c r="A1498" s="149" t="s">
        <v>7639</v>
      </c>
      <c r="B1498" s="149" t="s">
        <v>2642</v>
      </c>
      <c r="C1498" s="149">
        <v>11</v>
      </c>
      <c r="D1498" s="149">
        <v>365</v>
      </c>
      <c r="E1498" s="149">
        <v>0</v>
      </c>
      <c r="F1498" s="149">
        <v>493035</v>
      </c>
      <c r="G1498" s="149">
        <v>53220</v>
      </c>
      <c r="H1498" s="150" t="str">
        <f t="shared" si="69"/>
        <v>5</v>
      </c>
      <c r="I1498" s="150" t="str">
        <f t="shared" si="70"/>
        <v>53</v>
      </c>
      <c r="J1498" s="150" t="str">
        <f t="shared" si="71"/>
        <v>532</v>
      </c>
      <c r="K1498" s="150" t="s">
        <v>9297</v>
      </c>
      <c r="L1498" s="149" t="s">
        <v>2643</v>
      </c>
      <c r="M1498" s="151">
        <v>13934.21</v>
      </c>
    </row>
    <row r="1499" spans="1:13" s="149" customFormat="1" x14ac:dyDescent="0.25">
      <c r="A1499" s="149" t="s">
        <v>7639</v>
      </c>
      <c r="B1499" s="149" t="s">
        <v>2644</v>
      </c>
      <c r="C1499" s="149">
        <v>11</v>
      </c>
      <c r="D1499" s="149">
        <v>365</v>
      </c>
      <c r="E1499" s="149">
        <v>0</v>
      </c>
      <c r="F1499" s="149">
        <v>493035</v>
      </c>
      <c r="G1499" s="149">
        <v>53320</v>
      </c>
      <c r="H1499" s="150" t="str">
        <f t="shared" si="69"/>
        <v>5</v>
      </c>
      <c r="I1499" s="150" t="str">
        <f t="shared" si="70"/>
        <v>53</v>
      </c>
      <c r="J1499" s="150" t="str">
        <f t="shared" si="71"/>
        <v>533</v>
      </c>
      <c r="K1499" s="150" t="s">
        <v>9298</v>
      </c>
      <c r="L1499" s="149" t="s">
        <v>2645</v>
      </c>
      <c r="M1499" s="151">
        <v>4235.53</v>
      </c>
    </row>
    <row r="1500" spans="1:13" s="149" customFormat="1" x14ac:dyDescent="0.25">
      <c r="A1500" s="149" t="s">
        <v>7639</v>
      </c>
      <c r="B1500" s="149" t="s">
        <v>2646</v>
      </c>
      <c r="C1500" s="149">
        <v>11</v>
      </c>
      <c r="D1500" s="149">
        <v>365</v>
      </c>
      <c r="E1500" s="149">
        <v>0</v>
      </c>
      <c r="F1500" s="149">
        <v>493035</v>
      </c>
      <c r="G1500" s="149">
        <v>53340</v>
      </c>
      <c r="H1500" s="150" t="str">
        <f t="shared" si="69"/>
        <v>5</v>
      </c>
      <c r="I1500" s="150" t="str">
        <f t="shared" si="70"/>
        <v>53</v>
      </c>
      <c r="J1500" s="150" t="str">
        <f t="shared" si="71"/>
        <v>533</v>
      </c>
      <c r="K1500" s="150" t="s">
        <v>9299</v>
      </c>
      <c r="L1500" s="149" t="s">
        <v>2647</v>
      </c>
      <c r="M1500" s="151">
        <v>990.57</v>
      </c>
    </row>
    <row r="1501" spans="1:13" s="149" customFormat="1" x14ac:dyDescent="0.25">
      <c r="A1501" s="149" t="s">
        <v>7639</v>
      </c>
      <c r="B1501" s="149" t="s">
        <v>2648</v>
      </c>
      <c r="C1501" s="149">
        <v>11</v>
      </c>
      <c r="D1501" s="149">
        <v>365</v>
      </c>
      <c r="E1501" s="149">
        <v>0</v>
      </c>
      <c r="F1501" s="149">
        <v>493035</v>
      </c>
      <c r="G1501" s="149">
        <v>53420</v>
      </c>
      <c r="H1501" s="150" t="str">
        <f t="shared" si="69"/>
        <v>5</v>
      </c>
      <c r="I1501" s="150" t="str">
        <f t="shared" si="70"/>
        <v>53</v>
      </c>
      <c r="J1501" s="150" t="str">
        <f t="shared" si="71"/>
        <v>534</v>
      </c>
      <c r="K1501" s="150" t="s">
        <v>9300</v>
      </c>
      <c r="L1501" s="149" t="s">
        <v>2649</v>
      </c>
      <c r="M1501" s="151">
        <v>25240.73</v>
      </c>
    </row>
    <row r="1502" spans="1:13" s="149" customFormat="1" x14ac:dyDescent="0.25">
      <c r="A1502" s="149" t="s">
        <v>7639</v>
      </c>
      <c r="B1502" s="149" t="s">
        <v>2650</v>
      </c>
      <c r="C1502" s="149">
        <v>11</v>
      </c>
      <c r="D1502" s="149">
        <v>365</v>
      </c>
      <c r="E1502" s="149">
        <v>0</v>
      </c>
      <c r="F1502" s="149">
        <v>493035</v>
      </c>
      <c r="G1502" s="149">
        <v>53520</v>
      </c>
      <c r="H1502" s="150" t="str">
        <f t="shared" si="69"/>
        <v>5</v>
      </c>
      <c r="I1502" s="150" t="str">
        <f t="shared" si="70"/>
        <v>53</v>
      </c>
      <c r="J1502" s="150" t="str">
        <f t="shared" si="71"/>
        <v>535</v>
      </c>
      <c r="K1502" s="150" t="s">
        <v>9301</v>
      </c>
      <c r="L1502" s="149" t="s">
        <v>2651</v>
      </c>
      <c r="M1502" s="151">
        <v>34.159999999999997</v>
      </c>
    </row>
    <row r="1503" spans="1:13" s="149" customFormat="1" x14ac:dyDescent="0.25">
      <c r="A1503" s="149" t="s">
        <v>7639</v>
      </c>
      <c r="B1503" s="149" t="s">
        <v>2652</v>
      </c>
      <c r="C1503" s="149">
        <v>11</v>
      </c>
      <c r="D1503" s="149">
        <v>365</v>
      </c>
      <c r="E1503" s="149">
        <v>0</v>
      </c>
      <c r="F1503" s="149">
        <v>493035</v>
      </c>
      <c r="G1503" s="149">
        <v>53620</v>
      </c>
      <c r="H1503" s="150" t="str">
        <f t="shared" si="69"/>
        <v>5</v>
      </c>
      <c r="I1503" s="150" t="str">
        <f t="shared" si="70"/>
        <v>53</v>
      </c>
      <c r="J1503" s="150" t="str">
        <f t="shared" si="71"/>
        <v>536</v>
      </c>
      <c r="K1503" s="150" t="s">
        <v>9302</v>
      </c>
      <c r="L1503" s="149" t="s">
        <v>2653</v>
      </c>
      <c r="M1503" s="151">
        <v>1363.55</v>
      </c>
    </row>
    <row r="1504" spans="1:13" s="149" customFormat="1" x14ac:dyDescent="0.25">
      <c r="A1504" s="149" t="s">
        <v>7639</v>
      </c>
      <c r="B1504" s="149" t="s">
        <v>2654</v>
      </c>
      <c r="C1504" s="149">
        <v>11</v>
      </c>
      <c r="D1504" s="149">
        <v>365</v>
      </c>
      <c r="E1504" s="149">
        <v>0</v>
      </c>
      <c r="F1504" s="149">
        <v>493035</v>
      </c>
      <c r="G1504" s="149">
        <v>54300</v>
      </c>
      <c r="H1504" s="150" t="str">
        <f t="shared" si="69"/>
        <v>5</v>
      </c>
      <c r="I1504" s="150" t="str">
        <f t="shared" si="70"/>
        <v>54</v>
      </c>
      <c r="J1504" s="150" t="str">
        <f t="shared" si="71"/>
        <v>543</v>
      </c>
      <c r="K1504" s="150" t="s">
        <v>7966</v>
      </c>
      <c r="L1504" s="149" t="s">
        <v>2655</v>
      </c>
      <c r="M1504" s="151">
        <v>2500</v>
      </c>
    </row>
    <row r="1505" spans="1:13" s="149" customFormat="1" x14ac:dyDescent="0.25">
      <c r="A1505" s="149" t="s">
        <v>7639</v>
      </c>
      <c r="B1505" s="149" t="s">
        <v>2656</v>
      </c>
      <c r="C1505" s="149">
        <v>11</v>
      </c>
      <c r="D1505" s="149">
        <v>365</v>
      </c>
      <c r="E1505" s="149">
        <v>0</v>
      </c>
      <c r="F1505" s="149">
        <v>493035</v>
      </c>
      <c r="G1505" s="149">
        <v>55300</v>
      </c>
      <c r="H1505" s="150" t="str">
        <f t="shared" si="69"/>
        <v>5</v>
      </c>
      <c r="I1505" s="150" t="str">
        <f t="shared" si="70"/>
        <v>55</v>
      </c>
      <c r="J1505" s="150" t="str">
        <f t="shared" si="71"/>
        <v>553</v>
      </c>
      <c r="K1505" s="150" t="s">
        <v>8095</v>
      </c>
      <c r="L1505" s="149" t="s">
        <v>2657</v>
      </c>
      <c r="M1505" s="151">
        <v>55</v>
      </c>
    </row>
    <row r="1506" spans="1:13" s="149" customFormat="1" x14ac:dyDescent="0.25">
      <c r="A1506" s="149" t="s">
        <v>7639</v>
      </c>
      <c r="B1506" s="149" t="s">
        <v>2658</v>
      </c>
      <c r="C1506" s="149">
        <v>11</v>
      </c>
      <c r="D1506" s="149">
        <v>370</v>
      </c>
      <c r="E1506" s="149">
        <v>0</v>
      </c>
      <c r="F1506" s="149">
        <v>708300</v>
      </c>
      <c r="G1506" s="149">
        <v>52105</v>
      </c>
      <c r="H1506" s="150" t="str">
        <f t="shared" si="69"/>
        <v>5</v>
      </c>
      <c r="I1506" s="150" t="str">
        <f t="shared" si="70"/>
        <v>52</v>
      </c>
      <c r="J1506" s="150" t="str">
        <f t="shared" si="71"/>
        <v>521</v>
      </c>
      <c r="K1506" s="150" t="s">
        <v>9303</v>
      </c>
      <c r="L1506" s="149" t="s">
        <v>2659</v>
      </c>
      <c r="M1506" s="151">
        <v>9529.2000000000007</v>
      </c>
    </row>
    <row r="1507" spans="1:13" s="149" customFormat="1" x14ac:dyDescent="0.25">
      <c r="A1507" s="149" t="s">
        <v>7639</v>
      </c>
      <c r="B1507" s="149" t="s">
        <v>2660</v>
      </c>
      <c r="C1507" s="149">
        <v>11</v>
      </c>
      <c r="D1507" s="149">
        <v>370</v>
      </c>
      <c r="E1507" s="149">
        <v>0</v>
      </c>
      <c r="F1507" s="149">
        <v>708300</v>
      </c>
      <c r="G1507" s="149">
        <v>52130</v>
      </c>
      <c r="H1507" s="150" t="str">
        <f t="shared" si="69"/>
        <v>5</v>
      </c>
      <c r="I1507" s="150" t="str">
        <f t="shared" si="70"/>
        <v>52</v>
      </c>
      <c r="J1507" s="150" t="str">
        <f t="shared" si="71"/>
        <v>521</v>
      </c>
      <c r="K1507" s="150" t="s">
        <v>9304</v>
      </c>
      <c r="L1507" s="149" t="s">
        <v>2661</v>
      </c>
      <c r="M1507" s="151">
        <v>18532.310000000001</v>
      </c>
    </row>
    <row r="1508" spans="1:13" s="149" customFormat="1" x14ac:dyDescent="0.25">
      <c r="A1508" s="149" t="s">
        <v>7639</v>
      </c>
      <c r="B1508" s="149" t="s">
        <v>9599</v>
      </c>
      <c r="C1508" s="149">
        <v>11</v>
      </c>
      <c r="D1508" s="149">
        <v>370</v>
      </c>
      <c r="E1508" s="149">
        <v>0</v>
      </c>
      <c r="F1508" s="149">
        <v>708300</v>
      </c>
      <c r="G1508" s="149">
        <v>52300</v>
      </c>
      <c r="H1508" s="150" t="str">
        <f t="shared" si="69"/>
        <v>5</v>
      </c>
      <c r="I1508" s="150" t="str">
        <f t="shared" si="70"/>
        <v>52</v>
      </c>
      <c r="J1508" s="150" t="str">
        <f t="shared" si="71"/>
        <v>523</v>
      </c>
      <c r="K1508" s="150" t="s">
        <v>7832</v>
      </c>
      <c r="L1508" s="149" t="s">
        <v>5273</v>
      </c>
      <c r="M1508" s="151">
        <v>0</v>
      </c>
    </row>
    <row r="1509" spans="1:13" s="149" customFormat="1" x14ac:dyDescent="0.25">
      <c r="A1509" s="149" t="s">
        <v>7639</v>
      </c>
      <c r="B1509" s="149" t="s">
        <v>2662</v>
      </c>
      <c r="C1509" s="149">
        <v>11</v>
      </c>
      <c r="D1509" s="149">
        <v>370</v>
      </c>
      <c r="E1509" s="149">
        <v>0</v>
      </c>
      <c r="F1509" s="149">
        <v>708300</v>
      </c>
      <c r="G1509" s="149">
        <v>52360</v>
      </c>
      <c r="H1509" s="150" t="str">
        <f t="shared" si="69"/>
        <v>5</v>
      </c>
      <c r="I1509" s="150" t="str">
        <f t="shared" si="70"/>
        <v>52</v>
      </c>
      <c r="J1509" s="150" t="str">
        <f t="shared" si="71"/>
        <v>523</v>
      </c>
      <c r="K1509" s="150" t="s">
        <v>7878</v>
      </c>
      <c r="L1509" s="149" t="s">
        <v>2663</v>
      </c>
      <c r="M1509" s="151">
        <v>24000</v>
      </c>
    </row>
    <row r="1510" spans="1:13" s="149" customFormat="1" x14ac:dyDescent="0.25">
      <c r="A1510" s="149" t="s">
        <v>7639</v>
      </c>
      <c r="B1510" s="149" t="s">
        <v>2664</v>
      </c>
      <c r="C1510" s="149">
        <v>11</v>
      </c>
      <c r="D1510" s="149">
        <v>370</v>
      </c>
      <c r="E1510" s="149">
        <v>0</v>
      </c>
      <c r="F1510" s="149">
        <v>708300</v>
      </c>
      <c r="G1510" s="149">
        <v>53220</v>
      </c>
      <c r="H1510" s="150" t="str">
        <f t="shared" si="69"/>
        <v>5</v>
      </c>
      <c r="I1510" s="150" t="str">
        <f t="shared" si="70"/>
        <v>53</v>
      </c>
      <c r="J1510" s="150" t="str">
        <f t="shared" si="71"/>
        <v>532</v>
      </c>
      <c r="K1510" s="150" t="s">
        <v>9305</v>
      </c>
      <c r="L1510" s="149" t="s">
        <v>2665</v>
      </c>
      <c r="M1510" s="151">
        <v>5808.73</v>
      </c>
    </row>
    <row r="1511" spans="1:13" s="149" customFormat="1" x14ac:dyDescent="0.25">
      <c r="A1511" s="149" t="s">
        <v>7639</v>
      </c>
      <c r="B1511" s="149" t="s">
        <v>2666</v>
      </c>
      <c r="C1511" s="149">
        <v>11</v>
      </c>
      <c r="D1511" s="149">
        <v>370</v>
      </c>
      <c r="E1511" s="149">
        <v>0</v>
      </c>
      <c r="F1511" s="149">
        <v>708300</v>
      </c>
      <c r="G1511" s="149">
        <v>53320</v>
      </c>
      <c r="H1511" s="150" t="str">
        <f t="shared" si="69"/>
        <v>5</v>
      </c>
      <c r="I1511" s="150" t="str">
        <f t="shared" si="70"/>
        <v>53</v>
      </c>
      <c r="J1511" s="150" t="str">
        <f t="shared" si="71"/>
        <v>533</v>
      </c>
      <c r="K1511" s="150" t="s">
        <v>9306</v>
      </c>
      <c r="L1511" s="149" t="s">
        <v>2667</v>
      </c>
      <c r="M1511" s="151">
        <v>3227.81</v>
      </c>
    </row>
    <row r="1512" spans="1:13" s="149" customFormat="1" x14ac:dyDescent="0.25">
      <c r="A1512" s="149" t="s">
        <v>7639</v>
      </c>
      <c r="B1512" s="149" t="s">
        <v>2668</v>
      </c>
      <c r="C1512" s="149">
        <v>11</v>
      </c>
      <c r="D1512" s="149">
        <v>370</v>
      </c>
      <c r="E1512" s="149">
        <v>0</v>
      </c>
      <c r="F1512" s="149">
        <v>708300</v>
      </c>
      <c r="G1512" s="149">
        <v>53340</v>
      </c>
      <c r="H1512" s="150" t="str">
        <f t="shared" si="69"/>
        <v>5</v>
      </c>
      <c r="I1512" s="150" t="str">
        <f t="shared" si="70"/>
        <v>53</v>
      </c>
      <c r="J1512" s="150" t="str">
        <f t="shared" si="71"/>
        <v>533</v>
      </c>
      <c r="K1512" s="150" t="s">
        <v>9307</v>
      </c>
      <c r="L1512" s="149" t="s">
        <v>2669</v>
      </c>
      <c r="M1512" s="151">
        <v>754.89</v>
      </c>
    </row>
    <row r="1513" spans="1:13" s="149" customFormat="1" x14ac:dyDescent="0.25">
      <c r="A1513" s="149" t="s">
        <v>7639</v>
      </c>
      <c r="B1513" s="149" t="s">
        <v>2670</v>
      </c>
      <c r="C1513" s="149">
        <v>11</v>
      </c>
      <c r="D1513" s="149">
        <v>370</v>
      </c>
      <c r="E1513" s="149">
        <v>0</v>
      </c>
      <c r="F1513" s="149">
        <v>708300</v>
      </c>
      <c r="G1513" s="149">
        <v>53420</v>
      </c>
      <c r="H1513" s="150" t="str">
        <f t="shared" si="69"/>
        <v>5</v>
      </c>
      <c r="I1513" s="150" t="str">
        <f t="shared" si="70"/>
        <v>53</v>
      </c>
      <c r="J1513" s="150" t="str">
        <f t="shared" si="71"/>
        <v>534</v>
      </c>
      <c r="K1513" s="150" t="s">
        <v>9308</v>
      </c>
      <c r="L1513" s="149" t="s">
        <v>2671</v>
      </c>
      <c r="M1513" s="151">
        <v>6250.17</v>
      </c>
    </row>
    <row r="1514" spans="1:13" s="149" customFormat="1" x14ac:dyDescent="0.25">
      <c r="A1514" s="149" t="s">
        <v>7639</v>
      </c>
      <c r="B1514" s="149" t="s">
        <v>2672</v>
      </c>
      <c r="C1514" s="149">
        <v>11</v>
      </c>
      <c r="D1514" s="149">
        <v>370</v>
      </c>
      <c r="E1514" s="149">
        <v>0</v>
      </c>
      <c r="F1514" s="149">
        <v>708300</v>
      </c>
      <c r="G1514" s="149">
        <v>53520</v>
      </c>
      <c r="H1514" s="150" t="str">
        <f t="shared" si="69"/>
        <v>5</v>
      </c>
      <c r="I1514" s="150" t="str">
        <f t="shared" si="70"/>
        <v>53</v>
      </c>
      <c r="J1514" s="150" t="str">
        <f t="shared" si="71"/>
        <v>535</v>
      </c>
      <c r="K1514" s="150" t="s">
        <v>9309</v>
      </c>
      <c r="L1514" s="149" t="s">
        <v>2673</v>
      </c>
      <c r="M1514" s="151">
        <v>26.03</v>
      </c>
    </row>
    <row r="1515" spans="1:13" s="149" customFormat="1" x14ac:dyDescent="0.25">
      <c r="A1515" s="149" t="s">
        <v>7639</v>
      </c>
      <c r="B1515" s="149" t="s">
        <v>2674</v>
      </c>
      <c r="C1515" s="149">
        <v>11</v>
      </c>
      <c r="D1515" s="149">
        <v>370</v>
      </c>
      <c r="E1515" s="149">
        <v>0</v>
      </c>
      <c r="F1515" s="149">
        <v>708300</v>
      </c>
      <c r="G1515" s="149">
        <v>53620</v>
      </c>
      <c r="H1515" s="150" t="str">
        <f t="shared" si="69"/>
        <v>5</v>
      </c>
      <c r="I1515" s="150" t="str">
        <f t="shared" si="70"/>
        <v>53</v>
      </c>
      <c r="J1515" s="150" t="str">
        <f t="shared" si="71"/>
        <v>536</v>
      </c>
      <c r="K1515" s="150" t="s">
        <v>9310</v>
      </c>
      <c r="L1515" s="149" t="s">
        <v>2675</v>
      </c>
      <c r="M1515" s="151">
        <v>984.38</v>
      </c>
    </row>
    <row r="1516" spans="1:13" s="149" customFormat="1" x14ac:dyDescent="0.25">
      <c r="A1516" s="149" t="s">
        <v>7639</v>
      </c>
      <c r="B1516" s="149" t="s">
        <v>2676</v>
      </c>
      <c r="C1516" s="149">
        <v>11</v>
      </c>
      <c r="D1516" s="149">
        <v>370</v>
      </c>
      <c r="E1516" s="149">
        <v>0</v>
      </c>
      <c r="F1516" s="149">
        <v>708300</v>
      </c>
      <c r="G1516" s="149">
        <v>54210</v>
      </c>
      <c r="H1516" s="150" t="str">
        <f t="shared" si="69"/>
        <v>5</v>
      </c>
      <c r="I1516" s="150" t="str">
        <f t="shared" si="70"/>
        <v>54</v>
      </c>
      <c r="J1516" s="150" t="str">
        <f t="shared" si="71"/>
        <v>542</v>
      </c>
      <c r="K1516" s="150" t="s">
        <v>7913</v>
      </c>
      <c r="L1516" s="149" t="s">
        <v>2677</v>
      </c>
      <c r="M1516" s="151">
        <v>0</v>
      </c>
    </row>
    <row r="1517" spans="1:13" s="149" customFormat="1" x14ac:dyDescent="0.25">
      <c r="A1517" s="149" t="s">
        <v>7639</v>
      </c>
      <c r="B1517" s="149" t="s">
        <v>2678</v>
      </c>
      <c r="C1517" s="149">
        <v>11</v>
      </c>
      <c r="D1517" s="149">
        <v>370</v>
      </c>
      <c r="E1517" s="149">
        <v>0</v>
      </c>
      <c r="F1517" s="149">
        <v>708300</v>
      </c>
      <c r="G1517" s="149">
        <v>54300</v>
      </c>
      <c r="H1517" s="150" t="str">
        <f t="shared" si="69"/>
        <v>5</v>
      </c>
      <c r="I1517" s="150" t="str">
        <f t="shared" si="70"/>
        <v>54</v>
      </c>
      <c r="J1517" s="150" t="str">
        <f t="shared" si="71"/>
        <v>543</v>
      </c>
      <c r="K1517" s="150" t="s">
        <v>7967</v>
      </c>
      <c r="L1517" s="149" t="s">
        <v>2679</v>
      </c>
      <c r="M1517" s="151">
        <v>3000</v>
      </c>
    </row>
    <row r="1518" spans="1:13" s="149" customFormat="1" x14ac:dyDescent="0.25">
      <c r="A1518" s="149" t="s">
        <v>7639</v>
      </c>
      <c r="B1518" s="149" t="s">
        <v>2680</v>
      </c>
      <c r="C1518" s="149">
        <v>11</v>
      </c>
      <c r="D1518" s="149">
        <v>370</v>
      </c>
      <c r="E1518" s="149">
        <v>0</v>
      </c>
      <c r="F1518" s="149">
        <v>708300</v>
      </c>
      <c r="G1518" s="149">
        <v>55100</v>
      </c>
      <c r="H1518" s="150" t="str">
        <f t="shared" si="69"/>
        <v>5</v>
      </c>
      <c r="I1518" s="150" t="str">
        <f t="shared" si="70"/>
        <v>55</v>
      </c>
      <c r="J1518" s="150" t="str">
        <f t="shared" si="71"/>
        <v>551</v>
      </c>
      <c r="K1518" s="150" t="s">
        <v>7998</v>
      </c>
      <c r="L1518" s="149" t="s">
        <v>2681</v>
      </c>
      <c r="M1518" s="151">
        <v>2500</v>
      </c>
    </row>
    <row r="1519" spans="1:13" s="149" customFormat="1" x14ac:dyDescent="0.25">
      <c r="A1519" s="149" t="s">
        <v>7639</v>
      </c>
      <c r="B1519" s="149" t="s">
        <v>2682</v>
      </c>
      <c r="C1519" s="149">
        <v>11</v>
      </c>
      <c r="D1519" s="149">
        <v>370</v>
      </c>
      <c r="E1519" s="149">
        <v>0</v>
      </c>
      <c r="F1519" s="149">
        <v>708300</v>
      </c>
      <c r="G1519" s="149">
        <v>55105</v>
      </c>
      <c r="H1519" s="150" t="str">
        <f t="shared" si="69"/>
        <v>5</v>
      </c>
      <c r="I1519" s="150" t="str">
        <f t="shared" si="70"/>
        <v>55</v>
      </c>
      <c r="J1519" s="150" t="str">
        <f t="shared" si="71"/>
        <v>551</v>
      </c>
      <c r="K1519" s="150" t="s">
        <v>8015</v>
      </c>
      <c r="L1519" s="149" t="s">
        <v>2683</v>
      </c>
      <c r="M1519" s="151">
        <v>58658</v>
      </c>
    </row>
    <row r="1520" spans="1:13" s="149" customFormat="1" x14ac:dyDescent="0.25">
      <c r="A1520" s="149" t="s">
        <v>7639</v>
      </c>
      <c r="B1520" s="149" t="s">
        <v>2684</v>
      </c>
      <c r="C1520" s="149">
        <v>11</v>
      </c>
      <c r="D1520" s="149">
        <v>370</v>
      </c>
      <c r="E1520" s="149">
        <v>0</v>
      </c>
      <c r="F1520" s="149">
        <v>708300</v>
      </c>
      <c r="G1520" s="149">
        <v>55200</v>
      </c>
      <c r="H1520" s="150" t="str">
        <f t="shared" si="69"/>
        <v>5</v>
      </c>
      <c r="I1520" s="150" t="str">
        <f t="shared" si="70"/>
        <v>55</v>
      </c>
      <c r="J1520" s="150" t="str">
        <f t="shared" si="71"/>
        <v>552</v>
      </c>
      <c r="K1520" s="150" t="s">
        <v>8060</v>
      </c>
      <c r="L1520" s="149" t="s">
        <v>2685</v>
      </c>
      <c r="M1520" s="151">
        <v>91.52</v>
      </c>
    </row>
    <row r="1521" spans="1:13" s="149" customFormat="1" x14ac:dyDescent="0.25">
      <c r="A1521" s="149" t="s">
        <v>7639</v>
      </c>
      <c r="B1521" s="149" t="s">
        <v>2686</v>
      </c>
      <c r="C1521" s="149">
        <v>11</v>
      </c>
      <c r="D1521" s="149">
        <v>370</v>
      </c>
      <c r="E1521" s="149">
        <v>0</v>
      </c>
      <c r="F1521" s="149">
        <v>708300</v>
      </c>
      <c r="G1521" s="149">
        <v>55600</v>
      </c>
      <c r="H1521" s="150" t="str">
        <f t="shared" si="69"/>
        <v>5</v>
      </c>
      <c r="I1521" s="150" t="str">
        <f t="shared" si="70"/>
        <v>55</v>
      </c>
      <c r="J1521" s="150" t="str">
        <f t="shared" si="71"/>
        <v>556</v>
      </c>
      <c r="K1521" s="150" t="s">
        <v>8153</v>
      </c>
      <c r="L1521" s="149" t="s">
        <v>2687</v>
      </c>
      <c r="M1521" s="151">
        <v>3000</v>
      </c>
    </row>
    <row r="1522" spans="1:13" s="149" customFormat="1" x14ac:dyDescent="0.25">
      <c r="A1522" s="149" t="s">
        <v>7639</v>
      </c>
      <c r="B1522" s="149" t="s">
        <v>2688</v>
      </c>
      <c r="C1522" s="149">
        <v>11</v>
      </c>
      <c r="D1522" s="149">
        <v>370</v>
      </c>
      <c r="E1522" s="149">
        <v>0</v>
      </c>
      <c r="F1522" s="149">
        <v>708300</v>
      </c>
      <c r="G1522" s="149">
        <v>55630</v>
      </c>
      <c r="H1522" s="150" t="str">
        <f t="shared" si="69"/>
        <v>5</v>
      </c>
      <c r="I1522" s="150" t="str">
        <f t="shared" si="70"/>
        <v>55</v>
      </c>
      <c r="J1522" s="150" t="str">
        <f t="shared" si="71"/>
        <v>556</v>
      </c>
      <c r="K1522" s="150" t="s">
        <v>8255</v>
      </c>
      <c r="L1522" s="149" t="s">
        <v>2689</v>
      </c>
      <c r="M1522" s="151">
        <v>100.3</v>
      </c>
    </row>
    <row r="1523" spans="1:13" s="149" customFormat="1" x14ac:dyDescent="0.25">
      <c r="A1523" s="149" t="s">
        <v>7639</v>
      </c>
      <c r="B1523" s="149" t="s">
        <v>2690</v>
      </c>
      <c r="C1523" s="149">
        <v>11</v>
      </c>
      <c r="D1523" s="149">
        <v>370</v>
      </c>
      <c r="E1523" s="149">
        <v>0</v>
      </c>
      <c r="F1523" s="149">
        <v>708300</v>
      </c>
      <c r="G1523" s="149">
        <v>55635</v>
      </c>
      <c r="H1523" s="150" t="str">
        <f t="shared" si="69"/>
        <v>5</v>
      </c>
      <c r="I1523" s="150" t="str">
        <f t="shared" si="70"/>
        <v>55</v>
      </c>
      <c r="J1523" s="150" t="str">
        <f t="shared" si="71"/>
        <v>556</v>
      </c>
      <c r="K1523" s="150" t="s">
        <v>8282</v>
      </c>
      <c r="L1523" s="149" t="s">
        <v>2691</v>
      </c>
      <c r="M1523" s="151">
        <v>3000</v>
      </c>
    </row>
    <row r="1524" spans="1:13" s="149" customFormat="1" x14ac:dyDescent="0.25">
      <c r="A1524" s="149" t="s">
        <v>7639</v>
      </c>
      <c r="B1524" s="149" t="s">
        <v>9600</v>
      </c>
      <c r="C1524" s="149">
        <v>11</v>
      </c>
      <c r="D1524" s="149">
        <v>370</v>
      </c>
      <c r="E1524" s="149">
        <v>0</v>
      </c>
      <c r="F1524" s="149">
        <v>708300</v>
      </c>
      <c r="G1524" s="149">
        <v>55820</v>
      </c>
      <c r="H1524" s="150" t="str">
        <f t="shared" si="69"/>
        <v>5</v>
      </c>
      <c r="I1524" s="150" t="str">
        <f t="shared" si="70"/>
        <v>55</v>
      </c>
      <c r="J1524" s="150" t="str">
        <f t="shared" si="71"/>
        <v>558</v>
      </c>
      <c r="K1524" s="150" t="s">
        <v>8343</v>
      </c>
      <c r="L1524" s="149" t="s">
        <v>9601</v>
      </c>
      <c r="M1524" s="151">
        <v>0</v>
      </c>
    </row>
    <row r="1525" spans="1:13" s="149" customFormat="1" x14ac:dyDescent="0.25">
      <c r="A1525" s="149" t="s">
        <v>7639</v>
      </c>
      <c r="B1525" s="149" t="s">
        <v>2692</v>
      </c>
      <c r="C1525" s="149">
        <v>11</v>
      </c>
      <c r="D1525" s="149">
        <v>370</v>
      </c>
      <c r="E1525" s="149">
        <v>0</v>
      </c>
      <c r="F1525" s="149">
        <v>708300</v>
      </c>
      <c r="G1525" s="149">
        <v>57350</v>
      </c>
      <c r="H1525" s="150" t="str">
        <f t="shared" si="69"/>
        <v>5</v>
      </c>
      <c r="I1525" s="150" t="str">
        <f t="shared" si="70"/>
        <v>57</v>
      </c>
      <c r="J1525" s="150" t="str">
        <f t="shared" si="71"/>
        <v>573</v>
      </c>
      <c r="K1525" s="150" t="s">
        <v>8390</v>
      </c>
      <c r="L1525" s="149" t="s">
        <v>2693</v>
      </c>
      <c r="M1525" s="151">
        <v>41448</v>
      </c>
    </row>
    <row r="1526" spans="1:13" s="149" customFormat="1" x14ac:dyDescent="0.25">
      <c r="A1526" s="149" t="s">
        <v>7639</v>
      </c>
      <c r="B1526" s="149" t="s">
        <v>2694</v>
      </c>
      <c r="C1526" s="149">
        <v>11</v>
      </c>
      <c r="D1526" s="149">
        <v>372</v>
      </c>
      <c r="E1526" s="149">
        <v>0</v>
      </c>
      <c r="F1526" s="149">
        <v>601000</v>
      </c>
      <c r="G1526" s="149">
        <v>51412</v>
      </c>
      <c r="H1526" s="150" t="str">
        <f t="shared" si="69"/>
        <v>5</v>
      </c>
      <c r="I1526" s="150" t="str">
        <f t="shared" si="70"/>
        <v>51</v>
      </c>
      <c r="J1526" s="150" t="str">
        <f t="shared" si="71"/>
        <v>514</v>
      </c>
      <c r="K1526" s="150" t="s">
        <v>7801</v>
      </c>
      <c r="L1526" s="149" t="s">
        <v>479</v>
      </c>
      <c r="M1526" s="151">
        <v>1663</v>
      </c>
    </row>
    <row r="1527" spans="1:13" s="149" customFormat="1" x14ac:dyDescent="0.25">
      <c r="A1527" s="149" t="s">
        <v>7639</v>
      </c>
      <c r="B1527" s="149" t="s">
        <v>2695</v>
      </c>
      <c r="C1527" s="149">
        <v>11</v>
      </c>
      <c r="D1527" s="149">
        <v>372</v>
      </c>
      <c r="E1527" s="149">
        <v>0</v>
      </c>
      <c r="F1527" s="149">
        <v>601000</v>
      </c>
      <c r="G1527" s="149">
        <v>53120</v>
      </c>
      <c r="H1527" s="150" t="str">
        <f t="shared" si="69"/>
        <v>5</v>
      </c>
      <c r="I1527" s="150" t="str">
        <f t="shared" si="70"/>
        <v>53</v>
      </c>
      <c r="J1527" s="150" t="str">
        <f t="shared" si="71"/>
        <v>531</v>
      </c>
      <c r="K1527" s="150" t="s">
        <v>9311</v>
      </c>
      <c r="L1527" s="149" t="s">
        <v>485</v>
      </c>
      <c r="M1527" s="151">
        <v>591.57000000000005</v>
      </c>
    </row>
    <row r="1528" spans="1:13" s="149" customFormat="1" x14ac:dyDescent="0.25">
      <c r="A1528" s="149" t="s">
        <v>7639</v>
      </c>
      <c r="B1528" s="149" t="s">
        <v>2696</v>
      </c>
      <c r="C1528" s="149">
        <v>11</v>
      </c>
      <c r="D1528" s="149">
        <v>372</v>
      </c>
      <c r="E1528" s="149">
        <v>0</v>
      </c>
      <c r="F1528" s="149">
        <v>601000</v>
      </c>
      <c r="G1528" s="149">
        <v>53340</v>
      </c>
      <c r="H1528" s="150" t="str">
        <f t="shared" si="69"/>
        <v>5</v>
      </c>
      <c r="I1528" s="150" t="str">
        <f t="shared" si="70"/>
        <v>53</v>
      </c>
      <c r="J1528" s="150" t="str">
        <f t="shared" si="71"/>
        <v>533</v>
      </c>
      <c r="K1528" s="150" t="s">
        <v>9312</v>
      </c>
      <c r="L1528" s="149" t="s">
        <v>491</v>
      </c>
      <c r="M1528" s="151">
        <v>53.11</v>
      </c>
    </row>
    <row r="1529" spans="1:13" s="149" customFormat="1" x14ac:dyDescent="0.25">
      <c r="A1529" s="149" t="s">
        <v>7639</v>
      </c>
      <c r="B1529" s="149" t="s">
        <v>2697</v>
      </c>
      <c r="C1529" s="149">
        <v>11</v>
      </c>
      <c r="D1529" s="149">
        <v>372</v>
      </c>
      <c r="E1529" s="149">
        <v>0</v>
      </c>
      <c r="F1529" s="149">
        <v>601000</v>
      </c>
      <c r="G1529" s="149">
        <v>53520</v>
      </c>
      <c r="H1529" s="150" t="str">
        <f t="shared" si="69"/>
        <v>5</v>
      </c>
      <c r="I1529" s="150" t="str">
        <f t="shared" si="70"/>
        <v>53</v>
      </c>
      <c r="J1529" s="150" t="str">
        <f t="shared" si="71"/>
        <v>535</v>
      </c>
      <c r="K1529" s="150" t="s">
        <v>9313</v>
      </c>
      <c r="L1529" s="149" t="s">
        <v>495</v>
      </c>
      <c r="M1529" s="151">
        <v>1.83</v>
      </c>
    </row>
    <row r="1530" spans="1:13" s="149" customFormat="1" x14ac:dyDescent="0.25">
      <c r="A1530" s="149" t="s">
        <v>7639</v>
      </c>
      <c r="B1530" s="149" t="s">
        <v>2698</v>
      </c>
      <c r="C1530" s="149">
        <v>11</v>
      </c>
      <c r="D1530" s="149">
        <v>372</v>
      </c>
      <c r="E1530" s="149">
        <v>0</v>
      </c>
      <c r="F1530" s="149">
        <v>601000</v>
      </c>
      <c r="G1530" s="149">
        <v>53620</v>
      </c>
      <c r="H1530" s="150" t="str">
        <f t="shared" si="69"/>
        <v>5</v>
      </c>
      <c r="I1530" s="150" t="str">
        <f t="shared" si="70"/>
        <v>53</v>
      </c>
      <c r="J1530" s="150" t="str">
        <f t="shared" si="71"/>
        <v>536</v>
      </c>
      <c r="K1530" s="150" t="s">
        <v>9314</v>
      </c>
      <c r="L1530" s="149" t="s">
        <v>497</v>
      </c>
      <c r="M1530" s="151">
        <v>69.260000000000005</v>
      </c>
    </row>
    <row r="1531" spans="1:13" s="149" customFormat="1" x14ac:dyDescent="0.25">
      <c r="A1531" s="149" t="s">
        <v>7639</v>
      </c>
      <c r="B1531" s="149" t="s">
        <v>2699</v>
      </c>
      <c r="C1531" s="149">
        <v>11</v>
      </c>
      <c r="D1531" s="149">
        <v>372</v>
      </c>
      <c r="E1531" s="149">
        <v>0</v>
      </c>
      <c r="F1531" s="149">
        <v>601000</v>
      </c>
      <c r="G1531" s="149">
        <v>54300</v>
      </c>
      <c r="H1531" s="150" t="str">
        <f t="shared" si="69"/>
        <v>5</v>
      </c>
      <c r="I1531" s="150" t="str">
        <f t="shared" si="70"/>
        <v>54</v>
      </c>
      <c r="J1531" s="150" t="str">
        <f t="shared" si="71"/>
        <v>543</v>
      </c>
      <c r="K1531" s="150" t="s">
        <v>7968</v>
      </c>
      <c r="L1531" s="149" t="s">
        <v>501</v>
      </c>
      <c r="M1531" s="151">
        <v>3150</v>
      </c>
    </row>
    <row r="1532" spans="1:13" s="149" customFormat="1" x14ac:dyDescent="0.25">
      <c r="A1532" s="149" t="s">
        <v>7639</v>
      </c>
      <c r="B1532" s="149" t="s">
        <v>2700</v>
      </c>
      <c r="C1532" s="149">
        <v>11</v>
      </c>
      <c r="D1532" s="149">
        <v>372</v>
      </c>
      <c r="E1532" s="149">
        <v>0</v>
      </c>
      <c r="F1532" s="149">
        <v>601000</v>
      </c>
      <c r="G1532" s="149">
        <v>55200</v>
      </c>
      <c r="H1532" s="150" t="str">
        <f t="shared" si="69"/>
        <v>5</v>
      </c>
      <c r="I1532" s="150" t="str">
        <f t="shared" si="70"/>
        <v>55</v>
      </c>
      <c r="J1532" s="150" t="str">
        <f t="shared" si="71"/>
        <v>552</v>
      </c>
      <c r="K1532" s="150" t="s">
        <v>8061</v>
      </c>
      <c r="L1532" s="149" t="s">
        <v>505</v>
      </c>
      <c r="M1532" s="151">
        <v>2000</v>
      </c>
    </row>
    <row r="1533" spans="1:13" s="149" customFormat="1" x14ac:dyDescent="0.25">
      <c r="A1533" s="149" t="s">
        <v>7639</v>
      </c>
      <c r="B1533" s="149" t="s">
        <v>2701</v>
      </c>
      <c r="C1533" s="149">
        <v>11</v>
      </c>
      <c r="D1533" s="149">
        <v>372</v>
      </c>
      <c r="E1533" s="149">
        <v>0</v>
      </c>
      <c r="F1533" s="149">
        <v>601000</v>
      </c>
      <c r="G1533" s="149">
        <v>55821</v>
      </c>
      <c r="H1533" s="150" t="str">
        <f t="shared" si="69"/>
        <v>5</v>
      </c>
      <c r="I1533" s="150" t="str">
        <f t="shared" si="70"/>
        <v>55</v>
      </c>
      <c r="J1533" s="150" t="str">
        <f t="shared" si="71"/>
        <v>558</v>
      </c>
      <c r="K1533" s="150" t="s">
        <v>8345</v>
      </c>
      <c r="L1533" s="149" t="s">
        <v>2702</v>
      </c>
      <c r="M1533" s="151">
        <v>1000</v>
      </c>
    </row>
    <row r="1534" spans="1:13" s="149" customFormat="1" x14ac:dyDescent="0.25">
      <c r="A1534" s="149" t="s">
        <v>7639</v>
      </c>
      <c r="B1534" s="149" t="s">
        <v>2703</v>
      </c>
      <c r="C1534" s="149">
        <v>11</v>
      </c>
      <c r="D1534" s="149">
        <v>372</v>
      </c>
      <c r="E1534" s="149">
        <v>0</v>
      </c>
      <c r="F1534" s="149">
        <v>601000</v>
      </c>
      <c r="G1534" s="149">
        <v>56400</v>
      </c>
      <c r="H1534" s="150" t="str">
        <f t="shared" si="69"/>
        <v>5</v>
      </c>
      <c r="I1534" s="150" t="str">
        <f t="shared" si="70"/>
        <v>56</v>
      </c>
      <c r="J1534" s="150" t="str">
        <f t="shared" si="71"/>
        <v>564</v>
      </c>
      <c r="K1534" s="150" t="s">
        <v>8380</v>
      </c>
      <c r="L1534" s="149" t="s">
        <v>515</v>
      </c>
      <c r="M1534" s="151">
        <v>350</v>
      </c>
    </row>
    <row r="1535" spans="1:13" s="149" customFormat="1" x14ac:dyDescent="0.25">
      <c r="A1535" s="149" t="s">
        <v>7639</v>
      </c>
      <c r="B1535" s="149" t="s">
        <v>2704</v>
      </c>
      <c r="C1535" s="149">
        <v>11</v>
      </c>
      <c r="D1535" s="149">
        <v>373</v>
      </c>
      <c r="E1535" s="149">
        <v>0</v>
      </c>
      <c r="F1535" s="149">
        <v>601000</v>
      </c>
      <c r="G1535" s="149">
        <v>51210</v>
      </c>
      <c r="H1535" s="150" t="str">
        <f t="shared" si="69"/>
        <v>5</v>
      </c>
      <c r="I1535" s="150" t="str">
        <f t="shared" si="70"/>
        <v>51</v>
      </c>
      <c r="J1535" s="150" t="str">
        <f t="shared" si="71"/>
        <v>512</v>
      </c>
      <c r="K1535" s="150" t="s">
        <v>9315</v>
      </c>
      <c r="L1535" s="149" t="s">
        <v>477</v>
      </c>
      <c r="M1535" s="151">
        <v>19300.400000000001</v>
      </c>
    </row>
    <row r="1536" spans="1:13" s="149" customFormat="1" x14ac:dyDescent="0.25">
      <c r="A1536" s="149" t="s">
        <v>7639</v>
      </c>
      <c r="B1536" s="149" t="s">
        <v>2705</v>
      </c>
      <c r="C1536" s="149">
        <v>11</v>
      </c>
      <c r="D1536" s="149">
        <v>373</v>
      </c>
      <c r="E1536" s="149">
        <v>0</v>
      </c>
      <c r="F1536" s="149">
        <v>601000</v>
      </c>
      <c r="G1536" s="149">
        <v>52105</v>
      </c>
      <c r="H1536" s="150" t="str">
        <f t="shared" si="69"/>
        <v>5</v>
      </c>
      <c r="I1536" s="150" t="str">
        <f t="shared" si="70"/>
        <v>52</v>
      </c>
      <c r="J1536" s="150" t="str">
        <f t="shared" si="71"/>
        <v>521</v>
      </c>
      <c r="K1536" s="150" t="s">
        <v>9316</v>
      </c>
      <c r="L1536" s="149" t="s">
        <v>481</v>
      </c>
      <c r="M1536" s="151">
        <v>57311.25</v>
      </c>
    </row>
    <row r="1537" spans="1:13" s="149" customFormat="1" x14ac:dyDescent="0.25">
      <c r="A1537" s="149" t="s">
        <v>7639</v>
      </c>
      <c r="B1537" s="149" t="s">
        <v>2706</v>
      </c>
      <c r="C1537" s="149">
        <v>11</v>
      </c>
      <c r="D1537" s="149">
        <v>373</v>
      </c>
      <c r="E1537" s="149">
        <v>0</v>
      </c>
      <c r="F1537" s="149">
        <v>601000</v>
      </c>
      <c r="G1537" s="149">
        <v>53120</v>
      </c>
      <c r="H1537" s="150" t="str">
        <f t="shared" si="69"/>
        <v>5</v>
      </c>
      <c r="I1537" s="150" t="str">
        <f t="shared" si="70"/>
        <v>53</v>
      </c>
      <c r="J1537" s="150" t="str">
        <f t="shared" si="71"/>
        <v>531</v>
      </c>
      <c r="K1537" s="150" t="s">
        <v>9317</v>
      </c>
      <c r="L1537" s="149" t="s">
        <v>485</v>
      </c>
      <c r="M1537" s="151">
        <v>3117.01</v>
      </c>
    </row>
    <row r="1538" spans="1:13" s="149" customFormat="1" x14ac:dyDescent="0.25">
      <c r="A1538" s="149" t="s">
        <v>7639</v>
      </c>
      <c r="B1538" s="149" t="s">
        <v>2707</v>
      </c>
      <c r="C1538" s="149">
        <v>11</v>
      </c>
      <c r="D1538" s="149">
        <v>373</v>
      </c>
      <c r="E1538" s="149">
        <v>0</v>
      </c>
      <c r="F1538" s="149">
        <v>601000</v>
      </c>
      <c r="G1538" s="149">
        <v>53220</v>
      </c>
      <c r="H1538" s="150" t="str">
        <f t="shared" si="69"/>
        <v>5</v>
      </c>
      <c r="I1538" s="150" t="str">
        <f t="shared" si="70"/>
        <v>53</v>
      </c>
      <c r="J1538" s="150" t="str">
        <f t="shared" si="71"/>
        <v>532</v>
      </c>
      <c r="K1538" s="150" t="s">
        <v>9318</v>
      </c>
      <c r="L1538" s="149" t="s">
        <v>487</v>
      </c>
      <c r="M1538" s="151">
        <v>11863.43</v>
      </c>
    </row>
    <row r="1539" spans="1:13" s="149" customFormat="1" x14ac:dyDescent="0.25">
      <c r="A1539" s="149" t="s">
        <v>7639</v>
      </c>
      <c r="B1539" s="149" t="s">
        <v>2708</v>
      </c>
      <c r="C1539" s="149">
        <v>11</v>
      </c>
      <c r="D1539" s="149">
        <v>373</v>
      </c>
      <c r="E1539" s="149">
        <v>0</v>
      </c>
      <c r="F1539" s="149">
        <v>601000</v>
      </c>
      <c r="G1539" s="149">
        <v>53320</v>
      </c>
      <c r="H1539" s="150" t="str">
        <f t="shared" ref="H1539:H1602" si="72">LEFT(G1539,1)</f>
        <v>5</v>
      </c>
      <c r="I1539" s="150" t="str">
        <f t="shared" ref="I1539:I1602" si="73">LEFT(G1539,2)</f>
        <v>53</v>
      </c>
      <c r="J1539" s="150" t="str">
        <f t="shared" ref="J1539:J1602" si="74">LEFT(G1539,3)</f>
        <v>533</v>
      </c>
      <c r="K1539" s="150" t="s">
        <v>9319</v>
      </c>
      <c r="L1539" s="149" t="s">
        <v>489</v>
      </c>
      <c r="M1539" s="151">
        <v>3553.3</v>
      </c>
    </row>
    <row r="1540" spans="1:13" s="149" customFormat="1" x14ac:dyDescent="0.25">
      <c r="A1540" s="149" t="s">
        <v>7639</v>
      </c>
      <c r="B1540" s="149" t="s">
        <v>2709</v>
      </c>
      <c r="C1540" s="149">
        <v>11</v>
      </c>
      <c r="D1540" s="149">
        <v>373</v>
      </c>
      <c r="E1540" s="149">
        <v>0</v>
      </c>
      <c r="F1540" s="149">
        <v>601000</v>
      </c>
      <c r="G1540" s="149">
        <v>53340</v>
      </c>
      <c r="H1540" s="150" t="str">
        <f t="shared" si="72"/>
        <v>5</v>
      </c>
      <c r="I1540" s="150" t="str">
        <f t="shared" si="73"/>
        <v>53</v>
      </c>
      <c r="J1540" s="150" t="str">
        <f t="shared" si="74"/>
        <v>533</v>
      </c>
      <c r="K1540" s="150" t="s">
        <v>9320</v>
      </c>
      <c r="L1540" s="149" t="s">
        <v>491</v>
      </c>
      <c r="M1540" s="151">
        <v>1110.8800000000001</v>
      </c>
    </row>
    <row r="1541" spans="1:13" s="149" customFormat="1" x14ac:dyDescent="0.25">
      <c r="A1541" s="149" t="s">
        <v>7639</v>
      </c>
      <c r="B1541" s="149" t="s">
        <v>2710</v>
      </c>
      <c r="C1541" s="149">
        <v>11</v>
      </c>
      <c r="D1541" s="149">
        <v>373</v>
      </c>
      <c r="E1541" s="149">
        <v>0</v>
      </c>
      <c r="F1541" s="149">
        <v>601000</v>
      </c>
      <c r="G1541" s="149">
        <v>53420</v>
      </c>
      <c r="H1541" s="150" t="str">
        <f t="shared" si="72"/>
        <v>5</v>
      </c>
      <c r="I1541" s="150" t="str">
        <f t="shared" si="73"/>
        <v>53</v>
      </c>
      <c r="J1541" s="150" t="str">
        <f t="shared" si="74"/>
        <v>534</v>
      </c>
      <c r="K1541" s="150" t="s">
        <v>9321</v>
      </c>
      <c r="L1541" s="149" t="s">
        <v>493</v>
      </c>
      <c r="M1541" s="151">
        <v>12175.19</v>
      </c>
    </row>
    <row r="1542" spans="1:13" s="149" customFormat="1" x14ac:dyDescent="0.25">
      <c r="A1542" s="149" t="s">
        <v>7639</v>
      </c>
      <c r="B1542" s="149" t="s">
        <v>2711</v>
      </c>
      <c r="C1542" s="149">
        <v>11</v>
      </c>
      <c r="D1542" s="149">
        <v>373</v>
      </c>
      <c r="E1542" s="149">
        <v>0</v>
      </c>
      <c r="F1542" s="149">
        <v>601000</v>
      </c>
      <c r="G1542" s="149">
        <v>53520</v>
      </c>
      <c r="H1542" s="150" t="str">
        <f t="shared" si="72"/>
        <v>5</v>
      </c>
      <c r="I1542" s="150" t="str">
        <f t="shared" si="73"/>
        <v>53</v>
      </c>
      <c r="J1542" s="150" t="str">
        <f t="shared" si="74"/>
        <v>535</v>
      </c>
      <c r="K1542" s="150" t="s">
        <v>9322</v>
      </c>
      <c r="L1542" s="149" t="s">
        <v>495</v>
      </c>
      <c r="M1542" s="151">
        <v>38.299999999999997</v>
      </c>
    </row>
    <row r="1543" spans="1:13" s="149" customFormat="1" x14ac:dyDescent="0.25">
      <c r="A1543" s="149" t="s">
        <v>7639</v>
      </c>
      <c r="B1543" s="149" t="s">
        <v>2712</v>
      </c>
      <c r="C1543" s="149">
        <v>11</v>
      </c>
      <c r="D1543" s="149">
        <v>373</v>
      </c>
      <c r="E1543" s="149">
        <v>0</v>
      </c>
      <c r="F1543" s="149">
        <v>601000</v>
      </c>
      <c r="G1543" s="149">
        <v>53620</v>
      </c>
      <c r="H1543" s="150" t="str">
        <f t="shared" si="72"/>
        <v>5</v>
      </c>
      <c r="I1543" s="150" t="str">
        <f t="shared" si="73"/>
        <v>53</v>
      </c>
      <c r="J1543" s="150" t="str">
        <f t="shared" si="74"/>
        <v>536</v>
      </c>
      <c r="K1543" s="150" t="s">
        <v>9323</v>
      </c>
      <c r="L1543" s="149" t="s">
        <v>497</v>
      </c>
      <c r="M1543" s="151">
        <v>1448.57</v>
      </c>
    </row>
    <row r="1544" spans="1:13" s="149" customFormat="1" x14ac:dyDescent="0.25">
      <c r="A1544" s="149" t="s">
        <v>7639</v>
      </c>
      <c r="B1544" s="149" t="s">
        <v>2713</v>
      </c>
      <c r="C1544" s="149">
        <v>11</v>
      </c>
      <c r="D1544" s="149">
        <v>373</v>
      </c>
      <c r="E1544" s="149">
        <v>0</v>
      </c>
      <c r="F1544" s="149">
        <v>601000</v>
      </c>
      <c r="G1544" s="149">
        <v>53920</v>
      </c>
      <c r="H1544" s="150" t="str">
        <f t="shared" si="72"/>
        <v>5</v>
      </c>
      <c r="I1544" s="150" t="str">
        <f t="shared" si="73"/>
        <v>53</v>
      </c>
      <c r="J1544" s="150" t="str">
        <f t="shared" si="74"/>
        <v>539</v>
      </c>
      <c r="K1544" s="150" t="s">
        <v>9324</v>
      </c>
      <c r="L1544" s="149" t="s">
        <v>499</v>
      </c>
      <c r="M1544" s="151">
        <v>2160</v>
      </c>
    </row>
    <row r="1545" spans="1:13" s="149" customFormat="1" x14ac:dyDescent="0.25">
      <c r="A1545" s="149" t="s">
        <v>7639</v>
      </c>
      <c r="B1545" s="149" t="s">
        <v>2714</v>
      </c>
      <c r="C1545" s="149">
        <v>11</v>
      </c>
      <c r="D1545" s="149">
        <v>375</v>
      </c>
      <c r="E1545" s="149">
        <v>0</v>
      </c>
      <c r="F1545" s="149">
        <v>85000</v>
      </c>
      <c r="G1545" s="149">
        <v>51311</v>
      </c>
      <c r="H1545" s="150" t="str">
        <f t="shared" si="72"/>
        <v>5</v>
      </c>
      <c r="I1545" s="150" t="str">
        <f t="shared" si="73"/>
        <v>51</v>
      </c>
      <c r="J1545" s="150" t="str">
        <f t="shared" si="74"/>
        <v>513</v>
      </c>
      <c r="K1545" s="150" t="s">
        <v>7765</v>
      </c>
      <c r="L1545" s="149" t="s">
        <v>2715</v>
      </c>
      <c r="M1545" s="151">
        <v>33050</v>
      </c>
    </row>
    <row r="1546" spans="1:13" s="149" customFormat="1" x14ac:dyDescent="0.25">
      <c r="A1546" s="149" t="s">
        <v>7639</v>
      </c>
      <c r="B1546" s="149" t="s">
        <v>2716</v>
      </c>
      <c r="C1546" s="149">
        <v>11</v>
      </c>
      <c r="D1546" s="149">
        <v>375</v>
      </c>
      <c r="E1546" s="149">
        <v>0</v>
      </c>
      <c r="F1546" s="149">
        <v>85000</v>
      </c>
      <c r="G1546" s="149">
        <v>51412</v>
      </c>
      <c r="H1546" s="150" t="str">
        <f t="shared" si="72"/>
        <v>5</v>
      </c>
      <c r="I1546" s="150" t="str">
        <f t="shared" si="73"/>
        <v>51</v>
      </c>
      <c r="J1546" s="150" t="str">
        <f t="shared" si="74"/>
        <v>514</v>
      </c>
      <c r="K1546" s="150" t="s">
        <v>7802</v>
      </c>
      <c r="L1546" s="149" t="s">
        <v>2717</v>
      </c>
      <c r="M1546" s="151">
        <v>0</v>
      </c>
    </row>
    <row r="1547" spans="1:13" s="149" customFormat="1" x14ac:dyDescent="0.25">
      <c r="A1547" s="149" t="s">
        <v>7639</v>
      </c>
      <c r="B1547" s="149" t="s">
        <v>2718</v>
      </c>
      <c r="C1547" s="149">
        <v>11</v>
      </c>
      <c r="D1547" s="149">
        <v>375</v>
      </c>
      <c r="E1547" s="149">
        <v>0</v>
      </c>
      <c r="F1547" s="149">
        <v>85000</v>
      </c>
      <c r="G1547" s="149">
        <v>53110</v>
      </c>
      <c r="H1547" s="150" t="str">
        <f t="shared" si="72"/>
        <v>5</v>
      </c>
      <c r="I1547" s="150" t="str">
        <f t="shared" si="73"/>
        <v>53</v>
      </c>
      <c r="J1547" s="150" t="str">
        <f t="shared" si="74"/>
        <v>531</v>
      </c>
      <c r="K1547" s="150" t="s">
        <v>9325</v>
      </c>
      <c r="L1547" s="149" t="s">
        <v>2719</v>
      </c>
      <c r="M1547" s="151">
        <v>5337.58</v>
      </c>
    </row>
    <row r="1548" spans="1:13" s="149" customFormat="1" x14ac:dyDescent="0.25">
      <c r="A1548" s="149" t="s">
        <v>7639</v>
      </c>
      <c r="B1548" s="149" t="s">
        <v>2720</v>
      </c>
      <c r="C1548" s="149">
        <v>11</v>
      </c>
      <c r="D1548" s="149">
        <v>375</v>
      </c>
      <c r="E1548" s="149">
        <v>0</v>
      </c>
      <c r="F1548" s="149">
        <v>85000</v>
      </c>
      <c r="G1548" s="149">
        <v>53120</v>
      </c>
      <c r="H1548" s="150" t="str">
        <f t="shared" si="72"/>
        <v>5</v>
      </c>
      <c r="I1548" s="150" t="str">
        <f t="shared" si="73"/>
        <v>53</v>
      </c>
      <c r="J1548" s="150" t="str">
        <f t="shared" si="74"/>
        <v>531</v>
      </c>
      <c r="K1548" s="150" t="s">
        <v>9326</v>
      </c>
      <c r="L1548" s="149" t="s">
        <v>2721</v>
      </c>
      <c r="M1548" s="151">
        <v>0</v>
      </c>
    </row>
    <row r="1549" spans="1:13" s="149" customFormat="1" x14ac:dyDescent="0.25">
      <c r="A1549" s="149" t="s">
        <v>7639</v>
      </c>
      <c r="B1549" s="149" t="s">
        <v>2722</v>
      </c>
      <c r="C1549" s="149">
        <v>11</v>
      </c>
      <c r="D1549" s="149">
        <v>375</v>
      </c>
      <c r="E1549" s="149">
        <v>0</v>
      </c>
      <c r="F1549" s="149">
        <v>85000</v>
      </c>
      <c r="G1549" s="149">
        <v>53330</v>
      </c>
      <c r="H1549" s="150" t="str">
        <f t="shared" si="72"/>
        <v>5</v>
      </c>
      <c r="I1549" s="150" t="str">
        <f t="shared" si="73"/>
        <v>53</v>
      </c>
      <c r="J1549" s="150" t="str">
        <f t="shared" si="74"/>
        <v>533</v>
      </c>
      <c r="K1549" s="150" t="s">
        <v>9327</v>
      </c>
      <c r="L1549" s="149" t="s">
        <v>2723</v>
      </c>
      <c r="M1549" s="151">
        <v>479.23</v>
      </c>
    </row>
    <row r="1550" spans="1:13" s="149" customFormat="1" x14ac:dyDescent="0.25">
      <c r="A1550" s="149" t="s">
        <v>7639</v>
      </c>
      <c r="B1550" s="149" t="s">
        <v>2724</v>
      </c>
      <c r="C1550" s="149">
        <v>11</v>
      </c>
      <c r="D1550" s="149">
        <v>375</v>
      </c>
      <c r="E1550" s="149">
        <v>0</v>
      </c>
      <c r="F1550" s="149">
        <v>85000</v>
      </c>
      <c r="G1550" s="149">
        <v>53340</v>
      </c>
      <c r="H1550" s="150" t="str">
        <f t="shared" si="72"/>
        <v>5</v>
      </c>
      <c r="I1550" s="150" t="str">
        <f t="shared" si="73"/>
        <v>53</v>
      </c>
      <c r="J1550" s="150" t="str">
        <f t="shared" si="74"/>
        <v>533</v>
      </c>
      <c r="K1550" s="150" t="s">
        <v>9328</v>
      </c>
      <c r="L1550" s="149" t="s">
        <v>2725</v>
      </c>
      <c r="M1550" s="151">
        <v>0</v>
      </c>
    </row>
    <row r="1551" spans="1:13" s="149" customFormat="1" x14ac:dyDescent="0.25">
      <c r="A1551" s="149" t="s">
        <v>7639</v>
      </c>
      <c r="B1551" s="149" t="s">
        <v>2726</v>
      </c>
      <c r="C1551" s="149">
        <v>11</v>
      </c>
      <c r="D1551" s="149">
        <v>375</v>
      </c>
      <c r="E1551" s="149">
        <v>0</v>
      </c>
      <c r="F1551" s="149">
        <v>85000</v>
      </c>
      <c r="G1551" s="149">
        <v>53510</v>
      </c>
      <c r="H1551" s="150" t="str">
        <f t="shared" si="72"/>
        <v>5</v>
      </c>
      <c r="I1551" s="150" t="str">
        <f t="shared" si="73"/>
        <v>53</v>
      </c>
      <c r="J1551" s="150" t="str">
        <f t="shared" si="74"/>
        <v>535</v>
      </c>
      <c r="K1551" s="150" t="s">
        <v>9329</v>
      </c>
      <c r="L1551" s="149" t="s">
        <v>2727</v>
      </c>
      <c r="M1551" s="151">
        <v>16.53</v>
      </c>
    </row>
    <row r="1552" spans="1:13" s="149" customFormat="1" x14ac:dyDescent="0.25">
      <c r="A1552" s="149" t="s">
        <v>7639</v>
      </c>
      <c r="B1552" s="149" t="s">
        <v>2728</v>
      </c>
      <c r="C1552" s="149">
        <v>11</v>
      </c>
      <c r="D1552" s="149">
        <v>375</v>
      </c>
      <c r="E1552" s="149">
        <v>0</v>
      </c>
      <c r="F1552" s="149">
        <v>85000</v>
      </c>
      <c r="G1552" s="149">
        <v>53520</v>
      </c>
      <c r="H1552" s="150" t="str">
        <f t="shared" si="72"/>
        <v>5</v>
      </c>
      <c r="I1552" s="150" t="str">
        <f t="shared" si="73"/>
        <v>53</v>
      </c>
      <c r="J1552" s="150" t="str">
        <f t="shared" si="74"/>
        <v>535</v>
      </c>
      <c r="K1552" s="150" t="s">
        <v>9330</v>
      </c>
      <c r="L1552" s="149" t="s">
        <v>2729</v>
      </c>
      <c r="M1552" s="151">
        <v>0</v>
      </c>
    </row>
    <row r="1553" spans="1:13" s="149" customFormat="1" x14ac:dyDescent="0.25">
      <c r="A1553" s="149" t="s">
        <v>7639</v>
      </c>
      <c r="B1553" s="149" t="s">
        <v>2730</v>
      </c>
      <c r="C1553" s="149">
        <v>11</v>
      </c>
      <c r="D1553" s="149">
        <v>375</v>
      </c>
      <c r="E1553" s="149">
        <v>0</v>
      </c>
      <c r="F1553" s="149">
        <v>85000</v>
      </c>
      <c r="G1553" s="149">
        <v>53610</v>
      </c>
      <c r="H1553" s="150" t="str">
        <f t="shared" si="72"/>
        <v>5</v>
      </c>
      <c r="I1553" s="150" t="str">
        <f t="shared" si="73"/>
        <v>53</v>
      </c>
      <c r="J1553" s="150" t="str">
        <f t="shared" si="74"/>
        <v>536</v>
      </c>
      <c r="K1553" s="150" t="s">
        <v>9331</v>
      </c>
      <c r="L1553" s="149" t="s">
        <v>2731</v>
      </c>
      <c r="M1553" s="151">
        <v>624.91</v>
      </c>
    </row>
    <row r="1554" spans="1:13" s="149" customFormat="1" x14ac:dyDescent="0.25">
      <c r="A1554" s="149" t="s">
        <v>7639</v>
      </c>
      <c r="B1554" s="149" t="s">
        <v>2732</v>
      </c>
      <c r="C1554" s="149">
        <v>11</v>
      </c>
      <c r="D1554" s="149">
        <v>375</v>
      </c>
      <c r="E1554" s="149">
        <v>0</v>
      </c>
      <c r="F1554" s="149">
        <v>85000</v>
      </c>
      <c r="G1554" s="149">
        <v>53620</v>
      </c>
      <c r="H1554" s="150" t="str">
        <f t="shared" si="72"/>
        <v>5</v>
      </c>
      <c r="I1554" s="150" t="str">
        <f t="shared" si="73"/>
        <v>53</v>
      </c>
      <c r="J1554" s="150" t="str">
        <f t="shared" si="74"/>
        <v>536</v>
      </c>
      <c r="K1554" s="150" t="s">
        <v>9332</v>
      </c>
      <c r="L1554" s="149" t="s">
        <v>2733</v>
      </c>
      <c r="M1554" s="151">
        <v>0</v>
      </c>
    </row>
    <row r="1555" spans="1:13" s="149" customFormat="1" x14ac:dyDescent="0.25">
      <c r="A1555" s="149" t="s">
        <v>7639</v>
      </c>
      <c r="B1555" s="149" t="s">
        <v>2734</v>
      </c>
      <c r="C1555" s="149">
        <v>11</v>
      </c>
      <c r="D1555" s="149">
        <v>375</v>
      </c>
      <c r="E1555" s="149">
        <v>0</v>
      </c>
      <c r="F1555" s="149">
        <v>85000</v>
      </c>
      <c r="G1555" s="149">
        <v>55105</v>
      </c>
      <c r="H1555" s="150" t="str">
        <f t="shared" si="72"/>
        <v>5</v>
      </c>
      <c r="I1555" s="150" t="str">
        <f t="shared" si="73"/>
        <v>55</v>
      </c>
      <c r="J1555" s="150" t="str">
        <f t="shared" si="74"/>
        <v>551</v>
      </c>
      <c r="K1555" s="150" t="s">
        <v>8016</v>
      </c>
      <c r="L1555" s="149" t="s">
        <v>2735</v>
      </c>
      <c r="M1555" s="151">
        <v>1800</v>
      </c>
    </row>
    <row r="1556" spans="1:13" s="149" customFormat="1" x14ac:dyDescent="0.25">
      <c r="A1556" s="149" t="s">
        <v>7639</v>
      </c>
      <c r="B1556" s="149" t="s">
        <v>2736</v>
      </c>
      <c r="C1556" s="149">
        <v>11</v>
      </c>
      <c r="D1556" s="149">
        <v>375</v>
      </c>
      <c r="E1556" s="149">
        <v>0</v>
      </c>
      <c r="F1556" s="149">
        <v>110500</v>
      </c>
      <c r="G1556" s="149">
        <v>51100</v>
      </c>
      <c r="H1556" s="150" t="str">
        <f t="shared" si="72"/>
        <v>5</v>
      </c>
      <c r="I1556" s="150" t="str">
        <f t="shared" si="73"/>
        <v>51</v>
      </c>
      <c r="J1556" s="150" t="str">
        <f t="shared" si="74"/>
        <v>511</v>
      </c>
      <c r="K1556" s="150" t="s">
        <v>9333</v>
      </c>
      <c r="L1556" s="149" t="s">
        <v>2737</v>
      </c>
      <c r="M1556" s="151">
        <v>173927</v>
      </c>
    </row>
    <row r="1557" spans="1:13" s="149" customFormat="1" x14ac:dyDescent="0.25">
      <c r="A1557" s="149" t="s">
        <v>7639</v>
      </c>
      <c r="B1557" s="149" t="s">
        <v>2738</v>
      </c>
      <c r="C1557" s="149">
        <v>11</v>
      </c>
      <c r="D1557" s="149">
        <v>375</v>
      </c>
      <c r="E1557" s="149">
        <v>0</v>
      </c>
      <c r="F1557" s="149">
        <v>110500</v>
      </c>
      <c r="G1557" s="149">
        <v>51310</v>
      </c>
      <c r="H1557" s="150" t="str">
        <f t="shared" si="72"/>
        <v>5</v>
      </c>
      <c r="I1557" s="150" t="str">
        <f t="shared" si="73"/>
        <v>51</v>
      </c>
      <c r="J1557" s="150" t="str">
        <f t="shared" si="74"/>
        <v>513</v>
      </c>
      <c r="K1557" s="150" t="s">
        <v>7686</v>
      </c>
      <c r="L1557" s="149" t="s">
        <v>2739</v>
      </c>
      <c r="M1557" s="151">
        <v>6000</v>
      </c>
    </row>
    <row r="1558" spans="1:13" s="149" customFormat="1" x14ac:dyDescent="0.25">
      <c r="A1558" s="149" t="s">
        <v>7639</v>
      </c>
      <c r="B1558" s="149" t="s">
        <v>2740</v>
      </c>
      <c r="C1558" s="149">
        <v>11</v>
      </c>
      <c r="D1558" s="149">
        <v>375</v>
      </c>
      <c r="E1558" s="149">
        <v>0</v>
      </c>
      <c r="F1558" s="149">
        <v>110500</v>
      </c>
      <c r="G1558" s="149">
        <v>51311</v>
      </c>
      <c r="H1558" s="150" t="str">
        <f t="shared" si="72"/>
        <v>5</v>
      </c>
      <c r="I1558" s="150" t="str">
        <f t="shared" si="73"/>
        <v>51</v>
      </c>
      <c r="J1558" s="150" t="str">
        <f t="shared" si="74"/>
        <v>513</v>
      </c>
      <c r="K1558" s="150" t="s">
        <v>7766</v>
      </c>
      <c r="L1558" s="149" t="s">
        <v>281</v>
      </c>
      <c r="M1558" s="151">
        <v>142912</v>
      </c>
    </row>
    <row r="1559" spans="1:13" s="149" customFormat="1" x14ac:dyDescent="0.25">
      <c r="A1559" s="149" t="s">
        <v>7639</v>
      </c>
      <c r="B1559" s="149" t="s">
        <v>2741</v>
      </c>
      <c r="C1559" s="149">
        <v>11</v>
      </c>
      <c r="D1559" s="149">
        <v>375</v>
      </c>
      <c r="E1559" s="149">
        <v>0</v>
      </c>
      <c r="F1559" s="149">
        <v>110500</v>
      </c>
      <c r="G1559" s="149">
        <v>53110</v>
      </c>
      <c r="H1559" s="150" t="str">
        <f t="shared" si="72"/>
        <v>5</v>
      </c>
      <c r="I1559" s="150" t="str">
        <f t="shared" si="73"/>
        <v>53</v>
      </c>
      <c r="J1559" s="150" t="str">
        <f t="shared" si="74"/>
        <v>531</v>
      </c>
      <c r="K1559" s="150" t="s">
        <v>9334</v>
      </c>
      <c r="L1559" s="149" t="s">
        <v>283</v>
      </c>
      <c r="M1559" s="151">
        <v>52138.5</v>
      </c>
    </row>
    <row r="1560" spans="1:13" s="149" customFormat="1" x14ac:dyDescent="0.25">
      <c r="A1560" s="149" t="s">
        <v>7639</v>
      </c>
      <c r="B1560" s="149" t="s">
        <v>2742</v>
      </c>
      <c r="C1560" s="149">
        <v>11</v>
      </c>
      <c r="D1560" s="149">
        <v>375</v>
      </c>
      <c r="E1560" s="149">
        <v>0</v>
      </c>
      <c r="F1560" s="149">
        <v>110500</v>
      </c>
      <c r="G1560" s="149">
        <v>53310</v>
      </c>
      <c r="H1560" s="150" t="str">
        <f t="shared" si="72"/>
        <v>5</v>
      </c>
      <c r="I1560" s="150" t="str">
        <f t="shared" si="73"/>
        <v>53</v>
      </c>
      <c r="J1560" s="150" t="str">
        <f t="shared" si="74"/>
        <v>533</v>
      </c>
      <c r="K1560" s="150" t="s">
        <v>9335</v>
      </c>
      <c r="L1560" s="149" t="s">
        <v>2743</v>
      </c>
      <c r="M1560" s="151">
        <v>0</v>
      </c>
    </row>
    <row r="1561" spans="1:13" s="149" customFormat="1" x14ac:dyDescent="0.25">
      <c r="A1561" s="149" t="s">
        <v>7639</v>
      </c>
      <c r="B1561" s="149" t="s">
        <v>2744</v>
      </c>
      <c r="C1561" s="149">
        <v>11</v>
      </c>
      <c r="D1561" s="149">
        <v>375</v>
      </c>
      <c r="E1561" s="149">
        <v>0</v>
      </c>
      <c r="F1561" s="149">
        <v>110500</v>
      </c>
      <c r="G1561" s="149">
        <v>53330</v>
      </c>
      <c r="H1561" s="150" t="str">
        <f t="shared" si="72"/>
        <v>5</v>
      </c>
      <c r="I1561" s="150" t="str">
        <f t="shared" si="73"/>
        <v>53</v>
      </c>
      <c r="J1561" s="150" t="str">
        <f t="shared" si="74"/>
        <v>533</v>
      </c>
      <c r="K1561" s="150" t="s">
        <v>9336</v>
      </c>
      <c r="L1561" s="149" t="s">
        <v>285</v>
      </c>
      <c r="M1561" s="151">
        <v>4681.16</v>
      </c>
    </row>
    <row r="1562" spans="1:13" s="149" customFormat="1" x14ac:dyDescent="0.25">
      <c r="A1562" s="149" t="s">
        <v>7639</v>
      </c>
      <c r="B1562" s="149" t="s">
        <v>2745</v>
      </c>
      <c r="C1562" s="149">
        <v>11</v>
      </c>
      <c r="D1562" s="149">
        <v>375</v>
      </c>
      <c r="E1562" s="149">
        <v>0</v>
      </c>
      <c r="F1562" s="149">
        <v>110500</v>
      </c>
      <c r="G1562" s="149">
        <v>53410</v>
      </c>
      <c r="H1562" s="150" t="str">
        <f t="shared" si="72"/>
        <v>5</v>
      </c>
      <c r="I1562" s="150" t="str">
        <f t="shared" si="73"/>
        <v>53</v>
      </c>
      <c r="J1562" s="150" t="str">
        <f t="shared" si="74"/>
        <v>534</v>
      </c>
      <c r="K1562" s="150" t="s">
        <v>9337</v>
      </c>
      <c r="L1562" s="149" t="s">
        <v>2746</v>
      </c>
      <c r="M1562" s="151">
        <v>46335.74</v>
      </c>
    </row>
    <row r="1563" spans="1:13" s="149" customFormat="1" x14ac:dyDescent="0.25">
      <c r="A1563" s="149" t="s">
        <v>7639</v>
      </c>
      <c r="B1563" s="149" t="s">
        <v>2747</v>
      </c>
      <c r="C1563" s="149">
        <v>11</v>
      </c>
      <c r="D1563" s="149">
        <v>375</v>
      </c>
      <c r="E1563" s="149">
        <v>0</v>
      </c>
      <c r="F1563" s="149">
        <v>110500</v>
      </c>
      <c r="G1563" s="149">
        <v>53510</v>
      </c>
      <c r="H1563" s="150" t="str">
        <f t="shared" si="72"/>
        <v>5</v>
      </c>
      <c r="I1563" s="150" t="str">
        <f t="shared" si="73"/>
        <v>53</v>
      </c>
      <c r="J1563" s="150" t="str">
        <f t="shared" si="74"/>
        <v>535</v>
      </c>
      <c r="K1563" s="150" t="s">
        <v>9338</v>
      </c>
      <c r="L1563" s="149" t="s">
        <v>287</v>
      </c>
      <c r="M1563" s="151">
        <v>161.41999999999999</v>
      </c>
    </row>
    <row r="1564" spans="1:13" s="149" customFormat="1" x14ac:dyDescent="0.25">
      <c r="A1564" s="149" t="s">
        <v>7639</v>
      </c>
      <c r="B1564" s="149" t="s">
        <v>2748</v>
      </c>
      <c r="C1564" s="149">
        <v>11</v>
      </c>
      <c r="D1564" s="149">
        <v>375</v>
      </c>
      <c r="E1564" s="149">
        <v>0</v>
      </c>
      <c r="F1564" s="149">
        <v>110500</v>
      </c>
      <c r="G1564" s="149">
        <v>53610</v>
      </c>
      <c r="H1564" s="150" t="str">
        <f t="shared" si="72"/>
        <v>5</v>
      </c>
      <c r="I1564" s="150" t="str">
        <f t="shared" si="73"/>
        <v>53</v>
      </c>
      <c r="J1564" s="150" t="str">
        <f t="shared" si="74"/>
        <v>536</v>
      </c>
      <c r="K1564" s="150" t="s">
        <v>9339</v>
      </c>
      <c r="L1564" s="149" t="s">
        <v>289</v>
      </c>
      <c r="M1564" s="151">
        <v>6104.25</v>
      </c>
    </row>
    <row r="1565" spans="1:13" s="149" customFormat="1" x14ac:dyDescent="0.25">
      <c r="A1565" s="149" t="s">
        <v>7639</v>
      </c>
      <c r="B1565" s="149" t="s">
        <v>2749</v>
      </c>
      <c r="C1565" s="149">
        <v>11</v>
      </c>
      <c r="D1565" s="149">
        <v>375</v>
      </c>
      <c r="E1565" s="149">
        <v>0</v>
      </c>
      <c r="F1565" s="149">
        <v>110500</v>
      </c>
      <c r="G1565" s="149">
        <v>54300</v>
      </c>
      <c r="H1565" s="150" t="str">
        <f t="shared" si="72"/>
        <v>5</v>
      </c>
      <c r="I1565" s="150" t="str">
        <f t="shared" si="73"/>
        <v>54</v>
      </c>
      <c r="J1565" s="150" t="str">
        <f t="shared" si="74"/>
        <v>543</v>
      </c>
      <c r="K1565" s="150" t="s">
        <v>7969</v>
      </c>
      <c r="L1565" s="149" t="s">
        <v>2750</v>
      </c>
      <c r="M1565" s="151">
        <v>303</v>
      </c>
    </row>
    <row r="1566" spans="1:13" s="149" customFormat="1" x14ac:dyDescent="0.25">
      <c r="A1566" s="149" t="s">
        <v>7639</v>
      </c>
      <c r="B1566" s="149" t="s">
        <v>2751</v>
      </c>
      <c r="C1566" s="149">
        <v>11</v>
      </c>
      <c r="D1566" s="149">
        <v>375</v>
      </c>
      <c r="E1566" s="149">
        <v>0</v>
      </c>
      <c r="F1566" s="149">
        <v>110500</v>
      </c>
      <c r="G1566" s="149">
        <v>55630</v>
      </c>
      <c r="H1566" s="150" t="str">
        <f t="shared" si="72"/>
        <v>5</v>
      </c>
      <c r="I1566" s="150" t="str">
        <f t="shared" si="73"/>
        <v>55</v>
      </c>
      <c r="J1566" s="150" t="str">
        <f t="shared" si="74"/>
        <v>556</v>
      </c>
      <c r="K1566" s="150" t="s">
        <v>8256</v>
      </c>
      <c r="L1566" s="149" t="s">
        <v>2752</v>
      </c>
      <c r="M1566" s="151">
        <v>300</v>
      </c>
    </row>
    <row r="1567" spans="1:13" s="149" customFormat="1" x14ac:dyDescent="0.25">
      <c r="A1567" s="149" t="s">
        <v>7639</v>
      </c>
      <c r="B1567" s="149" t="s">
        <v>2753</v>
      </c>
      <c r="C1567" s="149">
        <v>11</v>
      </c>
      <c r="D1567" s="149">
        <v>375</v>
      </c>
      <c r="E1567" s="149">
        <v>0</v>
      </c>
      <c r="F1567" s="149">
        <v>150100</v>
      </c>
      <c r="G1567" s="149">
        <v>51100</v>
      </c>
      <c r="H1567" s="150" t="str">
        <f t="shared" si="72"/>
        <v>5</v>
      </c>
      <c r="I1567" s="150" t="str">
        <f t="shared" si="73"/>
        <v>51</v>
      </c>
      <c r="J1567" s="150" t="str">
        <f t="shared" si="74"/>
        <v>511</v>
      </c>
      <c r="K1567" s="150" t="s">
        <v>9340</v>
      </c>
      <c r="L1567" s="149" t="s">
        <v>2754</v>
      </c>
      <c r="M1567" s="151">
        <v>1293861.2</v>
      </c>
    </row>
    <row r="1568" spans="1:13" s="149" customFormat="1" x14ac:dyDescent="0.25">
      <c r="A1568" s="149" t="s">
        <v>7639</v>
      </c>
      <c r="B1568" s="149" t="s">
        <v>2755</v>
      </c>
      <c r="C1568" s="149">
        <v>11</v>
      </c>
      <c r="D1568" s="149">
        <v>375</v>
      </c>
      <c r="E1568" s="149">
        <v>0</v>
      </c>
      <c r="F1568" s="149">
        <v>150100</v>
      </c>
      <c r="G1568" s="149">
        <v>51310</v>
      </c>
      <c r="H1568" s="150" t="str">
        <f t="shared" si="72"/>
        <v>5</v>
      </c>
      <c r="I1568" s="150" t="str">
        <f t="shared" si="73"/>
        <v>51</v>
      </c>
      <c r="J1568" s="150" t="str">
        <f t="shared" si="74"/>
        <v>513</v>
      </c>
      <c r="K1568" s="150" t="s">
        <v>7687</v>
      </c>
      <c r="L1568" s="149" t="s">
        <v>2756</v>
      </c>
      <c r="M1568" s="151">
        <v>71000</v>
      </c>
    </row>
    <row r="1569" spans="1:13" s="149" customFormat="1" x14ac:dyDescent="0.25">
      <c r="A1569" s="149" t="s">
        <v>7639</v>
      </c>
      <c r="B1569" s="149" t="s">
        <v>2757</v>
      </c>
      <c r="C1569" s="149">
        <v>11</v>
      </c>
      <c r="D1569" s="149">
        <v>375</v>
      </c>
      <c r="E1569" s="149">
        <v>0</v>
      </c>
      <c r="F1569" s="149">
        <v>150100</v>
      </c>
      <c r="G1569" s="149">
        <v>51311</v>
      </c>
      <c r="H1569" s="150" t="str">
        <f t="shared" si="72"/>
        <v>5</v>
      </c>
      <c r="I1569" s="150" t="str">
        <f t="shared" si="73"/>
        <v>51</v>
      </c>
      <c r="J1569" s="150" t="str">
        <f t="shared" si="74"/>
        <v>513</v>
      </c>
      <c r="K1569" s="150" t="s">
        <v>7767</v>
      </c>
      <c r="L1569" s="149" t="s">
        <v>303</v>
      </c>
      <c r="M1569" s="151">
        <v>300000</v>
      </c>
    </row>
    <row r="1570" spans="1:13" s="149" customFormat="1" x14ac:dyDescent="0.25">
      <c r="A1570" s="149" t="s">
        <v>7639</v>
      </c>
      <c r="B1570" s="149" t="s">
        <v>2758</v>
      </c>
      <c r="C1570" s="149">
        <v>11</v>
      </c>
      <c r="D1570" s="149">
        <v>375</v>
      </c>
      <c r="E1570" s="149">
        <v>0</v>
      </c>
      <c r="F1570" s="149">
        <v>150100</v>
      </c>
      <c r="G1570" s="149">
        <v>53110</v>
      </c>
      <c r="H1570" s="150" t="str">
        <f t="shared" si="72"/>
        <v>5</v>
      </c>
      <c r="I1570" s="150" t="str">
        <f t="shared" si="73"/>
        <v>53</v>
      </c>
      <c r="J1570" s="150" t="str">
        <f t="shared" si="74"/>
        <v>531</v>
      </c>
      <c r="K1570" s="150" t="s">
        <v>9341</v>
      </c>
      <c r="L1570" s="149" t="s">
        <v>305</v>
      </c>
      <c r="M1570" s="151">
        <v>268875.06</v>
      </c>
    </row>
    <row r="1571" spans="1:13" s="149" customFormat="1" x14ac:dyDescent="0.25">
      <c r="A1571" s="149" t="s">
        <v>7639</v>
      </c>
      <c r="B1571" s="149" t="s">
        <v>2759</v>
      </c>
      <c r="C1571" s="149">
        <v>11</v>
      </c>
      <c r="D1571" s="149">
        <v>375</v>
      </c>
      <c r="E1571" s="149">
        <v>0</v>
      </c>
      <c r="F1571" s="149">
        <v>150100</v>
      </c>
      <c r="G1571" s="149">
        <v>53310</v>
      </c>
      <c r="H1571" s="150" t="str">
        <f t="shared" si="72"/>
        <v>5</v>
      </c>
      <c r="I1571" s="150" t="str">
        <f t="shared" si="73"/>
        <v>53</v>
      </c>
      <c r="J1571" s="150" t="str">
        <f t="shared" si="74"/>
        <v>533</v>
      </c>
      <c r="K1571" s="150" t="s">
        <v>9342</v>
      </c>
      <c r="L1571" s="149" t="s">
        <v>307</v>
      </c>
      <c r="M1571" s="151">
        <v>0</v>
      </c>
    </row>
    <row r="1572" spans="1:13" s="149" customFormat="1" x14ac:dyDescent="0.25">
      <c r="A1572" s="149" t="s">
        <v>7639</v>
      </c>
      <c r="B1572" s="149" t="s">
        <v>2760</v>
      </c>
      <c r="C1572" s="149">
        <v>11</v>
      </c>
      <c r="D1572" s="149">
        <v>375</v>
      </c>
      <c r="E1572" s="149">
        <v>0</v>
      </c>
      <c r="F1572" s="149">
        <v>150100</v>
      </c>
      <c r="G1572" s="149">
        <v>53330</v>
      </c>
      <c r="H1572" s="150" t="str">
        <f t="shared" si="72"/>
        <v>5</v>
      </c>
      <c r="I1572" s="150" t="str">
        <f t="shared" si="73"/>
        <v>53</v>
      </c>
      <c r="J1572" s="150" t="str">
        <f t="shared" si="74"/>
        <v>533</v>
      </c>
      <c r="K1572" s="150" t="s">
        <v>9343</v>
      </c>
      <c r="L1572" s="149" t="s">
        <v>309</v>
      </c>
      <c r="M1572" s="151">
        <v>24140.47</v>
      </c>
    </row>
    <row r="1573" spans="1:13" s="149" customFormat="1" x14ac:dyDescent="0.25">
      <c r="A1573" s="149" t="s">
        <v>7639</v>
      </c>
      <c r="B1573" s="149" t="s">
        <v>2761</v>
      </c>
      <c r="C1573" s="149">
        <v>11</v>
      </c>
      <c r="D1573" s="149">
        <v>375</v>
      </c>
      <c r="E1573" s="149">
        <v>0</v>
      </c>
      <c r="F1573" s="149">
        <v>150100</v>
      </c>
      <c r="G1573" s="149">
        <v>53410</v>
      </c>
      <c r="H1573" s="150" t="str">
        <f t="shared" si="72"/>
        <v>5</v>
      </c>
      <c r="I1573" s="150" t="str">
        <f t="shared" si="73"/>
        <v>53</v>
      </c>
      <c r="J1573" s="150" t="str">
        <f t="shared" si="74"/>
        <v>534</v>
      </c>
      <c r="K1573" s="150" t="s">
        <v>9344</v>
      </c>
      <c r="L1573" s="149" t="s">
        <v>2762</v>
      </c>
      <c r="M1573" s="151">
        <v>325963.31</v>
      </c>
    </row>
    <row r="1574" spans="1:13" s="149" customFormat="1" x14ac:dyDescent="0.25">
      <c r="A1574" s="149" t="s">
        <v>7639</v>
      </c>
      <c r="B1574" s="149" t="s">
        <v>2763</v>
      </c>
      <c r="C1574" s="149">
        <v>11</v>
      </c>
      <c r="D1574" s="149">
        <v>375</v>
      </c>
      <c r="E1574" s="149">
        <v>0</v>
      </c>
      <c r="F1574" s="149">
        <v>150100</v>
      </c>
      <c r="G1574" s="149">
        <v>53510</v>
      </c>
      <c r="H1574" s="150" t="str">
        <f t="shared" si="72"/>
        <v>5</v>
      </c>
      <c r="I1574" s="150" t="str">
        <f t="shared" si="73"/>
        <v>53</v>
      </c>
      <c r="J1574" s="150" t="str">
        <f t="shared" si="74"/>
        <v>535</v>
      </c>
      <c r="K1574" s="150" t="s">
        <v>9345</v>
      </c>
      <c r="L1574" s="149" t="s">
        <v>311</v>
      </c>
      <c r="M1574" s="151">
        <v>832.45</v>
      </c>
    </row>
    <row r="1575" spans="1:13" s="149" customFormat="1" x14ac:dyDescent="0.25">
      <c r="A1575" s="149" t="s">
        <v>7639</v>
      </c>
      <c r="B1575" s="149" t="s">
        <v>2764</v>
      </c>
      <c r="C1575" s="149">
        <v>11</v>
      </c>
      <c r="D1575" s="149">
        <v>375</v>
      </c>
      <c r="E1575" s="149">
        <v>0</v>
      </c>
      <c r="F1575" s="149">
        <v>150100</v>
      </c>
      <c r="G1575" s="149">
        <v>53610</v>
      </c>
      <c r="H1575" s="150" t="str">
        <f t="shared" si="72"/>
        <v>5</v>
      </c>
      <c r="I1575" s="150" t="str">
        <f t="shared" si="73"/>
        <v>53</v>
      </c>
      <c r="J1575" s="150" t="str">
        <f t="shared" si="74"/>
        <v>536</v>
      </c>
      <c r="K1575" s="150" t="s">
        <v>9346</v>
      </c>
      <c r="L1575" s="149" t="s">
        <v>313</v>
      </c>
      <c r="M1575" s="151">
        <v>31479.22</v>
      </c>
    </row>
    <row r="1576" spans="1:13" s="149" customFormat="1" x14ac:dyDescent="0.25">
      <c r="A1576" s="149" t="s">
        <v>7639</v>
      </c>
      <c r="B1576" s="149" t="s">
        <v>2765</v>
      </c>
      <c r="C1576" s="149">
        <v>11</v>
      </c>
      <c r="D1576" s="149">
        <v>375</v>
      </c>
      <c r="E1576" s="149">
        <v>0</v>
      </c>
      <c r="F1576" s="149">
        <v>150100</v>
      </c>
      <c r="G1576" s="149">
        <v>53910</v>
      </c>
      <c r="H1576" s="150" t="str">
        <f t="shared" si="72"/>
        <v>5</v>
      </c>
      <c r="I1576" s="150" t="str">
        <f t="shared" si="73"/>
        <v>53</v>
      </c>
      <c r="J1576" s="150" t="str">
        <f t="shared" si="74"/>
        <v>539</v>
      </c>
      <c r="K1576" s="150" t="s">
        <v>9347</v>
      </c>
      <c r="L1576" s="149" t="s">
        <v>2766</v>
      </c>
      <c r="M1576" s="151">
        <v>4800</v>
      </c>
    </row>
    <row r="1577" spans="1:13" s="149" customFormat="1" x14ac:dyDescent="0.25">
      <c r="A1577" s="149" t="s">
        <v>7639</v>
      </c>
      <c r="B1577" s="149" t="s">
        <v>2767</v>
      </c>
      <c r="C1577" s="149">
        <v>11</v>
      </c>
      <c r="D1577" s="149">
        <v>375</v>
      </c>
      <c r="E1577" s="149">
        <v>0</v>
      </c>
      <c r="F1577" s="149">
        <v>150100</v>
      </c>
      <c r="G1577" s="149">
        <v>54300</v>
      </c>
      <c r="H1577" s="150" t="str">
        <f t="shared" si="72"/>
        <v>5</v>
      </c>
      <c r="I1577" s="150" t="str">
        <f t="shared" si="73"/>
        <v>54</v>
      </c>
      <c r="J1577" s="150" t="str">
        <f t="shared" si="74"/>
        <v>543</v>
      </c>
      <c r="K1577" s="150" t="s">
        <v>7970</v>
      </c>
      <c r="L1577" s="149" t="s">
        <v>2768</v>
      </c>
      <c r="M1577" s="151">
        <v>910</v>
      </c>
    </row>
    <row r="1578" spans="1:13" s="149" customFormat="1" x14ac:dyDescent="0.25">
      <c r="A1578" s="149" t="s">
        <v>7639</v>
      </c>
      <c r="B1578" s="149" t="s">
        <v>2769</v>
      </c>
      <c r="C1578" s="149">
        <v>11</v>
      </c>
      <c r="D1578" s="149">
        <v>375</v>
      </c>
      <c r="E1578" s="149">
        <v>0</v>
      </c>
      <c r="F1578" s="149">
        <v>150100</v>
      </c>
      <c r="G1578" s="149">
        <v>55300</v>
      </c>
      <c r="H1578" s="150" t="str">
        <f t="shared" si="72"/>
        <v>5</v>
      </c>
      <c r="I1578" s="150" t="str">
        <f t="shared" si="73"/>
        <v>55</v>
      </c>
      <c r="J1578" s="150" t="str">
        <f t="shared" si="74"/>
        <v>553</v>
      </c>
      <c r="K1578" s="150" t="s">
        <v>8096</v>
      </c>
      <c r="L1578" s="149" t="s">
        <v>2770</v>
      </c>
      <c r="M1578" s="151">
        <v>100</v>
      </c>
    </row>
    <row r="1579" spans="1:13" s="149" customFormat="1" x14ac:dyDescent="0.25">
      <c r="A1579" s="149" t="s">
        <v>7639</v>
      </c>
      <c r="B1579" s="149" t="s">
        <v>2771</v>
      </c>
      <c r="C1579" s="149">
        <v>11</v>
      </c>
      <c r="D1579" s="149">
        <v>375</v>
      </c>
      <c r="E1579" s="149">
        <v>0</v>
      </c>
      <c r="F1579" s="149">
        <v>150100</v>
      </c>
      <c r="G1579" s="149">
        <v>55630</v>
      </c>
      <c r="H1579" s="150" t="str">
        <f t="shared" si="72"/>
        <v>5</v>
      </c>
      <c r="I1579" s="150" t="str">
        <f t="shared" si="73"/>
        <v>55</v>
      </c>
      <c r="J1579" s="150" t="str">
        <f t="shared" si="74"/>
        <v>556</v>
      </c>
      <c r="K1579" s="150" t="s">
        <v>8257</v>
      </c>
      <c r="L1579" s="149" t="s">
        <v>315</v>
      </c>
      <c r="M1579" s="151">
        <v>1100</v>
      </c>
    </row>
    <row r="1580" spans="1:13" s="149" customFormat="1" x14ac:dyDescent="0.25">
      <c r="A1580" s="149" t="s">
        <v>7639</v>
      </c>
      <c r="B1580" s="149" t="s">
        <v>2772</v>
      </c>
      <c r="C1580" s="149">
        <v>11</v>
      </c>
      <c r="D1580" s="149">
        <v>375</v>
      </c>
      <c r="E1580" s="149">
        <v>0</v>
      </c>
      <c r="F1580" s="149">
        <v>150600</v>
      </c>
      <c r="G1580" s="149">
        <v>51100</v>
      </c>
      <c r="H1580" s="150" t="str">
        <f t="shared" si="72"/>
        <v>5</v>
      </c>
      <c r="I1580" s="150" t="str">
        <f t="shared" si="73"/>
        <v>51</v>
      </c>
      <c r="J1580" s="150" t="str">
        <f t="shared" si="74"/>
        <v>511</v>
      </c>
      <c r="K1580" s="150" t="s">
        <v>9348</v>
      </c>
      <c r="L1580" s="149" t="s">
        <v>2773</v>
      </c>
      <c r="M1580" s="151">
        <v>173232.8</v>
      </c>
    </row>
    <row r="1581" spans="1:13" s="149" customFormat="1" x14ac:dyDescent="0.25">
      <c r="A1581" s="149" t="s">
        <v>7639</v>
      </c>
      <c r="B1581" s="149" t="s">
        <v>2774</v>
      </c>
      <c r="C1581" s="149">
        <v>11</v>
      </c>
      <c r="D1581" s="149">
        <v>375</v>
      </c>
      <c r="E1581" s="149">
        <v>0</v>
      </c>
      <c r="F1581" s="149">
        <v>150600</v>
      </c>
      <c r="G1581" s="149">
        <v>51310</v>
      </c>
      <c r="H1581" s="150" t="str">
        <f t="shared" si="72"/>
        <v>5</v>
      </c>
      <c r="I1581" s="150" t="str">
        <f t="shared" si="73"/>
        <v>51</v>
      </c>
      <c r="J1581" s="150" t="str">
        <f t="shared" si="74"/>
        <v>513</v>
      </c>
      <c r="K1581" s="150" t="s">
        <v>7688</v>
      </c>
      <c r="L1581" s="149" t="s">
        <v>2775</v>
      </c>
      <c r="M1581" s="151">
        <v>35000</v>
      </c>
    </row>
    <row r="1582" spans="1:13" s="149" customFormat="1" x14ac:dyDescent="0.25">
      <c r="A1582" s="149" t="s">
        <v>7639</v>
      </c>
      <c r="B1582" s="149" t="s">
        <v>2776</v>
      </c>
      <c r="C1582" s="149">
        <v>11</v>
      </c>
      <c r="D1582" s="149">
        <v>375</v>
      </c>
      <c r="E1582" s="149">
        <v>0</v>
      </c>
      <c r="F1582" s="149">
        <v>150600</v>
      </c>
      <c r="G1582" s="149">
        <v>51311</v>
      </c>
      <c r="H1582" s="150" t="str">
        <f t="shared" si="72"/>
        <v>5</v>
      </c>
      <c r="I1582" s="150" t="str">
        <f t="shared" si="73"/>
        <v>51</v>
      </c>
      <c r="J1582" s="150" t="str">
        <f t="shared" si="74"/>
        <v>513</v>
      </c>
      <c r="K1582" s="150" t="s">
        <v>7768</v>
      </c>
      <c r="L1582" s="149" t="s">
        <v>317</v>
      </c>
      <c r="M1582" s="151">
        <v>127000</v>
      </c>
    </row>
    <row r="1583" spans="1:13" s="149" customFormat="1" x14ac:dyDescent="0.25">
      <c r="A1583" s="149" t="s">
        <v>7639</v>
      </c>
      <c r="B1583" s="149" t="s">
        <v>2777</v>
      </c>
      <c r="C1583" s="149">
        <v>11</v>
      </c>
      <c r="D1583" s="149">
        <v>375</v>
      </c>
      <c r="E1583" s="149">
        <v>0</v>
      </c>
      <c r="F1583" s="149">
        <v>150600</v>
      </c>
      <c r="G1583" s="149">
        <v>53110</v>
      </c>
      <c r="H1583" s="150" t="str">
        <f t="shared" si="72"/>
        <v>5</v>
      </c>
      <c r="I1583" s="150" t="str">
        <f t="shared" si="73"/>
        <v>53</v>
      </c>
      <c r="J1583" s="150" t="str">
        <f t="shared" si="74"/>
        <v>531</v>
      </c>
      <c r="K1583" s="150" t="s">
        <v>9349</v>
      </c>
      <c r="L1583" s="149" t="s">
        <v>319</v>
      </c>
      <c r="M1583" s="151">
        <v>54140.1</v>
      </c>
    </row>
    <row r="1584" spans="1:13" s="149" customFormat="1" x14ac:dyDescent="0.25">
      <c r="A1584" s="149" t="s">
        <v>7639</v>
      </c>
      <c r="B1584" s="149" t="s">
        <v>2778</v>
      </c>
      <c r="C1584" s="149">
        <v>11</v>
      </c>
      <c r="D1584" s="149">
        <v>375</v>
      </c>
      <c r="E1584" s="149">
        <v>0</v>
      </c>
      <c r="F1584" s="149">
        <v>150600</v>
      </c>
      <c r="G1584" s="149">
        <v>53310</v>
      </c>
      <c r="H1584" s="150" t="str">
        <f t="shared" si="72"/>
        <v>5</v>
      </c>
      <c r="I1584" s="150" t="str">
        <f t="shared" si="73"/>
        <v>53</v>
      </c>
      <c r="J1584" s="150" t="str">
        <f t="shared" si="74"/>
        <v>533</v>
      </c>
      <c r="K1584" s="150" t="s">
        <v>9350</v>
      </c>
      <c r="L1584" s="149" t="s">
        <v>2779</v>
      </c>
      <c r="M1584" s="151">
        <v>0</v>
      </c>
    </row>
    <row r="1585" spans="1:13" s="149" customFormat="1" x14ac:dyDescent="0.25">
      <c r="A1585" s="149" t="s">
        <v>7639</v>
      </c>
      <c r="B1585" s="149" t="s">
        <v>2780</v>
      </c>
      <c r="C1585" s="149">
        <v>11</v>
      </c>
      <c r="D1585" s="149">
        <v>375</v>
      </c>
      <c r="E1585" s="149">
        <v>0</v>
      </c>
      <c r="F1585" s="149">
        <v>150600</v>
      </c>
      <c r="G1585" s="149">
        <v>53330</v>
      </c>
      <c r="H1585" s="150" t="str">
        <f t="shared" si="72"/>
        <v>5</v>
      </c>
      <c r="I1585" s="150" t="str">
        <f t="shared" si="73"/>
        <v>53</v>
      </c>
      <c r="J1585" s="150" t="str">
        <f t="shared" si="74"/>
        <v>533</v>
      </c>
      <c r="K1585" s="150" t="s">
        <v>9351</v>
      </c>
      <c r="L1585" s="149" t="s">
        <v>321</v>
      </c>
      <c r="M1585" s="151">
        <v>4860.88</v>
      </c>
    </row>
    <row r="1586" spans="1:13" s="149" customFormat="1" x14ac:dyDescent="0.25">
      <c r="A1586" s="149" t="s">
        <v>7639</v>
      </c>
      <c r="B1586" s="149" t="s">
        <v>2781</v>
      </c>
      <c r="C1586" s="149">
        <v>11</v>
      </c>
      <c r="D1586" s="149">
        <v>375</v>
      </c>
      <c r="E1586" s="149">
        <v>0</v>
      </c>
      <c r="F1586" s="149">
        <v>150600</v>
      </c>
      <c r="G1586" s="149">
        <v>53410</v>
      </c>
      <c r="H1586" s="150" t="str">
        <f t="shared" si="72"/>
        <v>5</v>
      </c>
      <c r="I1586" s="150" t="str">
        <f t="shared" si="73"/>
        <v>53</v>
      </c>
      <c r="J1586" s="150" t="str">
        <f t="shared" si="74"/>
        <v>534</v>
      </c>
      <c r="K1586" s="150" t="s">
        <v>9352</v>
      </c>
      <c r="L1586" s="149" t="s">
        <v>2782</v>
      </c>
      <c r="M1586" s="151">
        <v>51737.87</v>
      </c>
    </row>
    <row r="1587" spans="1:13" s="149" customFormat="1" x14ac:dyDescent="0.25">
      <c r="A1587" s="149" t="s">
        <v>7639</v>
      </c>
      <c r="B1587" s="149" t="s">
        <v>2783</v>
      </c>
      <c r="C1587" s="149">
        <v>11</v>
      </c>
      <c r="D1587" s="149">
        <v>375</v>
      </c>
      <c r="E1587" s="149">
        <v>0</v>
      </c>
      <c r="F1587" s="149">
        <v>150600</v>
      </c>
      <c r="G1587" s="149">
        <v>53510</v>
      </c>
      <c r="H1587" s="150" t="str">
        <f t="shared" si="72"/>
        <v>5</v>
      </c>
      <c r="I1587" s="150" t="str">
        <f t="shared" si="73"/>
        <v>53</v>
      </c>
      <c r="J1587" s="150" t="str">
        <f t="shared" si="74"/>
        <v>535</v>
      </c>
      <c r="K1587" s="150" t="s">
        <v>9353</v>
      </c>
      <c r="L1587" s="149" t="s">
        <v>323</v>
      </c>
      <c r="M1587" s="151">
        <v>167.62</v>
      </c>
    </row>
    <row r="1588" spans="1:13" s="149" customFormat="1" x14ac:dyDescent="0.25">
      <c r="A1588" s="149" t="s">
        <v>7639</v>
      </c>
      <c r="B1588" s="149" t="s">
        <v>2784</v>
      </c>
      <c r="C1588" s="149">
        <v>11</v>
      </c>
      <c r="D1588" s="149">
        <v>375</v>
      </c>
      <c r="E1588" s="149">
        <v>0</v>
      </c>
      <c r="F1588" s="149">
        <v>150600</v>
      </c>
      <c r="G1588" s="149">
        <v>53610</v>
      </c>
      <c r="H1588" s="150" t="str">
        <f t="shared" si="72"/>
        <v>5</v>
      </c>
      <c r="I1588" s="150" t="str">
        <f t="shared" si="73"/>
        <v>53</v>
      </c>
      <c r="J1588" s="150" t="str">
        <f t="shared" si="74"/>
        <v>536</v>
      </c>
      <c r="K1588" s="150" t="s">
        <v>9354</v>
      </c>
      <c r="L1588" s="149" t="s">
        <v>325</v>
      </c>
      <c r="M1588" s="151">
        <v>6338.58</v>
      </c>
    </row>
    <row r="1589" spans="1:13" s="149" customFormat="1" x14ac:dyDescent="0.25">
      <c r="A1589" s="149" t="s">
        <v>7639</v>
      </c>
      <c r="B1589" s="149" t="s">
        <v>2785</v>
      </c>
      <c r="C1589" s="149">
        <v>11</v>
      </c>
      <c r="D1589" s="149">
        <v>375</v>
      </c>
      <c r="E1589" s="149">
        <v>0</v>
      </c>
      <c r="F1589" s="149">
        <v>150600</v>
      </c>
      <c r="G1589" s="149">
        <v>54300</v>
      </c>
      <c r="H1589" s="150" t="str">
        <f t="shared" si="72"/>
        <v>5</v>
      </c>
      <c r="I1589" s="150" t="str">
        <f t="shared" si="73"/>
        <v>54</v>
      </c>
      <c r="J1589" s="150" t="str">
        <f t="shared" si="74"/>
        <v>543</v>
      </c>
      <c r="K1589" s="150" t="s">
        <v>7971</v>
      </c>
      <c r="L1589" s="149" t="s">
        <v>2786</v>
      </c>
      <c r="M1589" s="151">
        <v>303</v>
      </c>
    </row>
    <row r="1590" spans="1:13" s="149" customFormat="1" x14ac:dyDescent="0.25">
      <c r="A1590" s="149" t="s">
        <v>7639</v>
      </c>
      <c r="B1590" s="149" t="s">
        <v>2787</v>
      </c>
      <c r="C1590" s="149">
        <v>11</v>
      </c>
      <c r="D1590" s="149">
        <v>375</v>
      </c>
      <c r="E1590" s="149">
        <v>0</v>
      </c>
      <c r="F1590" s="149">
        <v>150600</v>
      </c>
      <c r="G1590" s="149">
        <v>55200</v>
      </c>
      <c r="H1590" s="150" t="str">
        <f t="shared" si="72"/>
        <v>5</v>
      </c>
      <c r="I1590" s="150" t="str">
        <f t="shared" si="73"/>
        <v>55</v>
      </c>
      <c r="J1590" s="150" t="str">
        <f t="shared" si="74"/>
        <v>552</v>
      </c>
      <c r="K1590" s="150" t="s">
        <v>8062</v>
      </c>
      <c r="L1590" s="149" t="s">
        <v>2788</v>
      </c>
      <c r="M1590" s="151">
        <v>-3000</v>
      </c>
    </row>
    <row r="1591" spans="1:13" s="149" customFormat="1" x14ac:dyDescent="0.25">
      <c r="A1591" s="149" t="s">
        <v>7639</v>
      </c>
      <c r="B1591" s="149" t="s">
        <v>2789</v>
      </c>
      <c r="C1591" s="149">
        <v>11</v>
      </c>
      <c r="D1591" s="149">
        <v>375</v>
      </c>
      <c r="E1591" s="149">
        <v>0</v>
      </c>
      <c r="F1591" s="149">
        <v>150600</v>
      </c>
      <c r="G1591" s="149">
        <v>55630</v>
      </c>
      <c r="H1591" s="150" t="str">
        <f t="shared" si="72"/>
        <v>5</v>
      </c>
      <c r="I1591" s="150" t="str">
        <f t="shared" si="73"/>
        <v>55</v>
      </c>
      <c r="J1591" s="150" t="str">
        <f t="shared" si="74"/>
        <v>556</v>
      </c>
      <c r="K1591" s="150" t="s">
        <v>8258</v>
      </c>
      <c r="L1591" s="149" t="s">
        <v>327</v>
      </c>
      <c r="M1591" s="151">
        <v>162.19999999999999</v>
      </c>
    </row>
    <row r="1592" spans="1:13" s="149" customFormat="1" x14ac:dyDescent="0.25">
      <c r="A1592" s="149" t="s">
        <v>7639</v>
      </c>
      <c r="B1592" s="149" t="s">
        <v>2790</v>
      </c>
      <c r="C1592" s="149">
        <v>11</v>
      </c>
      <c r="D1592" s="149">
        <v>375</v>
      </c>
      <c r="E1592" s="149">
        <v>0</v>
      </c>
      <c r="F1592" s="149">
        <v>493080</v>
      </c>
      <c r="G1592" s="149">
        <v>51100</v>
      </c>
      <c r="H1592" s="150" t="str">
        <f t="shared" si="72"/>
        <v>5</v>
      </c>
      <c r="I1592" s="150" t="str">
        <f t="shared" si="73"/>
        <v>51</v>
      </c>
      <c r="J1592" s="150" t="str">
        <f t="shared" si="74"/>
        <v>511</v>
      </c>
      <c r="K1592" s="150" t="s">
        <v>9355</v>
      </c>
      <c r="L1592" s="149" t="s">
        <v>2791</v>
      </c>
      <c r="M1592" s="151">
        <v>321463</v>
      </c>
    </row>
    <row r="1593" spans="1:13" s="149" customFormat="1" x14ac:dyDescent="0.25">
      <c r="A1593" s="149" t="s">
        <v>7639</v>
      </c>
      <c r="B1593" s="149" t="s">
        <v>2792</v>
      </c>
      <c r="C1593" s="149">
        <v>11</v>
      </c>
      <c r="D1593" s="149">
        <v>375</v>
      </c>
      <c r="E1593" s="149">
        <v>0</v>
      </c>
      <c r="F1593" s="149">
        <v>493080</v>
      </c>
      <c r="G1593" s="149">
        <v>51310</v>
      </c>
      <c r="H1593" s="150" t="str">
        <f t="shared" si="72"/>
        <v>5</v>
      </c>
      <c r="I1593" s="150" t="str">
        <f t="shared" si="73"/>
        <v>51</v>
      </c>
      <c r="J1593" s="150" t="str">
        <f t="shared" si="74"/>
        <v>513</v>
      </c>
      <c r="K1593" s="150" t="s">
        <v>7689</v>
      </c>
      <c r="L1593" s="149" t="s">
        <v>2793</v>
      </c>
      <c r="M1593" s="151">
        <v>7600</v>
      </c>
    </row>
    <row r="1594" spans="1:13" s="149" customFormat="1" x14ac:dyDescent="0.25">
      <c r="A1594" s="149" t="s">
        <v>7639</v>
      </c>
      <c r="B1594" s="149" t="s">
        <v>2794</v>
      </c>
      <c r="C1594" s="149">
        <v>11</v>
      </c>
      <c r="D1594" s="149">
        <v>375</v>
      </c>
      <c r="E1594" s="149">
        <v>0</v>
      </c>
      <c r="F1594" s="149">
        <v>493080</v>
      </c>
      <c r="G1594" s="149">
        <v>51311</v>
      </c>
      <c r="H1594" s="150" t="str">
        <f t="shared" si="72"/>
        <v>5</v>
      </c>
      <c r="I1594" s="150" t="str">
        <f t="shared" si="73"/>
        <v>51</v>
      </c>
      <c r="J1594" s="150" t="str">
        <f t="shared" si="74"/>
        <v>513</v>
      </c>
      <c r="K1594" s="150" t="s">
        <v>7769</v>
      </c>
      <c r="L1594" s="149" t="s">
        <v>467</v>
      </c>
      <c r="M1594" s="151">
        <v>175000</v>
      </c>
    </row>
    <row r="1595" spans="1:13" s="149" customFormat="1" x14ac:dyDescent="0.25">
      <c r="A1595" s="149" t="s">
        <v>7639</v>
      </c>
      <c r="B1595" s="149" t="s">
        <v>2795</v>
      </c>
      <c r="C1595" s="149">
        <v>11</v>
      </c>
      <c r="D1595" s="149">
        <v>375</v>
      </c>
      <c r="E1595" s="149">
        <v>0</v>
      </c>
      <c r="F1595" s="149">
        <v>493080</v>
      </c>
      <c r="G1595" s="149">
        <v>53110</v>
      </c>
      <c r="H1595" s="150" t="str">
        <f t="shared" si="72"/>
        <v>5</v>
      </c>
      <c r="I1595" s="150" t="str">
        <f t="shared" si="73"/>
        <v>53</v>
      </c>
      <c r="J1595" s="150" t="str">
        <f t="shared" si="74"/>
        <v>531</v>
      </c>
      <c r="K1595" s="150" t="s">
        <v>9356</v>
      </c>
      <c r="L1595" s="149" t="s">
        <v>469</v>
      </c>
      <c r="M1595" s="151">
        <v>81406.17</v>
      </c>
    </row>
    <row r="1596" spans="1:13" s="149" customFormat="1" x14ac:dyDescent="0.25">
      <c r="A1596" s="149" t="s">
        <v>7639</v>
      </c>
      <c r="B1596" s="149" t="s">
        <v>2796</v>
      </c>
      <c r="C1596" s="149">
        <v>11</v>
      </c>
      <c r="D1596" s="149">
        <v>375</v>
      </c>
      <c r="E1596" s="149">
        <v>0</v>
      </c>
      <c r="F1596" s="149">
        <v>493080</v>
      </c>
      <c r="G1596" s="149">
        <v>53330</v>
      </c>
      <c r="H1596" s="150" t="str">
        <f t="shared" si="72"/>
        <v>5</v>
      </c>
      <c r="I1596" s="150" t="str">
        <f t="shared" si="73"/>
        <v>53</v>
      </c>
      <c r="J1596" s="150" t="str">
        <f t="shared" si="74"/>
        <v>533</v>
      </c>
      <c r="K1596" s="150" t="s">
        <v>9357</v>
      </c>
      <c r="L1596" s="149" t="s">
        <v>471</v>
      </c>
      <c r="M1596" s="151">
        <v>7308.91</v>
      </c>
    </row>
    <row r="1597" spans="1:13" s="149" customFormat="1" x14ac:dyDescent="0.25">
      <c r="A1597" s="149" t="s">
        <v>7639</v>
      </c>
      <c r="B1597" s="149" t="s">
        <v>2797</v>
      </c>
      <c r="C1597" s="149">
        <v>11</v>
      </c>
      <c r="D1597" s="149">
        <v>375</v>
      </c>
      <c r="E1597" s="149">
        <v>0</v>
      </c>
      <c r="F1597" s="149">
        <v>493080</v>
      </c>
      <c r="G1597" s="149">
        <v>53410</v>
      </c>
      <c r="H1597" s="150" t="str">
        <f t="shared" si="72"/>
        <v>5</v>
      </c>
      <c r="I1597" s="150" t="str">
        <f t="shared" si="73"/>
        <v>53</v>
      </c>
      <c r="J1597" s="150" t="str">
        <f t="shared" si="74"/>
        <v>534</v>
      </c>
      <c r="K1597" s="150" t="s">
        <v>9358</v>
      </c>
      <c r="L1597" s="149" t="s">
        <v>2798</v>
      </c>
      <c r="M1597" s="151">
        <v>39642.93</v>
      </c>
    </row>
    <row r="1598" spans="1:13" s="149" customFormat="1" x14ac:dyDescent="0.25">
      <c r="A1598" s="149" t="s">
        <v>7639</v>
      </c>
      <c r="B1598" s="149" t="s">
        <v>2799</v>
      </c>
      <c r="C1598" s="149">
        <v>11</v>
      </c>
      <c r="D1598" s="149">
        <v>375</v>
      </c>
      <c r="E1598" s="149">
        <v>0</v>
      </c>
      <c r="F1598" s="149">
        <v>493080</v>
      </c>
      <c r="G1598" s="149">
        <v>53510</v>
      </c>
      <c r="H1598" s="150" t="str">
        <f t="shared" si="72"/>
        <v>5</v>
      </c>
      <c r="I1598" s="150" t="str">
        <f t="shared" si="73"/>
        <v>53</v>
      </c>
      <c r="J1598" s="150" t="str">
        <f t="shared" si="74"/>
        <v>535</v>
      </c>
      <c r="K1598" s="150" t="s">
        <v>9359</v>
      </c>
      <c r="L1598" s="149" t="s">
        <v>473</v>
      </c>
      <c r="M1598" s="151">
        <v>252.03</v>
      </c>
    </row>
    <row r="1599" spans="1:13" s="149" customFormat="1" x14ac:dyDescent="0.25">
      <c r="A1599" s="149" t="s">
        <v>7639</v>
      </c>
      <c r="B1599" s="149" t="s">
        <v>2800</v>
      </c>
      <c r="C1599" s="149">
        <v>11</v>
      </c>
      <c r="D1599" s="149">
        <v>375</v>
      </c>
      <c r="E1599" s="149">
        <v>0</v>
      </c>
      <c r="F1599" s="149">
        <v>493080</v>
      </c>
      <c r="G1599" s="149">
        <v>53610</v>
      </c>
      <c r="H1599" s="150" t="str">
        <f t="shared" si="72"/>
        <v>5</v>
      </c>
      <c r="I1599" s="150" t="str">
        <f t="shared" si="73"/>
        <v>53</v>
      </c>
      <c r="J1599" s="150" t="str">
        <f t="shared" si="74"/>
        <v>536</v>
      </c>
      <c r="K1599" s="150" t="s">
        <v>9360</v>
      </c>
      <c r="L1599" s="149" t="s">
        <v>475</v>
      </c>
      <c r="M1599" s="151">
        <v>9530.83</v>
      </c>
    </row>
    <row r="1600" spans="1:13" s="149" customFormat="1" x14ac:dyDescent="0.25">
      <c r="A1600" s="149" t="s">
        <v>7639</v>
      </c>
      <c r="B1600" s="149" t="s">
        <v>2801</v>
      </c>
      <c r="C1600" s="149">
        <v>11</v>
      </c>
      <c r="D1600" s="149">
        <v>375</v>
      </c>
      <c r="E1600" s="149">
        <v>0</v>
      </c>
      <c r="F1600" s="149">
        <v>493080</v>
      </c>
      <c r="G1600" s="149">
        <v>54300</v>
      </c>
      <c r="H1600" s="150" t="str">
        <f t="shared" si="72"/>
        <v>5</v>
      </c>
      <c r="I1600" s="150" t="str">
        <f t="shared" si="73"/>
        <v>54</v>
      </c>
      <c r="J1600" s="150" t="str">
        <f t="shared" si="74"/>
        <v>543</v>
      </c>
      <c r="K1600" s="150" t="s">
        <v>7972</v>
      </c>
      <c r="L1600" s="149" t="s">
        <v>2802</v>
      </c>
      <c r="M1600" s="151">
        <v>600</v>
      </c>
    </row>
    <row r="1601" spans="1:13" s="149" customFormat="1" x14ac:dyDescent="0.25">
      <c r="A1601" s="149" t="s">
        <v>7639</v>
      </c>
      <c r="B1601" s="149" t="s">
        <v>2803</v>
      </c>
      <c r="C1601" s="149">
        <v>11</v>
      </c>
      <c r="D1601" s="149">
        <v>375</v>
      </c>
      <c r="E1601" s="149">
        <v>0</v>
      </c>
      <c r="F1601" s="149">
        <v>493080</v>
      </c>
      <c r="G1601" s="149">
        <v>55630</v>
      </c>
      <c r="H1601" s="150" t="str">
        <f t="shared" si="72"/>
        <v>5</v>
      </c>
      <c r="I1601" s="150" t="str">
        <f t="shared" si="73"/>
        <v>55</v>
      </c>
      <c r="J1601" s="150" t="str">
        <f t="shared" si="74"/>
        <v>556</v>
      </c>
      <c r="K1601" s="150" t="s">
        <v>8259</v>
      </c>
      <c r="L1601" s="149" t="s">
        <v>2804</v>
      </c>
      <c r="M1601" s="151">
        <v>220</v>
      </c>
    </row>
    <row r="1602" spans="1:13" s="149" customFormat="1" x14ac:dyDescent="0.25">
      <c r="A1602" s="149" t="s">
        <v>7639</v>
      </c>
      <c r="B1602" s="149" t="s">
        <v>2805</v>
      </c>
      <c r="C1602" s="149">
        <v>11</v>
      </c>
      <c r="D1602" s="149">
        <v>395</v>
      </c>
      <c r="E1602" s="149">
        <v>0</v>
      </c>
      <c r="F1602" s="149">
        <v>635050</v>
      </c>
      <c r="G1602" s="149">
        <v>51412</v>
      </c>
      <c r="H1602" s="150" t="str">
        <f t="shared" si="72"/>
        <v>5</v>
      </c>
      <c r="I1602" s="150" t="str">
        <f t="shared" si="73"/>
        <v>51</v>
      </c>
      <c r="J1602" s="150" t="str">
        <f t="shared" si="74"/>
        <v>514</v>
      </c>
      <c r="K1602" s="150" t="s">
        <v>7803</v>
      </c>
      <c r="L1602" s="149" t="s">
        <v>2806</v>
      </c>
      <c r="M1602" s="151">
        <v>2000</v>
      </c>
    </row>
    <row r="1603" spans="1:13" s="149" customFormat="1" x14ac:dyDescent="0.25">
      <c r="A1603" s="149" t="s">
        <v>7639</v>
      </c>
      <c r="B1603" s="149" t="s">
        <v>2807</v>
      </c>
      <c r="C1603" s="149">
        <v>11</v>
      </c>
      <c r="D1603" s="149">
        <v>395</v>
      </c>
      <c r="E1603" s="149">
        <v>0</v>
      </c>
      <c r="F1603" s="149">
        <v>635050</v>
      </c>
      <c r="G1603" s="149">
        <v>52105</v>
      </c>
      <c r="H1603" s="150" t="str">
        <f t="shared" ref="H1603:H1666" si="75">LEFT(G1603,1)</f>
        <v>5</v>
      </c>
      <c r="I1603" s="150" t="str">
        <f t="shared" ref="I1603:I1666" si="76">LEFT(G1603,2)</f>
        <v>52</v>
      </c>
      <c r="J1603" s="150" t="str">
        <f t="shared" ref="J1603:J1666" si="77">LEFT(G1603,3)</f>
        <v>521</v>
      </c>
      <c r="K1603" s="150" t="s">
        <v>9361</v>
      </c>
      <c r="L1603" s="149" t="s">
        <v>2808</v>
      </c>
      <c r="M1603" s="151">
        <v>35210.5</v>
      </c>
    </row>
    <row r="1604" spans="1:13" s="149" customFormat="1" x14ac:dyDescent="0.25">
      <c r="A1604" s="149" t="s">
        <v>7639</v>
      </c>
      <c r="B1604" s="149" t="s">
        <v>2809</v>
      </c>
      <c r="C1604" s="149">
        <v>11</v>
      </c>
      <c r="D1604" s="149">
        <v>395</v>
      </c>
      <c r="E1604" s="149">
        <v>0</v>
      </c>
      <c r="F1604" s="149">
        <v>635050</v>
      </c>
      <c r="G1604" s="149">
        <v>52350</v>
      </c>
      <c r="H1604" s="150" t="str">
        <f t="shared" si="75"/>
        <v>5</v>
      </c>
      <c r="I1604" s="150" t="str">
        <f t="shared" si="76"/>
        <v>52</v>
      </c>
      <c r="J1604" s="150" t="str">
        <f t="shared" si="77"/>
        <v>523</v>
      </c>
      <c r="K1604" s="150" t="s">
        <v>7859</v>
      </c>
      <c r="L1604" s="149" t="s">
        <v>2810</v>
      </c>
      <c r="M1604" s="151">
        <v>14000</v>
      </c>
    </row>
    <row r="1605" spans="1:13" s="149" customFormat="1" x14ac:dyDescent="0.25">
      <c r="A1605" s="149" t="s">
        <v>7639</v>
      </c>
      <c r="B1605" s="149" t="s">
        <v>2811</v>
      </c>
      <c r="C1605" s="149">
        <v>11</v>
      </c>
      <c r="D1605" s="149">
        <v>395</v>
      </c>
      <c r="E1605" s="149">
        <v>0</v>
      </c>
      <c r="F1605" s="149">
        <v>635050</v>
      </c>
      <c r="G1605" s="149">
        <v>52360</v>
      </c>
      <c r="H1605" s="150" t="str">
        <f t="shared" si="75"/>
        <v>5</v>
      </c>
      <c r="I1605" s="150" t="str">
        <f t="shared" si="76"/>
        <v>52</v>
      </c>
      <c r="J1605" s="150" t="str">
        <f t="shared" si="77"/>
        <v>523</v>
      </c>
      <c r="K1605" s="150" t="s">
        <v>7879</v>
      </c>
      <c r="L1605" s="149" t="s">
        <v>2812</v>
      </c>
      <c r="M1605" s="151">
        <v>0</v>
      </c>
    </row>
    <row r="1606" spans="1:13" s="149" customFormat="1" x14ac:dyDescent="0.25">
      <c r="A1606" s="149" t="s">
        <v>7639</v>
      </c>
      <c r="B1606" s="149" t="s">
        <v>2813</v>
      </c>
      <c r="C1606" s="149">
        <v>11</v>
      </c>
      <c r="D1606" s="149">
        <v>395</v>
      </c>
      <c r="E1606" s="149">
        <v>0</v>
      </c>
      <c r="F1606" s="149">
        <v>635050</v>
      </c>
      <c r="G1606" s="149">
        <v>53120</v>
      </c>
      <c r="H1606" s="150" t="str">
        <f t="shared" si="75"/>
        <v>5</v>
      </c>
      <c r="I1606" s="150" t="str">
        <f t="shared" si="76"/>
        <v>53</v>
      </c>
      <c r="J1606" s="150" t="str">
        <f t="shared" si="77"/>
        <v>531</v>
      </c>
      <c r="K1606" s="150" t="s">
        <v>9362</v>
      </c>
      <c r="L1606" s="149" t="s">
        <v>2814</v>
      </c>
      <c r="M1606" s="151">
        <v>323</v>
      </c>
    </row>
    <row r="1607" spans="1:13" s="149" customFormat="1" x14ac:dyDescent="0.25">
      <c r="A1607" s="149" t="s">
        <v>7639</v>
      </c>
      <c r="B1607" s="149" t="s">
        <v>2815</v>
      </c>
      <c r="C1607" s="149">
        <v>11</v>
      </c>
      <c r="D1607" s="149">
        <v>395</v>
      </c>
      <c r="E1607" s="149">
        <v>0</v>
      </c>
      <c r="F1607" s="149">
        <v>635050</v>
      </c>
      <c r="G1607" s="149">
        <v>53220</v>
      </c>
      <c r="H1607" s="150" t="str">
        <f t="shared" si="75"/>
        <v>5</v>
      </c>
      <c r="I1607" s="150" t="str">
        <f t="shared" si="76"/>
        <v>53</v>
      </c>
      <c r="J1607" s="150" t="str">
        <f t="shared" si="77"/>
        <v>532</v>
      </c>
      <c r="K1607" s="150" t="s">
        <v>9363</v>
      </c>
      <c r="L1607" s="149" t="s">
        <v>2816</v>
      </c>
      <c r="M1607" s="151">
        <v>7288.57</v>
      </c>
    </row>
    <row r="1608" spans="1:13" s="149" customFormat="1" x14ac:dyDescent="0.25">
      <c r="A1608" s="149" t="s">
        <v>7639</v>
      </c>
      <c r="B1608" s="149" t="s">
        <v>2817</v>
      </c>
      <c r="C1608" s="149">
        <v>11</v>
      </c>
      <c r="D1608" s="149">
        <v>395</v>
      </c>
      <c r="E1608" s="149">
        <v>0</v>
      </c>
      <c r="F1608" s="149">
        <v>635050</v>
      </c>
      <c r="G1608" s="149">
        <v>53320</v>
      </c>
      <c r="H1608" s="150" t="str">
        <f t="shared" si="75"/>
        <v>5</v>
      </c>
      <c r="I1608" s="150" t="str">
        <f t="shared" si="76"/>
        <v>53</v>
      </c>
      <c r="J1608" s="150" t="str">
        <f t="shared" si="77"/>
        <v>533</v>
      </c>
      <c r="K1608" s="150" t="s">
        <v>9364</v>
      </c>
      <c r="L1608" s="149" t="s">
        <v>2818</v>
      </c>
      <c r="M1608" s="151">
        <v>2183.0500000000002</v>
      </c>
    </row>
    <row r="1609" spans="1:13" s="149" customFormat="1" x14ac:dyDescent="0.25">
      <c r="A1609" s="149" t="s">
        <v>7639</v>
      </c>
      <c r="B1609" s="149" t="s">
        <v>2819</v>
      </c>
      <c r="C1609" s="149">
        <v>11</v>
      </c>
      <c r="D1609" s="149">
        <v>395</v>
      </c>
      <c r="E1609" s="149">
        <v>0</v>
      </c>
      <c r="F1609" s="149">
        <v>635050</v>
      </c>
      <c r="G1609" s="149">
        <v>53340</v>
      </c>
      <c r="H1609" s="150" t="str">
        <f t="shared" si="75"/>
        <v>5</v>
      </c>
      <c r="I1609" s="150" t="str">
        <f t="shared" si="76"/>
        <v>53</v>
      </c>
      <c r="J1609" s="150" t="str">
        <f t="shared" si="77"/>
        <v>533</v>
      </c>
      <c r="K1609" s="150" t="s">
        <v>9365</v>
      </c>
      <c r="L1609" s="149" t="s">
        <v>2820</v>
      </c>
      <c r="M1609" s="151">
        <v>539.54999999999995</v>
      </c>
    </row>
    <row r="1610" spans="1:13" s="149" customFormat="1" x14ac:dyDescent="0.25">
      <c r="A1610" s="149" t="s">
        <v>7639</v>
      </c>
      <c r="B1610" s="149" t="s">
        <v>2821</v>
      </c>
      <c r="C1610" s="149">
        <v>11</v>
      </c>
      <c r="D1610" s="149">
        <v>395</v>
      </c>
      <c r="E1610" s="149">
        <v>0</v>
      </c>
      <c r="F1610" s="149">
        <v>635050</v>
      </c>
      <c r="G1610" s="149">
        <v>53420</v>
      </c>
      <c r="H1610" s="150" t="str">
        <f t="shared" si="75"/>
        <v>5</v>
      </c>
      <c r="I1610" s="150" t="str">
        <f t="shared" si="76"/>
        <v>53</v>
      </c>
      <c r="J1610" s="150" t="str">
        <f t="shared" si="77"/>
        <v>534</v>
      </c>
      <c r="K1610" s="150" t="s">
        <v>9366</v>
      </c>
      <c r="L1610" s="149" t="s">
        <v>2822</v>
      </c>
      <c r="M1610" s="151">
        <v>16560.72</v>
      </c>
    </row>
    <row r="1611" spans="1:13" s="149" customFormat="1" x14ac:dyDescent="0.25">
      <c r="A1611" s="149" t="s">
        <v>7639</v>
      </c>
      <c r="B1611" s="149" t="s">
        <v>2823</v>
      </c>
      <c r="C1611" s="149">
        <v>11</v>
      </c>
      <c r="D1611" s="149">
        <v>395</v>
      </c>
      <c r="E1611" s="149">
        <v>0</v>
      </c>
      <c r="F1611" s="149">
        <v>635050</v>
      </c>
      <c r="G1611" s="149">
        <v>53520</v>
      </c>
      <c r="H1611" s="150" t="str">
        <f t="shared" si="75"/>
        <v>5</v>
      </c>
      <c r="I1611" s="150" t="str">
        <f t="shared" si="76"/>
        <v>53</v>
      </c>
      <c r="J1611" s="150" t="str">
        <f t="shared" si="77"/>
        <v>535</v>
      </c>
      <c r="K1611" s="150" t="s">
        <v>9367</v>
      </c>
      <c r="L1611" s="149" t="s">
        <v>2824</v>
      </c>
      <c r="M1611" s="151">
        <v>18.61</v>
      </c>
    </row>
    <row r="1612" spans="1:13" s="149" customFormat="1" x14ac:dyDescent="0.25">
      <c r="A1612" s="149" t="s">
        <v>7639</v>
      </c>
      <c r="B1612" s="149" t="s">
        <v>2825</v>
      </c>
      <c r="C1612" s="149">
        <v>11</v>
      </c>
      <c r="D1612" s="149">
        <v>395</v>
      </c>
      <c r="E1612" s="149">
        <v>0</v>
      </c>
      <c r="F1612" s="149">
        <v>635050</v>
      </c>
      <c r="G1612" s="149">
        <v>53620</v>
      </c>
      <c r="H1612" s="150" t="str">
        <f t="shared" si="75"/>
        <v>5</v>
      </c>
      <c r="I1612" s="150" t="str">
        <f t="shared" si="76"/>
        <v>53</v>
      </c>
      <c r="J1612" s="150" t="str">
        <f t="shared" si="77"/>
        <v>536</v>
      </c>
      <c r="K1612" s="150" t="s">
        <v>9368</v>
      </c>
      <c r="L1612" s="149" t="s">
        <v>2826</v>
      </c>
      <c r="M1612" s="151">
        <v>968.29</v>
      </c>
    </row>
    <row r="1613" spans="1:13" s="149" customFormat="1" x14ac:dyDescent="0.25">
      <c r="A1613" s="149" t="s">
        <v>7639</v>
      </c>
      <c r="B1613" s="149" t="s">
        <v>2827</v>
      </c>
      <c r="C1613" s="149">
        <v>11</v>
      </c>
      <c r="D1613" s="149">
        <v>395</v>
      </c>
      <c r="E1613" s="149">
        <v>0</v>
      </c>
      <c r="F1613" s="149">
        <v>635050</v>
      </c>
      <c r="G1613" s="149">
        <v>54210</v>
      </c>
      <c r="H1613" s="150" t="str">
        <f t="shared" si="75"/>
        <v>5</v>
      </c>
      <c r="I1613" s="150" t="str">
        <f t="shared" si="76"/>
        <v>54</v>
      </c>
      <c r="J1613" s="150" t="str">
        <f t="shared" si="77"/>
        <v>542</v>
      </c>
      <c r="K1613" s="150" t="s">
        <v>7914</v>
      </c>
      <c r="L1613" s="149" t="s">
        <v>2828</v>
      </c>
      <c r="M1613" s="151">
        <v>0</v>
      </c>
    </row>
    <row r="1614" spans="1:13" s="149" customFormat="1" x14ac:dyDescent="0.25">
      <c r="A1614" s="149" t="s">
        <v>7639</v>
      </c>
      <c r="B1614" s="149" t="s">
        <v>2829</v>
      </c>
      <c r="C1614" s="149">
        <v>11</v>
      </c>
      <c r="D1614" s="149">
        <v>395</v>
      </c>
      <c r="E1614" s="149">
        <v>0</v>
      </c>
      <c r="F1614" s="149">
        <v>635050</v>
      </c>
      <c r="G1614" s="149">
        <v>54300</v>
      </c>
      <c r="H1614" s="150" t="str">
        <f t="shared" si="75"/>
        <v>5</v>
      </c>
      <c r="I1614" s="150" t="str">
        <f t="shared" si="76"/>
        <v>54</v>
      </c>
      <c r="J1614" s="150" t="str">
        <f t="shared" si="77"/>
        <v>543</v>
      </c>
      <c r="K1614" s="150" t="s">
        <v>7973</v>
      </c>
      <c r="L1614" s="149" t="s">
        <v>2830</v>
      </c>
      <c r="M1614" s="151">
        <v>3000</v>
      </c>
    </row>
    <row r="1615" spans="1:13" s="149" customFormat="1" x14ac:dyDescent="0.25">
      <c r="A1615" s="149" t="s">
        <v>7639</v>
      </c>
      <c r="B1615" s="149" t="s">
        <v>2831</v>
      </c>
      <c r="C1615" s="149">
        <v>11</v>
      </c>
      <c r="D1615" s="149">
        <v>395</v>
      </c>
      <c r="E1615" s="149">
        <v>0</v>
      </c>
      <c r="F1615" s="149">
        <v>635050</v>
      </c>
      <c r="G1615" s="149">
        <v>55105</v>
      </c>
      <c r="H1615" s="150" t="str">
        <f t="shared" si="75"/>
        <v>5</v>
      </c>
      <c r="I1615" s="150" t="str">
        <f t="shared" si="76"/>
        <v>55</v>
      </c>
      <c r="J1615" s="150" t="str">
        <f t="shared" si="77"/>
        <v>551</v>
      </c>
      <c r="K1615" s="150" t="s">
        <v>8017</v>
      </c>
      <c r="L1615" s="149" t="s">
        <v>2832</v>
      </c>
      <c r="M1615" s="151">
        <v>450</v>
      </c>
    </row>
    <row r="1616" spans="1:13" s="149" customFormat="1" x14ac:dyDescent="0.25">
      <c r="A1616" s="149" t="s">
        <v>7639</v>
      </c>
      <c r="B1616" s="149" t="s">
        <v>2833</v>
      </c>
      <c r="C1616" s="149">
        <v>11</v>
      </c>
      <c r="D1616" s="149">
        <v>395</v>
      </c>
      <c r="E1616" s="149">
        <v>0</v>
      </c>
      <c r="F1616" s="149">
        <v>635050</v>
      </c>
      <c r="G1616" s="149">
        <v>55125</v>
      </c>
      <c r="H1616" s="150" t="str">
        <f t="shared" si="75"/>
        <v>5</v>
      </c>
      <c r="I1616" s="150" t="str">
        <f t="shared" si="76"/>
        <v>55</v>
      </c>
      <c r="J1616" s="150" t="str">
        <f t="shared" si="77"/>
        <v>551</v>
      </c>
      <c r="K1616" s="150" t="s">
        <v>8033</v>
      </c>
      <c r="L1616" s="149" t="s">
        <v>2834</v>
      </c>
      <c r="M1616" s="151">
        <v>350</v>
      </c>
    </row>
    <row r="1617" spans="1:13" s="149" customFormat="1" x14ac:dyDescent="0.25">
      <c r="A1617" s="149" t="s">
        <v>7639</v>
      </c>
      <c r="B1617" s="149" t="s">
        <v>2835</v>
      </c>
      <c r="C1617" s="149">
        <v>11</v>
      </c>
      <c r="D1617" s="149">
        <v>395</v>
      </c>
      <c r="E1617" s="149">
        <v>0</v>
      </c>
      <c r="F1617" s="149">
        <v>635050</v>
      </c>
      <c r="G1617" s="149">
        <v>55200</v>
      </c>
      <c r="H1617" s="150" t="str">
        <f t="shared" si="75"/>
        <v>5</v>
      </c>
      <c r="I1617" s="150" t="str">
        <f t="shared" si="76"/>
        <v>55</v>
      </c>
      <c r="J1617" s="150" t="str">
        <f t="shared" si="77"/>
        <v>552</v>
      </c>
      <c r="K1617" s="150" t="s">
        <v>8063</v>
      </c>
      <c r="L1617" s="149" t="s">
        <v>2836</v>
      </c>
      <c r="M1617" s="151">
        <v>100</v>
      </c>
    </row>
    <row r="1618" spans="1:13" s="149" customFormat="1" x14ac:dyDescent="0.25">
      <c r="A1618" s="149" t="s">
        <v>7639</v>
      </c>
      <c r="B1618" s="149" t="s">
        <v>2837</v>
      </c>
      <c r="C1618" s="149">
        <v>11</v>
      </c>
      <c r="D1618" s="149">
        <v>395</v>
      </c>
      <c r="E1618" s="149">
        <v>0</v>
      </c>
      <c r="F1618" s="149">
        <v>635050</v>
      </c>
      <c r="G1618" s="149">
        <v>55630</v>
      </c>
      <c r="H1618" s="150" t="str">
        <f t="shared" si="75"/>
        <v>5</v>
      </c>
      <c r="I1618" s="150" t="str">
        <f t="shared" si="76"/>
        <v>55</v>
      </c>
      <c r="J1618" s="150" t="str">
        <f t="shared" si="77"/>
        <v>556</v>
      </c>
      <c r="K1618" s="150" t="s">
        <v>8260</v>
      </c>
      <c r="L1618" s="149" t="s">
        <v>2838</v>
      </c>
      <c r="M1618" s="151">
        <v>62.7</v>
      </c>
    </row>
    <row r="1619" spans="1:13" s="149" customFormat="1" x14ac:dyDescent="0.25">
      <c r="A1619" s="149" t="s">
        <v>7639</v>
      </c>
      <c r="B1619" s="149" t="s">
        <v>2839</v>
      </c>
      <c r="C1619" s="149">
        <v>11</v>
      </c>
      <c r="D1619" s="149">
        <v>395</v>
      </c>
      <c r="E1619" s="149">
        <v>0</v>
      </c>
      <c r="F1619" s="149">
        <v>635050</v>
      </c>
      <c r="G1619" s="149">
        <v>55650</v>
      </c>
      <c r="H1619" s="150" t="str">
        <f t="shared" si="75"/>
        <v>5</v>
      </c>
      <c r="I1619" s="150" t="str">
        <f t="shared" si="76"/>
        <v>55</v>
      </c>
      <c r="J1619" s="150" t="str">
        <f t="shared" si="77"/>
        <v>556</v>
      </c>
      <c r="K1619" s="150" t="s">
        <v>8309</v>
      </c>
      <c r="L1619" s="149" t="s">
        <v>2840</v>
      </c>
      <c r="M1619" s="151">
        <v>160</v>
      </c>
    </row>
    <row r="1620" spans="1:13" s="149" customFormat="1" x14ac:dyDescent="0.25">
      <c r="A1620" s="149" t="s">
        <v>7639</v>
      </c>
      <c r="B1620" s="149" t="s">
        <v>2841</v>
      </c>
      <c r="C1620" s="149">
        <v>11</v>
      </c>
      <c r="D1620" s="149">
        <v>395</v>
      </c>
      <c r="E1620" s="149">
        <v>0</v>
      </c>
      <c r="F1620" s="149">
        <v>635050</v>
      </c>
      <c r="G1620" s="149">
        <v>56400</v>
      </c>
      <c r="H1620" s="150" t="str">
        <f t="shared" si="75"/>
        <v>5</v>
      </c>
      <c r="I1620" s="150" t="str">
        <f t="shared" si="76"/>
        <v>56</v>
      </c>
      <c r="J1620" s="150" t="str">
        <f t="shared" si="77"/>
        <v>564</v>
      </c>
      <c r="K1620" s="150" t="s">
        <v>8381</v>
      </c>
      <c r="L1620" s="149" t="s">
        <v>2842</v>
      </c>
      <c r="M1620" s="151">
        <v>2224</v>
      </c>
    </row>
    <row r="1621" spans="1:13" s="149" customFormat="1" x14ac:dyDescent="0.25">
      <c r="A1621" s="149" t="s">
        <v>7639</v>
      </c>
      <c r="B1621" s="149" t="s">
        <v>2843</v>
      </c>
      <c r="C1621" s="149">
        <v>11</v>
      </c>
      <c r="D1621" s="149">
        <v>395</v>
      </c>
      <c r="E1621" s="149">
        <v>0</v>
      </c>
      <c r="F1621" s="149">
        <v>696000</v>
      </c>
      <c r="G1621" s="149">
        <v>52130</v>
      </c>
      <c r="H1621" s="150" t="str">
        <f t="shared" si="75"/>
        <v>5</v>
      </c>
      <c r="I1621" s="150" t="str">
        <f t="shared" si="76"/>
        <v>52</v>
      </c>
      <c r="J1621" s="150" t="str">
        <f t="shared" si="77"/>
        <v>521</v>
      </c>
      <c r="K1621" s="150" t="s">
        <v>9369</v>
      </c>
      <c r="L1621" s="149" t="s">
        <v>2844</v>
      </c>
      <c r="M1621" s="151">
        <v>111022</v>
      </c>
    </row>
    <row r="1622" spans="1:13" s="149" customFormat="1" x14ac:dyDescent="0.25">
      <c r="A1622" s="149" t="s">
        <v>7639</v>
      </c>
      <c r="B1622" s="149" t="s">
        <v>2845</v>
      </c>
      <c r="C1622" s="149">
        <v>11</v>
      </c>
      <c r="D1622" s="149">
        <v>395</v>
      </c>
      <c r="E1622" s="149">
        <v>0</v>
      </c>
      <c r="F1622" s="149">
        <v>696000</v>
      </c>
      <c r="G1622" s="149">
        <v>53220</v>
      </c>
      <c r="H1622" s="150" t="str">
        <f t="shared" si="75"/>
        <v>5</v>
      </c>
      <c r="I1622" s="150" t="str">
        <f t="shared" si="76"/>
        <v>53</v>
      </c>
      <c r="J1622" s="150" t="str">
        <f t="shared" si="77"/>
        <v>532</v>
      </c>
      <c r="K1622" s="150" t="s">
        <v>9370</v>
      </c>
      <c r="L1622" s="149" t="s">
        <v>2846</v>
      </c>
      <c r="M1622" s="151">
        <v>22981.55</v>
      </c>
    </row>
    <row r="1623" spans="1:13" s="149" customFormat="1" x14ac:dyDescent="0.25">
      <c r="A1623" s="149" t="s">
        <v>7639</v>
      </c>
      <c r="B1623" s="149" t="s">
        <v>2847</v>
      </c>
      <c r="C1623" s="149">
        <v>11</v>
      </c>
      <c r="D1623" s="149">
        <v>395</v>
      </c>
      <c r="E1623" s="149">
        <v>0</v>
      </c>
      <c r="F1623" s="149">
        <v>696000</v>
      </c>
      <c r="G1623" s="149">
        <v>53320</v>
      </c>
      <c r="H1623" s="150" t="str">
        <f t="shared" si="75"/>
        <v>5</v>
      </c>
      <c r="I1623" s="150" t="str">
        <f t="shared" si="76"/>
        <v>53</v>
      </c>
      <c r="J1623" s="150" t="str">
        <f t="shared" si="77"/>
        <v>533</v>
      </c>
      <c r="K1623" s="150" t="s">
        <v>9371</v>
      </c>
      <c r="L1623" s="149" t="s">
        <v>2848</v>
      </c>
      <c r="M1623" s="151">
        <v>6883.36</v>
      </c>
    </row>
    <row r="1624" spans="1:13" s="149" customFormat="1" x14ac:dyDescent="0.25">
      <c r="A1624" s="149" t="s">
        <v>7639</v>
      </c>
      <c r="B1624" s="149" t="s">
        <v>2849</v>
      </c>
      <c r="C1624" s="149">
        <v>11</v>
      </c>
      <c r="D1624" s="149">
        <v>395</v>
      </c>
      <c r="E1624" s="149">
        <v>0</v>
      </c>
      <c r="F1624" s="149">
        <v>696000</v>
      </c>
      <c r="G1624" s="149">
        <v>53340</v>
      </c>
      <c r="H1624" s="150" t="str">
        <f t="shared" si="75"/>
        <v>5</v>
      </c>
      <c r="I1624" s="150" t="str">
        <f t="shared" si="76"/>
        <v>53</v>
      </c>
      <c r="J1624" s="150" t="str">
        <f t="shared" si="77"/>
        <v>533</v>
      </c>
      <c r="K1624" s="150" t="s">
        <v>9372</v>
      </c>
      <c r="L1624" s="149" t="s">
        <v>2850</v>
      </c>
      <c r="M1624" s="151">
        <v>1609.82</v>
      </c>
    </row>
    <row r="1625" spans="1:13" s="149" customFormat="1" x14ac:dyDescent="0.25">
      <c r="A1625" s="149" t="s">
        <v>7639</v>
      </c>
      <c r="B1625" s="149" t="s">
        <v>2851</v>
      </c>
      <c r="C1625" s="149">
        <v>11</v>
      </c>
      <c r="D1625" s="149">
        <v>395</v>
      </c>
      <c r="E1625" s="149">
        <v>0</v>
      </c>
      <c r="F1625" s="149">
        <v>696000</v>
      </c>
      <c r="G1625" s="149">
        <v>53420</v>
      </c>
      <c r="H1625" s="150" t="str">
        <f t="shared" si="75"/>
        <v>5</v>
      </c>
      <c r="I1625" s="150" t="str">
        <f t="shared" si="76"/>
        <v>53</v>
      </c>
      <c r="J1625" s="150" t="str">
        <f t="shared" si="77"/>
        <v>534</v>
      </c>
      <c r="K1625" s="150" t="s">
        <v>9373</v>
      </c>
      <c r="L1625" s="149" t="s">
        <v>2852</v>
      </c>
      <c r="M1625" s="151">
        <v>23106.6</v>
      </c>
    </row>
    <row r="1626" spans="1:13" s="149" customFormat="1" x14ac:dyDescent="0.25">
      <c r="A1626" s="149" t="s">
        <v>7639</v>
      </c>
      <c r="B1626" s="149" t="s">
        <v>2853</v>
      </c>
      <c r="C1626" s="149">
        <v>11</v>
      </c>
      <c r="D1626" s="149">
        <v>395</v>
      </c>
      <c r="E1626" s="149">
        <v>0</v>
      </c>
      <c r="F1626" s="149">
        <v>696000</v>
      </c>
      <c r="G1626" s="149">
        <v>53520</v>
      </c>
      <c r="H1626" s="150" t="str">
        <f t="shared" si="75"/>
        <v>5</v>
      </c>
      <c r="I1626" s="150" t="str">
        <f t="shared" si="76"/>
        <v>53</v>
      </c>
      <c r="J1626" s="150" t="str">
        <f t="shared" si="77"/>
        <v>535</v>
      </c>
      <c r="K1626" s="150" t="s">
        <v>9374</v>
      </c>
      <c r="L1626" s="149" t="s">
        <v>2854</v>
      </c>
      <c r="M1626" s="151">
        <v>55.51</v>
      </c>
    </row>
    <row r="1627" spans="1:13" s="149" customFormat="1" x14ac:dyDescent="0.25">
      <c r="A1627" s="149" t="s">
        <v>7639</v>
      </c>
      <c r="B1627" s="149" t="s">
        <v>2855</v>
      </c>
      <c r="C1627" s="149">
        <v>11</v>
      </c>
      <c r="D1627" s="149">
        <v>395</v>
      </c>
      <c r="E1627" s="149">
        <v>0</v>
      </c>
      <c r="F1627" s="149">
        <v>696000</v>
      </c>
      <c r="G1627" s="149">
        <v>53620</v>
      </c>
      <c r="H1627" s="150" t="str">
        <f t="shared" si="75"/>
        <v>5</v>
      </c>
      <c r="I1627" s="150" t="str">
        <f t="shared" si="76"/>
        <v>53</v>
      </c>
      <c r="J1627" s="150" t="str">
        <f t="shared" si="77"/>
        <v>536</v>
      </c>
      <c r="K1627" s="150" t="s">
        <v>9375</v>
      </c>
      <c r="L1627" s="149" t="s">
        <v>2856</v>
      </c>
      <c r="M1627" s="151">
        <v>2099.1999999999998</v>
      </c>
    </row>
    <row r="1628" spans="1:13" s="149" customFormat="1" x14ac:dyDescent="0.25">
      <c r="A1628" s="149" t="s">
        <v>7639</v>
      </c>
      <c r="B1628" s="149" t="s">
        <v>2857</v>
      </c>
      <c r="C1628" s="149">
        <v>11</v>
      </c>
      <c r="D1628" s="149">
        <v>395</v>
      </c>
      <c r="E1628" s="149">
        <v>0</v>
      </c>
      <c r="F1628" s="149">
        <v>696000</v>
      </c>
      <c r="G1628" s="149">
        <v>53920</v>
      </c>
      <c r="H1628" s="150" t="str">
        <f t="shared" si="75"/>
        <v>5</v>
      </c>
      <c r="I1628" s="150" t="str">
        <f t="shared" si="76"/>
        <v>53</v>
      </c>
      <c r="J1628" s="150" t="str">
        <f t="shared" si="77"/>
        <v>539</v>
      </c>
      <c r="K1628" s="150" t="s">
        <v>9376</v>
      </c>
      <c r="L1628" s="149" t="s">
        <v>2858</v>
      </c>
      <c r="M1628" s="151">
        <v>2400</v>
      </c>
    </row>
    <row r="1629" spans="1:13" s="149" customFormat="1" x14ac:dyDescent="0.25">
      <c r="A1629" s="149" t="s">
        <v>7639</v>
      </c>
      <c r="B1629" s="149" t="s">
        <v>2859</v>
      </c>
      <c r="C1629" s="149">
        <v>11</v>
      </c>
      <c r="D1629" s="149">
        <v>395</v>
      </c>
      <c r="E1629" s="149">
        <v>0</v>
      </c>
      <c r="F1629" s="149">
        <v>696000</v>
      </c>
      <c r="G1629" s="149">
        <v>55630</v>
      </c>
      <c r="H1629" s="150" t="str">
        <f t="shared" si="75"/>
        <v>5</v>
      </c>
      <c r="I1629" s="150" t="str">
        <f t="shared" si="76"/>
        <v>55</v>
      </c>
      <c r="J1629" s="150" t="str">
        <f t="shared" si="77"/>
        <v>556</v>
      </c>
      <c r="K1629" s="150" t="s">
        <v>8261</v>
      </c>
      <c r="L1629" s="149" t="s">
        <v>2860</v>
      </c>
      <c r="M1629" s="151">
        <v>60</v>
      </c>
    </row>
    <row r="1630" spans="1:13" s="149" customFormat="1" x14ac:dyDescent="0.25">
      <c r="A1630" s="149" t="s">
        <v>7639</v>
      </c>
      <c r="B1630" s="149" t="s">
        <v>2861</v>
      </c>
      <c r="C1630" s="149">
        <v>11</v>
      </c>
      <c r="D1630" s="149">
        <v>398</v>
      </c>
      <c r="E1630" s="149">
        <v>0</v>
      </c>
      <c r="F1630" s="149">
        <v>0</v>
      </c>
      <c r="G1630" s="149">
        <v>48630</v>
      </c>
      <c r="H1630" s="150" t="str">
        <f t="shared" si="75"/>
        <v>4</v>
      </c>
      <c r="I1630" s="150" t="str">
        <f t="shared" si="76"/>
        <v>48</v>
      </c>
      <c r="J1630" s="150" t="str">
        <f t="shared" si="77"/>
        <v>486</v>
      </c>
      <c r="K1630" s="150" t="s">
        <v>9602</v>
      </c>
      <c r="L1630" s="149" t="s">
        <v>19</v>
      </c>
      <c r="M1630" s="151">
        <v>-8139807</v>
      </c>
    </row>
    <row r="1631" spans="1:13" s="149" customFormat="1" x14ac:dyDescent="0.25">
      <c r="A1631" s="149" t="s">
        <v>7639</v>
      </c>
      <c r="B1631" s="149" t="s">
        <v>2862</v>
      </c>
      <c r="C1631" s="149">
        <v>11</v>
      </c>
      <c r="D1631" s="149">
        <v>399</v>
      </c>
      <c r="E1631" s="149">
        <v>0</v>
      </c>
      <c r="F1631" s="149">
        <v>0</v>
      </c>
      <c r="G1631" s="149">
        <v>48680</v>
      </c>
      <c r="H1631" s="150" t="str">
        <f t="shared" si="75"/>
        <v>4</v>
      </c>
      <c r="I1631" s="150" t="str">
        <f t="shared" si="76"/>
        <v>48</v>
      </c>
      <c r="J1631" s="150" t="str">
        <f t="shared" si="77"/>
        <v>486</v>
      </c>
      <c r="K1631" s="150" t="s">
        <v>9603</v>
      </c>
      <c r="L1631" s="149" t="s">
        <v>2863</v>
      </c>
      <c r="M1631" s="151">
        <v>-1190593.1200000001</v>
      </c>
    </row>
    <row r="1632" spans="1:13" s="149" customFormat="1" x14ac:dyDescent="0.25">
      <c r="A1632" s="149" t="s">
        <v>7639</v>
      </c>
      <c r="B1632" s="149" t="s">
        <v>2864</v>
      </c>
      <c r="C1632" s="149">
        <v>11</v>
      </c>
      <c r="D1632" s="149">
        <v>400</v>
      </c>
      <c r="E1632" s="149">
        <v>0</v>
      </c>
      <c r="F1632" s="149">
        <v>493010</v>
      </c>
      <c r="G1632" s="149">
        <v>51310</v>
      </c>
      <c r="H1632" s="150" t="str">
        <f t="shared" si="75"/>
        <v>5</v>
      </c>
      <c r="I1632" s="150" t="str">
        <f t="shared" si="76"/>
        <v>51</v>
      </c>
      <c r="J1632" s="150" t="str">
        <f t="shared" si="77"/>
        <v>513</v>
      </c>
      <c r="K1632" s="150" t="s">
        <v>7690</v>
      </c>
      <c r="L1632" s="149" t="s">
        <v>2865</v>
      </c>
      <c r="M1632" s="151">
        <v>0</v>
      </c>
    </row>
    <row r="1633" spans="1:13" s="149" customFormat="1" x14ac:dyDescent="0.25">
      <c r="A1633" s="149" t="s">
        <v>7639</v>
      </c>
      <c r="B1633" s="149" t="s">
        <v>2866</v>
      </c>
      <c r="C1633" s="149">
        <v>11</v>
      </c>
      <c r="D1633" s="149">
        <v>400</v>
      </c>
      <c r="E1633" s="149">
        <v>0</v>
      </c>
      <c r="F1633" s="149">
        <v>493010</v>
      </c>
      <c r="G1633" s="149">
        <v>53110</v>
      </c>
      <c r="H1633" s="150" t="str">
        <f t="shared" si="75"/>
        <v>5</v>
      </c>
      <c r="I1633" s="150" t="str">
        <f t="shared" si="76"/>
        <v>53</v>
      </c>
      <c r="J1633" s="150" t="str">
        <f t="shared" si="77"/>
        <v>531</v>
      </c>
      <c r="K1633" s="150" t="s">
        <v>9377</v>
      </c>
      <c r="L1633" s="149" t="s">
        <v>459</v>
      </c>
      <c r="M1633" s="151">
        <v>0</v>
      </c>
    </row>
    <row r="1634" spans="1:13" s="149" customFormat="1" x14ac:dyDescent="0.25">
      <c r="A1634" s="149" t="s">
        <v>7639</v>
      </c>
      <c r="B1634" s="149" t="s">
        <v>2867</v>
      </c>
      <c r="C1634" s="149">
        <v>11</v>
      </c>
      <c r="D1634" s="149">
        <v>400</v>
      </c>
      <c r="E1634" s="149">
        <v>0</v>
      </c>
      <c r="F1634" s="149">
        <v>493010</v>
      </c>
      <c r="G1634" s="149">
        <v>53330</v>
      </c>
      <c r="H1634" s="150" t="str">
        <f t="shared" si="75"/>
        <v>5</v>
      </c>
      <c r="I1634" s="150" t="str">
        <f t="shared" si="76"/>
        <v>53</v>
      </c>
      <c r="J1634" s="150" t="str">
        <f t="shared" si="77"/>
        <v>533</v>
      </c>
      <c r="K1634" s="150" t="s">
        <v>9378</v>
      </c>
      <c r="L1634" s="149" t="s">
        <v>461</v>
      </c>
      <c r="M1634" s="151">
        <v>0</v>
      </c>
    </row>
    <row r="1635" spans="1:13" s="149" customFormat="1" x14ac:dyDescent="0.25">
      <c r="A1635" s="149" t="s">
        <v>7639</v>
      </c>
      <c r="B1635" s="149" t="s">
        <v>2868</v>
      </c>
      <c r="C1635" s="149">
        <v>11</v>
      </c>
      <c r="D1635" s="149">
        <v>400</v>
      </c>
      <c r="E1635" s="149">
        <v>0</v>
      </c>
      <c r="F1635" s="149">
        <v>493010</v>
      </c>
      <c r="G1635" s="149">
        <v>53510</v>
      </c>
      <c r="H1635" s="150" t="str">
        <f t="shared" si="75"/>
        <v>5</v>
      </c>
      <c r="I1635" s="150" t="str">
        <f t="shared" si="76"/>
        <v>53</v>
      </c>
      <c r="J1635" s="150" t="str">
        <f t="shared" si="77"/>
        <v>535</v>
      </c>
      <c r="K1635" s="150" t="s">
        <v>9379</v>
      </c>
      <c r="L1635" s="149" t="s">
        <v>463</v>
      </c>
      <c r="M1635" s="151">
        <v>0</v>
      </c>
    </row>
    <row r="1636" spans="1:13" s="149" customFormat="1" x14ac:dyDescent="0.25">
      <c r="A1636" s="149" t="s">
        <v>7639</v>
      </c>
      <c r="B1636" s="149" t="s">
        <v>2869</v>
      </c>
      <c r="C1636" s="149">
        <v>11</v>
      </c>
      <c r="D1636" s="149">
        <v>400</v>
      </c>
      <c r="E1636" s="149">
        <v>0</v>
      </c>
      <c r="F1636" s="149">
        <v>493010</v>
      </c>
      <c r="G1636" s="149">
        <v>53610</v>
      </c>
      <c r="H1636" s="150" t="str">
        <f t="shared" si="75"/>
        <v>5</v>
      </c>
      <c r="I1636" s="150" t="str">
        <f t="shared" si="76"/>
        <v>53</v>
      </c>
      <c r="J1636" s="150" t="str">
        <f t="shared" si="77"/>
        <v>536</v>
      </c>
      <c r="K1636" s="150" t="s">
        <v>9380</v>
      </c>
      <c r="L1636" s="149" t="s">
        <v>465</v>
      </c>
      <c r="M1636" s="151">
        <v>0</v>
      </c>
    </row>
    <row r="1637" spans="1:13" s="149" customFormat="1" x14ac:dyDescent="0.25">
      <c r="A1637" s="149" t="s">
        <v>7639</v>
      </c>
      <c r="B1637" s="149" t="s">
        <v>2870</v>
      </c>
      <c r="C1637" s="149">
        <v>11</v>
      </c>
      <c r="D1637" s="149">
        <v>400</v>
      </c>
      <c r="E1637" s="149">
        <v>0</v>
      </c>
      <c r="F1637" s="149">
        <v>620020</v>
      </c>
      <c r="G1637" s="149">
        <v>52300</v>
      </c>
      <c r="H1637" s="150" t="str">
        <f t="shared" si="75"/>
        <v>5</v>
      </c>
      <c r="I1637" s="150" t="str">
        <f t="shared" si="76"/>
        <v>52</v>
      </c>
      <c r="J1637" s="150" t="str">
        <f t="shared" si="77"/>
        <v>523</v>
      </c>
      <c r="K1637" s="150" t="s">
        <v>7833</v>
      </c>
      <c r="L1637" s="149" t="s">
        <v>2871</v>
      </c>
      <c r="M1637" s="151">
        <v>3000</v>
      </c>
    </row>
    <row r="1638" spans="1:13" s="149" customFormat="1" x14ac:dyDescent="0.25">
      <c r="A1638" s="149" t="s">
        <v>7639</v>
      </c>
      <c r="B1638" s="149" t="s">
        <v>2872</v>
      </c>
      <c r="C1638" s="149">
        <v>11</v>
      </c>
      <c r="D1638" s="149">
        <v>400</v>
      </c>
      <c r="E1638" s="149">
        <v>0</v>
      </c>
      <c r="F1638" s="149">
        <v>620020</v>
      </c>
      <c r="G1638" s="149">
        <v>53320</v>
      </c>
      <c r="H1638" s="150" t="str">
        <f t="shared" si="75"/>
        <v>5</v>
      </c>
      <c r="I1638" s="150" t="str">
        <f t="shared" si="76"/>
        <v>53</v>
      </c>
      <c r="J1638" s="150" t="str">
        <f t="shared" si="77"/>
        <v>533</v>
      </c>
      <c r="K1638" s="150" t="s">
        <v>9381</v>
      </c>
      <c r="L1638" s="149" t="s">
        <v>2873</v>
      </c>
      <c r="M1638" s="151">
        <v>186</v>
      </c>
    </row>
    <row r="1639" spans="1:13" s="149" customFormat="1" x14ac:dyDescent="0.25">
      <c r="A1639" s="149" t="s">
        <v>7639</v>
      </c>
      <c r="B1639" s="149" t="s">
        <v>2874</v>
      </c>
      <c r="C1639" s="149">
        <v>11</v>
      </c>
      <c r="D1639" s="149">
        <v>400</v>
      </c>
      <c r="E1639" s="149">
        <v>0</v>
      </c>
      <c r="F1639" s="149">
        <v>620020</v>
      </c>
      <c r="G1639" s="149">
        <v>53340</v>
      </c>
      <c r="H1639" s="150" t="str">
        <f t="shared" si="75"/>
        <v>5</v>
      </c>
      <c r="I1639" s="150" t="str">
        <f t="shared" si="76"/>
        <v>53</v>
      </c>
      <c r="J1639" s="150" t="str">
        <f t="shared" si="77"/>
        <v>533</v>
      </c>
      <c r="K1639" s="150" t="s">
        <v>9382</v>
      </c>
      <c r="L1639" s="149" t="s">
        <v>2875</v>
      </c>
      <c r="M1639" s="151">
        <v>43.5</v>
      </c>
    </row>
    <row r="1640" spans="1:13" s="149" customFormat="1" x14ac:dyDescent="0.25">
      <c r="A1640" s="149" t="s">
        <v>7639</v>
      </c>
      <c r="B1640" s="149" t="s">
        <v>2876</v>
      </c>
      <c r="C1640" s="149">
        <v>11</v>
      </c>
      <c r="D1640" s="149">
        <v>400</v>
      </c>
      <c r="E1640" s="149">
        <v>0</v>
      </c>
      <c r="F1640" s="149">
        <v>620020</v>
      </c>
      <c r="G1640" s="149">
        <v>53520</v>
      </c>
      <c r="H1640" s="150" t="str">
        <f t="shared" si="75"/>
        <v>5</v>
      </c>
      <c r="I1640" s="150" t="str">
        <f t="shared" si="76"/>
        <v>53</v>
      </c>
      <c r="J1640" s="150" t="str">
        <f t="shared" si="77"/>
        <v>535</v>
      </c>
      <c r="K1640" s="150" t="s">
        <v>9383</v>
      </c>
      <c r="L1640" s="149" t="s">
        <v>2877</v>
      </c>
      <c r="M1640" s="151">
        <v>1.5</v>
      </c>
    </row>
    <row r="1641" spans="1:13" s="149" customFormat="1" x14ac:dyDescent="0.25">
      <c r="A1641" s="149" t="s">
        <v>7639</v>
      </c>
      <c r="B1641" s="149" t="s">
        <v>2878</v>
      </c>
      <c r="C1641" s="149">
        <v>11</v>
      </c>
      <c r="D1641" s="149">
        <v>400</v>
      </c>
      <c r="E1641" s="149">
        <v>0</v>
      </c>
      <c r="F1641" s="149">
        <v>620020</v>
      </c>
      <c r="G1641" s="149">
        <v>53620</v>
      </c>
      <c r="H1641" s="150" t="str">
        <f t="shared" si="75"/>
        <v>5</v>
      </c>
      <c r="I1641" s="150" t="str">
        <f t="shared" si="76"/>
        <v>53</v>
      </c>
      <c r="J1641" s="150" t="str">
        <f t="shared" si="77"/>
        <v>536</v>
      </c>
      <c r="K1641" s="150" t="s">
        <v>9384</v>
      </c>
      <c r="L1641" s="149" t="s">
        <v>2879</v>
      </c>
      <c r="M1641" s="151">
        <v>56.72</v>
      </c>
    </row>
    <row r="1642" spans="1:13" s="149" customFormat="1" x14ac:dyDescent="0.25">
      <c r="A1642" s="149" t="s">
        <v>7639</v>
      </c>
      <c r="B1642" s="149" t="s">
        <v>2880</v>
      </c>
      <c r="C1642" s="149">
        <v>11</v>
      </c>
      <c r="D1642" s="149">
        <v>400</v>
      </c>
      <c r="E1642" s="149">
        <v>0</v>
      </c>
      <c r="F1642" s="149">
        <v>620020</v>
      </c>
      <c r="G1642" s="149">
        <v>54300</v>
      </c>
      <c r="H1642" s="150" t="str">
        <f t="shared" si="75"/>
        <v>5</v>
      </c>
      <c r="I1642" s="150" t="str">
        <f t="shared" si="76"/>
        <v>54</v>
      </c>
      <c r="J1642" s="150" t="str">
        <f t="shared" si="77"/>
        <v>543</v>
      </c>
      <c r="K1642" s="150" t="s">
        <v>7974</v>
      </c>
      <c r="L1642" s="149" t="s">
        <v>2881</v>
      </c>
      <c r="M1642" s="151">
        <v>3000</v>
      </c>
    </row>
    <row r="1643" spans="1:13" s="149" customFormat="1" x14ac:dyDescent="0.25">
      <c r="A1643" s="149" t="s">
        <v>7639</v>
      </c>
      <c r="B1643" s="149" t="s">
        <v>2882</v>
      </c>
      <c r="C1643" s="149">
        <v>11</v>
      </c>
      <c r="D1643" s="149">
        <v>400</v>
      </c>
      <c r="E1643" s="149">
        <v>0</v>
      </c>
      <c r="F1643" s="149">
        <v>620020</v>
      </c>
      <c r="G1643" s="149">
        <v>55100</v>
      </c>
      <c r="H1643" s="150" t="str">
        <f t="shared" si="75"/>
        <v>5</v>
      </c>
      <c r="I1643" s="150" t="str">
        <f t="shared" si="76"/>
        <v>55</v>
      </c>
      <c r="J1643" s="150" t="str">
        <f t="shared" si="77"/>
        <v>551</v>
      </c>
      <c r="K1643" s="150" t="s">
        <v>7999</v>
      </c>
      <c r="L1643" s="149" t="s">
        <v>2883</v>
      </c>
      <c r="M1643" s="151">
        <v>5000</v>
      </c>
    </row>
    <row r="1644" spans="1:13" s="149" customFormat="1" x14ac:dyDescent="0.25">
      <c r="A1644" s="149" t="s">
        <v>7639</v>
      </c>
      <c r="B1644" s="149" t="s">
        <v>2884</v>
      </c>
      <c r="C1644" s="149">
        <v>11</v>
      </c>
      <c r="D1644" s="149">
        <v>400</v>
      </c>
      <c r="E1644" s="149">
        <v>0</v>
      </c>
      <c r="F1644" s="149">
        <v>620020</v>
      </c>
      <c r="G1644" s="149">
        <v>55635</v>
      </c>
      <c r="H1644" s="150" t="str">
        <f t="shared" si="75"/>
        <v>5</v>
      </c>
      <c r="I1644" s="150" t="str">
        <f t="shared" si="76"/>
        <v>55</v>
      </c>
      <c r="J1644" s="150" t="str">
        <f t="shared" si="77"/>
        <v>556</v>
      </c>
      <c r="K1644" s="150" t="s">
        <v>8283</v>
      </c>
      <c r="L1644" s="149" t="s">
        <v>2885</v>
      </c>
      <c r="M1644" s="151">
        <v>12000</v>
      </c>
    </row>
    <row r="1645" spans="1:13" s="149" customFormat="1" x14ac:dyDescent="0.25">
      <c r="A1645" s="149" t="s">
        <v>7639</v>
      </c>
      <c r="B1645" s="149" t="s">
        <v>2886</v>
      </c>
      <c r="C1645" s="149">
        <v>11</v>
      </c>
      <c r="D1645" s="149">
        <v>400</v>
      </c>
      <c r="E1645" s="149">
        <v>0</v>
      </c>
      <c r="F1645" s="149">
        <v>631000</v>
      </c>
      <c r="G1645" s="149">
        <v>51200</v>
      </c>
      <c r="H1645" s="150" t="str">
        <f t="shared" si="75"/>
        <v>5</v>
      </c>
      <c r="I1645" s="150" t="str">
        <f t="shared" si="76"/>
        <v>51</v>
      </c>
      <c r="J1645" s="150" t="str">
        <f t="shared" si="77"/>
        <v>512</v>
      </c>
      <c r="K1645" s="150" t="s">
        <v>9385</v>
      </c>
      <c r="L1645" s="149" t="s">
        <v>2887</v>
      </c>
      <c r="M1645" s="151">
        <v>615758.4</v>
      </c>
    </row>
    <row r="1646" spans="1:13" s="149" customFormat="1" x14ac:dyDescent="0.25">
      <c r="A1646" s="149" t="s">
        <v>7639</v>
      </c>
      <c r="B1646" s="149" t="s">
        <v>2888</v>
      </c>
      <c r="C1646" s="149">
        <v>11</v>
      </c>
      <c r="D1646" s="149">
        <v>400</v>
      </c>
      <c r="E1646" s="149">
        <v>0</v>
      </c>
      <c r="F1646" s="149">
        <v>631000</v>
      </c>
      <c r="G1646" s="149">
        <v>51210</v>
      </c>
      <c r="H1646" s="150" t="str">
        <f t="shared" si="75"/>
        <v>5</v>
      </c>
      <c r="I1646" s="150" t="str">
        <f t="shared" si="76"/>
        <v>51</v>
      </c>
      <c r="J1646" s="150" t="str">
        <f t="shared" si="77"/>
        <v>512</v>
      </c>
      <c r="K1646" s="150" t="s">
        <v>9386</v>
      </c>
      <c r="L1646" s="149" t="s">
        <v>2889</v>
      </c>
      <c r="M1646" s="151">
        <v>137207</v>
      </c>
    </row>
    <row r="1647" spans="1:13" s="149" customFormat="1" x14ac:dyDescent="0.25">
      <c r="A1647" s="149" t="s">
        <v>7639</v>
      </c>
      <c r="B1647" s="149" t="s">
        <v>2890</v>
      </c>
      <c r="C1647" s="149">
        <v>11</v>
      </c>
      <c r="D1647" s="149">
        <v>400</v>
      </c>
      <c r="E1647" s="149">
        <v>0</v>
      </c>
      <c r="F1647" s="149">
        <v>631000</v>
      </c>
      <c r="G1647" s="149">
        <v>51310</v>
      </c>
      <c r="H1647" s="150" t="str">
        <f t="shared" si="75"/>
        <v>5</v>
      </c>
      <c r="I1647" s="150" t="str">
        <f t="shared" si="76"/>
        <v>51</v>
      </c>
      <c r="J1647" s="150" t="str">
        <f t="shared" si="77"/>
        <v>513</v>
      </c>
      <c r="K1647" s="150" t="s">
        <v>7691</v>
      </c>
      <c r="L1647" s="149" t="s">
        <v>2891</v>
      </c>
      <c r="M1647" s="151">
        <v>148000</v>
      </c>
    </row>
    <row r="1648" spans="1:13" s="149" customFormat="1" x14ac:dyDescent="0.25">
      <c r="A1648" s="149" t="s">
        <v>7639</v>
      </c>
      <c r="B1648" s="149" t="s">
        <v>2892</v>
      </c>
      <c r="C1648" s="149">
        <v>11</v>
      </c>
      <c r="D1648" s="149">
        <v>400</v>
      </c>
      <c r="E1648" s="149">
        <v>0</v>
      </c>
      <c r="F1648" s="149">
        <v>631000</v>
      </c>
      <c r="G1648" s="149">
        <v>51311</v>
      </c>
      <c r="H1648" s="150" t="str">
        <f t="shared" si="75"/>
        <v>5</v>
      </c>
      <c r="I1648" s="150" t="str">
        <f t="shared" si="76"/>
        <v>51</v>
      </c>
      <c r="J1648" s="150" t="str">
        <f t="shared" si="77"/>
        <v>513</v>
      </c>
      <c r="K1648" s="150" t="s">
        <v>7770</v>
      </c>
      <c r="L1648" s="149" t="s">
        <v>529</v>
      </c>
      <c r="M1648" s="151">
        <v>58317</v>
      </c>
    </row>
    <row r="1649" spans="1:13" s="149" customFormat="1" x14ac:dyDescent="0.25">
      <c r="A1649" s="149" t="s">
        <v>7639</v>
      </c>
      <c r="B1649" s="149" t="s">
        <v>2893</v>
      </c>
      <c r="C1649" s="149">
        <v>11</v>
      </c>
      <c r="D1649" s="149">
        <v>400</v>
      </c>
      <c r="E1649" s="149">
        <v>0</v>
      </c>
      <c r="F1649" s="149">
        <v>631000</v>
      </c>
      <c r="G1649" s="149">
        <v>51410</v>
      </c>
      <c r="H1649" s="150" t="str">
        <f t="shared" si="75"/>
        <v>5</v>
      </c>
      <c r="I1649" s="150" t="str">
        <f t="shared" si="76"/>
        <v>51</v>
      </c>
      <c r="J1649" s="150" t="str">
        <f t="shared" si="77"/>
        <v>514</v>
      </c>
      <c r="K1649" s="150" t="s">
        <v>7773</v>
      </c>
      <c r="L1649" s="149" t="s">
        <v>2894</v>
      </c>
      <c r="M1649" s="151">
        <v>140000</v>
      </c>
    </row>
    <row r="1650" spans="1:13" s="149" customFormat="1" x14ac:dyDescent="0.25">
      <c r="A1650" s="149" t="s">
        <v>7639</v>
      </c>
      <c r="B1650" s="149" t="s">
        <v>2895</v>
      </c>
      <c r="C1650" s="149">
        <v>11</v>
      </c>
      <c r="D1650" s="149">
        <v>400</v>
      </c>
      <c r="E1650" s="149">
        <v>0</v>
      </c>
      <c r="F1650" s="149">
        <v>631000</v>
      </c>
      <c r="G1650" s="149">
        <v>51411</v>
      </c>
      <c r="H1650" s="150" t="str">
        <f t="shared" si="75"/>
        <v>5</v>
      </c>
      <c r="I1650" s="150" t="str">
        <f t="shared" si="76"/>
        <v>51</v>
      </c>
      <c r="J1650" s="150" t="str">
        <f t="shared" si="77"/>
        <v>514</v>
      </c>
      <c r="K1650" s="150" t="s">
        <v>7778</v>
      </c>
      <c r="L1650" s="149" t="s">
        <v>531</v>
      </c>
      <c r="M1650" s="151">
        <v>110000</v>
      </c>
    </row>
    <row r="1651" spans="1:13" s="149" customFormat="1" x14ac:dyDescent="0.25">
      <c r="A1651" s="149" t="s">
        <v>7639</v>
      </c>
      <c r="B1651" s="149" t="s">
        <v>2896</v>
      </c>
      <c r="C1651" s="149">
        <v>11</v>
      </c>
      <c r="D1651" s="149">
        <v>400</v>
      </c>
      <c r="E1651" s="149">
        <v>0</v>
      </c>
      <c r="F1651" s="149">
        <v>631000</v>
      </c>
      <c r="G1651" s="149">
        <v>52105</v>
      </c>
      <c r="H1651" s="150" t="str">
        <f t="shared" si="75"/>
        <v>5</v>
      </c>
      <c r="I1651" s="150" t="str">
        <f t="shared" si="76"/>
        <v>52</v>
      </c>
      <c r="J1651" s="150" t="str">
        <f t="shared" si="77"/>
        <v>521</v>
      </c>
      <c r="K1651" s="150" t="s">
        <v>9387</v>
      </c>
      <c r="L1651" s="149" t="s">
        <v>2897</v>
      </c>
      <c r="M1651" s="151">
        <v>54767.1</v>
      </c>
    </row>
    <row r="1652" spans="1:13" s="149" customFormat="1" x14ac:dyDescent="0.25">
      <c r="A1652" s="149" t="s">
        <v>7639</v>
      </c>
      <c r="B1652" s="149" t="s">
        <v>2898</v>
      </c>
      <c r="C1652" s="149">
        <v>11</v>
      </c>
      <c r="D1652" s="149">
        <v>400</v>
      </c>
      <c r="E1652" s="149">
        <v>0</v>
      </c>
      <c r="F1652" s="149">
        <v>631000</v>
      </c>
      <c r="G1652" s="149">
        <v>52300</v>
      </c>
      <c r="H1652" s="150" t="str">
        <f t="shared" si="75"/>
        <v>5</v>
      </c>
      <c r="I1652" s="150" t="str">
        <f t="shared" si="76"/>
        <v>52</v>
      </c>
      <c r="J1652" s="150" t="str">
        <f t="shared" si="77"/>
        <v>523</v>
      </c>
      <c r="K1652" s="150" t="s">
        <v>7834</v>
      </c>
      <c r="L1652" s="149" t="s">
        <v>2899</v>
      </c>
      <c r="M1652" s="151">
        <v>726.23</v>
      </c>
    </row>
    <row r="1653" spans="1:13" s="149" customFormat="1" x14ac:dyDescent="0.25">
      <c r="A1653" s="149" t="s">
        <v>7639</v>
      </c>
      <c r="B1653" s="149" t="s">
        <v>2900</v>
      </c>
      <c r="C1653" s="149">
        <v>11</v>
      </c>
      <c r="D1653" s="149">
        <v>400</v>
      </c>
      <c r="E1653" s="149">
        <v>0</v>
      </c>
      <c r="F1653" s="149">
        <v>631000</v>
      </c>
      <c r="G1653" s="149">
        <v>52360</v>
      </c>
      <c r="H1653" s="150" t="str">
        <f t="shared" si="75"/>
        <v>5</v>
      </c>
      <c r="I1653" s="150" t="str">
        <f t="shared" si="76"/>
        <v>52</v>
      </c>
      <c r="J1653" s="150" t="str">
        <f t="shared" si="77"/>
        <v>523</v>
      </c>
      <c r="K1653" s="150" t="s">
        <v>7880</v>
      </c>
      <c r="L1653" s="149" t="s">
        <v>2901</v>
      </c>
      <c r="M1653" s="151">
        <v>3253.12</v>
      </c>
    </row>
    <row r="1654" spans="1:13" s="149" customFormat="1" x14ac:dyDescent="0.25">
      <c r="A1654" s="149" t="s">
        <v>7639</v>
      </c>
      <c r="B1654" s="149" t="s">
        <v>2902</v>
      </c>
      <c r="C1654" s="149">
        <v>11</v>
      </c>
      <c r="D1654" s="149">
        <v>400</v>
      </c>
      <c r="E1654" s="149">
        <v>0</v>
      </c>
      <c r="F1654" s="149">
        <v>631000</v>
      </c>
      <c r="G1654" s="149">
        <v>53110</v>
      </c>
      <c r="H1654" s="150" t="str">
        <f t="shared" si="75"/>
        <v>5</v>
      </c>
      <c r="I1654" s="150" t="str">
        <f t="shared" si="76"/>
        <v>53</v>
      </c>
      <c r="J1654" s="150" t="str">
        <f t="shared" si="77"/>
        <v>531</v>
      </c>
      <c r="K1654" s="150" t="s">
        <v>9388</v>
      </c>
      <c r="L1654" s="149" t="s">
        <v>533</v>
      </c>
      <c r="M1654" s="151">
        <v>33320.199999999997</v>
      </c>
    </row>
    <row r="1655" spans="1:13" s="149" customFormat="1" x14ac:dyDescent="0.25">
      <c r="A1655" s="149" t="s">
        <v>7639</v>
      </c>
      <c r="B1655" s="149" t="s">
        <v>2903</v>
      </c>
      <c r="C1655" s="149">
        <v>11</v>
      </c>
      <c r="D1655" s="149">
        <v>400</v>
      </c>
      <c r="E1655" s="149">
        <v>0</v>
      </c>
      <c r="F1655" s="149">
        <v>631000</v>
      </c>
      <c r="G1655" s="149">
        <v>53120</v>
      </c>
      <c r="H1655" s="150" t="str">
        <f t="shared" si="75"/>
        <v>5</v>
      </c>
      <c r="I1655" s="150" t="str">
        <f t="shared" si="76"/>
        <v>53</v>
      </c>
      <c r="J1655" s="150" t="str">
        <f t="shared" si="77"/>
        <v>531</v>
      </c>
      <c r="K1655" s="150" t="s">
        <v>9389</v>
      </c>
      <c r="L1655" s="149" t="s">
        <v>535</v>
      </c>
      <c r="M1655" s="151">
        <v>145570.99</v>
      </c>
    </row>
    <row r="1656" spans="1:13" s="149" customFormat="1" x14ac:dyDescent="0.25">
      <c r="A1656" s="149" t="s">
        <v>7639</v>
      </c>
      <c r="B1656" s="149" t="s">
        <v>2904</v>
      </c>
      <c r="C1656" s="149">
        <v>11</v>
      </c>
      <c r="D1656" s="149">
        <v>400</v>
      </c>
      <c r="E1656" s="149">
        <v>0</v>
      </c>
      <c r="F1656" s="149">
        <v>631000</v>
      </c>
      <c r="G1656" s="149">
        <v>53220</v>
      </c>
      <c r="H1656" s="150" t="str">
        <f t="shared" si="75"/>
        <v>5</v>
      </c>
      <c r="I1656" s="150" t="str">
        <f t="shared" si="76"/>
        <v>53</v>
      </c>
      <c r="J1656" s="150" t="str">
        <f t="shared" si="77"/>
        <v>532</v>
      </c>
      <c r="K1656" s="150" t="s">
        <v>9390</v>
      </c>
      <c r="L1656" s="149" t="s">
        <v>2905</v>
      </c>
      <c r="M1656" s="151">
        <v>32367.37</v>
      </c>
    </row>
    <row r="1657" spans="1:13" s="149" customFormat="1" x14ac:dyDescent="0.25">
      <c r="A1657" s="149" t="s">
        <v>7639</v>
      </c>
      <c r="B1657" s="149" t="s">
        <v>2906</v>
      </c>
      <c r="C1657" s="149">
        <v>11</v>
      </c>
      <c r="D1657" s="149">
        <v>400</v>
      </c>
      <c r="E1657" s="149">
        <v>0</v>
      </c>
      <c r="F1657" s="149">
        <v>631000</v>
      </c>
      <c r="G1657" s="149">
        <v>53310</v>
      </c>
      <c r="H1657" s="150" t="str">
        <f t="shared" si="75"/>
        <v>5</v>
      </c>
      <c r="I1657" s="150" t="str">
        <f t="shared" si="76"/>
        <v>53</v>
      </c>
      <c r="J1657" s="150" t="str">
        <f t="shared" si="77"/>
        <v>533</v>
      </c>
      <c r="K1657" s="150" t="s">
        <v>9391</v>
      </c>
      <c r="L1657" s="149" t="s">
        <v>2907</v>
      </c>
      <c r="M1657" s="151">
        <v>0</v>
      </c>
    </row>
    <row r="1658" spans="1:13" s="149" customFormat="1" x14ac:dyDescent="0.25">
      <c r="A1658" s="149" t="s">
        <v>7639</v>
      </c>
      <c r="B1658" s="149" t="s">
        <v>2908</v>
      </c>
      <c r="C1658" s="149">
        <v>11</v>
      </c>
      <c r="D1658" s="149">
        <v>400</v>
      </c>
      <c r="E1658" s="149">
        <v>0</v>
      </c>
      <c r="F1658" s="149">
        <v>631000</v>
      </c>
      <c r="G1658" s="149">
        <v>53320</v>
      </c>
      <c r="H1658" s="150" t="str">
        <f t="shared" si="75"/>
        <v>5</v>
      </c>
      <c r="I1658" s="150" t="str">
        <f t="shared" si="76"/>
        <v>53</v>
      </c>
      <c r="J1658" s="150" t="str">
        <f t="shared" si="77"/>
        <v>533</v>
      </c>
      <c r="K1658" s="150" t="s">
        <v>9392</v>
      </c>
      <c r="L1658" s="149" t="s">
        <v>2909</v>
      </c>
      <c r="M1658" s="151">
        <v>9694.57</v>
      </c>
    </row>
    <row r="1659" spans="1:13" s="149" customFormat="1" x14ac:dyDescent="0.25">
      <c r="A1659" s="149" t="s">
        <v>7639</v>
      </c>
      <c r="B1659" s="149" t="s">
        <v>2910</v>
      </c>
      <c r="C1659" s="149">
        <v>11</v>
      </c>
      <c r="D1659" s="149">
        <v>400</v>
      </c>
      <c r="E1659" s="149">
        <v>0</v>
      </c>
      <c r="F1659" s="149">
        <v>631000</v>
      </c>
      <c r="G1659" s="149">
        <v>53330</v>
      </c>
      <c r="H1659" s="150" t="str">
        <f t="shared" si="75"/>
        <v>5</v>
      </c>
      <c r="I1659" s="150" t="str">
        <f t="shared" si="76"/>
        <v>53</v>
      </c>
      <c r="J1659" s="150" t="str">
        <f t="shared" si="77"/>
        <v>533</v>
      </c>
      <c r="K1659" s="150" t="s">
        <v>9393</v>
      </c>
      <c r="L1659" s="149" t="s">
        <v>537</v>
      </c>
      <c r="M1659" s="151">
        <v>2991.6</v>
      </c>
    </row>
    <row r="1660" spans="1:13" s="149" customFormat="1" x14ac:dyDescent="0.25">
      <c r="A1660" s="149" t="s">
        <v>7639</v>
      </c>
      <c r="B1660" s="149" t="s">
        <v>2911</v>
      </c>
      <c r="C1660" s="149">
        <v>11</v>
      </c>
      <c r="D1660" s="149">
        <v>400</v>
      </c>
      <c r="E1660" s="149">
        <v>0</v>
      </c>
      <c r="F1660" s="149">
        <v>631000</v>
      </c>
      <c r="G1660" s="149">
        <v>53340</v>
      </c>
      <c r="H1660" s="150" t="str">
        <f t="shared" si="75"/>
        <v>5</v>
      </c>
      <c r="I1660" s="150" t="str">
        <f t="shared" si="76"/>
        <v>53</v>
      </c>
      <c r="J1660" s="150" t="str">
        <f t="shared" si="77"/>
        <v>533</v>
      </c>
      <c r="K1660" s="150" t="s">
        <v>9394</v>
      </c>
      <c r="L1660" s="149" t="s">
        <v>539</v>
      </c>
      <c r="M1660" s="151">
        <v>15337.11</v>
      </c>
    </row>
    <row r="1661" spans="1:13" s="149" customFormat="1" x14ac:dyDescent="0.25">
      <c r="A1661" s="149" t="s">
        <v>7639</v>
      </c>
      <c r="B1661" s="149" t="s">
        <v>2912</v>
      </c>
      <c r="C1661" s="149">
        <v>11</v>
      </c>
      <c r="D1661" s="149">
        <v>400</v>
      </c>
      <c r="E1661" s="149">
        <v>0</v>
      </c>
      <c r="F1661" s="149">
        <v>631000</v>
      </c>
      <c r="G1661" s="149">
        <v>53410</v>
      </c>
      <c r="H1661" s="150" t="str">
        <f t="shared" si="75"/>
        <v>5</v>
      </c>
      <c r="I1661" s="150" t="str">
        <f t="shared" si="76"/>
        <v>53</v>
      </c>
      <c r="J1661" s="150" t="str">
        <f t="shared" si="77"/>
        <v>534</v>
      </c>
      <c r="K1661" s="150" t="s">
        <v>9395</v>
      </c>
      <c r="L1661" s="149" t="s">
        <v>2913</v>
      </c>
      <c r="M1661" s="151">
        <v>0</v>
      </c>
    </row>
    <row r="1662" spans="1:13" s="149" customFormat="1" x14ac:dyDescent="0.25">
      <c r="A1662" s="149" t="s">
        <v>7639</v>
      </c>
      <c r="B1662" s="149" t="s">
        <v>2914</v>
      </c>
      <c r="C1662" s="149">
        <v>11</v>
      </c>
      <c r="D1662" s="149">
        <v>400</v>
      </c>
      <c r="E1662" s="149">
        <v>0</v>
      </c>
      <c r="F1662" s="149">
        <v>631000</v>
      </c>
      <c r="G1662" s="149">
        <v>53420</v>
      </c>
      <c r="H1662" s="150" t="str">
        <f t="shared" si="75"/>
        <v>5</v>
      </c>
      <c r="I1662" s="150" t="str">
        <f t="shared" si="76"/>
        <v>53</v>
      </c>
      <c r="J1662" s="150" t="str">
        <f t="shared" si="77"/>
        <v>534</v>
      </c>
      <c r="K1662" s="150" t="s">
        <v>9396</v>
      </c>
      <c r="L1662" s="149" t="s">
        <v>2915</v>
      </c>
      <c r="M1662" s="151">
        <v>149763.62</v>
      </c>
    </row>
    <row r="1663" spans="1:13" s="149" customFormat="1" x14ac:dyDescent="0.25">
      <c r="A1663" s="149" t="s">
        <v>7639</v>
      </c>
      <c r="B1663" s="149" t="s">
        <v>2916</v>
      </c>
      <c r="C1663" s="149">
        <v>11</v>
      </c>
      <c r="D1663" s="149">
        <v>400</v>
      </c>
      <c r="E1663" s="149">
        <v>0</v>
      </c>
      <c r="F1663" s="149">
        <v>631000</v>
      </c>
      <c r="G1663" s="149">
        <v>53510</v>
      </c>
      <c r="H1663" s="150" t="str">
        <f t="shared" si="75"/>
        <v>5</v>
      </c>
      <c r="I1663" s="150" t="str">
        <f t="shared" si="76"/>
        <v>53</v>
      </c>
      <c r="J1663" s="150" t="str">
        <f t="shared" si="77"/>
        <v>535</v>
      </c>
      <c r="K1663" s="150" t="s">
        <v>9397</v>
      </c>
      <c r="L1663" s="149" t="s">
        <v>541</v>
      </c>
      <c r="M1663" s="151">
        <v>103.16</v>
      </c>
    </row>
    <row r="1664" spans="1:13" s="149" customFormat="1" x14ac:dyDescent="0.25">
      <c r="A1664" s="149" t="s">
        <v>7639</v>
      </c>
      <c r="B1664" s="149" t="s">
        <v>2917</v>
      </c>
      <c r="C1664" s="149">
        <v>11</v>
      </c>
      <c r="D1664" s="149">
        <v>400</v>
      </c>
      <c r="E1664" s="149">
        <v>0</v>
      </c>
      <c r="F1664" s="149">
        <v>631000</v>
      </c>
      <c r="G1664" s="149">
        <v>53520</v>
      </c>
      <c r="H1664" s="150" t="str">
        <f t="shared" si="75"/>
        <v>5</v>
      </c>
      <c r="I1664" s="150" t="str">
        <f t="shared" si="76"/>
        <v>53</v>
      </c>
      <c r="J1664" s="150" t="str">
        <f t="shared" si="77"/>
        <v>535</v>
      </c>
      <c r="K1664" s="150" t="s">
        <v>9398</v>
      </c>
      <c r="L1664" s="149" t="s">
        <v>543</v>
      </c>
      <c r="M1664" s="151">
        <v>528.86</v>
      </c>
    </row>
    <row r="1665" spans="1:14" s="149" customFormat="1" x14ac:dyDescent="0.25">
      <c r="A1665" s="149" t="s">
        <v>7639</v>
      </c>
      <c r="B1665" s="149" t="s">
        <v>2918</v>
      </c>
      <c r="C1665" s="149">
        <v>11</v>
      </c>
      <c r="D1665" s="149">
        <v>400</v>
      </c>
      <c r="E1665" s="149">
        <v>0</v>
      </c>
      <c r="F1665" s="149">
        <v>631000</v>
      </c>
      <c r="G1665" s="149">
        <v>53610</v>
      </c>
      <c r="H1665" s="150" t="str">
        <f t="shared" si="75"/>
        <v>5</v>
      </c>
      <c r="I1665" s="150" t="str">
        <f t="shared" si="76"/>
        <v>53</v>
      </c>
      <c r="J1665" s="150" t="str">
        <f t="shared" si="77"/>
        <v>536</v>
      </c>
      <c r="K1665" s="150" t="s">
        <v>9399</v>
      </c>
      <c r="L1665" s="149" t="s">
        <v>545</v>
      </c>
      <c r="M1665" s="151">
        <v>3901.04</v>
      </c>
    </row>
    <row r="1666" spans="1:14" s="149" customFormat="1" x14ac:dyDescent="0.25">
      <c r="A1666" s="149" t="s">
        <v>7639</v>
      </c>
      <c r="B1666" s="149" t="s">
        <v>2919</v>
      </c>
      <c r="C1666" s="149">
        <v>11</v>
      </c>
      <c r="D1666" s="149">
        <v>400</v>
      </c>
      <c r="E1666" s="149">
        <v>0</v>
      </c>
      <c r="F1666" s="149">
        <v>631000</v>
      </c>
      <c r="G1666" s="149">
        <v>53620</v>
      </c>
      <c r="H1666" s="150" t="str">
        <f t="shared" si="75"/>
        <v>5</v>
      </c>
      <c r="I1666" s="150" t="str">
        <f t="shared" si="76"/>
        <v>53</v>
      </c>
      <c r="J1666" s="150" t="str">
        <f t="shared" si="77"/>
        <v>536</v>
      </c>
      <c r="K1666" s="150" t="s">
        <v>9400</v>
      </c>
      <c r="L1666" s="149" t="s">
        <v>547</v>
      </c>
      <c r="M1666" s="151">
        <v>19999.61</v>
      </c>
    </row>
    <row r="1667" spans="1:14" s="149" customFormat="1" x14ac:dyDescent="0.25">
      <c r="A1667" s="149" t="s">
        <v>7639</v>
      </c>
      <c r="B1667" s="149" t="s">
        <v>2920</v>
      </c>
      <c r="C1667" s="149">
        <v>11</v>
      </c>
      <c r="D1667" s="149">
        <v>400</v>
      </c>
      <c r="E1667" s="149">
        <v>0</v>
      </c>
      <c r="F1667" s="149">
        <v>631000</v>
      </c>
      <c r="G1667" s="149">
        <v>53920</v>
      </c>
      <c r="H1667" s="150" t="str">
        <f t="shared" ref="H1667:H1730" si="78">LEFT(G1667,1)</f>
        <v>5</v>
      </c>
      <c r="I1667" s="150" t="str">
        <f t="shared" ref="I1667:I1730" si="79">LEFT(G1667,2)</f>
        <v>53</v>
      </c>
      <c r="J1667" s="150" t="str">
        <f t="shared" ref="J1667:J1730" si="80">LEFT(G1667,3)</f>
        <v>539</v>
      </c>
      <c r="K1667" s="150" t="s">
        <v>9401</v>
      </c>
      <c r="L1667" s="149" t="s">
        <v>2921</v>
      </c>
      <c r="M1667" s="151">
        <v>7200</v>
      </c>
    </row>
    <row r="1668" spans="1:14" s="149" customFormat="1" x14ac:dyDescent="0.25">
      <c r="A1668" s="149" t="s">
        <v>7639</v>
      </c>
      <c r="B1668" s="149" t="s">
        <v>2922</v>
      </c>
      <c r="C1668" s="149">
        <v>11</v>
      </c>
      <c r="D1668" s="149">
        <v>400</v>
      </c>
      <c r="E1668" s="149">
        <v>0</v>
      </c>
      <c r="F1668" s="149">
        <v>631000</v>
      </c>
      <c r="G1668" s="149">
        <v>54300</v>
      </c>
      <c r="H1668" s="150" t="str">
        <f t="shared" si="78"/>
        <v>5</v>
      </c>
      <c r="I1668" s="150" t="str">
        <f t="shared" si="79"/>
        <v>54</v>
      </c>
      <c r="J1668" s="150" t="str">
        <f t="shared" si="80"/>
        <v>543</v>
      </c>
      <c r="K1668" s="150" t="s">
        <v>7975</v>
      </c>
      <c r="L1668" s="149" t="s">
        <v>2923</v>
      </c>
      <c r="M1668" s="151">
        <v>40</v>
      </c>
    </row>
    <row r="1669" spans="1:14" s="149" customFormat="1" x14ac:dyDescent="0.25">
      <c r="A1669" s="149" t="s">
        <v>7639</v>
      </c>
      <c r="B1669" s="149" t="s">
        <v>2924</v>
      </c>
      <c r="C1669" s="149">
        <v>11</v>
      </c>
      <c r="D1669" s="149">
        <v>400</v>
      </c>
      <c r="E1669" s="149">
        <v>0</v>
      </c>
      <c r="F1669" s="149">
        <v>631000</v>
      </c>
      <c r="G1669" s="149">
        <v>55630</v>
      </c>
      <c r="H1669" s="150" t="str">
        <f t="shared" si="78"/>
        <v>5</v>
      </c>
      <c r="I1669" s="150" t="str">
        <f t="shared" si="79"/>
        <v>55</v>
      </c>
      <c r="J1669" s="150" t="str">
        <f t="shared" si="80"/>
        <v>556</v>
      </c>
      <c r="K1669" s="150" t="s">
        <v>8262</v>
      </c>
      <c r="L1669" s="149" t="s">
        <v>549</v>
      </c>
      <c r="M1669" s="151">
        <v>20.65</v>
      </c>
    </row>
    <row r="1670" spans="1:14" s="149" customFormat="1" x14ac:dyDescent="0.25">
      <c r="A1670" s="149" t="s">
        <v>7639</v>
      </c>
      <c r="B1670" s="149" t="s">
        <v>2925</v>
      </c>
      <c r="C1670" s="149">
        <v>11</v>
      </c>
      <c r="D1670" s="149">
        <v>400</v>
      </c>
      <c r="E1670" s="149">
        <v>0</v>
      </c>
      <c r="F1670" s="149">
        <v>631020</v>
      </c>
      <c r="G1670" s="149">
        <v>52360</v>
      </c>
      <c r="H1670" s="150" t="str">
        <f t="shared" si="78"/>
        <v>5</v>
      </c>
      <c r="I1670" s="150" t="str">
        <f t="shared" si="79"/>
        <v>52</v>
      </c>
      <c r="J1670" s="150" t="str">
        <f t="shared" si="80"/>
        <v>523</v>
      </c>
      <c r="K1670" s="150" t="s">
        <v>7881</v>
      </c>
      <c r="L1670" s="149" t="s">
        <v>2926</v>
      </c>
      <c r="M1670" s="151">
        <v>71000</v>
      </c>
      <c r="N1670" s="149" t="e">
        <f>+#REF!+#REF!</f>
        <v>#REF!</v>
      </c>
    </row>
    <row r="1671" spans="1:14" s="149" customFormat="1" x14ac:dyDescent="0.25">
      <c r="A1671" s="149" t="s">
        <v>7639</v>
      </c>
      <c r="B1671" s="149" t="s">
        <v>2927</v>
      </c>
      <c r="C1671" s="149">
        <v>11</v>
      </c>
      <c r="D1671" s="149">
        <v>400</v>
      </c>
      <c r="E1671" s="149">
        <v>0</v>
      </c>
      <c r="F1671" s="149">
        <v>631020</v>
      </c>
      <c r="G1671" s="149">
        <v>53120</v>
      </c>
      <c r="H1671" s="150" t="str">
        <f t="shared" si="78"/>
        <v>5</v>
      </c>
      <c r="I1671" s="150" t="str">
        <f t="shared" si="79"/>
        <v>53</v>
      </c>
      <c r="J1671" s="150" t="str">
        <f t="shared" si="80"/>
        <v>531</v>
      </c>
      <c r="K1671" s="150" t="s">
        <v>9402</v>
      </c>
      <c r="L1671" s="149" t="s">
        <v>2928</v>
      </c>
      <c r="M1671" s="151">
        <v>0</v>
      </c>
    </row>
    <row r="1672" spans="1:14" s="149" customFormat="1" x14ac:dyDescent="0.25">
      <c r="A1672" s="149" t="s">
        <v>7639</v>
      </c>
      <c r="B1672" s="149" t="s">
        <v>2929</v>
      </c>
      <c r="C1672" s="149">
        <v>11</v>
      </c>
      <c r="D1672" s="149">
        <v>400</v>
      </c>
      <c r="E1672" s="149">
        <v>0</v>
      </c>
      <c r="F1672" s="149">
        <v>631020</v>
      </c>
      <c r="G1672" s="149">
        <v>53220</v>
      </c>
      <c r="H1672" s="150" t="str">
        <f t="shared" si="78"/>
        <v>5</v>
      </c>
      <c r="I1672" s="150" t="str">
        <f t="shared" si="79"/>
        <v>53</v>
      </c>
      <c r="J1672" s="150" t="str">
        <f t="shared" si="80"/>
        <v>532</v>
      </c>
      <c r="K1672" s="150" t="s">
        <v>9403</v>
      </c>
      <c r="L1672" s="149" t="s">
        <v>2930</v>
      </c>
      <c r="M1672" s="151">
        <v>0</v>
      </c>
    </row>
    <row r="1673" spans="1:14" s="149" customFormat="1" x14ac:dyDescent="0.25">
      <c r="A1673" s="149" t="s">
        <v>7639</v>
      </c>
      <c r="B1673" s="149" t="s">
        <v>2931</v>
      </c>
      <c r="C1673" s="149">
        <v>11</v>
      </c>
      <c r="D1673" s="149">
        <v>400</v>
      </c>
      <c r="E1673" s="149">
        <v>0</v>
      </c>
      <c r="F1673" s="149">
        <v>631020</v>
      </c>
      <c r="G1673" s="149">
        <v>53320</v>
      </c>
      <c r="H1673" s="150" t="str">
        <f t="shared" si="78"/>
        <v>5</v>
      </c>
      <c r="I1673" s="150" t="str">
        <f t="shared" si="79"/>
        <v>53</v>
      </c>
      <c r="J1673" s="150" t="str">
        <f t="shared" si="80"/>
        <v>533</v>
      </c>
      <c r="K1673" s="150" t="s">
        <v>9404</v>
      </c>
      <c r="L1673" s="149" t="s">
        <v>2932</v>
      </c>
      <c r="M1673" s="151">
        <v>4402</v>
      </c>
    </row>
    <row r="1674" spans="1:14" s="149" customFormat="1" x14ac:dyDescent="0.25">
      <c r="A1674" s="149" t="s">
        <v>7639</v>
      </c>
      <c r="B1674" s="149" t="s">
        <v>2933</v>
      </c>
      <c r="C1674" s="149">
        <v>11</v>
      </c>
      <c r="D1674" s="149">
        <v>400</v>
      </c>
      <c r="E1674" s="149">
        <v>0</v>
      </c>
      <c r="F1674" s="149">
        <v>631020</v>
      </c>
      <c r="G1674" s="149">
        <v>53340</v>
      </c>
      <c r="H1674" s="150" t="str">
        <f t="shared" si="78"/>
        <v>5</v>
      </c>
      <c r="I1674" s="150" t="str">
        <f t="shared" si="79"/>
        <v>53</v>
      </c>
      <c r="J1674" s="150" t="str">
        <f t="shared" si="80"/>
        <v>533</v>
      </c>
      <c r="K1674" s="150" t="s">
        <v>9405</v>
      </c>
      <c r="L1674" s="149" t="s">
        <v>2934</v>
      </c>
      <c r="M1674" s="151">
        <v>1029.5</v>
      </c>
    </row>
    <row r="1675" spans="1:14" s="149" customFormat="1" x14ac:dyDescent="0.25">
      <c r="A1675" s="149" t="s">
        <v>7639</v>
      </c>
      <c r="B1675" s="149" t="s">
        <v>2935</v>
      </c>
      <c r="C1675" s="149">
        <v>11</v>
      </c>
      <c r="D1675" s="149">
        <v>400</v>
      </c>
      <c r="E1675" s="149">
        <v>0</v>
      </c>
      <c r="F1675" s="149">
        <v>631020</v>
      </c>
      <c r="G1675" s="149">
        <v>53420</v>
      </c>
      <c r="H1675" s="150" t="str">
        <f t="shared" si="78"/>
        <v>5</v>
      </c>
      <c r="I1675" s="150" t="str">
        <f t="shared" si="79"/>
        <v>53</v>
      </c>
      <c r="J1675" s="150" t="str">
        <f t="shared" si="80"/>
        <v>534</v>
      </c>
      <c r="K1675" s="150" t="s">
        <v>9406</v>
      </c>
      <c r="L1675" s="149" t="s">
        <v>2936</v>
      </c>
      <c r="M1675" s="151">
        <v>0</v>
      </c>
    </row>
    <row r="1676" spans="1:14" s="149" customFormat="1" x14ac:dyDescent="0.25">
      <c r="A1676" s="149" t="s">
        <v>7639</v>
      </c>
      <c r="B1676" s="149" t="s">
        <v>2937</v>
      </c>
      <c r="C1676" s="149">
        <v>11</v>
      </c>
      <c r="D1676" s="149">
        <v>400</v>
      </c>
      <c r="E1676" s="149">
        <v>0</v>
      </c>
      <c r="F1676" s="149">
        <v>631020</v>
      </c>
      <c r="G1676" s="149">
        <v>53520</v>
      </c>
      <c r="H1676" s="150" t="str">
        <f t="shared" si="78"/>
        <v>5</v>
      </c>
      <c r="I1676" s="150" t="str">
        <f t="shared" si="79"/>
        <v>53</v>
      </c>
      <c r="J1676" s="150" t="str">
        <f t="shared" si="80"/>
        <v>535</v>
      </c>
      <c r="K1676" s="150" t="s">
        <v>9407</v>
      </c>
      <c r="L1676" s="149" t="s">
        <v>2938</v>
      </c>
      <c r="M1676" s="151">
        <v>35.5</v>
      </c>
    </row>
    <row r="1677" spans="1:14" s="149" customFormat="1" x14ac:dyDescent="0.25">
      <c r="A1677" s="149" t="s">
        <v>7639</v>
      </c>
      <c r="B1677" s="149" t="s">
        <v>2939</v>
      </c>
      <c r="C1677" s="149">
        <v>11</v>
      </c>
      <c r="D1677" s="149">
        <v>400</v>
      </c>
      <c r="E1677" s="149">
        <v>0</v>
      </c>
      <c r="F1677" s="149">
        <v>631020</v>
      </c>
      <c r="G1677" s="149">
        <v>53620</v>
      </c>
      <c r="H1677" s="150" t="str">
        <f t="shared" si="78"/>
        <v>5</v>
      </c>
      <c r="I1677" s="150" t="str">
        <f t="shared" si="79"/>
        <v>53</v>
      </c>
      <c r="J1677" s="150" t="str">
        <f t="shared" si="80"/>
        <v>536</v>
      </c>
      <c r="K1677" s="150" t="s">
        <v>9408</v>
      </c>
      <c r="L1677" s="149" t="s">
        <v>2940</v>
      </c>
      <c r="M1677" s="151">
        <v>1342.47</v>
      </c>
    </row>
    <row r="1678" spans="1:14" s="149" customFormat="1" x14ac:dyDescent="0.25">
      <c r="A1678" s="149" t="s">
        <v>7639</v>
      </c>
      <c r="B1678" s="149" t="s">
        <v>2941</v>
      </c>
      <c r="C1678" s="149">
        <v>11</v>
      </c>
      <c r="D1678" s="149">
        <v>400</v>
      </c>
      <c r="E1678" s="149">
        <v>0</v>
      </c>
      <c r="F1678" s="149">
        <v>631020</v>
      </c>
      <c r="G1678" s="149">
        <v>55630</v>
      </c>
      <c r="H1678" s="150" t="str">
        <f t="shared" si="78"/>
        <v>5</v>
      </c>
      <c r="I1678" s="150" t="str">
        <f t="shared" si="79"/>
        <v>55</v>
      </c>
      <c r="J1678" s="150" t="str">
        <f t="shared" si="80"/>
        <v>556</v>
      </c>
      <c r="K1678" s="150" t="s">
        <v>8263</v>
      </c>
      <c r="L1678" s="149" t="s">
        <v>2942</v>
      </c>
      <c r="M1678" s="151">
        <v>200</v>
      </c>
    </row>
    <row r="1679" spans="1:14" s="149" customFormat="1" x14ac:dyDescent="0.25">
      <c r="A1679" s="149" t="s">
        <v>7639</v>
      </c>
      <c r="B1679" s="149" t="s">
        <v>2943</v>
      </c>
      <c r="C1679" s="149">
        <v>11</v>
      </c>
      <c r="D1679" s="149">
        <v>400</v>
      </c>
      <c r="E1679" s="149">
        <v>0</v>
      </c>
      <c r="F1679" s="149">
        <v>633050</v>
      </c>
      <c r="G1679" s="149">
        <v>52310</v>
      </c>
      <c r="H1679" s="150" t="str">
        <f t="shared" si="78"/>
        <v>5</v>
      </c>
      <c r="I1679" s="150" t="str">
        <f t="shared" si="79"/>
        <v>52</v>
      </c>
      <c r="J1679" s="150" t="str">
        <f t="shared" si="80"/>
        <v>523</v>
      </c>
      <c r="K1679" s="150" t="s">
        <v>7845</v>
      </c>
      <c r="L1679" s="149" t="s">
        <v>2944</v>
      </c>
      <c r="M1679" s="151">
        <v>1000</v>
      </c>
    </row>
    <row r="1680" spans="1:14" s="149" customFormat="1" x14ac:dyDescent="0.25">
      <c r="A1680" s="149" t="s">
        <v>7639</v>
      </c>
      <c r="B1680" s="149" t="s">
        <v>2945</v>
      </c>
      <c r="C1680" s="149">
        <v>11</v>
      </c>
      <c r="D1680" s="149">
        <v>400</v>
      </c>
      <c r="E1680" s="149">
        <v>0</v>
      </c>
      <c r="F1680" s="149">
        <v>633050</v>
      </c>
      <c r="G1680" s="149">
        <v>53620</v>
      </c>
      <c r="H1680" s="150" t="str">
        <f t="shared" si="78"/>
        <v>5</v>
      </c>
      <c r="I1680" s="150" t="str">
        <f t="shared" si="79"/>
        <v>53</v>
      </c>
      <c r="J1680" s="150" t="str">
        <f t="shared" si="80"/>
        <v>536</v>
      </c>
      <c r="K1680" s="150" t="s">
        <v>9409</v>
      </c>
      <c r="L1680" s="149" t="s">
        <v>2946</v>
      </c>
      <c r="M1680" s="151">
        <v>18.91</v>
      </c>
    </row>
    <row r="1681" spans="1:13" s="149" customFormat="1" x14ac:dyDescent="0.25">
      <c r="A1681" s="149" t="s">
        <v>7639</v>
      </c>
      <c r="B1681" s="149" t="s">
        <v>2947</v>
      </c>
      <c r="C1681" s="149">
        <v>11</v>
      </c>
      <c r="D1681" s="149">
        <v>400</v>
      </c>
      <c r="E1681" s="149">
        <v>0</v>
      </c>
      <c r="F1681" s="149">
        <v>634000</v>
      </c>
      <c r="G1681" s="149">
        <v>51200</v>
      </c>
      <c r="H1681" s="150" t="str">
        <f t="shared" si="78"/>
        <v>5</v>
      </c>
      <c r="I1681" s="150" t="str">
        <f t="shared" si="79"/>
        <v>51</v>
      </c>
      <c r="J1681" s="150" t="str">
        <f t="shared" si="80"/>
        <v>512</v>
      </c>
      <c r="K1681" s="150" t="s">
        <v>9410</v>
      </c>
      <c r="L1681" s="149" t="s">
        <v>2948</v>
      </c>
      <c r="M1681" s="151">
        <v>92149</v>
      </c>
    </row>
    <row r="1682" spans="1:13" s="149" customFormat="1" x14ac:dyDescent="0.25">
      <c r="A1682" s="149" t="s">
        <v>7639</v>
      </c>
      <c r="B1682" s="149" t="s">
        <v>2949</v>
      </c>
      <c r="C1682" s="149">
        <v>11</v>
      </c>
      <c r="D1682" s="149">
        <v>400</v>
      </c>
      <c r="E1682" s="149">
        <v>0</v>
      </c>
      <c r="F1682" s="149">
        <v>634000</v>
      </c>
      <c r="G1682" s="149">
        <v>52105</v>
      </c>
      <c r="H1682" s="150" t="str">
        <f t="shared" si="78"/>
        <v>5</v>
      </c>
      <c r="I1682" s="150" t="str">
        <f t="shared" si="79"/>
        <v>52</v>
      </c>
      <c r="J1682" s="150" t="str">
        <f t="shared" si="80"/>
        <v>521</v>
      </c>
      <c r="K1682" s="150" t="s">
        <v>9411</v>
      </c>
      <c r="L1682" s="149" t="s">
        <v>2950</v>
      </c>
      <c r="M1682" s="151">
        <v>52849</v>
      </c>
    </row>
    <row r="1683" spans="1:13" s="149" customFormat="1" x14ac:dyDescent="0.25">
      <c r="A1683" s="149" t="s">
        <v>7639</v>
      </c>
      <c r="B1683" s="149" t="s">
        <v>2951</v>
      </c>
      <c r="C1683" s="149">
        <v>11</v>
      </c>
      <c r="D1683" s="149">
        <v>400</v>
      </c>
      <c r="E1683" s="149">
        <v>0</v>
      </c>
      <c r="F1683" s="149">
        <v>634000</v>
      </c>
      <c r="G1683" s="149">
        <v>52300</v>
      </c>
      <c r="H1683" s="150" t="str">
        <f t="shared" si="78"/>
        <v>5</v>
      </c>
      <c r="I1683" s="150" t="str">
        <f t="shared" si="79"/>
        <v>52</v>
      </c>
      <c r="J1683" s="150" t="str">
        <f t="shared" si="80"/>
        <v>523</v>
      </c>
      <c r="K1683" s="150" t="s">
        <v>7835</v>
      </c>
      <c r="L1683" s="149" t="s">
        <v>2952</v>
      </c>
      <c r="M1683" s="151">
        <v>0</v>
      </c>
    </row>
    <row r="1684" spans="1:13" s="149" customFormat="1" x14ac:dyDescent="0.25">
      <c r="A1684" s="149" t="s">
        <v>7639</v>
      </c>
      <c r="B1684" s="149" t="s">
        <v>2953</v>
      </c>
      <c r="C1684" s="149">
        <v>11</v>
      </c>
      <c r="D1684" s="149">
        <v>400</v>
      </c>
      <c r="E1684" s="149">
        <v>0</v>
      </c>
      <c r="F1684" s="149">
        <v>634000</v>
      </c>
      <c r="G1684" s="149">
        <v>53120</v>
      </c>
      <c r="H1684" s="150" t="str">
        <f t="shared" si="78"/>
        <v>5</v>
      </c>
      <c r="I1684" s="150" t="str">
        <f t="shared" si="79"/>
        <v>53</v>
      </c>
      <c r="J1684" s="150" t="str">
        <f t="shared" si="80"/>
        <v>531</v>
      </c>
      <c r="K1684" s="150" t="s">
        <v>9412</v>
      </c>
      <c r="L1684" s="149" t="s">
        <v>2954</v>
      </c>
      <c r="M1684" s="151">
        <v>14882.06</v>
      </c>
    </row>
    <row r="1685" spans="1:13" s="149" customFormat="1" x14ac:dyDescent="0.25">
      <c r="A1685" s="149" t="s">
        <v>7639</v>
      </c>
      <c r="B1685" s="149" t="s">
        <v>2955</v>
      </c>
      <c r="C1685" s="149">
        <v>11</v>
      </c>
      <c r="D1685" s="149">
        <v>400</v>
      </c>
      <c r="E1685" s="149">
        <v>0</v>
      </c>
      <c r="F1685" s="149">
        <v>634000</v>
      </c>
      <c r="G1685" s="149">
        <v>53220</v>
      </c>
      <c r="H1685" s="150" t="str">
        <f t="shared" si="78"/>
        <v>5</v>
      </c>
      <c r="I1685" s="150" t="str">
        <f t="shared" si="79"/>
        <v>53</v>
      </c>
      <c r="J1685" s="150" t="str">
        <f t="shared" si="80"/>
        <v>532</v>
      </c>
      <c r="K1685" s="150" t="s">
        <v>9413</v>
      </c>
      <c r="L1685" s="149" t="s">
        <v>2956</v>
      </c>
      <c r="M1685" s="151">
        <v>10939.74</v>
      </c>
    </row>
    <row r="1686" spans="1:13" s="149" customFormat="1" x14ac:dyDescent="0.25">
      <c r="A1686" s="149" t="s">
        <v>7639</v>
      </c>
      <c r="B1686" s="149" t="s">
        <v>2957</v>
      </c>
      <c r="C1686" s="149">
        <v>11</v>
      </c>
      <c r="D1686" s="149">
        <v>400</v>
      </c>
      <c r="E1686" s="149">
        <v>0</v>
      </c>
      <c r="F1686" s="149">
        <v>634000</v>
      </c>
      <c r="G1686" s="149">
        <v>53320</v>
      </c>
      <c r="H1686" s="150" t="str">
        <f t="shared" si="78"/>
        <v>5</v>
      </c>
      <c r="I1686" s="150" t="str">
        <f t="shared" si="79"/>
        <v>53</v>
      </c>
      <c r="J1686" s="150" t="str">
        <f t="shared" si="80"/>
        <v>533</v>
      </c>
      <c r="K1686" s="150" t="s">
        <v>9414</v>
      </c>
      <c r="L1686" s="149" t="s">
        <v>2958</v>
      </c>
      <c r="M1686" s="151">
        <v>3276.64</v>
      </c>
    </row>
    <row r="1687" spans="1:13" s="149" customFormat="1" x14ac:dyDescent="0.25">
      <c r="A1687" s="149" t="s">
        <v>7639</v>
      </c>
      <c r="B1687" s="149" t="s">
        <v>2959</v>
      </c>
      <c r="C1687" s="149">
        <v>11</v>
      </c>
      <c r="D1687" s="149">
        <v>400</v>
      </c>
      <c r="E1687" s="149">
        <v>0</v>
      </c>
      <c r="F1687" s="149">
        <v>634000</v>
      </c>
      <c r="G1687" s="149">
        <v>53340</v>
      </c>
      <c r="H1687" s="150" t="str">
        <f t="shared" si="78"/>
        <v>5</v>
      </c>
      <c r="I1687" s="150" t="str">
        <f t="shared" si="79"/>
        <v>53</v>
      </c>
      <c r="J1687" s="150" t="str">
        <f t="shared" si="80"/>
        <v>533</v>
      </c>
      <c r="K1687" s="150" t="s">
        <v>9415</v>
      </c>
      <c r="L1687" s="149" t="s">
        <v>2960</v>
      </c>
      <c r="M1687" s="151">
        <v>2102.4699999999998</v>
      </c>
    </row>
    <row r="1688" spans="1:13" s="149" customFormat="1" x14ac:dyDescent="0.25">
      <c r="A1688" s="149" t="s">
        <v>7639</v>
      </c>
      <c r="B1688" s="149" t="s">
        <v>2961</v>
      </c>
      <c r="C1688" s="149">
        <v>11</v>
      </c>
      <c r="D1688" s="149">
        <v>400</v>
      </c>
      <c r="E1688" s="149">
        <v>0</v>
      </c>
      <c r="F1688" s="149">
        <v>634000</v>
      </c>
      <c r="G1688" s="149">
        <v>53420</v>
      </c>
      <c r="H1688" s="150" t="str">
        <f t="shared" si="78"/>
        <v>5</v>
      </c>
      <c r="I1688" s="150" t="str">
        <f t="shared" si="79"/>
        <v>53</v>
      </c>
      <c r="J1688" s="150" t="str">
        <f t="shared" si="80"/>
        <v>534</v>
      </c>
      <c r="K1688" s="150" t="s">
        <v>9416</v>
      </c>
      <c r="L1688" s="149" t="s">
        <v>2962</v>
      </c>
      <c r="M1688" s="151">
        <v>31999.74</v>
      </c>
    </row>
    <row r="1689" spans="1:13" s="149" customFormat="1" x14ac:dyDescent="0.25">
      <c r="A1689" s="149" t="s">
        <v>7639</v>
      </c>
      <c r="B1689" s="149" t="s">
        <v>2963</v>
      </c>
      <c r="C1689" s="149">
        <v>11</v>
      </c>
      <c r="D1689" s="149">
        <v>400</v>
      </c>
      <c r="E1689" s="149">
        <v>0</v>
      </c>
      <c r="F1689" s="149">
        <v>634000</v>
      </c>
      <c r="G1689" s="149">
        <v>53520</v>
      </c>
      <c r="H1689" s="150" t="str">
        <f t="shared" si="78"/>
        <v>5</v>
      </c>
      <c r="I1689" s="150" t="str">
        <f t="shared" si="79"/>
        <v>53</v>
      </c>
      <c r="J1689" s="150" t="str">
        <f t="shared" si="80"/>
        <v>535</v>
      </c>
      <c r="K1689" s="150" t="s">
        <v>9417</v>
      </c>
      <c r="L1689" s="149" t="s">
        <v>2964</v>
      </c>
      <c r="M1689" s="151">
        <v>72.489999999999995</v>
      </c>
    </row>
    <row r="1690" spans="1:13" s="149" customFormat="1" x14ac:dyDescent="0.25">
      <c r="A1690" s="149" t="s">
        <v>7639</v>
      </c>
      <c r="B1690" s="149" t="s">
        <v>2965</v>
      </c>
      <c r="C1690" s="149">
        <v>11</v>
      </c>
      <c r="D1690" s="149">
        <v>400</v>
      </c>
      <c r="E1690" s="149">
        <v>0</v>
      </c>
      <c r="F1690" s="149">
        <v>634000</v>
      </c>
      <c r="G1690" s="149">
        <v>53620</v>
      </c>
      <c r="H1690" s="150" t="str">
        <f t="shared" si="78"/>
        <v>5</v>
      </c>
      <c r="I1690" s="150" t="str">
        <f t="shared" si="79"/>
        <v>53</v>
      </c>
      <c r="J1690" s="150" t="str">
        <f t="shared" si="80"/>
        <v>536</v>
      </c>
      <c r="K1690" s="150" t="s">
        <v>9418</v>
      </c>
      <c r="L1690" s="149" t="s">
        <v>2966</v>
      </c>
      <c r="M1690" s="151">
        <v>2741.62</v>
      </c>
    </row>
    <row r="1691" spans="1:13" s="149" customFormat="1" x14ac:dyDescent="0.25">
      <c r="A1691" s="149" t="s">
        <v>7639</v>
      </c>
      <c r="B1691" s="149" t="s">
        <v>2967</v>
      </c>
      <c r="C1691" s="149">
        <v>11</v>
      </c>
      <c r="D1691" s="149">
        <v>400</v>
      </c>
      <c r="E1691" s="149">
        <v>0</v>
      </c>
      <c r="F1691" s="149">
        <v>634000</v>
      </c>
      <c r="G1691" s="149">
        <v>53920</v>
      </c>
      <c r="H1691" s="150" t="str">
        <f t="shared" si="78"/>
        <v>5</v>
      </c>
      <c r="I1691" s="150" t="str">
        <f t="shared" si="79"/>
        <v>53</v>
      </c>
      <c r="J1691" s="150" t="str">
        <f t="shared" si="80"/>
        <v>539</v>
      </c>
      <c r="K1691" s="150" t="s">
        <v>9419</v>
      </c>
      <c r="L1691" s="149" t="s">
        <v>2968</v>
      </c>
      <c r="M1691" s="151">
        <v>4800</v>
      </c>
    </row>
    <row r="1692" spans="1:13" s="149" customFormat="1" x14ac:dyDescent="0.25">
      <c r="A1692" s="149" t="s">
        <v>7639</v>
      </c>
      <c r="B1692" s="149" t="s">
        <v>2969</v>
      </c>
      <c r="C1692" s="149">
        <v>11</v>
      </c>
      <c r="D1692" s="149">
        <v>400</v>
      </c>
      <c r="E1692" s="149">
        <v>0</v>
      </c>
      <c r="F1692" s="149">
        <v>634000</v>
      </c>
      <c r="G1692" s="149">
        <v>54300</v>
      </c>
      <c r="H1692" s="150" t="str">
        <f t="shared" si="78"/>
        <v>5</v>
      </c>
      <c r="I1692" s="150" t="str">
        <f t="shared" si="79"/>
        <v>54</v>
      </c>
      <c r="J1692" s="150" t="str">
        <f t="shared" si="80"/>
        <v>543</v>
      </c>
      <c r="K1692" s="150" t="s">
        <v>7976</v>
      </c>
      <c r="L1692" s="149" t="s">
        <v>2970</v>
      </c>
      <c r="M1692" s="151">
        <v>600</v>
      </c>
    </row>
    <row r="1693" spans="1:13" s="149" customFormat="1" x14ac:dyDescent="0.25">
      <c r="A1693" s="149" t="s">
        <v>7639</v>
      </c>
      <c r="B1693" s="149" t="s">
        <v>2971</v>
      </c>
      <c r="C1693" s="149">
        <v>11</v>
      </c>
      <c r="D1693" s="149">
        <v>400</v>
      </c>
      <c r="E1693" s="149">
        <v>0</v>
      </c>
      <c r="F1693" s="149">
        <v>634000</v>
      </c>
      <c r="G1693" s="149">
        <v>55200</v>
      </c>
      <c r="H1693" s="150" t="str">
        <f t="shared" si="78"/>
        <v>5</v>
      </c>
      <c r="I1693" s="150" t="str">
        <f t="shared" si="79"/>
        <v>55</v>
      </c>
      <c r="J1693" s="150" t="str">
        <f t="shared" si="80"/>
        <v>552</v>
      </c>
      <c r="K1693" s="150" t="s">
        <v>8064</v>
      </c>
      <c r="L1693" s="149" t="s">
        <v>2972</v>
      </c>
      <c r="M1693" s="151">
        <v>0</v>
      </c>
    </row>
    <row r="1694" spans="1:13" s="149" customFormat="1" x14ac:dyDescent="0.25">
      <c r="A1694" s="149" t="s">
        <v>7639</v>
      </c>
      <c r="B1694" s="149" t="s">
        <v>2973</v>
      </c>
      <c r="C1694" s="149">
        <v>11</v>
      </c>
      <c r="D1694" s="149">
        <v>400</v>
      </c>
      <c r="E1694" s="149">
        <v>0</v>
      </c>
      <c r="F1694" s="149">
        <v>634000</v>
      </c>
      <c r="G1694" s="149">
        <v>55630</v>
      </c>
      <c r="H1694" s="150" t="str">
        <f t="shared" si="78"/>
        <v>5</v>
      </c>
      <c r="I1694" s="150" t="str">
        <f t="shared" si="79"/>
        <v>55</v>
      </c>
      <c r="J1694" s="150" t="str">
        <f t="shared" si="80"/>
        <v>556</v>
      </c>
      <c r="K1694" s="150" t="s">
        <v>8264</v>
      </c>
      <c r="L1694" s="149" t="s">
        <v>2974</v>
      </c>
      <c r="M1694" s="151">
        <v>387.69</v>
      </c>
    </row>
    <row r="1695" spans="1:13" s="149" customFormat="1" x14ac:dyDescent="0.25">
      <c r="A1695" s="149" t="s">
        <v>7639</v>
      </c>
      <c r="B1695" s="149" t="s">
        <v>9604</v>
      </c>
      <c r="C1695" s="149">
        <v>11</v>
      </c>
      <c r="D1695" s="149">
        <v>400</v>
      </c>
      <c r="E1695" s="149">
        <v>0</v>
      </c>
      <c r="F1695" s="149">
        <v>649000</v>
      </c>
      <c r="G1695" s="149">
        <v>55105</v>
      </c>
      <c r="H1695" s="150" t="str">
        <f t="shared" si="78"/>
        <v>5</v>
      </c>
      <c r="I1695" s="150" t="str">
        <f t="shared" si="79"/>
        <v>55</v>
      </c>
      <c r="J1695" s="150" t="str">
        <f t="shared" si="80"/>
        <v>551</v>
      </c>
      <c r="K1695" s="150" t="s">
        <v>8018</v>
      </c>
      <c r="L1695" s="149" t="s">
        <v>9605</v>
      </c>
      <c r="M1695" s="151">
        <v>90000</v>
      </c>
    </row>
    <row r="1696" spans="1:13" s="149" customFormat="1" x14ac:dyDescent="0.25">
      <c r="A1696" s="149" t="s">
        <v>7639</v>
      </c>
      <c r="B1696" s="149" t="s">
        <v>9606</v>
      </c>
      <c r="C1696" s="149">
        <v>11</v>
      </c>
      <c r="D1696" s="149">
        <v>400</v>
      </c>
      <c r="E1696" s="149">
        <v>0</v>
      </c>
      <c r="F1696" s="149">
        <v>649000</v>
      </c>
      <c r="G1696" s="149">
        <v>55200</v>
      </c>
      <c r="H1696" s="150" t="str">
        <f t="shared" si="78"/>
        <v>5</v>
      </c>
      <c r="I1696" s="150" t="str">
        <f t="shared" si="79"/>
        <v>55</v>
      </c>
      <c r="J1696" s="150" t="str">
        <f t="shared" si="80"/>
        <v>552</v>
      </c>
      <c r="K1696" s="150" t="s">
        <v>8065</v>
      </c>
      <c r="L1696" s="149" t="s">
        <v>9607</v>
      </c>
      <c r="M1696" s="151">
        <v>5000</v>
      </c>
    </row>
    <row r="1697" spans="1:13" s="149" customFormat="1" x14ac:dyDescent="0.25">
      <c r="A1697" s="149" t="s">
        <v>7639</v>
      </c>
      <c r="B1697" s="149" t="s">
        <v>2975</v>
      </c>
      <c r="C1697" s="149">
        <v>11</v>
      </c>
      <c r="D1697" s="149">
        <v>400</v>
      </c>
      <c r="E1697" s="149">
        <v>0</v>
      </c>
      <c r="F1697" s="149">
        <v>665000</v>
      </c>
      <c r="G1697" s="149">
        <v>51210</v>
      </c>
      <c r="H1697" s="150" t="str">
        <f t="shared" si="78"/>
        <v>5</v>
      </c>
      <c r="I1697" s="150" t="str">
        <f t="shared" si="79"/>
        <v>51</v>
      </c>
      <c r="J1697" s="150" t="str">
        <f t="shared" si="80"/>
        <v>512</v>
      </c>
      <c r="K1697" s="150" t="s">
        <v>9420</v>
      </c>
      <c r="L1697" s="149" t="s">
        <v>2976</v>
      </c>
      <c r="M1697" s="151">
        <v>172303</v>
      </c>
    </row>
    <row r="1698" spans="1:13" s="149" customFormat="1" x14ac:dyDescent="0.25">
      <c r="A1698" s="149" t="s">
        <v>7639</v>
      </c>
      <c r="B1698" s="149" t="s">
        <v>2977</v>
      </c>
      <c r="C1698" s="149">
        <v>11</v>
      </c>
      <c r="D1698" s="149">
        <v>400</v>
      </c>
      <c r="E1698" s="149">
        <v>0</v>
      </c>
      <c r="F1698" s="149">
        <v>665000</v>
      </c>
      <c r="G1698" s="149">
        <v>52120</v>
      </c>
      <c r="H1698" s="150" t="str">
        <f t="shared" si="78"/>
        <v>5</v>
      </c>
      <c r="I1698" s="150" t="str">
        <f t="shared" si="79"/>
        <v>52</v>
      </c>
      <c r="J1698" s="150" t="str">
        <f t="shared" si="80"/>
        <v>521</v>
      </c>
      <c r="K1698" s="150" t="s">
        <v>9421</v>
      </c>
      <c r="L1698" s="149" t="s">
        <v>2978</v>
      </c>
      <c r="M1698" s="151">
        <v>71880</v>
      </c>
    </row>
    <row r="1699" spans="1:13" s="149" customFormat="1" x14ac:dyDescent="0.25">
      <c r="A1699" s="149" t="s">
        <v>7639</v>
      </c>
      <c r="B1699" s="149" t="s">
        <v>2979</v>
      </c>
      <c r="C1699" s="149">
        <v>11</v>
      </c>
      <c r="D1699" s="149">
        <v>400</v>
      </c>
      <c r="E1699" s="149">
        <v>0</v>
      </c>
      <c r="F1699" s="149">
        <v>665000</v>
      </c>
      <c r="G1699" s="149">
        <v>52300</v>
      </c>
      <c r="H1699" s="150" t="str">
        <f t="shared" si="78"/>
        <v>5</v>
      </c>
      <c r="I1699" s="150" t="str">
        <f t="shared" si="79"/>
        <v>52</v>
      </c>
      <c r="J1699" s="150" t="str">
        <f t="shared" si="80"/>
        <v>523</v>
      </c>
      <c r="K1699" s="150" t="s">
        <v>7836</v>
      </c>
      <c r="L1699" s="149" t="s">
        <v>2980</v>
      </c>
      <c r="M1699" s="151">
        <v>0</v>
      </c>
    </row>
    <row r="1700" spans="1:13" s="149" customFormat="1" x14ac:dyDescent="0.25">
      <c r="A1700" s="149" t="s">
        <v>7639</v>
      </c>
      <c r="B1700" s="149" t="s">
        <v>2981</v>
      </c>
      <c r="C1700" s="149">
        <v>11</v>
      </c>
      <c r="D1700" s="149">
        <v>400</v>
      </c>
      <c r="E1700" s="149">
        <v>0</v>
      </c>
      <c r="F1700" s="149">
        <v>665000</v>
      </c>
      <c r="G1700" s="149">
        <v>52360</v>
      </c>
      <c r="H1700" s="150" t="str">
        <f t="shared" si="78"/>
        <v>5</v>
      </c>
      <c r="I1700" s="150" t="str">
        <f t="shared" si="79"/>
        <v>52</v>
      </c>
      <c r="J1700" s="150" t="str">
        <f t="shared" si="80"/>
        <v>523</v>
      </c>
      <c r="K1700" s="150" t="s">
        <v>7882</v>
      </c>
      <c r="L1700" s="149" t="s">
        <v>2982</v>
      </c>
      <c r="M1700" s="151">
        <v>49000</v>
      </c>
    </row>
    <row r="1701" spans="1:13" s="149" customFormat="1" x14ac:dyDescent="0.25">
      <c r="A1701" s="149" t="s">
        <v>7639</v>
      </c>
      <c r="B1701" s="149" t="s">
        <v>2983</v>
      </c>
      <c r="C1701" s="149">
        <v>11</v>
      </c>
      <c r="D1701" s="149">
        <v>400</v>
      </c>
      <c r="E1701" s="149">
        <v>0</v>
      </c>
      <c r="F1701" s="149">
        <v>665000</v>
      </c>
      <c r="G1701" s="149">
        <v>53120</v>
      </c>
      <c r="H1701" s="150" t="str">
        <f t="shared" si="78"/>
        <v>5</v>
      </c>
      <c r="I1701" s="150" t="str">
        <f t="shared" si="79"/>
        <v>53</v>
      </c>
      <c r="J1701" s="150" t="str">
        <f t="shared" si="80"/>
        <v>531</v>
      </c>
      <c r="K1701" s="150" t="s">
        <v>9422</v>
      </c>
      <c r="L1701" s="149" t="s">
        <v>2984</v>
      </c>
      <c r="M1701" s="151">
        <v>27826.93</v>
      </c>
    </row>
    <row r="1702" spans="1:13" s="149" customFormat="1" x14ac:dyDescent="0.25">
      <c r="A1702" s="149" t="s">
        <v>7639</v>
      </c>
      <c r="B1702" s="149" t="s">
        <v>2985</v>
      </c>
      <c r="C1702" s="149">
        <v>11</v>
      </c>
      <c r="D1702" s="149">
        <v>400</v>
      </c>
      <c r="E1702" s="149">
        <v>0</v>
      </c>
      <c r="F1702" s="149">
        <v>665000</v>
      </c>
      <c r="G1702" s="149">
        <v>53220</v>
      </c>
      <c r="H1702" s="150" t="str">
        <f t="shared" si="78"/>
        <v>5</v>
      </c>
      <c r="I1702" s="150" t="str">
        <f t="shared" si="79"/>
        <v>53</v>
      </c>
      <c r="J1702" s="150" t="str">
        <f t="shared" si="80"/>
        <v>532</v>
      </c>
      <c r="K1702" s="150" t="s">
        <v>9423</v>
      </c>
      <c r="L1702" s="149" t="s">
        <v>2986</v>
      </c>
      <c r="M1702" s="151">
        <v>14879.16</v>
      </c>
    </row>
    <row r="1703" spans="1:13" s="149" customFormat="1" x14ac:dyDescent="0.25">
      <c r="A1703" s="149" t="s">
        <v>7639</v>
      </c>
      <c r="B1703" s="149" t="s">
        <v>2987</v>
      </c>
      <c r="C1703" s="149">
        <v>11</v>
      </c>
      <c r="D1703" s="149">
        <v>400</v>
      </c>
      <c r="E1703" s="149">
        <v>0</v>
      </c>
      <c r="F1703" s="149">
        <v>665000</v>
      </c>
      <c r="G1703" s="149">
        <v>53320</v>
      </c>
      <c r="H1703" s="150" t="str">
        <f t="shared" si="78"/>
        <v>5</v>
      </c>
      <c r="I1703" s="150" t="str">
        <f t="shared" si="79"/>
        <v>53</v>
      </c>
      <c r="J1703" s="150" t="str">
        <f t="shared" si="80"/>
        <v>533</v>
      </c>
      <c r="K1703" s="150" t="s">
        <v>9424</v>
      </c>
      <c r="L1703" s="149" t="s">
        <v>2988</v>
      </c>
      <c r="M1703" s="151">
        <v>7494.56</v>
      </c>
    </row>
    <row r="1704" spans="1:13" s="149" customFormat="1" x14ac:dyDescent="0.25">
      <c r="A1704" s="149" t="s">
        <v>7639</v>
      </c>
      <c r="B1704" s="149" t="s">
        <v>2989</v>
      </c>
      <c r="C1704" s="149">
        <v>11</v>
      </c>
      <c r="D1704" s="149">
        <v>400</v>
      </c>
      <c r="E1704" s="149">
        <v>0</v>
      </c>
      <c r="F1704" s="149">
        <v>665000</v>
      </c>
      <c r="G1704" s="149">
        <v>53340</v>
      </c>
      <c r="H1704" s="150" t="str">
        <f t="shared" si="78"/>
        <v>5</v>
      </c>
      <c r="I1704" s="150" t="str">
        <f t="shared" si="79"/>
        <v>53</v>
      </c>
      <c r="J1704" s="150" t="str">
        <f t="shared" si="80"/>
        <v>533</v>
      </c>
      <c r="K1704" s="150" t="s">
        <v>9425</v>
      </c>
      <c r="L1704" s="149" t="s">
        <v>2990</v>
      </c>
      <c r="M1704" s="151">
        <v>4251.1499999999996</v>
      </c>
    </row>
    <row r="1705" spans="1:13" s="149" customFormat="1" x14ac:dyDescent="0.25">
      <c r="A1705" s="149" t="s">
        <v>7639</v>
      </c>
      <c r="B1705" s="149" t="s">
        <v>2991</v>
      </c>
      <c r="C1705" s="149">
        <v>11</v>
      </c>
      <c r="D1705" s="149">
        <v>400</v>
      </c>
      <c r="E1705" s="149">
        <v>0</v>
      </c>
      <c r="F1705" s="149">
        <v>665000</v>
      </c>
      <c r="G1705" s="149">
        <v>53420</v>
      </c>
      <c r="H1705" s="150" t="str">
        <f t="shared" si="78"/>
        <v>5</v>
      </c>
      <c r="I1705" s="150" t="str">
        <f t="shared" si="79"/>
        <v>53</v>
      </c>
      <c r="J1705" s="150" t="str">
        <f t="shared" si="80"/>
        <v>534</v>
      </c>
      <c r="K1705" s="150" t="s">
        <v>9426</v>
      </c>
      <c r="L1705" s="149" t="s">
        <v>2992</v>
      </c>
      <c r="M1705" s="151">
        <v>46213.2</v>
      </c>
    </row>
    <row r="1706" spans="1:13" s="149" customFormat="1" x14ac:dyDescent="0.25">
      <c r="A1706" s="149" t="s">
        <v>7639</v>
      </c>
      <c r="B1706" s="149" t="s">
        <v>2993</v>
      </c>
      <c r="C1706" s="149">
        <v>11</v>
      </c>
      <c r="D1706" s="149">
        <v>400</v>
      </c>
      <c r="E1706" s="149">
        <v>0</v>
      </c>
      <c r="F1706" s="149">
        <v>665000</v>
      </c>
      <c r="G1706" s="149">
        <v>53520</v>
      </c>
      <c r="H1706" s="150" t="str">
        <f t="shared" si="78"/>
        <v>5</v>
      </c>
      <c r="I1706" s="150" t="str">
        <f t="shared" si="79"/>
        <v>53</v>
      </c>
      <c r="J1706" s="150" t="str">
        <f t="shared" si="80"/>
        <v>535</v>
      </c>
      <c r="K1706" s="150" t="s">
        <v>9427</v>
      </c>
      <c r="L1706" s="149" t="s">
        <v>2994</v>
      </c>
      <c r="M1706" s="151">
        <v>146.59</v>
      </c>
    </row>
    <row r="1707" spans="1:13" s="149" customFormat="1" x14ac:dyDescent="0.25">
      <c r="A1707" s="149" t="s">
        <v>7639</v>
      </c>
      <c r="B1707" s="149" t="s">
        <v>2995</v>
      </c>
      <c r="C1707" s="149">
        <v>11</v>
      </c>
      <c r="D1707" s="149">
        <v>400</v>
      </c>
      <c r="E1707" s="149">
        <v>0</v>
      </c>
      <c r="F1707" s="149">
        <v>665000</v>
      </c>
      <c r="G1707" s="149">
        <v>53620</v>
      </c>
      <c r="H1707" s="150" t="str">
        <f t="shared" si="78"/>
        <v>5</v>
      </c>
      <c r="I1707" s="150" t="str">
        <f t="shared" si="79"/>
        <v>53</v>
      </c>
      <c r="J1707" s="150" t="str">
        <f t="shared" si="80"/>
        <v>536</v>
      </c>
      <c r="K1707" s="150" t="s">
        <v>9428</v>
      </c>
      <c r="L1707" s="149" t="s">
        <v>2996</v>
      </c>
      <c r="M1707" s="151">
        <v>5543.51</v>
      </c>
    </row>
    <row r="1708" spans="1:13" s="149" customFormat="1" x14ac:dyDescent="0.25">
      <c r="A1708" s="149" t="s">
        <v>7639</v>
      </c>
      <c r="B1708" s="149" t="s">
        <v>2997</v>
      </c>
      <c r="C1708" s="149">
        <v>11</v>
      </c>
      <c r="D1708" s="149">
        <v>400</v>
      </c>
      <c r="E1708" s="149">
        <v>0</v>
      </c>
      <c r="F1708" s="149">
        <v>665000</v>
      </c>
      <c r="G1708" s="149">
        <v>53920</v>
      </c>
      <c r="H1708" s="150" t="str">
        <f t="shared" si="78"/>
        <v>5</v>
      </c>
      <c r="I1708" s="150" t="str">
        <f t="shared" si="79"/>
        <v>53</v>
      </c>
      <c r="J1708" s="150" t="str">
        <f t="shared" si="80"/>
        <v>539</v>
      </c>
      <c r="K1708" s="150" t="s">
        <v>9429</v>
      </c>
      <c r="L1708" s="149" t="s">
        <v>2998</v>
      </c>
      <c r="M1708" s="151">
        <v>2400</v>
      </c>
    </row>
    <row r="1709" spans="1:13" s="149" customFormat="1" x14ac:dyDescent="0.25">
      <c r="A1709" s="149" t="s">
        <v>7639</v>
      </c>
      <c r="B1709" s="149" t="s">
        <v>2999</v>
      </c>
      <c r="C1709" s="149">
        <v>11</v>
      </c>
      <c r="D1709" s="149">
        <v>400</v>
      </c>
      <c r="E1709" s="149">
        <v>0</v>
      </c>
      <c r="F1709" s="149">
        <v>665000</v>
      </c>
      <c r="G1709" s="149">
        <v>54300</v>
      </c>
      <c r="H1709" s="150" t="str">
        <f t="shared" si="78"/>
        <v>5</v>
      </c>
      <c r="I1709" s="150" t="str">
        <f t="shared" si="79"/>
        <v>54</v>
      </c>
      <c r="J1709" s="150" t="str">
        <f t="shared" si="80"/>
        <v>543</v>
      </c>
      <c r="K1709" s="150" t="s">
        <v>7977</v>
      </c>
      <c r="L1709" s="149" t="s">
        <v>3000</v>
      </c>
      <c r="M1709" s="151">
        <v>1800</v>
      </c>
    </row>
    <row r="1710" spans="1:13" s="149" customFormat="1" x14ac:dyDescent="0.25">
      <c r="A1710" s="149" t="s">
        <v>7639</v>
      </c>
      <c r="B1710" s="149" t="s">
        <v>3001</v>
      </c>
      <c r="C1710" s="149">
        <v>11</v>
      </c>
      <c r="D1710" s="149">
        <v>400</v>
      </c>
      <c r="E1710" s="149">
        <v>0</v>
      </c>
      <c r="F1710" s="149">
        <v>665000</v>
      </c>
      <c r="G1710" s="149">
        <v>55100</v>
      </c>
      <c r="H1710" s="150" t="str">
        <f t="shared" si="78"/>
        <v>5</v>
      </c>
      <c r="I1710" s="150" t="str">
        <f t="shared" si="79"/>
        <v>55</v>
      </c>
      <c r="J1710" s="150" t="str">
        <f t="shared" si="80"/>
        <v>551</v>
      </c>
      <c r="K1710" s="150" t="s">
        <v>8000</v>
      </c>
      <c r="L1710" s="149" t="s">
        <v>3002</v>
      </c>
      <c r="M1710" s="151">
        <v>0</v>
      </c>
    </row>
    <row r="1711" spans="1:13" s="149" customFormat="1" x14ac:dyDescent="0.25">
      <c r="A1711" s="149" t="s">
        <v>7639</v>
      </c>
      <c r="B1711" s="149" t="s">
        <v>3003</v>
      </c>
      <c r="C1711" s="149">
        <v>11</v>
      </c>
      <c r="D1711" s="149">
        <v>400</v>
      </c>
      <c r="E1711" s="149">
        <v>0</v>
      </c>
      <c r="F1711" s="149">
        <v>665000</v>
      </c>
      <c r="G1711" s="149">
        <v>55105</v>
      </c>
      <c r="H1711" s="150" t="str">
        <f t="shared" si="78"/>
        <v>5</v>
      </c>
      <c r="I1711" s="150" t="str">
        <f t="shared" si="79"/>
        <v>55</v>
      </c>
      <c r="J1711" s="150" t="str">
        <f t="shared" si="80"/>
        <v>551</v>
      </c>
      <c r="K1711" s="150" t="s">
        <v>8019</v>
      </c>
      <c r="L1711" s="149" t="s">
        <v>3004</v>
      </c>
      <c r="M1711" s="151">
        <v>200</v>
      </c>
    </row>
    <row r="1712" spans="1:13" s="149" customFormat="1" x14ac:dyDescent="0.25">
      <c r="A1712" s="149" t="s">
        <v>7639</v>
      </c>
      <c r="B1712" s="149" t="s">
        <v>3005</v>
      </c>
      <c r="C1712" s="149">
        <v>11</v>
      </c>
      <c r="D1712" s="149">
        <v>400</v>
      </c>
      <c r="E1712" s="149">
        <v>0</v>
      </c>
      <c r="F1712" s="149">
        <v>665000</v>
      </c>
      <c r="G1712" s="149">
        <v>55200</v>
      </c>
      <c r="H1712" s="150" t="str">
        <f t="shared" si="78"/>
        <v>5</v>
      </c>
      <c r="I1712" s="150" t="str">
        <f t="shared" si="79"/>
        <v>55</v>
      </c>
      <c r="J1712" s="150" t="str">
        <f t="shared" si="80"/>
        <v>552</v>
      </c>
      <c r="K1712" s="150" t="s">
        <v>8066</v>
      </c>
      <c r="L1712" s="149" t="s">
        <v>3006</v>
      </c>
      <c r="M1712" s="151">
        <v>565</v>
      </c>
    </row>
    <row r="1713" spans="1:13" s="149" customFormat="1" x14ac:dyDescent="0.25">
      <c r="A1713" s="149" t="s">
        <v>7639</v>
      </c>
      <c r="B1713" s="149" t="s">
        <v>3007</v>
      </c>
      <c r="C1713" s="149">
        <v>11</v>
      </c>
      <c r="D1713" s="149">
        <v>400</v>
      </c>
      <c r="E1713" s="149">
        <v>0</v>
      </c>
      <c r="F1713" s="149">
        <v>665000</v>
      </c>
      <c r="G1713" s="149">
        <v>55300</v>
      </c>
      <c r="H1713" s="150" t="str">
        <f t="shared" si="78"/>
        <v>5</v>
      </c>
      <c r="I1713" s="150" t="str">
        <f t="shared" si="79"/>
        <v>55</v>
      </c>
      <c r="J1713" s="150" t="str">
        <f t="shared" si="80"/>
        <v>553</v>
      </c>
      <c r="K1713" s="150" t="s">
        <v>8097</v>
      </c>
      <c r="L1713" s="149" t="s">
        <v>3008</v>
      </c>
      <c r="M1713" s="151">
        <v>300</v>
      </c>
    </row>
    <row r="1714" spans="1:13" s="149" customFormat="1" x14ac:dyDescent="0.25">
      <c r="A1714" s="149" t="s">
        <v>7639</v>
      </c>
      <c r="B1714" s="149" t="s">
        <v>3009</v>
      </c>
      <c r="C1714" s="149">
        <v>11</v>
      </c>
      <c r="D1714" s="149">
        <v>400</v>
      </c>
      <c r="E1714" s="149">
        <v>0</v>
      </c>
      <c r="F1714" s="149">
        <v>665000</v>
      </c>
      <c r="G1714" s="149">
        <v>55400</v>
      </c>
      <c r="H1714" s="150" t="str">
        <f t="shared" si="78"/>
        <v>5</v>
      </c>
      <c r="I1714" s="150" t="str">
        <f t="shared" si="79"/>
        <v>55</v>
      </c>
      <c r="J1714" s="150" t="str">
        <f t="shared" si="80"/>
        <v>554</v>
      </c>
      <c r="K1714" s="150" t="s">
        <v>8115</v>
      </c>
      <c r="L1714" s="149" t="s">
        <v>3010</v>
      </c>
      <c r="M1714" s="151">
        <v>119651</v>
      </c>
    </row>
    <row r="1715" spans="1:13" s="149" customFormat="1" x14ac:dyDescent="0.25">
      <c r="A1715" s="149" t="s">
        <v>7639</v>
      </c>
      <c r="B1715" s="149" t="s">
        <v>3011</v>
      </c>
      <c r="C1715" s="149">
        <v>11</v>
      </c>
      <c r="D1715" s="149">
        <v>400</v>
      </c>
      <c r="E1715" s="149">
        <v>0</v>
      </c>
      <c r="F1715" s="149">
        <v>665000</v>
      </c>
      <c r="G1715" s="149">
        <v>55630</v>
      </c>
      <c r="H1715" s="150" t="str">
        <f t="shared" si="78"/>
        <v>5</v>
      </c>
      <c r="I1715" s="150" t="str">
        <f t="shared" si="79"/>
        <v>55</v>
      </c>
      <c r="J1715" s="150" t="str">
        <f t="shared" si="80"/>
        <v>556</v>
      </c>
      <c r="K1715" s="150" t="s">
        <v>8265</v>
      </c>
      <c r="L1715" s="149" t="s">
        <v>3012</v>
      </c>
      <c r="M1715" s="151">
        <v>500</v>
      </c>
    </row>
    <row r="1716" spans="1:13" s="149" customFormat="1" x14ac:dyDescent="0.25">
      <c r="A1716" s="149" t="s">
        <v>7639</v>
      </c>
      <c r="B1716" s="149" t="s">
        <v>3013</v>
      </c>
      <c r="C1716" s="149">
        <v>11</v>
      </c>
      <c r="D1716" s="149">
        <v>400</v>
      </c>
      <c r="E1716" s="149">
        <v>0</v>
      </c>
      <c r="F1716" s="149">
        <v>696000</v>
      </c>
      <c r="G1716" s="149">
        <v>52105</v>
      </c>
      <c r="H1716" s="150" t="str">
        <f t="shared" si="78"/>
        <v>5</v>
      </c>
      <c r="I1716" s="150" t="str">
        <f t="shared" si="79"/>
        <v>52</v>
      </c>
      <c r="J1716" s="150" t="str">
        <f t="shared" si="80"/>
        <v>521</v>
      </c>
      <c r="K1716" s="150" t="s">
        <v>9430</v>
      </c>
      <c r="L1716" s="149" t="s">
        <v>3014</v>
      </c>
      <c r="M1716" s="151">
        <v>31764</v>
      </c>
    </row>
    <row r="1717" spans="1:13" s="149" customFormat="1" x14ac:dyDescent="0.25">
      <c r="A1717" s="149" t="s">
        <v>7639</v>
      </c>
      <c r="B1717" s="149" t="s">
        <v>3015</v>
      </c>
      <c r="C1717" s="149">
        <v>11</v>
      </c>
      <c r="D1717" s="149">
        <v>400</v>
      </c>
      <c r="E1717" s="149">
        <v>0</v>
      </c>
      <c r="F1717" s="149">
        <v>696000</v>
      </c>
      <c r="G1717" s="149">
        <v>52130</v>
      </c>
      <c r="H1717" s="150" t="str">
        <f t="shared" si="78"/>
        <v>5</v>
      </c>
      <c r="I1717" s="150" t="str">
        <f t="shared" si="79"/>
        <v>52</v>
      </c>
      <c r="J1717" s="150" t="str">
        <f t="shared" si="80"/>
        <v>521</v>
      </c>
      <c r="K1717" s="150" t="s">
        <v>9431</v>
      </c>
      <c r="L1717" s="149" t="s">
        <v>2844</v>
      </c>
      <c r="M1717" s="151">
        <v>111022</v>
      </c>
    </row>
    <row r="1718" spans="1:13" s="149" customFormat="1" x14ac:dyDescent="0.25">
      <c r="A1718" s="149" t="s">
        <v>7639</v>
      </c>
      <c r="B1718" s="149" t="s">
        <v>3016</v>
      </c>
      <c r="C1718" s="149">
        <v>11</v>
      </c>
      <c r="D1718" s="149">
        <v>400</v>
      </c>
      <c r="E1718" s="149">
        <v>0</v>
      </c>
      <c r="F1718" s="149">
        <v>696000</v>
      </c>
      <c r="G1718" s="149">
        <v>52300</v>
      </c>
      <c r="H1718" s="150" t="str">
        <f t="shared" si="78"/>
        <v>5</v>
      </c>
      <c r="I1718" s="150" t="str">
        <f t="shared" si="79"/>
        <v>52</v>
      </c>
      <c r="J1718" s="150" t="str">
        <f t="shared" si="80"/>
        <v>523</v>
      </c>
      <c r="K1718" s="150" t="s">
        <v>7837</v>
      </c>
      <c r="L1718" s="149" t="s">
        <v>3017</v>
      </c>
      <c r="M1718" s="151">
        <v>0</v>
      </c>
    </row>
    <row r="1719" spans="1:13" s="149" customFormat="1" x14ac:dyDescent="0.25">
      <c r="A1719" s="149" t="s">
        <v>7639</v>
      </c>
      <c r="B1719" s="149" t="s">
        <v>3018</v>
      </c>
      <c r="C1719" s="149">
        <v>11</v>
      </c>
      <c r="D1719" s="149">
        <v>400</v>
      </c>
      <c r="E1719" s="149">
        <v>0</v>
      </c>
      <c r="F1719" s="149">
        <v>696000</v>
      </c>
      <c r="G1719" s="149">
        <v>53220</v>
      </c>
      <c r="H1719" s="150" t="str">
        <f t="shared" si="78"/>
        <v>5</v>
      </c>
      <c r="I1719" s="150" t="str">
        <f t="shared" si="79"/>
        <v>53</v>
      </c>
      <c r="J1719" s="150" t="str">
        <f t="shared" si="80"/>
        <v>532</v>
      </c>
      <c r="K1719" s="150" t="s">
        <v>9432</v>
      </c>
      <c r="L1719" s="149" t="s">
        <v>2846</v>
      </c>
      <c r="M1719" s="151">
        <v>29556.7</v>
      </c>
    </row>
    <row r="1720" spans="1:13" s="149" customFormat="1" x14ac:dyDescent="0.25">
      <c r="A1720" s="149" t="s">
        <v>7639</v>
      </c>
      <c r="B1720" s="149" t="s">
        <v>3019</v>
      </c>
      <c r="C1720" s="149">
        <v>11</v>
      </c>
      <c r="D1720" s="149">
        <v>400</v>
      </c>
      <c r="E1720" s="149">
        <v>0</v>
      </c>
      <c r="F1720" s="149">
        <v>696000</v>
      </c>
      <c r="G1720" s="149">
        <v>53320</v>
      </c>
      <c r="H1720" s="150" t="str">
        <f t="shared" si="78"/>
        <v>5</v>
      </c>
      <c r="I1720" s="150" t="str">
        <f t="shared" si="79"/>
        <v>53</v>
      </c>
      <c r="J1720" s="150" t="str">
        <f t="shared" si="80"/>
        <v>533</v>
      </c>
      <c r="K1720" s="150" t="s">
        <v>9433</v>
      </c>
      <c r="L1720" s="149" t="s">
        <v>2848</v>
      </c>
      <c r="M1720" s="151">
        <v>8852.73</v>
      </c>
    </row>
    <row r="1721" spans="1:13" s="149" customFormat="1" x14ac:dyDescent="0.25">
      <c r="A1721" s="149" t="s">
        <v>7639</v>
      </c>
      <c r="B1721" s="149" t="s">
        <v>3020</v>
      </c>
      <c r="C1721" s="149">
        <v>11</v>
      </c>
      <c r="D1721" s="149">
        <v>400</v>
      </c>
      <c r="E1721" s="149">
        <v>0</v>
      </c>
      <c r="F1721" s="149">
        <v>696000</v>
      </c>
      <c r="G1721" s="149">
        <v>53340</v>
      </c>
      <c r="H1721" s="150" t="str">
        <f t="shared" si="78"/>
        <v>5</v>
      </c>
      <c r="I1721" s="150" t="str">
        <f t="shared" si="79"/>
        <v>53</v>
      </c>
      <c r="J1721" s="150" t="str">
        <f t="shared" si="80"/>
        <v>533</v>
      </c>
      <c r="K1721" s="150" t="s">
        <v>9434</v>
      </c>
      <c r="L1721" s="149" t="s">
        <v>2850</v>
      </c>
      <c r="M1721" s="151">
        <v>2070.4</v>
      </c>
    </row>
    <row r="1722" spans="1:13" s="149" customFormat="1" x14ac:dyDescent="0.25">
      <c r="A1722" s="149" t="s">
        <v>7639</v>
      </c>
      <c r="B1722" s="149" t="s">
        <v>3021</v>
      </c>
      <c r="C1722" s="149">
        <v>11</v>
      </c>
      <c r="D1722" s="149">
        <v>400</v>
      </c>
      <c r="E1722" s="149">
        <v>0</v>
      </c>
      <c r="F1722" s="149">
        <v>696000</v>
      </c>
      <c r="G1722" s="149">
        <v>53420</v>
      </c>
      <c r="H1722" s="150" t="str">
        <f t="shared" si="78"/>
        <v>5</v>
      </c>
      <c r="I1722" s="150" t="str">
        <f t="shared" si="79"/>
        <v>53</v>
      </c>
      <c r="J1722" s="150" t="str">
        <f t="shared" si="80"/>
        <v>534</v>
      </c>
      <c r="K1722" s="150" t="s">
        <v>9435</v>
      </c>
      <c r="L1722" s="149" t="s">
        <v>2852</v>
      </c>
      <c r="M1722" s="151">
        <v>39667.32</v>
      </c>
    </row>
    <row r="1723" spans="1:13" s="149" customFormat="1" x14ac:dyDescent="0.25">
      <c r="A1723" s="149" t="s">
        <v>7639</v>
      </c>
      <c r="B1723" s="149" t="s">
        <v>3022</v>
      </c>
      <c r="C1723" s="149">
        <v>11</v>
      </c>
      <c r="D1723" s="149">
        <v>400</v>
      </c>
      <c r="E1723" s="149">
        <v>0</v>
      </c>
      <c r="F1723" s="149">
        <v>696000</v>
      </c>
      <c r="G1723" s="149">
        <v>53520</v>
      </c>
      <c r="H1723" s="150" t="str">
        <f t="shared" si="78"/>
        <v>5</v>
      </c>
      <c r="I1723" s="150" t="str">
        <f t="shared" si="79"/>
        <v>53</v>
      </c>
      <c r="J1723" s="150" t="str">
        <f t="shared" si="80"/>
        <v>535</v>
      </c>
      <c r="K1723" s="150" t="s">
        <v>9436</v>
      </c>
      <c r="L1723" s="149" t="s">
        <v>2854</v>
      </c>
      <c r="M1723" s="151">
        <v>71.39</v>
      </c>
    </row>
    <row r="1724" spans="1:13" s="149" customFormat="1" x14ac:dyDescent="0.25">
      <c r="A1724" s="149" t="s">
        <v>7639</v>
      </c>
      <c r="B1724" s="149" t="s">
        <v>3023</v>
      </c>
      <c r="C1724" s="149">
        <v>11</v>
      </c>
      <c r="D1724" s="149">
        <v>400</v>
      </c>
      <c r="E1724" s="149">
        <v>0</v>
      </c>
      <c r="F1724" s="149">
        <v>696000</v>
      </c>
      <c r="G1724" s="149">
        <v>53620</v>
      </c>
      <c r="H1724" s="150" t="str">
        <f t="shared" si="78"/>
        <v>5</v>
      </c>
      <c r="I1724" s="150" t="str">
        <f t="shared" si="79"/>
        <v>53</v>
      </c>
      <c r="J1724" s="150" t="str">
        <f t="shared" si="80"/>
        <v>536</v>
      </c>
      <c r="K1724" s="150" t="s">
        <v>9437</v>
      </c>
      <c r="L1724" s="149" t="s">
        <v>2856</v>
      </c>
      <c r="M1724" s="151">
        <v>2699.79</v>
      </c>
    </row>
    <row r="1725" spans="1:13" s="149" customFormat="1" x14ac:dyDescent="0.25">
      <c r="A1725" s="149" t="s">
        <v>7639</v>
      </c>
      <c r="B1725" s="149" t="s">
        <v>3024</v>
      </c>
      <c r="C1725" s="149">
        <v>11</v>
      </c>
      <c r="D1725" s="149">
        <v>400</v>
      </c>
      <c r="E1725" s="149">
        <v>0</v>
      </c>
      <c r="F1725" s="149">
        <v>696000</v>
      </c>
      <c r="G1725" s="149">
        <v>53920</v>
      </c>
      <c r="H1725" s="150" t="str">
        <f t="shared" si="78"/>
        <v>5</v>
      </c>
      <c r="I1725" s="150" t="str">
        <f t="shared" si="79"/>
        <v>53</v>
      </c>
      <c r="J1725" s="150" t="str">
        <f t="shared" si="80"/>
        <v>539</v>
      </c>
      <c r="K1725" s="150" t="s">
        <v>9438</v>
      </c>
      <c r="L1725" s="149" t="s">
        <v>2858</v>
      </c>
      <c r="M1725" s="151">
        <v>2400</v>
      </c>
    </row>
    <row r="1726" spans="1:13" s="149" customFormat="1" x14ac:dyDescent="0.25">
      <c r="A1726" s="149" t="s">
        <v>7639</v>
      </c>
      <c r="B1726" s="149" t="s">
        <v>3025</v>
      </c>
      <c r="C1726" s="149">
        <v>11</v>
      </c>
      <c r="D1726" s="149">
        <v>400</v>
      </c>
      <c r="E1726" s="149">
        <v>0</v>
      </c>
      <c r="F1726" s="149">
        <v>696000</v>
      </c>
      <c r="G1726" s="149">
        <v>54300</v>
      </c>
      <c r="H1726" s="150" t="str">
        <f t="shared" si="78"/>
        <v>5</v>
      </c>
      <c r="I1726" s="150" t="str">
        <f t="shared" si="79"/>
        <v>54</v>
      </c>
      <c r="J1726" s="150" t="str">
        <f t="shared" si="80"/>
        <v>543</v>
      </c>
      <c r="K1726" s="150" t="s">
        <v>7978</v>
      </c>
      <c r="L1726" s="149" t="s">
        <v>3026</v>
      </c>
      <c r="M1726" s="151">
        <v>100</v>
      </c>
    </row>
    <row r="1727" spans="1:13" s="149" customFormat="1" x14ac:dyDescent="0.25">
      <c r="A1727" s="149" t="s">
        <v>7639</v>
      </c>
      <c r="B1727" s="149" t="s">
        <v>3027</v>
      </c>
      <c r="C1727" s="149">
        <v>11</v>
      </c>
      <c r="D1727" s="149">
        <v>400</v>
      </c>
      <c r="E1727" s="149">
        <v>0</v>
      </c>
      <c r="F1727" s="149">
        <v>696000</v>
      </c>
      <c r="G1727" s="149">
        <v>55630</v>
      </c>
      <c r="H1727" s="150" t="str">
        <f t="shared" si="78"/>
        <v>5</v>
      </c>
      <c r="I1727" s="150" t="str">
        <f t="shared" si="79"/>
        <v>55</v>
      </c>
      <c r="J1727" s="150" t="str">
        <f t="shared" si="80"/>
        <v>556</v>
      </c>
      <c r="K1727" s="150" t="s">
        <v>8266</v>
      </c>
      <c r="L1727" s="149" t="s">
        <v>2860</v>
      </c>
      <c r="M1727" s="151">
        <v>150.72999999999999</v>
      </c>
    </row>
    <row r="1728" spans="1:13" s="149" customFormat="1" x14ac:dyDescent="0.25">
      <c r="A1728" s="149" t="s">
        <v>7639</v>
      </c>
      <c r="B1728" s="149" t="s">
        <v>3028</v>
      </c>
      <c r="C1728" s="149">
        <v>11</v>
      </c>
      <c r="D1728" s="149">
        <v>400</v>
      </c>
      <c r="E1728" s="149">
        <v>0</v>
      </c>
      <c r="F1728" s="149">
        <v>703602</v>
      </c>
      <c r="G1728" s="149">
        <v>51200</v>
      </c>
      <c r="H1728" s="150" t="str">
        <f t="shared" si="78"/>
        <v>5</v>
      </c>
      <c r="I1728" s="150" t="str">
        <f t="shared" si="79"/>
        <v>51</v>
      </c>
      <c r="J1728" s="150" t="str">
        <f t="shared" si="80"/>
        <v>512</v>
      </c>
      <c r="K1728" s="150" t="s">
        <v>9439</v>
      </c>
      <c r="L1728" s="149" t="s">
        <v>3029</v>
      </c>
      <c r="M1728" s="151">
        <v>44149.14</v>
      </c>
    </row>
    <row r="1729" spans="1:13" s="149" customFormat="1" x14ac:dyDescent="0.25">
      <c r="A1729" s="149" t="s">
        <v>7639</v>
      </c>
      <c r="B1729" s="149" t="s">
        <v>3030</v>
      </c>
      <c r="C1729" s="149">
        <v>11</v>
      </c>
      <c r="D1729" s="149">
        <v>400</v>
      </c>
      <c r="E1729" s="149">
        <v>0</v>
      </c>
      <c r="F1729" s="149">
        <v>703602</v>
      </c>
      <c r="G1729" s="149">
        <v>53120</v>
      </c>
      <c r="H1729" s="150" t="str">
        <f t="shared" si="78"/>
        <v>5</v>
      </c>
      <c r="I1729" s="150" t="str">
        <f t="shared" si="79"/>
        <v>53</v>
      </c>
      <c r="J1729" s="150" t="str">
        <f t="shared" si="80"/>
        <v>531</v>
      </c>
      <c r="K1729" s="150" t="s">
        <v>9440</v>
      </c>
      <c r="L1729" s="149" t="s">
        <v>3031</v>
      </c>
      <c r="M1729" s="151">
        <v>7130.09</v>
      </c>
    </row>
    <row r="1730" spans="1:13" s="149" customFormat="1" x14ac:dyDescent="0.25">
      <c r="A1730" s="149" t="s">
        <v>7639</v>
      </c>
      <c r="B1730" s="149" t="s">
        <v>3032</v>
      </c>
      <c r="C1730" s="149">
        <v>11</v>
      </c>
      <c r="D1730" s="149">
        <v>400</v>
      </c>
      <c r="E1730" s="149">
        <v>0</v>
      </c>
      <c r="F1730" s="149">
        <v>703602</v>
      </c>
      <c r="G1730" s="149">
        <v>53340</v>
      </c>
      <c r="H1730" s="150" t="str">
        <f t="shared" si="78"/>
        <v>5</v>
      </c>
      <c r="I1730" s="150" t="str">
        <f t="shared" si="79"/>
        <v>53</v>
      </c>
      <c r="J1730" s="150" t="str">
        <f t="shared" si="80"/>
        <v>533</v>
      </c>
      <c r="K1730" s="150" t="s">
        <v>9441</v>
      </c>
      <c r="L1730" s="149" t="s">
        <v>3033</v>
      </c>
      <c r="M1730" s="151">
        <v>640.16</v>
      </c>
    </row>
    <row r="1731" spans="1:13" s="149" customFormat="1" x14ac:dyDescent="0.25">
      <c r="A1731" s="149" t="s">
        <v>7639</v>
      </c>
      <c r="B1731" s="149" t="s">
        <v>3034</v>
      </c>
      <c r="C1731" s="149">
        <v>11</v>
      </c>
      <c r="D1731" s="149">
        <v>400</v>
      </c>
      <c r="E1731" s="149">
        <v>0</v>
      </c>
      <c r="F1731" s="149">
        <v>703602</v>
      </c>
      <c r="G1731" s="149">
        <v>53420</v>
      </c>
      <c r="H1731" s="150" t="str">
        <f t="shared" ref="H1731:H1794" si="81">LEFT(G1731,1)</f>
        <v>5</v>
      </c>
      <c r="I1731" s="150" t="str">
        <f t="shared" ref="I1731:I1794" si="82">LEFT(G1731,2)</f>
        <v>53</v>
      </c>
      <c r="J1731" s="150" t="str">
        <f t="shared" ref="J1731:J1794" si="83">LEFT(G1731,3)</f>
        <v>534</v>
      </c>
      <c r="K1731" s="150" t="s">
        <v>9442</v>
      </c>
      <c r="L1731" s="149" t="s">
        <v>3035</v>
      </c>
      <c r="M1731" s="151">
        <v>13911</v>
      </c>
    </row>
    <row r="1732" spans="1:13" s="149" customFormat="1" x14ac:dyDescent="0.25">
      <c r="A1732" s="149" t="s">
        <v>7639</v>
      </c>
      <c r="B1732" s="149" t="s">
        <v>3036</v>
      </c>
      <c r="C1732" s="149">
        <v>11</v>
      </c>
      <c r="D1732" s="149">
        <v>400</v>
      </c>
      <c r="E1732" s="149">
        <v>0</v>
      </c>
      <c r="F1732" s="149">
        <v>703602</v>
      </c>
      <c r="G1732" s="149">
        <v>53520</v>
      </c>
      <c r="H1732" s="150" t="str">
        <f t="shared" si="81"/>
        <v>5</v>
      </c>
      <c r="I1732" s="150" t="str">
        <f t="shared" si="82"/>
        <v>53</v>
      </c>
      <c r="J1732" s="150" t="str">
        <f t="shared" si="83"/>
        <v>535</v>
      </c>
      <c r="K1732" s="150" t="s">
        <v>9443</v>
      </c>
      <c r="L1732" s="149" t="s">
        <v>3037</v>
      </c>
      <c r="M1732" s="151">
        <v>22.07</v>
      </c>
    </row>
    <row r="1733" spans="1:13" s="149" customFormat="1" x14ac:dyDescent="0.25">
      <c r="A1733" s="149" t="s">
        <v>7639</v>
      </c>
      <c r="B1733" s="149" t="s">
        <v>3038</v>
      </c>
      <c r="C1733" s="149">
        <v>11</v>
      </c>
      <c r="D1733" s="149">
        <v>400</v>
      </c>
      <c r="E1733" s="149">
        <v>0</v>
      </c>
      <c r="F1733" s="149">
        <v>703602</v>
      </c>
      <c r="G1733" s="149">
        <v>53620</v>
      </c>
      <c r="H1733" s="150" t="str">
        <f t="shared" si="81"/>
        <v>5</v>
      </c>
      <c r="I1733" s="150" t="str">
        <f t="shared" si="82"/>
        <v>53</v>
      </c>
      <c r="J1733" s="150" t="str">
        <f t="shared" si="83"/>
        <v>536</v>
      </c>
      <c r="K1733" s="150" t="s">
        <v>9444</v>
      </c>
      <c r="L1733" s="149" t="s">
        <v>3039</v>
      </c>
      <c r="M1733" s="151">
        <v>834.77</v>
      </c>
    </row>
    <row r="1734" spans="1:13" s="149" customFormat="1" x14ac:dyDescent="0.25">
      <c r="A1734" s="149" t="s">
        <v>7639</v>
      </c>
      <c r="B1734" s="149" t="s">
        <v>3040</v>
      </c>
      <c r="C1734" s="149">
        <v>11</v>
      </c>
      <c r="D1734" s="149">
        <v>400</v>
      </c>
      <c r="E1734" s="149">
        <v>1</v>
      </c>
      <c r="F1734" s="149">
        <v>130500</v>
      </c>
      <c r="G1734" s="149">
        <v>52105</v>
      </c>
      <c r="H1734" s="150" t="str">
        <f t="shared" si="81"/>
        <v>5</v>
      </c>
      <c r="I1734" s="150" t="str">
        <f t="shared" si="82"/>
        <v>52</v>
      </c>
      <c r="J1734" s="150" t="str">
        <f t="shared" si="83"/>
        <v>521</v>
      </c>
      <c r="K1734" s="150" t="s">
        <v>9445</v>
      </c>
      <c r="L1734" s="149" t="s">
        <v>3041</v>
      </c>
      <c r="M1734" s="151">
        <v>0</v>
      </c>
    </row>
    <row r="1735" spans="1:13" s="149" customFormat="1" x14ac:dyDescent="0.25">
      <c r="A1735" s="149" t="s">
        <v>7639</v>
      </c>
      <c r="B1735" s="149" t="s">
        <v>3042</v>
      </c>
      <c r="C1735" s="149">
        <v>11</v>
      </c>
      <c r="D1735" s="149">
        <v>400</v>
      </c>
      <c r="E1735" s="149">
        <v>1</v>
      </c>
      <c r="F1735" s="149">
        <v>130500</v>
      </c>
      <c r="G1735" s="149">
        <v>53220</v>
      </c>
      <c r="H1735" s="150" t="str">
        <f t="shared" si="81"/>
        <v>5</v>
      </c>
      <c r="I1735" s="150" t="str">
        <f t="shared" si="82"/>
        <v>53</v>
      </c>
      <c r="J1735" s="150" t="str">
        <f t="shared" si="83"/>
        <v>532</v>
      </c>
      <c r="K1735" s="150" t="s">
        <v>9446</v>
      </c>
      <c r="L1735" s="149" t="s">
        <v>3043</v>
      </c>
      <c r="M1735" s="151">
        <v>0</v>
      </c>
    </row>
    <row r="1736" spans="1:13" s="149" customFormat="1" x14ac:dyDescent="0.25">
      <c r="A1736" s="149" t="s">
        <v>7639</v>
      </c>
      <c r="B1736" s="149" t="s">
        <v>3044</v>
      </c>
      <c r="C1736" s="149">
        <v>11</v>
      </c>
      <c r="D1736" s="149">
        <v>400</v>
      </c>
      <c r="E1736" s="149">
        <v>1</v>
      </c>
      <c r="F1736" s="149">
        <v>130500</v>
      </c>
      <c r="G1736" s="149">
        <v>53320</v>
      </c>
      <c r="H1736" s="150" t="str">
        <f t="shared" si="81"/>
        <v>5</v>
      </c>
      <c r="I1736" s="150" t="str">
        <f t="shared" si="82"/>
        <v>53</v>
      </c>
      <c r="J1736" s="150" t="str">
        <f t="shared" si="83"/>
        <v>533</v>
      </c>
      <c r="K1736" s="150" t="s">
        <v>9447</v>
      </c>
      <c r="L1736" s="149" t="s">
        <v>3045</v>
      </c>
      <c r="M1736" s="151">
        <v>0</v>
      </c>
    </row>
    <row r="1737" spans="1:13" s="149" customFormat="1" x14ac:dyDescent="0.25">
      <c r="A1737" s="149" t="s">
        <v>7639</v>
      </c>
      <c r="B1737" s="149" t="s">
        <v>3046</v>
      </c>
      <c r="C1737" s="149">
        <v>11</v>
      </c>
      <c r="D1737" s="149">
        <v>400</v>
      </c>
      <c r="E1737" s="149">
        <v>1</v>
      </c>
      <c r="F1737" s="149">
        <v>130500</v>
      </c>
      <c r="G1737" s="149">
        <v>53340</v>
      </c>
      <c r="H1737" s="150" t="str">
        <f t="shared" si="81"/>
        <v>5</v>
      </c>
      <c r="I1737" s="150" t="str">
        <f t="shared" si="82"/>
        <v>53</v>
      </c>
      <c r="J1737" s="150" t="str">
        <f t="shared" si="83"/>
        <v>533</v>
      </c>
      <c r="K1737" s="150" t="s">
        <v>9448</v>
      </c>
      <c r="L1737" s="149" t="s">
        <v>3047</v>
      </c>
      <c r="M1737" s="151">
        <v>0</v>
      </c>
    </row>
    <row r="1738" spans="1:13" s="149" customFormat="1" x14ac:dyDescent="0.25">
      <c r="A1738" s="149" t="s">
        <v>7639</v>
      </c>
      <c r="B1738" s="149" t="s">
        <v>3048</v>
      </c>
      <c r="C1738" s="149">
        <v>11</v>
      </c>
      <c r="D1738" s="149">
        <v>400</v>
      </c>
      <c r="E1738" s="149">
        <v>1</v>
      </c>
      <c r="F1738" s="149">
        <v>130500</v>
      </c>
      <c r="G1738" s="149">
        <v>53420</v>
      </c>
      <c r="H1738" s="150" t="str">
        <f t="shared" si="81"/>
        <v>5</v>
      </c>
      <c r="I1738" s="150" t="str">
        <f t="shared" si="82"/>
        <v>53</v>
      </c>
      <c r="J1738" s="150" t="str">
        <f t="shared" si="83"/>
        <v>534</v>
      </c>
      <c r="K1738" s="150" t="s">
        <v>9449</v>
      </c>
      <c r="L1738" s="149" t="s">
        <v>3049</v>
      </c>
      <c r="M1738" s="151">
        <v>0</v>
      </c>
    </row>
    <row r="1739" spans="1:13" s="149" customFormat="1" x14ac:dyDescent="0.25">
      <c r="A1739" s="149" t="s">
        <v>7639</v>
      </c>
      <c r="B1739" s="149" t="s">
        <v>3050</v>
      </c>
      <c r="C1739" s="149">
        <v>11</v>
      </c>
      <c r="D1739" s="149">
        <v>400</v>
      </c>
      <c r="E1739" s="149">
        <v>1</v>
      </c>
      <c r="F1739" s="149">
        <v>130500</v>
      </c>
      <c r="G1739" s="149">
        <v>53520</v>
      </c>
      <c r="H1739" s="150" t="str">
        <f t="shared" si="81"/>
        <v>5</v>
      </c>
      <c r="I1739" s="150" t="str">
        <f t="shared" si="82"/>
        <v>53</v>
      </c>
      <c r="J1739" s="150" t="str">
        <f t="shared" si="83"/>
        <v>535</v>
      </c>
      <c r="K1739" s="150" t="s">
        <v>9450</v>
      </c>
      <c r="L1739" s="149" t="s">
        <v>3051</v>
      </c>
      <c r="M1739" s="151">
        <v>0</v>
      </c>
    </row>
    <row r="1740" spans="1:13" s="149" customFormat="1" x14ac:dyDescent="0.25">
      <c r="A1740" s="149" t="s">
        <v>7639</v>
      </c>
      <c r="B1740" s="149" t="s">
        <v>3052</v>
      </c>
      <c r="C1740" s="149">
        <v>11</v>
      </c>
      <c r="D1740" s="149">
        <v>400</v>
      </c>
      <c r="E1740" s="149">
        <v>1</v>
      </c>
      <c r="F1740" s="149">
        <v>130500</v>
      </c>
      <c r="G1740" s="149">
        <v>53620</v>
      </c>
      <c r="H1740" s="150" t="str">
        <f t="shared" si="81"/>
        <v>5</v>
      </c>
      <c r="I1740" s="150" t="str">
        <f t="shared" si="82"/>
        <v>53</v>
      </c>
      <c r="J1740" s="150" t="str">
        <f t="shared" si="83"/>
        <v>536</v>
      </c>
      <c r="K1740" s="150" t="s">
        <v>9451</v>
      </c>
      <c r="L1740" s="149" t="s">
        <v>3053</v>
      </c>
      <c r="M1740" s="151">
        <v>0</v>
      </c>
    </row>
    <row r="1741" spans="1:13" s="149" customFormat="1" x14ac:dyDescent="0.25">
      <c r="A1741" s="149" t="s">
        <v>7639</v>
      </c>
      <c r="B1741" s="149" t="s">
        <v>3054</v>
      </c>
      <c r="C1741" s="149">
        <v>11</v>
      </c>
      <c r="D1741" s="149">
        <v>410</v>
      </c>
      <c r="E1741" s="149">
        <v>0</v>
      </c>
      <c r="F1741" s="149">
        <v>620000</v>
      </c>
      <c r="G1741" s="149">
        <v>48885</v>
      </c>
      <c r="H1741" s="150" t="str">
        <f t="shared" si="81"/>
        <v>4</v>
      </c>
      <c r="I1741" s="150" t="str">
        <f t="shared" si="82"/>
        <v>48</v>
      </c>
      <c r="J1741" s="150" t="str">
        <f t="shared" si="83"/>
        <v>488</v>
      </c>
      <c r="K1741" s="150" t="s">
        <v>9608</v>
      </c>
      <c r="L1741" s="149" t="s">
        <v>3055</v>
      </c>
      <c r="M1741" s="151">
        <v>0</v>
      </c>
    </row>
    <row r="1742" spans="1:13" s="149" customFormat="1" x14ac:dyDescent="0.25">
      <c r="A1742" s="149" t="s">
        <v>7639</v>
      </c>
      <c r="B1742" s="149" t="s">
        <v>3056</v>
      </c>
      <c r="C1742" s="149">
        <v>11</v>
      </c>
      <c r="D1742" s="149">
        <v>410</v>
      </c>
      <c r="E1742" s="149">
        <v>0</v>
      </c>
      <c r="F1742" s="149">
        <v>620000</v>
      </c>
      <c r="G1742" s="149">
        <v>52105</v>
      </c>
      <c r="H1742" s="150" t="str">
        <f t="shared" si="81"/>
        <v>5</v>
      </c>
      <c r="I1742" s="150" t="str">
        <f t="shared" si="82"/>
        <v>52</v>
      </c>
      <c r="J1742" s="150" t="str">
        <f t="shared" si="83"/>
        <v>521</v>
      </c>
      <c r="K1742" s="150" t="s">
        <v>9452</v>
      </c>
      <c r="L1742" s="149" t="s">
        <v>3057</v>
      </c>
      <c r="M1742" s="151">
        <v>421395.7</v>
      </c>
    </row>
    <row r="1743" spans="1:13" s="149" customFormat="1" x14ac:dyDescent="0.25">
      <c r="A1743" s="149" t="s">
        <v>7639</v>
      </c>
      <c r="B1743" s="149" t="s">
        <v>3058</v>
      </c>
      <c r="C1743" s="149">
        <v>11</v>
      </c>
      <c r="D1743" s="149">
        <v>410</v>
      </c>
      <c r="E1743" s="149">
        <v>0</v>
      </c>
      <c r="F1743" s="149">
        <v>620000</v>
      </c>
      <c r="G1743" s="149">
        <v>52130</v>
      </c>
      <c r="H1743" s="150" t="str">
        <f t="shared" si="81"/>
        <v>5</v>
      </c>
      <c r="I1743" s="150" t="str">
        <f t="shared" si="82"/>
        <v>52</v>
      </c>
      <c r="J1743" s="150" t="str">
        <f t="shared" si="83"/>
        <v>521</v>
      </c>
      <c r="K1743" s="150" t="s">
        <v>9453</v>
      </c>
      <c r="L1743" s="149" t="s">
        <v>3059</v>
      </c>
      <c r="M1743" s="151">
        <v>69104.5</v>
      </c>
    </row>
    <row r="1744" spans="1:13" s="149" customFormat="1" x14ac:dyDescent="0.25">
      <c r="A1744" s="149" t="s">
        <v>7639</v>
      </c>
      <c r="B1744" s="149" t="s">
        <v>3060</v>
      </c>
      <c r="C1744" s="149">
        <v>11</v>
      </c>
      <c r="D1744" s="149">
        <v>410</v>
      </c>
      <c r="E1744" s="149">
        <v>0</v>
      </c>
      <c r="F1744" s="149">
        <v>620000</v>
      </c>
      <c r="G1744" s="149">
        <v>52300</v>
      </c>
      <c r="H1744" s="150" t="str">
        <f t="shared" si="81"/>
        <v>5</v>
      </c>
      <c r="I1744" s="150" t="str">
        <f t="shared" si="82"/>
        <v>52</v>
      </c>
      <c r="J1744" s="150" t="str">
        <f t="shared" si="83"/>
        <v>523</v>
      </c>
      <c r="K1744" s="150" t="s">
        <v>7838</v>
      </c>
      <c r="L1744" s="149" t="s">
        <v>3061</v>
      </c>
      <c r="M1744" s="151">
        <v>500</v>
      </c>
    </row>
    <row r="1745" spans="1:13" s="149" customFormat="1" x14ac:dyDescent="0.25">
      <c r="A1745" s="149" t="s">
        <v>7639</v>
      </c>
      <c r="B1745" s="149" t="s">
        <v>3062</v>
      </c>
      <c r="C1745" s="149">
        <v>11</v>
      </c>
      <c r="D1745" s="149">
        <v>410</v>
      </c>
      <c r="E1745" s="149">
        <v>0</v>
      </c>
      <c r="F1745" s="149">
        <v>620000</v>
      </c>
      <c r="G1745" s="149">
        <v>52360</v>
      </c>
      <c r="H1745" s="150" t="str">
        <f t="shared" si="81"/>
        <v>5</v>
      </c>
      <c r="I1745" s="150" t="str">
        <f t="shared" si="82"/>
        <v>52</v>
      </c>
      <c r="J1745" s="150" t="str">
        <f t="shared" si="83"/>
        <v>523</v>
      </c>
      <c r="K1745" s="150" t="s">
        <v>7883</v>
      </c>
      <c r="L1745" s="149" t="s">
        <v>3063</v>
      </c>
      <c r="M1745" s="151">
        <v>18000</v>
      </c>
    </row>
    <row r="1746" spans="1:13" s="149" customFormat="1" x14ac:dyDescent="0.25">
      <c r="A1746" s="149" t="s">
        <v>7639</v>
      </c>
      <c r="B1746" s="149" t="s">
        <v>3064</v>
      </c>
      <c r="C1746" s="149">
        <v>11</v>
      </c>
      <c r="D1746" s="149">
        <v>410</v>
      </c>
      <c r="E1746" s="149">
        <v>0</v>
      </c>
      <c r="F1746" s="149">
        <v>620000</v>
      </c>
      <c r="G1746" s="149">
        <v>53220</v>
      </c>
      <c r="H1746" s="150" t="str">
        <f t="shared" si="81"/>
        <v>5</v>
      </c>
      <c r="I1746" s="150" t="str">
        <f t="shared" si="82"/>
        <v>53</v>
      </c>
      <c r="J1746" s="150" t="str">
        <f t="shared" si="83"/>
        <v>532</v>
      </c>
      <c r="K1746" s="150" t="s">
        <v>9454</v>
      </c>
      <c r="L1746" s="149" t="s">
        <v>3065</v>
      </c>
      <c r="M1746" s="151">
        <v>101533.54</v>
      </c>
    </row>
    <row r="1747" spans="1:13" s="149" customFormat="1" x14ac:dyDescent="0.25">
      <c r="A1747" s="149" t="s">
        <v>7639</v>
      </c>
      <c r="B1747" s="149" t="s">
        <v>3066</v>
      </c>
      <c r="C1747" s="149">
        <v>11</v>
      </c>
      <c r="D1747" s="149">
        <v>410</v>
      </c>
      <c r="E1747" s="149">
        <v>0</v>
      </c>
      <c r="F1747" s="149">
        <v>620000</v>
      </c>
      <c r="G1747" s="149">
        <v>53320</v>
      </c>
      <c r="H1747" s="150" t="str">
        <f t="shared" si="81"/>
        <v>5</v>
      </c>
      <c r="I1747" s="150" t="str">
        <f t="shared" si="82"/>
        <v>53</v>
      </c>
      <c r="J1747" s="150" t="str">
        <f t="shared" si="83"/>
        <v>533</v>
      </c>
      <c r="K1747" s="150" t="s">
        <v>9455</v>
      </c>
      <c r="L1747" s="149" t="s">
        <v>3067</v>
      </c>
      <c r="M1747" s="151">
        <v>31558.02</v>
      </c>
    </row>
    <row r="1748" spans="1:13" s="149" customFormat="1" x14ac:dyDescent="0.25">
      <c r="A1748" s="149" t="s">
        <v>7639</v>
      </c>
      <c r="B1748" s="149" t="s">
        <v>3068</v>
      </c>
      <c r="C1748" s="149">
        <v>11</v>
      </c>
      <c r="D1748" s="149">
        <v>410</v>
      </c>
      <c r="E1748" s="149">
        <v>0</v>
      </c>
      <c r="F1748" s="149">
        <v>620000</v>
      </c>
      <c r="G1748" s="149">
        <v>53340</v>
      </c>
      <c r="H1748" s="150" t="str">
        <f t="shared" si="81"/>
        <v>5</v>
      </c>
      <c r="I1748" s="150" t="str">
        <f t="shared" si="82"/>
        <v>53</v>
      </c>
      <c r="J1748" s="150" t="str">
        <f t="shared" si="83"/>
        <v>533</v>
      </c>
      <c r="K1748" s="150" t="s">
        <v>9456</v>
      </c>
      <c r="L1748" s="149" t="s">
        <v>3069</v>
      </c>
      <c r="M1748" s="151">
        <v>7380.52</v>
      </c>
    </row>
    <row r="1749" spans="1:13" s="149" customFormat="1" x14ac:dyDescent="0.25">
      <c r="A1749" s="149" t="s">
        <v>7639</v>
      </c>
      <c r="B1749" s="149" t="s">
        <v>3070</v>
      </c>
      <c r="C1749" s="149">
        <v>11</v>
      </c>
      <c r="D1749" s="149">
        <v>410</v>
      </c>
      <c r="E1749" s="149">
        <v>0</v>
      </c>
      <c r="F1749" s="149">
        <v>620000</v>
      </c>
      <c r="G1749" s="149">
        <v>53420</v>
      </c>
      <c r="H1749" s="150" t="str">
        <f t="shared" si="81"/>
        <v>5</v>
      </c>
      <c r="I1749" s="150" t="str">
        <f t="shared" si="82"/>
        <v>53</v>
      </c>
      <c r="J1749" s="150" t="str">
        <f t="shared" si="83"/>
        <v>534</v>
      </c>
      <c r="K1749" s="150" t="s">
        <v>9457</v>
      </c>
      <c r="L1749" s="149" t="s">
        <v>3071</v>
      </c>
      <c r="M1749" s="151">
        <v>170628.12</v>
      </c>
    </row>
    <row r="1750" spans="1:13" s="149" customFormat="1" x14ac:dyDescent="0.25">
      <c r="A1750" s="149" t="s">
        <v>7639</v>
      </c>
      <c r="B1750" s="149" t="s">
        <v>3072</v>
      </c>
      <c r="C1750" s="149">
        <v>11</v>
      </c>
      <c r="D1750" s="149">
        <v>410</v>
      </c>
      <c r="E1750" s="149">
        <v>0</v>
      </c>
      <c r="F1750" s="149">
        <v>620000</v>
      </c>
      <c r="G1750" s="149">
        <v>53520</v>
      </c>
      <c r="H1750" s="150" t="str">
        <f t="shared" si="81"/>
        <v>5</v>
      </c>
      <c r="I1750" s="150" t="str">
        <f t="shared" si="82"/>
        <v>53</v>
      </c>
      <c r="J1750" s="150" t="str">
        <f t="shared" si="83"/>
        <v>535</v>
      </c>
      <c r="K1750" s="150" t="s">
        <v>9458</v>
      </c>
      <c r="L1750" s="149" t="s">
        <v>3073</v>
      </c>
      <c r="M1750" s="151">
        <v>254.51</v>
      </c>
    </row>
    <row r="1751" spans="1:13" s="149" customFormat="1" x14ac:dyDescent="0.25">
      <c r="A1751" s="149" t="s">
        <v>7639</v>
      </c>
      <c r="B1751" s="149" t="s">
        <v>3074</v>
      </c>
      <c r="C1751" s="149">
        <v>11</v>
      </c>
      <c r="D1751" s="149">
        <v>410</v>
      </c>
      <c r="E1751" s="149">
        <v>0</v>
      </c>
      <c r="F1751" s="149">
        <v>620000</v>
      </c>
      <c r="G1751" s="149">
        <v>53620</v>
      </c>
      <c r="H1751" s="150" t="str">
        <f t="shared" si="81"/>
        <v>5</v>
      </c>
      <c r="I1751" s="150" t="str">
        <f t="shared" si="82"/>
        <v>53</v>
      </c>
      <c r="J1751" s="150" t="str">
        <f t="shared" si="83"/>
        <v>536</v>
      </c>
      <c r="K1751" s="150" t="s">
        <v>9459</v>
      </c>
      <c r="L1751" s="149" t="s">
        <v>3075</v>
      </c>
      <c r="M1751" s="151">
        <v>9624.17</v>
      </c>
    </row>
    <row r="1752" spans="1:13" s="149" customFormat="1" x14ac:dyDescent="0.25">
      <c r="A1752" s="149" t="s">
        <v>7639</v>
      </c>
      <c r="B1752" s="149" t="s">
        <v>3076</v>
      </c>
      <c r="C1752" s="149">
        <v>11</v>
      </c>
      <c r="D1752" s="149">
        <v>410</v>
      </c>
      <c r="E1752" s="149">
        <v>0</v>
      </c>
      <c r="F1752" s="149">
        <v>620000</v>
      </c>
      <c r="G1752" s="149">
        <v>53920</v>
      </c>
      <c r="H1752" s="150" t="str">
        <f t="shared" si="81"/>
        <v>5</v>
      </c>
      <c r="I1752" s="150" t="str">
        <f t="shared" si="82"/>
        <v>53</v>
      </c>
      <c r="J1752" s="150" t="str">
        <f t="shared" si="83"/>
        <v>539</v>
      </c>
      <c r="K1752" s="150" t="s">
        <v>9460</v>
      </c>
      <c r="L1752" s="149" t="s">
        <v>3077</v>
      </c>
      <c r="M1752" s="151">
        <v>2400</v>
      </c>
    </row>
    <row r="1753" spans="1:13" s="149" customFormat="1" x14ac:dyDescent="0.25">
      <c r="A1753" s="149" t="s">
        <v>7639</v>
      </c>
      <c r="B1753" s="149" t="s">
        <v>3078</v>
      </c>
      <c r="C1753" s="149">
        <v>11</v>
      </c>
      <c r="D1753" s="149">
        <v>410</v>
      </c>
      <c r="E1753" s="149">
        <v>0</v>
      </c>
      <c r="F1753" s="149">
        <v>620000</v>
      </c>
      <c r="G1753" s="149">
        <v>54300</v>
      </c>
      <c r="H1753" s="150" t="str">
        <f t="shared" si="81"/>
        <v>5</v>
      </c>
      <c r="I1753" s="150" t="str">
        <f t="shared" si="82"/>
        <v>54</v>
      </c>
      <c r="J1753" s="150" t="str">
        <f t="shared" si="83"/>
        <v>543</v>
      </c>
      <c r="K1753" s="150" t="s">
        <v>7979</v>
      </c>
      <c r="L1753" s="149" t="s">
        <v>3079</v>
      </c>
      <c r="M1753" s="151">
        <v>1649</v>
      </c>
    </row>
    <row r="1754" spans="1:13" s="149" customFormat="1" x14ac:dyDescent="0.25">
      <c r="A1754" s="149" t="s">
        <v>7639</v>
      </c>
      <c r="B1754" s="149" t="s">
        <v>3080</v>
      </c>
      <c r="C1754" s="149">
        <v>11</v>
      </c>
      <c r="D1754" s="149">
        <v>410</v>
      </c>
      <c r="E1754" s="149">
        <v>0</v>
      </c>
      <c r="F1754" s="149">
        <v>620000</v>
      </c>
      <c r="G1754" s="149">
        <v>55200</v>
      </c>
      <c r="H1754" s="150" t="str">
        <f t="shared" si="81"/>
        <v>5</v>
      </c>
      <c r="I1754" s="150" t="str">
        <f t="shared" si="82"/>
        <v>55</v>
      </c>
      <c r="J1754" s="150" t="str">
        <f t="shared" si="83"/>
        <v>552</v>
      </c>
      <c r="K1754" s="150" t="s">
        <v>8067</v>
      </c>
      <c r="L1754" s="149" t="s">
        <v>3081</v>
      </c>
      <c r="M1754" s="151">
        <v>50</v>
      </c>
    </row>
    <row r="1755" spans="1:13" s="149" customFormat="1" x14ac:dyDescent="0.25">
      <c r="A1755" s="149" t="s">
        <v>7639</v>
      </c>
      <c r="B1755" s="149" t="s">
        <v>3082</v>
      </c>
      <c r="C1755" s="149">
        <v>11</v>
      </c>
      <c r="D1755" s="149">
        <v>410</v>
      </c>
      <c r="E1755" s="149">
        <v>0</v>
      </c>
      <c r="F1755" s="149">
        <v>620000</v>
      </c>
      <c r="G1755" s="149">
        <v>55300</v>
      </c>
      <c r="H1755" s="150" t="str">
        <f t="shared" si="81"/>
        <v>5</v>
      </c>
      <c r="I1755" s="150" t="str">
        <f t="shared" si="82"/>
        <v>55</v>
      </c>
      <c r="J1755" s="150" t="str">
        <f t="shared" si="83"/>
        <v>553</v>
      </c>
      <c r="K1755" s="150" t="s">
        <v>8098</v>
      </c>
      <c r="L1755" s="149" t="s">
        <v>3083</v>
      </c>
      <c r="M1755" s="151">
        <v>0</v>
      </c>
    </row>
    <row r="1756" spans="1:13" s="149" customFormat="1" x14ac:dyDescent="0.25">
      <c r="A1756" s="149" t="s">
        <v>7639</v>
      </c>
      <c r="B1756" s="149" t="s">
        <v>3084</v>
      </c>
      <c r="C1756" s="149">
        <v>11</v>
      </c>
      <c r="D1756" s="149">
        <v>410</v>
      </c>
      <c r="E1756" s="149">
        <v>0</v>
      </c>
      <c r="F1756" s="149">
        <v>620000</v>
      </c>
      <c r="G1756" s="149">
        <v>55630</v>
      </c>
      <c r="H1756" s="150" t="str">
        <f t="shared" si="81"/>
        <v>5</v>
      </c>
      <c r="I1756" s="150" t="str">
        <f t="shared" si="82"/>
        <v>55</v>
      </c>
      <c r="J1756" s="150" t="str">
        <f t="shared" si="83"/>
        <v>556</v>
      </c>
      <c r="K1756" s="150" t="s">
        <v>8267</v>
      </c>
      <c r="L1756" s="149" t="s">
        <v>3085</v>
      </c>
      <c r="M1756" s="151">
        <v>3820</v>
      </c>
    </row>
    <row r="1757" spans="1:13" s="149" customFormat="1" x14ac:dyDescent="0.25">
      <c r="A1757" s="149" t="s">
        <v>7639</v>
      </c>
      <c r="B1757" s="149" t="s">
        <v>3086</v>
      </c>
      <c r="C1757" s="149">
        <v>11</v>
      </c>
      <c r="D1757" s="149">
        <v>410</v>
      </c>
      <c r="E1757" s="149">
        <v>0</v>
      </c>
      <c r="F1757" s="149">
        <v>620000</v>
      </c>
      <c r="G1757" s="149">
        <v>55635</v>
      </c>
      <c r="H1757" s="150" t="str">
        <f t="shared" si="81"/>
        <v>5</v>
      </c>
      <c r="I1757" s="150" t="str">
        <f t="shared" si="82"/>
        <v>55</v>
      </c>
      <c r="J1757" s="150" t="str">
        <f t="shared" si="83"/>
        <v>556</v>
      </c>
      <c r="K1757" s="150" t="s">
        <v>8284</v>
      </c>
      <c r="L1757" s="149" t="s">
        <v>3087</v>
      </c>
      <c r="M1757" s="151">
        <v>4074</v>
      </c>
    </row>
    <row r="1758" spans="1:13" s="149" customFormat="1" x14ac:dyDescent="0.25">
      <c r="A1758" s="149" t="s">
        <v>7639</v>
      </c>
      <c r="B1758" s="149" t="s">
        <v>3088</v>
      </c>
      <c r="C1758" s="149">
        <v>11</v>
      </c>
      <c r="D1758" s="149">
        <v>410</v>
      </c>
      <c r="E1758" s="149">
        <v>0</v>
      </c>
      <c r="F1758" s="149">
        <v>620000</v>
      </c>
      <c r="G1758" s="149">
        <v>55650</v>
      </c>
      <c r="H1758" s="150" t="str">
        <f t="shared" si="81"/>
        <v>5</v>
      </c>
      <c r="I1758" s="150" t="str">
        <f t="shared" si="82"/>
        <v>55</v>
      </c>
      <c r="J1758" s="150" t="str">
        <f t="shared" si="83"/>
        <v>556</v>
      </c>
      <c r="K1758" s="150" t="s">
        <v>8310</v>
      </c>
      <c r="L1758" s="149" t="s">
        <v>3089</v>
      </c>
      <c r="M1758" s="151">
        <v>3820</v>
      </c>
    </row>
    <row r="1759" spans="1:13" s="149" customFormat="1" x14ac:dyDescent="0.25">
      <c r="A1759" s="149" t="s">
        <v>7639</v>
      </c>
      <c r="B1759" s="149" t="s">
        <v>3090</v>
      </c>
      <c r="C1759" s="149">
        <v>11</v>
      </c>
      <c r="D1759" s="149">
        <v>420</v>
      </c>
      <c r="E1759" s="149">
        <v>0</v>
      </c>
      <c r="F1759" s="149">
        <v>646000</v>
      </c>
      <c r="G1759" s="149">
        <v>52105</v>
      </c>
      <c r="H1759" s="150" t="str">
        <f t="shared" si="81"/>
        <v>5</v>
      </c>
      <c r="I1759" s="150" t="str">
        <f t="shared" si="82"/>
        <v>52</v>
      </c>
      <c r="J1759" s="150" t="str">
        <f t="shared" si="83"/>
        <v>521</v>
      </c>
      <c r="K1759" s="150" t="s">
        <v>9461</v>
      </c>
      <c r="L1759" s="149" t="s">
        <v>3091</v>
      </c>
      <c r="M1759" s="151">
        <v>570948.55000000005</v>
      </c>
    </row>
    <row r="1760" spans="1:13" s="149" customFormat="1" x14ac:dyDescent="0.25">
      <c r="A1760" s="149" t="s">
        <v>7639</v>
      </c>
      <c r="B1760" s="149" t="s">
        <v>3092</v>
      </c>
      <c r="C1760" s="149">
        <v>11</v>
      </c>
      <c r="D1760" s="149">
        <v>420</v>
      </c>
      <c r="E1760" s="149">
        <v>0</v>
      </c>
      <c r="F1760" s="149">
        <v>646000</v>
      </c>
      <c r="G1760" s="149">
        <v>52130</v>
      </c>
      <c r="H1760" s="150" t="str">
        <f t="shared" si="81"/>
        <v>5</v>
      </c>
      <c r="I1760" s="150" t="str">
        <f t="shared" si="82"/>
        <v>52</v>
      </c>
      <c r="J1760" s="150" t="str">
        <f t="shared" si="83"/>
        <v>521</v>
      </c>
      <c r="K1760" s="150" t="s">
        <v>9462</v>
      </c>
      <c r="L1760" s="149" t="s">
        <v>3093</v>
      </c>
      <c r="M1760" s="151">
        <v>182797.5</v>
      </c>
    </row>
    <row r="1761" spans="1:13" s="149" customFormat="1" x14ac:dyDescent="0.25">
      <c r="A1761" s="149" t="s">
        <v>7639</v>
      </c>
      <c r="B1761" s="149" t="s">
        <v>3094</v>
      </c>
      <c r="C1761" s="149">
        <v>11</v>
      </c>
      <c r="D1761" s="149">
        <v>420</v>
      </c>
      <c r="E1761" s="149">
        <v>0</v>
      </c>
      <c r="F1761" s="149">
        <v>646000</v>
      </c>
      <c r="G1761" s="149">
        <v>52300</v>
      </c>
      <c r="H1761" s="150" t="str">
        <f t="shared" si="81"/>
        <v>5</v>
      </c>
      <c r="I1761" s="150" t="str">
        <f t="shared" si="82"/>
        <v>52</v>
      </c>
      <c r="J1761" s="150" t="str">
        <f t="shared" si="83"/>
        <v>523</v>
      </c>
      <c r="K1761" s="150" t="s">
        <v>7839</v>
      </c>
      <c r="L1761" s="149" t="s">
        <v>3095</v>
      </c>
      <c r="M1761" s="151">
        <v>6000</v>
      </c>
    </row>
    <row r="1762" spans="1:13" s="149" customFormat="1" x14ac:dyDescent="0.25">
      <c r="A1762" s="149" t="s">
        <v>7639</v>
      </c>
      <c r="B1762" s="149" t="s">
        <v>3096</v>
      </c>
      <c r="C1762" s="149">
        <v>11</v>
      </c>
      <c r="D1762" s="149">
        <v>420</v>
      </c>
      <c r="E1762" s="149">
        <v>0</v>
      </c>
      <c r="F1762" s="149">
        <v>646000</v>
      </c>
      <c r="G1762" s="149">
        <v>52310</v>
      </c>
      <c r="H1762" s="150" t="str">
        <f t="shared" si="81"/>
        <v>5</v>
      </c>
      <c r="I1762" s="150" t="str">
        <f t="shared" si="82"/>
        <v>52</v>
      </c>
      <c r="J1762" s="150" t="str">
        <f t="shared" si="83"/>
        <v>523</v>
      </c>
      <c r="K1762" s="150" t="s">
        <v>7846</v>
      </c>
      <c r="L1762" s="149" t="s">
        <v>3097</v>
      </c>
      <c r="M1762" s="151">
        <v>45000</v>
      </c>
    </row>
    <row r="1763" spans="1:13" s="149" customFormat="1" x14ac:dyDescent="0.25">
      <c r="A1763" s="149" t="s">
        <v>7639</v>
      </c>
      <c r="B1763" s="149" t="s">
        <v>3098</v>
      </c>
      <c r="C1763" s="149">
        <v>11</v>
      </c>
      <c r="D1763" s="149">
        <v>420</v>
      </c>
      <c r="E1763" s="149">
        <v>0</v>
      </c>
      <c r="F1763" s="149">
        <v>646000</v>
      </c>
      <c r="G1763" s="149">
        <v>52360</v>
      </c>
      <c r="H1763" s="150" t="str">
        <f t="shared" si="81"/>
        <v>5</v>
      </c>
      <c r="I1763" s="150" t="str">
        <f t="shared" si="82"/>
        <v>52</v>
      </c>
      <c r="J1763" s="150" t="str">
        <f t="shared" si="83"/>
        <v>523</v>
      </c>
      <c r="K1763" s="150" t="s">
        <v>7884</v>
      </c>
      <c r="L1763" s="149" t="s">
        <v>3099</v>
      </c>
      <c r="M1763" s="151">
        <v>200</v>
      </c>
    </row>
    <row r="1764" spans="1:13" s="149" customFormat="1" x14ac:dyDescent="0.25">
      <c r="A1764" s="149" t="s">
        <v>7639</v>
      </c>
      <c r="B1764" s="149" t="s">
        <v>3100</v>
      </c>
      <c r="C1764" s="149">
        <v>11</v>
      </c>
      <c r="D1764" s="149">
        <v>420</v>
      </c>
      <c r="E1764" s="149">
        <v>0</v>
      </c>
      <c r="F1764" s="149">
        <v>646000</v>
      </c>
      <c r="G1764" s="149">
        <v>53220</v>
      </c>
      <c r="H1764" s="150" t="str">
        <f t="shared" si="81"/>
        <v>5</v>
      </c>
      <c r="I1764" s="150" t="str">
        <f t="shared" si="82"/>
        <v>53</v>
      </c>
      <c r="J1764" s="150" t="str">
        <f t="shared" si="83"/>
        <v>532</v>
      </c>
      <c r="K1764" s="150" t="s">
        <v>9463</v>
      </c>
      <c r="L1764" s="149" t="s">
        <v>3101</v>
      </c>
      <c r="M1764" s="151">
        <v>156025.44</v>
      </c>
    </row>
    <row r="1765" spans="1:13" s="149" customFormat="1" x14ac:dyDescent="0.25">
      <c r="A1765" s="149" t="s">
        <v>7639</v>
      </c>
      <c r="B1765" s="149" t="s">
        <v>3102</v>
      </c>
      <c r="C1765" s="149">
        <v>11</v>
      </c>
      <c r="D1765" s="149">
        <v>420</v>
      </c>
      <c r="E1765" s="149">
        <v>0</v>
      </c>
      <c r="F1765" s="149">
        <v>646000</v>
      </c>
      <c r="G1765" s="149">
        <v>53320</v>
      </c>
      <c r="H1765" s="150" t="str">
        <f t="shared" si="81"/>
        <v>5</v>
      </c>
      <c r="I1765" s="150" t="str">
        <f t="shared" si="82"/>
        <v>53</v>
      </c>
      <c r="J1765" s="150" t="str">
        <f t="shared" si="83"/>
        <v>533</v>
      </c>
      <c r="K1765" s="150" t="s">
        <v>9464</v>
      </c>
      <c r="L1765" s="149" t="s">
        <v>3103</v>
      </c>
      <c r="M1765" s="151">
        <v>47116.67</v>
      </c>
    </row>
    <row r="1766" spans="1:13" s="149" customFormat="1" x14ac:dyDescent="0.25">
      <c r="A1766" s="149" t="s">
        <v>7639</v>
      </c>
      <c r="B1766" s="149" t="s">
        <v>3104</v>
      </c>
      <c r="C1766" s="149">
        <v>11</v>
      </c>
      <c r="D1766" s="149">
        <v>420</v>
      </c>
      <c r="E1766" s="149">
        <v>0</v>
      </c>
      <c r="F1766" s="149">
        <v>646000</v>
      </c>
      <c r="G1766" s="149">
        <v>53340</v>
      </c>
      <c r="H1766" s="150" t="str">
        <f t="shared" si="81"/>
        <v>5</v>
      </c>
      <c r="I1766" s="150" t="str">
        <f t="shared" si="82"/>
        <v>53</v>
      </c>
      <c r="J1766" s="150" t="str">
        <f t="shared" si="83"/>
        <v>533</v>
      </c>
      <c r="K1766" s="150" t="s">
        <v>9465</v>
      </c>
      <c r="L1766" s="149" t="s">
        <v>3105</v>
      </c>
      <c r="M1766" s="151">
        <v>11019.23</v>
      </c>
    </row>
    <row r="1767" spans="1:13" s="149" customFormat="1" x14ac:dyDescent="0.25">
      <c r="A1767" s="149" t="s">
        <v>7639</v>
      </c>
      <c r="B1767" s="149" t="s">
        <v>3106</v>
      </c>
      <c r="C1767" s="149">
        <v>11</v>
      </c>
      <c r="D1767" s="149">
        <v>420</v>
      </c>
      <c r="E1767" s="149">
        <v>0</v>
      </c>
      <c r="F1767" s="149">
        <v>646000</v>
      </c>
      <c r="G1767" s="149">
        <v>53420</v>
      </c>
      <c r="H1767" s="150" t="str">
        <f t="shared" si="81"/>
        <v>5</v>
      </c>
      <c r="I1767" s="150" t="str">
        <f t="shared" si="82"/>
        <v>53</v>
      </c>
      <c r="J1767" s="150" t="str">
        <f t="shared" si="83"/>
        <v>534</v>
      </c>
      <c r="K1767" s="150" t="s">
        <v>9466</v>
      </c>
      <c r="L1767" s="149" t="s">
        <v>3107</v>
      </c>
      <c r="M1767" s="151">
        <v>257368.26</v>
      </c>
    </row>
    <row r="1768" spans="1:13" s="149" customFormat="1" x14ac:dyDescent="0.25">
      <c r="A1768" s="149" t="s">
        <v>7639</v>
      </c>
      <c r="B1768" s="149" t="s">
        <v>3108</v>
      </c>
      <c r="C1768" s="149">
        <v>11</v>
      </c>
      <c r="D1768" s="149">
        <v>420</v>
      </c>
      <c r="E1768" s="149">
        <v>0</v>
      </c>
      <c r="F1768" s="149">
        <v>646000</v>
      </c>
      <c r="G1768" s="149">
        <v>53520</v>
      </c>
      <c r="H1768" s="150" t="str">
        <f t="shared" si="81"/>
        <v>5</v>
      </c>
      <c r="I1768" s="150" t="str">
        <f t="shared" si="82"/>
        <v>53</v>
      </c>
      <c r="J1768" s="150" t="str">
        <f t="shared" si="83"/>
        <v>535</v>
      </c>
      <c r="K1768" s="150" t="s">
        <v>9467</v>
      </c>
      <c r="L1768" s="149" t="s">
        <v>3109</v>
      </c>
      <c r="M1768" s="151">
        <v>379.98</v>
      </c>
    </row>
    <row r="1769" spans="1:13" s="149" customFormat="1" x14ac:dyDescent="0.25">
      <c r="A1769" s="149" t="s">
        <v>7639</v>
      </c>
      <c r="B1769" s="149" t="s">
        <v>3110</v>
      </c>
      <c r="C1769" s="149">
        <v>11</v>
      </c>
      <c r="D1769" s="149">
        <v>420</v>
      </c>
      <c r="E1769" s="149">
        <v>0</v>
      </c>
      <c r="F1769" s="149">
        <v>646000</v>
      </c>
      <c r="G1769" s="149">
        <v>53620</v>
      </c>
      <c r="H1769" s="150" t="str">
        <f t="shared" si="81"/>
        <v>5</v>
      </c>
      <c r="I1769" s="150" t="str">
        <f t="shared" si="82"/>
        <v>53</v>
      </c>
      <c r="J1769" s="150" t="str">
        <f t="shared" si="83"/>
        <v>536</v>
      </c>
      <c r="K1769" s="150" t="s">
        <v>9468</v>
      </c>
      <c r="L1769" s="149" t="s">
        <v>3111</v>
      </c>
      <c r="M1769" s="151">
        <v>15219.93</v>
      </c>
    </row>
    <row r="1770" spans="1:13" s="149" customFormat="1" x14ac:dyDescent="0.25">
      <c r="A1770" s="149" t="s">
        <v>7639</v>
      </c>
      <c r="B1770" s="149" t="s">
        <v>3112</v>
      </c>
      <c r="C1770" s="149">
        <v>11</v>
      </c>
      <c r="D1770" s="149">
        <v>420</v>
      </c>
      <c r="E1770" s="149">
        <v>0</v>
      </c>
      <c r="F1770" s="149">
        <v>646000</v>
      </c>
      <c r="G1770" s="149">
        <v>53920</v>
      </c>
      <c r="H1770" s="150" t="str">
        <f t="shared" si="81"/>
        <v>5</v>
      </c>
      <c r="I1770" s="150" t="str">
        <f t="shared" si="82"/>
        <v>53</v>
      </c>
      <c r="J1770" s="150" t="str">
        <f t="shared" si="83"/>
        <v>539</v>
      </c>
      <c r="K1770" s="150" t="s">
        <v>9469</v>
      </c>
      <c r="L1770" s="149" t="s">
        <v>3113</v>
      </c>
      <c r="M1770" s="151">
        <v>2400</v>
      </c>
    </row>
    <row r="1771" spans="1:13" s="149" customFormat="1" x14ac:dyDescent="0.25">
      <c r="A1771" s="149" t="s">
        <v>7639</v>
      </c>
      <c r="B1771" s="149" t="s">
        <v>3114</v>
      </c>
      <c r="C1771" s="149">
        <v>11</v>
      </c>
      <c r="D1771" s="149">
        <v>420</v>
      </c>
      <c r="E1771" s="149">
        <v>0</v>
      </c>
      <c r="F1771" s="149">
        <v>646000</v>
      </c>
      <c r="G1771" s="149">
        <v>54300</v>
      </c>
      <c r="H1771" s="150" t="str">
        <f t="shared" si="81"/>
        <v>5</v>
      </c>
      <c r="I1771" s="150" t="str">
        <f t="shared" si="82"/>
        <v>54</v>
      </c>
      <c r="J1771" s="150" t="str">
        <f t="shared" si="83"/>
        <v>543</v>
      </c>
      <c r="K1771" s="150" t="s">
        <v>7980</v>
      </c>
      <c r="L1771" s="149" t="s">
        <v>3115</v>
      </c>
      <c r="M1771" s="151">
        <v>2820</v>
      </c>
    </row>
    <row r="1772" spans="1:13" s="149" customFormat="1" x14ac:dyDescent="0.25">
      <c r="A1772" s="149" t="s">
        <v>7639</v>
      </c>
      <c r="B1772" s="149" t="s">
        <v>9609</v>
      </c>
      <c r="C1772" s="149">
        <v>11</v>
      </c>
      <c r="D1772" s="149">
        <v>420</v>
      </c>
      <c r="E1772" s="149">
        <v>0</v>
      </c>
      <c r="F1772" s="149">
        <v>646000</v>
      </c>
      <c r="G1772" s="149">
        <v>55105</v>
      </c>
      <c r="H1772" s="150" t="str">
        <f t="shared" si="81"/>
        <v>5</v>
      </c>
      <c r="I1772" s="150" t="str">
        <f t="shared" si="82"/>
        <v>55</v>
      </c>
      <c r="J1772" s="150" t="str">
        <f t="shared" si="83"/>
        <v>551</v>
      </c>
      <c r="K1772" s="150" t="s">
        <v>8020</v>
      </c>
      <c r="L1772" s="149" t="s">
        <v>9610</v>
      </c>
      <c r="M1772" s="151">
        <v>10000</v>
      </c>
    </row>
    <row r="1773" spans="1:13" s="149" customFormat="1" x14ac:dyDescent="0.25">
      <c r="A1773" s="149" t="s">
        <v>7639</v>
      </c>
      <c r="B1773" s="149" t="s">
        <v>3116</v>
      </c>
      <c r="C1773" s="149">
        <v>11</v>
      </c>
      <c r="D1773" s="149">
        <v>420</v>
      </c>
      <c r="E1773" s="149">
        <v>0</v>
      </c>
      <c r="F1773" s="149">
        <v>646000</v>
      </c>
      <c r="G1773" s="149">
        <v>55200</v>
      </c>
      <c r="H1773" s="150" t="str">
        <f t="shared" si="81"/>
        <v>5</v>
      </c>
      <c r="I1773" s="150" t="str">
        <f t="shared" si="82"/>
        <v>55</v>
      </c>
      <c r="J1773" s="150" t="str">
        <f t="shared" si="83"/>
        <v>552</v>
      </c>
      <c r="K1773" s="150" t="s">
        <v>8068</v>
      </c>
      <c r="L1773" s="149" t="s">
        <v>3117</v>
      </c>
      <c r="M1773" s="151">
        <v>0</v>
      </c>
    </row>
    <row r="1774" spans="1:13" s="149" customFormat="1" x14ac:dyDescent="0.25">
      <c r="A1774" s="149" t="s">
        <v>7639</v>
      </c>
      <c r="B1774" s="149" t="s">
        <v>3118</v>
      </c>
      <c r="C1774" s="149">
        <v>11</v>
      </c>
      <c r="D1774" s="149">
        <v>420</v>
      </c>
      <c r="E1774" s="149">
        <v>0</v>
      </c>
      <c r="F1774" s="149">
        <v>646000</v>
      </c>
      <c r="G1774" s="149">
        <v>55300</v>
      </c>
      <c r="H1774" s="150" t="str">
        <f t="shared" si="81"/>
        <v>5</v>
      </c>
      <c r="I1774" s="150" t="str">
        <f t="shared" si="82"/>
        <v>55</v>
      </c>
      <c r="J1774" s="150" t="str">
        <f t="shared" si="83"/>
        <v>553</v>
      </c>
      <c r="K1774" s="150" t="s">
        <v>8099</v>
      </c>
      <c r="L1774" s="149" t="s">
        <v>3119</v>
      </c>
      <c r="M1774" s="151">
        <v>1509</v>
      </c>
    </row>
    <row r="1775" spans="1:13" s="149" customFormat="1" x14ac:dyDescent="0.25">
      <c r="A1775" s="149" t="s">
        <v>7639</v>
      </c>
      <c r="B1775" s="149" t="s">
        <v>3120</v>
      </c>
      <c r="C1775" s="149">
        <v>11</v>
      </c>
      <c r="D1775" s="149">
        <v>420</v>
      </c>
      <c r="E1775" s="149">
        <v>0</v>
      </c>
      <c r="F1775" s="149">
        <v>646000</v>
      </c>
      <c r="G1775" s="149">
        <v>55309</v>
      </c>
      <c r="H1775" s="150" t="str">
        <f t="shared" si="81"/>
        <v>5</v>
      </c>
      <c r="I1775" s="150" t="str">
        <f t="shared" si="82"/>
        <v>55</v>
      </c>
      <c r="J1775" s="150" t="str">
        <f t="shared" si="83"/>
        <v>553</v>
      </c>
      <c r="K1775" s="150" t="s">
        <v>8111</v>
      </c>
      <c r="L1775" s="149" t="s">
        <v>3121</v>
      </c>
      <c r="M1775" s="151">
        <v>12100</v>
      </c>
    </row>
    <row r="1776" spans="1:13" s="149" customFormat="1" x14ac:dyDescent="0.25">
      <c r="A1776" s="149" t="s">
        <v>7639</v>
      </c>
      <c r="B1776" s="149" t="s">
        <v>3122</v>
      </c>
      <c r="C1776" s="149">
        <v>11</v>
      </c>
      <c r="D1776" s="149">
        <v>420</v>
      </c>
      <c r="E1776" s="149">
        <v>0</v>
      </c>
      <c r="F1776" s="149">
        <v>646000</v>
      </c>
      <c r="G1776" s="149">
        <v>55630</v>
      </c>
      <c r="H1776" s="150" t="str">
        <f t="shared" si="81"/>
        <v>5</v>
      </c>
      <c r="I1776" s="150" t="str">
        <f t="shared" si="82"/>
        <v>55</v>
      </c>
      <c r="J1776" s="150" t="str">
        <f t="shared" si="83"/>
        <v>556</v>
      </c>
      <c r="K1776" s="150" t="s">
        <v>8268</v>
      </c>
      <c r="L1776" s="149" t="s">
        <v>3123</v>
      </c>
      <c r="M1776" s="151">
        <v>5828</v>
      </c>
    </row>
    <row r="1777" spans="1:13" s="149" customFormat="1" x14ac:dyDescent="0.25">
      <c r="A1777" s="149" t="s">
        <v>7639</v>
      </c>
      <c r="B1777" s="149" t="s">
        <v>3124</v>
      </c>
      <c r="C1777" s="149">
        <v>11</v>
      </c>
      <c r="D1777" s="149">
        <v>420</v>
      </c>
      <c r="E1777" s="149">
        <v>0</v>
      </c>
      <c r="F1777" s="149">
        <v>646021</v>
      </c>
      <c r="G1777" s="149">
        <v>52105</v>
      </c>
      <c r="H1777" s="150" t="str">
        <f t="shared" si="81"/>
        <v>5</v>
      </c>
      <c r="I1777" s="150" t="str">
        <f t="shared" si="82"/>
        <v>52</v>
      </c>
      <c r="J1777" s="150" t="str">
        <f t="shared" si="83"/>
        <v>521</v>
      </c>
      <c r="K1777" s="150" t="s">
        <v>9470</v>
      </c>
      <c r="L1777" s="149" t="s">
        <v>3125</v>
      </c>
      <c r="M1777" s="151">
        <v>40235.870000000003</v>
      </c>
    </row>
    <row r="1778" spans="1:13" s="149" customFormat="1" x14ac:dyDescent="0.25">
      <c r="A1778" s="149" t="s">
        <v>7639</v>
      </c>
      <c r="B1778" s="149" t="s">
        <v>3126</v>
      </c>
      <c r="C1778" s="149">
        <v>11</v>
      </c>
      <c r="D1778" s="149">
        <v>420</v>
      </c>
      <c r="E1778" s="149">
        <v>0</v>
      </c>
      <c r="F1778" s="149">
        <v>646021</v>
      </c>
      <c r="G1778" s="149">
        <v>52300</v>
      </c>
      <c r="H1778" s="150" t="str">
        <f t="shared" si="81"/>
        <v>5</v>
      </c>
      <c r="I1778" s="150" t="str">
        <f t="shared" si="82"/>
        <v>52</v>
      </c>
      <c r="J1778" s="150" t="str">
        <f t="shared" si="83"/>
        <v>523</v>
      </c>
      <c r="K1778" s="150" t="s">
        <v>7840</v>
      </c>
      <c r="L1778" s="149" t="s">
        <v>3127</v>
      </c>
      <c r="M1778" s="151">
        <v>200</v>
      </c>
    </row>
    <row r="1779" spans="1:13" s="149" customFormat="1" x14ac:dyDescent="0.25">
      <c r="A1779" s="149" t="s">
        <v>7639</v>
      </c>
      <c r="B1779" s="149" t="s">
        <v>3128</v>
      </c>
      <c r="C1779" s="149">
        <v>11</v>
      </c>
      <c r="D1779" s="149">
        <v>420</v>
      </c>
      <c r="E1779" s="149">
        <v>0</v>
      </c>
      <c r="F1779" s="149">
        <v>646021</v>
      </c>
      <c r="G1779" s="149">
        <v>53220</v>
      </c>
      <c r="H1779" s="150" t="str">
        <f t="shared" si="81"/>
        <v>5</v>
      </c>
      <c r="I1779" s="150" t="str">
        <f t="shared" si="82"/>
        <v>53</v>
      </c>
      <c r="J1779" s="150" t="str">
        <f t="shared" si="83"/>
        <v>532</v>
      </c>
      <c r="K1779" s="150" t="s">
        <v>9471</v>
      </c>
      <c r="L1779" s="149" t="s">
        <v>3129</v>
      </c>
      <c r="M1779" s="151">
        <v>8328.83</v>
      </c>
    </row>
    <row r="1780" spans="1:13" s="149" customFormat="1" x14ac:dyDescent="0.25">
      <c r="A1780" s="149" t="s">
        <v>7639</v>
      </c>
      <c r="B1780" s="149" t="s">
        <v>3130</v>
      </c>
      <c r="C1780" s="149">
        <v>11</v>
      </c>
      <c r="D1780" s="149">
        <v>420</v>
      </c>
      <c r="E1780" s="149">
        <v>0</v>
      </c>
      <c r="F1780" s="149">
        <v>646021</v>
      </c>
      <c r="G1780" s="149">
        <v>53320</v>
      </c>
      <c r="H1780" s="150" t="str">
        <f t="shared" si="81"/>
        <v>5</v>
      </c>
      <c r="I1780" s="150" t="str">
        <f t="shared" si="82"/>
        <v>53</v>
      </c>
      <c r="J1780" s="150" t="str">
        <f t="shared" si="83"/>
        <v>533</v>
      </c>
      <c r="K1780" s="150" t="s">
        <v>9472</v>
      </c>
      <c r="L1780" s="149" t="s">
        <v>3131</v>
      </c>
      <c r="M1780" s="151">
        <v>2507.02</v>
      </c>
    </row>
    <row r="1781" spans="1:13" s="149" customFormat="1" x14ac:dyDescent="0.25">
      <c r="A1781" s="149" t="s">
        <v>7639</v>
      </c>
      <c r="B1781" s="149" t="s">
        <v>3132</v>
      </c>
      <c r="C1781" s="149">
        <v>11</v>
      </c>
      <c r="D1781" s="149">
        <v>420</v>
      </c>
      <c r="E1781" s="149">
        <v>0</v>
      </c>
      <c r="F1781" s="149">
        <v>646021</v>
      </c>
      <c r="G1781" s="149">
        <v>53340</v>
      </c>
      <c r="H1781" s="150" t="str">
        <f t="shared" si="81"/>
        <v>5</v>
      </c>
      <c r="I1781" s="150" t="str">
        <f t="shared" si="82"/>
        <v>53</v>
      </c>
      <c r="J1781" s="150" t="str">
        <f t="shared" si="83"/>
        <v>533</v>
      </c>
      <c r="K1781" s="150" t="s">
        <v>9473</v>
      </c>
      <c r="L1781" s="149" t="s">
        <v>3133</v>
      </c>
      <c r="M1781" s="151">
        <v>586.32000000000005</v>
      </c>
    </row>
    <row r="1782" spans="1:13" s="149" customFormat="1" x14ac:dyDescent="0.25">
      <c r="A1782" s="149" t="s">
        <v>7639</v>
      </c>
      <c r="B1782" s="149" t="s">
        <v>3134</v>
      </c>
      <c r="C1782" s="149">
        <v>11</v>
      </c>
      <c r="D1782" s="149">
        <v>420</v>
      </c>
      <c r="E1782" s="149">
        <v>0</v>
      </c>
      <c r="F1782" s="149">
        <v>646021</v>
      </c>
      <c r="G1782" s="149">
        <v>53420</v>
      </c>
      <c r="H1782" s="150" t="str">
        <f t="shared" si="81"/>
        <v>5</v>
      </c>
      <c r="I1782" s="150" t="str">
        <f t="shared" si="82"/>
        <v>53</v>
      </c>
      <c r="J1782" s="150" t="str">
        <f t="shared" si="83"/>
        <v>534</v>
      </c>
      <c r="K1782" s="150" t="s">
        <v>9474</v>
      </c>
      <c r="L1782" s="149" t="s">
        <v>3135</v>
      </c>
      <c r="M1782" s="151">
        <v>9856.2199999999993</v>
      </c>
    </row>
    <row r="1783" spans="1:13" s="149" customFormat="1" x14ac:dyDescent="0.25">
      <c r="A1783" s="149" t="s">
        <v>7639</v>
      </c>
      <c r="B1783" s="149" t="s">
        <v>3136</v>
      </c>
      <c r="C1783" s="149">
        <v>11</v>
      </c>
      <c r="D1783" s="149">
        <v>420</v>
      </c>
      <c r="E1783" s="149">
        <v>0</v>
      </c>
      <c r="F1783" s="149">
        <v>646021</v>
      </c>
      <c r="G1783" s="149">
        <v>53520</v>
      </c>
      <c r="H1783" s="150" t="str">
        <f t="shared" si="81"/>
        <v>5</v>
      </c>
      <c r="I1783" s="150" t="str">
        <f t="shared" si="82"/>
        <v>53</v>
      </c>
      <c r="J1783" s="150" t="str">
        <f t="shared" si="83"/>
        <v>535</v>
      </c>
      <c r="K1783" s="150" t="s">
        <v>9475</v>
      </c>
      <c r="L1783" s="149" t="s">
        <v>3137</v>
      </c>
      <c r="M1783" s="151">
        <v>20.22</v>
      </c>
    </row>
    <row r="1784" spans="1:13" s="149" customFormat="1" x14ac:dyDescent="0.25">
      <c r="A1784" s="149" t="s">
        <v>7639</v>
      </c>
      <c r="B1784" s="149" t="s">
        <v>3138</v>
      </c>
      <c r="C1784" s="149">
        <v>11</v>
      </c>
      <c r="D1784" s="149">
        <v>420</v>
      </c>
      <c r="E1784" s="149">
        <v>0</v>
      </c>
      <c r="F1784" s="149">
        <v>646021</v>
      </c>
      <c r="G1784" s="149">
        <v>53620</v>
      </c>
      <c r="H1784" s="150" t="str">
        <f t="shared" si="81"/>
        <v>5</v>
      </c>
      <c r="I1784" s="150" t="str">
        <f t="shared" si="82"/>
        <v>53</v>
      </c>
      <c r="J1784" s="150" t="str">
        <f t="shared" si="83"/>
        <v>536</v>
      </c>
      <c r="K1784" s="150" t="s">
        <v>9476</v>
      </c>
      <c r="L1784" s="149" t="s">
        <v>3139</v>
      </c>
      <c r="M1784" s="151">
        <v>764.56</v>
      </c>
    </row>
    <row r="1785" spans="1:13" s="149" customFormat="1" x14ac:dyDescent="0.25">
      <c r="A1785" s="149" t="s">
        <v>7639</v>
      </c>
      <c r="B1785" s="149" t="s">
        <v>3140</v>
      </c>
      <c r="C1785" s="149">
        <v>11</v>
      </c>
      <c r="D1785" s="149">
        <v>420</v>
      </c>
      <c r="E1785" s="149">
        <v>0</v>
      </c>
      <c r="F1785" s="149">
        <v>646021</v>
      </c>
      <c r="G1785" s="149">
        <v>55630</v>
      </c>
      <c r="H1785" s="150" t="str">
        <f t="shared" si="81"/>
        <v>5</v>
      </c>
      <c r="I1785" s="150" t="str">
        <f t="shared" si="82"/>
        <v>55</v>
      </c>
      <c r="J1785" s="150" t="str">
        <f t="shared" si="83"/>
        <v>556</v>
      </c>
      <c r="K1785" s="150" t="s">
        <v>8269</v>
      </c>
      <c r="L1785" s="149" t="s">
        <v>3141</v>
      </c>
      <c r="M1785" s="151">
        <v>58.21</v>
      </c>
    </row>
    <row r="1786" spans="1:13" s="149" customFormat="1" x14ac:dyDescent="0.25">
      <c r="A1786" s="149" t="s">
        <v>7639</v>
      </c>
      <c r="B1786" s="149" t="s">
        <v>3142</v>
      </c>
      <c r="C1786" s="149">
        <v>11</v>
      </c>
      <c r="D1786" s="149">
        <v>420</v>
      </c>
      <c r="E1786" s="149">
        <v>0</v>
      </c>
      <c r="F1786" s="149">
        <v>648000</v>
      </c>
      <c r="G1786" s="149">
        <v>51200</v>
      </c>
      <c r="H1786" s="150" t="str">
        <f t="shared" si="81"/>
        <v>5</v>
      </c>
      <c r="I1786" s="150" t="str">
        <f t="shared" si="82"/>
        <v>51</v>
      </c>
      <c r="J1786" s="150" t="str">
        <f t="shared" si="83"/>
        <v>512</v>
      </c>
      <c r="K1786" s="150" t="s">
        <v>9477</v>
      </c>
      <c r="L1786" s="149" t="s">
        <v>3143</v>
      </c>
      <c r="M1786" s="151">
        <v>29542.69</v>
      </c>
    </row>
    <row r="1787" spans="1:13" s="149" customFormat="1" x14ac:dyDescent="0.25">
      <c r="A1787" s="149" t="s">
        <v>7639</v>
      </c>
      <c r="B1787" s="149" t="s">
        <v>3144</v>
      </c>
      <c r="C1787" s="149">
        <v>11</v>
      </c>
      <c r="D1787" s="149">
        <v>420</v>
      </c>
      <c r="E1787" s="149">
        <v>0</v>
      </c>
      <c r="F1787" s="149">
        <v>648000</v>
      </c>
      <c r="G1787" s="149">
        <v>52105</v>
      </c>
      <c r="H1787" s="150" t="str">
        <f t="shared" si="81"/>
        <v>5</v>
      </c>
      <c r="I1787" s="150" t="str">
        <f t="shared" si="82"/>
        <v>52</v>
      </c>
      <c r="J1787" s="150" t="str">
        <f t="shared" si="83"/>
        <v>521</v>
      </c>
      <c r="K1787" s="150" t="s">
        <v>9478</v>
      </c>
      <c r="L1787" s="149" t="s">
        <v>3145</v>
      </c>
      <c r="M1787" s="151">
        <v>26375.27</v>
      </c>
    </row>
    <row r="1788" spans="1:13" s="149" customFormat="1" x14ac:dyDescent="0.25">
      <c r="A1788" s="149" t="s">
        <v>7639</v>
      </c>
      <c r="B1788" s="149" t="s">
        <v>3146</v>
      </c>
      <c r="C1788" s="149">
        <v>11</v>
      </c>
      <c r="D1788" s="149">
        <v>420</v>
      </c>
      <c r="E1788" s="149">
        <v>0</v>
      </c>
      <c r="F1788" s="149">
        <v>648000</v>
      </c>
      <c r="G1788" s="149">
        <v>52300</v>
      </c>
      <c r="H1788" s="150" t="str">
        <f t="shared" si="81"/>
        <v>5</v>
      </c>
      <c r="I1788" s="150" t="str">
        <f t="shared" si="82"/>
        <v>52</v>
      </c>
      <c r="J1788" s="150" t="str">
        <f t="shared" si="83"/>
        <v>523</v>
      </c>
      <c r="K1788" s="150" t="s">
        <v>7841</v>
      </c>
      <c r="L1788" s="149" t="s">
        <v>3147</v>
      </c>
      <c r="M1788" s="151">
        <v>0</v>
      </c>
    </row>
    <row r="1789" spans="1:13" s="149" customFormat="1" x14ac:dyDescent="0.25">
      <c r="A1789" s="149" t="s">
        <v>7639</v>
      </c>
      <c r="B1789" s="149" t="s">
        <v>3148</v>
      </c>
      <c r="C1789" s="149">
        <v>11</v>
      </c>
      <c r="D1789" s="149">
        <v>420</v>
      </c>
      <c r="E1789" s="149">
        <v>0</v>
      </c>
      <c r="F1789" s="149">
        <v>648000</v>
      </c>
      <c r="G1789" s="149">
        <v>53120</v>
      </c>
      <c r="H1789" s="150" t="str">
        <f t="shared" si="81"/>
        <v>5</v>
      </c>
      <c r="I1789" s="150" t="str">
        <f t="shared" si="82"/>
        <v>53</v>
      </c>
      <c r="J1789" s="150" t="str">
        <f t="shared" si="83"/>
        <v>531</v>
      </c>
      <c r="K1789" s="150" t="s">
        <v>9479</v>
      </c>
      <c r="L1789" s="149" t="s">
        <v>3149</v>
      </c>
      <c r="M1789" s="151">
        <v>4771.1400000000003</v>
      </c>
    </row>
    <row r="1790" spans="1:13" s="149" customFormat="1" x14ac:dyDescent="0.25">
      <c r="A1790" s="149" t="s">
        <v>7639</v>
      </c>
      <c r="B1790" s="149" t="s">
        <v>3150</v>
      </c>
      <c r="C1790" s="149">
        <v>11</v>
      </c>
      <c r="D1790" s="149">
        <v>420</v>
      </c>
      <c r="E1790" s="149">
        <v>0</v>
      </c>
      <c r="F1790" s="149">
        <v>648000</v>
      </c>
      <c r="G1790" s="149">
        <v>53220</v>
      </c>
      <c r="H1790" s="150" t="str">
        <f t="shared" si="81"/>
        <v>5</v>
      </c>
      <c r="I1790" s="150" t="str">
        <f t="shared" si="82"/>
        <v>53</v>
      </c>
      <c r="J1790" s="150" t="str">
        <f t="shared" si="83"/>
        <v>532</v>
      </c>
      <c r="K1790" s="150" t="s">
        <v>9480</v>
      </c>
      <c r="L1790" s="149" t="s">
        <v>3151</v>
      </c>
      <c r="M1790" s="151">
        <v>5459.68</v>
      </c>
    </row>
    <row r="1791" spans="1:13" s="149" customFormat="1" x14ac:dyDescent="0.25">
      <c r="A1791" s="149" t="s">
        <v>7639</v>
      </c>
      <c r="B1791" s="149" t="s">
        <v>3152</v>
      </c>
      <c r="C1791" s="149">
        <v>11</v>
      </c>
      <c r="D1791" s="149">
        <v>420</v>
      </c>
      <c r="E1791" s="149">
        <v>0</v>
      </c>
      <c r="F1791" s="149">
        <v>648000</v>
      </c>
      <c r="G1791" s="149">
        <v>53320</v>
      </c>
      <c r="H1791" s="150" t="str">
        <f t="shared" si="81"/>
        <v>5</v>
      </c>
      <c r="I1791" s="150" t="str">
        <f t="shared" si="82"/>
        <v>53</v>
      </c>
      <c r="J1791" s="150" t="str">
        <f t="shared" si="83"/>
        <v>533</v>
      </c>
      <c r="K1791" s="150" t="s">
        <v>9481</v>
      </c>
      <c r="L1791" s="149" t="s">
        <v>3153</v>
      </c>
      <c r="M1791" s="151">
        <v>1635.27</v>
      </c>
    </row>
    <row r="1792" spans="1:13" s="149" customFormat="1" x14ac:dyDescent="0.25">
      <c r="A1792" s="149" t="s">
        <v>7639</v>
      </c>
      <c r="B1792" s="149" t="s">
        <v>3154</v>
      </c>
      <c r="C1792" s="149">
        <v>11</v>
      </c>
      <c r="D1792" s="149">
        <v>420</v>
      </c>
      <c r="E1792" s="149">
        <v>0</v>
      </c>
      <c r="F1792" s="149">
        <v>648000</v>
      </c>
      <c r="G1792" s="149">
        <v>53340</v>
      </c>
      <c r="H1792" s="150" t="str">
        <f t="shared" si="81"/>
        <v>5</v>
      </c>
      <c r="I1792" s="150" t="str">
        <f t="shared" si="82"/>
        <v>53</v>
      </c>
      <c r="J1792" s="150" t="str">
        <f t="shared" si="83"/>
        <v>533</v>
      </c>
      <c r="K1792" s="150" t="s">
        <v>9482</v>
      </c>
      <c r="L1792" s="149" t="s">
        <v>3155</v>
      </c>
      <c r="M1792" s="151">
        <v>810.81</v>
      </c>
    </row>
    <row r="1793" spans="1:13" s="149" customFormat="1" x14ac:dyDescent="0.25">
      <c r="A1793" s="149" t="s">
        <v>7639</v>
      </c>
      <c r="B1793" s="149" t="s">
        <v>3156</v>
      </c>
      <c r="C1793" s="149">
        <v>11</v>
      </c>
      <c r="D1793" s="149">
        <v>420</v>
      </c>
      <c r="E1793" s="149">
        <v>0</v>
      </c>
      <c r="F1793" s="149">
        <v>648000</v>
      </c>
      <c r="G1793" s="149">
        <v>53420</v>
      </c>
      <c r="H1793" s="150" t="str">
        <f t="shared" si="81"/>
        <v>5</v>
      </c>
      <c r="I1793" s="150" t="str">
        <f t="shared" si="82"/>
        <v>53</v>
      </c>
      <c r="J1793" s="150" t="str">
        <f t="shared" si="83"/>
        <v>534</v>
      </c>
      <c r="K1793" s="150" t="s">
        <v>9483</v>
      </c>
      <c r="L1793" s="149" t="s">
        <v>3157</v>
      </c>
      <c r="M1793" s="151">
        <v>14867.2</v>
      </c>
    </row>
    <row r="1794" spans="1:13" s="149" customFormat="1" x14ac:dyDescent="0.25">
      <c r="A1794" s="149" t="s">
        <v>7639</v>
      </c>
      <c r="B1794" s="149" t="s">
        <v>3158</v>
      </c>
      <c r="C1794" s="149">
        <v>11</v>
      </c>
      <c r="D1794" s="149">
        <v>420</v>
      </c>
      <c r="E1794" s="149">
        <v>0</v>
      </c>
      <c r="F1794" s="149">
        <v>648000</v>
      </c>
      <c r="G1794" s="149">
        <v>53520</v>
      </c>
      <c r="H1794" s="150" t="str">
        <f t="shared" si="81"/>
        <v>5</v>
      </c>
      <c r="I1794" s="150" t="str">
        <f t="shared" si="82"/>
        <v>53</v>
      </c>
      <c r="J1794" s="150" t="str">
        <f t="shared" si="83"/>
        <v>535</v>
      </c>
      <c r="K1794" s="150" t="s">
        <v>9484</v>
      </c>
      <c r="L1794" s="149" t="s">
        <v>3159</v>
      </c>
      <c r="M1794" s="151">
        <v>27.96</v>
      </c>
    </row>
    <row r="1795" spans="1:13" s="149" customFormat="1" x14ac:dyDescent="0.25">
      <c r="A1795" s="149" t="s">
        <v>7639</v>
      </c>
      <c r="B1795" s="149" t="s">
        <v>3160</v>
      </c>
      <c r="C1795" s="149">
        <v>11</v>
      </c>
      <c r="D1795" s="149">
        <v>420</v>
      </c>
      <c r="E1795" s="149">
        <v>0</v>
      </c>
      <c r="F1795" s="149">
        <v>648000</v>
      </c>
      <c r="G1795" s="149">
        <v>53620</v>
      </c>
      <c r="H1795" s="150" t="str">
        <f t="shared" ref="H1795:H1858" si="84">LEFT(G1795,1)</f>
        <v>5</v>
      </c>
      <c r="I1795" s="150" t="str">
        <f t="shared" ref="I1795:I1858" si="85">LEFT(G1795,2)</f>
        <v>53</v>
      </c>
      <c r="J1795" s="150" t="str">
        <f t="shared" ref="J1795:J1858" si="86">LEFT(G1795,3)</f>
        <v>536</v>
      </c>
      <c r="K1795" s="150" t="s">
        <v>9485</v>
      </c>
      <c r="L1795" s="149" t="s">
        <v>3161</v>
      </c>
      <c r="M1795" s="151">
        <v>1057.29</v>
      </c>
    </row>
    <row r="1796" spans="1:13" s="149" customFormat="1" x14ac:dyDescent="0.25">
      <c r="A1796" s="149" t="s">
        <v>7639</v>
      </c>
      <c r="B1796" s="149" t="s">
        <v>3162</v>
      </c>
      <c r="C1796" s="149">
        <v>11</v>
      </c>
      <c r="D1796" s="149">
        <v>420</v>
      </c>
      <c r="E1796" s="149">
        <v>0</v>
      </c>
      <c r="F1796" s="149">
        <v>648000</v>
      </c>
      <c r="G1796" s="149">
        <v>55200</v>
      </c>
      <c r="H1796" s="150" t="str">
        <f t="shared" si="84"/>
        <v>5</v>
      </c>
      <c r="I1796" s="150" t="str">
        <f t="shared" si="85"/>
        <v>55</v>
      </c>
      <c r="J1796" s="150" t="str">
        <f t="shared" si="86"/>
        <v>552</v>
      </c>
      <c r="K1796" s="150" t="s">
        <v>8069</v>
      </c>
      <c r="L1796" s="149" t="s">
        <v>3163</v>
      </c>
      <c r="M1796" s="151">
        <v>0</v>
      </c>
    </row>
    <row r="1797" spans="1:13" s="149" customFormat="1" x14ac:dyDescent="0.25">
      <c r="A1797" s="149" t="s">
        <v>7639</v>
      </c>
      <c r="B1797" s="149" t="s">
        <v>3164</v>
      </c>
      <c r="C1797" s="149">
        <v>11</v>
      </c>
      <c r="D1797" s="149">
        <v>420</v>
      </c>
      <c r="E1797" s="149">
        <v>0</v>
      </c>
      <c r="F1797" s="149">
        <v>648000</v>
      </c>
      <c r="G1797" s="149">
        <v>55300</v>
      </c>
      <c r="H1797" s="150" t="str">
        <f t="shared" si="84"/>
        <v>5</v>
      </c>
      <c r="I1797" s="150" t="str">
        <f t="shared" si="85"/>
        <v>55</v>
      </c>
      <c r="J1797" s="150" t="str">
        <f t="shared" si="86"/>
        <v>553</v>
      </c>
      <c r="K1797" s="150" t="s">
        <v>8100</v>
      </c>
      <c r="L1797" s="149" t="s">
        <v>3165</v>
      </c>
      <c r="M1797" s="151">
        <v>100</v>
      </c>
    </row>
    <row r="1798" spans="1:13" s="149" customFormat="1" x14ac:dyDescent="0.25">
      <c r="A1798" s="149" t="s">
        <v>7639</v>
      </c>
      <c r="B1798" s="149" t="s">
        <v>3166</v>
      </c>
      <c r="C1798" s="149">
        <v>11</v>
      </c>
      <c r="D1798" s="149">
        <v>420</v>
      </c>
      <c r="E1798" s="149">
        <v>0</v>
      </c>
      <c r="F1798" s="149">
        <v>648000</v>
      </c>
      <c r="G1798" s="149">
        <v>55630</v>
      </c>
      <c r="H1798" s="150" t="str">
        <f t="shared" si="84"/>
        <v>5</v>
      </c>
      <c r="I1798" s="150" t="str">
        <f t="shared" si="85"/>
        <v>55</v>
      </c>
      <c r="J1798" s="150" t="str">
        <f t="shared" si="86"/>
        <v>556</v>
      </c>
      <c r="K1798" s="150" t="s">
        <v>8270</v>
      </c>
      <c r="L1798" s="149" t="s">
        <v>3167</v>
      </c>
      <c r="M1798" s="151">
        <v>8</v>
      </c>
    </row>
    <row r="1799" spans="1:13" s="149" customFormat="1" x14ac:dyDescent="0.25">
      <c r="A1799" s="149" t="s">
        <v>7639</v>
      </c>
      <c r="B1799" s="149" t="s">
        <v>3168</v>
      </c>
      <c r="C1799" s="149">
        <v>11</v>
      </c>
      <c r="D1799" s="149">
        <v>430</v>
      </c>
      <c r="E1799" s="149">
        <v>0</v>
      </c>
      <c r="F1799" s="149">
        <v>643000</v>
      </c>
      <c r="G1799" s="149">
        <v>51210</v>
      </c>
      <c r="H1799" s="150" t="str">
        <f t="shared" si="84"/>
        <v>5</v>
      </c>
      <c r="I1799" s="150" t="str">
        <f t="shared" si="85"/>
        <v>51</v>
      </c>
      <c r="J1799" s="150" t="str">
        <f t="shared" si="86"/>
        <v>512</v>
      </c>
      <c r="K1799" s="150" t="s">
        <v>9486</v>
      </c>
      <c r="L1799" s="149" t="s">
        <v>3169</v>
      </c>
      <c r="M1799" s="151">
        <v>123021</v>
      </c>
    </row>
    <row r="1800" spans="1:13" s="149" customFormat="1" x14ac:dyDescent="0.25">
      <c r="A1800" s="149" t="s">
        <v>7639</v>
      </c>
      <c r="B1800" s="149" t="s">
        <v>3170</v>
      </c>
      <c r="C1800" s="149">
        <v>11</v>
      </c>
      <c r="D1800" s="149">
        <v>430</v>
      </c>
      <c r="E1800" s="149">
        <v>0</v>
      </c>
      <c r="F1800" s="149">
        <v>643000</v>
      </c>
      <c r="G1800" s="149">
        <v>53220</v>
      </c>
      <c r="H1800" s="150" t="str">
        <f t="shared" si="84"/>
        <v>5</v>
      </c>
      <c r="I1800" s="150" t="str">
        <f t="shared" si="85"/>
        <v>53</v>
      </c>
      <c r="J1800" s="150" t="str">
        <f t="shared" si="86"/>
        <v>532</v>
      </c>
      <c r="K1800" s="150" t="s">
        <v>9487</v>
      </c>
      <c r="L1800" s="149" t="s">
        <v>3171</v>
      </c>
      <c r="M1800" s="151">
        <v>25465.35</v>
      </c>
    </row>
    <row r="1801" spans="1:13" s="149" customFormat="1" x14ac:dyDescent="0.25">
      <c r="A1801" s="149" t="s">
        <v>7639</v>
      </c>
      <c r="B1801" s="149" t="s">
        <v>3172</v>
      </c>
      <c r="C1801" s="149">
        <v>11</v>
      </c>
      <c r="D1801" s="149">
        <v>430</v>
      </c>
      <c r="E1801" s="149">
        <v>0</v>
      </c>
      <c r="F1801" s="149">
        <v>643000</v>
      </c>
      <c r="G1801" s="149">
        <v>53320</v>
      </c>
      <c r="H1801" s="150" t="str">
        <f t="shared" si="84"/>
        <v>5</v>
      </c>
      <c r="I1801" s="150" t="str">
        <f t="shared" si="85"/>
        <v>53</v>
      </c>
      <c r="J1801" s="150" t="str">
        <f t="shared" si="86"/>
        <v>533</v>
      </c>
      <c r="K1801" s="150" t="s">
        <v>9488</v>
      </c>
      <c r="L1801" s="149" t="s">
        <v>3173</v>
      </c>
      <c r="M1801" s="151">
        <v>7627.3</v>
      </c>
    </row>
    <row r="1802" spans="1:13" s="149" customFormat="1" x14ac:dyDescent="0.25">
      <c r="A1802" s="149" t="s">
        <v>7639</v>
      </c>
      <c r="B1802" s="149" t="s">
        <v>3174</v>
      </c>
      <c r="C1802" s="149">
        <v>11</v>
      </c>
      <c r="D1802" s="149">
        <v>430</v>
      </c>
      <c r="E1802" s="149">
        <v>0</v>
      </c>
      <c r="F1802" s="149">
        <v>643000</v>
      </c>
      <c r="G1802" s="149">
        <v>53340</v>
      </c>
      <c r="H1802" s="150" t="str">
        <f t="shared" si="84"/>
        <v>5</v>
      </c>
      <c r="I1802" s="150" t="str">
        <f t="shared" si="85"/>
        <v>53</v>
      </c>
      <c r="J1802" s="150" t="str">
        <f t="shared" si="86"/>
        <v>533</v>
      </c>
      <c r="K1802" s="150" t="s">
        <v>9489</v>
      </c>
      <c r="L1802" s="149" t="s">
        <v>3175</v>
      </c>
      <c r="M1802" s="151">
        <v>1783.8</v>
      </c>
    </row>
    <row r="1803" spans="1:13" s="149" customFormat="1" x14ac:dyDescent="0.25">
      <c r="A1803" s="149" t="s">
        <v>7639</v>
      </c>
      <c r="B1803" s="149" t="s">
        <v>3176</v>
      </c>
      <c r="C1803" s="149">
        <v>11</v>
      </c>
      <c r="D1803" s="149">
        <v>430</v>
      </c>
      <c r="E1803" s="149">
        <v>0</v>
      </c>
      <c r="F1803" s="149">
        <v>643000</v>
      </c>
      <c r="G1803" s="149">
        <v>53420</v>
      </c>
      <c r="H1803" s="150" t="str">
        <f t="shared" si="84"/>
        <v>5</v>
      </c>
      <c r="I1803" s="150" t="str">
        <f t="shared" si="85"/>
        <v>53</v>
      </c>
      <c r="J1803" s="150" t="str">
        <f t="shared" si="86"/>
        <v>534</v>
      </c>
      <c r="K1803" s="150" t="s">
        <v>9490</v>
      </c>
      <c r="L1803" s="149" t="s">
        <v>3177</v>
      </c>
      <c r="M1803" s="151">
        <v>13141.62</v>
      </c>
    </row>
    <row r="1804" spans="1:13" s="149" customFormat="1" x14ac:dyDescent="0.25">
      <c r="A1804" s="149" t="s">
        <v>7639</v>
      </c>
      <c r="B1804" s="149" t="s">
        <v>3178</v>
      </c>
      <c r="C1804" s="149">
        <v>11</v>
      </c>
      <c r="D1804" s="149">
        <v>430</v>
      </c>
      <c r="E1804" s="149">
        <v>0</v>
      </c>
      <c r="F1804" s="149">
        <v>643000</v>
      </c>
      <c r="G1804" s="149">
        <v>53520</v>
      </c>
      <c r="H1804" s="150" t="str">
        <f t="shared" si="84"/>
        <v>5</v>
      </c>
      <c r="I1804" s="150" t="str">
        <f t="shared" si="85"/>
        <v>53</v>
      </c>
      <c r="J1804" s="150" t="str">
        <f t="shared" si="86"/>
        <v>535</v>
      </c>
      <c r="K1804" s="150" t="s">
        <v>9491</v>
      </c>
      <c r="L1804" s="149" t="s">
        <v>3179</v>
      </c>
      <c r="M1804" s="151">
        <v>61.51</v>
      </c>
    </row>
    <row r="1805" spans="1:13" s="149" customFormat="1" x14ac:dyDescent="0.25">
      <c r="A1805" s="149" t="s">
        <v>7639</v>
      </c>
      <c r="B1805" s="149" t="s">
        <v>3180</v>
      </c>
      <c r="C1805" s="149">
        <v>11</v>
      </c>
      <c r="D1805" s="149">
        <v>430</v>
      </c>
      <c r="E1805" s="149">
        <v>0</v>
      </c>
      <c r="F1805" s="149">
        <v>643000</v>
      </c>
      <c r="G1805" s="149">
        <v>53620</v>
      </c>
      <c r="H1805" s="150" t="str">
        <f t="shared" si="84"/>
        <v>5</v>
      </c>
      <c r="I1805" s="150" t="str">
        <f t="shared" si="85"/>
        <v>53</v>
      </c>
      <c r="J1805" s="150" t="str">
        <f t="shared" si="86"/>
        <v>536</v>
      </c>
      <c r="K1805" s="150" t="s">
        <v>9492</v>
      </c>
      <c r="L1805" s="149" t="s">
        <v>3181</v>
      </c>
      <c r="M1805" s="151">
        <v>2326.08</v>
      </c>
    </row>
    <row r="1806" spans="1:13" s="149" customFormat="1" x14ac:dyDescent="0.25">
      <c r="A1806" s="149" t="s">
        <v>7639</v>
      </c>
      <c r="B1806" s="149" t="s">
        <v>3182</v>
      </c>
      <c r="C1806" s="149">
        <v>11</v>
      </c>
      <c r="D1806" s="149">
        <v>430</v>
      </c>
      <c r="E1806" s="149">
        <v>0</v>
      </c>
      <c r="F1806" s="149">
        <v>700500</v>
      </c>
      <c r="G1806" s="149">
        <v>51210</v>
      </c>
      <c r="H1806" s="150" t="str">
        <f t="shared" si="84"/>
        <v>5</v>
      </c>
      <c r="I1806" s="150" t="str">
        <f t="shared" si="85"/>
        <v>51</v>
      </c>
      <c r="J1806" s="150" t="str">
        <f t="shared" si="86"/>
        <v>512</v>
      </c>
      <c r="K1806" s="150" t="s">
        <v>9493</v>
      </c>
      <c r="L1806" s="149" t="s">
        <v>3183</v>
      </c>
      <c r="M1806" s="151">
        <v>0</v>
      </c>
    </row>
    <row r="1807" spans="1:13" s="149" customFormat="1" x14ac:dyDescent="0.25">
      <c r="A1807" s="149" t="s">
        <v>7639</v>
      </c>
      <c r="B1807" s="149" t="s">
        <v>3184</v>
      </c>
      <c r="C1807" s="149">
        <v>11</v>
      </c>
      <c r="D1807" s="149">
        <v>430</v>
      </c>
      <c r="E1807" s="149">
        <v>0</v>
      </c>
      <c r="F1807" s="149">
        <v>700500</v>
      </c>
      <c r="G1807" s="149">
        <v>53220</v>
      </c>
      <c r="H1807" s="150" t="str">
        <f t="shared" si="84"/>
        <v>5</v>
      </c>
      <c r="I1807" s="150" t="str">
        <f t="shared" si="85"/>
        <v>53</v>
      </c>
      <c r="J1807" s="150" t="str">
        <f t="shared" si="86"/>
        <v>532</v>
      </c>
      <c r="K1807" s="150" t="s">
        <v>9494</v>
      </c>
      <c r="L1807" s="149" t="s">
        <v>3185</v>
      </c>
      <c r="M1807" s="151">
        <v>0</v>
      </c>
    </row>
    <row r="1808" spans="1:13" s="149" customFormat="1" x14ac:dyDescent="0.25">
      <c r="A1808" s="149" t="s">
        <v>7639</v>
      </c>
      <c r="B1808" s="149" t="s">
        <v>3186</v>
      </c>
      <c r="C1808" s="149">
        <v>11</v>
      </c>
      <c r="D1808" s="149">
        <v>430</v>
      </c>
      <c r="E1808" s="149">
        <v>0</v>
      </c>
      <c r="F1808" s="149">
        <v>700500</v>
      </c>
      <c r="G1808" s="149">
        <v>53320</v>
      </c>
      <c r="H1808" s="150" t="str">
        <f t="shared" si="84"/>
        <v>5</v>
      </c>
      <c r="I1808" s="150" t="str">
        <f t="shared" si="85"/>
        <v>53</v>
      </c>
      <c r="J1808" s="150" t="str">
        <f t="shared" si="86"/>
        <v>533</v>
      </c>
      <c r="K1808" s="150" t="s">
        <v>9495</v>
      </c>
      <c r="L1808" s="149" t="s">
        <v>3187</v>
      </c>
      <c r="M1808" s="151">
        <v>0</v>
      </c>
    </row>
    <row r="1809" spans="1:13" s="149" customFormat="1" x14ac:dyDescent="0.25">
      <c r="A1809" s="149" t="s">
        <v>7639</v>
      </c>
      <c r="B1809" s="149" t="s">
        <v>3188</v>
      </c>
      <c r="C1809" s="149">
        <v>11</v>
      </c>
      <c r="D1809" s="149">
        <v>430</v>
      </c>
      <c r="E1809" s="149">
        <v>0</v>
      </c>
      <c r="F1809" s="149">
        <v>700500</v>
      </c>
      <c r="G1809" s="149">
        <v>53340</v>
      </c>
      <c r="H1809" s="150" t="str">
        <f t="shared" si="84"/>
        <v>5</v>
      </c>
      <c r="I1809" s="150" t="str">
        <f t="shared" si="85"/>
        <v>53</v>
      </c>
      <c r="J1809" s="150" t="str">
        <f t="shared" si="86"/>
        <v>533</v>
      </c>
      <c r="K1809" s="150" t="s">
        <v>9496</v>
      </c>
      <c r="L1809" s="149" t="s">
        <v>3189</v>
      </c>
      <c r="M1809" s="151">
        <v>0</v>
      </c>
    </row>
    <row r="1810" spans="1:13" s="149" customFormat="1" x14ac:dyDescent="0.25">
      <c r="A1810" s="149" t="s">
        <v>7639</v>
      </c>
      <c r="B1810" s="149" t="s">
        <v>3190</v>
      </c>
      <c r="C1810" s="149">
        <v>11</v>
      </c>
      <c r="D1810" s="149">
        <v>430</v>
      </c>
      <c r="E1810" s="149">
        <v>0</v>
      </c>
      <c r="F1810" s="149">
        <v>700500</v>
      </c>
      <c r="G1810" s="149">
        <v>53420</v>
      </c>
      <c r="H1810" s="150" t="str">
        <f t="shared" si="84"/>
        <v>5</v>
      </c>
      <c r="I1810" s="150" t="str">
        <f t="shared" si="85"/>
        <v>53</v>
      </c>
      <c r="J1810" s="150" t="str">
        <f t="shared" si="86"/>
        <v>534</v>
      </c>
      <c r="K1810" s="150" t="s">
        <v>9497</v>
      </c>
      <c r="L1810" s="149" t="s">
        <v>3191</v>
      </c>
      <c r="M1810" s="151">
        <v>0</v>
      </c>
    </row>
    <row r="1811" spans="1:13" s="149" customFormat="1" x14ac:dyDescent="0.25">
      <c r="A1811" s="149" t="s">
        <v>7639</v>
      </c>
      <c r="B1811" s="149" t="s">
        <v>3192</v>
      </c>
      <c r="C1811" s="149">
        <v>11</v>
      </c>
      <c r="D1811" s="149">
        <v>430</v>
      </c>
      <c r="E1811" s="149">
        <v>0</v>
      </c>
      <c r="F1811" s="149">
        <v>700500</v>
      </c>
      <c r="G1811" s="149">
        <v>53520</v>
      </c>
      <c r="H1811" s="150" t="str">
        <f t="shared" si="84"/>
        <v>5</v>
      </c>
      <c r="I1811" s="150" t="str">
        <f t="shared" si="85"/>
        <v>53</v>
      </c>
      <c r="J1811" s="150" t="str">
        <f t="shared" si="86"/>
        <v>535</v>
      </c>
      <c r="K1811" s="150" t="s">
        <v>9498</v>
      </c>
      <c r="L1811" s="149" t="s">
        <v>3193</v>
      </c>
      <c r="M1811" s="151">
        <v>0</v>
      </c>
    </row>
    <row r="1812" spans="1:13" s="149" customFormat="1" x14ac:dyDescent="0.25">
      <c r="A1812" s="149" t="s">
        <v>7639</v>
      </c>
      <c r="B1812" s="149" t="s">
        <v>3194</v>
      </c>
      <c r="C1812" s="149">
        <v>11</v>
      </c>
      <c r="D1812" s="149">
        <v>430</v>
      </c>
      <c r="E1812" s="149">
        <v>0</v>
      </c>
      <c r="F1812" s="149">
        <v>700500</v>
      </c>
      <c r="G1812" s="149">
        <v>53620</v>
      </c>
      <c r="H1812" s="150" t="str">
        <f t="shared" si="84"/>
        <v>5</v>
      </c>
      <c r="I1812" s="150" t="str">
        <f t="shared" si="85"/>
        <v>53</v>
      </c>
      <c r="J1812" s="150" t="str">
        <f t="shared" si="86"/>
        <v>536</v>
      </c>
      <c r="K1812" s="150" t="s">
        <v>9499</v>
      </c>
      <c r="L1812" s="149" t="s">
        <v>3195</v>
      </c>
      <c r="M1812" s="151">
        <v>0</v>
      </c>
    </row>
    <row r="1813" spans="1:13" s="149" customFormat="1" x14ac:dyDescent="0.25">
      <c r="A1813" s="149" t="s">
        <v>7639</v>
      </c>
      <c r="B1813" s="149" t="s">
        <v>3196</v>
      </c>
      <c r="C1813" s="149">
        <v>11</v>
      </c>
      <c r="D1813" s="149">
        <v>430</v>
      </c>
      <c r="E1813" s="149">
        <v>0</v>
      </c>
      <c r="F1813" s="149">
        <v>700500</v>
      </c>
      <c r="G1813" s="149">
        <v>55630</v>
      </c>
      <c r="H1813" s="150" t="str">
        <f t="shared" si="84"/>
        <v>5</v>
      </c>
      <c r="I1813" s="150" t="str">
        <f t="shared" si="85"/>
        <v>55</v>
      </c>
      <c r="J1813" s="150" t="str">
        <f t="shared" si="86"/>
        <v>556</v>
      </c>
      <c r="K1813" s="150" t="s">
        <v>8271</v>
      </c>
      <c r="L1813" s="149" t="s">
        <v>3197</v>
      </c>
      <c r="M1813" s="151">
        <v>0</v>
      </c>
    </row>
    <row r="1814" spans="1:13" s="149" customFormat="1" x14ac:dyDescent="0.25">
      <c r="A1814" s="149" t="s">
        <v>7639</v>
      </c>
      <c r="B1814" s="149" t="s">
        <v>3198</v>
      </c>
      <c r="C1814" s="149">
        <v>11</v>
      </c>
      <c r="D1814" s="149">
        <v>430</v>
      </c>
      <c r="E1814" s="149">
        <v>0</v>
      </c>
      <c r="F1814" s="149">
        <v>704700</v>
      </c>
      <c r="G1814" s="149">
        <v>52315</v>
      </c>
      <c r="H1814" s="150" t="str">
        <f t="shared" si="84"/>
        <v>5</v>
      </c>
      <c r="I1814" s="150" t="str">
        <f t="shared" si="85"/>
        <v>52</v>
      </c>
      <c r="J1814" s="150" t="str">
        <f t="shared" si="86"/>
        <v>523</v>
      </c>
      <c r="K1814" s="150" t="s">
        <v>7848</v>
      </c>
      <c r="L1814" s="149" t="s">
        <v>3199</v>
      </c>
      <c r="M1814" s="151">
        <v>15000</v>
      </c>
    </row>
    <row r="1815" spans="1:13" s="149" customFormat="1" x14ac:dyDescent="0.25">
      <c r="A1815" s="149" t="s">
        <v>7639</v>
      </c>
      <c r="B1815" s="149" t="s">
        <v>3200</v>
      </c>
      <c r="C1815" s="149">
        <v>11</v>
      </c>
      <c r="D1815" s="149">
        <v>430</v>
      </c>
      <c r="E1815" s="149">
        <v>0</v>
      </c>
      <c r="F1815" s="149">
        <v>704700</v>
      </c>
      <c r="G1815" s="149">
        <v>53620</v>
      </c>
      <c r="H1815" s="150" t="str">
        <f t="shared" si="84"/>
        <v>5</v>
      </c>
      <c r="I1815" s="150" t="str">
        <f t="shared" si="85"/>
        <v>53</v>
      </c>
      <c r="J1815" s="150" t="str">
        <f t="shared" si="86"/>
        <v>536</v>
      </c>
      <c r="K1815" s="150" t="s">
        <v>9500</v>
      </c>
      <c r="L1815" s="149" t="s">
        <v>3201</v>
      </c>
      <c r="M1815" s="151">
        <v>283.62</v>
      </c>
    </row>
    <row r="1816" spans="1:13" s="149" customFormat="1" x14ac:dyDescent="0.25">
      <c r="A1816" s="149" t="s">
        <v>7639</v>
      </c>
      <c r="B1816" s="149" t="s">
        <v>3202</v>
      </c>
      <c r="C1816" s="149">
        <v>11</v>
      </c>
      <c r="D1816" s="149">
        <v>440</v>
      </c>
      <c r="E1816" s="149">
        <v>0</v>
      </c>
      <c r="F1816" s="149">
        <v>493032</v>
      </c>
      <c r="G1816" s="149">
        <v>51210</v>
      </c>
      <c r="H1816" s="150" t="str">
        <f t="shared" si="84"/>
        <v>5</v>
      </c>
      <c r="I1816" s="150" t="str">
        <f t="shared" si="85"/>
        <v>51</v>
      </c>
      <c r="J1816" s="150" t="str">
        <f t="shared" si="86"/>
        <v>512</v>
      </c>
      <c r="K1816" s="150" t="s">
        <v>9501</v>
      </c>
      <c r="L1816" s="149" t="s">
        <v>3203</v>
      </c>
      <c r="M1816" s="151">
        <v>70015.8</v>
      </c>
    </row>
    <row r="1817" spans="1:13" s="149" customFormat="1" x14ac:dyDescent="0.25">
      <c r="A1817" s="149" t="s">
        <v>7639</v>
      </c>
      <c r="B1817" s="149" t="s">
        <v>3204</v>
      </c>
      <c r="C1817" s="149">
        <v>11</v>
      </c>
      <c r="D1817" s="149">
        <v>440</v>
      </c>
      <c r="E1817" s="149">
        <v>0</v>
      </c>
      <c r="F1817" s="149">
        <v>493032</v>
      </c>
      <c r="G1817" s="149">
        <v>51311</v>
      </c>
      <c r="H1817" s="150" t="str">
        <f t="shared" si="84"/>
        <v>5</v>
      </c>
      <c r="I1817" s="150" t="str">
        <f t="shared" si="85"/>
        <v>51</v>
      </c>
      <c r="J1817" s="150" t="str">
        <f t="shared" si="86"/>
        <v>513</v>
      </c>
      <c r="K1817" s="150" t="s">
        <v>7771</v>
      </c>
      <c r="L1817" s="149" t="s">
        <v>3205</v>
      </c>
      <c r="M1817" s="151">
        <v>5000</v>
      </c>
    </row>
    <row r="1818" spans="1:13" s="149" customFormat="1" x14ac:dyDescent="0.25">
      <c r="A1818" s="149" t="s">
        <v>7639</v>
      </c>
      <c r="B1818" s="149" t="s">
        <v>3206</v>
      </c>
      <c r="C1818" s="149">
        <v>11</v>
      </c>
      <c r="D1818" s="149">
        <v>440</v>
      </c>
      <c r="E1818" s="149">
        <v>0</v>
      </c>
      <c r="F1818" s="149">
        <v>493032</v>
      </c>
      <c r="G1818" s="149">
        <v>51411</v>
      </c>
      <c r="H1818" s="150" t="str">
        <f t="shared" si="84"/>
        <v>5</v>
      </c>
      <c r="I1818" s="150" t="str">
        <f t="shared" si="85"/>
        <v>51</v>
      </c>
      <c r="J1818" s="150" t="str">
        <f t="shared" si="86"/>
        <v>514</v>
      </c>
      <c r="K1818" s="150" t="s">
        <v>7779</v>
      </c>
      <c r="L1818" s="149" t="s">
        <v>3207</v>
      </c>
      <c r="M1818" s="151">
        <v>3850</v>
      </c>
    </row>
    <row r="1819" spans="1:13" s="149" customFormat="1" x14ac:dyDescent="0.25">
      <c r="A1819" s="149" t="s">
        <v>7639</v>
      </c>
      <c r="B1819" s="149" t="s">
        <v>3208</v>
      </c>
      <c r="C1819" s="149">
        <v>11</v>
      </c>
      <c r="D1819" s="149">
        <v>440</v>
      </c>
      <c r="E1819" s="149">
        <v>0</v>
      </c>
      <c r="F1819" s="149">
        <v>493032</v>
      </c>
      <c r="G1819" s="149">
        <v>52400</v>
      </c>
      <c r="H1819" s="150" t="str">
        <f t="shared" si="84"/>
        <v>5</v>
      </c>
      <c r="I1819" s="150" t="str">
        <f t="shared" si="85"/>
        <v>52</v>
      </c>
      <c r="J1819" s="150" t="str">
        <f t="shared" si="86"/>
        <v>524</v>
      </c>
      <c r="K1819" s="150" t="s">
        <v>7892</v>
      </c>
      <c r="L1819" s="149" t="s">
        <v>3209</v>
      </c>
      <c r="M1819" s="151">
        <v>0</v>
      </c>
    </row>
    <row r="1820" spans="1:13" s="149" customFormat="1" x14ac:dyDescent="0.25">
      <c r="A1820" s="149" t="s">
        <v>7639</v>
      </c>
      <c r="B1820" s="149" t="s">
        <v>3210</v>
      </c>
      <c r="C1820" s="149">
        <v>11</v>
      </c>
      <c r="D1820" s="149">
        <v>440</v>
      </c>
      <c r="E1820" s="149">
        <v>0</v>
      </c>
      <c r="F1820" s="149">
        <v>493032</v>
      </c>
      <c r="G1820" s="149">
        <v>52420</v>
      </c>
      <c r="H1820" s="150" t="str">
        <f t="shared" si="84"/>
        <v>5</v>
      </c>
      <c r="I1820" s="150" t="str">
        <f t="shared" si="85"/>
        <v>52</v>
      </c>
      <c r="J1820" s="150" t="str">
        <f t="shared" si="86"/>
        <v>524</v>
      </c>
      <c r="K1820" s="150" t="s">
        <v>7895</v>
      </c>
      <c r="L1820" s="149" t="s">
        <v>3211</v>
      </c>
      <c r="M1820" s="151">
        <v>1500</v>
      </c>
    </row>
    <row r="1821" spans="1:13" s="149" customFormat="1" x14ac:dyDescent="0.25">
      <c r="A1821" s="149" t="s">
        <v>7639</v>
      </c>
      <c r="B1821" s="149" t="s">
        <v>3212</v>
      </c>
      <c r="C1821" s="149">
        <v>11</v>
      </c>
      <c r="D1821" s="149">
        <v>440</v>
      </c>
      <c r="E1821" s="149">
        <v>0</v>
      </c>
      <c r="F1821" s="149">
        <v>493032</v>
      </c>
      <c r="G1821" s="149">
        <v>53110</v>
      </c>
      <c r="H1821" s="150" t="str">
        <f t="shared" si="84"/>
        <v>5</v>
      </c>
      <c r="I1821" s="150" t="str">
        <f t="shared" si="85"/>
        <v>53</v>
      </c>
      <c r="J1821" s="150" t="str">
        <f t="shared" si="86"/>
        <v>531</v>
      </c>
      <c r="K1821" s="150" t="s">
        <v>9502</v>
      </c>
      <c r="L1821" s="149" t="s">
        <v>3213</v>
      </c>
      <c r="M1821" s="151">
        <v>807.5</v>
      </c>
    </row>
    <row r="1822" spans="1:13" s="149" customFormat="1" x14ac:dyDescent="0.25">
      <c r="A1822" s="149" t="s">
        <v>7639</v>
      </c>
      <c r="B1822" s="149" t="s">
        <v>3214</v>
      </c>
      <c r="C1822" s="149">
        <v>11</v>
      </c>
      <c r="D1822" s="149">
        <v>440</v>
      </c>
      <c r="E1822" s="149">
        <v>0</v>
      </c>
      <c r="F1822" s="149">
        <v>493032</v>
      </c>
      <c r="G1822" s="149">
        <v>53120</v>
      </c>
      <c r="H1822" s="150" t="str">
        <f t="shared" si="84"/>
        <v>5</v>
      </c>
      <c r="I1822" s="150" t="str">
        <f t="shared" si="85"/>
        <v>53</v>
      </c>
      <c r="J1822" s="150" t="str">
        <f t="shared" si="86"/>
        <v>531</v>
      </c>
      <c r="K1822" s="150" t="s">
        <v>9503</v>
      </c>
      <c r="L1822" s="149" t="s">
        <v>3215</v>
      </c>
      <c r="M1822" s="151">
        <v>11929.33</v>
      </c>
    </row>
    <row r="1823" spans="1:13" s="149" customFormat="1" x14ac:dyDescent="0.25">
      <c r="A1823" s="149" t="s">
        <v>7639</v>
      </c>
      <c r="B1823" s="149" t="s">
        <v>3216</v>
      </c>
      <c r="C1823" s="149">
        <v>11</v>
      </c>
      <c r="D1823" s="149">
        <v>440</v>
      </c>
      <c r="E1823" s="149">
        <v>0</v>
      </c>
      <c r="F1823" s="149">
        <v>493032</v>
      </c>
      <c r="G1823" s="149">
        <v>53310</v>
      </c>
      <c r="H1823" s="150" t="str">
        <f t="shared" si="84"/>
        <v>5</v>
      </c>
      <c r="I1823" s="150" t="str">
        <f t="shared" si="85"/>
        <v>53</v>
      </c>
      <c r="J1823" s="150" t="str">
        <f t="shared" si="86"/>
        <v>533</v>
      </c>
      <c r="K1823" s="150" t="s">
        <v>9504</v>
      </c>
      <c r="L1823" s="149" t="s">
        <v>3217</v>
      </c>
      <c r="M1823" s="151">
        <v>0</v>
      </c>
    </row>
    <row r="1824" spans="1:13" s="149" customFormat="1" x14ac:dyDescent="0.25">
      <c r="A1824" s="149" t="s">
        <v>7639</v>
      </c>
      <c r="B1824" s="149" t="s">
        <v>3218</v>
      </c>
      <c r="C1824" s="149">
        <v>11</v>
      </c>
      <c r="D1824" s="149">
        <v>440</v>
      </c>
      <c r="E1824" s="149">
        <v>0</v>
      </c>
      <c r="F1824" s="149">
        <v>493032</v>
      </c>
      <c r="G1824" s="149">
        <v>53320</v>
      </c>
      <c r="H1824" s="150" t="str">
        <f t="shared" si="84"/>
        <v>5</v>
      </c>
      <c r="I1824" s="150" t="str">
        <f t="shared" si="85"/>
        <v>53</v>
      </c>
      <c r="J1824" s="150" t="str">
        <f t="shared" si="86"/>
        <v>533</v>
      </c>
      <c r="K1824" s="150" t="s">
        <v>9505</v>
      </c>
      <c r="L1824" s="149" t="s">
        <v>3219</v>
      </c>
      <c r="M1824" s="151">
        <v>0</v>
      </c>
    </row>
    <row r="1825" spans="1:13" s="149" customFormat="1" x14ac:dyDescent="0.25">
      <c r="A1825" s="149" t="s">
        <v>7639</v>
      </c>
      <c r="B1825" s="149" t="s">
        <v>3220</v>
      </c>
      <c r="C1825" s="149">
        <v>11</v>
      </c>
      <c r="D1825" s="149">
        <v>440</v>
      </c>
      <c r="E1825" s="149">
        <v>0</v>
      </c>
      <c r="F1825" s="149">
        <v>493032</v>
      </c>
      <c r="G1825" s="149">
        <v>53330</v>
      </c>
      <c r="H1825" s="150" t="str">
        <f t="shared" si="84"/>
        <v>5</v>
      </c>
      <c r="I1825" s="150" t="str">
        <f t="shared" si="85"/>
        <v>53</v>
      </c>
      <c r="J1825" s="150" t="str">
        <f t="shared" si="86"/>
        <v>533</v>
      </c>
      <c r="K1825" s="150" t="s">
        <v>9506</v>
      </c>
      <c r="L1825" s="149" t="s">
        <v>3221</v>
      </c>
      <c r="M1825" s="151">
        <v>72.5</v>
      </c>
    </row>
    <row r="1826" spans="1:13" s="149" customFormat="1" x14ac:dyDescent="0.25">
      <c r="A1826" s="149" t="s">
        <v>7639</v>
      </c>
      <c r="B1826" s="149" t="s">
        <v>3222</v>
      </c>
      <c r="C1826" s="149">
        <v>11</v>
      </c>
      <c r="D1826" s="149">
        <v>440</v>
      </c>
      <c r="E1826" s="149">
        <v>0</v>
      </c>
      <c r="F1826" s="149">
        <v>493032</v>
      </c>
      <c r="G1826" s="149">
        <v>53340</v>
      </c>
      <c r="H1826" s="150" t="str">
        <f t="shared" si="84"/>
        <v>5</v>
      </c>
      <c r="I1826" s="150" t="str">
        <f t="shared" si="85"/>
        <v>53</v>
      </c>
      <c r="J1826" s="150" t="str">
        <f t="shared" si="86"/>
        <v>533</v>
      </c>
      <c r="K1826" s="150" t="s">
        <v>9507</v>
      </c>
      <c r="L1826" s="149" t="s">
        <v>3223</v>
      </c>
      <c r="M1826" s="151">
        <v>1071.06</v>
      </c>
    </row>
    <row r="1827" spans="1:13" s="149" customFormat="1" x14ac:dyDescent="0.25">
      <c r="A1827" s="149" t="s">
        <v>7639</v>
      </c>
      <c r="B1827" s="149" t="s">
        <v>3224</v>
      </c>
      <c r="C1827" s="149">
        <v>11</v>
      </c>
      <c r="D1827" s="149">
        <v>440</v>
      </c>
      <c r="E1827" s="149">
        <v>0</v>
      </c>
      <c r="F1827" s="149">
        <v>493032</v>
      </c>
      <c r="G1827" s="149">
        <v>53420</v>
      </c>
      <c r="H1827" s="150" t="str">
        <f t="shared" si="84"/>
        <v>5</v>
      </c>
      <c r="I1827" s="150" t="str">
        <f t="shared" si="85"/>
        <v>53</v>
      </c>
      <c r="J1827" s="150" t="str">
        <f t="shared" si="86"/>
        <v>534</v>
      </c>
      <c r="K1827" s="150" t="s">
        <v>9508</v>
      </c>
      <c r="L1827" s="149" t="s">
        <v>3225</v>
      </c>
      <c r="M1827" s="151">
        <v>7884.97</v>
      </c>
    </row>
    <row r="1828" spans="1:13" s="149" customFormat="1" x14ac:dyDescent="0.25">
      <c r="A1828" s="149" t="s">
        <v>7639</v>
      </c>
      <c r="B1828" s="149" t="s">
        <v>3226</v>
      </c>
      <c r="C1828" s="149">
        <v>11</v>
      </c>
      <c r="D1828" s="149">
        <v>440</v>
      </c>
      <c r="E1828" s="149">
        <v>0</v>
      </c>
      <c r="F1828" s="149">
        <v>493032</v>
      </c>
      <c r="G1828" s="149">
        <v>53510</v>
      </c>
      <c r="H1828" s="150" t="str">
        <f t="shared" si="84"/>
        <v>5</v>
      </c>
      <c r="I1828" s="150" t="str">
        <f t="shared" si="85"/>
        <v>53</v>
      </c>
      <c r="J1828" s="150" t="str">
        <f t="shared" si="86"/>
        <v>535</v>
      </c>
      <c r="K1828" s="150" t="s">
        <v>9509</v>
      </c>
      <c r="L1828" s="149" t="s">
        <v>3227</v>
      </c>
      <c r="M1828" s="151">
        <v>2.5</v>
      </c>
    </row>
    <row r="1829" spans="1:13" s="149" customFormat="1" x14ac:dyDescent="0.25">
      <c r="A1829" s="149" t="s">
        <v>7639</v>
      </c>
      <c r="B1829" s="149" t="s">
        <v>3228</v>
      </c>
      <c r="C1829" s="149">
        <v>11</v>
      </c>
      <c r="D1829" s="149">
        <v>440</v>
      </c>
      <c r="E1829" s="149">
        <v>0</v>
      </c>
      <c r="F1829" s="149">
        <v>493032</v>
      </c>
      <c r="G1829" s="149">
        <v>53520</v>
      </c>
      <c r="H1829" s="150" t="str">
        <f t="shared" si="84"/>
        <v>5</v>
      </c>
      <c r="I1829" s="150" t="str">
        <f t="shared" si="85"/>
        <v>53</v>
      </c>
      <c r="J1829" s="150" t="str">
        <f t="shared" si="86"/>
        <v>535</v>
      </c>
      <c r="K1829" s="150" t="s">
        <v>9510</v>
      </c>
      <c r="L1829" s="149" t="s">
        <v>3229</v>
      </c>
      <c r="M1829" s="151">
        <v>36.94</v>
      </c>
    </row>
    <row r="1830" spans="1:13" s="149" customFormat="1" x14ac:dyDescent="0.25">
      <c r="A1830" s="149" t="s">
        <v>7639</v>
      </c>
      <c r="B1830" s="149" t="s">
        <v>3230</v>
      </c>
      <c r="C1830" s="149">
        <v>11</v>
      </c>
      <c r="D1830" s="149">
        <v>440</v>
      </c>
      <c r="E1830" s="149">
        <v>0</v>
      </c>
      <c r="F1830" s="149">
        <v>493032</v>
      </c>
      <c r="G1830" s="149">
        <v>53610</v>
      </c>
      <c r="H1830" s="150" t="str">
        <f t="shared" si="84"/>
        <v>5</v>
      </c>
      <c r="I1830" s="150" t="str">
        <f t="shared" si="85"/>
        <v>53</v>
      </c>
      <c r="J1830" s="150" t="str">
        <f t="shared" si="86"/>
        <v>536</v>
      </c>
      <c r="K1830" s="150" t="s">
        <v>9511</v>
      </c>
      <c r="L1830" s="149" t="s">
        <v>3231</v>
      </c>
      <c r="M1830" s="151">
        <v>122.9</v>
      </c>
    </row>
    <row r="1831" spans="1:13" s="149" customFormat="1" x14ac:dyDescent="0.25">
      <c r="A1831" s="149" t="s">
        <v>7639</v>
      </c>
      <c r="B1831" s="149" t="s">
        <v>3232</v>
      </c>
      <c r="C1831" s="149">
        <v>11</v>
      </c>
      <c r="D1831" s="149">
        <v>440</v>
      </c>
      <c r="E1831" s="149">
        <v>0</v>
      </c>
      <c r="F1831" s="149">
        <v>493032</v>
      </c>
      <c r="G1831" s="149">
        <v>53620</v>
      </c>
      <c r="H1831" s="150" t="str">
        <f t="shared" si="84"/>
        <v>5</v>
      </c>
      <c r="I1831" s="150" t="str">
        <f t="shared" si="85"/>
        <v>53</v>
      </c>
      <c r="J1831" s="150" t="str">
        <f t="shared" si="86"/>
        <v>536</v>
      </c>
      <c r="K1831" s="150" t="s">
        <v>9512</v>
      </c>
      <c r="L1831" s="149" t="s">
        <v>3233</v>
      </c>
      <c r="M1831" s="151">
        <v>1396.66</v>
      </c>
    </row>
    <row r="1832" spans="1:13" s="149" customFormat="1" x14ac:dyDescent="0.25">
      <c r="A1832" s="149" t="s">
        <v>7639</v>
      </c>
      <c r="B1832" s="149" t="s">
        <v>3234</v>
      </c>
      <c r="C1832" s="149">
        <v>11</v>
      </c>
      <c r="D1832" s="149">
        <v>440</v>
      </c>
      <c r="E1832" s="149">
        <v>0</v>
      </c>
      <c r="F1832" s="149">
        <v>493032</v>
      </c>
      <c r="G1832" s="149">
        <v>54300</v>
      </c>
      <c r="H1832" s="150" t="str">
        <f t="shared" si="84"/>
        <v>5</v>
      </c>
      <c r="I1832" s="150" t="str">
        <f t="shared" si="85"/>
        <v>54</v>
      </c>
      <c r="J1832" s="150" t="str">
        <f t="shared" si="86"/>
        <v>543</v>
      </c>
      <c r="K1832" s="150" t="s">
        <v>7981</v>
      </c>
      <c r="L1832" s="149" t="s">
        <v>3235</v>
      </c>
      <c r="M1832" s="151">
        <v>1500</v>
      </c>
    </row>
    <row r="1833" spans="1:13" s="149" customFormat="1" x14ac:dyDescent="0.25">
      <c r="A1833" s="149" t="s">
        <v>7639</v>
      </c>
      <c r="B1833" s="149" t="s">
        <v>3236</v>
      </c>
      <c r="C1833" s="149">
        <v>11</v>
      </c>
      <c r="D1833" s="149">
        <v>440</v>
      </c>
      <c r="E1833" s="149">
        <v>0</v>
      </c>
      <c r="F1833" s="149">
        <v>493032</v>
      </c>
      <c r="G1833" s="149">
        <v>55105</v>
      </c>
      <c r="H1833" s="150" t="str">
        <f t="shared" si="84"/>
        <v>5</v>
      </c>
      <c r="I1833" s="150" t="str">
        <f t="shared" si="85"/>
        <v>55</v>
      </c>
      <c r="J1833" s="150" t="str">
        <f t="shared" si="86"/>
        <v>551</v>
      </c>
      <c r="K1833" s="150" t="s">
        <v>8021</v>
      </c>
      <c r="L1833" s="149" t="s">
        <v>3237</v>
      </c>
      <c r="M1833" s="151">
        <v>12000</v>
      </c>
    </row>
    <row r="1834" spans="1:13" s="149" customFormat="1" x14ac:dyDescent="0.25">
      <c r="A1834" s="149" t="s">
        <v>7639</v>
      </c>
      <c r="B1834" s="149" t="s">
        <v>3238</v>
      </c>
      <c r="C1834" s="149">
        <v>11</v>
      </c>
      <c r="D1834" s="149">
        <v>440</v>
      </c>
      <c r="E1834" s="149">
        <v>0</v>
      </c>
      <c r="F1834" s="149">
        <v>493032</v>
      </c>
      <c r="G1834" s="149">
        <v>55200</v>
      </c>
      <c r="H1834" s="150" t="str">
        <f t="shared" si="84"/>
        <v>5</v>
      </c>
      <c r="I1834" s="150" t="str">
        <f t="shared" si="85"/>
        <v>55</v>
      </c>
      <c r="J1834" s="150" t="str">
        <f t="shared" si="86"/>
        <v>552</v>
      </c>
      <c r="K1834" s="150" t="s">
        <v>8070</v>
      </c>
      <c r="L1834" s="149" t="s">
        <v>3239</v>
      </c>
      <c r="M1834" s="151">
        <v>0</v>
      </c>
    </row>
    <row r="1835" spans="1:13" s="149" customFormat="1" x14ac:dyDescent="0.25">
      <c r="A1835" s="149" t="s">
        <v>7639</v>
      </c>
      <c r="B1835" s="149" t="s">
        <v>3240</v>
      </c>
      <c r="C1835" s="149">
        <v>11</v>
      </c>
      <c r="D1835" s="149">
        <v>440</v>
      </c>
      <c r="E1835" s="149">
        <v>0</v>
      </c>
      <c r="F1835" s="149">
        <v>493032</v>
      </c>
      <c r="G1835" s="149">
        <v>55309</v>
      </c>
      <c r="H1835" s="150" t="str">
        <f t="shared" si="84"/>
        <v>5</v>
      </c>
      <c r="I1835" s="150" t="str">
        <f t="shared" si="85"/>
        <v>55</v>
      </c>
      <c r="J1835" s="150" t="str">
        <f t="shared" si="86"/>
        <v>553</v>
      </c>
      <c r="K1835" s="150" t="s">
        <v>8112</v>
      </c>
      <c r="L1835" s="149" t="s">
        <v>3241</v>
      </c>
      <c r="M1835" s="151">
        <v>500</v>
      </c>
    </row>
    <row r="1836" spans="1:13" s="149" customFormat="1" x14ac:dyDescent="0.25">
      <c r="A1836" s="149" t="s">
        <v>7639</v>
      </c>
      <c r="B1836" s="149" t="s">
        <v>3242</v>
      </c>
      <c r="C1836" s="149">
        <v>11</v>
      </c>
      <c r="D1836" s="149">
        <v>440</v>
      </c>
      <c r="E1836" s="149">
        <v>0</v>
      </c>
      <c r="F1836" s="149">
        <v>493032</v>
      </c>
      <c r="G1836" s="149">
        <v>55630</v>
      </c>
      <c r="H1836" s="150" t="str">
        <f t="shared" si="84"/>
        <v>5</v>
      </c>
      <c r="I1836" s="150" t="str">
        <f t="shared" si="85"/>
        <v>55</v>
      </c>
      <c r="J1836" s="150" t="str">
        <f t="shared" si="86"/>
        <v>556</v>
      </c>
      <c r="K1836" s="150" t="s">
        <v>8272</v>
      </c>
      <c r="L1836" s="149" t="s">
        <v>3243</v>
      </c>
      <c r="M1836" s="151">
        <v>250</v>
      </c>
    </row>
    <row r="1837" spans="1:13" s="149" customFormat="1" x14ac:dyDescent="0.25">
      <c r="A1837" s="149" t="s">
        <v>7639</v>
      </c>
      <c r="B1837" s="149" t="s">
        <v>3244</v>
      </c>
      <c r="C1837" s="149">
        <v>11</v>
      </c>
      <c r="D1837" s="149">
        <v>440</v>
      </c>
      <c r="E1837" s="149">
        <v>0</v>
      </c>
      <c r="F1837" s="149">
        <v>701021</v>
      </c>
      <c r="G1837" s="149">
        <v>55105</v>
      </c>
      <c r="H1837" s="150" t="str">
        <f t="shared" si="84"/>
        <v>5</v>
      </c>
      <c r="I1837" s="150" t="str">
        <f t="shared" si="85"/>
        <v>55</v>
      </c>
      <c r="J1837" s="150" t="str">
        <f t="shared" si="86"/>
        <v>551</v>
      </c>
      <c r="K1837" s="150" t="s">
        <v>8022</v>
      </c>
      <c r="L1837" s="149" t="s">
        <v>3245</v>
      </c>
      <c r="M1837" s="151">
        <v>47500</v>
      </c>
    </row>
    <row r="1838" spans="1:13" s="149" customFormat="1" x14ac:dyDescent="0.25">
      <c r="A1838" s="149" t="s">
        <v>7639</v>
      </c>
      <c r="B1838" s="149" t="s">
        <v>3246</v>
      </c>
      <c r="C1838" s="149">
        <v>11</v>
      </c>
      <c r="D1838" s="149">
        <v>500</v>
      </c>
      <c r="E1838" s="149">
        <v>0</v>
      </c>
      <c r="F1838" s="149">
        <v>673000</v>
      </c>
      <c r="G1838" s="149">
        <v>52120</v>
      </c>
      <c r="H1838" s="150" t="str">
        <f t="shared" si="84"/>
        <v>5</v>
      </c>
      <c r="I1838" s="150" t="str">
        <f t="shared" si="85"/>
        <v>52</v>
      </c>
      <c r="J1838" s="150" t="str">
        <f t="shared" si="86"/>
        <v>521</v>
      </c>
      <c r="K1838" s="150" t="s">
        <v>9513</v>
      </c>
      <c r="L1838" s="149" t="s">
        <v>3247</v>
      </c>
      <c r="M1838" s="151">
        <v>384174.5</v>
      </c>
    </row>
    <row r="1839" spans="1:13" s="149" customFormat="1" x14ac:dyDescent="0.25">
      <c r="A1839" s="149" t="s">
        <v>7639</v>
      </c>
      <c r="B1839" s="149" t="s">
        <v>3248</v>
      </c>
      <c r="C1839" s="149">
        <v>11</v>
      </c>
      <c r="D1839" s="149">
        <v>500</v>
      </c>
      <c r="E1839" s="149">
        <v>0</v>
      </c>
      <c r="F1839" s="149">
        <v>673000</v>
      </c>
      <c r="G1839" s="149">
        <v>52130</v>
      </c>
      <c r="H1839" s="150" t="str">
        <f t="shared" si="84"/>
        <v>5</v>
      </c>
      <c r="I1839" s="150" t="str">
        <f t="shared" si="85"/>
        <v>52</v>
      </c>
      <c r="J1839" s="150" t="str">
        <f t="shared" si="86"/>
        <v>521</v>
      </c>
      <c r="K1839" s="150" t="s">
        <v>9514</v>
      </c>
      <c r="L1839" s="149" t="s">
        <v>3249</v>
      </c>
      <c r="M1839" s="151">
        <v>163297</v>
      </c>
    </row>
    <row r="1840" spans="1:13" s="149" customFormat="1" x14ac:dyDescent="0.25">
      <c r="A1840" s="149" t="s">
        <v>7639</v>
      </c>
      <c r="B1840" s="149" t="s">
        <v>3250</v>
      </c>
      <c r="C1840" s="149">
        <v>11</v>
      </c>
      <c r="D1840" s="149">
        <v>500</v>
      </c>
      <c r="E1840" s="149">
        <v>0</v>
      </c>
      <c r="F1840" s="149">
        <v>673000</v>
      </c>
      <c r="G1840" s="149">
        <v>52300</v>
      </c>
      <c r="H1840" s="150" t="str">
        <f t="shared" si="84"/>
        <v>5</v>
      </c>
      <c r="I1840" s="150" t="str">
        <f t="shared" si="85"/>
        <v>52</v>
      </c>
      <c r="J1840" s="150" t="str">
        <f t="shared" si="86"/>
        <v>523</v>
      </c>
      <c r="K1840" s="150" t="s">
        <v>7842</v>
      </c>
      <c r="L1840" s="149" t="s">
        <v>3251</v>
      </c>
      <c r="M1840" s="151">
        <v>3300</v>
      </c>
    </row>
    <row r="1841" spans="1:13" s="149" customFormat="1" x14ac:dyDescent="0.25">
      <c r="A1841" s="149" t="s">
        <v>7639</v>
      </c>
      <c r="B1841" s="149" t="s">
        <v>3252</v>
      </c>
      <c r="C1841" s="149">
        <v>11</v>
      </c>
      <c r="D1841" s="149">
        <v>500</v>
      </c>
      <c r="E1841" s="149">
        <v>0</v>
      </c>
      <c r="F1841" s="149">
        <v>673000</v>
      </c>
      <c r="G1841" s="149">
        <v>52360</v>
      </c>
      <c r="H1841" s="150" t="str">
        <f t="shared" si="84"/>
        <v>5</v>
      </c>
      <c r="I1841" s="150" t="str">
        <f t="shared" si="85"/>
        <v>52</v>
      </c>
      <c r="J1841" s="150" t="str">
        <f t="shared" si="86"/>
        <v>523</v>
      </c>
      <c r="K1841" s="150" t="s">
        <v>7885</v>
      </c>
      <c r="L1841" s="149" t="s">
        <v>3253</v>
      </c>
      <c r="M1841" s="151">
        <v>6500</v>
      </c>
    </row>
    <row r="1842" spans="1:13" s="149" customFormat="1" x14ac:dyDescent="0.25">
      <c r="A1842" s="149" t="s">
        <v>7639</v>
      </c>
      <c r="B1842" s="149" t="s">
        <v>3254</v>
      </c>
      <c r="C1842" s="149">
        <v>11</v>
      </c>
      <c r="D1842" s="149">
        <v>500</v>
      </c>
      <c r="E1842" s="149">
        <v>0</v>
      </c>
      <c r="F1842" s="149">
        <v>673000</v>
      </c>
      <c r="G1842" s="149">
        <v>53220</v>
      </c>
      <c r="H1842" s="150" t="str">
        <f t="shared" si="84"/>
        <v>5</v>
      </c>
      <c r="I1842" s="150" t="str">
        <f t="shared" si="85"/>
        <v>53</v>
      </c>
      <c r="J1842" s="150" t="str">
        <f t="shared" si="86"/>
        <v>532</v>
      </c>
      <c r="K1842" s="150" t="s">
        <v>9515</v>
      </c>
      <c r="L1842" s="149" t="s">
        <v>3255</v>
      </c>
      <c r="M1842" s="151">
        <v>113326.6</v>
      </c>
    </row>
    <row r="1843" spans="1:13" s="149" customFormat="1" x14ac:dyDescent="0.25">
      <c r="A1843" s="149" t="s">
        <v>7639</v>
      </c>
      <c r="B1843" s="149" t="s">
        <v>3256</v>
      </c>
      <c r="C1843" s="149">
        <v>11</v>
      </c>
      <c r="D1843" s="149">
        <v>500</v>
      </c>
      <c r="E1843" s="149">
        <v>0</v>
      </c>
      <c r="F1843" s="149">
        <v>673000</v>
      </c>
      <c r="G1843" s="149">
        <v>53320</v>
      </c>
      <c r="H1843" s="150" t="str">
        <f t="shared" si="84"/>
        <v>5</v>
      </c>
      <c r="I1843" s="150" t="str">
        <f t="shared" si="85"/>
        <v>53</v>
      </c>
      <c r="J1843" s="150" t="str">
        <f t="shared" si="86"/>
        <v>533</v>
      </c>
      <c r="K1843" s="150" t="s">
        <v>9516</v>
      </c>
      <c r="L1843" s="149" t="s">
        <v>3257</v>
      </c>
      <c r="M1843" s="151">
        <v>34550.83</v>
      </c>
    </row>
    <row r="1844" spans="1:13" s="149" customFormat="1" x14ac:dyDescent="0.25">
      <c r="A1844" s="149" t="s">
        <v>7639</v>
      </c>
      <c r="B1844" s="149" t="s">
        <v>3258</v>
      </c>
      <c r="C1844" s="149">
        <v>11</v>
      </c>
      <c r="D1844" s="149">
        <v>500</v>
      </c>
      <c r="E1844" s="149">
        <v>0</v>
      </c>
      <c r="F1844" s="149">
        <v>673000</v>
      </c>
      <c r="G1844" s="149">
        <v>53340</v>
      </c>
      <c r="H1844" s="150" t="str">
        <f t="shared" si="84"/>
        <v>5</v>
      </c>
      <c r="I1844" s="150" t="str">
        <f t="shared" si="85"/>
        <v>53</v>
      </c>
      <c r="J1844" s="150" t="str">
        <f t="shared" si="86"/>
        <v>533</v>
      </c>
      <c r="K1844" s="150" t="s">
        <v>9517</v>
      </c>
      <c r="L1844" s="149" t="s">
        <v>3259</v>
      </c>
      <c r="M1844" s="151">
        <v>8080.44</v>
      </c>
    </row>
    <row r="1845" spans="1:13" s="149" customFormat="1" x14ac:dyDescent="0.25">
      <c r="A1845" s="149" t="s">
        <v>7639</v>
      </c>
      <c r="B1845" s="149" t="s">
        <v>3260</v>
      </c>
      <c r="C1845" s="149">
        <v>11</v>
      </c>
      <c r="D1845" s="149">
        <v>500</v>
      </c>
      <c r="E1845" s="149">
        <v>0</v>
      </c>
      <c r="F1845" s="149">
        <v>673000</v>
      </c>
      <c r="G1845" s="149">
        <v>53420</v>
      </c>
      <c r="H1845" s="150" t="str">
        <f t="shared" si="84"/>
        <v>5</v>
      </c>
      <c r="I1845" s="150" t="str">
        <f t="shared" si="85"/>
        <v>53</v>
      </c>
      <c r="J1845" s="150" t="str">
        <f t="shared" si="86"/>
        <v>534</v>
      </c>
      <c r="K1845" s="150" t="s">
        <v>9518</v>
      </c>
      <c r="L1845" s="149" t="s">
        <v>3261</v>
      </c>
      <c r="M1845" s="151">
        <v>130836.34</v>
      </c>
    </row>
    <row r="1846" spans="1:13" s="149" customFormat="1" x14ac:dyDescent="0.25">
      <c r="A1846" s="149" t="s">
        <v>7639</v>
      </c>
      <c r="B1846" s="149" t="s">
        <v>3262</v>
      </c>
      <c r="C1846" s="149">
        <v>11</v>
      </c>
      <c r="D1846" s="149">
        <v>500</v>
      </c>
      <c r="E1846" s="149">
        <v>0</v>
      </c>
      <c r="F1846" s="149">
        <v>673000</v>
      </c>
      <c r="G1846" s="149">
        <v>53520</v>
      </c>
      <c r="H1846" s="150" t="str">
        <f t="shared" si="84"/>
        <v>5</v>
      </c>
      <c r="I1846" s="150" t="str">
        <f t="shared" si="85"/>
        <v>53</v>
      </c>
      <c r="J1846" s="150" t="str">
        <f t="shared" si="86"/>
        <v>535</v>
      </c>
      <c r="K1846" s="150" t="s">
        <v>9519</v>
      </c>
      <c r="L1846" s="149" t="s">
        <v>3263</v>
      </c>
      <c r="M1846" s="151">
        <v>278.63</v>
      </c>
    </row>
    <row r="1847" spans="1:13" s="149" customFormat="1" x14ac:dyDescent="0.25">
      <c r="A1847" s="149" t="s">
        <v>7639</v>
      </c>
      <c r="B1847" s="149" t="s">
        <v>3264</v>
      </c>
      <c r="C1847" s="149">
        <v>11</v>
      </c>
      <c r="D1847" s="149">
        <v>500</v>
      </c>
      <c r="E1847" s="149">
        <v>0</v>
      </c>
      <c r="F1847" s="149">
        <v>673000</v>
      </c>
      <c r="G1847" s="149">
        <v>53620</v>
      </c>
      <c r="H1847" s="150" t="str">
        <f t="shared" si="84"/>
        <v>5</v>
      </c>
      <c r="I1847" s="150" t="str">
        <f t="shared" si="85"/>
        <v>53</v>
      </c>
      <c r="J1847" s="150" t="str">
        <f t="shared" si="86"/>
        <v>536</v>
      </c>
      <c r="K1847" s="150" t="s">
        <v>9520</v>
      </c>
      <c r="L1847" s="149" t="s">
        <v>3265</v>
      </c>
      <c r="M1847" s="151">
        <v>10536.9</v>
      </c>
    </row>
    <row r="1848" spans="1:13" s="149" customFormat="1" x14ac:dyDescent="0.25">
      <c r="A1848" s="149" t="s">
        <v>7639</v>
      </c>
      <c r="B1848" s="149" t="s">
        <v>3266</v>
      </c>
      <c r="C1848" s="149">
        <v>11</v>
      </c>
      <c r="D1848" s="149">
        <v>500</v>
      </c>
      <c r="E1848" s="149">
        <v>0</v>
      </c>
      <c r="F1848" s="149">
        <v>673000</v>
      </c>
      <c r="G1848" s="149">
        <v>53920</v>
      </c>
      <c r="H1848" s="150" t="str">
        <f t="shared" si="84"/>
        <v>5</v>
      </c>
      <c r="I1848" s="150" t="str">
        <f t="shared" si="85"/>
        <v>53</v>
      </c>
      <c r="J1848" s="150" t="str">
        <f t="shared" si="86"/>
        <v>539</v>
      </c>
      <c r="K1848" s="150" t="s">
        <v>9521</v>
      </c>
      <c r="L1848" s="149" t="s">
        <v>3267</v>
      </c>
      <c r="M1848" s="151">
        <v>9600</v>
      </c>
    </row>
    <row r="1849" spans="1:13" s="149" customFormat="1" x14ac:dyDescent="0.25">
      <c r="A1849" s="149" t="s">
        <v>7639</v>
      </c>
      <c r="B1849" s="149" t="s">
        <v>3268</v>
      </c>
      <c r="C1849" s="149">
        <v>11</v>
      </c>
      <c r="D1849" s="149">
        <v>500</v>
      </c>
      <c r="E1849" s="149">
        <v>0</v>
      </c>
      <c r="F1849" s="149">
        <v>673000</v>
      </c>
      <c r="G1849" s="149">
        <v>54300</v>
      </c>
      <c r="H1849" s="150" t="str">
        <f t="shared" si="84"/>
        <v>5</v>
      </c>
      <c r="I1849" s="150" t="str">
        <f t="shared" si="85"/>
        <v>54</v>
      </c>
      <c r="J1849" s="150" t="str">
        <f t="shared" si="86"/>
        <v>543</v>
      </c>
      <c r="K1849" s="150" t="s">
        <v>7982</v>
      </c>
      <c r="L1849" s="149" t="s">
        <v>3269</v>
      </c>
      <c r="M1849" s="151">
        <v>3500</v>
      </c>
    </row>
    <row r="1850" spans="1:13" s="149" customFormat="1" x14ac:dyDescent="0.25">
      <c r="A1850" s="149" t="s">
        <v>7639</v>
      </c>
      <c r="B1850" s="149" t="s">
        <v>3270</v>
      </c>
      <c r="C1850" s="149">
        <v>11</v>
      </c>
      <c r="D1850" s="149">
        <v>500</v>
      </c>
      <c r="E1850" s="149">
        <v>0</v>
      </c>
      <c r="F1850" s="149">
        <v>673000</v>
      </c>
      <c r="G1850" s="149">
        <v>55105</v>
      </c>
      <c r="H1850" s="150" t="str">
        <f t="shared" si="84"/>
        <v>5</v>
      </c>
      <c r="I1850" s="150" t="str">
        <f t="shared" si="85"/>
        <v>55</v>
      </c>
      <c r="J1850" s="150" t="str">
        <f t="shared" si="86"/>
        <v>551</v>
      </c>
      <c r="K1850" s="150" t="s">
        <v>8023</v>
      </c>
      <c r="L1850" s="149" t="s">
        <v>3271</v>
      </c>
      <c r="M1850" s="151">
        <v>2000</v>
      </c>
    </row>
    <row r="1851" spans="1:13" s="149" customFormat="1" x14ac:dyDescent="0.25">
      <c r="A1851" s="149" t="s">
        <v>7639</v>
      </c>
      <c r="B1851" s="149" t="s">
        <v>3272</v>
      </c>
      <c r="C1851" s="149">
        <v>11</v>
      </c>
      <c r="D1851" s="149">
        <v>500</v>
      </c>
      <c r="E1851" s="149">
        <v>0</v>
      </c>
      <c r="F1851" s="149">
        <v>673000</v>
      </c>
      <c r="G1851" s="149">
        <v>55125</v>
      </c>
      <c r="H1851" s="150" t="str">
        <f t="shared" si="84"/>
        <v>5</v>
      </c>
      <c r="I1851" s="150" t="str">
        <f t="shared" si="85"/>
        <v>55</v>
      </c>
      <c r="J1851" s="150" t="str">
        <f t="shared" si="86"/>
        <v>551</v>
      </c>
      <c r="K1851" s="150" t="s">
        <v>8034</v>
      </c>
      <c r="L1851" s="149" t="s">
        <v>3273</v>
      </c>
      <c r="M1851" s="151">
        <v>35000</v>
      </c>
    </row>
    <row r="1852" spans="1:13" s="149" customFormat="1" x14ac:dyDescent="0.25">
      <c r="A1852" s="149" t="s">
        <v>7639</v>
      </c>
      <c r="B1852" s="149" t="s">
        <v>3274</v>
      </c>
      <c r="C1852" s="149">
        <v>11</v>
      </c>
      <c r="D1852" s="149">
        <v>500</v>
      </c>
      <c r="E1852" s="149">
        <v>0</v>
      </c>
      <c r="F1852" s="149">
        <v>673000</v>
      </c>
      <c r="G1852" s="149">
        <v>55200</v>
      </c>
      <c r="H1852" s="150" t="str">
        <f t="shared" si="84"/>
        <v>5</v>
      </c>
      <c r="I1852" s="150" t="str">
        <f t="shared" si="85"/>
        <v>55</v>
      </c>
      <c r="J1852" s="150" t="str">
        <f t="shared" si="86"/>
        <v>552</v>
      </c>
      <c r="K1852" s="150" t="s">
        <v>8071</v>
      </c>
      <c r="L1852" s="149" t="s">
        <v>3275</v>
      </c>
      <c r="M1852" s="151">
        <v>0</v>
      </c>
    </row>
    <row r="1853" spans="1:13" s="149" customFormat="1" x14ac:dyDescent="0.25">
      <c r="A1853" s="149" t="s">
        <v>7639</v>
      </c>
      <c r="B1853" s="149" t="s">
        <v>3276</v>
      </c>
      <c r="C1853" s="149">
        <v>11</v>
      </c>
      <c r="D1853" s="149">
        <v>500</v>
      </c>
      <c r="E1853" s="149">
        <v>0</v>
      </c>
      <c r="F1853" s="149">
        <v>673000</v>
      </c>
      <c r="G1853" s="149">
        <v>55300</v>
      </c>
      <c r="H1853" s="150" t="str">
        <f t="shared" si="84"/>
        <v>5</v>
      </c>
      <c r="I1853" s="150" t="str">
        <f t="shared" si="85"/>
        <v>55</v>
      </c>
      <c r="J1853" s="150" t="str">
        <f t="shared" si="86"/>
        <v>553</v>
      </c>
      <c r="K1853" s="150" t="s">
        <v>8101</v>
      </c>
      <c r="L1853" s="149" t="s">
        <v>3277</v>
      </c>
      <c r="M1853" s="151">
        <v>2695</v>
      </c>
    </row>
    <row r="1854" spans="1:13" s="149" customFormat="1" x14ac:dyDescent="0.25">
      <c r="A1854" s="149" t="s">
        <v>7639</v>
      </c>
      <c r="B1854" s="149" t="s">
        <v>3278</v>
      </c>
      <c r="C1854" s="149">
        <v>11</v>
      </c>
      <c r="D1854" s="149">
        <v>500</v>
      </c>
      <c r="E1854" s="149">
        <v>0</v>
      </c>
      <c r="F1854" s="149">
        <v>673000</v>
      </c>
      <c r="G1854" s="149">
        <v>55625</v>
      </c>
      <c r="H1854" s="150" t="str">
        <f t="shared" si="84"/>
        <v>5</v>
      </c>
      <c r="I1854" s="150" t="str">
        <f t="shared" si="85"/>
        <v>55</v>
      </c>
      <c r="J1854" s="150" t="str">
        <f t="shared" si="86"/>
        <v>556</v>
      </c>
      <c r="K1854" s="150" t="s">
        <v>8158</v>
      </c>
      <c r="L1854" s="149" t="s">
        <v>3279</v>
      </c>
      <c r="M1854" s="151">
        <v>15000</v>
      </c>
    </row>
    <row r="1855" spans="1:13" s="149" customFormat="1" x14ac:dyDescent="0.25">
      <c r="A1855" s="149" t="s">
        <v>7639</v>
      </c>
      <c r="B1855" s="149" t="s">
        <v>3280</v>
      </c>
      <c r="C1855" s="149">
        <v>11</v>
      </c>
      <c r="D1855" s="149">
        <v>500</v>
      </c>
      <c r="E1855" s="149">
        <v>0</v>
      </c>
      <c r="F1855" s="149">
        <v>673000</v>
      </c>
      <c r="G1855" s="149">
        <v>55630</v>
      </c>
      <c r="H1855" s="150" t="str">
        <f t="shared" si="84"/>
        <v>5</v>
      </c>
      <c r="I1855" s="150" t="str">
        <f t="shared" si="85"/>
        <v>55</v>
      </c>
      <c r="J1855" s="150" t="str">
        <f t="shared" si="86"/>
        <v>556</v>
      </c>
      <c r="K1855" s="150" t="s">
        <v>8273</v>
      </c>
      <c r="L1855" s="149" t="s">
        <v>3281</v>
      </c>
      <c r="M1855" s="151">
        <v>3000</v>
      </c>
    </row>
    <row r="1856" spans="1:13" s="149" customFormat="1" x14ac:dyDescent="0.25">
      <c r="A1856" s="149" t="s">
        <v>7639</v>
      </c>
      <c r="B1856" s="149" t="s">
        <v>3282</v>
      </c>
      <c r="C1856" s="149">
        <v>11</v>
      </c>
      <c r="D1856" s="149">
        <v>500</v>
      </c>
      <c r="E1856" s="149">
        <v>0</v>
      </c>
      <c r="F1856" s="149">
        <v>673000</v>
      </c>
      <c r="G1856" s="149">
        <v>55635</v>
      </c>
      <c r="H1856" s="150" t="str">
        <f t="shared" si="84"/>
        <v>5</v>
      </c>
      <c r="I1856" s="150" t="str">
        <f t="shared" si="85"/>
        <v>55</v>
      </c>
      <c r="J1856" s="150" t="str">
        <f t="shared" si="86"/>
        <v>556</v>
      </c>
      <c r="K1856" s="150" t="s">
        <v>8285</v>
      </c>
      <c r="L1856" s="149" t="s">
        <v>3283</v>
      </c>
      <c r="M1856" s="151">
        <v>200</v>
      </c>
    </row>
    <row r="1857" spans="1:13" s="149" customFormat="1" x14ac:dyDescent="0.25">
      <c r="A1857" s="149" t="s">
        <v>7639</v>
      </c>
      <c r="B1857" s="149" t="s">
        <v>3284</v>
      </c>
      <c r="C1857" s="149">
        <v>11</v>
      </c>
      <c r="D1857" s="149">
        <v>500</v>
      </c>
      <c r="E1857" s="149">
        <v>0</v>
      </c>
      <c r="F1857" s="149">
        <v>673000</v>
      </c>
      <c r="G1857" s="149">
        <v>55700</v>
      </c>
      <c r="H1857" s="150" t="str">
        <f t="shared" si="84"/>
        <v>5</v>
      </c>
      <c r="I1857" s="150" t="str">
        <f t="shared" si="85"/>
        <v>55</v>
      </c>
      <c r="J1857" s="150" t="str">
        <f t="shared" si="86"/>
        <v>557</v>
      </c>
      <c r="K1857" s="150" t="s">
        <v>8329</v>
      </c>
      <c r="L1857" s="149" t="s">
        <v>3285</v>
      </c>
      <c r="M1857" s="151">
        <v>75000</v>
      </c>
    </row>
    <row r="1858" spans="1:13" s="149" customFormat="1" x14ac:dyDescent="0.25">
      <c r="A1858" s="149" t="s">
        <v>7639</v>
      </c>
      <c r="B1858" s="149" t="s">
        <v>3286</v>
      </c>
      <c r="C1858" s="149">
        <v>11</v>
      </c>
      <c r="D1858" s="149">
        <v>500</v>
      </c>
      <c r="E1858" s="149">
        <v>0</v>
      </c>
      <c r="F1858" s="149">
        <v>673000</v>
      </c>
      <c r="G1858" s="149">
        <v>55825</v>
      </c>
      <c r="H1858" s="150" t="str">
        <f t="shared" si="84"/>
        <v>5</v>
      </c>
      <c r="I1858" s="150" t="str">
        <f t="shared" si="85"/>
        <v>55</v>
      </c>
      <c r="J1858" s="150" t="str">
        <f t="shared" si="86"/>
        <v>558</v>
      </c>
      <c r="K1858" s="150" t="s">
        <v>8346</v>
      </c>
      <c r="L1858" s="149" t="s">
        <v>3287</v>
      </c>
      <c r="M1858" s="151">
        <v>0</v>
      </c>
    </row>
    <row r="1859" spans="1:13" s="149" customFormat="1" x14ac:dyDescent="0.25">
      <c r="A1859" s="149" t="s">
        <v>7639</v>
      </c>
      <c r="B1859" s="149" t="s">
        <v>3288</v>
      </c>
      <c r="C1859" s="149">
        <v>11</v>
      </c>
      <c r="D1859" s="149">
        <v>500</v>
      </c>
      <c r="E1859" s="149">
        <v>0</v>
      </c>
      <c r="F1859" s="149">
        <v>673000</v>
      </c>
      <c r="G1859" s="149">
        <v>56400</v>
      </c>
      <c r="H1859" s="150" t="str">
        <f t="shared" ref="H1859:H1922" si="87">LEFT(G1859,1)</f>
        <v>5</v>
      </c>
      <c r="I1859" s="150" t="str">
        <f t="shared" ref="I1859:I1922" si="88">LEFT(G1859,2)</f>
        <v>56</v>
      </c>
      <c r="J1859" s="150" t="str">
        <f t="shared" ref="J1859:J1922" si="89">LEFT(G1859,3)</f>
        <v>564</v>
      </c>
      <c r="K1859" s="150" t="s">
        <v>8382</v>
      </c>
      <c r="L1859" s="149" t="s">
        <v>3289</v>
      </c>
      <c r="M1859" s="151">
        <v>6000</v>
      </c>
    </row>
    <row r="1860" spans="1:13" s="149" customFormat="1" x14ac:dyDescent="0.25">
      <c r="A1860" s="149" t="s">
        <v>7639</v>
      </c>
      <c r="B1860" s="149" t="s">
        <v>3290</v>
      </c>
      <c r="C1860" s="149">
        <v>11</v>
      </c>
      <c r="D1860" s="149">
        <v>600</v>
      </c>
      <c r="E1860" s="149">
        <v>0</v>
      </c>
      <c r="F1860" s="149">
        <v>678000</v>
      </c>
      <c r="G1860" s="149">
        <v>52105</v>
      </c>
      <c r="H1860" s="150" t="str">
        <f t="shared" si="87"/>
        <v>5</v>
      </c>
      <c r="I1860" s="150" t="str">
        <f t="shared" si="88"/>
        <v>52</v>
      </c>
      <c r="J1860" s="150" t="str">
        <f t="shared" si="89"/>
        <v>521</v>
      </c>
      <c r="K1860" s="150" t="s">
        <v>9522</v>
      </c>
      <c r="L1860" s="149" t="s">
        <v>3291</v>
      </c>
      <c r="M1860" s="151">
        <v>1213225.72</v>
      </c>
    </row>
    <row r="1861" spans="1:13" s="149" customFormat="1" x14ac:dyDescent="0.25">
      <c r="A1861" s="149" t="s">
        <v>7639</v>
      </c>
      <c r="B1861" s="149" t="s">
        <v>3292</v>
      </c>
      <c r="C1861" s="149">
        <v>11</v>
      </c>
      <c r="D1861" s="149">
        <v>600</v>
      </c>
      <c r="E1861" s="149">
        <v>0</v>
      </c>
      <c r="F1861" s="149">
        <v>678000</v>
      </c>
      <c r="G1861" s="149">
        <v>52130</v>
      </c>
      <c r="H1861" s="150" t="str">
        <f t="shared" si="87"/>
        <v>5</v>
      </c>
      <c r="I1861" s="150" t="str">
        <f t="shared" si="88"/>
        <v>52</v>
      </c>
      <c r="J1861" s="150" t="str">
        <f t="shared" si="89"/>
        <v>521</v>
      </c>
      <c r="K1861" s="150" t="s">
        <v>9523</v>
      </c>
      <c r="L1861" s="149" t="s">
        <v>3293</v>
      </c>
      <c r="M1861" s="151">
        <v>312113</v>
      </c>
    </row>
    <row r="1862" spans="1:13" s="149" customFormat="1" x14ac:dyDescent="0.25">
      <c r="A1862" s="149" t="s">
        <v>7639</v>
      </c>
      <c r="B1862" s="149" t="s">
        <v>3294</v>
      </c>
      <c r="C1862" s="149">
        <v>11</v>
      </c>
      <c r="D1862" s="149">
        <v>600</v>
      </c>
      <c r="E1862" s="149">
        <v>0</v>
      </c>
      <c r="F1862" s="149">
        <v>678000</v>
      </c>
      <c r="G1862" s="149">
        <v>52300</v>
      </c>
      <c r="H1862" s="150" t="str">
        <f t="shared" si="87"/>
        <v>5</v>
      </c>
      <c r="I1862" s="150" t="str">
        <f t="shared" si="88"/>
        <v>52</v>
      </c>
      <c r="J1862" s="150" t="str">
        <f t="shared" si="89"/>
        <v>523</v>
      </c>
      <c r="K1862" s="150" t="s">
        <v>7843</v>
      </c>
      <c r="L1862" s="149" t="s">
        <v>3295</v>
      </c>
      <c r="M1862" s="151">
        <v>20000</v>
      </c>
    </row>
    <row r="1863" spans="1:13" s="149" customFormat="1" x14ac:dyDescent="0.25">
      <c r="A1863" s="149" t="s">
        <v>7639</v>
      </c>
      <c r="B1863" s="149" t="s">
        <v>3296</v>
      </c>
      <c r="C1863" s="149">
        <v>11</v>
      </c>
      <c r="D1863" s="149">
        <v>600</v>
      </c>
      <c r="E1863" s="149">
        <v>0</v>
      </c>
      <c r="F1863" s="149">
        <v>678000</v>
      </c>
      <c r="G1863" s="149">
        <v>52350</v>
      </c>
      <c r="H1863" s="150" t="str">
        <f t="shared" si="87"/>
        <v>5</v>
      </c>
      <c r="I1863" s="150" t="str">
        <f t="shared" si="88"/>
        <v>52</v>
      </c>
      <c r="J1863" s="150" t="str">
        <f t="shared" si="89"/>
        <v>523</v>
      </c>
      <c r="K1863" s="150" t="s">
        <v>7860</v>
      </c>
      <c r="L1863" s="149" t="s">
        <v>3297</v>
      </c>
      <c r="M1863" s="151">
        <v>30000</v>
      </c>
    </row>
    <row r="1864" spans="1:13" s="149" customFormat="1" x14ac:dyDescent="0.25">
      <c r="A1864" s="149" t="s">
        <v>7639</v>
      </c>
      <c r="B1864" s="149" t="s">
        <v>3298</v>
      </c>
      <c r="C1864" s="149">
        <v>11</v>
      </c>
      <c r="D1864" s="149">
        <v>600</v>
      </c>
      <c r="E1864" s="149">
        <v>0</v>
      </c>
      <c r="F1864" s="149">
        <v>678000</v>
      </c>
      <c r="G1864" s="149">
        <v>53220</v>
      </c>
      <c r="H1864" s="150" t="str">
        <f t="shared" si="87"/>
        <v>5</v>
      </c>
      <c r="I1864" s="150" t="str">
        <f t="shared" si="88"/>
        <v>53</v>
      </c>
      <c r="J1864" s="150" t="str">
        <f t="shared" si="89"/>
        <v>532</v>
      </c>
      <c r="K1864" s="150" t="s">
        <v>9524</v>
      </c>
      <c r="L1864" s="149" t="s">
        <v>3299</v>
      </c>
      <c r="M1864" s="151">
        <v>315745.13</v>
      </c>
    </row>
    <row r="1865" spans="1:13" s="149" customFormat="1" x14ac:dyDescent="0.25">
      <c r="A1865" s="149" t="s">
        <v>7639</v>
      </c>
      <c r="B1865" s="149" t="s">
        <v>3300</v>
      </c>
      <c r="C1865" s="149">
        <v>11</v>
      </c>
      <c r="D1865" s="149">
        <v>600</v>
      </c>
      <c r="E1865" s="149">
        <v>0</v>
      </c>
      <c r="F1865" s="149">
        <v>678000</v>
      </c>
      <c r="G1865" s="149">
        <v>53320</v>
      </c>
      <c r="H1865" s="150" t="str">
        <f t="shared" si="87"/>
        <v>5</v>
      </c>
      <c r="I1865" s="150" t="str">
        <f t="shared" si="88"/>
        <v>53</v>
      </c>
      <c r="J1865" s="150" t="str">
        <f t="shared" si="89"/>
        <v>533</v>
      </c>
      <c r="K1865" s="150" t="s">
        <v>9525</v>
      </c>
      <c r="L1865" s="149" t="s">
        <v>3301</v>
      </c>
      <c r="M1865" s="151">
        <v>95811</v>
      </c>
    </row>
    <row r="1866" spans="1:13" s="149" customFormat="1" x14ac:dyDescent="0.25">
      <c r="A1866" s="149" t="s">
        <v>7639</v>
      </c>
      <c r="B1866" s="149" t="s">
        <v>3302</v>
      </c>
      <c r="C1866" s="149">
        <v>11</v>
      </c>
      <c r="D1866" s="149">
        <v>600</v>
      </c>
      <c r="E1866" s="149">
        <v>0</v>
      </c>
      <c r="F1866" s="149">
        <v>678000</v>
      </c>
      <c r="G1866" s="149">
        <v>53340</v>
      </c>
      <c r="H1866" s="150" t="str">
        <f t="shared" si="87"/>
        <v>5</v>
      </c>
      <c r="I1866" s="150" t="str">
        <f t="shared" si="88"/>
        <v>53</v>
      </c>
      <c r="J1866" s="150" t="str">
        <f t="shared" si="89"/>
        <v>533</v>
      </c>
      <c r="K1866" s="150" t="s">
        <v>9526</v>
      </c>
      <c r="L1866" s="149" t="s">
        <v>3303</v>
      </c>
      <c r="M1866" s="151">
        <v>22407.41</v>
      </c>
    </row>
    <row r="1867" spans="1:13" s="149" customFormat="1" x14ac:dyDescent="0.25">
      <c r="A1867" s="149" t="s">
        <v>7639</v>
      </c>
      <c r="B1867" s="149" t="s">
        <v>3304</v>
      </c>
      <c r="C1867" s="149">
        <v>11</v>
      </c>
      <c r="D1867" s="149">
        <v>600</v>
      </c>
      <c r="E1867" s="149">
        <v>0</v>
      </c>
      <c r="F1867" s="149">
        <v>678000</v>
      </c>
      <c r="G1867" s="149">
        <v>53420</v>
      </c>
      <c r="H1867" s="150" t="str">
        <f t="shared" si="87"/>
        <v>5</v>
      </c>
      <c r="I1867" s="150" t="str">
        <f t="shared" si="88"/>
        <v>53</v>
      </c>
      <c r="J1867" s="150" t="str">
        <f t="shared" si="89"/>
        <v>534</v>
      </c>
      <c r="K1867" s="150" t="s">
        <v>9527</v>
      </c>
      <c r="L1867" s="149" t="s">
        <v>3305</v>
      </c>
      <c r="M1867" s="151">
        <v>372703.85</v>
      </c>
    </row>
    <row r="1868" spans="1:13" s="149" customFormat="1" x14ac:dyDescent="0.25">
      <c r="A1868" s="149" t="s">
        <v>7639</v>
      </c>
      <c r="B1868" s="149" t="s">
        <v>3306</v>
      </c>
      <c r="C1868" s="149">
        <v>11</v>
      </c>
      <c r="D1868" s="149">
        <v>600</v>
      </c>
      <c r="E1868" s="149">
        <v>0</v>
      </c>
      <c r="F1868" s="149">
        <v>678000</v>
      </c>
      <c r="G1868" s="149">
        <v>53520</v>
      </c>
      <c r="H1868" s="150" t="str">
        <f t="shared" si="87"/>
        <v>5</v>
      </c>
      <c r="I1868" s="150" t="str">
        <f t="shared" si="88"/>
        <v>53</v>
      </c>
      <c r="J1868" s="150" t="str">
        <f t="shared" si="89"/>
        <v>535</v>
      </c>
      <c r="K1868" s="150" t="s">
        <v>9528</v>
      </c>
      <c r="L1868" s="149" t="s">
        <v>3307</v>
      </c>
      <c r="M1868" s="151">
        <v>772.67</v>
      </c>
    </row>
    <row r="1869" spans="1:13" s="149" customFormat="1" x14ac:dyDescent="0.25">
      <c r="A1869" s="149" t="s">
        <v>7639</v>
      </c>
      <c r="B1869" s="149" t="s">
        <v>3308</v>
      </c>
      <c r="C1869" s="149">
        <v>11</v>
      </c>
      <c r="D1869" s="149">
        <v>600</v>
      </c>
      <c r="E1869" s="149">
        <v>0</v>
      </c>
      <c r="F1869" s="149">
        <v>678000</v>
      </c>
      <c r="G1869" s="149">
        <v>53620</v>
      </c>
      <c r="H1869" s="150" t="str">
        <f t="shared" si="87"/>
        <v>5</v>
      </c>
      <c r="I1869" s="150" t="str">
        <f t="shared" si="88"/>
        <v>53</v>
      </c>
      <c r="J1869" s="150" t="str">
        <f t="shared" si="89"/>
        <v>536</v>
      </c>
      <c r="K1869" s="150" t="s">
        <v>9529</v>
      </c>
      <c r="L1869" s="149" t="s">
        <v>3309</v>
      </c>
      <c r="M1869" s="151">
        <v>29786.5</v>
      </c>
    </row>
    <row r="1870" spans="1:13" s="149" customFormat="1" x14ac:dyDescent="0.25">
      <c r="A1870" s="149" t="s">
        <v>7639</v>
      </c>
      <c r="B1870" s="149" t="s">
        <v>3310</v>
      </c>
      <c r="C1870" s="149">
        <v>11</v>
      </c>
      <c r="D1870" s="149">
        <v>600</v>
      </c>
      <c r="E1870" s="149">
        <v>0</v>
      </c>
      <c r="F1870" s="149">
        <v>678000</v>
      </c>
      <c r="G1870" s="149">
        <v>53920</v>
      </c>
      <c r="H1870" s="150" t="str">
        <f t="shared" si="87"/>
        <v>5</v>
      </c>
      <c r="I1870" s="150" t="str">
        <f t="shared" si="88"/>
        <v>53</v>
      </c>
      <c r="J1870" s="150" t="str">
        <f t="shared" si="89"/>
        <v>539</v>
      </c>
      <c r="K1870" s="150" t="s">
        <v>9530</v>
      </c>
      <c r="L1870" s="149" t="s">
        <v>3311</v>
      </c>
      <c r="M1870" s="151">
        <v>14400</v>
      </c>
    </row>
    <row r="1871" spans="1:13" s="149" customFormat="1" x14ac:dyDescent="0.25">
      <c r="A1871" s="149" t="s">
        <v>7639</v>
      </c>
      <c r="B1871" s="149" t="s">
        <v>3312</v>
      </c>
      <c r="C1871" s="149">
        <v>11</v>
      </c>
      <c r="D1871" s="149">
        <v>600</v>
      </c>
      <c r="E1871" s="149">
        <v>0</v>
      </c>
      <c r="F1871" s="149">
        <v>678000</v>
      </c>
      <c r="G1871" s="149">
        <v>54300</v>
      </c>
      <c r="H1871" s="150" t="str">
        <f t="shared" si="87"/>
        <v>5</v>
      </c>
      <c r="I1871" s="150" t="str">
        <f t="shared" si="88"/>
        <v>54</v>
      </c>
      <c r="J1871" s="150" t="str">
        <f t="shared" si="89"/>
        <v>543</v>
      </c>
      <c r="K1871" s="150" t="s">
        <v>7983</v>
      </c>
      <c r="L1871" s="149" t="s">
        <v>3313</v>
      </c>
      <c r="M1871" s="151">
        <v>8500</v>
      </c>
    </row>
    <row r="1872" spans="1:13" s="149" customFormat="1" x14ac:dyDescent="0.25">
      <c r="A1872" s="149" t="s">
        <v>7639</v>
      </c>
      <c r="B1872" s="149" t="s">
        <v>3314</v>
      </c>
      <c r="C1872" s="149">
        <v>11</v>
      </c>
      <c r="D1872" s="149">
        <v>600</v>
      </c>
      <c r="E1872" s="149">
        <v>0</v>
      </c>
      <c r="F1872" s="149">
        <v>678000</v>
      </c>
      <c r="G1872" s="149">
        <v>55105</v>
      </c>
      <c r="H1872" s="150" t="str">
        <f t="shared" si="87"/>
        <v>5</v>
      </c>
      <c r="I1872" s="150" t="str">
        <f t="shared" si="88"/>
        <v>55</v>
      </c>
      <c r="J1872" s="150" t="str">
        <f t="shared" si="89"/>
        <v>551</v>
      </c>
      <c r="K1872" s="150" t="s">
        <v>8024</v>
      </c>
      <c r="L1872" s="149" t="s">
        <v>3315</v>
      </c>
      <c r="M1872" s="151">
        <v>80170</v>
      </c>
    </row>
    <row r="1873" spans="1:13" s="149" customFormat="1" x14ac:dyDescent="0.25">
      <c r="A1873" s="149" t="s">
        <v>7639</v>
      </c>
      <c r="B1873" s="149" t="s">
        <v>3316</v>
      </c>
      <c r="C1873" s="149">
        <v>11</v>
      </c>
      <c r="D1873" s="149">
        <v>600</v>
      </c>
      <c r="E1873" s="149">
        <v>0</v>
      </c>
      <c r="F1873" s="149">
        <v>678000</v>
      </c>
      <c r="G1873" s="149">
        <v>55125</v>
      </c>
      <c r="H1873" s="150" t="str">
        <f t="shared" si="87"/>
        <v>5</v>
      </c>
      <c r="I1873" s="150" t="str">
        <f t="shared" si="88"/>
        <v>55</v>
      </c>
      <c r="J1873" s="150" t="str">
        <f t="shared" si="89"/>
        <v>551</v>
      </c>
      <c r="K1873" s="150" t="s">
        <v>8035</v>
      </c>
      <c r="L1873" s="149" t="s">
        <v>3317</v>
      </c>
      <c r="M1873" s="151">
        <v>6000</v>
      </c>
    </row>
    <row r="1874" spans="1:13" s="149" customFormat="1" x14ac:dyDescent="0.25">
      <c r="A1874" s="149" t="s">
        <v>7639</v>
      </c>
      <c r="B1874" s="149" t="s">
        <v>3318</v>
      </c>
      <c r="C1874" s="149">
        <v>11</v>
      </c>
      <c r="D1874" s="149">
        <v>600</v>
      </c>
      <c r="E1874" s="149">
        <v>0</v>
      </c>
      <c r="F1874" s="149">
        <v>678000</v>
      </c>
      <c r="G1874" s="149">
        <v>55200</v>
      </c>
      <c r="H1874" s="150" t="str">
        <f t="shared" si="87"/>
        <v>5</v>
      </c>
      <c r="I1874" s="150" t="str">
        <f t="shared" si="88"/>
        <v>55</v>
      </c>
      <c r="J1874" s="150" t="str">
        <f t="shared" si="89"/>
        <v>552</v>
      </c>
      <c r="K1874" s="150" t="s">
        <v>8072</v>
      </c>
      <c r="L1874" s="149" t="s">
        <v>3319</v>
      </c>
      <c r="M1874" s="151">
        <v>617.94000000000005</v>
      </c>
    </row>
    <row r="1875" spans="1:13" s="149" customFormat="1" x14ac:dyDescent="0.25">
      <c r="A1875" s="149" t="s">
        <v>7639</v>
      </c>
      <c r="B1875" s="149" t="s">
        <v>3320</v>
      </c>
      <c r="C1875" s="149">
        <v>11</v>
      </c>
      <c r="D1875" s="149">
        <v>600</v>
      </c>
      <c r="E1875" s="149">
        <v>0</v>
      </c>
      <c r="F1875" s="149">
        <v>678000</v>
      </c>
      <c r="G1875" s="149">
        <v>55300</v>
      </c>
      <c r="H1875" s="150" t="str">
        <f t="shared" si="87"/>
        <v>5</v>
      </c>
      <c r="I1875" s="150" t="str">
        <f t="shared" si="88"/>
        <v>55</v>
      </c>
      <c r="J1875" s="150" t="str">
        <f t="shared" si="89"/>
        <v>553</v>
      </c>
      <c r="K1875" s="150" t="s">
        <v>8102</v>
      </c>
      <c r="L1875" s="149" t="s">
        <v>3321</v>
      </c>
      <c r="M1875" s="151">
        <v>1500</v>
      </c>
    </row>
    <row r="1876" spans="1:13" s="149" customFormat="1" x14ac:dyDescent="0.25">
      <c r="A1876" s="149" t="s">
        <v>7639</v>
      </c>
      <c r="B1876" s="149" t="s">
        <v>3322</v>
      </c>
      <c r="C1876" s="149">
        <v>11</v>
      </c>
      <c r="D1876" s="149">
        <v>600</v>
      </c>
      <c r="E1876" s="149">
        <v>0</v>
      </c>
      <c r="F1876" s="149">
        <v>678000</v>
      </c>
      <c r="G1876" s="149">
        <v>55550</v>
      </c>
      <c r="H1876" s="150" t="str">
        <f t="shared" si="87"/>
        <v>5</v>
      </c>
      <c r="I1876" s="150" t="str">
        <f t="shared" si="88"/>
        <v>55</v>
      </c>
      <c r="J1876" s="150" t="str">
        <f t="shared" si="89"/>
        <v>555</v>
      </c>
      <c r="K1876" s="150" t="s">
        <v>8132</v>
      </c>
      <c r="L1876" s="149" t="s">
        <v>3323</v>
      </c>
      <c r="M1876" s="151">
        <v>139000</v>
      </c>
    </row>
    <row r="1877" spans="1:13" s="149" customFormat="1" x14ac:dyDescent="0.25">
      <c r="A1877" s="149" t="s">
        <v>7639</v>
      </c>
      <c r="B1877" s="149" t="s">
        <v>3324</v>
      </c>
      <c r="C1877" s="149">
        <v>11</v>
      </c>
      <c r="D1877" s="149">
        <v>600</v>
      </c>
      <c r="E1877" s="149">
        <v>0</v>
      </c>
      <c r="F1877" s="149">
        <v>678000</v>
      </c>
      <c r="G1877" s="149">
        <v>55610</v>
      </c>
      <c r="H1877" s="150" t="str">
        <f t="shared" si="87"/>
        <v>5</v>
      </c>
      <c r="I1877" s="150" t="str">
        <f t="shared" si="88"/>
        <v>55</v>
      </c>
      <c r="J1877" s="150" t="str">
        <f t="shared" si="89"/>
        <v>556</v>
      </c>
      <c r="K1877" s="150" t="s">
        <v>8156</v>
      </c>
      <c r="L1877" s="149" t="s">
        <v>3325</v>
      </c>
      <c r="M1877" s="151">
        <v>50000</v>
      </c>
    </row>
    <row r="1878" spans="1:13" s="149" customFormat="1" x14ac:dyDescent="0.25">
      <c r="A1878" s="149" t="s">
        <v>7639</v>
      </c>
      <c r="B1878" s="149" t="s">
        <v>3326</v>
      </c>
      <c r="C1878" s="149">
        <v>11</v>
      </c>
      <c r="D1878" s="149">
        <v>600</v>
      </c>
      <c r="E1878" s="149">
        <v>0</v>
      </c>
      <c r="F1878" s="149">
        <v>678000</v>
      </c>
      <c r="G1878" s="149">
        <v>55630</v>
      </c>
      <c r="H1878" s="150" t="str">
        <f t="shared" si="87"/>
        <v>5</v>
      </c>
      <c r="I1878" s="150" t="str">
        <f t="shared" si="88"/>
        <v>55</v>
      </c>
      <c r="J1878" s="150" t="str">
        <f t="shared" si="89"/>
        <v>556</v>
      </c>
      <c r="K1878" s="150" t="s">
        <v>8274</v>
      </c>
      <c r="L1878" s="149" t="s">
        <v>3327</v>
      </c>
      <c r="M1878" s="151">
        <v>108.17</v>
      </c>
    </row>
    <row r="1879" spans="1:13" s="149" customFormat="1" x14ac:dyDescent="0.25">
      <c r="A1879" s="149" t="s">
        <v>7639</v>
      </c>
      <c r="B1879" s="149" t="s">
        <v>3328</v>
      </c>
      <c r="C1879" s="149">
        <v>11</v>
      </c>
      <c r="D1879" s="149">
        <v>600</v>
      </c>
      <c r="E1879" s="149">
        <v>0</v>
      </c>
      <c r="F1879" s="149">
        <v>678000</v>
      </c>
      <c r="G1879" s="149">
        <v>55650</v>
      </c>
      <c r="H1879" s="150" t="str">
        <f t="shared" si="87"/>
        <v>5</v>
      </c>
      <c r="I1879" s="150" t="str">
        <f t="shared" si="88"/>
        <v>55</v>
      </c>
      <c r="J1879" s="150" t="str">
        <f t="shared" si="89"/>
        <v>556</v>
      </c>
      <c r="K1879" s="150" t="s">
        <v>8311</v>
      </c>
      <c r="L1879" s="149" t="s">
        <v>3329</v>
      </c>
      <c r="M1879" s="151">
        <v>1190285</v>
      </c>
    </row>
    <row r="1880" spans="1:13" s="149" customFormat="1" x14ac:dyDescent="0.25">
      <c r="A1880" s="149" t="s">
        <v>7639</v>
      </c>
      <c r="B1880" s="149" t="s">
        <v>3330</v>
      </c>
      <c r="C1880" s="149">
        <v>11</v>
      </c>
      <c r="D1880" s="149">
        <v>600</v>
      </c>
      <c r="E1880" s="149">
        <v>0</v>
      </c>
      <c r="F1880" s="149">
        <v>678000</v>
      </c>
      <c r="G1880" s="149">
        <v>55653</v>
      </c>
      <c r="H1880" s="150" t="str">
        <f t="shared" si="87"/>
        <v>5</v>
      </c>
      <c r="I1880" s="150" t="str">
        <f t="shared" si="88"/>
        <v>55</v>
      </c>
      <c r="J1880" s="150" t="str">
        <f t="shared" si="89"/>
        <v>556</v>
      </c>
      <c r="K1880" s="150" t="s">
        <v>8326</v>
      </c>
      <c r="L1880" s="149" t="s">
        <v>3331</v>
      </c>
      <c r="M1880" s="151">
        <v>1500</v>
      </c>
    </row>
    <row r="1881" spans="1:13" s="149" customFormat="1" x14ac:dyDescent="0.25">
      <c r="A1881" s="149" t="s">
        <v>7639</v>
      </c>
      <c r="B1881" s="149" t="s">
        <v>3332</v>
      </c>
      <c r="C1881" s="149">
        <v>11</v>
      </c>
      <c r="D1881" s="149">
        <v>600</v>
      </c>
      <c r="E1881" s="149">
        <v>0</v>
      </c>
      <c r="F1881" s="149">
        <v>678000</v>
      </c>
      <c r="G1881" s="149">
        <v>56400</v>
      </c>
      <c r="H1881" s="150" t="str">
        <f t="shared" si="87"/>
        <v>5</v>
      </c>
      <c r="I1881" s="150" t="str">
        <f t="shared" si="88"/>
        <v>56</v>
      </c>
      <c r="J1881" s="150" t="str">
        <f t="shared" si="89"/>
        <v>564</v>
      </c>
      <c r="K1881" s="150" t="s">
        <v>8383</v>
      </c>
      <c r="L1881" s="149" t="s">
        <v>3333</v>
      </c>
      <c r="M1881" s="151">
        <v>3300</v>
      </c>
    </row>
    <row r="1882" spans="1:13" s="149" customFormat="1" x14ac:dyDescent="0.25">
      <c r="A1882" s="149" t="s">
        <v>7639</v>
      </c>
      <c r="B1882" s="149" t="s">
        <v>9611</v>
      </c>
      <c r="C1882" s="149">
        <v>11</v>
      </c>
      <c r="D1882" s="149">
        <v>600</v>
      </c>
      <c r="E1882" s="149">
        <v>0</v>
      </c>
      <c r="F1882" s="149">
        <v>678001</v>
      </c>
      <c r="G1882" s="149">
        <v>55105</v>
      </c>
      <c r="H1882" s="150" t="str">
        <f t="shared" si="87"/>
        <v>5</v>
      </c>
      <c r="I1882" s="150" t="str">
        <f t="shared" si="88"/>
        <v>55</v>
      </c>
      <c r="J1882" s="150" t="str">
        <f t="shared" si="89"/>
        <v>551</v>
      </c>
      <c r="K1882" s="150" t="s">
        <v>8025</v>
      </c>
      <c r="L1882" s="149" t="s">
        <v>9612</v>
      </c>
      <c r="M1882" s="151">
        <v>375000</v>
      </c>
    </row>
    <row r="1883" spans="1:13" s="149" customFormat="1" x14ac:dyDescent="0.25">
      <c r="A1883" s="149" t="s">
        <v>7639</v>
      </c>
      <c r="B1883" s="149" t="s">
        <v>9613</v>
      </c>
      <c r="C1883" s="149">
        <v>11</v>
      </c>
      <c r="D1883" s="149">
        <v>600</v>
      </c>
      <c r="E1883" s="149">
        <v>0</v>
      </c>
      <c r="F1883" s="149">
        <v>678001</v>
      </c>
      <c r="G1883" s="149">
        <v>56402</v>
      </c>
      <c r="H1883" s="150" t="str">
        <f t="shared" si="87"/>
        <v>5</v>
      </c>
      <c r="I1883" s="150" t="str">
        <f t="shared" si="88"/>
        <v>56</v>
      </c>
      <c r="J1883" s="150" t="str">
        <f t="shared" si="89"/>
        <v>564</v>
      </c>
      <c r="K1883" s="150" t="s">
        <v>8384</v>
      </c>
      <c r="L1883" s="149" t="s">
        <v>9614</v>
      </c>
      <c r="M1883" s="151">
        <v>90000</v>
      </c>
    </row>
    <row r="1884" spans="1:13" s="149" customFormat="1" x14ac:dyDescent="0.25">
      <c r="A1884" s="149" t="s">
        <v>7639</v>
      </c>
      <c r="B1884" s="149" t="s">
        <v>6114</v>
      </c>
      <c r="C1884" s="149">
        <v>13</v>
      </c>
      <c r="D1884" s="149">
        <v>0</v>
      </c>
      <c r="E1884" s="149">
        <v>0</v>
      </c>
      <c r="F1884" s="149">
        <v>0</v>
      </c>
      <c r="G1884" s="149">
        <v>48891</v>
      </c>
      <c r="H1884" s="150" t="str">
        <f t="shared" si="87"/>
        <v>4</v>
      </c>
      <c r="I1884" s="150" t="str">
        <f t="shared" si="88"/>
        <v>48</v>
      </c>
      <c r="J1884" s="150" t="str">
        <f t="shared" si="89"/>
        <v>488</v>
      </c>
      <c r="K1884" s="150" t="s">
        <v>9615</v>
      </c>
      <c r="L1884" s="149" t="s">
        <v>6115</v>
      </c>
      <c r="M1884" s="151">
        <v>-19350</v>
      </c>
    </row>
    <row r="1885" spans="1:13" s="149" customFormat="1" x14ac:dyDescent="0.25">
      <c r="A1885" s="149" t="s">
        <v>7639</v>
      </c>
      <c r="B1885" s="149" t="s">
        <v>6116</v>
      </c>
      <c r="C1885" s="149">
        <v>13</v>
      </c>
      <c r="D1885" s="149">
        <v>0</v>
      </c>
      <c r="E1885" s="149">
        <v>0</v>
      </c>
      <c r="F1885" s="149">
        <v>695000</v>
      </c>
      <c r="G1885" s="149">
        <v>48881</v>
      </c>
      <c r="H1885" s="150" t="str">
        <f t="shared" si="87"/>
        <v>4</v>
      </c>
      <c r="I1885" s="150" t="str">
        <f t="shared" si="88"/>
        <v>48</v>
      </c>
      <c r="J1885" s="150" t="str">
        <f t="shared" si="89"/>
        <v>488</v>
      </c>
      <c r="K1885" s="150" t="s">
        <v>9616</v>
      </c>
      <c r="L1885" s="149" t="s">
        <v>6117</v>
      </c>
      <c r="M1885" s="151">
        <v>-486</v>
      </c>
    </row>
    <row r="1886" spans="1:13" s="149" customFormat="1" x14ac:dyDescent="0.25">
      <c r="A1886" s="149" t="s">
        <v>7639</v>
      </c>
      <c r="B1886" s="149" t="s">
        <v>6118</v>
      </c>
      <c r="C1886" s="149">
        <v>13</v>
      </c>
      <c r="D1886" s="149">
        <v>210</v>
      </c>
      <c r="E1886" s="149">
        <v>0</v>
      </c>
      <c r="F1886" s="149">
        <v>695000</v>
      </c>
      <c r="G1886" s="149">
        <v>48881</v>
      </c>
      <c r="H1886" s="150" t="str">
        <f t="shared" si="87"/>
        <v>4</v>
      </c>
      <c r="I1886" s="150" t="str">
        <f t="shared" si="88"/>
        <v>48</v>
      </c>
      <c r="J1886" s="150" t="str">
        <f t="shared" si="89"/>
        <v>488</v>
      </c>
      <c r="K1886" s="150" t="s">
        <v>9617</v>
      </c>
      <c r="L1886" s="149" t="s">
        <v>6117</v>
      </c>
      <c r="M1886" s="151">
        <v>0</v>
      </c>
    </row>
    <row r="1887" spans="1:13" s="149" customFormat="1" x14ac:dyDescent="0.25">
      <c r="A1887" s="149" t="s">
        <v>7639</v>
      </c>
      <c r="B1887" s="149" t="s">
        <v>6119</v>
      </c>
      <c r="C1887" s="149">
        <v>13</v>
      </c>
      <c r="D1887" s="149">
        <v>210</v>
      </c>
      <c r="E1887" s="149">
        <v>0</v>
      </c>
      <c r="F1887" s="149">
        <v>695000</v>
      </c>
      <c r="G1887" s="149">
        <v>52350</v>
      </c>
      <c r="H1887" s="150" t="str">
        <f t="shared" si="87"/>
        <v>5</v>
      </c>
      <c r="I1887" s="150" t="str">
        <f t="shared" si="88"/>
        <v>52</v>
      </c>
      <c r="J1887" s="150" t="str">
        <f t="shared" si="89"/>
        <v>523</v>
      </c>
      <c r="K1887" s="150" t="s">
        <v>9618</v>
      </c>
      <c r="L1887" s="149" t="s">
        <v>6120</v>
      </c>
      <c r="M1887" s="151">
        <v>0</v>
      </c>
    </row>
    <row r="1888" spans="1:13" s="149" customFormat="1" x14ac:dyDescent="0.25">
      <c r="A1888" s="149" t="s">
        <v>7639</v>
      </c>
      <c r="B1888" s="149" t="s">
        <v>6121</v>
      </c>
      <c r="C1888" s="149">
        <v>13</v>
      </c>
      <c r="D1888" s="149">
        <v>210</v>
      </c>
      <c r="E1888" s="149">
        <v>0</v>
      </c>
      <c r="F1888" s="149">
        <v>695000</v>
      </c>
      <c r="G1888" s="149">
        <v>53620</v>
      </c>
      <c r="H1888" s="150" t="str">
        <f t="shared" si="87"/>
        <v>5</v>
      </c>
      <c r="I1888" s="150" t="str">
        <f t="shared" si="88"/>
        <v>53</v>
      </c>
      <c r="J1888" s="150" t="str">
        <f t="shared" si="89"/>
        <v>536</v>
      </c>
      <c r="K1888" s="150" t="s">
        <v>9619</v>
      </c>
      <c r="L1888" s="149" t="s">
        <v>6122</v>
      </c>
      <c r="M1888" s="151">
        <v>0</v>
      </c>
    </row>
    <row r="1889" spans="1:13" s="149" customFormat="1" x14ac:dyDescent="0.25">
      <c r="A1889" s="149" t="s">
        <v>7639</v>
      </c>
      <c r="B1889" s="149" t="s">
        <v>6123</v>
      </c>
      <c r="C1889" s="149">
        <v>13</v>
      </c>
      <c r="D1889" s="149">
        <v>210</v>
      </c>
      <c r="E1889" s="149">
        <v>0</v>
      </c>
      <c r="F1889" s="149">
        <v>695000</v>
      </c>
      <c r="G1889" s="149">
        <v>55105</v>
      </c>
      <c r="H1889" s="150" t="str">
        <f t="shared" si="87"/>
        <v>5</v>
      </c>
      <c r="I1889" s="150" t="str">
        <f t="shared" si="88"/>
        <v>55</v>
      </c>
      <c r="J1889" s="150" t="str">
        <f t="shared" si="89"/>
        <v>551</v>
      </c>
      <c r="K1889" s="150" t="s">
        <v>9620</v>
      </c>
      <c r="L1889" s="149" t="s">
        <v>811</v>
      </c>
      <c r="M1889" s="151">
        <v>15336</v>
      </c>
    </row>
    <row r="1890" spans="1:13" s="149" customFormat="1" x14ac:dyDescent="0.25">
      <c r="A1890" s="149" t="s">
        <v>7639</v>
      </c>
      <c r="B1890" s="149" t="s">
        <v>6124</v>
      </c>
      <c r="C1890" s="149">
        <v>13</v>
      </c>
      <c r="D1890" s="149">
        <v>210</v>
      </c>
      <c r="E1890" s="149">
        <v>0</v>
      </c>
      <c r="F1890" s="149">
        <v>695000</v>
      </c>
      <c r="G1890" s="149">
        <v>55650</v>
      </c>
      <c r="H1890" s="150" t="str">
        <f t="shared" si="87"/>
        <v>5</v>
      </c>
      <c r="I1890" s="150" t="str">
        <f t="shared" si="88"/>
        <v>55</v>
      </c>
      <c r="J1890" s="150" t="str">
        <f t="shared" si="89"/>
        <v>556</v>
      </c>
      <c r="K1890" s="150" t="s">
        <v>9621</v>
      </c>
      <c r="L1890" s="149" t="s">
        <v>6125</v>
      </c>
      <c r="M1890" s="151">
        <v>4500</v>
      </c>
    </row>
    <row r="1891" spans="1:13" s="149" customFormat="1" x14ac:dyDescent="0.25">
      <c r="A1891" s="149" t="s">
        <v>7639</v>
      </c>
      <c r="B1891" s="149" t="s">
        <v>6126</v>
      </c>
      <c r="C1891" s="149">
        <v>13</v>
      </c>
      <c r="D1891" s="149">
        <v>210</v>
      </c>
      <c r="E1891" s="149">
        <v>0</v>
      </c>
      <c r="F1891" s="149">
        <v>695000</v>
      </c>
      <c r="G1891" s="149">
        <v>55861</v>
      </c>
      <c r="H1891" s="150" t="str">
        <f t="shared" si="87"/>
        <v>5</v>
      </c>
      <c r="I1891" s="150" t="str">
        <f t="shared" si="88"/>
        <v>55</v>
      </c>
      <c r="J1891" s="150" t="str">
        <f t="shared" si="89"/>
        <v>558</v>
      </c>
      <c r="K1891" s="150" t="s">
        <v>9622</v>
      </c>
      <c r="L1891" s="149" t="s">
        <v>6127</v>
      </c>
      <c r="M1891" s="151">
        <v>0</v>
      </c>
    </row>
    <row r="1892" spans="1:13" s="149" customFormat="1" x14ac:dyDescent="0.25">
      <c r="A1892" s="149" t="s">
        <v>7639</v>
      </c>
      <c r="B1892" s="149" t="s">
        <v>6128</v>
      </c>
      <c r="C1892" s="149">
        <v>13</v>
      </c>
      <c r="D1892" s="149">
        <v>210</v>
      </c>
      <c r="E1892" s="149">
        <v>0</v>
      </c>
      <c r="F1892" s="149">
        <v>702810</v>
      </c>
      <c r="G1892" s="149">
        <v>48682</v>
      </c>
      <c r="H1892" s="150" t="str">
        <f t="shared" si="87"/>
        <v>4</v>
      </c>
      <c r="I1892" s="150" t="str">
        <f t="shared" si="88"/>
        <v>48</v>
      </c>
      <c r="J1892" s="150" t="str">
        <f t="shared" si="89"/>
        <v>486</v>
      </c>
      <c r="K1892" s="150" t="s">
        <v>9623</v>
      </c>
      <c r="L1892" s="149" t="s">
        <v>6129</v>
      </c>
      <c r="M1892" s="151">
        <v>-382915</v>
      </c>
    </row>
    <row r="1893" spans="1:13" s="149" customFormat="1" x14ac:dyDescent="0.25">
      <c r="A1893" s="149" t="s">
        <v>7639</v>
      </c>
      <c r="B1893" s="149" t="s">
        <v>6130</v>
      </c>
      <c r="C1893" s="149">
        <v>13</v>
      </c>
      <c r="D1893" s="149">
        <v>210</v>
      </c>
      <c r="E1893" s="149">
        <v>0</v>
      </c>
      <c r="F1893" s="149">
        <v>702810</v>
      </c>
      <c r="G1893" s="149">
        <v>54300</v>
      </c>
      <c r="H1893" s="150" t="str">
        <f t="shared" si="87"/>
        <v>5</v>
      </c>
      <c r="I1893" s="150" t="str">
        <f t="shared" si="88"/>
        <v>54</v>
      </c>
      <c r="J1893" s="150" t="str">
        <f t="shared" si="89"/>
        <v>543</v>
      </c>
      <c r="K1893" s="150" t="s">
        <v>9624</v>
      </c>
      <c r="L1893" s="149" t="s">
        <v>6131</v>
      </c>
      <c r="M1893" s="151">
        <v>240109.76</v>
      </c>
    </row>
    <row r="1894" spans="1:13" s="149" customFormat="1" x14ac:dyDescent="0.25">
      <c r="A1894" s="149" t="s">
        <v>7639</v>
      </c>
      <c r="B1894" s="149" t="s">
        <v>6132</v>
      </c>
      <c r="C1894" s="149">
        <v>13</v>
      </c>
      <c r="D1894" s="149">
        <v>210</v>
      </c>
      <c r="E1894" s="149">
        <v>0</v>
      </c>
      <c r="F1894" s="149">
        <v>702810</v>
      </c>
      <c r="G1894" s="149">
        <v>55105</v>
      </c>
      <c r="H1894" s="150" t="str">
        <f t="shared" si="87"/>
        <v>5</v>
      </c>
      <c r="I1894" s="150" t="str">
        <f t="shared" si="88"/>
        <v>55</v>
      </c>
      <c r="J1894" s="150" t="str">
        <f t="shared" si="89"/>
        <v>551</v>
      </c>
      <c r="K1894" s="150" t="s">
        <v>9625</v>
      </c>
      <c r="L1894" s="149" t="s">
        <v>6133</v>
      </c>
      <c r="M1894" s="151">
        <v>60805.24</v>
      </c>
    </row>
    <row r="1895" spans="1:13" s="149" customFormat="1" x14ac:dyDescent="0.25">
      <c r="A1895" s="149" t="s">
        <v>7639</v>
      </c>
      <c r="B1895" s="149" t="s">
        <v>6134</v>
      </c>
      <c r="C1895" s="149">
        <v>13</v>
      </c>
      <c r="D1895" s="149">
        <v>210</v>
      </c>
      <c r="E1895" s="149">
        <v>0</v>
      </c>
      <c r="F1895" s="149">
        <v>702810</v>
      </c>
      <c r="G1895" s="149">
        <v>56341</v>
      </c>
      <c r="H1895" s="150" t="str">
        <f t="shared" si="87"/>
        <v>5</v>
      </c>
      <c r="I1895" s="150" t="str">
        <f t="shared" si="88"/>
        <v>56</v>
      </c>
      <c r="J1895" s="150" t="str">
        <f t="shared" si="89"/>
        <v>563</v>
      </c>
      <c r="K1895" s="150" t="s">
        <v>9626</v>
      </c>
      <c r="L1895" s="149" t="s">
        <v>6135</v>
      </c>
      <c r="M1895" s="151">
        <v>77000</v>
      </c>
    </row>
    <row r="1896" spans="1:13" s="149" customFormat="1" x14ac:dyDescent="0.25">
      <c r="A1896" s="149" t="s">
        <v>7639</v>
      </c>
      <c r="B1896" s="149" t="s">
        <v>6136</v>
      </c>
      <c r="C1896" s="149">
        <v>13</v>
      </c>
      <c r="D1896" s="149">
        <v>210</v>
      </c>
      <c r="E1896" s="149">
        <v>0</v>
      </c>
      <c r="F1896" s="149">
        <v>702810</v>
      </c>
      <c r="G1896" s="149">
        <v>56400</v>
      </c>
      <c r="H1896" s="150" t="str">
        <f t="shared" si="87"/>
        <v>5</v>
      </c>
      <c r="I1896" s="150" t="str">
        <f t="shared" si="88"/>
        <v>56</v>
      </c>
      <c r="J1896" s="150" t="str">
        <f t="shared" si="89"/>
        <v>564</v>
      </c>
      <c r="K1896" s="150" t="s">
        <v>9627</v>
      </c>
      <c r="L1896" s="149" t="s">
        <v>6137</v>
      </c>
      <c r="M1896" s="151">
        <v>5000</v>
      </c>
    </row>
    <row r="1897" spans="1:13" s="149" customFormat="1" x14ac:dyDescent="0.25">
      <c r="A1897" s="149" t="s">
        <v>7639</v>
      </c>
      <c r="B1897" s="149" t="s">
        <v>6138</v>
      </c>
      <c r="C1897" s="149">
        <v>31</v>
      </c>
      <c r="D1897" s="149">
        <v>240</v>
      </c>
      <c r="E1897" s="149">
        <v>0</v>
      </c>
      <c r="F1897" s="149">
        <v>0</v>
      </c>
      <c r="G1897" s="149">
        <v>48850</v>
      </c>
      <c r="H1897" s="150" t="str">
        <f t="shared" si="87"/>
        <v>4</v>
      </c>
      <c r="I1897" s="150" t="str">
        <f t="shared" si="88"/>
        <v>48</v>
      </c>
      <c r="J1897" s="150" t="str">
        <f t="shared" si="89"/>
        <v>488</v>
      </c>
      <c r="K1897" s="150" t="s">
        <v>9628</v>
      </c>
      <c r="L1897" s="149" t="s">
        <v>6139</v>
      </c>
      <c r="M1897" s="151">
        <v>-100000</v>
      </c>
    </row>
    <row r="1898" spans="1:13" s="149" customFormat="1" x14ac:dyDescent="0.25">
      <c r="A1898" s="149" t="s">
        <v>7639</v>
      </c>
      <c r="B1898" s="149" t="s">
        <v>6140</v>
      </c>
      <c r="C1898" s="149">
        <v>31</v>
      </c>
      <c r="D1898" s="149">
        <v>240</v>
      </c>
      <c r="E1898" s="149">
        <v>0</v>
      </c>
      <c r="F1898" s="149">
        <v>0</v>
      </c>
      <c r="G1898" s="149">
        <v>48860</v>
      </c>
      <c r="H1898" s="150" t="str">
        <f t="shared" si="87"/>
        <v>4</v>
      </c>
      <c r="I1898" s="150" t="str">
        <f t="shared" si="88"/>
        <v>48</v>
      </c>
      <c r="J1898" s="150" t="str">
        <f t="shared" si="89"/>
        <v>488</v>
      </c>
      <c r="K1898" s="150" t="s">
        <v>9629</v>
      </c>
      <c r="L1898" s="149" t="s">
        <v>41</v>
      </c>
      <c r="M1898" s="151">
        <v>-10000</v>
      </c>
    </row>
    <row r="1899" spans="1:13" s="149" customFormat="1" x14ac:dyDescent="0.25">
      <c r="A1899" s="149" t="s">
        <v>7639</v>
      </c>
      <c r="B1899" s="149" t="s">
        <v>6141</v>
      </c>
      <c r="C1899" s="149">
        <v>31</v>
      </c>
      <c r="D1899" s="149">
        <v>240</v>
      </c>
      <c r="E1899" s="149">
        <v>0</v>
      </c>
      <c r="F1899" s="149">
        <v>0</v>
      </c>
      <c r="G1899" s="149">
        <v>57300</v>
      </c>
      <c r="H1899" s="150" t="str">
        <f t="shared" si="87"/>
        <v>5</v>
      </c>
      <c r="I1899" s="150" t="str">
        <f t="shared" si="88"/>
        <v>57</v>
      </c>
      <c r="J1899" s="150" t="str">
        <f t="shared" si="89"/>
        <v>573</v>
      </c>
      <c r="K1899" s="150" t="s">
        <v>9630</v>
      </c>
      <c r="L1899" s="149" t="s">
        <v>6142</v>
      </c>
      <c r="M1899" s="151">
        <v>110000</v>
      </c>
    </row>
    <row r="1900" spans="1:13" s="149" customFormat="1" x14ac:dyDescent="0.25">
      <c r="A1900" s="149" t="s">
        <v>7639</v>
      </c>
      <c r="B1900" s="149" t="s">
        <v>6222</v>
      </c>
      <c r="C1900" s="149">
        <v>41</v>
      </c>
      <c r="D1900" s="149">
        <v>200</v>
      </c>
      <c r="E1900" s="149">
        <v>0</v>
      </c>
      <c r="F1900" s="149">
        <v>0</v>
      </c>
      <c r="G1900" s="149">
        <v>48816</v>
      </c>
      <c r="H1900" s="150" t="str">
        <f t="shared" si="87"/>
        <v>4</v>
      </c>
      <c r="I1900" s="150" t="str">
        <f t="shared" si="88"/>
        <v>48</v>
      </c>
      <c r="J1900" s="150" t="str">
        <f t="shared" si="89"/>
        <v>488</v>
      </c>
      <c r="K1900" s="150" t="s">
        <v>9631</v>
      </c>
      <c r="L1900" s="149" t="s">
        <v>6223</v>
      </c>
      <c r="M1900" s="151">
        <v>-80000</v>
      </c>
    </row>
    <row r="1901" spans="1:13" s="149" customFormat="1" x14ac:dyDescent="0.25">
      <c r="A1901" s="149" t="s">
        <v>7639</v>
      </c>
      <c r="B1901" s="149" t="s">
        <v>6224</v>
      </c>
      <c r="C1901" s="149">
        <v>41</v>
      </c>
      <c r="D1901" s="149">
        <v>200</v>
      </c>
      <c r="E1901" s="149">
        <v>0</v>
      </c>
      <c r="F1901" s="149">
        <v>0</v>
      </c>
      <c r="G1901" s="149">
        <v>48818</v>
      </c>
      <c r="H1901" s="150" t="str">
        <f t="shared" si="87"/>
        <v>4</v>
      </c>
      <c r="I1901" s="150" t="str">
        <f t="shared" si="88"/>
        <v>48</v>
      </c>
      <c r="J1901" s="150" t="str">
        <f t="shared" si="89"/>
        <v>488</v>
      </c>
      <c r="K1901" s="150" t="s">
        <v>9632</v>
      </c>
      <c r="L1901" s="149" t="s">
        <v>37</v>
      </c>
      <c r="M1901" s="151">
        <v>-120000</v>
      </c>
    </row>
    <row r="1902" spans="1:13" s="149" customFormat="1" x14ac:dyDescent="0.25">
      <c r="A1902" s="149" t="s">
        <v>7639</v>
      </c>
      <c r="B1902" s="149" t="s">
        <v>6225</v>
      </c>
      <c r="C1902" s="149">
        <v>41</v>
      </c>
      <c r="D1902" s="149">
        <v>200</v>
      </c>
      <c r="E1902" s="149">
        <v>0</v>
      </c>
      <c r="F1902" s="149">
        <v>0</v>
      </c>
      <c r="G1902" s="149">
        <v>48860</v>
      </c>
      <c r="H1902" s="150" t="str">
        <f t="shared" si="87"/>
        <v>4</v>
      </c>
      <c r="I1902" s="150" t="str">
        <f t="shared" si="88"/>
        <v>48</v>
      </c>
      <c r="J1902" s="150" t="str">
        <f t="shared" si="89"/>
        <v>488</v>
      </c>
      <c r="K1902" s="150" t="s">
        <v>9633</v>
      </c>
      <c r="L1902" s="149" t="s">
        <v>41</v>
      </c>
      <c r="M1902" s="151">
        <v>-20881</v>
      </c>
    </row>
    <row r="1903" spans="1:13" s="149" customFormat="1" x14ac:dyDescent="0.25">
      <c r="A1903" s="149" t="s">
        <v>7639</v>
      </c>
      <c r="B1903" s="149" t="s">
        <v>9634</v>
      </c>
      <c r="C1903" s="149">
        <v>41</v>
      </c>
      <c r="D1903" s="149">
        <v>200</v>
      </c>
      <c r="E1903" s="149">
        <v>0</v>
      </c>
      <c r="F1903" s="149">
        <v>659010</v>
      </c>
      <c r="G1903" s="149">
        <v>55105</v>
      </c>
      <c r="H1903" s="150" t="str">
        <f t="shared" si="87"/>
        <v>5</v>
      </c>
      <c r="I1903" s="150" t="str">
        <f t="shared" si="88"/>
        <v>55</v>
      </c>
      <c r="J1903" s="150" t="str">
        <f t="shared" si="89"/>
        <v>551</v>
      </c>
      <c r="K1903" s="150" t="s">
        <v>9635</v>
      </c>
      <c r="L1903" s="149" t="s">
        <v>931</v>
      </c>
      <c r="M1903" s="151">
        <v>30000</v>
      </c>
    </row>
    <row r="1904" spans="1:13" s="149" customFormat="1" x14ac:dyDescent="0.25">
      <c r="A1904" s="149" t="s">
        <v>7639</v>
      </c>
      <c r="B1904" s="149" t="s">
        <v>9636</v>
      </c>
      <c r="C1904" s="149">
        <v>41</v>
      </c>
      <c r="D1904" s="149">
        <v>200</v>
      </c>
      <c r="E1904" s="149">
        <v>0</v>
      </c>
      <c r="F1904" s="149">
        <v>659010</v>
      </c>
      <c r="G1904" s="149">
        <v>56400</v>
      </c>
      <c r="H1904" s="150" t="str">
        <f t="shared" si="87"/>
        <v>5</v>
      </c>
      <c r="I1904" s="150" t="str">
        <f t="shared" si="88"/>
        <v>56</v>
      </c>
      <c r="J1904" s="150" t="str">
        <f t="shared" si="89"/>
        <v>564</v>
      </c>
      <c r="K1904" s="150" t="s">
        <v>9637</v>
      </c>
      <c r="L1904" s="149" t="s">
        <v>9638</v>
      </c>
      <c r="M1904" s="151">
        <v>50000</v>
      </c>
    </row>
    <row r="1905" spans="1:13" s="149" customFormat="1" x14ac:dyDescent="0.25">
      <c r="A1905" s="149" t="s">
        <v>7639</v>
      </c>
      <c r="B1905" s="149" t="s">
        <v>6226</v>
      </c>
      <c r="C1905" s="149">
        <v>41</v>
      </c>
      <c r="D1905" s="149">
        <v>200</v>
      </c>
      <c r="E1905" s="149">
        <v>0</v>
      </c>
      <c r="F1905" s="149">
        <v>672020</v>
      </c>
      <c r="G1905" s="149">
        <v>55663</v>
      </c>
      <c r="H1905" s="150" t="str">
        <f t="shared" si="87"/>
        <v>5</v>
      </c>
      <c r="I1905" s="150" t="str">
        <f t="shared" si="88"/>
        <v>55</v>
      </c>
      <c r="J1905" s="150" t="str">
        <f t="shared" si="89"/>
        <v>556</v>
      </c>
      <c r="K1905" s="150" t="s">
        <v>9639</v>
      </c>
      <c r="L1905" s="149" t="s">
        <v>743</v>
      </c>
      <c r="M1905" s="151">
        <v>0</v>
      </c>
    </row>
    <row r="1906" spans="1:13" s="149" customFormat="1" x14ac:dyDescent="0.25">
      <c r="A1906" s="149" t="s">
        <v>7639</v>
      </c>
      <c r="B1906" s="149" t="s">
        <v>6227</v>
      </c>
      <c r="C1906" s="149">
        <v>41</v>
      </c>
      <c r="D1906" s="149">
        <v>200</v>
      </c>
      <c r="E1906" s="149">
        <v>0</v>
      </c>
      <c r="F1906" s="149">
        <v>672020</v>
      </c>
      <c r="G1906" s="149">
        <v>55800</v>
      </c>
      <c r="H1906" s="150" t="str">
        <f t="shared" si="87"/>
        <v>5</v>
      </c>
      <c r="I1906" s="150" t="str">
        <f t="shared" si="88"/>
        <v>55</v>
      </c>
      <c r="J1906" s="150" t="str">
        <f t="shared" si="89"/>
        <v>558</v>
      </c>
      <c r="K1906" s="150" t="s">
        <v>9640</v>
      </c>
      <c r="L1906" s="149" t="s">
        <v>747</v>
      </c>
      <c r="M1906" s="151">
        <v>0</v>
      </c>
    </row>
    <row r="1907" spans="1:13" s="149" customFormat="1" x14ac:dyDescent="0.25">
      <c r="A1907" s="149" t="s">
        <v>7639</v>
      </c>
      <c r="B1907" s="149" t="s">
        <v>6228</v>
      </c>
      <c r="C1907" s="149">
        <v>41</v>
      </c>
      <c r="D1907" s="149">
        <v>200</v>
      </c>
      <c r="E1907" s="149">
        <v>0</v>
      </c>
      <c r="F1907" s="149">
        <v>672020</v>
      </c>
      <c r="G1907" s="149">
        <v>56400</v>
      </c>
      <c r="H1907" s="150" t="str">
        <f t="shared" si="87"/>
        <v>5</v>
      </c>
      <c r="I1907" s="150" t="str">
        <f t="shared" si="88"/>
        <v>56</v>
      </c>
      <c r="J1907" s="150" t="str">
        <f t="shared" si="89"/>
        <v>564</v>
      </c>
      <c r="K1907" s="150" t="s">
        <v>9641</v>
      </c>
      <c r="L1907" s="149" t="s">
        <v>6229</v>
      </c>
      <c r="M1907" s="151">
        <v>0</v>
      </c>
    </row>
    <row r="1908" spans="1:13" s="149" customFormat="1" x14ac:dyDescent="0.25">
      <c r="A1908" s="149" t="s">
        <v>7639</v>
      </c>
      <c r="B1908" s="149" t="s">
        <v>6230</v>
      </c>
      <c r="C1908" s="149">
        <v>41</v>
      </c>
      <c r="D1908" s="149">
        <v>210</v>
      </c>
      <c r="E1908" s="149">
        <v>0</v>
      </c>
      <c r="F1908" s="149">
        <v>672020</v>
      </c>
      <c r="G1908" s="149">
        <v>48890</v>
      </c>
      <c r="H1908" s="150" t="str">
        <f t="shared" si="87"/>
        <v>4</v>
      </c>
      <c r="I1908" s="150" t="str">
        <f t="shared" si="88"/>
        <v>48</v>
      </c>
      <c r="J1908" s="150" t="str">
        <f t="shared" si="89"/>
        <v>488</v>
      </c>
      <c r="K1908" s="150" t="s">
        <v>9642</v>
      </c>
      <c r="L1908" s="149" t="s">
        <v>6231</v>
      </c>
      <c r="M1908" s="151">
        <v>0</v>
      </c>
    </row>
    <row r="1909" spans="1:13" s="149" customFormat="1" x14ac:dyDescent="0.25">
      <c r="A1909" s="149" t="s">
        <v>7639</v>
      </c>
      <c r="B1909" s="149" t="s">
        <v>6232</v>
      </c>
      <c r="C1909" s="149">
        <v>41</v>
      </c>
      <c r="D1909" s="149">
        <v>210</v>
      </c>
      <c r="E1909" s="149">
        <v>0</v>
      </c>
      <c r="F1909" s="149">
        <v>672020</v>
      </c>
      <c r="G1909" s="149">
        <v>55105</v>
      </c>
      <c r="H1909" s="150" t="str">
        <f t="shared" si="87"/>
        <v>5</v>
      </c>
      <c r="I1909" s="150" t="str">
        <f t="shared" si="88"/>
        <v>55</v>
      </c>
      <c r="J1909" s="150" t="str">
        <f t="shared" si="89"/>
        <v>551</v>
      </c>
      <c r="K1909" s="150" t="s">
        <v>9643</v>
      </c>
      <c r="L1909" s="149" t="s">
        <v>727</v>
      </c>
      <c r="M1909" s="151">
        <v>0</v>
      </c>
    </row>
    <row r="1910" spans="1:13" s="149" customFormat="1" x14ac:dyDescent="0.25">
      <c r="A1910" s="149" t="s">
        <v>7639</v>
      </c>
      <c r="B1910" s="149" t="s">
        <v>6233</v>
      </c>
      <c r="C1910" s="149">
        <v>41</v>
      </c>
      <c r="D1910" s="149">
        <v>210</v>
      </c>
      <c r="E1910" s="149">
        <v>0</v>
      </c>
      <c r="F1910" s="149">
        <v>672020</v>
      </c>
      <c r="G1910" s="149">
        <v>55600</v>
      </c>
      <c r="H1910" s="150" t="str">
        <f t="shared" si="87"/>
        <v>5</v>
      </c>
      <c r="I1910" s="150" t="str">
        <f t="shared" si="88"/>
        <v>55</v>
      </c>
      <c r="J1910" s="150" t="str">
        <f t="shared" si="89"/>
        <v>556</v>
      </c>
      <c r="K1910" s="150" t="s">
        <v>9644</v>
      </c>
      <c r="L1910" s="149" t="s">
        <v>737</v>
      </c>
      <c r="M1910" s="151">
        <v>90101</v>
      </c>
    </row>
    <row r="1911" spans="1:13" s="149" customFormat="1" x14ac:dyDescent="0.25">
      <c r="A1911" s="149" t="s">
        <v>7639</v>
      </c>
      <c r="B1911" s="149" t="s">
        <v>6234</v>
      </c>
      <c r="C1911" s="149">
        <v>41</v>
      </c>
      <c r="D1911" s="149">
        <v>220</v>
      </c>
      <c r="E1911" s="149">
        <v>0</v>
      </c>
      <c r="F1911" s="149">
        <v>651000</v>
      </c>
      <c r="G1911" s="149">
        <v>55105</v>
      </c>
      <c r="H1911" s="150" t="str">
        <f t="shared" si="87"/>
        <v>5</v>
      </c>
      <c r="I1911" s="150" t="str">
        <f t="shared" si="88"/>
        <v>55</v>
      </c>
      <c r="J1911" s="150" t="str">
        <f t="shared" si="89"/>
        <v>551</v>
      </c>
      <c r="K1911" s="150" t="s">
        <v>9645</v>
      </c>
      <c r="L1911" s="149" t="s">
        <v>6235</v>
      </c>
      <c r="M1911" s="151">
        <v>34600</v>
      </c>
    </row>
    <row r="1912" spans="1:13" s="149" customFormat="1" x14ac:dyDescent="0.25">
      <c r="A1912" s="149" t="s">
        <v>7639</v>
      </c>
      <c r="B1912" s="149" t="s">
        <v>6236</v>
      </c>
      <c r="C1912" s="149">
        <v>41</v>
      </c>
      <c r="D1912" s="149">
        <v>220</v>
      </c>
      <c r="E1912" s="149">
        <v>0</v>
      </c>
      <c r="F1912" s="149">
        <v>659010</v>
      </c>
      <c r="G1912" s="149">
        <v>48890</v>
      </c>
      <c r="H1912" s="150" t="str">
        <f t="shared" si="87"/>
        <v>4</v>
      </c>
      <c r="I1912" s="150" t="str">
        <f t="shared" si="88"/>
        <v>48</v>
      </c>
      <c r="J1912" s="150" t="str">
        <f t="shared" si="89"/>
        <v>488</v>
      </c>
      <c r="K1912" s="150" t="s">
        <v>9646</v>
      </c>
      <c r="L1912" s="149" t="s">
        <v>6237</v>
      </c>
      <c r="M1912" s="151">
        <v>0</v>
      </c>
    </row>
    <row r="1913" spans="1:13" s="149" customFormat="1" x14ac:dyDescent="0.25">
      <c r="A1913" s="149" t="s">
        <v>7639</v>
      </c>
      <c r="B1913" s="149" t="s">
        <v>6238</v>
      </c>
      <c r="C1913" s="149">
        <v>41</v>
      </c>
      <c r="D1913" s="149">
        <v>220</v>
      </c>
      <c r="E1913" s="149">
        <v>0</v>
      </c>
      <c r="F1913" s="149">
        <v>659010</v>
      </c>
      <c r="G1913" s="149">
        <v>55105</v>
      </c>
      <c r="H1913" s="150" t="str">
        <f t="shared" si="87"/>
        <v>5</v>
      </c>
      <c r="I1913" s="150" t="str">
        <f t="shared" si="88"/>
        <v>55</v>
      </c>
      <c r="J1913" s="150" t="str">
        <f t="shared" si="89"/>
        <v>551</v>
      </c>
      <c r="K1913" s="150" t="s">
        <v>9647</v>
      </c>
      <c r="L1913" s="149" t="s">
        <v>931</v>
      </c>
      <c r="M1913" s="151">
        <v>93400</v>
      </c>
    </row>
    <row r="1914" spans="1:13" s="149" customFormat="1" x14ac:dyDescent="0.25">
      <c r="A1914" s="149" t="s">
        <v>7639</v>
      </c>
      <c r="B1914" s="149" t="s">
        <v>6239</v>
      </c>
      <c r="C1914" s="149">
        <v>41</v>
      </c>
      <c r="D1914" s="149">
        <v>220</v>
      </c>
      <c r="E1914" s="149">
        <v>0</v>
      </c>
      <c r="F1914" s="149">
        <v>659010</v>
      </c>
      <c r="G1914" s="149">
        <v>56100</v>
      </c>
      <c r="H1914" s="150" t="str">
        <f t="shared" si="87"/>
        <v>5</v>
      </c>
      <c r="I1914" s="150" t="str">
        <f t="shared" si="88"/>
        <v>56</v>
      </c>
      <c r="J1914" s="150" t="str">
        <f t="shared" si="89"/>
        <v>561</v>
      </c>
      <c r="K1914" s="150" t="s">
        <v>9648</v>
      </c>
      <c r="L1914" s="149" t="s">
        <v>6240</v>
      </c>
      <c r="M1914" s="151">
        <v>30000</v>
      </c>
    </row>
    <row r="1915" spans="1:13" s="149" customFormat="1" x14ac:dyDescent="0.25">
      <c r="A1915" s="149" t="s">
        <v>7639</v>
      </c>
      <c r="B1915" s="149" t="s">
        <v>6241</v>
      </c>
      <c r="C1915" s="149">
        <v>41</v>
      </c>
      <c r="D1915" s="149">
        <v>220</v>
      </c>
      <c r="E1915" s="149">
        <v>2</v>
      </c>
      <c r="F1915" s="149">
        <v>651000</v>
      </c>
      <c r="G1915" s="149">
        <v>55105</v>
      </c>
      <c r="H1915" s="150" t="str">
        <f t="shared" si="87"/>
        <v>5</v>
      </c>
      <c r="I1915" s="150" t="str">
        <f t="shared" si="88"/>
        <v>55</v>
      </c>
      <c r="J1915" s="150" t="str">
        <f t="shared" si="89"/>
        <v>551</v>
      </c>
      <c r="K1915" s="150" t="s">
        <v>9649</v>
      </c>
      <c r="L1915" s="149" t="s">
        <v>6235</v>
      </c>
      <c r="M1915" s="151">
        <v>0</v>
      </c>
    </row>
    <row r="1916" spans="1:13" s="149" customFormat="1" x14ac:dyDescent="0.25">
      <c r="A1916" s="149" t="s">
        <v>7639</v>
      </c>
      <c r="B1916" s="149" t="s">
        <v>6242</v>
      </c>
      <c r="C1916" s="149">
        <v>41</v>
      </c>
      <c r="D1916" s="149">
        <v>304</v>
      </c>
      <c r="E1916" s="149">
        <v>0</v>
      </c>
      <c r="F1916" s="149">
        <v>190200</v>
      </c>
      <c r="G1916" s="149">
        <v>56400</v>
      </c>
      <c r="H1916" s="150" t="str">
        <f t="shared" si="87"/>
        <v>5</v>
      </c>
      <c r="I1916" s="150" t="str">
        <f t="shared" si="88"/>
        <v>56</v>
      </c>
      <c r="J1916" s="150" t="str">
        <f t="shared" si="89"/>
        <v>564</v>
      </c>
      <c r="K1916" s="150" t="s">
        <v>9650</v>
      </c>
      <c r="L1916" s="149" t="s">
        <v>6243</v>
      </c>
      <c r="M1916" s="151">
        <v>0</v>
      </c>
    </row>
    <row r="1917" spans="1:13" s="149" customFormat="1" x14ac:dyDescent="0.25">
      <c r="A1917" s="149" t="s">
        <v>7639</v>
      </c>
      <c r="B1917" s="149" t="s">
        <v>6244</v>
      </c>
      <c r="C1917" s="149">
        <v>41</v>
      </c>
      <c r="D1917" s="149">
        <v>600</v>
      </c>
      <c r="E1917" s="149">
        <v>0</v>
      </c>
      <c r="F1917" s="149">
        <v>678000</v>
      </c>
      <c r="G1917" s="149">
        <v>55105</v>
      </c>
      <c r="H1917" s="150" t="str">
        <f t="shared" si="87"/>
        <v>5</v>
      </c>
      <c r="I1917" s="150" t="str">
        <f t="shared" si="88"/>
        <v>55</v>
      </c>
      <c r="J1917" s="150" t="str">
        <f t="shared" si="89"/>
        <v>551</v>
      </c>
      <c r="K1917" s="150" t="s">
        <v>9651</v>
      </c>
      <c r="L1917" s="149" t="s">
        <v>3315</v>
      </c>
      <c r="M1917" s="151">
        <v>0</v>
      </c>
    </row>
    <row r="1918" spans="1:13" s="149" customFormat="1" x14ac:dyDescent="0.25">
      <c r="A1918" s="149" t="s">
        <v>7639</v>
      </c>
      <c r="B1918" s="149" t="s">
        <v>6245</v>
      </c>
      <c r="C1918" s="149">
        <v>41</v>
      </c>
      <c r="D1918" s="149">
        <v>600</v>
      </c>
      <c r="E1918" s="149">
        <v>0</v>
      </c>
      <c r="F1918" s="149">
        <v>678000</v>
      </c>
      <c r="G1918" s="149">
        <v>56400</v>
      </c>
      <c r="H1918" s="150" t="str">
        <f t="shared" si="87"/>
        <v>5</v>
      </c>
      <c r="I1918" s="150" t="str">
        <f t="shared" si="88"/>
        <v>56</v>
      </c>
      <c r="J1918" s="150" t="str">
        <f t="shared" si="89"/>
        <v>564</v>
      </c>
      <c r="K1918" s="150" t="s">
        <v>9652</v>
      </c>
      <c r="L1918" s="149" t="s">
        <v>3333</v>
      </c>
      <c r="M1918" s="151">
        <v>170000</v>
      </c>
    </row>
    <row r="1919" spans="1:13" s="149" customFormat="1" x14ac:dyDescent="0.25">
      <c r="A1919" s="149" t="s">
        <v>7639</v>
      </c>
      <c r="B1919" s="149" t="s">
        <v>6246</v>
      </c>
      <c r="C1919" s="149">
        <v>41</v>
      </c>
      <c r="D1919" s="149">
        <v>600</v>
      </c>
      <c r="E1919" s="149">
        <v>0</v>
      </c>
      <c r="F1919" s="149">
        <v>678000</v>
      </c>
      <c r="G1919" s="149">
        <v>56405</v>
      </c>
      <c r="H1919" s="150" t="str">
        <f t="shared" si="87"/>
        <v>5</v>
      </c>
      <c r="I1919" s="150" t="str">
        <f t="shared" si="88"/>
        <v>56</v>
      </c>
      <c r="J1919" s="150" t="str">
        <f t="shared" si="89"/>
        <v>564</v>
      </c>
      <c r="K1919" s="150" t="s">
        <v>9653</v>
      </c>
      <c r="L1919" s="149" t="s">
        <v>6247</v>
      </c>
      <c r="M1919" s="151">
        <v>0</v>
      </c>
    </row>
    <row r="1920" spans="1:13" s="149" customFormat="1" x14ac:dyDescent="0.25">
      <c r="A1920" s="149" t="s">
        <v>7639</v>
      </c>
      <c r="B1920" s="149" t="s">
        <v>6250</v>
      </c>
      <c r="C1920" s="149">
        <v>44</v>
      </c>
      <c r="D1920" s="149">
        <v>0</v>
      </c>
      <c r="E1920" s="149">
        <v>0</v>
      </c>
      <c r="F1920" s="149">
        <v>0</v>
      </c>
      <c r="G1920" s="149">
        <v>55105</v>
      </c>
      <c r="H1920" s="150" t="str">
        <f t="shared" si="87"/>
        <v>5</v>
      </c>
      <c r="I1920" s="150" t="str">
        <f t="shared" si="88"/>
        <v>55</v>
      </c>
      <c r="J1920" s="150" t="str">
        <f t="shared" si="89"/>
        <v>551</v>
      </c>
      <c r="K1920" s="150" t="s">
        <v>9654</v>
      </c>
      <c r="L1920" s="149" t="s">
        <v>6251</v>
      </c>
      <c r="M1920" s="151">
        <v>0</v>
      </c>
    </row>
    <row r="1921" spans="1:13" s="149" customFormat="1" x14ac:dyDescent="0.25">
      <c r="A1921" s="149" t="s">
        <v>7639</v>
      </c>
      <c r="B1921" s="149" t="s">
        <v>6252</v>
      </c>
      <c r="C1921" s="149">
        <v>44</v>
      </c>
      <c r="D1921" s="149">
        <v>200</v>
      </c>
      <c r="E1921" s="149">
        <v>0</v>
      </c>
      <c r="F1921" s="149">
        <v>0</v>
      </c>
      <c r="G1921" s="149">
        <v>48850</v>
      </c>
      <c r="H1921" s="150" t="str">
        <f t="shared" si="87"/>
        <v>4</v>
      </c>
      <c r="I1921" s="150" t="str">
        <f t="shared" si="88"/>
        <v>48</v>
      </c>
      <c r="J1921" s="150" t="str">
        <f t="shared" si="89"/>
        <v>488</v>
      </c>
      <c r="K1921" s="150" t="s">
        <v>9655</v>
      </c>
      <c r="L1921" s="149" t="s">
        <v>6139</v>
      </c>
      <c r="M1921" s="151">
        <v>-422358</v>
      </c>
    </row>
    <row r="1922" spans="1:13" s="149" customFormat="1" x14ac:dyDescent="0.25">
      <c r="A1922" s="149" t="s">
        <v>7639</v>
      </c>
      <c r="B1922" s="149" t="s">
        <v>6253</v>
      </c>
      <c r="C1922" s="149">
        <v>44</v>
      </c>
      <c r="D1922" s="149">
        <v>200</v>
      </c>
      <c r="E1922" s="149">
        <v>0</v>
      </c>
      <c r="F1922" s="149">
        <v>0</v>
      </c>
      <c r="G1922" s="149">
        <v>48860</v>
      </c>
      <c r="H1922" s="150" t="str">
        <f t="shared" si="87"/>
        <v>4</v>
      </c>
      <c r="I1922" s="150" t="str">
        <f t="shared" si="88"/>
        <v>48</v>
      </c>
      <c r="J1922" s="150" t="str">
        <f t="shared" si="89"/>
        <v>488</v>
      </c>
      <c r="K1922" s="150" t="s">
        <v>9656</v>
      </c>
      <c r="L1922" s="149" t="s">
        <v>41</v>
      </c>
      <c r="M1922" s="151">
        <v>-28104</v>
      </c>
    </row>
    <row r="1923" spans="1:13" s="149" customFormat="1" x14ac:dyDescent="0.25">
      <c r="A1923" s="149" t="s">
        <v>7639</v>
      </c>
      <c r="B1923" s="149" t="s">
        <v>6254</v>
      </c>
      <c r="C1923" s="149">
        <v>44</v>
      </c>
      <c r="D1923" s="149">
        <v>200</v>
      </c>
      <c r="E1923" s="149">
        <v>0</v>
      </c>
      <c r="F1923" s="149">
        <v>0</v>
      </c>
      <c r="G1923" s="149">
        <v>55105</v>
      </c>
      <c r="H1923" s="150" t="str">
        <f t="shared" ref="H1923:H1986" si="90">LEFT(G1923,1)</f>
        <v>5</v>
      </c>
      <c r="I1923" s="150" t="str">
        <f t="shared" ref="I1923:I1986" si="91">LEFT(G1923,2)</f>
        <v>55</v>
      </c>
      <c r="J1923" s="150" t="str">
        <f t="shared" ref="J1923:J1986" si="92">LEFT(G1923,3)</f>
        <v>551</v>
      </c>
      <c r="K1923" s="150" t="s">
        <v>9657</v>
      </c>
      <c r="L1923" s="149" t="s">
        <v>6251</v>
      </c>
      <c r="M1923" s="151">
        <v>0</v>
      </c>
    </row>
    <row r="1924" spans="1:13" s="149" customFormat="1" x14ac:dyDescent="0.25">
      <c r="A1924" s="149" t="s">
        <v>7639</v>
      </c>
      <c r="B1924" s="149" t="s">
        <v>6255</v>
      </c>
      <c r="C1924" s="149">
        <v>44</v>
      </c>
      <c r="D1924" s="149">
        <v>200</v>
      </c>
      <c r="E1924" s="149">
        <v>0</v>
      </c>
      <c r="F1924" s="149">
        <v>0</v>
      </c>
      <c r="G1924" s="149">
        <v>55540</v>
      </c>
      <c r="H1924" s="150" t="str">
        <f t="shared" si="90"/>
        <v>5</v>
      </c>
      <c r="I1924" s="150" t="str">
        <f t="shared" si="91"/>
        <v>55</v>
      </c>
      <c r="J1924" s="150" t="str">
        <f t="shared" si="92"/>
        <v>555</v>
      </c>
      <c r="K1924" s="150" t="s">
        <v>9658</v>
      </c>
      <c r="L1924" s="149" t="s">
        <v>6256</v>
      </c>
      <c r="M1924" s="151">
        <v>2300</v>
      </c>
    </row>
    <row r="1925" spans="1:13" s="149" customFormat="1" x14ac:dyDescent="0.25">
      <c r="A1925" s="149" t="s">
        <v>7639</v>
      </c>
      <c r="B1925" s="149" t="s">
        <v>6257</v>
      </c>
      <c r="C1925" s="149">
        <v>44</v>
      </c>
      <c r="D1925" s="149">
        <v>200</v>
      </c>
      <c r="E1925" s="149">
        <v>0</v>
      </c>
      <c r="F1925" s="149">
        <v>0</v>
      </c>
      <c r="G1925" s="149">
        <v>55560</v>
      </c>
      <c r="H1925" s="150" t="str">
        <f t="shared" si="90"/>
        <v>5</v>
      </c>
      <c r="I1925" s="150" t="str">
        <f t="shared" si="91"/>
        <v>55</v>
      </c>
      <c r="J1925" s="150" t="str">
        <f t="shared" si="92"/>
        <v>555</v>
      </c>
      <c r="K1925" s="150" t="s">
        <v>9659</v>
      </c>
      <c r="L1925" s="149" t="s">
        <v>6258</v>
      </c>
      <c r="M1925" s="151">
        <v>797</v>
      </c>
    </row>
    <row r="1926" spans="1:13" s="149" customFormat="1" x14ac:dyDescent="0.25">
      <c r="A1926" s="149" t="s">
        <v>7639</v>
      </c>
      <c r="B1926" s="149" t="s">
        <v>6259</v>
      </c>
      <c r="C1926" s="149">
        <v>44</v>
      </c>
      <c r="D1926" s="149">
        <v>200</v>
      </c>
      <c r="E1926" s="149">
        <v>0</v>
      </c>
      <c r="F1926" s="149">
        <v>0</v>
      </c>
      <c r="G1926" s="149">
        <v>55570</v>
      </c>
      <c r="H1926" s="150" t="str">
        <f t="shared" si="90"/>
        <v>5</v>
      </c>
      <c r="I1926" s="150" t="str">
        <f t="shared" si="91"/>
        <v>55</v>
      </c>
      <c r="J1926" s="150" t="str">
        <f t="shared" si="92"/>
        <v>555</v>
      </c>
      <c r="K1926" s="150" t="s">
        <v>9660</v>
      </c>
      <c r="L1926" s="149" t="s">
        <v>6260</v>
      </c>
      <c r="M1926" s="151">
        <v>2910</v>
      </c>
    </row>
    <row r="1927" spans="1:13" s="149" customFormat="1" x14ac:dyDescent="0.25">
      <c r="A1927" s="149" t="s">
        <v>7639</v>
      </c>
      <c r="B1927" s="149" t="s">
        <v>6261</v>
      </c>
      <c r="C1927" s="149">
        <v>44</v>
      </c>
      <c r="D1927" s="149">
        <v>200</v>
      </c>
      <c r="E1927" s="149">
        <v>0</v>
      </c>
      <c r="F1927" s="149">
        <v>0</v>
      </c>
      <c r="G1927" s="149">
        <v>55580</v>
      </c>
      <c r="H1927" s="150" t="str">
        <f t="shared" si="90"/>
        <v>5</v>
      </c>
      <c r="I1927" s="150" t="str">
        <f t="shared" si="91"/>
        <v>55</v>
      </c>
      <c r="J1927" s="150" t="str">
        <f t="shared" si="92"/>
        <v>555</v>
      </c>
      <c r="K1927" s="150" t="s">
        <v>9661</v>
      </c>
      <c r="L1927" s="149" t="s">
        <v>6262</v>
      </c>
      <c r="M1927" s="151">
        <v>691</v>
      </c>
    </row>
    <row r="1928" spans="1:13" s="149" customFormat="1" x14ac:dyDescent="0.25">
      <c r="A1928" s="149" t="s">
        <v>7639</v>
      </c>
      <c r="B1928" s="149" t="s">
        <v>6263</v>
      </c>
      <c r="C1928" s="149">
        <v>44</v>
      </c>
      <c r="D1928" s="149">
        <v>200</v>
      </c>
      <c r="E1928" s="149">
        <v>0</v>
      </c>
      <c r="F1928" s="149">
        <v>0</v>
      </c>
      <c r="G1928" s="149">
        <v>55600</v>
      </c>
      <c r="H1928" s="150" t="str">
        <f t="shared" si="90"/>
        <v>5</v>
      </c>
      <c r="I1928" s="150" t="str">
        <f t="shared" si="91"/>
        <v>55</v>
      </c>
      <c r="J1928" s="150" t="str">
        <f t="shared" si="92"/>
        <v>556</v>
      </c>
      <c r="K1928" s="150" t="s">
        <v>9662</v>
      </c>
      <c r="L1928" s="149" t="s">
        <v>6139</v>
      </c>
      <c r="M1928" s="151">
        <v>0</v>
      </c>
    </row>
    <row r="1929" spans="1:13" s="149" customFormat="1" x14ac:dyDescent="0.25">
      <c r="A1929" s="149" t="s">
        <v>7639</v>
      </c>
      <c r="B1929" s="149" t="s">
        <v>6264</v>
      </c>
      <c r="C1929" s="149">
        <v>44</v>
      </c>
      <c r="D1929" s="149">
        <v>200</v>
      </c>
      <c r="E1929" s="149">
        <v>0</v>
      </c>
      <c r="F1929" s="149">
        <v>0</v>
      </c>
      <c r="G1929" s="149">
        <v>55642</v>
      </c>
      <c r="H1929" s="150" t="str">
        <f t="shared" si="90"/>
        <v>5</v>
      </c>
      <c r="I1929" s="150" t="str">
        <f t="shared" si="91"/>
        <v>55</v>
      </c>
      <c r="J1929" s="150" t="str">
        <f t="shared" si="92"/>
        <v>556</v>
      </c>
      <c r="K1929" s="150" t="s">
        <v>9663</v>
      </c>
      <c r="L1929" s="149" t="s">
        <v>6265</v>
      </c>
      <c r="M1929" s="151">
        <v>3000</v>
      </c>
    </row>
    <row r="1930" spans="1:13" s="149" customFormat="1" x14ac:dyDescent="0.25">
      <c r="A1930" s="149" t="s">
        <v>7639</v>
      </c>
      <c r="B1930" s="149" t="s">
        <v>6266</v>
      </c>
      <c r="C1930" s="149">
        <v>44</v>
      </c>
      <c r="D1930" s="149">
        <v>200</v>
      </c>
      <c r="E1930" s="149">
        <v>0</v>
      </c>
      <c r="F1930" s="149">
        <v>0</v>
      </c>
      <c r="G1930" s="149">
        <v>55650</v>
      </c>
      <c r="H1930" s="150" t="str">
        <f t="shared" si="90"/>
        <v>5</v>
      </c>
      <c r="I1930" s="150" t="str">
        <f t="shared" si="91"/>
        <v>55</v>
      </c>
      <c r="J1930" s="150" t="str">
        <f t="shared" si="92"/>
        <v>556</v>
      </c>
      <c r="K1930" s="150" t="s">
        <v>9664</v>
      </c>
      <c r="L1930" s="149" t="s">
        <v>6185</v>
      </c>
      <c r="M1930" s="151">
        <v>2340</v>
      </c>
    </row>
    <row r="1931" spans="1:13" s="149" customFormat="1" x14ac:dyDescent="0.25">
      <c r="A1931" s="149" t="s">
        <v>7639</v>
      </c>
      <c r="B1931" s="149" t="s">
        <v>6267</v>
      </c>
      <c r="C1931" s="149">
        <v>44</v>
      </c>
      <c r="D1931" s="149">
        <v>200</v>
      </c>
      <c r="E1931" s="149">
        <v>0</v>
      </c>
      <c r="F1931" s="149">
        <v>0</v>
      </c>
      <c r="G1931" s="149">
        <v>55651</v>
      </c>
      <c r="H1931" s="150" t="str">
        <f t="shared" si="90"/>
        <v>5</v>
      </c>
      <c r="I1931" s="150" t="str">
        <f t="shared" si="91"/>
        <v>55</v>
      </c>
      <c r="J1931" s="150" t="str">
        <f t="shared" si="92"/>
        <v>556</v>
      </c>
      <c r="K1931" s="150" t="s">
        <v>9665</v>
      </c>
      <c r="L1931" s="149" t="s">
        <v>6187</v>
      </c>
      <c r="M1931" s="151">
        <v>298</v>
      </c>
    </row>
    <row r="1932" spans="1:13" s="149" customFormat="1" x14ac:dyDescent="0.25">
      <c r="A1932" s="149" t="s">
        <v>7639</v>
      </c>
      <c r="B1932" s="149" t="s">
        <v>6268</v>
      </c>
      <c r="C1932" s="149">
        <v>44</v>
      </c>
      <c r="D1932" s="149">
        <v>200</v>
      </c>
      <c r="E1932" s="149">
        <v>0</v>
      </c>
      <c r="F1932" s="149">
        <v>0</v>
      </c>
      <c r="G1932" s="149">
        <v>55800</v>
      </c>
      <c r="H1932" s="150" t="str">
        <f t="shared" si="90"/>
        <v>5</v>
      </c>
      <c r="I1932" s="150" t="str">
        <f t="shared" si="91"/>
        <v>55</v>
      </c>
      <c r="J1932" s="150" t="str">
        <f t="shared" si="92"/>
        <v>558</v>
      </c>
      <c r="K1932" s="150" t="s">
        <v>9666</v>
      </c>
      <c r="L1932" s="149" t="s">
        <v>6269</v>
      </c>
      <c r="M1932" s="151">
        <v>12000</v>
      </c>
    </row>
    <row r="1933" spans="1:13" s="149" customFormat="1" x14ac:dyDescent="0.25">
      <c r="A1933" s="149" t="s">
        <v>7639</v>
      </c>
      <c r="B1933" s="149" t="s">
        <v>6270</v>
      </c>
      <c r="C1933" s="149">
        <v>44</v>
      </c>
      <c r="D1933" s="149">
        <v>200</v>
      </c>
      <c r="E1933" s="149">
        <v>0</v>
      </c>
      <c r="F1933" s="149">
        <v>0</v>
      </c>
      <c r="G1933" s="149">
        <v>56211</v>
      </c>
      <c r="H1933" s="150" t="str">
        <f t="shared" si="90"/>
        <v>5</v>
      </c>
      <c r="I1933" s="150" t="str">
        <f t="shared" si="91"/>
        <v>56</v>
      </c>
      <c r="J1933" s="150" t="str">
        <f t="shared" si="92"/>
        <v>562</v>
      </c>
      <c r="K1933" s="150" t="s">
        <v>9667</v>
      </c>
      <c r="L1933" s="149" t="s">
        <v>6271</v>
      </c>
      <c r="M1933" s="151">
        <v>0</v>
      </c>
    </row>
    <row r="1934" spans="1:13" s="149" customFormat="1" x14ac:dyDescent="0.25">
      <c r="A1934" s="149" t="s">
        <v>7639</v>
      </c>
      <c r="B1934" s="149" t="s">
        <v>6272</v>
      </c>
      <c r="C1934" s="149">
        <v>44</v>
      </c>
      <c r="D1934" s="149">
        <v>200</v>
      </c>
      <c r="E1934" s="149">
        <v>0</v>
      </c>
      <c r="F1934" s="149">
        <v>0</v>
      </c>
      <c r="G1934" s="149">
        <v>56400</v>
      </c>
      <c r="H1934" s="150" t="str">
        <f t="shared" si="90"/>
        <v>5</v>
      </c>
      <c r="I1934" s="150" t="str">
        <f t="shared" si="91"/>
        <v>56</v>
      </c>
      <c r="J1934" s="150" t="str">
        <f t="shared" si="92"/>
        <v>564</v>
      </c>
      <c r="K1934" s="150" t="s">
        <v>9668</v>
      </c>
      <c r="L1934" s="149" t="s">
        <v>6191</v>
      </c>
      <c r="M1934" s="151">
        <v>0</v>
      </c>
    </row>
    <row r="1935" spans="1:13" s="149" customFormat="1" x14ac:dyDescent="0.25">
      <c r="A1935" s="149" t="s">
        <v>7639</v>
      </c>
      <c r="B1935" s="149" t="s">
        <v>6273</v>
      </c>
      <c r="C1935" s="149">
        <v>44</v>
      </c>
      <c r="D1935" s="149">
        <v>200</v>
      </c>
      <c r="E1935" s="149">
        <v>1</v>
      </c>
      <c r="F1935" s="149">
        <v>0</v>
      </c>
      <c r="G1935" s="149">
        <v>55800</v>
      </c>
      <c r="H1935" s="150" t="str">
        <f t="shared" si="90"/>
        <v>5</v>
      </c>
      <c r="I1935" s="150" t="str">
        <f t="shared" si="91"/>
        <v>55</v>
      </c>
      <c r="J1935" s="150" t="str">
        <f t="shared" si="92"/>
        <v>558</v>
      </c>
      <c r="K1935" s="150" t="s">
        <v>9669</v>
      </c>
      <c r="L1935" s="149" t="s">
        <v>6269</v>
      </c>
      <c r="M1935" s="151">
        <v>0</v>
      </c>
    </row>
    <row r="1936" spans="1:13" s="149" customFormat="1" x14ac:dyDescent="0.25">
      <c r="A1936" s="149" t="s">
        <v>7639</v>
      </c>
      <c r="B1936" s="149" t="s">
        <v>6274</v>
      </c>
      <c r="C1936" s="149">
        <v>44</v>
      </c>
      <c r="D1936" s="149">
        <v>200</v>
      </c>
      <c r="E1936" s="149">
        <v>5</v>
      </c>
      <c r="F1936" s="149">
        <v>0</v>
      </c>
      <c r="G1936" s="149">
        <v>55800</v>
      </c>
      <c r="H1936" s="150" t="str">
        <f t="shared" si="90"/>
        <v>5</v>
      </c>
      <c r="I1936" s="150" t="str">
        <f t="shared" si="91"/>
        <v>55</v>
      </c>
      <c r="J1936" s="150" t="str">
        <f t="shared" si="92"/>
        <v>558</v>
      </c>
      <c r="K1936" s="150" t="s">
        <v>9670</v>
      </c>
      <c r="L1936" s="149" t="s">
        <v>6269</v>
      </c>
      <c r="M1936" s="151">
        <v>0</v>
      </c>
    </row>
    <row r="1937" spans="1:13" s="149" customFormat="1" x14ac:dyDescent="0.25">
      <c r="A1937" s="149" t="s">
        <v>7639</v>
      </c>
      <c r="B1937" s="149" t="s">
        <v>6275</v>
      </c>
      <c r="C1937" s="149">
        <v>44</v>
      </c>
      <c r="D1937" s="149">
        <v>220</v>
      </c>
      <c r="E1937" s="149">
        <v>0</v>
      </c>
      <c r="F1937" s="149">
        <v>0</v>
      </c>
      <c r="G1937" s="149">
        <v>55105</v>
      </c>
      <c r="H1937" s="150" t="str">
        <f t="shared" si="90"/>
        <v>5</v>
      </c>
      <c r="I1937" s="150" t="str">
        <f t="shared" si="91"/>
        <v>55</v>
      </c>
      <c r="J1937" s="150" t="str">
        <f t="shared" si="92"/>
        <v>551</v>
      </c>
      <c r="K1937" s="150" t="s">
        <v>9671</v>
      </c>
      <c r="L1937" s="149" t="s">
        <v>6251</v>
      </c>
      <c r="M1937" s="151">
        <v>70402</v>
      </c>
    </row>
    <row r="1938" spans="1:13" s="149" customFormat="1" x14ac:dyDescent="0.25">
      <c r="A1938" s="149" t="s">
        <v>7639</v>
      </c>
      <c r="B1938" s="149" t="s">
        <v>6276</v>
      </c>
      <c r="C1938" s="149">
        <v>44</v>
      </c>
      <c r="D1938" s="149">
        <v>220</v>
      </c>
      <c r="E1938" s="149">
        <v>0</v>
      </c>
      <c r="F1938" s="149">
        <v>0</v>
      </c>
      <c r="G1938" s="149">
        <v>55800</v>
      </c>
      <c r="H1938" s="150" t="str">
        <f t="shared" si="90"/>
        <v>5</v>
      </c>
      <c r="I1938" s="150" t="str">
        <f t="shared" si="91"/>
        <v>55</v>
      </c>
      <c r="J1938" s="150" t="str">
        <f t="shared" si="92"/>
        <v>558</v>
      </c>
      <c r="K1938" s="150" t="s">
        <v>9672</v>
      </c>
      <c r="L1938" s="149" t="s">
        <v>6269</v>
      </c>
      <c r="M1938" s="151">
        <v>0</v>
      </c>
    </row>
    <row r="1939" spans="1:13" s="149" customFormat="1" x14ac:dyDescent="0.25">
      <c r="A1939" s="149" t="s">
        <v>7639</v>
      </c>
      <c r="B1939" s="149" t="s">
        <v>6277</v>
      </c>
      <c r="C1939" s="149">
        <v>44</v>
      </c>
      <c r="D1939" s="149">
        <v>220</v>
      </c>
      <c r="E1939" s="149">
        <v>0</v>
      </c>
      <c r="F1939" s="149">
        <v>0</v>
      </c>
      <c r="G1939" s="149">
        <v>56203</v>
      </c>
      <c r="H1939" s="150" t="str">
        <f t="shared" si="90"/>
        <v>5</v>
      </c>
      <c r="I1939" s="150" t="str">
        <f t="shared" si="91"/>
        <v>56</v>
      </c>
      <c r="J1939" s="150" t="str">
        <f t="shared" si="92"/>
        <v>562</v>
      </c>
      <c r="K1939" s="150" t="s">
        <v>9673</v>
      </c>
      <c r="L1939" s="149" t="s">
        <v>6278</v>
      </c>
      <c r="M1939" s="151">
        <v>0</v>
      </c>
    </row>
    <row r="1940" spans="1:13" s="149" customFormat="1" x14ac:dyDescent="0.25">
      <c r="A1940" s="149" t="s">
        <v>7639</v>
      </c>
      <c r="B1940" s="149" t="s">
        <v>6279</v>
      </c>
      <c r="C1940" s="149">
        <v>44</v>
      </c>
      <c r="D1940" s="149">
        <v>220</v>
      </c>
      <c r="E1940" s="149">
        <v>0</v>
      </c>
      <c r="F1940" s="149">
        <v>0</v>
      </c>
      <c r="G1940" s="149">
        <v>56225</v>
      </c>
      <c r="H1940" s="150" t="str">
        <f t="shared" si="90"/>
        <v>5</v>
      </c>
      <c r="I1940" s="150" t="str">
        <f t="shared" si="91"/>
        <v>56</v>
      </c>
      <c r="J1940" s="150" t="str">
        <f t="shared" si="92"/>
        <v>562</v>
      </c>
      <c r="K1940" s="150" t="s">
        <v>9674</v>
      </c>
      <c r="L1940" s="149" t="s">
        <v>6280</v>
      </c>
      <c r="M1940" s="151">
        <v>0</v>
      </c>
    </row>
    <row r="1941" spans="1:13" s="149" customFormat="1" x14ac:dyDescent="0.25">
      <c r="A1941" s="149" t="s">
        <v>7639</v>
      </c>
      <c r="B1941" s="149" t="s">
        <v>6281</v>
      </c>
      <c r="C1941" s="149">
        <v>44</v>
      </c>
      <c r="D1941" s="149">
        <v>220</v>
      </c>
      <c r="E1941" s="149">
        <v>0</v>
      </c>
      <c r="F1941" s="149">
        <v>0</v>
      </c>
      <c r="G1941" s="149">
        <v>56400</v>
      </c>
      <c r="H1941" s="150" t="str">
        <f t="shared" si="90"/>
        <v>5</v>
      </c>
      <c r="I1941" s="150" t="str">
        <f t="shared" si="91"/>
        <v>56</v>
      </c>
      <c r="J1941" s="150" t="str">
        <f t="shared" si="92"/>
        <v>564</v>
      </c>
      <c r="K1941" s="150" t="s">
        <v>9675</v>
      </c>
      <c r="L1941" s="149" t="s">
        <v>6191</v>
      </c>
      <c r="M1941" s="151">
        <v>0</v>
      </c>
    </row>
    <row r="1942" spans="1:13" s="149" customFormat="1" x14ac:dyDescent="0.25">
      <c r="A1942" s="149" t="s">
        <v>7639</v>
      </c>
      <c r="B1942" s="149" t="s">
        <v>6282</v>
      </c>
      <c r="C1942" s="149">
        <v>44</v>
      </c>
      <c r="D1942" s="149">
        <v>220</v>
      </c>
      <c r="E1942" s="149">
        <v>0</v>
      </c>
      <c r="F1942" s="149">
        <v>0</v>
      </c>
      <c r="G1942" s="149">
        <v>56405</v>
      </c>
      <c r="H1942" s="150" t="str">
        <f t="shared" si="90"/>
        <v>5</v>
      </c>
      <c r="I1942" s="150" t="str">
        <f t="shared" si="91"/>
        <v>56</v>
      </c>
      <c r="J1942" s="150" t="str">
        <f t="shared" si="92"/>
        <v>564</v>
      </c>
      <c r="K1942" s="150" t="s">
        <v>9676</v>
      </c>
      <c r="L1942" s="149" t="s">
        <v>6283</v>
      </c>
      <c r="M1942" s="151">
        <v>37760</v>
      </c>
    </row>
    <row r="1943" spans="1:13" s="149" customFormat="1" x14ac:dyDescent="0.25">
      <c r="A1943" s="149" t="s">
        <v>7639</v>
      </c>
      <c r="B1943" s="149" t="s">
        <v>6284</v>
      </c>
      <c r="C1943" s="149">
        <v>44</v>
      </c>
      <c r="D1943" s="149">
        <v>340</v>
      </c>
      <c r="E1943" s="149">
        <v>0</v>
      </c>
      <c r="F1943" s="149">
        <v>0</v>
      </c>
      <c r="G1943" s="149">
        <v>56224</v>
      </c>
      <c r="H1943" s="150" t="str">
        <f t="shared" si="90"/>
        <v>5</v>
      </c>
      <c r="I1943" s="150" t="str">
        <f t="shared" si="91"/>
        <v>56</v>
      </c>
      <c r="J1943" s="150" t="str">
        <f t="shared" si="92"/>
        <v>562</v>
      </c>
      <c r="K1943" s="150" t="s">
        <v>9677</v>
      </c>
      <c r="L1943" s="149" t="s">
        <v>6285</v>
      </c>
      <c r="M1943" s="151">
        <v>0</v>
      </c>
    </row>
    <row r="1944" spans="1:13" s="149" customFormat="1" x14ac:dyDescent="0.25">
      <c r="A1944" s="149" t="s">
        <v>7639</v>
      </c>
      <c r="B1944" s="149" t="s">
        <v>9678</v>
      </c>
      <c r="C1944" s="149">
        <v>44</v>
      </c>
      <c r="D1944" s="149">
        <v>400</v>
      </c>
      <c r="E1944" s="149">
        <v>0</v>
      </c>
      <c r="F1944" s="149">
        <v>649000</v>
      </c>
      <c r="G1944" s="149">
        <v>56200</v>
      </c>
      <c r="H1944" s="150" t="str">
        <f t="shared" si="90"/>
        <v>5</v>
      </c>
      <c r="I1944" s="150" t="str">
        <f t="shared" si="91"/>
        <v>56</v>
      </c>
      <c r="J1944" s="150" t="str">
        <f t="shared" si="92"/>
        <v>562</v>
      </c>
      <c r="K1944" s="150" t="s">
        <v>9679</v>
      </c>
      <c r="L1944" s="149" t="s">
        <v>9680</v>
      </c>
      <c r="M1944" s="151">
        <v>125000</v>
      </c>
    </row>
    <row r="1945" spans="1:13" s="149" customFormat="1" x14ac:dyDescent="0.25">
      <c r="A1945" s="149" t="s">
        <v>7639</v>
      </c>
      <c r="B1945" s="149" t="s">
        <v>6286</v>
      </c>
      <c r="C1945" s="149">
        <v>46</v>
      </c>
      <c r="D1945" s="149">
        <v>0</v>
      </c>
      <c r="E1945" s="149">
        <v>0</v>
      </c>
      <c r="F1945" s="149">
        <v>0</v>
      </c>
      <c r="G1945" s="149">
        <v>48860</v>
      </c>
      <c r="H1945" s="150" t="str">
        <f t="shared" si="90"/>
        <v>4</v>
      </c>
      <c r="I1945" s="150" t="str">
        <f t="shared" si="91"/>
        <v>48</v>
      </c>
      <c r="J1945" s="150" t="str">
        <f t="shared" si="92"/>
        <v>488</v>
      </c>
      <c r="K1945" s="150" t="s">
        <v>9681</v>
      </c>
      <c r="L1945" s="149" t="s">
        <v>41</v>
      </c>
      <c r="M1945" s="151">
        <v>-1500000</v>
      </c>
    </row>
    <row r="1946" spans="1:13" s="149" customFormat="1" x14ac:dyDescent="0.25">
      <c r="A1946" s="149" t="s">
        <v>7639</v>
      </c>
      <c r="B1946" s="149" t="s">
        <v>6287</v>
      </c>
      <c r="C1946" s="149">
        <v>46</v>
      </c>
      <c r="D1946" s="149">
        <v>0</v>
      </c>
      <c r="E1946" s="149">
        <v>0</v>
      </c>
      <c r="F1946" s="149">
        <v>0</v>
      </c>
      <c r="G1946" s="149">
        <v>56400</v>
      </c>
      <c r="H1946" s="150" t="str">
        <f t="shared" si="90"/>
        <v>5</v>
      </c>
      <c r="I1946" s="150" t="str">
        <f t="shared" si="91"/>
        <v>56</v>
      </c>
      <c r="J1946" s="150" t="str">
        <f t="shared" si="92"/>
        <v>564</v>
      </c>
      <c r="K1946" s="150" t="s">
        <v>9682</v>
      </c>
      <c r="L1946" s="149" t="s">
        <v>6191</v>
      </c>
      <c r="M1946" s="151">
        <v>43506679.670000002</v>
      </c>
    </row>
    <row r="1947" spans="1:13" s="149" customFormat="1" x14ac:dyDescent="0.25">
      <c r="A1947" s="149" t="s">
        <v>7639</v>
      </c>
      <c r="B1947" s="149" t="s">
        <v>6288</v>
      </c>
      <c r="C1947" s="149">
        <v>46</v>
      </c>
      <c r="D1947" s="149">
        <v>0</v>
      </c>
      <c r="E1947" s="149">
        <v>0</v>
      </c>
      <c r="F1947" s="149">
        <v>801000</v>
      </c>
      <c r="G1947" s="149">
        <v>52105</v>
      </c>
      <c r="H1947" s="150" t="str">
        <f t="shared" si="90"/>
        <v>5</v>
      </c>
      <c r="I1947" s="150" t="str">
        <f t="shared" si="91"/>
        <v>52</v>
      </c>
      <c r="J1947" s="150" t="str">
        <f t="shared" si="92"/>
        <v>521</v>
      </c>
      <c r="K1947" s="150" t="s">
        <v>9683</v>
      </c>
      <c r="L1947" s="149" t="s">
        <v>6289</v>
      </c>
      <c r="M1947" s="151">
        <v>133622.04</v>
      </c>
    </row>
    <row r="1948" spans="1:13" s="149" customFormat="1" x14ac:dyDescent="0.25">
      <c r="A1948" s="149" t="s">
        <v>7639</v>
      </c>
      <c r="B1948" s="149" t="s">
        <v>6290</v>
      </c>
      <c r="C1948" s="149">
        <v>46</v>
      </c>
      <c r="D1948" s="149">
        <v>0</v>
      </c>
      <c r="E1948" s="149">
        <v>0</v>
      </c>
      <c r="F1948" s="149">
        <v>801000</v>
      </c>
      <c r="G1948" s="149">
        <v>52130</v>
      </c>
      <c r="H1948" s="150" t="str">
        <f t="shared" si="90"/>
        <v>5</v>
      </c>
      <c r="I1948" s="150" t="str">
        <f t="shared" si="91"/>
        <v>52</v>
      </c>
      <c r="J1948" s="150" t="str">
        <f t="shared" si="92"/>
        <v>521</v>
      </c>
      <c r="K1948" s="150" t="s">
        <v>9684</v>
      </c>
      <c r="L1948" s="149" t="s">
        <v>6291</v>
      </c>
      <c r="M1948" s="151">
        <v>137973.6</v>
      </c>
    </row>
    <row r="1949" spans="1:13" s="149" customFormat="1" x14ac:dyDescent="0.25">
      <c r="A1949" s="149" t="s">
        <v>7639</v>
      </c>
      <c r="B1949" s="149" t="s">
        <v>6292</v>
      </c>
      <c r="C1949" s="149">
        <v>46</v>
      </c>
      <c r="D1949" s="149">
        <v>0</v>
      </c>
      <c r="E1949" s="149">
        <v>0</v>
      </c>
      <c r="F1949" s="149">
        <v>801000</v>
      </c>
      <c r="G1949" s="149">
        <v>53000</v>
      </c>
      <c r="H1949" s="150" t="str">
        <f t="shared" si="90"/>
        <v>5</v>
      </c>
      <c r="I1949" s="150" t="str">
        <f t="shared" si="91"/>
        <v>53</v>
      </c>
      <c r="J1949" s="150" t="str">
        <f t="shared" si="92"/>
        <v>530</v>
      </c>
      <c r="K1949" s="150" t="s">
        <v>9685</v>
      </c>
      <c r="L1949" s="149" t="s">
        <v>6293</v>
      </c>
      <c r="M1949" s="151">
        <v>0</v>
      </c>
    </row>
    <row r="1950" spans="1:13" s="149" customFormat="1" x14ac:dyDescent="0.25">
      <c r="A1950" s="149" t="s">
        <v>7639</v>
      </c>
      <c r="B1950" s="149" t="s">
        <v>6294</v>
      </c>
      <c r="C1950" s="149">
        <v>46</v>
      </c>
      <c r="D1950" s="149">
        <v>0</v>
      </c>
      <c r="E1950" s="149">
        <v>0</v>
      </c>
      <c r="F1950" s="149">
        <v>801000</v>
      </c>
      <c r="G1950" s="149">
        <v>53220</v>
      </c>
      <c r="H1950" s="150" t="str">
        <f t="shared" si="90"/>
        <v>5</v>
      </c>
      <c r="I1950" s="150" t="str">
        <f t="shared" si="91"/>
        <v>53</v>
      </c>
      <c r="J1950" s="150" t="str">
        <f t="shared" si="92"/>
        <v>532</v>
      </c>
      <c r="K1950" s="150" t="s">
        <v>9686</v>
      </c>
      <c r="L1950" s="149" t="s">
        <v>6295</v>
      </c>
      <c r="M1950" s="151">
        <v>56220.3</v>
      </c>
    </row>
    <row r="1951" spans="1:13" s="149" customFormat="1" x14ac:dyDescent="0.25">
      <c r="A1951" s="149" t="s">
        <v>7639</v>
      </c>
      <c r="B1951" s="149" t="s">
        <v>6296</v>
      </c>
      <c r="C1951" s="149">
        <v>46</v>
      </c>
      <c r="D1951" s="149">
        <v>0</v>
      </c>
      <c r="E1951" s="149">
        <v>0</v>
      </c>
      <c r="F1951" s="149">
        <v>801000</v>
      </c>
      <c r="G1951" s="149">
        <v>53320</v>
      </c>
      <c r="H1951" s="150" t="str">
        <f t="shared" si="90"/>
        <v>5</v>
      </c>
      <c r="I1951" s="150" t="str">
        <f t="shared" si="91"/>
        <v>53</v>
      </c>
      <c r="J1951" s="150" t="str">
        <f t="shared" si="92"/>
        <v>533</v>
      </c>
      <c r="K1951" s="150" t="s">
        <v>9687</v>
      </c>
      <c r="L1951" s="149" t="s">
        <v>6297</v>
      </c>
      <c r="M1951" s="151">
        <v>16838.919999999998</v>
      </c>
    </row>
    <row r="1952" spans="1:13" s="149" customFormat="1" x14ac:dyDescent="0.25">
      <c r="A1952" s="149" t="s">
        <v>7639</v>
      </c>
      <c r="B1952" s="149" t="s">
        <v>6298</v>
      </c>
      <c r="C1952" s="149">
        <v>46</v>
      </c>
      <c r="D1952" s="149">
        <v>0</v>
      </c>
      <c r="E1952" s="149">
        <v>0</v>
      </c>
      <c r="F1952" s="149">
        <v>801000</v>
      </c>
      <c r="G1952" s="149">
        <v>53340</v>
      </c>
      <c r="H1952" s="150" t="str">
        <f t="shared" si="90"/>
        <v>5</v>
      </c>
      <c r="I1952" s="150" t="str">
        <f t="shared" si="91"/>
        <v>53</v>
      </c>
      <c r="J1952" s="150" t="str">
        <f t="shared" si="92"/>
        <v>533</v>
      </c>
      <c r="K1952" s="150" t="s">
        <v>9688</v>
      </c>
      <c r="L1952" s="149" t="s">
        <v>6299</v>
      </c>
      <c r="M1952" s="151">
        <v>3938.14</v>
      </c>
    </row>
    <row r="1953" spans="1:13" s="149" customFormat="1" x14ac:dyDescent="0.25">
      <c r="A1953" s="149" t="s">
        <v>7639</v>
      </c>
      <c r="B1953" s="149" t="s">
        <v>6300</v>
      </c>
      <c r="C1953" s="149">
        <v>46</v>
      </c>
      <c r="D1953" s="149">
        <v>0</v>
      </c>
      <c r="E1953" s="149">
        <v>0</v>
      </c>
      <c r="F1953" s="149">
        <v>801000</v>
      </c>
      <c r="G1953" s="149">
        <v>53420</v>
      </c>
      <c r="H1953" s="150" t="str">
        <f t="shared" si="90"/>
        <v>5</v>
      </c>
      <c r="I1953" s="150" t="str">
        <f t="shared" si="91"/>
        <v>53</v>
      </c>
      <c r="J1953" s="150" t="str">
        <f t="shared" si="92"/>
        <v>534</v>
      </c>
      <c r="K1953" s="150" t="s">
        <v>9689</v>
      </c>
      <c r="L1953" s="149" t="s">
        <v>6301</v>
      </c>
      <c r="M1953" s="151">
        <v>88171.45</v>
      </c>
    </row>
    <row r="1954" spans="1:13" s="149" customFormat="1" x14ac:dyDescent="0.25">
      <c r="A1954" s="149" t="s">
        <v>7639</v>
      </c>
      <c r="B1954" s="149" t="s">
        <v>6302</v>
      </c>
      <c r="C1954" s="149">
        <v>46</v>
      </c>
      <c r="D1954" s="149">
        <v>0</v>
      </c>
      <c r="E1954" s="149">
        <v>0</v>
      </c>
      <c r="F1954" s="149">
        <v>801000</v>
      </c>
      <c r="G1954" s="149">
        <v>53520</v>
      </c>
      <c r="H1954" s="150" t="str">
        <f t="shared" si="90"/>
        <v>5</v>
      </c>
      <c r="I1954" s="150" t="str">
        <f t="shared" si="91"/>
        <v>53</v>
      </c>
      <c r="J1954" s="150" t="str">
        <f t="shared" si="92"/>
        <v>535</v>
      </c>
      <c r="K1954" s="150" t="s">
        <v>9690</v>
      </c>
      <c r="L1954" s="149" t="s">
        <v>6303</v>
      </c>
      <c r="M1954" s="151">
        <v>135.80000000000001</v>
      </c>
    </row>
    <row r="1955" spans="1:13" s="149" customFormat="1" x14ac:dyDescent="0.25">
      <c r="A1955" s="149" t="s">
        <v>7639</v>
      </c>
      <c r="B1955" s="149" t="s">
        <v>6304</v>
      </c>
      <c r="C1955" s="149">
        <v>46</v>
      </c>
      <c r="D1955" s="149">
        <v>0</v>
      </c>
      <c r="E1955" s="149">
        <v>0</v>
      </c>
      <c r="F1955" s="149">
        <v>801000</v>
      </c>
      <c r="G1955" s="149">
        <v>53620</v>
      </c>
      <c r="H1955" s="150" t="str">
        <f t="shared" si="90"/>
        <v>5</v>
      </c>
      <c r="I1955" s="150" t="str">
        <f t="shared" si="91"/>
        <v>53</v>
      </c>
      <c r="J1955" s="150" t="str">
        <f t="shared" si="92"/>
        <v>536</v>
      </c>
      <c r="K1955" s="150" t="s">
        <v>9691</v>
      </c>
      <c r="L1955" s="149" t="s">
        <v>6305</v>
      </c>
      <c r="M1955" s="151">
        <v>5135.32</v>
      </c>
    </row>
    <row r="1956" spans="1:13" s="149" customFormat="1" x14ac:dyDescent="0.25">
      <c r="A1956" s="149" t="s">
        <v>7639</v>
      </c>
      <c r="B1956" s="149" t="s">
        <v>6306</v>
      </c>
      <c r="C1956" s="149">
        <v>46</v>
      </c>
      <c r="D1956" s="149">
        <v>0</v>
      </c>
      <c r="E1956" s="149">
        <v>0</v>
      </c>
      <c r="F1956" s="149">
        <v>801000</v>
      </c>
      <c r="G1956" s="149">
        <v>55630</v>
      </c>
      <c r="H1956" s="150" t="str">
        <f t="shared" si="90"/>
        <v>5</v>
      </c>
      <c r="I1956" s="150" t="str">
        <f t="shared" si="91"/>
        <v>55</v>
      </c>
      <c r="J1956" s="150" t="str">
        <f t="shared" si="92"/>
        <v>556</v>
      </c>
      <c r="K1956" s="150" t="s">
        <v>9692</v>
      </c>
      <c r="L1956" s="149" t="s">
        <v>6307</v>
      </c>
      <c r="M1956" s="151">
        <v>2500</v>
      </c>
    </row>
    <row r="1957" spans="1:13" s="149" customFormat="1" x14ac:dyDescent="0.25">
      <c r="A1957" s="149" t="s">
        <v>7639</v>
      </c>
      <c r="B1957" s="149" t="s">
        <v>6308</v>
      </c>
      <c r="C1957" s="149">
        <v>46</v>
      </c>
      <c r="D1957" s="149">
        <v>0</v>
      </c>
      <c r="E1957" s="149">
        <v>0</v>
      </c>
      <c r="F1957" s="149">
        <v>801000</v>
      </c>
      <c r="G1957" s="149">
        <v>55700</v>
      </c>
      <c r="H1957" s="150" t="str">
        <f t="shared" si="90"/>
        <v>5</v>
      </c>
      <c r="I1957" s="150" t="str">
        <f t="shared" si="91"/>
        <v>55</v>
      </c>
      <c r="J1957" s="150" t="str">
        <f t="shared" si="92"/>
        <v>557</v>
      </c>
      <c r="K1957" s="150" t="s">
        <v>9693</v>
      </c>
      <c r="L1957" s="149" t="s">
        <v>6309</v>
      </c>
      <c r="M1957" s="151">
        <v>12000</v>
      </c>
    </row>
    <row r="1958" spans="1:13" s="149" customFormat="1" x14ac:dyDescent="0.25">
      <c r="A1958" s="149" t="s">
        <v>7639</v>
      </c>
      <c r="B1958" s="149" t="s">
        <v>6310</v>
      </c>
      <c r="C1958" s="149">
        <v>46</v>
      </c>
      <c r="D1958" s="149">
        <v>0</v>
      </c>
      <c r="E1958" s="149">
        <v>0</v>
      </c>
      <c r="F1958" s="149">
        <v>801000</v>
      </c>
      <c r="G1958" s="149">
        <v>55710</v>
      </c>
      <c r="H1958" s="150" t="str">
        <f t="shared" si="90"/>
        <v>5</v>
      </c>
      <c r="I1958" s="150" t="str">
        <f t="shared" si="91"/>
        <v>55</v>
      </c>
      <c r="J1958" s="150" t="str">
        <f t="shared" si="92"/>
        <v>557</v>
      </c>
      <c r="K1958" s="150" t="s">
        <v>9694</v>
      </c>
      <c r="L1958" s="149" t="s">
        <v>6311</v>
      </c>
      <c r="M1958" s="151">
        <v>0</v>
      </c>
    </row>
    <row r="1959" spans="1:13" s="149" customFormat="1" x14ac:dyDescent="0.25">
      <c r="A1959" s="149" t="s">
        <v>7639</v>
      </c>
      <c r="B1959" s="149" t="s">
        <v>6312</v>
      </c>
      <c r="C1959" s="149">
        <v>46</v>
      </c>
      <c r="D1959" s="149">
        <v>1</v>
      </c>
      <c r="E1959" s="149">
        <v>0</v>
      </c>
      <c r="F1959" s="149">
        <v>880000</v>
      </c>
      <c r="G1959" s="149">
        <v>54300</v>
      </c>
      <c r="H1959" s="150" t="str">
        <f t="shared" si="90"/>
        <v>5</v>
      </c>
      <c r="I1959" s="150" t="str">
        <f t="shared" si="91"/>
        <v>54</v>
      </c>
      <c r="J1959" s="150" t="str">
        <f t="shared" si="92"/>
        <v>543</v>
      </c>
      <c r="K1959" s="150" t="s">
        <v>9695</v>
      </c>
      <c r="L1959" s="149" t="s">
        <v>6313</v>
      </c>
      <c r="M1959" s="151">
        <v>1000</v>
      </c>
    </row>
    <row r="1960" spans="1:13" s="149" customFormat="1" x14ac:dyDescent="0.25">
      <c r="A1960" s="149" t="s">
        <v>7639</v>
      </c>
      <c r="B1960" s="149" t="s">
        <v>6314</v>
      </c>
      <c r="C1960" s="149">
        <v>46</v>
      </c>
      <c r="D1960" s="149">
        <v>1</v>
      </c>
      <c r="E1960" s="149">
        <v>0</v>
      </c>
      <c r="F1960" s="149">
        <v>880000</v>
      </c>
      <c r="G1960" s="149">
        <v>55200</v>
      </c>
      <c r="H1960" s="150" t="str">
        <f t="shared" si="90"/>
        <v>5</v>
      </c>
      <c r="I1960" s="150" t="str">
        <f t="shared" si="91"/>
        <v>55</v>
      </c>
      <c r="J1960" s="150" t="str">
        <f t="shared" si="92"/>
        <v>552</v>
      </c>
      <c r="K1960" s="150" t="s">
        <v>9696</v>
      </c>
      <c r="L1960" s="149" t="s">
        <v>6315</v>
      </c>
      <c r="M1960" s="151">
        <v>1305</v>
      </c>
    </row>
    <row r="1961" spans="1:13" s="149" customFormat="1" x14ac:dyDescent="0.25">
      <c r="A1961" s="149" t="s">
        <v>7639</v>
      </c>
      <c r="B1961" s="149" t="s">
        <v>6316</v>
      </c>
      <c r="C1961" s="149">
        <v>46</v>
      </c>
      <c r="D1961" s="149">
        <v>1</v>
      </c>
      <c r="E1961" s="149">
        <v>0</v>
      </c>
      <c r="F1961" s="149">
        <v>880000</v>
      </c>
      <c r="G1961" s="149">
        <v>55635</v>
      </c>
      <c r="H1961" s="150" t="str">
        <f t="shared" si="90"/>
        <v>5</v>
      </c>
      <c r="I1961" s="150" t="str">
        <f t="shared" si="91"/>
        <v>55</v>
      </c>
      <c r="J1961" s="150" t="str">
        <f t="shared" si="92"/>
        <v>556</v>
      </c>
      <c r="K1961" s="150" t="s">
        <v>9697</v>
      </c>
      <c r="L1961" s="149" t="s">
        <v>6317</v>
      </c>
      <c r="M1961" s="151">
        <v>0</v>
      </c>
    </row>
    <row r="1962" spans="1:13" s="149" customFormat="1" x14ac:dyDescent="0.25">
      <c r="A1962" s="149" t="s">
        <v>7639</v>
      </c>
      <c r="B1962" s="149" t="s">
        <v>6318</v>
      </c>
      <c r="C1962" s="149">
        <v>46</v>
      </c>
      <c r="D1962" s="149">
        <v>1</v>
      </c>
      <c r="E1962" s="149">
        <v>0</v>
      </c>
      <c r="F1962" s="149">
        <v>880000</v>
      </c>
      <c r="G1962" s="149">
        <v>55700</v>
      </c>
      <c r="H1962" s="150" t="str">
        <f t="shared" si="90"/>
        <v>5</v>
      </c>
      <c r="I1962" s="150" t="str">
        <f t="shared" si="91"/>
        <v>55</v>
      </c>
      <c r="J1962" s="150" t="str">
        <f t="shared" si="92"/>
        <v>557</v>
      </c>
      <c r="K1962" s="150" t="s">
        <v>9698</v>
      </c>
      <c r="L1962" s="149" t="s">
        <v>6319</v>
      </c>
      <c r="M1962" s="151">
        <v>10000</v>
      </c>
    </row>
    <row r="1963" spans="1:13" s="149" customFormat="1" x14ac:dyDescent="0.25">
      <c r="A1963" s="149" t="s">
        <v>7639</v>
      </c>
      <c r="B1963" s="149" t="s">
        <v>6320</v>
      </c>
      <c r="C1963" s="149">
        <v>46</v>
      </c>
      <c r="D1963" s="149">
        <v>1</v>
      </c>
      <c r="E1963" s="149">
        <v>0</v>
      </c>
      <c r="F1963" s="149">
        <v>880100</v>
      </c>
      <c r="G1963" s="149">
        <v>55200</v>
      </c>
      <c r="H1963" s="150" t="str">
        <f t="shared" si="90"/>
        <v>5</v>
      </c>
      <c r="I1963" s="150" t="str">
        <f t="shared" si="91"/>
        <v>55</v>
      </c>
      <c r="J1963" s="150" t="str">
        <f t="shared" si="92"/>
        <v>552</v>
      </c>
      <c r="K1963" s="150" t="s">
        <v>9699</v>
      </c>
      <c r="L1963" s="149" t="s">
        <v>6321</v>
      </c>
      <c r="M1963" s="151">
        <v>0</v>
      </c>
    </row>
    <row r="1964" spans="1:13" s="149" customFormat="1" x14ac:dyDescent="0.25">
      <c r="A1964" s="149" t="s">
        <v>7639</v>
      </c>
      <c r="B1964" s="149" t="s">
        <v>6322</v>
      </c>
      <c r="C1964" s="149">
        <v>46</v>
      </c>
      <c r="D1964" s="149">
        <v>1</v>
      </c>
      <c r="E1964" s="149">
        <v>0</v>
      </c>
      <c r="F1964" s="149">
        <v>880200</v>
      </c>
      <c r="G1964" s="149">
        <v>56203</v>
      </c>
      <c r="H1964" s="150" t="str">
        <f t="shared" si="90"/>
        <v>5</v>
      </c>
      <c r="I1964" s="150" t="str">
        <f t="shared" si="91"/>
        <v>56</v>
      </c>
      <c r="J1964" s="150" t="str">
        <f t="shared" si="92"/>
        <v>562</v>
      </c>
      <c r="K1964" s="150" t="s">
        <v>9700</v>
      </c>
      <c r="L1964" s="149" t="s">
        <v>6323</v>
      </c>
      <c r="M1964" s="151">
        <v>338200</v>
      </c>
    </row>
    <row r="1965" spans="1:13" s="149" customFormat="1" x14ac:dyDescent="0.25">
      <c r="A1965" s="149" t="s">
        <v>7639</v>
      </c>
      <c r="B1965" s="149" t="s">
        <v>6324</v>
      </c>
      <c r="C1965" s="149">
        <v>46</v>
      </c>
      <c r="D1965" s="149">
        <v>1</v>
      </c>
      <c r="E1965" s="149">
        <v>0</v>
      </c>
      <c r="F1965" s="149">
        <v>880200</v>
      </c>
      <c r="G1965" s="149">
        <v>56210</v>
      </c>
      <c r="H1965" s="150" t="str">
        <f t="shared" si="90"/>
        <v>5</v>
      </c>
      <c r="I1965" s="150" t="str">
        <f t="shared" si="91"/>
        <v>56</v>
      </c>
      <c r="J1965" s="150" t="str">
        <f t="shared" si="92"/>
        <v>562</v>
      </c>
      <c r="K1965" s="150" t="s">
        <v>9701</v>
      </c>
      <c r="L1965" s="149" t="s">
        <v>6325</v>
      </c>
      <c r="M1965" s="151">
        <v>273165</v>
      </c>
    </row>
    <row r="1966" spans="1:13" s="149" customFormat="1" x14ac:dyDescent="0.25">
      <c r="A1966" s="149" t="s">
        <v>7639</v>
      </c>
      <c r="B1966" s="149" t="s">
        <v>6326</v>
      </c>
      <c r="C1966" s="149">
        <v>46</v>
      </c>
      <c r="D1966" s="149">
        <v>1</v>
      </c>
      <c r="E1966" s="149">
        <v>0</v>
      </c>
      <c r="F1966" s="149">
        <v>880200</v>
      </c>
      <c r="G1966" s="149">
        <v>56220</v>
      </c>
      <c r="H1966" s="150" t="str">
        <f t="shared" si="90"/>
        <v>5</v>
      </c>
      <c r="I1966" s="150" t="str">
        <f t="shared" si="91"/>
        <v>56</v>
      </c>
      <c r="J1966" s="150" t="str">
        <f t="shared" si="92"/>
        <v>562</v>
      </c>
      <c r="K1966" s="150" t="s">
        <v>9702</v>
      </c>
      <c r="L1966" s="149" t="s">
        <v>6327</v>
      </c>
      <c r="M1966" s="151">
        <v>0</v>
      </c>
    </row>
    <row r="1967" spans="1:13" s="149" customFormat="1" x14ac:dyDescent="0.25">
      <c r="A1967" s="149" t="s">
        <v>7639</v>
      </c>
      <c r="B1967" s="149" t="s">
        <v>6328</v>
      </c>
      <c r="C1967" s="149">
        <v>46</v>
      </c>
      <c r="D1967" s="149">
        <v>1</v>
      </c>
      <c r="E1967" s="149">
        <v>0</v>
      </c>
      <c r="F1967" s="149">
        <v>880200</v>
      </c>
      <c r="G1967" s="149">
        <v>56222</v>
      </c>
      <c r="H1967" s="150" t="str">
        <f t="shared" si="90"/>
        <v>5</v>
      </c>
      <c r="I1967" s="150" t="str">
        <f t="shared" si="91"/>
        <v>56</v>
      </c>
      <c r="J1967" s="150" t="str">
        <f t="shared" si="92"/>
        <v>562</v>
      </c>
      <c r="K1967" s="150" t="s">
        <v>9703</v>
      </c>
      <c r="L1967" s="149" t="s">
        <v>6329</v>
      </c>
      <c r="M1967" s="151">
        <v>22000</v>
      </c>
    </row>
    <row r="1968" spans="1:13" s="149" customFormat="1" x14ac:dyDescent="0.25">
      <c r="A1968" s="149" t="s">
        <v>7639</v>
      </c>
      <c r="B1968" s="149" t="s">
        <v>6330</v>
      </c>
      <c r="C1968" s="149">
        <v>46</v>
      </c>
      <c r="D1968" s="149">
        <v>1</v>
      </c>
      <c r="E1968" s="149">
        <v>0</v>
      </c>
      <c r="F1968" s="149">
        <v>880200</v>
      </c>
      <c r="G1968" s="149">
        <v>56223</v>
      </c>
      <c r="H1968" s="150" t="str">
        <f t="shared" si="90"/>
        <v>5</v>
      </c>
      <c r="I1968" s="150" t="str">
        <f t="shared" si="91"/>
        <v>56</v>
      </c>
      <c r="J1968" s="150" t="str">
        <f t="shared" si="92"/>
        <v>562</v>
      </c>
      <c r="K1968" s="150" t="s">
        <v>9704</v>
      </c>
      <c r="L1968" s="149" t="s">
        <v>6331</v>
      </c>
      <c r="M1968" s="151">
        <v>25620</v>
      </c>
    </row>
    <row r="1969" spans="1:13" s="149" customFormat="1" x14ac:dyDescent="0.25">
      <c r="A1969" s="149" t="s">
        <v>7639</v>
      </c>
      <c r="B1969" s="149" t="s">
        <v>6332</v>
      </c>
      <c r="C1969" s="149">
        <v>46</v>
      </c>
      <c r="D1969" s="149">
        <v>1</v>
      </c>
      <c r="E1969" s="149">
        <v>0</v>
      </c>
      <c r="F1969" s="149">
        <v>880200</v>
      </c>
      <c r="G1969" s="149">
        <v>56225</v>
      </c>
      <c r="H1969" s="150" t="str">
        <f t="shared" si="90"/>
        <v>5</v>
      </c>
      <c r="I1969" s="150" t="str">
        <f t="shared" si="91"/>
        <v>56</v>
      </c>
      <c r="J1969" s="150" t="str">
        <f t="shared" si="92"/>
        <v>562</v>
      </c>
      <c r="K1969" s="150" t="s">
        <v>9705</v>
      </c>
      <c r="L1969" s="149" t="s">
        <v>6333</v>
      </c>
      <c r="M1969" s="151">
        <v>17000000</v>
      </c>
    </row>
    <row r="1970" spans="1:13" s="149" customFormat="1" x14ac:dyDescent="0.25">
      <c r="A1970" s="149" t="s">
        <v>7639</v>
      </c>
      <c r="B1970" s="149" t="s">
        <v>6334</v>
      </c>
      <c r="C1970" s="149">
        <v>46</v>
      </c>
      <c r="D1970" s="149">
        <v>1</v>
      </c>
      <c r="E1970" s="149">
        <v>0</v>
      </c>
      <c r="F1970" s="149">
        <v>880200</v>
      </c>
      <c r="G1970" s="149">
        <v>56250</v>
      </c>
      <c r="H1970" s="150" t="str">
        <f t="shared" si="90"/>
        <v>5</v>
      </c>
      <c r="I1970" s="150" t="str">
        <f t="shared" si="91"/>
        <v>56</v>
      </c>
      <c r="J1970" s="150" t="str">
        <f t="shared" si="92"/>
        <v>562</v>
      </c>
      <c r="K1970" s="150" t="s">
        <v>9706</v>
      </c>
      <c r="L1970" s="149" t="s">
        <v>6335</v>
      </c>
      <c r="M1970" s="151">
        <v>205819</v>
      </c>
    </row>
    <row r="1971" spans="1:13" s="149" customFormat="1" x14ac:dyDescent="0.25">
      <c r="A1971" s="149" t="s">
        <v>7639</v>
      </c>
      <c r="B1971" s="149" t="s">
        <v>6336</v>
      </c>
      <c r="C1971" s="149">
        <v>46</v>
      </c>
      <c r="D1971" s="149">
        <v>1</v>
      </c>
      <c r="E1971" s="149">
        <v>0</v>
      </c>
      <c r="F1971" s="149">
        <v>880300</v>
      </c>
      <c r="G1971" s="149">
        <v>56215</v>
      </c>
      <c r="H1971" s="150" t="str">
        <f t="shared" si="90"/>
        <v>5</v>
      </c>
      <c r="I1971" s="150" t="str">
        <f t="shared" si="91"/>
        <v>56</v>
      </c>
      <c r="J1971" s="150" t="str">
        <f t="shared" si="92"/>
        <v>562</v>
      </c>
      <c r="K1971" s="150" t="s">
        <v>9707</v>
      </c>
      <c r="L1971" s="149" t="s">
        <v>6337</v>
      </c>
      <c r="M1971" s="151">
        <v>24400</v>
      </c>
    </row>
    <row r="1972" spans="1:13" s="149" customFormat="1" x14ac:dyDescent="0.25">
      <c r="A1972" s="149" t="s">
        <v>7639</v>
      </c>
      <c r="B1972" s="149" t="s">
        <v>6338</v>
      </c>
      <c r="C1972" s="149">
        <v>46</v>
      </c>
      <c r="D1972" s="149">
        <v>1</v>
      </c>
      <c r="E1972" s="149">
        <v>0</v>
      </c>
      <c r="F1972" s="149">
        <v>880400</v>
      </c>
      <c r="G1972" s="149">
        <v>56203</v>
      </c>
      <c r="H1972" s="150" t="str">
        <f t="shared" si="90"/>
        <v>5</v>
      </c>
      <c r="I1972" s="150" t="str">
        <f t="shared" si="91"/>
        <v>56</v>
      </c>
      <c r="J1972" s="150" t="str">
        <f t="shared" si="92"/>
        <v>562</v>
      </c>
      <c r="K1972" s="150" t="s">
        <v>9708</v>
      </c>
      <c r="L1972" s="149" t="s">
        <v>6339</v>
      </c>
      <c r="M1972" s="151">
        <v>166840</v>
      </c>
    </row>
    <row r="1973" spans="1:13" s="149" customFormat="1" x14ac:dyDescent="0.25">
      <c r="A1973" s="149" t="s">
        <v>7639</v>
      </c>
      <c r="B1973" s="149" t="s">
        <v>6340</v>
      </c>
      <c r="C1973" s="149">
        <v>46</v>
      </c>
      <c r="D1973" s="149">
        <v>1</v>
      </c>
      <c r="E1973" s="149">
        <v>0</v>
      </c>
      <c r="F1973" s="149">
        <v>880400</v>
      </c>
      <c r="G1973" s="149">
        <v>56210</v>
      </c>
      <c r="H1973" s="150" t="str">
        <f t="shared" si="90"/>
        <v>5</v>
      </c>
      <c r="I1973" s="150" t="str">
        <f t="shared" si="91"/>
        <v>56</v>
      </c>
      <c r="J1973" s="150" t="str">
        <f t="shared" si="92"/>
        <v>562</v>
      </c>
      <c r="K1973" s="150" t="s">
        <v>9709</v>
      </c>
      <c r="L1973" s="149" t="s">
        <v>6341</v>
      </c>
      <c r="M1973" s="151">
        <v>270000</v>
      </c>
    </row>
    <row r="1974" spans="1:13" s="149" customFormat="1" x14ac:dyDescent="0.25">
      <c r="A1974" s="149" t="s">
        <v>7639</v>
      </c>
      <c r="B1974" s="149" t="s">
        <v>6342</v>
      </c>
      <c r="C1974" s="149">
        <v>46</v>
      </c>
      <c r="D1974" s="149">
        <v>1</v>
      </c>
      <c r="E1974" s="149">
        <v>0</v>
      </c>
      <c r="F1974" s="149">
        <v>880400</v>
      </c>
      <c r="G1974" s="149">
        <v>56217</v>
      </c>
      <c r="H1974" s="150" t="str">
        <f t="shared" si="90"/>
        <v>5</v>
      </c>
      <c r="I1974" s="150" t="str">
        <f t="shared" si="91"/>
        <v>56</v>
      </c>
      <c r="J1974" s="150" t="str">
        <f t="shared" si="92"/>
        <v>562</v>
      </c>
      <c r="K1974" s="150" t="s">
        <v>9710</v>
      </c>
      <c r="L1974" s="149" t="s">
        <v>6343</v>
      </c>
      <c r="M1974" s="151">
        <v>1200</v>
      </c>
    </row>
    <row r="1975" spans="1:13" s="149" customFormat="1" x14ac:dyDescent="0.25">
      <c r="A1975" s="149" t="s">
        <v>7639</v>
      </c>
      <c r="B1975" s="149" t="s">
        <v>6344</v>
      </c>
      <c r="C1975" s="149">
        <v>46</v>
      </c>
      <c r="D1975" s="149">
        <v>1</v>
      </c>
      <c r="E1975" s="149">
        <v>0</v>
      </c>
      <c r="F1975" s="149">
        <v>880400</v>
      </c>
      <c r="G1975" s="149">
        <v>56218</v>
      </c>
      <c r="H1975" s="150" t="str">
        <f t="shared" si="90"/>
        <v>5</v>
      </c>
      <c r="I1975" s="150" t="str">
        <f t="shared" si="91"/>
        <v>56</v>
      </c>
      <c r="J1975" s="150" t="str">
        <f t="shared" si="92"/>
        <v>562</v>
      </c>
      <c r="K1975" s="150" t="s">
        <v>9711</v>
      </c>
      <c r="L1975" s="149" t="s">
        <v>6345</v>
      </c>
      <c r="M1975" s="151">
        <v>350000</v>
      </c>
    </row>
    <row r="1976" spans="1:13" s="149" customFormat="1" x14ac:dyDescent="0.25">
      <c r="A1976" s="149" t="s">
        <v>7639</v>
      </c>
      <c r="B1976" s="149" t="s">
        <v>6346</v>
      </c>
      <c r="C1976" s="149">
        <v>46</v>
      </c>
      <c r="D1976" s="149">
        <v>1</v>
      </c>
      <c r="E1976" s="149">
        <v>0</v>
      </c>
      <c r="F1976" s="149">
        <v>880400</v>
      </c>
      <c r="G1976" s="149">
        <v>56223</v>
      </c>
      <c r="H1976" s="150" t="str">
        <f t="shared" si="90"/>
        <v>5</v>
      </c>
      <c r="I1976" s="150" t="str">
        <f t="shared" si="91"/>
        <v>56</v>
      </c>
      <c r="J1976" s="150" t="str">
        <f t="shared" si="92"/>
        <v>562</v>
      </c>
      <c r="K1976" s="150" t="s">
        <v>9712</v>
      </c>
      <c r="L1976" s="149" t="s">
        <v>6347</v>
      </c>
      <c r="M1976" s="151">
        <v>16880</v>
      </c>
    </row>
    <row r="1977" spans="1:13" s="149" customFormat="1" x14ac:dyDescent="0.25">
      <c r="A1977" s="149" t="s">
        <v>7639</v>
      </c>
      <c r="B1977" s="149" t="s">
        <v>6348</v>
      </c>
      <c r="C1977" s="149">
        <v>46</v>
      </c>
      <c r="D1977" s="149">
        <v>1</v>
      </c>
      <c r="E1977" s="149">
        <v>0</v>
      </c>
      <c r="F1977" s="149">
        <v>880400</v>
      </c>
      <c r="G1977" s="149">
        <v>56224</v>
      </c>
      <c r="H1977" s="150" t="str">
        <f t="shared" si="90"/>
        <v>5</v>
      </c>
      <c r="I1977" s="150" t="str">
        <f t="shared" si="91"/>
        <v>56</v>
      </c>
      <c r="J1977" s="150" t="str">
        <f t="shared" si="92"/>
        <v>562</v>
      </c>
      <c r="K1977" s="150" t="s">
        <v>9713</v>
      </c>
      <c r="L1977" s="149" t="s">
        <v>6349</v>
      </c>
      <c r="M1977" s="151">
        <v>10196677</v>
      </c>
    </row>
    <row r="1978" spans="1:13" s="149" customFormat="1" x14ac:dyDescent="0.25">
      <c r="A1978" s="149" t="s">
        <v>7639</v>
      </c>
      <c r="B1978" s="149" t="s">
        <v>6350</v>
      </c>
      <c r="C1978" s="149">
        <v>46</v>
      </c>
      <c r="D1978" s="149">
        <v>1</v>
      </c>
      <c r="E1978" s="149">
        <v>0</v>
      </c>
      <c r="F1978" s="149">
        <v>880400</v>
      </c>
      <c r="G1978" s="149">
        <v>56250</v>
      </c>
      <c r="H1978" s="150" t="str">
        <f t="shared" si="90"/>
        <v>5</v>
      </c>
      <c r="I1978" s="150" t="str">
        <f t="shared" si="91"/>
        <v>56</v>
      </c>
      <c r="J1978" s="150" t="str">
        <f t="shared" si="92"/>
        <v>562</v>
      </c>
      <c r="K1978" s="150" t="s">
        <v>9714</v>
      </c>
      <c r="L1978" s="149" t="s">
        <v>6351</v>
      </c>
      <c r="M1978" s="151">
        <v>69900</v>
      </c>
    </row>
    <row r="1979" spans="1:13" s="149" customFormat="1" x14ac:dyDescent="0.25">
      <c r="A1979" s="149" t="s">
        <v>7639</v>
      </c>
      <c r="B1979" s="149" t="s">
        <v>6352</v>
      </c>
      <c r="C1979" s="149">
        <v>46</v>
      </c>
      <c r="D1979" s="149">
        <v>1</v>
      </c>
      <c r="E1979" s="149">
        <v>0</v>
      </c>
      <c r="F1979" s="149">
        <v>881100</v>
      </c>
      <c r="G1979" s="149">
        <v>56226</v>
      </c>
      <c r="H1979" s="150" t="str">
        <f t="shared" si="90"/>
        <v>5</v>
      </c>
      <c r="I1979" s="150" t="str">
        <f t="shared" si="91"/>
        <v>56</v>
      </c>
      <c r="J1979" s="150" t="str">
        <f t="shared" si="92"/>
        <v>562</v>
      </c>
      <c r="K1979" s="150" t="s">
        <v>9715</v>
      </c>
      <c r="L1979" s="149" t="s">
        <v>6353</v>
      </c>
      <c r="M1979" s="151">
        <v>275237</v>
      </c>
    </row>
    <row r="1980" spans="1:13" s="149" customFormat="1" x14ac:dyDescent="0.25">
      <c r="A1980" s="149" t="s">
        <v>7639</v>
      </c>
      <c r="B1980" s="149" t="s">
        <v>6354</v>
      </c>
      <c r="C1980" s="149">
        <v>46</v>
      </c>
      <c r="D1980" s="149">
        <v>1</v>
      </c>
      <c r="E1980" s="149">
        <v>2</v>
      </c>
      <c r="F1980" s="149">
        <v>880500</v>
      </c>
      <c r="G1980" s="149">
        <v>56202</v>
      </c>
      <c r="H1980" s="150" t="str">
        <f t="shared" si="90"/>
        <v>5</v>
      </c>
      <c r="I1980" s="150" t="str">
        <f t="shared" si="91"/>
        <v>56</v>
      </c>
      <c r="J1980" s="150" t="str">
        <f t="shared" si="92"/>
        <v>562</v>
      </c>
      <c r="K1980" s="150" t="s">
        <v>9716</v>
      </c>
      <c r="L1980" s="149" t="s">
        <v>6355</v>
      </c>
      <c r="M1980" s="151">
        <v>1850</v>
      </c>
    </row>
    <row r="1981" spans="1:13" s="149" customFormat="1" x14ac:dyDescent="0.25">
      <c r="A1981" s="149" t="s">
        <v>7639</v>
      </c>
      <c r="B1981" s="149" t="s">
        <v>6356</v>
      </c>
      <c r="C1981" s="149">
        <v>46</v>
      </c>
      <c r="D1981" s="149">
        <v>1</v>
      </c>
      <c r="E1981" s="149">
        <v>2</v>
      </c>
      <c r="F1981" s="149">
        <v>880500</v>
      </c>
      <c r="G1981" s="149">
        <v>56203</v>
      </c>
      <c r="H1981" s="150" t="str">
        <f t="shared" si="90"/>
        <v>5</v>
      </c>
      <c r="I1981" s="150" t="str">
        <f t="shared" si="91"/>
        <v>56</v>
      </c>
      <c r="J1981" s="150" t="str">
        <f t="shared" si="92"/>
        <v>562</v>
      </c>
      <c r="K1981" s="150" t="s">
        <v>9717</v>
      </c>
      <c r="L1981" s="149" t="s">
        <v>6357</v>
      </c>
      <c r="M1981" s="151">
        <v>128200</v>
      </c>
    </row>
    <row r="1982" spans="1:13" s="149" customFormat="1" x14ac:dyDescent="0.25">
      <c r="A1982" s="149" t="s">
        <v>7639</v>
      </c>
      <c r="B1982" s="149" t="s">
        <v>6358</v>
      </c>
      <c r="C1982" s="149">
        <v>46</v>
      </c>
      <c r="D1982" s="149">
        <v>1</v>
      </c>
      <c r="E1982" s="149">
        <v>2</v>
      </c>
      <c r="F1982" s="149">
        <v>880500</v>
      </c>
      <c r="G1982" s="149">
        <v>56210</v>
      </c>
      <c r="H1982" s="150" t="str">
        <f t="shared" si="90"/>
        <v>5</v>
      </c>
      <c r="I1982" s="150" t="str">
        <f t="shared" si="91"/>
        <v>56</v>
      </c>
      <c r="J1982" s="150" t="str">
        <f t="shared" si="92"/>
        <v>562</v>
      </c>
      <c r="K1982" s="150" t="s">
        <v>9718</v>
      </c>
      <c r="L1982" s="149" t="s">
        <v>6359</v>
      </c>
      <c r="M1982" s="151">
        <v>711520</v>
      </c>
    </row>
    <row r="1983" spans="1:13" s="149" customFormat="1" x14ac:dyDescent="0.25">
      <c r="A1983" s="149" t="s">
        <v>7639</v>
      </c>
      <c r="B1983" s="149" t="s">
        <v>6360</v>
      </c>
      <c r="C1983" s="149">
        <v>46</v>
      </c>
      <c r="D1983" s="149">
        <v>1</v>
      </c>
      <c r="E1983" s="149">
        <v>2</v>
      </c>
      <c r="F1983" s="149">
        <v>880500</v>
      </c>
      <c r="G1983" s="149">
        <v>56218</v>
      </c>
      <c r="H1983" s="150" t="str">
        <f t="shared" si="90"/>
        <v>5</v>
      </c>
      <c r="I1983" s="150" t="str">
        <f t="shared" si="91"/>
        <v>56</v>
      </c>
      <c r="J1983" s="150" t="str">
        <f t="shared" si="92"/>
        <v>562</v>
      </c>
      <c r="K1983" s="150" t="s">
        <v>9719</v>
      </c>
      <c r="L1983" s="149" t="s">
        <v>6361</v>
      </c>
      <c r="M1983" s="151">
        <v>432000</v>
      </c>
    </row>
    <row r="1984" spans="1:13" s="149" customFormat="1" x14ac:dyDescent="0.25">
      <c r="A1984" s="149" t="s">
        <v>7639</v>
      </c>
      <c r="B1984" s="149" t="s">
        <v>6362</v>
      </c>
      <c r="C1984" s="149">
        <v>46</v>
      </c>
      <c r="D1984" s="149">
        <v>1</v>
      </c>
      <c r="E1984" s="149">
        <v>2</v>
      </c>
      <c r="F1984" s="149">
        <v>880500</v>
      </c>
      <c r="G1984" s="149">
        <v>56225</v>
      </c>
      <c r="H1984" s="150" t="str">
        <f t="shared" si="90"/>
        <v>5</v>
      </c>
      <c r="I1984" s="150" t="str">
        <f t="shared" si="91"/>
        <v>56</v>
      </c>
      <c r="J1984" s="150" t="str">
        <f t="shared" si="92"/>
        <v>562</v>
      </c>
      <c r="K1984" s="150" t="s">
        <v>9720</v>
      </c>
      <c r="L1984" s="149" t="s">
        <v>6363</v>
      </c>
      <c r="M1984" s="151">
        <v>8169764</v>
      </c>
    </row>
    <row r="1985" spans="1:13" s="149" customFormat="1" x14ac:dyDescent="0.25">
      <c r="A1985" s="149" t="s">
        <v>7639</v>
      </c>
      <c r="B1985" s="149" t="s">
        <v>6364</v>
      </c>
      <c r="C1985" s="149">
        <v>46</v>
      </c>
      <c r="D1985" s="149">
        <v>1</v>
      </c>
      <c r="E1985" s="149">
        <v>2</v>
      </c>
      <c r="F1985" s="149">
        <v>880500</v>
      </c>
      <c r="G1985" s="149">
        <v>56250</v>
      </c>
      <c r="H1985" s="150" t="str">
        <f t="shared" si="90"/>
        <v>5</v>
      </c>
      <c r="I1985" s="150" t="str">
        <f t="shared" si="91"/>
        <v>56</v>
      </c>
      <c r="J1985" s="150" t="str">
        <f t="shared" si="92"/>
        <v>562</v>
      </c>
      <c r="K1985" s="150" t="s">
        <v>9721</v>
      </c>
      <c r="L1985" s="149" t="s">
        <v>6365</v>
      </c>
      <c r="M1985" s="151">
        <v>86906</v>
      </c>
    </row>
    <row r="1986" spans="1:13" s="149" customFormat="1" x14ac:dyDescent="0.25">
      <c r="A1986" s="149" t="s">
        <v>7639</v>
      </c>
      <c r="B1986" s="149" t="s">
        <v>6366</v>
      </c>
      <c r="C1986" s="149">
        <v>46</v>
      </c>
      <c r="D1986" s="149">
        <v>1</v>
      </c>
      <c r="E1986" s="149">
        <v>4</v>
      </c>
      <c r="F1986" s="149">
        <v>880100</v>
      </c>
      <c r="G1986" s="149">
        <v>56203</v>
      </c>
      <c r="H1986" s="150" t="str">
        <f t="shared" si="90"/>
        <v>5</v>
      </c>
      <c r="I1986" s="150" t="str">
        <f t="shared" si="91"/>
        <v>56</v>
      </c>
      <c r="J1986" s="150" t="str">
        <f t="shared" si="92"/>
        <v>562</v>
      </c>
      <c r="K1986" s="150" t="s">
        <v>9722</v>
      </c>
      <c r="L1986" s="149" t="s">
        <v>6367</v>
      </c>
      <c r="M1986" s="151">
        <v>115400</v>
      </c>
    </row>
    <row r="1987" spans="1:13" s="149" customFormat="1" x14ac:dyDescent="0.25">
      <c r="A1987" s="149" t="s">
        <v>7639</v>
      </c>
      <c r="B1987" s="149" t="s">
        <v>6368</v>
      </c>
      <c r="C1987" s="149">
        <v>46</v>
      </c>
      <c r="D1987" s="149">
        <v>1</v>
      </c>
      <c r="E1987" s="149">
        <v>4</v>
      </c>
      <c r="F1987" s="149">
        <v>880100</v>
      </c>
      <c r="G1987" s="149">
        <v>56210</v>
      </c>
      <c r="H1987" s="150" t="str">
        <f t="shared" ref="H1987:H2050" si="93">LEFT(G1987,1)</f>
        <v>5</v>
      </c>
      <c r="I1987" s="150" t="str">
        <f t="shared" ref="I1987:I2050" si="94">LEFT(G1987,2)</f>
        <v>56</v>
      </c>
      <c r="J1987" s="150" t="str">
        <f t="shared" ref="J1987:J2050" si="95">LEFT(G1987,3)</f>
        <v>562</v>
      </c>
      <c r="K1987" s="150" t="s">
        <v>9723</v>
      </c>
      <c r="L1987" s="149" t="s">
        <v>6369</v>
      </c>
      <c r="M1987" s="151">
        <v>782000</v>
      </c>
    </row>
    <row r="1988" spans="1:13" s="149" customFormat="1" x14ac:dyDescent="0.25">
      <c r="A1988" s="149" t="s">
        <v>7639</v>
      </c>
      <c r="B1988" s="149" t="s">
        <v>6370</v>
      </c>
      <c r="C1988" s="149">
        <v>46</v>
      </c>
      <c r="D1988" s="149">
        <v>1</v>
      </c>
      <c r="E1988" s="149">
        <v>4</v>
      </c>
      <c r="F1988" s="149">
        <v>880100</v>
      </c>
      <c r="G1988" s="149">
        <v>56217</v>
      </c>
      <c r="H1988" s="150" t="str">
        <f t="shared" si="93"/>
        <v>5</v>
      </c>
      <c r="I1988" s="150" t="str">
        <f t="shared" si="94"/>
        <v>56</v>
      </c>
      <c r="J1988" s="150" t="str">
        <f t="shared" si="95"/>
        <v>562</v>
      </c>
      <c r="K1988" s="150" t="s">
        <v>9724</v>
      </c>
      <c r="L1988" s="149" t="s">
        <v>6371</v>
      </c>
      <c r="M1988" s="151">
        <v>600</v>
      </c>
    </row>
    <row r="1989" spans="1:13" s="149" customFormat="1" x14ac:dyDescent="0.25">
      <c r="A1989" s="149" t="s">
        <v>7639</v>
      </c>
      <c r="B1989" s="149" t="s">
        <v>6372</v>
      </c>
      <c r="C1989" s="149">
        <v>46</v>
      </c>
      <c r="D1989" s="149">
        <v>1</v>
      </c>
      <c r="E1989" s="149">
        <v>4</v>
      </c>
      <c r="F1989" s="149">
        <v>880100</v>
      </c>
      <c r="G1989" s="149">
        <v>56218</v>
      </c>
      <c r="H1989" s="150" t="str">
        <f t="shared" si="93"/>
        <v>5</v>
      </c>
      <c r="I1989" s="150" t="str">
        <f t="shared" si="94"/>
        <v>56</v>
      </c>
      <c r="J1989" s="150" t="str">
        <f t="shared" si="95"/>
        <v>562</v>
      </c>
      <c r="K1989" s="150" t="s">
        <v>9725</v>
      </c>
      <c r="L1989" s="149" t="s">
        <v>6373</v>
      </c>
      <c r="M1989" s="151">
        <v>575000</v>
      </c>
    </row>
    <row r="1990" spans="1:13" s="149" customFormat="1" x14ac:dyDescent="0.25">
      <c r="A1990" s="149" t="s">
        <v>7639</v>
      </c>
      <c r="B1990" s="149" t="s">
        <v>6374</v>
      </c>
      <c r="C1990" s="149">
        <v>46</v>
      </c>
      <c r="D1990" s="149">
        <v>1</v>
      </c>
      <c r="E1990" s="149">
        <v>4</v>
      </c>
      <c r="F1990" s="149">
        <v>880100</v>
      </c>
      <c r="G1990" s="149">
        <v>56220</v>
      </c>
      <c r="H1990" s="150" t="str">
        <f t="shared" si="93"/>
        <v>5</v>
      </c>
      <c r="I1990" s="150" t="str">
        <f t="shared" si="94"/>
        <v>56</v>
      </c>
      <c r="J1990" s="150" t="str">
        <f t="shared" si="95"/>
        <v>562</v>
      </c>
      <c r="K1990" s="150" t="s">
        <v>9726</v>
      </c>
      <c r="L1990" s="149" t="s">
        <v>6375</v>
      </c>
      <c r="M1990" s="151">
        <v>2600</v>
      </c>
    </row>
    <row r="1991" spans="1:13" s="149" customFormat="1" x14ac:dyDescent="0.25">
      <c r="A1991" s="149" t="s">
        <v>7639</v>
      </c>
      <c r="B1991" s="149" t="s">
        <v>6376</v>
      </c>
      <c r="C1991" s="149">
        <v>46</v>
      </c>
      <c r="D1991" s="149">
        <v>1</v>
      </c>
      <c r="E1991" s="149">
        <v>4</v>
      </c>
      <c r="F1991" s="149">
        <v>880100</v>
      </c>
      <c r="G1991" s="149">
        <v>56225</v>
      </c>
      <c r="H1991" s="150" t="str">
        <f t="shared" si="93"/>
        <v>5</v>
      </c>
      <c r="I1991" s="150" t="str">
        <f t="shared" si="94"/>
        <v>56</v>
      </c>
      <c r="J1991" s="150" t="str">
        <f t="shared" si="95"/>
        <v>562</v>
      </c>
      <c r="K1991" s="150" t="s">
        <v>9727</v>
      </c>
      <c r="L1991" s="149" t="s">
        <v>6377</v>
      </c>
      <c r="M1991" s="151">
        <v>6926403</v>
      </c>
    </row>
    <row r="1992" spans="1:13" s="149" customFormat="1" x14ac:dyDescent="0.25">
      <c r="A1992" s="149" t="s">
        <v>7639</v>
      </c>
      <c r="B1992" s="149" t="s">
        <v>6378</v>
      </c>
      <c r="C1992" s="149">
        <v>46</v>
      </c>
      <c r="D1992" s="149">
        <v>1</v>
      </c>
      <c r="E1992" s="149">
        <v>4</v>
      </c>
      <c r="F1992" s="149">
        <v>880100</v>
      </c>
      <c r="G1992" s="149">
        <v>56250</v>
      </c>
      <c r="H1992" s="150" t="str">
        <f t="shared" si="93"/>
        <v>5</v>
      </c>
      <c r="I1992" s="150" t="str">
        <f t="shared" si="94"/>
        <v>56</v>
      </c>
      <c r="J1992" s="150" t="str">
        <f t="shared" si="95"/>
        <v>562</v>
      </c>
      <c r="K1992" s="150" t="s">
        <v>9728</v>
      </c>
      <c r="L1992" s="149" t="s">
        <v>6379</v>
      </c>
      <c r="M1992" s="151">
        <v>92915</v>
      </c>
    </row>
    <row r="1993" spans="1:13" s="149" customFormat="1" x14ac:dyDescent="0.25">
      <c r="A1993" s="149" t="s">
        <v>7639</v>
      </c>
      <c r="B1993" s="149" t="s">
        <v>6380</v>
      </c>
      <c r="C1993" s="149">
        <v>46</v>
      </c>
      <c r="D1993" s="149">
        <v>1</v>
      </c>
      <c r="E1993" s="149">
        <v>5</v>
      </c>
      <c r="F1993" s="149">
        <v>880300</v>
      </c>
      <c r="G1993" s="149">
        <v>56203</v>
      </c>
      <c r="H1993" s="150" t="str">
        <f t="shared" si="93"/>
        <v>5</v>
      </c>
      <c r="I1993" s="150" t="str">
        <f t="shared" si="94"/>
        <v>56</v>
      </c>
      <c r="J1993" s="150" t="str">
        <f t="shared" si="95"/>
        <v>562</v>
      </c>
      <c r="K1993" s="150" t="s">
        <v>9729</v>
      </c>
      <c r="L1993" s="149" t="s">
        <v>6381</v>
      </c>
      <c r="M1993" s="151">
        <v>192000</v>
      </c>
    </row>
    <row r="1994" spans="1:13" s="149" customFormat="1" x14ac:dyDescent="0.25">
      <c r="A1994" s="149" t="s">
        <v>7639</v>
      </c>
      <c r="B1994" s="149" t="s">
        <v>6382</v>
      </c>
      <c r="C1994" s="149">
        <v>46</v>
      </c>
      <c r="D1994" s="149">
        <v>1</v>
      </c>
      <c r="E1994" s="149">
        <v>5</v>
      </c>
      <c r="F1994" s="149">
        <v>880300</v>
      </c>
      <c r="G1994" s="149">
        <v>56211</v>
      </c>
      <c r="H1994" s="150" t="str">
        <f t="shared" si="93"/>
        <v>5</v>
      </c>
      <c r="I1994" s="150" t="str">
        <f t="shared" si="94"/>
        <v>56</v>
      </c>
      <c r="J1994" s="150" t="str">
        <f t="shared" si="95"/>
        <v>562</v>
      </c>
      <c r="K1994" s="150" t="s">
        <v>9730</v>
      </c>
      <c r="L1994" s="149" t="s">
        <v>6383</v>
      </c>
      <c r="M1994" s="151">
        <v>59200</v>
      </c>
    </row>
    <row r="1995" spans="1:13" s="149" customFormat="1" x14ac:dyDescent="0.25">
      <c r="A1995" s="149" t="s">
        <v>7639</v>
      </c>
      <c r="B1995" s="149" t="s">
        <v>6384</v>
      </c>
      <c r="C1995" s="149">
        <v>46</v>
      </c>
      <c r="D1995" s="149">
        <v>1</v>
      </c>
      <c r="E1995" s="149">
        <v>5</v>
      </c>
      <c r="F1995" s="149">
        <v>880300</v>
      </c>
      <c r="G1995" s="149">
        <v>56215</v>
      </c>
      <c r="H1995" s="150" t="str">
        <f t="shared" si="93"/>
        <v>5</v>
      </c>
      <c r="I1995" s="150" t="str">
        <f t="shared" si="94"/>
        <v>56</v>
      </c>
      <c r="J1995" s="150" t="str">
        <f t="shared" si="95"/>
        <v>562</v>
      </c>
      <c r="K1995" s="150" t="s">
        <v>9731</v>
      </c>
      <c r="L1995" s="149" t="s">
        <v>6337</v>
      </c>
      <c r="M1995" s="151">
        <v>6200</v>
      </c>
    </row>
    <row r="1996" spans="1:13" s="149" customFormat="1" x14ac:dyDescent="0.25">
      <c r="A1996" s="149" t="s">
        <v>7639</v>
      </c>
      <c r="B1996" s="149" t="s">
        <v>6385</v>
      </c>
      <c r="C1996" s="149">
        <v>46</v>
      </c>
      <c r="D1996" s="149">
        <v>1</v>
      </c>
      <c r="E1996" s="149">
        <v>5</v>
      </c>
      <c r="F1996" s="149">
        <v>880300</v>
      </c>
      <c r="G1996" s="149">
        <v>56216</v>
      </c>
      <c r="H1996" s="150" t="str">
        <f t="shared" si="93"/>
        <v>5</v>
      </c>
      <c r="I1996" s="150" t="str">
        <f t="shared" si="94"/>
        <v>56</v>
      </c>
      <c r="J1996" s="150" t="str">
        <f t="shared" si="95"/>
        <v>562</v>
      </c>
      <c r="K1996" s="150" t="s">
        <v>9732</v>
      </c>
      <c r="L1996" s="149" t="s">
        <v>6386</v>
      </c>
      <c r="M1996" s="151">
        <v>11100</v>
      </c>
    </row>
    <row r="1997" spans="1:13" s="149" customFormat="1" x14ac:dyDescent="0.25">
      <c r="A1997" s="149" t="s">
        <v>7639</v>
      </c>
      <c r="B1997" s="149" t="s">
        <v>6387</v>
      </c>
      <c r="C1997" s="149">
        <v>46</v>
      </c>
      <c r="D1997" s="149">
        <v>1</v>
      </c>
      <c r="E1997" s="149">
        <v>5</v>
      </c>
      <c r="F1997" s="149">
        <v>880300</v>
      </c>
      <c r="G1997" s="149">
        <v>56217</v>
      </c>
      <c r="H1997" s="150" t="str">
        <f t="shared" si="93"/>
        <v>5</v>
      </c>
      <c r="I1997" s="150" t="str">
        <f t="shared" si="94"/>
        <v>56</v>
      </c>
      <c r="J1997" s="150" t="str">
        <f t="shared" si="95"/>
        <v>562</v>
      </c>
      <c r="K1997" s="150" t="s">
        <v>9733</v>
      </c>
      <c r="L1997" s="149" t="s">
        <v>6388</v>
      </c>
      <c r="M1997" s="151">
        <v>13800</v>
      </c>
    </row>
    <row r="1998" spans="1:13" s="149" customFormat="1" x14ac:dyDescent="0.25">
      <c r="A1998" s="149" t="s">
        <v>7639</v>
      </c>
      <c r="B1998" s="149" t="s">
        <v>9734</v>
      </c>
      <c r="C1998" s="149">
        <v>46</v>
      </c>
      <c r="D1998" s="149">
        <v>1</v>
      </c>
      <c r="E1998" s="149">
        <v>5</v>
      </c>
      <c r="F1998" s="149">
        <v>880300</v>
      </c>
      <c r="G1998" s="149">
        <v>56218</v>
      </c>
      <c r="H1998" s="150" t="str">
        <f t="shared" si="93"/>
        <v>5</v>
      </c>
      <c r="I1998" s="150" t="str">
        <f t="shared" si="94"/>
        <v>56</v>
      </c>
      <c r="J1998" s="150" t="str">
        <f t="shared" si="95"/>
        <v>562</v>
      </c>
      <c r="K1998" s="150" t="s">
        <v>9735</v>
      </c>
      <c r="L1998" s="149" t="s">
        <v>9736</v>
      </c>
      <c r="M1998" s="151">
        <v>566075</v>
      </c>
    </row>
    <row r="1999" spans="1:13" s="149" customFormat="1" x14ac:dyDescent="0.25">
      <c r="A1999" s="149" t="s">
        <v>7639</v>
      </c>
      <c r="B1999" s="149" t="s">
        <v>6389</v>
      </c>
      <c r="C1999" s="149">
        <v>46</v>
      </c>
      <c r="D1999" s="149">
        <v>1</v>
      </c>
      <c r="E1999" s="149">
        <v>5</v>
      </c>
      <c r="F1999" s="149">
        <v>880300</v>
      </c>
      <c r="G1999" s="149">
        <v>56220</v>
      </c>
      <c r="H1999" s="150" t="str">
        <f t="shared" si="93"/>
        <v>5</v>
      </c>
      <c r="I1999" s="150" t="str">
        <f t="shared" si="94"/>
        <v>56</v>
      </c>
      <c r="J1999" s="150" t="str">
        <f t="shared" si="95"/>
        <v>562</v>
      </c>
      <c r="K1999" s="150" t="s">
        <v>9737</v>
      </c>
      <c r="L1999" s="149" t="s">
        <v>6390</v>
      </c>
      <c r="M1999" s="151">
        <v>41000</v>
      </c>
    </row>
    <row r="2000" spans="1:13" s="149" customFormat="1" x14ac:dyDescent="0.25">
      <c r="A2000" s="149" t="s">
        <v>7639</v>
      </c>
      <c r="B2000" s="149" t="s">
        <v>6391</v>
      </c>
      <c r="C2000" s="149">
        <v>46</v>
      </c>
      <c r="D2000" s="149">
        <v>1</v>
      </c>
      <c r="E2000" s="149">
        <v>5</v>
      </c>
      <c r="F2000" s="149">
        <v>880300</v>
      </c>
      <c r="G2000" s="149">
        <v>56223</v>
      </c>
      <c r="H2000" s="150" t="str">
        <f t="shared" si="93"/>
        <v>5</v>
      </c>
      <c r="I2000" s="150" t="str">
        <f t="shared" si="94"/>
        <v>56</v>
      </c>
      <c r="J2000" s="150" t="str">
        <f t="shared" si="95"/>
        <v>562</v>
      </c>
      <c r="K2000" s="150" t="s">
        <v>9738</v>
      </c>
      <c r="L2000" s="149" t="s">
        <v>6392</v>
      </c>
      <c r="M2000" s="151">
        <v>7500</v>
      </c>
    </row>
    <row r="2001" spans="1:13" s="149" customFormat="1" x14ac:dyDescent="0.25">
      <c r="A2001" s="149" t="s">
        <v>7639</v>
      </c>
      <c r="B2001" s="149" t="s">
        <v>6393</v>
      </c>
      <c r="C2001" s="149">
        <v>46</v>
      </c>
      <c r="D2001" s="149">
        <v>1</v>
      </c>
      <c r="E2001" s="149">
        <v>5</v>
      </c>
      <c r="F2001" s="149">
        <v>880300</v>
      </c>
      <c r="G2001" s="149">
        <v>56225</v>
      </c>
      <c r="H2001" s="150" t="str">
        <f t="shared" si="93"/>
        <v>5</v>
      </c>
      <c r="I2001" s="150" t="str">
        <f t="shared" si="94"/>
        <v>56</v>
      </c>
      <c r="J2001" s="150" t="str">
        <f t="shared" si="95"/>
        <v>562</v>
      </c>
      <c r="K2001" s="150" t="s">
        <v>9739</v>
      </c>
      <c r="L2001" s="149" t="s">
        <v>6394</v>
      </c>
      <c r="M2001" s="151">
        <v>11120066</v>
      </c>
    </row>
    <row r="2002" spans="1:13" s="149" customFormat="1" x14ac:dyDescent="0.25">
      <c r="A2002" s="149" t="s">
        <v>7639</v>
      </c>
      <c r="B2002" s="149" t="s">
        <v>6395</v>
      </c>
      <c r="C2002" s="149">
        <v>46</v>
      </c>
      <c r="D2002" s="149">
        <v>1</v>
      </c>
      <c r="E2002" s="149">
        <v>5</v>
      </c>
      <c r="F2002" s="149">
        <v>880300</v>
      </c>
      <c r="G2002" s="149">
        <v>56250</v>
      </c>
      <c r="H2002" s="150" t="str">
        <f t="shared" si="93"/>
        <v>5</v>
      </c>
      <c r="I2002" s="150" t="str">
        <f t="shared" si="94"/>
        <v>56</v>
      </c>
      <c r="J2002" s="150" t="str">
        <f t="shared" si="95"/>
        <v>562</v>
      </c>
      <c r="K2002" s="150" t="s">
        <v>9740</v>
      </c>
      <c r="L2002" s="149" t="s">
        <v>6396</v>
      </c>
      <c r="M2002" s="151">
        <v>160000</v>
      </c>
    </row>
    <row r="2003" spans="1:13" s="149" customFormat="1" x14ac:dyDescent="0.25">
      <c r="A2003" s="149" t="s">
        <v>7639</v>
      </c>
      <c r="B2003" s="149" t="s">
        <v>6397</v>
      </c>
      <c r="C2003" s="149">
        <v>46</v>
      </c>
      <c r="D2003" s="149">
        <v>2</v>
      </c>
      <c r="E2003" s="149">
        <v>0</v>
      </c>
      <c r="F2003" s="149">
        <v>0</v>
      </c>
      <c r="G2003" s="149">
        <v>48940</v>
      </c>
      <c r="H2003" s="150" t="str">
        <f t="shared" si="93"/>
        <v>4</v>
      </c>
      <c r="I2003" s="150" t="str">
        <f t="shared" si="94"/>
        <v>48</v>
      </c>
      <c r="J2003" s="150" t="str">
        <f t="shared" si="95"/>
        <v>489</v>
      </c>
      <c r="K2003" s="150" t="s">
        <v>9741</v>
      </c>
      <c r="L2003" s="149" t="s">
        <v>6398</v>
      </c>
      <c r="M2003" s="151">
        <v>-70000000</v>
      </c>
    </row>
    <row r="2004" spans="1:13" s="149" customFormat="1" x14ac:dyDescent="0.25">
      <c r="A2004" s="149" t="s">
        <v>7639</v>
      </c>
      <c r="B2004" s="149" t="s">
        <v>6399</v>
      </c>
      <c r="C2004" s="149">
        <v>46</v>
      </c>
      <c r="D2004" s="149">
        <v>2</v>
      </c>
      <c r="E2004" s="149">
        <v>0</v>
      </c>
      <c r="F2004" s="149">
        <v>880250</v>
      </c>
      <c r="G2004" s="149">
        <v>56203</v>
      </c>
      <c r="H2004" s="150" t="str">
        <f t="shared" si="93"/>
        <v>5</v>
      </c>
      <c r="I2004" s="150" t="str">
        <f t="shared" si="94"/>
        <v>56</v>
      </c>
      <c r="J2004" s="150" t="str">
        <f t="shared" si="95"/>
        <v>562</v>
      </c>
      <c r="K2004" s="150" t="s">
        <v>9742</v>
      </c>
      <c r="L2004" s="149" t="s">
        <v>6400</v>
      </c>
      <c r="M2004" s="151">
        <v>60000</v>
      </c>
    </row>
    <row r="2005" spans="1:13" s="149" customFormat="1" x14ac:dyDescent="0.25">
      <c r="A2005" s="149" t="s">
        <v>7639</v>
      </c>
      <c r="B2005" s="149" t="s">
        <v>6401</v>
      </c>
      <c r="C2005" s="149">
        <v>46</v>
      </c>
      <c r="D2005" s="149">
        <v>2</v>
      </c>
      <c r="E2005" s="149">
        <v>0</v>
      </c>
      <c r="F2005" s="149">
        <v>880250</v>
      </c>
      <c r="G2005" s="149">
        <v>56211</v>
      </c>
      <c r="H2005" s="150" t="str">
        <f t="shared" si="93"/>
        <v>5</v>
      </c>
      <c r="I2005" s="150" t="str">
        <f t="shared" si="94"/>
        <v>56</v>
      </c>
      <c r="J2005" s="150" t="str">
        <f t="shared" si="95"/>
        <v>562</v>
      </c>
      <c r="K2005" s="150" t="s">
        <v>9743</v>
      </c>
      <c r="L2005" s="149" t="s">
        <v>6402</v>
      </c>
      <c r="M2005" s="151">
        <v>66740</v>
      </c>
    </row>
    <row r="2006" spans="1:13" s="149" customFormat="1" x14ac:dyDescent="0.25">
      <c r="A2006" s="149" t="s">
        <v>7639</v>
      </c>
      <c r="B2006" s="149" t="s">
        <v>6403</v>
      </c>
      <c r="C2006" s="149">
        <v>46</v>
      </c>
      <c r="D2006" s="149">
        <v>2</v>
      </c>
      <c r="E2006" s="149">
        <v>0</v>
      </c>
      <c r="F2006" s="149">
        <v>880250</v>
      </c>
      <c r="G2006" s="149">
        <v>56224</v>
      </c>
      <c r="H2006" s="150" t="str">
        <f t="shared" si="93"/>
        <v>5</v>
      </c>
      <c r="I2006" s="150" t="str">
        <f t="shared" si="94"/>
        <v>56</v>
      </c>
      <c r="J2006" s="150" t="str">
        <f t="shared" si="95"/>
        <v>562</v>
      </c>
      <c r="K2006" s="150" t="s">
        <v>9744</v>
      </c>
      <c r="L2006" s="149" t="s">
        <v>6404</v>
      </c>
      <c r="M2006" s="151">
        <v>1615759.76</v>
      </c>
    </row>
    <row r="2007" spans="1:13" s="149" customFormat="1" x14ac:dyDescent="0.25">
      <c r="A2007" s="149" t="s">
        <v>7639</v>
      </c>
      <c r="B2007" s="149" t="s">
        <v>6405</v>
      </c>
      <c r="C2007" s="149">
        <v>46</v>
      </c>
      <c r="D2007" s="149">
        <v>2</v>
      </c>
      <c r="E2007" s="149">
        <v>0</v>
      </c>
      <c r="F2007" s="149">
        <v>880350</v>
      </c>
      <c r="G2007" s="149">
        <v>56200</v>
      </c>
      <c r="H2007" s="150" t="str">
        <f t="shared" si="93"/>
        <v>5</v>
      </c>
      <c r="I2007" s="150" t="str">
        <f t="shared" si="94"/>
        <v>56</v>
      </c>
      <c r="J2007" s="150" t="str">
        <f t="shared" si="95"/>
        <v>562</v>
      </c>
      <c r="K2007" s="150" t="s">
        <v>9745</v>
      </c>
      <c r="L2007" s="149" t="s">
        <v>6406</v>
      </c>
      <c r="M2007" s="151">
        <v>1507426</v>
      </c>
    </row>
    <row r="2008" spans="1:13" s="149" customFormat="1" x14ac:dyDescent="0.25">
      <c r="A2008" s="149" t="s">
        <v>7639</v>
      </c>
      <c r="B2008" s="149" t="s">
        <v>6407</v>
      </c>
      <c r="C2008" s="149">
        <v>46</v>
      </c>
      <c r="D2008" s="149">
        <v>2</v>
      </c>
      <c r="E2008" s="149">
        <v>0</v>
      </c>
      <c r="F2008" s="149">
        <v>880450</v>
      </c>
      <c r="G2008" s="149">
        <v>56216</v>
      </c>
      <c r="H2008" s="150" t="str">
        <f t="shared" si="93"/>
        <v>5</v>
      </c>
      <c r="I2008" s="150" t="str">
        <f t="shared" si="94"/>
        <v>56</v>
      </c>
      <c r="J2008" s="150" t="str">
        <f t="shared" si="95"/>
        <v>562</v>
      </c>
      <c r="K2008" s="150" t="s">
        <v>9746</v>
      </c>
      <c r="L2008" s="149" t="s">
        <v>6408</v>
      </c>
      <c r="M2008" s="151">
        <v>150</v>
      </c>
    </row>
    <row r="2009" spans="1:13" s="149" customFormat="1" x14ac:dyDescent="0.25">
      <c r="A2009" s="149" t="s">
        <v>7639</v>
      </c>
      <c r="B2009" s="149" t="s">
        <v>6409</v>
      </c>
      <c r="C2009" s="149">
        <v>46</v>
      </c>
      <c r="D2009" s="149">
        <v>2</v>
      </c>
      <c r="E2009" s="149">
        <v>0</v>
      </c>
      <c r="F2009" s="149">
        <v>880450</v>
      </c>
      <c r="G2009" s="149">
        <v>56250</v>
      </c>
      <c r="H2009" s="150" t="str">
        <f t="shared" si="93"/>
        <v>5</v>
      </c>
      <c r="I2009" s="150" t="str">
        <f t="shared" si="94"/>
        <v>56</v>
      </c>
      <c r="J2009" s="150" t="str">
        <f t="shared" si="95"/>
        <v>562</v>
      </c>
      <c r="K2009" s="150" t="s">
        <v>9747</v>
      </c>
      <c r="L2009" s="149" t="s">
        <v>6410</v>
      </c>
      <c r="M2009" s="151">
        <v>81000</v>
      </c>
    </row>
    <row r="2010" spans="1:13" s="149" customFormat="1" x14ac:dyDescent="0.25">
      <c r="A2010" s="149" t="s">
        <v>7639</v>
      </c>
      <c r="B2010" s="149" t="s">
        <v>6411</v>
      </c>
      <c r="C2010" s="149">
        <v>46</v>
      </c>
      <c r="D2010" s="149">
        <v>2</v>
      </c>
      <c r="E2010" s="149">
        <v>0</v>
      </c>
      <c r="F2010" s="149">
        <v>880700</v>
      </c>
      <c r="G2010" s="149">
        <v>56224</v>
      </c>
      <c r="H2010" s="150" t="str">
        <f t="shared" si="93"/>
        <v>5</v>
      </c>
      <c r="I2010" s="150" t="str">
        <f t="shared" si="94"/>
        <v>56</v>
      </c>
      <c r="J2010" s="150" t="str">
        <f t="shared" si="95"/>
        <v>562</v>
      </c>
      <c r="K2010" s="150" t="s">
        <v>9748</v>
      </c>
      <c r="L2010" s="149" t="s">
        <v>6412</v>
      </c>
      <c r="M2010" s="151">
        <v>904873</v>
      </c>
    </row>
    <row r="2011" spans="1:13" s="149" customFormat="1" x14ac:dyDescent="0.25">
      <c r="A2011" s="149" t="s">
        <v>7639</v>
      </c>
      <c r="B2011" s="149" t="s">
        <v>6413</v>
      </c>
      <c r="C2011" s="149">
        <v>46</v>
      </c>
      <c r="D2011" s="149">
        <v>2</v>
      </c>
      <c r="E2011" s="149">
        <v>0</v>
      </c>
      <c r="F2011" s="149">
        <v>880750</v>
      </c>
      <c r="G2011" s="149">
        <v>56224</v>
      </c>
      <c r="H2011" s="150" t="str">
        <f t="shared" si="93"/>
        <v>5</v>
      </c>
      <c r="I2011" s="150" t="str">
        <f t="shared" si="94"/>
        <v>56</v>
      </c>
      <c r="J2011" s="150" t="str">
        <f t="shared" si="95"/>
        <v>562</v>
      </c>
      <c r="K2011" s="150" t="s">
        <v>9749</v>
      </c>
      <c r="L2011" s="149" t="s">
        <v>6414</v>
      </c>
      <c r="M2011" s="151">
        <v>3000000</v>
      </c>
    </row>
    <row r="2012" spans="1:13" s="149" customFormat="1" x14ac:dyDescent="0.25">
      <c r="A2012" s="149" t="s">
        <v>7639</v>
      </c>
      <c r="B2012" s="149" t="s">
        <v>6415</v>
      </c>
      <c r="C2012" s="149">
        <v>46</v>
      </c>
      <c r="D2012" s="149">
        <v>2</v>
      </c>
      <c r="E2012" s="149">
        <v>0</v>
      </c>
      <c r="F2012" s="149">
        <v>880800</v>
      </c>
      <c r="G2012" s="149">
        <v>56211</v>
      </c>
      <c r="H2012" s="150" t="str">
        <f t="shared" si="93"/>
        <v>5</v>
      </c>
      <c r="I2012" s="150" t="str">
        <f t="shared" si="94"/>
        <v>56</v>
      </c>
      <c r="J2012" s="150" t="str">
        <f t="shared" si="95"/>
        <v>562</v>
      </c>
      <c r="K2012" s="150" t="s">
        <v>9750</v>
      </c>
      <c r="L2012" s="149" t="s">
        <v>6416</v>
      </c>
      <c r="M2012" s="151">
        <v>856500</v>
      </c>
    </row>
    <row r="2013" spans="1:13" s="149" customFormat="1" x14ac:dyDescent="0.25">
      <c r="A2013" s="149" t="s">
        <v>7639</v>
      </c>
      <c r="B2013" s="149" t="s">
        <v>6417</v>
      </c>
      <c r="C2013" s="149">
        <v>46</v>
      </c>
      <c r="D2013" s="149">
        <v>2</v>
      </c>
      <c r="E2013" s="149">
        <v>0</v>
      </c>
      <c r="F2013" s="149">
        <v>880800</v>
      </c>
      <c r="G2013" s="149">
        <v>56215</v>
      </c>
      <c r="H2013" s="150" t="str">
        <f t="shared" si="93"/>
        <v>5</v>
      </c>
      <c r="I2013" s="150" t="str">
        <f t="shared" si="94"/>
        <v>56</v>
      </c>
      <c r="J2013" s="150" t="str">
        <f t="shared" si="95"/>
        <v>562</v>
      </c>
      <c r="K2013" s="150" t="s">
        <v>9751</v>
      </c>
      <c r="L2013" s="149" t="s">
        <v>6418</v>
      </c>
      <c r="M2013" s="151">
        <v>6600</v>
      </c>
    </row>
    <row r="2014" spans="1:13" s="149" customFormat="1" x14ac:dyDescent="0.25">
      <c r="A2014" s="149" t="s">
        <v>7639</v>
      </c>
      <c r="B2014" s="149" t="s">
        <v>6419</v>
      </c>
      <c r="C2014" s="149">
        <v>46</v>
      </c>
      <c r="D2014" s="149">
        <v>2</v>
      </c>
      <c r="E2014" s="149">
        <v>0</v>
      </c>
      <c r="F2014" s="149">
        <v>880800</v>
      </c>
      <c r="G2014" s="149">
        <v>56223</v>
      </c>
      <c r="H2014" s="150" t="str">
        <f t="shared" si="93"/>
        <v>5</v>
      </c>
      <c r="I2014" s="150" t="str">
        <f t="shared" si="94"/>
        <v>56</v>
      </c>
      <c r="J2014" s="150" t="str">
        <f t="shared" si="95"/>
        <v>562</v>
      </c>
      <c r="K2014" s="150" t="s">
        <v>9752</v>
      </c>
      <c r="L2014" s="149" t="s">
        <v>6420</v>
      </c>
      <c r="M2014" s="151">
        <v>2500</v>
      </c>
    </row>
    <row r="2015" spans="1:13" s="149" customFormat="1" x14ac:dyDescent="0.25">
      <c r="A2015" s="149" t="s">
        <v>7639</v>
      </c>
      <c r="B2015" s="149" t="s">
        <v>6421</v>
      </c>
      <c r="C2015" s="149">
        <v>46</v>
      </c>
      <c r="D2015" s="149">
        <v>2</v>
      </c>
      <c r="E2015" s="149">
        <v>0</v>
      </c>
      <c r="F2015" s="149">
        <v>880800</v>
      </c>
      <c r="G2015" s="149">
        <v>56224</v>
      </c>
      <c r="H2015" s="150" t="str">
        <f t="shared" si="93"/>
        <v>5</v>
      </c>
      <c r="I2015" s="150" t="str">
        <f t="shared" si="94"/>
        <v>56</v>
      </c>
      <c r="J2015" s="150" t="str">
        <f t="shared" si="95"/>
        <v>562</v>
      </c>
      <c r="K2015" s="150" t="s">
        <v>9753</v>
      </c>
      <c r="L2015" s="149" t="s">
        <v>6422</v>
      </c>
      <c r="M2015" s="151">
        <v>465480</v>
      </c>
    </row>
    <row r="2016" spans="1:13" s="149" customFormat="1" x14ac:dyDescent="0.25">
      <c r="A2016" s="149" t="s">
        <v>7639</v>
      </c>
      <c r="B2016" s="149" t="s">
        <v>6423</v>
      </c>
      <c r="C2016" s="149">
        <v>46</v>
      </c>
      <c r="D2016" s="149">
        <v>2</v>
      </c>
      <c r="E2016" s="149">
        <v>0</v>
      </c>
      <c r="F2016" s="149">
        <v>880800</v>
      </c>
      <c r="G2016" s="149">
        <v>56250</v>
      </c>
      <c r="H2016" s="150" t="str">
        <f t="shared" si="93"/>
        <v>5</v>
      </c>
      <c r="I2016" s="150" t="str">
        <f t="shared" si="94"/>
        <v>56</v>
      </c>
      <c r="J2016" s="150" t="str">
        <f t="shared" si="95"/>
        <v>562</v>
      </c>
      <c r="K2016" s="150" t="s">
        <v>9754</v>
      </c>
      <c r="L2016" s="149" t="s">
        <v>6424</v>
      </c>
      <c r="M2016" s="151">
        <v>38000</v>
      </c>
    </row>
    <row r="2017" spans="1:13" s="149" customFormat="1" x14ac:dyDescent="0.25">
      <c r="A2017" s="149" t="s">
        <v>7639</v>
      </c>
      <c r="B2017" s="149" t="s">
        <v>6425</v>
      </c>
      <c r="C2017" s="149">
        <v>46</v>
      </c>
      <c r="D2017" s="149">
        <v>2</v>
      </c>
      <c r="E2017" s="149">
        <v>0</v>
      </c>
      <c r="F2017" s="149">
        <v>880900</v>
      </c>
      <c r="G2017" s="149">
        <v>56211</v>
      </c>
      <c r="H2017" s="150" t="str">
        <f t="shared" si="93"/>
        <v>5</v>
      </c>
      <c r="I2017" s="150" t="str">
        <f t="shared" si="94"/>
        <v>56</v>
      </c>
      <c r="J2017" s="150" t="str">
        <f t="shared" si="95"/>
        <v>562</v>
      </c>
      <c r="K2017" s="150" t="s">
        <v>9755</v>
      </c>
      <c r="L2017" s="149" t="s">
        <v>6426</v>
      </c>
      <c r="M2017" s="151">
        <v>611000</v>
      </c>
    </row>
    <row r="2018" spans="1:13" s="149" customFormat="1" x14ac:dyDescent="0.25">
      <c r="A2018" s="149" t="s">
        <v>7639</v>
      </c>
      <c r="B2018" s="149" t="s">
        <v>6427</v>
      </c>
      <c r="C2018" s="149">
        <v>46</v>
      </c>
      <c r="D2018" s="149">
        <v>2</v>
      </c>
      <c r="E2018" s="149">
        <v>0</v>
      </c>
      <c r="F2018" s="149">
        <v>880900</v>
      </c>
      <c r="G2018" s="149">
        <v>56215</v>
      </c>
      <c r="H2018" s="150" t="str">
        <f t="shared" si="93"/>
        <v>5</v>
      </c>
      <c r="I2018" s="150" t="str">
        <f t="shared" si="94"/>
        <v>56</v>
      </c>
      <c r="J2018" s="150" t="str">
        <f t="shared" si="95"/>
        <v>562</v>
      </c>
      <c r="K2018" s="150" t="s">
        <v>9756</v>
      </c>
      <c r="L2018" s="149" t="s">
        <v>6428</v>
      </c>
      <c r="M2018" s="151">
        <v>7100</v>
      </c>
    </row>
    <row r="2019" spans="1:13" s="149" customFormat="1" x14ac:dyDescent="0.25">
      <c r="A2019" s="149" t="s">
        <v>7639</v>
      </c>
      <c r="B2019" s="149" t="s">
        <v>9757</v>
      </c>
      <c r="C2019" s="149">
        <v>46</v>
      </c>
      <c r="D2019" s="149">
        <v>2</v>
      </c>
      <c r="E2019" s="149">
        <v>0</v>
      </c>
      <c r="F2019" s="149">
        <v>880900</v>
      </c>
      <c r="G2019" s="149">
        <v>56223</v>
      </c>
      <c r="H2019" s="150" t="str">
        <f t="shared" si="93"/>
        <v>5</v>
      </c>
      <c r="I2019" s="150" t="str">
        <f t="shared" si="94"/>
        <v>56</v>
      </c>
      <c r="J2019" s="150" t="str">
        <f t="shared" si="95"/>
        <v>562</v>
      </c>
      <c r="K2019" s="150" t="s">
        <v>9758</v>
      </c>
      <c r="L2019" s="149" t="s">
        <v>9759</v>
      </c>
      <c r="M2019" s="151">
        <v>3300</v>
      </c>
    </row>
    <row r="2020" spans="1:13" s="149" customFormat="1" x14ac:dyDescent="0.25">
      <c r="A2020" s="149" t="s">
        <v>7639</v>
      </c>
      <c r="B2020" s="149" t="s">
        <v>6429</v>
      </c>
      <c r="C2020" s="149">
        <v>46</v>
      </c>
      <c r="D2020" s="149">
        <v>2</v>
      </c>
      <c r="E2020" s="149">
        <v>1</v>
      </c>
      <c r="F2020" s="149">
        <v>880600</v>
      </c>
      <c r="G2020" s="149">
        <v>56211</v>
      </c>
      <c r="H2020" s="150" t="str">
        <f t="shared" si="93"/>
        <v>5</v>
      </c>
      <c r="I2020" s="150" t="str">
        <f t="shared" si="94"/>
        <v>56</v>
      </c>
      <c r="J2020" s="150" t="str">
        <f t="shared" si="95"/>
        <v>562</v>
      </c>
      <c r="K2020" s="150" t="s">
        <v>9760</v>
      </c>
      <c r="L2020" s="149" t="s">
        <v>6430</v>
      </c>
      <c r="M2020" s="151">
        <v>500000</v>
      </c>
    </row>
    <row r="2021" spans="1:13" s="149" customFormat="1" x14ac:dyDescent="0.25">
      <c r="A2021" s="149" t="s">
        <v>7639</v>
      </c>
      <c r="B2021" s="149" t="s">
        <v>6431</v>
      </c>
      <c r="C2021" s="149">
        <v>46</v>
      </c>
      <c r="D2021" s="149">
        <v>2</v>
      </c>
      <c r="E2021" s="149">
        <v>2</v>
      </c>
      <c r="F2021" s="149">
        <v>880500</v>
      </c>
      <c r="G2021" s="149">
        <v>55575</v>
      </c>
      <c r="H2021" s="150" t="str">
        <f t="shared" si="93"/>
        <v>5</v>
      </c>
      <c r="I2021" s="150" t="str">
        <f t="shared" si="94"/>
        <v>55</v>
      </c>
      <c r="J2021" s="150" t="str">
        <f t="shared" si="95"/>
        <v>555</v>
      </c>
      <c r="K2021" s="150" t="s">
        <v>9761</v>
      </c>
      <c r="L2021" s="149" t="s">
        <v>6432</v>
      </c>
      <c r="M2021" s="151">
        <v>0</v>
      </c>
    </row>
    <row r="2022" spans="1:13" s="149" customFormat="1" x14ac:dyDescent="0.25">
      <c r="A2022" s="149" t="s">
        <v>7639</v>
      </c>
      <c r="B2022" s="149" t="s">
        <v>6433</v>
      </c>
      <c r="C2022" s="149">
        <v>46</v>
      </c>
      <c r="D2022" s="149">
        <v>2</v>
      </c>
      <c r="E2022" s="149">
        <v>2</v>
      </c>
      <c r="F2022" s="149">
        <v>880500</v>
      </c>
      <c r="G2022" s="149">
        <v>56203</v>
      </c>
      <c r="H2022" s="150" t="str">
        <f t="shared" si="93"/>
        <v>5</v>
      </c>
      <c r="I2022" s="150" t="str">
        <f t="shared" si="94"/>
        <v>56</v>
      </c>
      <c r="J2022" s="150" t="str">
        <f t="shared" si="95"/>
        <v>562</v>
      </c>
      <c r="K2022" s="150" t="s">
        <v>9762</v>
      </c>
      <c r="L2022" s="149" t="s">
        <v>6357</v>
      </c>
      <c r="M2022" s="151">
        <v>0</v>
      </c>
    </row>
    <row r="2023" spans="1:13" s="149" customFormat="1" x14ac:dyDescent="0.25">
      <c r="A2023" s="149" t="s">
        <v>7639</v>
      </c>
      <c r="B2023" s="149" t="s">
        <v>6434</v>
      </c>
      <c r="C2023" s="149">
        <v>46</v>
      </c>
      <c r="D2023" s="149">
        <v>2</v>
      </c>
      <c r="E2023" s="149">
        <v>2</v>
      </c>
      <c r="F2023" s="149">
        <v>880500</v>
      </c>
      <c r="G2023" s="149">
        <v>56211</v>
      </c>
      <c r="H2023" s="150" t="str">
        <f t="shared" si="93"/>
        <v>5</v>
      </c>
      <c r="I2023" s="150" t="str">
        <f t="shared" si="94"/>
        <v>56</v>
      </c>
      <c r="J2023" s="150" t="str">
        <f t="shared" si="95"/>
        <v>562</v>
      </c>
      <c r="K2023" s="150" t="s">
        <v>9763</v>
      </c>
      <c r="L2023" s="149" t="s">
        <v>6435</v>
      </c>
      <c r="M2023" s="151">
        <v>0</v>
      </c>
    </row>
    <row r="2024" spans="1:13" s="149" customFormat="1" x14ac:dyDescent="0.25">
      <c r="A2024" s="149" t="s">
        <v>7639</v>
      </c>
      <c r="B2024" s="149" t="s">
        <v>6436</v>
      </c>
      <c r="C2024" s="149">
        <v>52</v>
      </c>
      <c r="D2024" s="149">
        <v>230</v>
      </c>
      <c r="E2024" s="149">
        <v>0</v>
      </c>
      <c r="F2024" s="149">
        <v>0</v>
      </c>
      <c r="G2024" s="149">
        <v>48844</v>
      </c>
      <c r="H2024" s="150" t="str">
        <f t="shared" si="93"/>
        <v>4</v>
      </c>
      <c r="I2024" s="150" t="str">
        <f t="shared" si="94"/>
        <v>48</v>
      </c>
      <c r="J2024" s="150" t="str">
        <f t="shared" si="95"/>
        <v>488</v>
      </c>
      <c r="K2024" s="150" t="s">
        <v>9764</v>
      </c>
      <c r="L2024" s="149" t="s">
        <v>6437</v>
      </c>
      <c r="M2024" s="151">
        <v>-8869</v>
      </c>
    </row>
    <row r="2025" spans="1:13" s="149" customFormat="1" x14ac:dyDescent="0.25">
      <c r="A2025" s="149" t="s">
        <v>7639</v>
      </c>
      <c r="B2025" s="149" t="s">
        <v>6438</v>
      </c>
      <c r="C2025" s="149">
        <v>52</v>
      </c>
      <c r="D2025" s="149">
        <v>230</v>
      </c>
      <c r="E2025" s="149">
        <v>0</v>
      </c>
      <c r="F2025" s="149">
        <v>0</v>
      </c>
      <c r="G2025" s="149">
        <v>48845</v>
      </c>
      <c r="H2025" s="150" t="str">
        <f t="shared" si="93"/>
        <v>4</v>
      </c>
      <c r="I2025" s="150" t="str">
        <f t="shared" si="94"/>
        <v>48</v>
      </c>
      <c r="J2025" s="150" t="str">
        <f t="shared" si="95"/>
        <v>488</v>
      </c>
      <c r="K2025" s="150" t="s">
        <v>9765</v>
      </c>
      <c r="L2025" s="149" t="s">
        <v>6439</v>
      </c>
      <c r="M2025" s="151">
        <v>-11113</v>
      </c>
    </row>
    <row r="2026" spans="1:13" s="149" customFormat="1" x14ac:dyDescent="0.25">
      <c r="A2026" s="149" t="s">
        <v>7639</v>
      </c>
      <c r="B2026" s="149" t="s">
        <v>6440</v>
      </c>
      <c r="C2026" s="149">
        <v>52</v>
      </c>
      <c r="D2026" s="149">
        <v>230</v>
      </c>
      <c r="E2026" s="149">
        <v>0</v>
      </c>
      <c r="F2026" s="149">
        <v>0</v>
      </c>
      <c r="G2026" s="149">
        <v>48849</v>
      </c>
      <c r="H2026" s="150" t="str">
        <f t="shared" si="93"/>
        <v>4</v>
      </c>
      <c r="I2026" s="150" t="str">
        <f t="shared" si="94"/>
        <v>48</v>
      </c>
      <c r="J2026" s="150" t="str">
        <f t="shared" si="95"/>
        <v>488</v>
      </c>
      <c r="K2026" s="150" t="s">
        <v>9766</v>
      </c>
      <c r="L2026" s="149" t="s">
        <v>6441</v>
      </c>
      <c r="M2026" s="151">
        <v>0</v>
      </c>
    </row>
    <row r="2027" spans="1:13" s="149" customFormat="1" x14ac:dyDescent="0.25">
      <c r="A2027" s="149" t="s">
        <v>7639</v>
      </c>
      <c r="B2027" s="149" t="s">
        <v>6442</v>
      </c>
      <c r="C2027" s="149">
        <v>52</v>
      </c>
      <c r="D2027" s="149">
        <v>230</v>
      </c>
      <c r="E2027" s="149">
        <v>0</v>
      </c>
      <c r="F2027" s="149">
        <v>0</v>
      </c>
      <c r="G2027" s="149">
        <v>48860</v>
      </c>
      <c r="H2027" s="150" t="str">
        <f t="shared" si="93"/>
        <v>4</v>
      </c>
      <c r="I2027" s="150" t="str">
        <f t="shared" si="94"/>
        <v>48</v>
      </c>
      <c r="J2027" s="150" t="str">
        <f t="shared" si="95"/>
        <v>488</v>
      </c>
      <c r="K2027" s="150" t="s">
        <v>9767</v>
      </c>
      <c r="L2027" s="149" t="s">
        <v>41</v>
      </c>
      <c r="M2027" s="151">
        <v>-2525</v>
      </c>
    </row>
    <row r="2028" spans="1:13" s="149" customFormat="1" x14ac:dyDescent="0.25">
      <c r="A2028" s="149" t="s">
        <v>7639</v>
      </c>
      <c r="B2028" s="149" t="s">
        <v>6443</v>
      </c>
      <c r="C2028" s="149">
        <v>52</v>
      </c>
      <c r="D2028" s="149">
        <v>230</v>
      </c>
      <c r="E2028" s="149">
        <v>0</v>
      </c>
      <c r="F2028" s="149">
        <v>0</v>
      </c>
      <c r="G2028" s="149">
        <v>52105</v>
      </c>
      <c r="H2028" s="150" t="str">
        <f t="shared" si="93"/>
        <v>5</v>
      </c>
      <c r="I2028" s="150" t="str">
        <f t="shared" si="94"/>
        <v>52</v>
      </c>
      <c r="J2028" s="150" t="str">
        <f t="shared" si="95"/>
        <v>521</v>
      </c>
      <c r="K2028" s="150" t="s">
        <v>9768</v>
      </c>
      <c r="L2028" s="149" t="s">
        <v>6151</v>
      </c>
      <c r="M2028" s="151">
        <v>0</v>
      </c>
    </row>
    <row r="2029" spans="1:13" s="149" customFormat="1" x14ac:dyDescent="0.25">
      <c r="A2029" s="149" t="s">
        <v>7639</v>
      </c>
      <c r="B2029" s="149" t="s">
        <v>6444</v>
      </c>
      <c r="C2029" s="149">
        <v>52</v>
      </c>
      <c r="D2029" s="149">
        <v>230</v>
      </c>
      <c r="E2029" s="149">
        <v>0</v>
      </c>
      <c r="F2029" s="149">
        <v>0</v>
      </c>
      <c r="G2029" s="149">
        <v>52115</v>
      </c>
      <c r="H2029" s="150" t="str">
        <f t="shared" si="93"/>
        <v>5</v>
      </c>
      <c r="I2029" s="150" t="str">
        <f t="shared" si="94"/>
        <v>52</v>
      </c>
      <c r="J2029" s="150" t="str">
        <f t="shared" si="95"/>
        <v>521</v>
      </c>
      <c r="K2029" s="150" t="s">
        <v>9769</v>
      </c>
      <c r="L2029" s="149" t="s">
        <v>6445</v>
      </c>
      <c r="M2029" s="151">
        <v>0</v>
      </c>
    </row>
    <row r="2030" spans="1:13" s="149" customFormat="1" x14ac:dyDescent="0.25">
      <c r="A2030" s="149" t="s">
        <v>7639</v>
      </c>
      <c r="B2030" s="149" t="s">
        <v>6446</v>
      </c>
      <c r="C2030" s="149">
        <v>52</v>
      </c>
      <c r="D2030" s="149">
        <v>230</v>
      </c>
      <c r="E2030" s="149">
        <v>0</v>
      </c>
      <c r="F2030" s="149">
        <v>0</v>
      </c>
      <c r="G2030" s="149">
        <v>52120</v>
      </c>
      <c r="H2030" s="150" t="str">
        <f t="shared" si="93"/>
        <v>5</v>
      </c>
      <c r="I2030" s="150" t="str">
        <f t="shared" si="94"/>
        <v>52</v>
      </c>
      <c r="J2030" s="150" t="str">
        <f t="shared" si="95"/>
        <v>521</v>
      </c>
      <c r="K2030" s="150" t="s">
        <v>9770</v>
      </c>
      <c r="L2030" s="149" t="s">
        <v>6447</v>
      </c>
      <c r="M2030" s="151">
        <v>0</v>
      </c>
    </row>
    <row r="2031" spans="1:13" s="149" customFormat="1" x14ac:dyDescent="0.25">
      <c r="A2031" s="149" t="s">
        <v>7639</v>
      </c>
      <c r="B2031" s="149" t="s">
        <v>6448</v>
      </c>
      <c r="C2031" s="149">
        <v>52</v>
      </c>
      <c r="D2031" s="149">
        <v>230</v>
      </c>
      <c r="E2031" s="149">
        <v>0</v>
      </c>
      <c r="F2031" s="149">
        <v>0</v>
      </c>
      <c r="G2031" s="149">
        <v>52125</v>
      </c>
      <c r="H2031" s="150" t="str">
        <f t="shared" si="93"/>
        <v>5</v>
      </c>
      <c r="I2031" s="150" t="str">
        <f t="shared" si="94"/>
        <v>52</v>
      </c>
      <c r="J2031" s="150" t="str">
        <f t="shared" si="95"/>
        <v>521</v>
      </c>
      <c r="K2031" s="150" t="s">
        <v>9771</v>
      </c>
      <c r="L2031" s="149" t="s">
        <v>6449</v>
      </c>
      <c r="M2031" s="151">
        <v>0</v>
      </c>
    </row>
    <row r="2032" spans="1:13" s="149" customFormat="1" x14ac:dyDescent="0.25">
      <c r="A2032" s="149" t="s">
        <v>7639</v>
      </c>
      <c r="B2032" s="149" t="s">
        <v>6450</v>
      </c>
      <c r="C2032" s="149">
        <v>52</v>
      </c>
      <c r="D2032" s="149">
        <v>230</v>
      </c>
      <c r="E2032" s="149">
        <v>0</v>
      </c>
      <c r="F2032" s="149">
        <v>0</v>
      </c>
      <c r="G2032" s="149">
        <v>52130</v>
      </c>
      <c r="H2032" s="150" t="str">
        <f t="shared" si="93"/>
        <v>5</v>
      </c>
      <c r="I2032" s="150" t="str">
        <f t="shared" si="94"/>
        <v>52</v>
      </c>
      <c r="J2032" s="150" t="str">
        <f t="shared" si="95"/>
        <v>521</v>
      </c>
      <c r="K2032" s="150" t="s">
        <v>9772</v>
      </c>
      <c r="L2032" s="149" t="s">
        <v>6451</v>
      </c>
      <c r="M2032" s="151">
        <v>0</v>
      </c>
    </row>
    <row r="2033" spans="1:13" s="149" customFormat="1" x14ac:dyDescent="0.25">
      <c r="A2033" s="149" t="s">
        <v>7639</v>
      </c>
      <c r="B2033" s="149" t="s">
        <v>6452</v>
      </c>
      <c r="C2033" s="149">
        <v>52</v>
      </c>
      <c r="D2033" s="149">
        <v>230</v>
      </c>
      <c r="E2033" s="149">
        <v>0</v>
      </c>
      <c r="F2033" s="149">
        <v>0</v>
      </c>
      <c r="G2033" s="149">
        <v>52300</v>
      </c>
      <c r="H2033" s="150" t="str">
        <f t="shared" si="93"/>
        <v>5</v>
      </c>
      <c r="I2033" s="150" t="str">
        <f t="shared" si="94"/>
        <v>52</v>
      </c>
      <c r="J2033" s="150" t="str">
        <f t="shared" si="95"/>
        <v>523</v>
      </c>
      <c r="K2033" s="150" t="s">
        <v>9773</v>
      </c>
      <c r="L2033" s="149" t="s">
        <v>6453</v>
      </c>
      <c r="M2033" s="151">
        <v>0</v>
      </c>
    </row>
    <row r="2034" spans="1:13" s="149" customFormat="1" x14ac:dyDescent="0.25">
      <c r="A2034" s="149" t="s">
        <v>7639</v>
      </c>
      <c r="B2034" s="149" t="s">
        <v>6454</v>
      </c>
      <c r="C2034" s="149">
        <v>52</v>
      </c>
      <c r="D2034" s="149">
        <v>230</v>
      </c>
      <c r="E2034" s="149">
        <v>0</v>
      </c>
      <c r="F2034" s="149">
        <v>0</v>
      </c>
      <c r="G2034" s="149">
        <v>52310</v>
      </c>
      <c r="H2034" s="150" t="str">
        <f t="shared" si="93"/>
        <v>5</v>
      </c>
      <c r="I2034" s="150" t="str">
        <f t="shared" si="94"/>
        <v>52</v>
      </c>
      <c r="J2034" s="150" t="str">
        <f t="shared" si="95"/>
        <v>523</v>
      </c>
      <c r="K2034" s="150" t="s">
        <v>9774</v>
      </c>
      <c r="L2034" s="149" t="s">
        <v>6455</v>
      </c>
      <c r="M2034" s="151">
        <v>0</v>
      </c>
    </row>
    <row r="2035" spans="1:13" s="149" customFormat="1" x14ac:dyDescent="0.25">
      <c r="A2035" s="149" t="s">
        <v>7639</v>
      </c>
      <c r="B2035" s="149" t="s">
        <v>6456</v>
      </c>
      <c r="C2035" s="149">
        <v>52</v>
      </c>
      <c r="D2035" s="149">
        <v>230</v>
      </c>
      <c r="E2035" s="149">
        <v>0</v>
      </c>
      <c r="F2035" s="149">
        <v>0</v>
      </c>
      <c r="G2035" s="149">
        <v>52350</v>
      </c>
      <c r="H2035" s="150" t="str">
        <f t="shared" si="93"/>
        <v>5</v>
      </c>
      <c r="I2035" s="150" t="str">
        <f t="shared" si="94"/>
        <v>52</v>
      </c>
      <c r="J2035" s="150" t="str">
        <f t="shared" si="95"/>
        <v>523</v>
      </c>
      <c r="K2035" s="150" t="s">
        <v>9775</v>
      </c>
      <c r="L2035" s="149" t="s">
        <v>6153</v>
      </c>
      <c r="M2035" s="151">
        <v>0</v>
      </c>
    </row>
    <row r="2036" spans="1:13" s="149" customFormat="1" x14ac:dyDescent="0.25">
      <c r="A2036" s="149" t="s">
        <v>7639</v>
      </c>
      <c r="B2036" s="149" t="s">
        <v>6457</v>
      </c>
      <c r="C2036" s="149">
        <v>52</v>
      </c>
      <c r="D2036" s="149">
        <v>230</v>
      </c>
      <c r="E2036" s="149">
        <v>0</v>
      </c>
      <c r="F2036" s="149">
        <v>0</v>
      </c>
      <c r="G2036" s="149">
        <v>53220</v>
      </c>
      <c r="H2036" s="150" t="str">
        <f t="shared" si="93"/>
        <v>5</v>
      </c>
      <c r="I2036" s="150" t="str">
        <f t="shared" si="94"/>
        <v>53</v>
      </c>
      <c r="J2036" s="150" t="str">
        <f t="shared" si="95"/>
        <v>532</v>
      </c>
      <c r="K2036" s="150" t="s">
        <v>9776</v>
      </c>
      <c r="L2036" s="149" t="s">
        <v>6159</v>
      </c>
      <c r="M2036" s="151">
        <v>0</v>
      </c>
    </row>
    <row r="2037" spans="1:13" s="149" customFormat="1" x14ac:dyDescent="0.25">
      <c r="A2037" s="149" t="s">
        <v>7639</v>
      </c>
      <c r="B2037" s="149" t="s">
        <v>6458</v>
      </c>
      <c r="C2037" s="149">
        <v>52</v>
      </c>
      <c r="D2037" s="149">
        <v>230</v>
      </c>
      <c r="E2037" s="149">
        <v>0</v>
      </c>
      <c r="F2037" s="149">
        <v>0</v>
      </c>
      <c r="G2037" s="149">
        <v>53320</v>
      </c>
      <c r="H2037" s="150" t="str">
        <f t="shared" si="93"/>
        <v>5</v>
      </c>
      <c r="I2037" s="150" t="str">
        <f t="shared" si="94"/>
        <v>53</v>
      </c>
      <c r="J2037" s="150" t="str">
        <f t="shared" si="95"/>
        <v>533</v>
      </c>
      <c r="K2037" s="150" t="s">
        <v>9777</v>
      </c>
      <c r="L2037" s="149" t="s">
        <v>6161</v>
      </c>
      <c r="M2037" s="151">
        <v>0</v>
      </c>
    </row>
    <row r="2038" spans="1:13" s="149" customFormat="1" x14ac:dyDescent="0.25">
      <c r="A2038" s="149" t="s">
        <v>7639</v>
      </c>
      <c r="B2038" s="149" t="s">
        <v>6459</v>
      </c>
      <c r="C2038" s="149">
        <v>52</v>
      </c>
      <c r="D2038" s="149">
        <v>230</v>
      </c>
      <c r="E2038" s="149">
        <v>0</v>
      </c>
      <c r="F2038" s="149">
        <v>0</v>
      </c>
      <c r="G2038" s="149">
        <v>53340</v>
      </c>
      <c r="H2038" s="150" t="str">
        <f t="shared" si="93"/>
        <v>5</v>
      </c>
      <c r="I2038" s="150" t="str">
        <f t="shared" si="94"/>
        <v>53</v>
      </c>
      <c r="J2038" s="150" t="str">
        <f t="shared" si="95"/>
        <v>533</v>
      </c>
      <c r="K2038" s="150" t="s">
        <v>9778</v>
      </c>
      <c r="L2038" s="149" t="s">
        <v>6163</v>
      </c>
      <c r="M2038" s="151">
        <v>0</v>
      </c>
    </row>
    <row r="2039" spans="1:13" s="149" customFormat="1" x14ac:dyDescent="0.25">
      <c r="A2039" s="149" t="s">
        <v>7639</v>
      </c>
      <c r="B2039" s="149" t="s">
        <v>6460</v>
      </c>
      <c r="C2039" s="149">
        <v>52</v>
      </c>
      <c r="D2039" s="149">
        <v>230</v>
      </c>
      <c r="E2039" s="149">
        <v>0</v>
      </c>
      <c r="F2039" s="149">
        <v>0</v>
      </c>
      <c r="G2039" s="149">
        <v>53420</v>
      </c>
      <c r="H2039" s="150" t="str">
        <f t="shared" si="93"/>
        <v>5</v>
      </c>
      <c r="I2039" s="150" t="str">
        <f t="shared" si="94"/>
        <v>53</v>
      </c>
      <c r="J2039" s="150" t="str">
        <f t="shared" si="95"/>
        <v>534</v>
      </c>
      <c r="K2039" s="150" t="s">
        <v>9779</v>
      </c>
      <c r="L2039" s="149" t="s">
        <v>6165</v>
      </c>
      <c r="M2039" s="151">
        <v>0</v>
      </c>
    </row>
    <row r="2040" spans="1:13" s="149" customFormat="1" x14ac:dyDescent="0.25">
      <c r="A2040" s="149" t="s">
        <v>7639</v>
      </c>
      <c r="B2040" s="149" t="s">
        <v>6461</v>
      </c>
      <c r="C2040" s="149">
        <v>52</v>
      </c>
      <c r="D2040" s="149">
        <v>230</v>
      </c>
      <c r="E2040" s="149">
        <v>0</v>
      </c>
      <c r="F2040" s="149">
        <v>0</v>
      </c>
      <c r="G2040" s="149">
        <v>53520</v>
      </c>
      <c r="H2040" s="150" t="str">
        <f t="shared" si="93"/>
        <v>5</v>
      </c>
      <c r="I2040" s="150" t="str">
        <f t="shared" si="94"/>
        <v>53</v>
      </c>
      <c r="J2040" s="150" t="str">
        <f t="shared" si="95"/>
        <v>535</v>
      </c>
      <c r="K2040" s="150" t="s">
        <v>9780</v>
      </c>
      <c r="L2040" s="149" t="s">
        <v>6167</v>
      </c>
      <c r="M2040" s="151">
        <v>0</v>
      </c>
    </row>
    <row r="2041" spans="1:13" s="149" customFormat="1" x14ac:dyDescent="0.25">
      <c r="A2041" s="149" t="s">
        <v>7639</v>
      </c>
      <c r="B2041" s="149" t="s">
        <v>6462</v>
      </c>
      <c r="C2041" s="149">
        <v>52</v>
      </c>
      <c r="D2041" s="149">
        <v>230</v>
      </c>
      <c r="E2041" s="149">
        <v>0</v>
      </c>
      <c r="F2041" s="149">
        <v>0</v>
      </c>
      <c r="G2041" s="149">
        <v>53620</v>
      </c>
      <c r="H2041" s="150" t="str">
        <f t="shared" si="93"/>
        <v>5</v>
      </c>
      <c r="I2041" s="150" t="str">
        <f t="shared" si="94"/>
        <v>53</v>
      </c>
      <c r="J2041" s="150" t="str">
        <f t="shared" si="95"/>
        <v>536</v>
      </c>
      <c r="K2041" s="150" t="s">
        <v>9781</v>
      </c>
      <c r="L2041" s="149" t="s">
        <v>6169</v>
      </c>
      <c r="M2041" s="151">
        <v>0</v>
      </c>
    </row>
    <row r="2042" spans="1:13" s="149" customFormat="1" x14ac:dyDescent="0.25">
      <c r="A2042" s="149" t="s">
        <v>7639</v>
      </c>
      <c r="B2042" s="149" t="s">
        <v>6463</v>
      </c>
      <c r="C2042" s="149">
        <v>52</v>
      </c>
      <c r="D2042" s="149">
        <v>230</v>
      </c>
      <c r="E2042" s="149">
        <v>0</v>
      </c>
      <c r="F2042" s="149">
        <v>0</v>
      </c>
      <c r="G2042" s="149">
        <v>53920</v>
      </c>
      <c r="H2042" s="150" t="str">
        <f t="shared" si="93"/>
        <v>5</v>
      </c>
      <c r="I2042" s="150" t="str">
        <f t="shared" si="94"/>
        <v>53</v>
      </c>
      <c r="J2042" s="150" t="str">
        <f t="shared" si="95"/>
        <v>539</v>
      </c>
      <c r="K2042" s="150" t="s">
        <v>9782</v>
      </c>
      <c r="L2042" s="149" t="s">
        <v>6464</v>
      </c>
      <c r="M2042" s="151">
        <v>0</v>
      </c>
    </row>
    <row r="2043" spans="1:13" s="149" customFormat="1" x14ac:dyDescent="0.25">
      <c r="A2043" s="149" t="s">
        <v>7639</v>
      </c>
      <c r="B2043" s="149" t="s">
        <v>6465</v>
      </c>
      <c r="C2043" s="149">
        <v>52</v>
      </c>
      <c r="D2043" s="149">
        <v>230</v>
      </c>
      <c r="E2043" s="149">
        <v>0</v>
      </c>
      <c r="F2043" s="149">
        <v>0</v>
      </c>
      <c r="G2043" s="149">
        <v>54210</v>
      </c>
      <c r="H2043" s="150" t="str">
        <f t="shared" si="93"/>
        <v>5</v>
      </c>
      <c r="I2043" s="150" t="str">
        <f t="shared" si="94"/>
        <v>54</v>
      </c>
      <c r="J2043" s="150" t="str">
        <f t="shared" si="95"/>
        <v>542</v>
      </c>
      <c r="K2043" s="150" t="s">
        <v>9783</v>
      </c>
      <c r="L2043" s="149" t="s">
        <v>6171</v>
      </c>
      <c r="M2043" s="151">
        <v>10000</v>
      </c>
    </row>
    <row r="2044" spans="1:13" s="149" customFormat="1" x14ac:dyDescent="0.25">
      <c r="A2044" s="149" t="s">
        <v>7639</v>
      </c>
      <c r="B2044" s="149" t="s">
        <v>6466</v>
      </c>
      <c r="C2044" s="149">
        <v>52</v>
      </c>
      <c r="D2044" s="149">
        <v>230</v>
      </c>
      <c r="E2044" s="149">
        <v>0</v>
      </c>
      <c r="F2044" s="149">
        <v>0</v>
      </c>
      <c r="G2044" s="149">
        <v>54300</v>
      </c>
      <c r="H2044" s="150" t="str">
        <f t="shared" si="93"/>
        <v>5</v>
      </c>
      <c r="I2044" s="150" t="str">
        <f t="shared" si="94"/>
        <v>54</v>
      </c>
      <c r="J2044" s="150" t="str">
        <f t="shared" si="95"/>
        <v>543</v>
      </c>
      <c r="K2044" s="150" t="s">
        <v>9784</v>
      </c>
      <c r="L2044" s="149" t="s">
        <v>6173</v>
      </c>
      <c r="M2044" s="151">
        <v>9982</v>
      </c>
    </row>
    <row r="2045" spans="1:13" s="149" customFormat="1" x14ac:dyDescent="0.25">
      <c r="A2045" s="149" t="s">
        <v>7639</v>
      </c>
      <c r="B2045" s="149" t="s">
        <v>6467</v>
      </c>
      <c r="C2045" s="149">
        <v>52</v>
      </c>
      <c r="D2045" s="149">
        <v>230</v>
      </c>
      <c r="E2045" s="149">
        <v>0</v>
      </c>
      <c r="F2045" s="149">
        <v>0</v>
      </c>
      <c r="G2045" s="149">
        <v>54320</v>
      </c>
      <c r="H2045" s="150" t="str">
        <f t="shared" si="93"/>
        <v>5</v>
      </c>
      <c r="I2045" s="150" t="str">
        <f t="shared" si="94"/>
        <v>54</v>
      </c>
      <c r="J2045" s="150" t="str">
        <f t="shared" si="95"/>
        <v>543</v>
      </c>
      <c r="K2045" s="150" t="s">
        <v>9785</v>
      </c>
      <c r="L2045" s="149" t="s">
        <v>6468</v>
      </c>
      <c r="M2045" s="151">
        <v>0</v>
      </c>
    </row>
    <row r="2046" spans="1:13" s="149" customFormat="1" x14ac:dyDescent="0.25">
      <c r="A2046" s="149" t="s">
        <v>7639</v>
      </c>
      <c r="B2046" s="149" t="s">
        <v>6469</v>
      </c>
      <c r="C2046" s="149">
        <v>52</v>
      </c>
      <c r="D2046" s="149">
        <v>230</v>
      </c>
      <c r="E2046" s="149">
        <v>0</v>
      </c>
      <c r="F2046" s="149">
        <v>0</v>
      </c>
      <c r="G2046" s="149">
        <v>55200</v>
      </c>
      <c r="H2046" s="150" t="str">
        <f t="shared" si="93"/>
        <v>5</v>
      </c>
      <c r="I2046" s="150" t="str">
        <f t="shared" si="94"/>
        <v>55</v>
      </c>
      <c r="J2046" s="150" t="str">
        <f t="shared" si="95"/>
        <v>552</v>
      </c>
      <c r="K2046" s="150" t="s">
        <v>9786</v>
      </c>
      <c r="L2046" s="149" t="s">
        <v>6175</v>
      </c>
      <c r="M2046" s="151">
        <v>0</v>
      </c>
    </row>
    <row r="2047" spans="1:13" s="149" customFormat="1" x14ac:dyDescent="0.25">
      <c r="A2047" s="149" t="s">
        <v>7639</v>
      </c>
      <c r="B2047" s="149" t="s">
        <v>6470</v>
      </c>
      <c r="C2047" s="149">
        <v>52</v>
      </c>
      <c r="D2047" s="149">
        <v>230</v>
      </c>
      <c r="E2047" s="149">
        <v>0</v>
      </c>
      <c r="F2047" s="149">
        <v>0</v>
      </c>
      <c r="G2047" s="149">
        <v>55600</v>
      </c>
      <c r="H2047" s="150" t="str">
        <f t="shared" si="93"/>
        <v>5</v>
      </c>
      <c r="I2047" s="150" t="str">
        <f t="shared" si="94"/>
        <v>55</v>
      </c>
      <c r="J2047" s="150" t="str">
        <f t="shared" si="95"/>
        <v>556</v>
      </c>
      <c r="K2047" s="150" t="s">
        <v>9787</v>
      </c>
      <c r="L2047" s="149" t="s">
        <v>6139</v>
      </c>
      <c r="M2047" s="151">
        <v>0</v>
      </c>
    </row>
    <row r="2048" spans="1:13" s="149" customFormat="1" x14ac:dyDescent="0.25">
      <c r="A2048" s="149" t="s">
        <v>7639</v>
      </c>
      <c r="B2048" s="149" t="s">
        <v>6471</v>
      </c>
      <c r="C2048" s="149">
        <v>52</v>
      </c>
      <c r="D2048" s="149">
        <v>230</v>
      </c>
      <c r="E2048" s="149">
        <v>0</v>
      </c>
      <c r="F2048" s="149">
        <v>0</v>
      </c>
      <c r="G2048" s="149">
        <v>55630</v>
      </c>
      <c r="H2048" s="150" t="str">
        <f t="shared" si="93"/>
        <v>5</v>
      </c>
      <c r="I2048" s="150" t="str">
        <f t="shared" si="94"/>
        <v>55</v>
      </c>
      <c r="J2048" s="150" t="str">
        <f t="shared" si="95"/>
        <v>556</v>
      </c>
      <c r="K2048" s="150" t="s">
        <v>9788</v>
      </c>
      <c r="L2048" s="149" t="s">
        <v>6181</v>
      </c>
      <c r="M2048" s="151">
        <v>0</v>
      </c>
    </row>
    <row r="2049" spans="1:13" s="149" customFormat="1" x14ac:dyDescent="0.25">
      <c r="A2049" s="149" t="s">
        <v>7639</v>
      </c>
      <c r="B2049" s="149" t="s">
        <v>6472</v>
      </c>
      <c r="C2049" s="149">
        <v>52</v>
      </c>
      <c r="D2049" s="149">
        <v>230</v>
      </c>
      <c r="E2049" s="149">
        <v>0</v>
      </c>
      <c r="F2049" s="149">
        <v>0</v>
      </c>
      <c r="G2049" s="149">
        <v>55651</v>
      </c>
      <c r="H2049" s="150" t="str">
        <f t="shared" si="93"/>
        <v>5</v>
      </c>
      <c r="I2049" s="150" t="str">
        <f t="shared" si="94"/>
        <v>55</v>
      </c>
      <c r="J2049" s="150" t="str">
        <f t="shared" si="95"/>
        <v>556</v>
      </c>
      <c r="K2049" s="150" t="s">
        <v>9789</v>
      </c>
      <c r="L2049" s="149" t="s">
        <v>6187</v>
      </c>
      <c r="M2049" s="151">
        <v>0</v>
      </c>
    </row>
    <row r="2050" spans="1:13" s="149" customFormat="1" x14ac:dyDescent="0.25">
      <c r="A2050" s="149" t="s">
        <v>7639</v>
      </c>
      <c r="B2050" s="149" t="s">
        <v>6473</v>
      </c>
      <c r="C2050" s="149">
        <v>52</v>
      </c>
      <c r="D2050" s="149">
        <v>230</v>
      </c>
      <c r="E2050" s="149">
        <v>0</v>
      </c>
      <c r="F2050" s="149">
        <v>0</v>
      </c>
      <c r="G2050" s="149">
        <v>55800</v>
      </c>
      <c r="H2050" s="150" t="str">
        <f t="shared" si="93"/>
        <v>5</v>
      </c>
      <c r="I2050" s="150" t="str">
        <f t="shared" si="94"/>
        <v>55</v>
      </c>
      <c r="J2050" s="150" t="str">
        <f t="shared" si="95"/>
        <v>558</v>
      </c>
      <c r="K2050" s="150" t="s">
        <v>9790</v>
      </c>
      <c r="L2050" s="149" t="s">
        <v>6269</v>
      </c>
      <c r="M2050" s="151">
        <v>370</v>
      </c>
    </row>
    <row r="2051" spans="1:13" s="149" customFormat="1" x14ac:dyDescent="0.25">
      <c r="A2051" s="149" t="s">
        <v>7639</v>
      </c>
      <c r="B2051" s="149" t="s">
        <v>6474</v>
      </c>
      <c r="C2051" s="149">
        <v>52</v>
      </c>
      <c r="D2051" s="149">
        <v>230</v>
      </c>
      <c r="E2051" s="149">
        <v>0</v>
      </c>
      <c r="F2051" s="149">
        <v>0</v>
      </c>
      <c r="G2051" s="149">
        <v>55805</v>
      </c>
      <c r="H2051" s="150" t="str">
        <f t="shared" ref="H2051:H2114" si="96">LEFT(G2051,1)</f>
        <v>5</v>
      </c>
      <c r="I2051" s="150" t="str">
        <f t="shared" ref="I2051:I2114" si="97">LEFT(G2051,2)</f>
        <v>55</v>
      </c>
      <c r="J2051" s="150" t="str">
        <f t="shared" ref="J2051:J2114" si="98">LEFT(G2051,3)</f>
        <v>558</v>
      </c>
      <c r="K2051" s="150" t="s">
        <v>9791</v>
      </c>
      <c r="L2051" s="149" t="s">
        <v>6475</v>
      </c>
      <c r="M2051" s="151">
        <v>0</v>
      </c>
    </row>
    <row r="2052" spans="1:13" s="149" customFormat="1" x14ac:dyDescent="0.25">
      <c r="A2052" s="149" t="s">
        <v>7639</v>
      </c>
      <c r="B2052" s="149" t="s">
        <v>6476</v>
      </c>
      <c r="C2052" s="149">
        <v>52</v>
      </c>
      <c r="D2052" s="149">
        <v>230</v>
      </c>
      <c r="E2052" s="149">
        <v>0</v>
      </c>
      <c r="F2052" s="149">
        <v>0</v>
      </c>
      <c r="G2052" s="149">
        <v>55861</v>
      </c>
      <c r="H2052" s="150" t="str">
        <f t="shared" si="96"/>
        <v>5</v>
      </c>
      <c r="I2052" s="150" t="str">
        <f t="shared" si="97"/>
        <v>55</v>
      </c>
      <c r="J2052" s="150" t="str">
        <f t="shared" si="98"/>
        <v>558</v>
      </c>
      <c r="K2052" s="150" t="s">
        <v>9792</v>
      </c>
      <c r="L2052" s="149" t="s">
        <v>6477</v>
      </c>
      <c r="M2052" s="151">
        <v>1215</v>
      </c>
    </row>
    <row r="2053" spans="1:13" s="149" customFormat="1" x14ac:dyDescent="0.25">
      <c r="A2053" s="149" t="s">
        <v>7639</v>
      </c>
      <c r="B2053" s="149" t="s">
        <v>6478</v>
      </c>
      <c r="C2053" s="149">
        <v>52</v>
      </c>
      <c r="D2053" s="149">
        <v>230</v>
      </c>
      <c r="E2053" s="149">
        <v>0</v>
      </c>
      <c r="F2053" s="149">
        <v>0</v>
      </c>
      <c r="G2053" s="149">
        <v>56217</v>
      </c>
      <c r="H2053" s="150" t="str">
        <f t="shared" si="96"/>
        <v>5</v>
      </c>
      <c r="I2053" s="150" t="str">
        <f t="shared" si="97"/>
        <v>56</v>
      </c>
      <c r="J2053" s="150" t="str">
        <f t="shared" si="98"/>
        <v>562</v>
      </c>
      <c r="K2053" s="150" t="s">
        <v>9793</v>
      </c>
      <c r="L2053" s="149" t="s">
        <v>6479</v>
      </c>
      <c r="M2053" s="151">
        <v>940</v>
      </c>
    </row>
    <row r="2054" spans="1:13" s="149" customFormat="1" x14ac:dyDescent="0.25">
      <c r="A2054" s="149" t="s">
        <v>7639</v>
      </c>
      <c r="B2054" s="149" t="s">
        <v>6480</v>
      </c>
      <c r="C2054" s="149">
        <v>52</v>
      </c>
      <c r="D2054" s="149">
        <v>230</v>
      </c>
      <c r="E2054" s="149">
        <v>0</v>
      </c>
      <c r="F2054" s="149">
        <v>0</v>
      </c>
      <c r="G2054" s="149">
        <v>57300</v>
      </c>
      <c r="H2054" s="150" t="str">
        <f t="shared" si="96"/>
        <v>5</v>
      </c>
      <c r="I2054" s="150" t="str">
        <f t="shared" si="97"/>
        <v>57</v>
      </c>
      <c r="J2054" s="150" t="str">
        <f t="shared" si="98"/>
        <v>573</v>
      </c>
      <c r="K2054" s="150" t="s">
        <v>9794</v>
      </c>
      <c r="L2054" s="149" t="s">
        <v>6142</v>
      </c>
      <c r="M2054" s="151">
        <v>7443</v>
      </c>
    </row>
    <row r="2055" spans="1:13" s="149" customFormat="1" x14ac:dyDescent="0.25">
      <c r="A2055" s="149" t="s">
        <v>7639</v>
      </c>
      <c r="B2055" s="149" t="s">
        <v>6481</v>
      </c>
      <c r="C2055" s="149">
        <v>55</v>
      </c>
      <c r="D2055" s="149">
        <v>230</v>
      </c>
      <c r="E2055" s="149">
        <v>0</v>
      </c>
      <c r="F2055" s="149">
        <v>0</v>
      </c>
      <c r="G2055" s="149">
        <v>48844</v>
      </c>
      <c r="H2055" s="150" t="str">
        <f t="shared" si="96"/>
        <v>4</v>
      </c>
      <c r="I2055" s="150" t="str">
        <f t="shared" si="97"/>
        <v>48</v>
      </c>
      <c r="J2055" s="150" t="str">
        <f t="shared" si="98"/>
        <v>488</v>
      </c>
      <c r="K2055" s="150" t="s">
        <v>9795</v>
      </c>
      <c r="L2055" s="149" t="s">
        <v>6437</v>
      </c>
      <c r="M2055" s="151">
        <v>0</v>
      </c>
    </row>
    <row r="2056" spans="1:13" s="149" customFormat="1" x14ac:dyDescent="0.25">
      <c r="A2056" s="149" t="s">
        <v>7639</v>
      </c>
      <c r="B2056" s="149" t="s">
        <v>6482</v>
      </c>
      <c r="C2056" s="149">
        <v>55</v>
      </c>
      <c r="D2056" s="149">
        <v>230</v>
      </c>
      <c r="E2056" s="149">
        <v>0</v>
      </c>
      <c r="F2056" s="149">
        <v>0</v>
      </c>
      <c r="G2056" s="149">
        <v>48860</v>
      </c>
      <c r="H2056" s="150" t="str">
        <f t="shared" si="96"/>
        <v>4</v>
      </c>
      <c r="I2056" s="150" t="str">
        <f t="shared" si="97"/>
        <v>48</v>
      </c>
      <c r="J2056" s="150" t="str">
        <f t="shared" si="98"/>
        <v>488</v>
      </c>
      <c r="K2056" s="150" t="s">
        <v>9796</v>
      </c>
      <c r="L2056" s="149" t="s">
        <v>41</v>
      </c>
      <c r="M2056" s="151">
        <v>0</v>
      </c>
    </row>
    <row r="2057" spans="1:13" s="149" customFormat="1" x14ac:dyDescent="0.25">
      <c r="A2057" s="149" t="s">
        <v>7639</v>
      </c>
      <c r="B2057" s="149" t="s">
        <v>6483</v>
      </c>
      <c r="C2057" s="149">
        <v>55</v>
      </c>
      <c r="D2057" s="149">
        <v>230</v>
      </c>
      <c r="E2057" s="149">
        <v>0</v>
      </c>
      <c r="F2057" s="149">
        <v>0</v>
      </c>
      <c r="G2057" s="149">
        <v>48862</v>
      </c>
      <c r="H2057" s="150" t="str">
        <f t="shared" si="96"/>
        <v>4</v>
      </c>
      <c r="I2057" s="150" t="str">
        <f t="shared" si="97"/>
        <v>48</v>
      </c>
      <c r="J2057" s="150" t="str">
        <f t="shared" si="98"/>
        <v>488</v>
      </c>
      <c r="K2057" s="150" t="s">
        <v>9797</v>
      </c>
      <c r="L2057" s="149" t="s">
        <v>6484</v>
      </c>
      <c r="M2057" s="151">
        <v>0</v>
      </c>
    </row>
    <row r="2058" spans="1:13" s="149" customFormat="1" x14ac:dyDescent="0.25">
      <c r="A2058" s="149" t="s">
        <v>7639</v>
      </c>
      <c r="B2058" s="149" t="s">
        <v>6485</v>
      </c>
      <c r="C2058" s="149">
        <v>55</v>
      </c>
      <c r="D2058" s="149">
        <v>230</v>
      </c>
      <c r="E2058" s="149">
        <v>0</v>
      </c>
      <c r="F2058" s="149">
        <v>0</v>
      </c>
      <c r="G2058" s="149">
        <v>48863</v>
      </c>
      <c r="H2058" s="150" t="str">
        <f t="shared" si="96"/>
        <v>4</v>
      </c>
      <c r="I2058" s="150" t="str">
        <f t="shared" si="97"/>
        <v>48</v>
      </c>
      <c r="J2058" s="150" t="str">
        <f t="shared" si="98"/>
        <v>488</v>
      </c>
      <c r="K2058" s="150" t="s">
        <v>9798</v>
      </c>
      <c r="L2058" s="149" t="s">
        <v>6486</v>
      </c>
      <c r="M2058" s="151">
        <v>0</v>
      </c>
    </row>
    <row r="2059" spans="1:13" s="149" customFormat="1" x14ac:dyDescent="0.25">
      <c r="A2059" s="149" t="s">
        <v>7639</v>
      </c>
      <c r="B2059" s="149" t="s">
        <v>6487</v>
      </c>
      <c r="C2059" s="149">
        <v>55</v>
      </c>
      <c r="D2059" s="149">
        <v>230</v>
      </c>
      <c r="E2059" s="149">
        <v>0</v>
      </c>
      <c r="F2059" s="149">
        <v>0</v>
      </c>
      <c r="G2059" s="149">
        <v>48864</v>
      </c>
      <c r="H2059" s="150" t="str">
        <f t="shared" si="96"/>
        <v>4</v>
      </c>
      <c r="I2059" s="150" t="str">
        <f t="shared" si="97"/>
        <v>48</v>
      </c>
      <c r="J2059" s="150" t="str">
        <f t="shared" si="98"/>
        <v>488</v>
      </c>
      <c r="K2059" s="150" t="s">
        <v>9799</v>
      </c>
      <c r="L2059" s="149" t="s">
        <v>6488</v>
      </c>
      <c r="M2059" s="151">
        <v>0</v>
      </c>
    </row>
    <row r="2060" spans="1:13" s="149" customFormat="1" x14ac:dyDescent="0.25">
      <c r="A2060" s="149" t="s">
        <v>7639</v>
      </c>
      <c r="B2060" s="149" t="s">
        <v>6489</v>
      </c>
      <c r="C2060" s="149">
        <v>55</v>
      </c>
      <c r="D2060" s="149">
        <v>230</v>
      </c>
      <c r="E2060" s="149">
        <v>0</v>
      </c>
      <c r="F2060" s="149">
        <v>0</v>
      </c>
      <c r="G2060" s="149">
        <v>48980</v>
      </c>
      <c r="H2060" s="150" t="str">
        <f t="shared" si="96"/>
        <v>4</v>
      </c>
      <c r="I2060" s="150" t="str">
        <f t="shared" si="97"/>
        <v>48</v>
      </c>
      <c r="J2060" s="150" t="str">
        <f t="shared" si="98"/>
        <v>489</v>
      </c>
      <c r="K2060" s="150" t="s">
        <v>9800</v>
      </c>
      <c r="L2060" s="149" t="s">
        <v>55</v>
      </c>
      <c r="M2060" s="151">
        <v>-7443</v>
      </c>
    </row>
    <row r="2061" spans="1:13" s="149" customFormat="1" x14ac:dyDescent="0.25">
      <c r="A2061" s="149" t="s">
        <v>7639</v>
      </c>
      <c r="B2061" s="149" t="s">
        <v>6490</v>
      </c>
      <c r="C2061" s="149">
        <v>55</v>
      </c>
      <c r="D2061" s="149">
        <v>230</v>
      </c>
      <c r="E2061" s="149">
        <v>0</v>
      </c>
      <c r="F2061" s="149">
        <v>0</v>
      </c>
      <c r="G2061" s="149">
        <v>52105</v>
      </c>
      <c r="H2061" s="150" t="str">
        <f t="shared" si="96"/>
        <v>5</v>
      </c>
      <c r="I2061" s="150" t="str">
        <f t="shared" si="97"/>
        <v>52</v>
      </c>
      <c r="J2061" s="150" t="str">
        <f t="shared" si="98"/>
        <v>521</v>
      </c>
      <c r="K2061" s="150" t="s">
        <v>9801</v>
      </c>
      <c r="L2061" s="149" t="s">
        <v>6151</v>
      </c>
      <c r="M2061" s="151">
        <v>0</v>
      </c>
    </row>
    <row r="2062" spans="1:13" s="149" customFormat="1" x14ac:dyDescent="0.25">
      <c r="A2062" s="149" t="s">
        <v>7639</v>
      </c>
      <c r="B2062" s="149" t="s">
        <v>6491</v>
      </c>
      <c r="C2062" s="149">
        <v>55</v>
      </c>
      <c r="D2062" s="149">
        <v>230</v>
      </c>
      <c r="E2062" s="149">
        <v>0</v>
      </c>
      <c r="F2062" s="149">
        <v>0</v>
      </c>
      <c r="G2062" s="149">
        <v>52115</v>
      </c>
      <c r="H2062" s="150" t="str">
        <f t="shared" si="96"/>
        <v>5</v>
      </c>
      <c r="I2062" s="150" t="str">
        <f t="shared" si="97"/>
        <v>52</v>
      </c>
      <c r="J2062" s="150" t="str">
        <f t="shared" si="98"/>
        <v>521</v>
      </c>
      <c r="K2062" s="150" t="s">
        <v>9802</v>
      </c>
      <c r="L2062" s="149" t="s">
        <v>6445</v>
      </c>
      <c r="M2062" s="151">
        <v>0</v>
      </c>
    </row>
    <row r="2063" spans="1:13" s="149" customFormat="1" x14ac:dyDescent="0.25">
      <c r="A2063" s="149" t="s">
        <v>7639</v>
      </c>
      <c r="B2063" s="149" t="s">
        <v>6492</v>
      </c>
      <c r="C2063" s="149">
        <v>55</v>
      </c>
      <c r="D2063" s="149">
        <v>230</v>
      </c>
      <c r="E2063" s="149">
        <v>0</v>
      </c>
      <c r="F2063" s="149">
        <v>0</v>
      </c>
      <c r="G2063" s="149">
        <v>52300</v>
      </c>
      <c r="H2063" s="150" t="str">
        <f t="shared" si="96"/>
        <v>5</v>
      </c>
      <c r="I2063" s="150" t="str">
        <f t="shared" si="97"/>
        <v>52</v>
      </c>
      <c r="J2063" s="150" t="str">
        <f t="shared" si="98"/>
        <v>523</v>
      </c>
      <c r="K2063" s="150" t="s">
        <v>9803</v>
      </c>
      <c r="L2063" s="149" t="s">
        <v>6453</v>
      </c>
      <c r="M2063" s="151">
        <v>0</v>
      </c>
    </row>
    <row r="2064" spans="1:13" s="149" customFormat="1" x14ac:dyDescent="0.25">
      <c r="A2064" s="149" t="s">
        <v>7639</v>
      </c>
      <c r="B2064" s="149" t="s">
        <v>6493</v>
      </c>
      <c r="C2064" s="149">
        <v>55</v>
      </c>
      <c r="D2064" s="149">
        <v>230</v>
      </c>
      <c r="E2064" s="149">
        <v>0</v>
      </c>
      <c r="F2064" s="149">
        <v>0</v>
      </c>
      <c r="G2064" s="149">
        <v>53220</v>
      </c>
      <c r="H2064" s="150" t="str">
        <f t="shared" si="96"/>
        <v>5</v>
      </c>
      <c r="I2064" s="150" t="str">
        <f t="shared" si="97"/>
        <v>53</v>
      </c>
      <c r="J2064" s="150" t="str">
        <f t="shared" si="98"/>
        <v>532</v>
      </c>
      <c r="K2064" s="150" t="s">
        <v>9804</v>
      </c>
      <c r="L2064" s="149" t="s">
        <v>6159</v>
      </c>
      <c r="M2064" s="151">
        <v>0</v>
      </c>
    </row>
    <row r="2065" spans="1:13" s="149" customFormat="1" x14ac:dyDescent="0.25">
      <c r="A2065" s="149" t="s">
        <v>7639</v>
      </c>
      <c r="B2065" s="149" t="s">
        <v>6494</v>
      </c>
      <c r="C2065" s="149">
        <v>55</v>
      </c>
      <c r="D2065" s="149">
        <v>230</v>
      </c>
      <c r="E2065" s="149">
        <v>0</v>
      </c>
      <c r="F2065" s="149">
        <v>0</v>
      </c>
      <c r="G2065" s="149">
        <v>53320</v>
      </c>
      <c r="H2065" s="150" t="str">
        <f t="shared" si="96"/>
        <v>5</v>
      </c>
      <c r="I2065" s="150" t="str">
        <f t="shared" si="97"/>
        <v>53</v>
      </c>
      <c r="J2065" s="150" t="str">
        <f t="shared" si="98"/>
        <v>533</v>
      </c>
      <c r="K2065" s="150" t="s">
        <v>9805</v>
      </c>
      <c r="L2065" s="149" t="s">
        <v>6161</v>
      </c>
      <c r="M2065" s="151">
        <v>0</v>
      </c>
    </row>
    <row r="2066" spans="1:13" s="149" customFormat="1" x14ac:dyDescent="0.25">
      <c r="A2066" s="149" t="s">
        <v>7639</v>
      </c>
      <c r="B2066" s="149" t="s">
        <v>6495</v>
      </c>
      <c r="C2066" s="149">
        <v>55</v>
      </c>
      <c r="D2066" s="149">
        <v>230</v>
      </c>
      <c r="E2066" s="149">
        <v>0</v>
      </c>
      <c r="F2066" s="149">
        <v>0</v>
      </c>
      <c r="G2066" s="149">
        <v>53340</v>
      </c>
      <c r="H2066" s="150" t="str">
        <f t="shared" si="96"/>
        <v>5</v>
      </c>
      <c r="I2066" s="150" t="str">
        <f t="shared" si="97"/>
        <v>53</v>
      </c>
      <c r="J2066" s="150" t="str">
        <f t="shared" si="98"/>
        <v>533</v>
      </c>
      <c r="K2066" s="150" t="s">
        <v>9806</v>
      </c>
      <c r="L2066" s="149" t="s">
        <v>6163</v>
      </c>
      <c r="M2066" s="151">
        <v>0</v>
      </c>
    </row>
    <row r="2067" spans="1:13" s="149" customFormat="1" x14ac:dyDescent="0.25">
      <c r="A2067" s="149" t="s">
        <v>7639</v>
      </c>
      <c r="B2067" s="149" t="s">
        <v>6496</v>
      </c>
      <c r="C2067" s="149">
        <v>55</v>
      </c>
      <c r="D2067" s="149">
        <v>230</v>
      </c>
      <c r="E2067" s="149">
        <v>0</v>
      </c>
      <c r="F2067" s="149">
        <v>0</v>
      </c>
      <c r="G2067" s="149">
        <v>53420</v>
      </c>
      <c r="H2067" s="150" t="str">
        <f t="shared" si="96"/>
        <v>5</v>
      </c>
      <c r="I2067" s="150" t="str">
        <f t="shared" si="97"/>
        <v>53</v>
      </c>
      <c r="J2067" s="150" t="str">
        <f t="shared" si="98"/>
        <v>534</v>
      </c>
      <c r="K2067" s="150" t="s">
        <v>9807</v>
      </c>
      <c r="L2067" s="149" t="s">
        <v>6165</v>
      </c>
      <c r="M2067" s="151">
        <v>0</v>
      </c>
    </row>
    <row r="2068" spans="1:13" s="149" customFormat="1" x14ac:dyDescent="0.25">
      <c r="A2068" s="149" t="s">
        <v>7639</v>
      </c>
      <c r="B2068" s="149" t="s">
        <v>6497</v>
      </c>
      <c r="C2068" s="149">
        <v>55</v>
      </c>
      <c r="D2068" s="149">
        <v>230</v>
      </c>
      <c r="E2068" s="149">
        <v>0</v>
      </c>
      <c r="F2068" s="149">
        <v>0</v>
      </c>
      <c r="G2068" s="149">
        <v>53520</v>
      </c>
      <c r="H2068" s="150" t="str">
        <f t="shared" si="96"/>
        <v>5</v>
      </c>
      <c r="I2068" s="150" t="str">
        <f t="shared" si="97"/>
        <v>53</v>
      </c>
      <c r="J2068" s="150" t="str">
        <f t="shared" si="98"/>
        <v>535</v>
      </c>
      <c r="K2068" s="150" t="s">
        <v>9808</v>
      </c>
      <c r="L2068" s="149" t="s">
        <v>6167</v>
      </c>
      <c r="M2068" s="151">
        <v>0</v>
      </c>
    </row>
    <row r="2069" spans="1:13" s="149" customFormat="1" x14ac:dyDescent="0.25">
      <c r="A2069" s="149" t="s">
        <v>7639</v>
      </c>
      <c r="B2069" s="149" t="s">
        <v>6498</v>
      </c>
      <c r="C2069" s="149">
        <v>55</v>
      </c>
      <c r="D2069" s="149">
        <v>230</v>
      </c>
      <c r="E2069" s="149">
        <v>0</v>
      </c>
      <c r="F2069" s="149">
        <v>0</v>
      </c>
      <c r="G2069" s="149">
        <v>53620</v>
      </c>
      <c r="H2069" s="150" t="str">
        <f t="shared" si="96"/>
        <v>5</v>
      </c>
      <c r="I2069" s="150" t="str">
        <f t="shared" si="97"/>
        <v>53</v>
      </c>
      <c r="J2069" s="150" t="str">
        <f t="shared" si="98"/>
        <v>536</v>
      </c>
      <c r="K2069" s="150" t="s">
        <v>9809</v>
      </c>
      <c r="L2069" s="149" t="s">
        <v>6169</v>
      </c>
      <c r="M2069" s="151">
        <v>0</v>
      </c>
    </row>
    <row r="2070" spans="1:13" s="149" customFormat="1" x14ac:dyDescent="0.25">
      <c r="A2070" s="149" t="s">
        <v>7639</v>
      </c>
      <c r="B2070" s="149" t="s">
        <v>6499</v>
      </c>
      <c r="C2070" s="149">
        <v>55</v>
      </c>
      <c r="D2070" s="149">
        <v>230</v>
      </c>
      <c r="E2070" s="149">
        <v>0</v>
      </c>
      <c r="F2070" s="149">
        <v>0</v>
      </c>
      <c r="G2070" s="149">
        <v>53920</v>
      </c>
      <c r="H2070" s="150" t="str">
        <f t="shared" si="96"/>
        <v>5</v>
      </c>
      <c r="I2070" s="150" t="str">
        <f t="shared" si="97"/>
        <v>53</v>
      </c>
      <c r="J2070" s="150" t="str">
        <f t="shared" si="98"/>
        <v>539</v>
      </c>
      <c r="K2070" s="150" t="s">
        <v>9810</v>
      </c>
      <c r="L2070" s="149" t="s">
        <v>6464</v>
      </c>
      <c r="M2070" s="151">
        <v>0</v>
      </c>
    </row>
    <row r="2071" spans="1:13" s="149" customFormat="1" x14ac:dyDescent="0.25">
      <c r="A2071" s="149" t="s">
        <v>7639</v>
      </c>
      <c r="B2071" s="149" t="s">
        <v>6500</v>
      </c>
      <c r="C2071" s="149">
        <v>55</v>
      </c>
      <c r="D2071" s="149">
        <v>230</v>
      </c>
      <c r="E2071" s="149">
        <v>0</v>
      </c>
      <c r="F2071" s="149">
        <v>0</v>
      </c>
      <c r="G2071" s="149">
        <v>54210</v>
      </c>
      <c r="H2071" s="150" t="str">
        <f t="shared" si="96"/>
        <v>5</v>
      </c>
      <c r="I2071" s="150" t="str">
        <f t="shared" si="97"/>
        <v>54</v>
      </c>
      <c r="J2071" s="150" t="str">
        <f t="shared" si="98"/>
        <v>542</v>
      </c>
      <c r="K2071" s="150" t="s">
        <v>9811</v>
      </c>
      <c r="L2071" s="149" t="s">
        <v>6171</v>
      </c>
      <c r="M2071" s="151">
        <v>0</v>
      </c>
    </row>
    <row r="2072" spans="1:13" s="149" customFormat="1" x14ac:dyDescent="0.25">
      <c r="A2072" s="149" t="s">
        <v>7639</v>
      </c>
      <c r="B2072" s="149" t="s">
        <v>6501</v>
      </c>
      <c r="C2072" s="149">
        <v>55</v>
      </c>
      <c r="D2072" s="149">
        <v>230</v>
      </c>
      <c r="E2072" s="149">
        <v>0</v>
      </c>
      <c r="F2072" s="149">
        <v>0</v>
      </c>
      <c r="G2072" s="149">
        <v>54300</v>
      </c>
      <c r="H2072" s="150" t="str">
        <f t="shared" si="96"/>
        <v>5</v>
      </c>
      <c r="I2072" s="150" t="str">
        <f t="shared" si="97"/>
        <v>54</v>
      </c>
      <c r="J2072" s="150" t="str">
        <f t="shared" si="98"/>
        <v>543</v>
      </c>
      <c r="K2072" s="150" t="s">
        <v>9812</v>
      </c>
      <c r="L2072" s="149" t="s">
        <v>6173</v>
      </c>
      <c r="M2072" s="151">
        <v>0</v>
      </c>
    </row>
    <row r="2073" spans="1:13" s="149" customFormat="1" x14ac:dyDescent="0.25">
      <c r="A2073" s="149" t="s">
        <v>7639</v>
      </c>
      <c r="B2073" s="149" t="s">
        <v>6502</v>
      </c>
      <c r="C2073" s="149">
        <v>55</v>
      </c>
      <c r="D2073" s="149">
        <v>230</v>
      </c>
      <c r="E2073" s="149">
        <v>0</v>
      </c>
      <c r="F2073" s="149">
        <v>0</v>
      </c>
      <c r="G2073" s="149">
        <v>54320</v>
      </c>
      <c r="H2073" s="150" t="str">
        <f t="shared" si="96"/>
        <v>5</v>
      </c>
      <c r="I2073" s="150" t="str">
        <f t="shared" si="97"/>
        <v>54</v>
      </c>
      <c r="J2073" s="150" t="str">
        <f t="shared" si="98"/>
        <v>543</v>
      </c>
      <c r="K2073" s="150" t="s">
        <v>9813</v>
      </c>
      <c r="L2073" s="149" t="s">
        <v>6468</v>
      </c>
      <c r="M2073" s="151">
        <v>0</v>
      </c>
    </row>
    <row r="2074" spans="1:13" s="149" customFormat="1" x14ac:dyDescent="0.25">
      <c r="A2074" s="149" t="s">
        <v>7639</v>
      </c>
      <c r="B2074" s="149" t="s">
        <v>6503</v>
      </c>
      <c r="C2074" s="149">
        <v>55</v>
      </c>
      <c r="D2074" s="149">
        <v>230</v>
      </c>
      <c r="E2074" s="149">
        <v>0</v>
      </c>
      <c r="F2074" s="149">
        <v>0</v>
      </c>
      <c r="G2074" s="149">
        <v>55105</v>
      </c>
      <c r="H2074" s="150" t="str">
        <f t="shared" si="96"/>
        <v>5</v>
      </c>
      <c r="I2074" s="150" t="str">
        <f t="shared" si="97"/>
        <v>55</v>
      </c>
      <c r="J2074" s="150" t="str">
        <f t="shared" si="98"/>
        <v>551</v>
      </c>
      <c r="K2074" s="150" t="s">
        <v>9814</v>
      </c>
      <c r="L2074" s="149" t="s">
        <v>6251</v>
      </c>
      <c r="M2074" s="151">
        <v>243</v>
      </c>
    </row>
    <row r="2075" spans="1:13" s="149" customFormat="1" x14ac:dyDescent="0.25">
      <c r="A2075" s="149" t="s">
        <v>7639</v>
      </c>
      <c r="B2075" s="149" t="s">
        <v>6504</v>
      </c>
      <c r="C2075" s="149">
        <v>55</v>
      </c>
      <c r="D2075" s="149">
        <v>230</v>
      </c>
      <c r="E2075" s="149">
        <v>0</v>
      </c>
      <c r="F2075" s="149">
        <v>0</v>
      </c>
      <c r="G2075" s="149">
        <v>55200</v>
      </c>
      <c r="H2075" s="150" t="str">
        <f t="shared" si="96"/>
        <v>5</v>
      </c>
      <c r="I2075" s="150" t="str">
        <f t="shared" si="97"/>
        <v>55</v>
      </c>
      <c r="J2075" s="150" t="str">
        <f t="shared" si="98"/>
        <v>552</v>
      </c>
      <c r="K2075" s="150" t="s">
        <v>9815</v>
      </c>
      <c r="L2075" s="149" t="s">
        <v>6175</v>
      </c>
      <c r="M2075" s="151">
        <v>0</v>
      </c>
    </row>
    <row r="2076" spans="1:13" s="149" customFormat="1" x14ac:dyDescent="0.25">
      <c r="A2076" s="149" t="s">
        <v>7639</v>
      </c>
      <c r="B2076" s="149" t="s">
        <v>6505</v>
      </c>
      <c r="C2076" s="149">
        <v>55</v>
      </c>
      <c r="D2076" s="149">
        <v>230</v>
      </c>
      <c r="E2076" s="149">
        <v>0</v>
      </c>
      <c r="F2076" s="149">
        <v>0</v>
      </c>
      <c r="G2076" s="149">
        <v>55630</v>
      </c>
      <c r="H2076" s="150" t="str">
        <f t="shared" si="96"/>
        <v>5</v>
      </c>
      <c r="I2076" s="150" t="str">
        <f t="shared" si="97"/>
        <v>55</v>
      </c>
      <c r="J2076" s="150" t="str">
        <f t="shared" si="98"/>
        <v>556</v>
      </c>
      <c r="K2076" s="150" t="s">
        <v>9816</v>
      </c>
      <c r="L2076" s="149" t="s">
        <v>6181</v>
      </c>
      <c r="M2076" s="151">
        <v>0</v>
      </c>
    </row>
    <row r="2077" spans="1:13" s="149" customFormat="1" x14ac:dyDescent="0.25">
      <c r="A2077" s="149" t="s">
        <v>7639</v>
      </c>
      <c r="B2077" s="149" t="s">
        <v>6506</v>
      </c>
      <c r="C2077" s="149">
        <v>55</v>
      </c>
      <c r="D2077" s="149">
        <v>230</v>
      </c>
      <c r="E2077" s="149">
        <v>0</v>
      </c>
      <c r="F2077" s="149">
        <v>0</v>
      </c>
      <c r="G2077" s="149">
        <v>55640</v>
      </c>
      <c r="H2077" s="150" t="str">
        <f t="shared" si="96"/>
        <v>5</v>
      </c>
      <c r="I2077" s="150" t="str">
        <f t="shared" si="97"/>
        <v>55</v>
      </c>
      <c r="J2077" s="150" t="str">
        <f t="shared" si="98"/>
        <v>556</v>
      </c>
      <c r="K2077" s="150" t="s">
        <v>9817</v>
      </c>
      <c r="L2077" s="149" t="s">
        <v>6507</v>
      </c>
      <c r="M2077" s="151">
        <v>0</v>
      </c>
    </row>
    <row r="2078" spans="1:13" s="149" customFormat="1" x14ac:dyDescent="0.25">
      <c r="A2078" s="149" t="s">
        <v>7639</v>
      </c>
      <c r="B2078" s="149" t="s">
        <v>6508</v>
      </c>
      <c r="C2078" s="149">
        <v>55</v>
      </c>
      <c r="D2078" s="149">
        <v>230</v>
      </c>
      <c r="E2078" s="149">
        <v>0</v>
      </c>
      <c r="F2078" s="149">
        <v>0</v>
      </c>
      <c r="G2078" s="149">
        <v>55650</v>
      </c>
      <c r="H2078" s="150" t="str">
        <f t="shared" si="96"/>
        <v>5</v>
      </c>
      <c r="I2078" s="150" t="str">
        <f t="shared" si="97"/>
        <v>55</v>
      </c>
      <c r="J2078" s="150" t="str">
        <f t="shared" si="98"/>
        <v>556</v>
      </c>
      <c r="K2078" s="150" t="s">
        <v>9818</v>
      </c>
      <c r="L2078" s="149" t="s">
        <v>6185</v>
      </c>
      <c r="M2078" s="151">
        <v>3696</v>
      </c>
    </row>
    <row r="2079" spans="1:13" s="149" customFormat="1" x14ac:dyDescent="0.25">
      <c r="A2079" s="149" t="s">
        <v>7639</v>
      </c>
      <c r="B2079" s="149" t="s">
        <v>6509</v>
      </c>
      <c r="C2079" s="149">
        <v>55</v>
      </c>
      <c r="D2079" s="149">
        <v>230</v>
      </c>
      <c r="E2079" s="149">
        <v>0</v>
      </c>
      <c r="F2079" s="149">
        <v>0</v>
      </c>
      <c r="G2079" s="149">
        <v>55651</v>
      </c>
      <c r="H2079" s="150" t="str">
        <f t="shared" si="96"/>
        <v>5</v>
      </c>
      <c r="I2079" s="150" t="str">
        <f t="shared" si="97"/>
        <v>55</v>
      </c>
      <c r="J2079" s="150" t="str">
        <f t="shared" si="98"/>
        <v>556</v>
      </c>
      <c r="K2079" s="150" t="s">
        <v>9819</v>
      </c>
      <c r="L2079" s="149" t="s">
        <v>6187</v>
      </c>
      <c r="M2079" s="151">
        <v>0</v>
      </c>
    </row>
    <row r="2080" spans="1:13" s="149" customFormat="1" x14ac:dyDescent="0.25">
      <c r="A2080" s="149" t="s">
        <v>7639</v>
      </c>
      <c r="B2080" s="149" t="s">
        <v>6510</v>
      </c>
      <c r="C2080" s="149">
        <v>55</v>
      </c>
      <c r="D2080" s="149">
        <v>230</v>
      </c>
      <c r="E2080" s="149">
        <v>0</v>
      </c>
      <c r="F2080" s="149">
        <v>0</v>
      </c>
      <c r="G2080" s="149">
        <v>55800</v>
      </c>
      <c r="H2080" s="150" t="str">
        <f t="shared" si="96"/>
        <v>5</v>
      </c>
      <c r="I2080" s="150" t="str">
        <f t="shared" si="97"/>
        <v>55</v>
      </c>
      <c r="J2080" s="150" t="str">
        <f t="shared" si="98"/>
        <v>558</v>
      </c>
      <c r="K2080" s="150" t="s">
        <v>9820</v>
      </c>
      <c r="L2080" s="149" t="s">
        <v>6269</v>
      </c>
      <c r="M2080" s="151">
        <v>0</v>
      </c>
    </row>
    <row r="2081" spans="1:13" s="149" customFormat="1" x14ac:dyDescent="0.25">
      <c r="A2081" s="149" t="s">
        <v>7639</v>
      </c>
      <c r="B2081" s="149" t="s">
        <v>6511</v>
      </c>
      <c r="C2081" s="149">
        <v>55</v>
      </c>
      <c r="D2081" s="149">
        <v>230</v>
      </c>
      <c r="E2081" s="149">
        <v>0</v>
      </c>
      <c r="F2081" s="149">
        <v>0</v>
      </c>
      <c r="G2081" s="149">
        <v>55861</v>
      </c>
      <c r="H2081" s="150" t="str">
        <f t="shared" si="96"/>
        <v>5</v>
      </c>
      <c r="I2081" s="150" t="str">
        <f t="shared" si="97"/>
        <v>55</v>
      </c>
      <c r="J2081" s="150" t="str">
        <f t="shared" si="98"/>
        <v>558</v>
      </c>
      <c r="K2081" s="150" t="s">
        <v>9821</v>
      </c>
      <c r="L2081" s="149" t="s">
        <v>6477</v>
      </c>
      <c r="M2081" s="151">
        <v>2548</v>
      </c>
    </row>
    <row r="2082" spans="1:13" s="149" customFormat="1" x14ac:dyDescent="0.25">
      <c r="A2082" s="149" t="s">
        <v>7639</v>
      </c>
      <c r="B2082" s="149" t="s">
        <v>6512</v>
      </c>
      <c r="C2082" s="149">
        <v>55</v>
      </c>
      <c r="D2082" s="149">
        <v>230</v>
      </c>
      <c r="E2082" s="149">
        <v>0</v>
      </c>
      <c r="F2082" s="149">
        <v>0</v>
      </c>
      <c r="G2082" s="149">
        <v>56217</v>
      </c>
      <c r="H2082" s="150" t="str">
        <f t="shared" si="96"/>
        <v>5</v>
      </c>
      <c r="I2082" s="150" t="str">
        <f t="shared" si="97"/>
        <v>56</v>
      </c>
      <c r="J2082" s="150" t="str">
        <f t="shared" si="98"/>
        <v>562</v>
      </c>
      <c r="K2082" s="150" t="s">
        <v>9822</v>
      </c>
      <c r="L2082" s="149" t="s">
        <v>6479</v>
      </c>
      <c r="M2082" s="151">
        <v>956</v>
      </c>
    </row>
    <row r="2083" spans="1:13" s="149" customFormat="1" x14ac:dyDescent="0.25">
      <c r="A2083" s="149" t="s">
        <v>7639</v>
      </c>
      <c r="B2083" s="149" t="s">
        <v>6513</v>
      </c>
      <c r="C2083" s="149">
        <v>55</v>
      </c>
      <c r="D2083" s="149">
        <v>230</v>
      </c>
      <c r="E2083" s="149">
        <v>0</v>
      </c>
      <c r="F2083" s="149">
        <v>0</v>
      </c>
      <c r="G2083" s="149">
        <v>56400</v>
      </c>
      <c r="H2083" s="150" t="str">
        <f t="shared" si="96"/>
        <v>5</v>
      </c>
      <c r="I2083" s="150" t="str">
        <f t="shared" si="97"/>
        <v>56</v>
      </c>
      <c r="J2083" s="150" t="str">
        <f t="shared" si="98"/>
        <v>564</v>
      </c>
      <c r="K2083" s="150" t="s">
        <v>9823</v>
      </c>
      <c r="L2083" s="149" t="s">
        <v>6191</v>
      </c>
      <c r="M2083" s="151">
        <v>0</v>
      </c>
    </row>
    <row r="2084" spans="1:13" s="149" customFormat="1" x14ac:dyDescent="0.25">
      <c r="A2084" s="149" t="s">
        <v>7639</v>
      </c>
      <c r="B2084" s="149" t="s">
        <v>6517</v>
      </c>
      <c r="C2084" s="149">
        <v>61</v>
      </c>
      <c r="D2084" s="149">
        <v>0</v>
      </c>
      <c r="E2084" s="149">
        <v>0</v>
      </c>
      <c r="F2084" s="149">
        <v>0</v>
      </c>
      <c r="G2084" s="149">
        <v>53600</v>
      </c>
      <c r="H2084" s="150" t="str">
        <f t="shared" si="96"/>
        <v>5</v>
      </c>
      <c r="I2084" s="150" t="str">
        <f t="shared" si="97"/>
        <v>53</v>
      </c>
      <c r="J2084" s="150" t="str">
        <f t="shared" si="98"/>
        <v>536</v>
      </c>
      <c r="K2084" s="150" t="s">
        <v>9824</v>
      </c>
      <c r="L2084" s="149" t="s">
        <v>6518</v>
      </c>
      <c r="M2084" s="151">
        <v>40000</v>
      </c>
    </row>
    <row r="2085" spans="1:13" s="149" customFormat="1" x14ac:dyDescent="0.25">
      <c r="A2085" s="149" t="s">
        <v>7639</v>
      </c>
      <c r="B2085" s="149" t="s">
        <v>6519</v>
      </c>
      <c r="C2085" s="149">
        <v>61</v>
      </c>
      <c r="D2085" s="149">
        <v>0</v>
      </c>
      <c r="E2085" s="149">
        <v>0</v>
      </c>
      <c r="F2085" s="149">
        <v>0</v>
      </c>
      <c r="G2085" s="149">
        <v>55400</v>
      </c>
      <c r="H2085" s="150" t="str">
        <f t="shared" si="96"/>
        <v>5</v>
      </c>
      <c r="I2085" s="150" t="str">
        <f t="shared" si="97"/>
        <v>55</v>
      </c>
      <c r="J2085" s="150" t="str">
        <f t="shared" si="98"/>
        <v>554</v>
      </c>
      <c r="K2085" s="150" t="s">
        <v>9825</v>
      </c>
      <c r="L2085" s="149" t="s">
        <v>6520</v>
      </c>
      <c r="M2085" s="151">
        <v>3000</v>
      </c>
    </row>
    <row r="2086" spans="1:13" s="149" customFormat="1" x14ac:dyDescent="0.25">
      <c r="A2086" s="149" t="s">
        <v>7639</v>
      </c>
      <c r="B2086" s="149" t="s">
        <v>6521</v>
      </c>
      <c r="C2086" s="149">
        <v>61</v>
      </c>
      <c r="D2086" s="149">
        <v>0</v>
      </c>
      <c r="E2086" s="149">
        <v>0</v>
      </c>
      <c r="F2086" s="149">
        <v>0</v>
      </c>
      <c r="G2086" s="149">
        <v>55800</v>
      </c>
      <c r="H2086" s="150" t="str">
        <f t="shared" si="96"/>
        <v>5</v>
      </c>
      <c r="I2086" s="150" t="str">
        <f t="shared" si="97"/>
        <v>55</v>
      </c>
      <c r="J2086" s="150" t="str">
        <f t="shared" si="98"/>
        <v>558</v>
      </c>
      <c r="K2086" s="150" t="s">
        <v>9826</v>
      </c>
      <c r="L2086" s="149" t="s">
        <v>6269</v>
      </c>
      <c r="M2086" s="151">
        <v>3000</v>
      </c>
    </row>
    <row r="2087" spans="1:13" s="149" customFormat="1" x14ac:dyDescent="0.25">
      <c r="A2087" s="149" t="s">
        <v>7639</v>
      </c>
      <c r="B2087" s="149" t="s">
        <v>6522</v>
      </c>
      <c r="C2087" s="149">
        <v>61</v>
      </c>
      <c r="D2087" s="149">
        <v>200</v>
      </c>
      <c r="E2087" s="149">
        <v>0</v>
      </c>
      <c r="F2087" s="149">
        <v>0</v>
      </c>
      <c r="G2087" s="149">
        <v>48860</v>
      </c>
      <c r="H2087" s="150" t="str">
        <f t="shared" si="96"/>
        <v>4</v>
      </c>
      <c r="I2087" s="150" t="str">
        <f t="shared" si="97"/>
        <v>48</v>
      </c>
      <c r="J2087" s="150" t="str">
        <f t="shared" si="98"/>
        <v>488</v>
      </c>
      <c r="K2087" s="150" t="s">
        <v>9827</v>
      </c>
      <c r="L2087" s="149" t="s">
        <v>41</v>
      </c>
      <c r="M2087" s="151">
        <v>-2000</v>
      </c>
    </row>
    <row r="2088" spans="1:13" s="149" customFormat="1" x14ac:dyDescent="0.25">
      <c r="A2088" s="149" t="s">
        <v>7639</v>
      </c>
      <c r="B2088" s="149" t="s">
        <v>6523</v>
      </c>
      <c r="C2088" s="149">
        <v>62</v>
      </c>
      <c r="D2088" s="149">
        <v>0</v>
      </c>
      <c r="E2088" s="149">
        <v>0</v>
      </c>
      <c r="F2088" s="149">
        <v>0</v>
      </c>
      <c r="G2088" s="149">
        <v>48860</v>
      </c>
      <c r="H2088" s="150" t="str">
        <f t="shared" si="96"/>
        <v>4</v>
      </c>
      <c r="I2088" s="150" t="str">
        <f t="shared" si="97"/>
        <v>48</v>
      </c>
      <c r="J2088" s="150" t="str">
        <f t="shared" si="98"/>
        <v>488</v>
      </c>
      <c r="K2088" s="150" t="s">
        <v>9828</v>
      </c>
      <c r="L2088" s="149" t="s">
        <v>41</v>
      </c>
      <c r="M2088" s="151">
        <v>-282809</v>
      </c>
    </row>
    <row r="2089" spans="1:13" s="149" customFormat="1" x14ac:dyDescent="0.25">
      <c r="A2089" s="149" t="s">
        <v>7639</v>
      </c>
      <c r="B2089" s="149" t="s">
        <v>6524</v>
      </c>
      <c r="C2089" s="149">
        <v>62</v>
      </c>
      <c r="D2089" s="149">
        <v>0</v>
      </c>
      <c r="E2089" s="149">
        <v>0</v>
      </c>
      <c r="F2089" s="149">
        <v>0</v>
      </c>
      <c r="G2089" s="149">
        <v>55709</v>
      </c>
      <c r="H2089" s="150" t="str">
        <f t="shared" si="96"/>
        <v>5</v>
      </c>
      <c r="I2089" s="150" t="str">
        <f t="shared" si="97"/>
        <v>55</v>
      </c>
      <c r="J2089" s="150" t="str">
        <f t="shared" si="98"/>
        <v>557</v>
      </c>
      <c r="K2089" s="150" t="s">
        <v>9829</v>
      </c>
      <c r="L2089" s="149" t="s">
        <v>6525</v>
      </c>
      <c r="M2089" s="151">
        <v>2500</v>
      </c>
    </row>
    <row r="2090" spans="1:13" s="149" customFormat="1" x14ac:dyDescent="0.25">
      <c r="A2090" s="149" t="s">
        <v>7639</v>
      </c>
      <c r="B2090" s="149" t="s">
        <v>6526</v>
      </c>
      <c r="C2090" s="149">
        <v>62</v>
      </c>
      <c r="D2090" s="149">
        <v>0</v>
      </c>
      <c r="E2090" s="149">
        <v>0</v>
      </c>
      <c r="F2090" s="149">
        <v>0</v>
      </c>
      <c r="G2090" s="149">
        <v>55800</v>
      </c>
      <c r="H2090" s="150" t="str">
        <f t="shared" si="96"/>
        <v>5</v>
      </c>
      <c r="I2090" s="150" t="str">
        <f t="shared" si="97"/>
        <v>55</v>
      </c>
      <c r="J2090" s="150" t="str">
        <f t="shared" si="98"/>
        <v>558</v>
      </c>
      <c r="K2090" s="150" t="s">
        <v>9830</v>
      </c>
      <c r="L2090" s="149" t="s">
        <v>6269</v>
      </c>
      <c r="M2090" s="151">
        <v>2500</v>
      </c>
    </row>
    <row r="2091" spans="1:13" s="149" customFormat="1" x14ac:dyDescent="0.25">
      <c r="A2091" s="149" t="s">
        <v>7639</v>
      </c>
      <c r="B2091" s="149" t="s">
        <v>6527</v>
      </c>
      <c r="C2091" s="149">
        <v>63</v>
      </c>
      <c r="D2091" s="149">
        <v>0</v>
      </c>
      <c r="E2091" s="149">
        <v>0</v>
      </c>
      <c r="F2091" s="149">
        <v>0</v>
      </c>
      <c r="G2091" s="149">
        <v>48860</v>
      </c>
      <c r="H2091" s="150" t="str">
        <f t="shared" si="96"/>
        <v>4</v>
      </c>
      <c r="I2091" s="150" t="str">
        <f t="shared" si="97"/>
        <v>48</v>
      </c>
      <c r="J2091" s="150" t="str">
        <f t="shared" si="98"/>
        <v>488</v>
      </c>
      <c r="K2091" s="150" t="s">
        <v>9831</v>
      </c>
      <c r="L2091" s="149" t="s">
        <v>41</v>
      </c>
      <c r="M2091" s="151">
        <v>-111365</v>
      </c>
    </row>
    <row r="2092" spans="1:13" s="149" customFormat="1" x14ac:dyDescent="0.25">
      <c r="A2092" s="149" t="s">
        <v>7639</v>
      </c>
      <c r="B2092" s="149" t="s">
        <v>6528</v>
      </c>
      <c r="C2092" s="149">
        <v>63</v>
      </c>
      <c r="D2092" s="149">
        <v>0</v>
      </c>
      <c r="E2092" s="149">
        <v>0</v>
      </c>
      <c r="F2092" s="149">
        <v>0</v>
      </c>
      <c r="G2092" s="149">
        <v>55709</v>
      </c>
      <c r="H2092" s="150" t="str">
        <f t="shared" si="96"/>
        <v>5</v>
      </c>
      <c r="I2092" s="150" t="str">
        <f t="shared" si="97"/>
        <v>55</v>
      </c>
      <c r="J2092" s="150" t="str">
        <f t="shared" si="98"/>
        <v>557</v>
      </c>
      <c r="K2092" s="150" t="s">
        <v>9832</v>
      </c>
      <c r="L2092" s="149" t="s">
        <v>6525</v>
      </c>
      <c r="M2092" s="151">
        <v>5400</v>
      </c>
    </row>
    <row r="2093" spans="1:13" s="149" customFormat="1" x14ac:dyDescent="0.25">
      <c r="A2093" s="149" t="s">
        <v>7639</v>
      </c>
      <c r="B2093" s="149" t="s">
        <v>6529</v>
      </c>
      <c r="C2093" s="149">
        <v>63</v>
      </c>
      <c r="D2093" s="149">
        <v>0</v>
      </c>
      <c r="E2093" s="149">
        <v>0</v>
      </c>
      <c r="F2093" s="149">
        <v>0</v>
      </c>
      <c r="G2093" s="149">
        <v>57300</v>
      </c>
      <c r="H2093" s="150" t="str">
        <f t="shared" si="96"/>
        <v>5</v>
      </c>
      <c r="I2093" s="150" t="str">
        <f t="shared" si="97"/>
        <v>57</v>
      </c>
      <c r="J2093" s="150" t="str">
        <f t="shared" si="98"/>
        <v>573</v>
      </c>
      <c r="K2093" s="150" t="s">
        <v>9833</v>
      </c>
      <c r="L2093" s="149" t="s">
        <v>6142</v>
      </c>
      <c r="M2093" s="151">
        <v>0</v>
      </c>
    </row>
    <row r="2094" spans="1:13" s="149" customFormat="1" x14ac:dyDescent="0.25">
      <c r="A2094" s="149" t="s">
        <v>7639</v>
      </c>
      <c r="B2094" s="149" t="s">
        <v>6530</v>
      </c>
      <c r="C2094" s="149">
        <v>71</v>
      </c>
      <c r="D2094" s="149">
        <v>400</v>
      </c>
      <c r="E2094" s="149">
        <v>0</v>
      </c>
      <c r="F2094" s="149">
        <v>0</v>
      </c>
      <c r="G2094" s="149">
        <v>48843</v>
      </c>
      <c r="H2094" s="150" t="str">
        <f t="shared" si="96"/>
        <v>4</v>
      </c>
      <c r="I2094" s="150" t="str">
        <f t="shared" si="97"/>
        <v>48</v>
      </c>
      <c r="J2094" s="150" t="str">
        <f t="shared" si="98"/>
        <v>488</v>
      </c>
      <c r="K2094" s="150" t="s">
        <v>9834</v>
      </c>
      <c r="L2094" s="149" t="s">
        <v>6531</v>
      </c>
      <c r="M2094" s="151">
        <v>-87000</v>
      </c>
    </row>
    <row r="2095" spans="1:13" s="149" customFormat="1" x14ac:dyDescent="0.25">
      <c r="A2095" s="149" t="s">
        <v>7639</v>
      </c>
      <c r="B2095" s="149" t="s">
        <v>6532</v>
      </c>
      <c r="C2095" s="149">
        <v>71</v>
      </c>
      <c r="D2095" s="149">
        <v>400</v>
      </c>
      <c r="E2095" s="149">
        <v>0</v>
      </c>
      <c r="F2095" s="149">
        <v>0</v>
      </c>
      <c r="G2095" s="149">
        <v>48860</v>
      </c>
      <c r="H2095" s="150" t="str">
        <f t="shared" si="96"/>
        <v>4</v>
      </c>
      <c r="I2095" s="150" t="str">
        <f t="shared" si="97"/>
        <v>48</v>
      </c>
      <c r="J2095" s="150" t="str">
        <f t="shared" si="98"/>
        <v>488</v>
      </c>
      <c r="K2095" s="150" t="s">
        <v>9835</v>
      </c>
      <c r="L2095" s="149" t="s">
        <v>41</v>
      </c>
      <c r="M2095" s="151">
        <v>-2500</v>
      </c>
    </row>
    <row r="2096" spans="1:13" s="149" customFormat="1" x14ac:dyDescent="0.25">
      <c r="A2096" s="149" t="s">
        <v>7639</v>
      </c>
      <c r="B2096" s="149" t="s">
        <v>6533</v>
      </c>
      <c r="C2096" s="149">
        <v>71</v>
      </c>
      <c r="D2096" s="149">
        <v>400</v>
      </c>
      <c r="E2096" s="149">
        <v>0</v>
      </c>
      <c r="F2096" s="149">
        <v>0</v>
      </c>
      <c r="G2096" s="149">
        <v>48890</v>
      </c>
      <c r="H2096" s="150" t="str">
        <f t="shared" si="96"/>
        <v>4</v>
      </c>
      <c r="I2096" s="150" t="str">
        <f t="shared" si="97"/>
        <v>48</v>
      </c>
      <c r="J2096" s="150" t="str">
        <f t="shared" si="98"/>
        <v>488</v>
      </c>
      <c r="K2096" s="150" t="s">
        <v>9836</v>
      </c>
      <c r="L2096" s="149" t="s">
        <v>51</v>
      </c>
      <c r="M2096" s="151">
        <v>0</v>
      </c>
    </row>
    <row r="2097" spans="1:13" s="149" customFormat="1" x14ac:dyDescent="0.25">
      <c r="A2097" s="149" t="s">
        <v>7639</v>
      </c>
      <c r="B2097" s="149" t="s">
        <v>6534</v>
      </c>
      <c r="C2097" s="149">
        <v>71</v>
      </c>
      <c r="D2097" s="149">
        <v>400</v>
      </c>
      <c r="E2097" s="149">
        <v>0</v>
      </c>
      <c r="F2097" s="149">
        <v>0</v>
      </c>
      <c r="G2097" s="149">
        <v>48980</v>
      </c>
      <c r="H2097" s="150" t="str">
        <f t="shared" si="96"/>
        <v>4</v>
      </c>
      <c r="I2097" s="150" t="str">
        <f t="shared" si="97"/>
        <v>48</v>
      </c>
      <c r="J2097" s="150" t="str">
        <f t="shared" si="98"/>
        <v>489</v>
      </c>
      <c r="K2097" s="150" t="s">
        <v>9837</v>
      </c>
      <c r="L2097" s="149" t="s">
        <v>55</v>
      </c>
      <c r="M2097" s="151">
        <v>-10000</v>
      </c>
    </row>
    <row r="2098" spans="1:13" s="149" customFormat="1" x14ac:dyDescent="0.25">
      <c r="A2098" s="149" t="s">
        <v>7639</v>
      </c>
      <c r="B2098" s="149" t="s">
        <v>6535</v>
      </c>
      <c r="C2098" s="149">
        <v>71</v>
      </c>
      <c r="D2098" s="149">
        <v>400</v>
      </c>
      <c r="E2098" s="149">
        <v>0</v>
      </c>
      <c r="F2098" s="149">
        <v>0</v>
      </c>
      <c r="G2098" s="149">
        <v>52105</v>
      </c>
      <c r="H2098" s="150" t="str">
        <f t="shared" si="96"/>
        <v>5</v>
      </c>
      <c r="I2098" s="150" t="str">
        <f t="shared" si="97"/>
        <v>52</v>
      </c>
      <c r="J2098" s="150" t="str">
        <f t="shared" si="98"/>
        <v>521</v>
      </c>
      <c r="K2098" s="150" t="s">
        <v>9838</v>
      </c>
      <c r="L2098" s="149" t="s">
        <v>6151</v>
      </c>
      <c r="M2098" s="151">
        <v>31764</v>
      </c>
    </row>
    <row r="2099" spans="1:13" s="149" customFormat="1" x14ac:dyDescent="0.25">
      <c r="A2099" s="149" t="s">
        <v>7639</v>
      </c>
      <c r="B2099" s="149" t="s">
        <v>6536</v>
      </c>
      <c r="C2099" s="149">
        <v>71</v>
      </c>
      <c r="D2099" s="149">
        <v>400</v>
      </c>
      <c r="E2099" s="149">
        <v>0</v>
      </c>
      <c r="F2099" s="149">
        <v>0</v>
      </c>
      <c r="G2099" s="149">
        <v>52350</v>
      </c>
      <c r="H2099" s="150" t="str">
        <f t="shared" si="96"/>
        <v>5</v>
      </c>
      <c r="I2099" s="150" t="str">
        <f t="shared" si="97"/>
        <v>52</v>
      </c>
      <c r="J2099" s="150" t="str">
        <f t="shared" si="98"/>
        <v>523</v>
      </c>
      <c r="K2099" s="150" t="s">
        <v>9839</v>
      </c>
      <c r="L2099" s="149" t="s">
        <v>6153</v>
      </c>
      <c r="M2099" s="151">
        <v>10000</v>
      </c>
    </row>
    <row r="2100" spans="1:13" s="149" customFormat="1" x14ac:dyDescent="0.25">
      <c r="A2100" s="149" t="s">
        <v>7639</v>
      </c>
      <c r="B2100" s="149" t="s">
        <v>9840</v>
      </c>
      <c r="C2100" s="149">
        <v>71</v>
      </c>
      <c r="D2100" s="149">
        <v>400</v>
      </c>
      <c r="E2100" s="149">
        <v>0</v>
      </c>
      <c r="F2100" s="149">
        <v>0</v>
      </c>
      <c r="G2100" s="149">
        <v>52360</v>
      </c>
      <c r="H2100" s="150" t="str">
        <f t="shared" si="96"/>
        <v>5</v>
      </c>
      <c r="I2100" s="150" t="str">
        <f t="shared" si="97"/>
        <v>52</v>
      </c>
      <c r="J2100" s="150" t="str">
        <f t="shared" si="98"/>
        <v>523</v>
      </c>
      <c r="K2100" s="150" t="s">
        <v>9841</v>
      </c>
      <c r="L2100" s="149" t="s">
        <v>6155</v>
      </c>
      <c r="M2100" s="151">
        <v>0</v>
      </c>
    </row>
    <row r="2101" spans="1:13" s="149" customFormat="1" x14ac:dyDescent="0.25">
      <c r="A2101" s="149" t="s">
        <v>7639</v>
      </c>
      <c r="B2101" s="149" t="s">
        <v>6537</v>
      </c>
      <c r="C2101" s="149">
        <v>71</v>
      </c>
      <c r="D2101" s="149">
        <v>400</v>
      </c>
      <c r="E2101" s="149">
        <v>0</v>
      </c>
      <c r="F2101" s="149">
        <v>0</v>
      </c>
      <c r="G2101" s="149">
        <v>53220</v>
      </c>
      <c r="H2101" s="150" t="str">
        <f t="shared" si="96"/>
        <v>5</v>
      </c>
      <c r="I2101" s="150" t="str">
        <f t="shared" si="97"/>
        <v>53</v>
      </c>
      <c r="J2101" s="150" t="str">
        <f t="shared" si="98"/>
        <v>532</v>
      </c>
      <c r="K2101" s="150" t="s">
        <v>9842</v>
      </c>
      <c r="L2101" s="149" t="s">
        <v>6159</v>
      </c>
      <c r="M2101" s="151">
        <v>6575</v>
      </c>
    </row>
    <row r="2102" spans="1:13" s="149" customFormat="1" x14ac:dyDescent="0.25">
      <c r="A2102" s="149" t="s">
        <v>7639</v>
      </c>
      <c r="B2102" s="149" t="s">
        <v>6538</v>
      </c>
      <c r="C2102" s="149">
        <v>71</v>
      </c>
      <c r="D2102" s="149">
        <v>400</v>
      </c>
      <c r="E2102" s="149">
        <v>0</v>
      </c>
      <c r="F2102" s="149">
        <v>0</v>
      </c>
      <c r="G2102" s="149">
        <v>53320</v>
      </c>
      <c r="H2102" s="150" t="str">
        <f t="shared" si="96"/>
        <v>5</v>
      </c>
      <c r="I2102" s="150" t="str">
        <f t="shared" si="97"/>
        <v>53</v>
      </c>
      <c r="J2102" s="150" t="str">
        <f t="shared" si="98"/>
        <v>533</v>
      </c>
      <c r="K2102" s="150" t="s">
        <v>9843</v>
      </c>
      <c r="L2102" s="149" t="s">
        <v>6161</v>
      </c>
      <c r="M2102" s="151">
        <v>1969</v>
      </c>
    </row>
    <row r="2103" spans="1:13" s="149" customFormat="1" x14ac:dyDescent="0.25">
      <c r="A2103" s="149" t="s">
        <v>7639</v>
      </c>
      <c r="B2103" s="149" t="s">
        <v>6539</v>
      </c>
      <c r="C2103" s="149">
        <v>71</v>
      </c>
      <c r="D2103" s="149">
        <v>400</v>
      </c>
      <c r="E2103" s="149">
        <v>0</v>
      </c>
      <c r="F2103" s="149">
        <v>0</v>
      </c>
      <c r="G2103" s="149">
        <v>53340</v>
      </c>
      <c r="H2103" s="150" t="str">
        <f t="shared" si="96"/>
        <v>5</v>
      </c>
      <c r="I2103" s="150" t="str">
        <f t="shared" si="97"/>
        <v>53</v>
      </c>
      <c r="J2103" s="150" t="str">
        <f t="shared" si="98"/>
        <v>533</v>
      </c>
      <c r="K2103" s="150" t="s">
        <v>9844</v>
      </c>
      <c r="L2103" s="149" t="s">
        <v>6163</v>
      </c>
      <c r="M2103" s="151">
        <v>461</v>
      </c>
    </row>
    <row r="2104" spans="1:13" s="149" customFormat="1" x14ac:dyDescent="0.25">
      <c r="A2104" s="149" t="s">
        <v>7639</v>
      </c>
      <c r="B2104" s="149" t="s">
        <v>6540</v>
      </c>
      <c r="C2104" s="149">
        <v>71</v>
      </c>
      <c r="D2104" s="149">
        <v>400</v>
      </c>
      <c r="E2104" s="149">
        <v>0</v>
      </c>
      <c r="F2104" s="149">
        <v>0</v>
      </c>
      <c r="G2104" s="149">
        <v>53420</v>
      </c>
      <c r="H2104" s="150" t="str">
        <f t="shared" si="96"/>
        <v>5</v>
      </c>
      <c r="I2104" s="150" t="str">
        <f t="shared" si="97"/>
        <v>53</v>
      </c>
      <c r="J2104" s="150" t="str">
        <f t="shared" si="98"/>
        <v>534</v>
      </c>
      <c r="K2104" s="150" t="s">
        <v>9845</v>
      </c>
      <c r="L2104" s="149" t="s">
        <v>6165</v>
      </c>
      <c r="M2104" s="151">
        <v>16561</v>
      </c>
    </row>
    <row r="2105" spans="1:13" s="149" customFormat="1" x14ac:dyDescent="0.25">
      <c r="A2105" s="149" t="s">
        <v>7639</v>
      </c>
      <c r="B2105" s="149" t="s">
        <v>6541</v>
      </c>
      <c r="C2105" s="149">
        <v>71</v>
      </c>
      <c r="D2105" s="149">
        <v>400</v>
      </c>
      <c r="E2105" s="149">
        <v>0</v>
      </c>
      <c r="F2105" s="149">
        <v>0</v>
      </c>
      <c r="G2105" s="149">
        <v>53520</v>
      </c>
      <c r="H2105" s="150" t="str">
        <f t="shared" si="96"/>
        <v>5</v>
      </c>
      <c r="I2105" s="150" t="str">
        <f t="shared" si="97"/>
        <v>53</v>
      </c>
      <c r="J2105" s="150" t="str">
        <f t="shared" si="98"/>
        <v>535</v>
      </c>
      <c r="K2105" s="150" t="s">
        <v>9846</v>
      </c>
      <c r="L2105" s="149" t="s">
        <v>6167</v>
      </c>
      <c r="M2105" s="151">
        <v>16</v>
      </c>
    </row>
    <row r="2106" spans="1:13" s="149" customFormat="1" x14ac:dyDescent="0.25">
      <c r="A2106" s="149" t="s">
        <v>7639</v>
      </c>
      <c r="B2106" s="149" t="s">
        <v>6542</v>
      </c>
      <c r="C2106" s="149">
        <v>71</v>
      </c>
      <c r="D2106" s="149">
        <v>400</v>
      </c>
      <c r="E2106" s="149">
        <v>0</v>
      </c>
      <c r="F2106" s="149">
        <v>0</v>
      </c>
      <c r="G2106" s="149">
        <v>53620</v>
      </c>
      <c r="H2106" s="150" t="str">
        <f t="shared" si="96"/>
        <v>5</v>
      </c>
      <c r="I2106" s="150" t="str">
        <f t="shared" si="97"/>
        <v>53</v>
      </c>
      <c r="J2106" s="150" t="str">
        <f t="shared" si="98"/>
        <v>536</v>
      </c>
      <c r="K2106" s="150" t="s">
        <v>9847</v>
      </c>
      <c r="L2106" s="149" t="s">
        <v>6169</v>
      </c>
      <c r="M2106" s="151">
        <v>935</v>
      </c>
    </row>
    <row r="2107" spans="1:13" s="149" customFormat="1" x14ac:dyDescent="0.25">
      <c r="A2107" s="149" t="s">
        <v>7639</v>
      </c>
      <c r="B2107" s="149" t="s">
        <v>6543</v>
      </c>
      <c r="C2107" s="149">
        <v>71</v>
      </c>
      <c r="D2107" s="149">
        <v>400</v>
      </c>
      <c r="E2107" s="149">
        <v>0</v>
      </c>
      <c r="F2107" s="149">
        <v>0</v>
      </c>
      <c r="G2107" s="149">
        <v>54300</v>
      </c>
      <c r="H2107" s="150" t="str">
        <f t="shared" si="96"/>
        <v>5</v>
      </c>
      <c r="I2107" s="150" t="str">
        <f t="shared" si="97"/>
        <v>54</v>
      </c>
      <c r="J2107" s="150" t="str">
        <f t="shared" si="98"/>
        <v>543</v>
      </c>
      <c r="K2107" s="150" t="s">
        <v>9848</v>
      </c>
      <c r="L2107" s="149" t="s">
        <v>6173</v>
      </c>
      <c r="M2107" s="151">
        <v>5000</v>
      </c>
    </row>
    <row r="2108" spans="1:13" s="149" customFormat="1" x14ac:dyDescent="0.25">
      <c r="A2108" s="149" t="s">
        <v>7639</v>
      </c>
      <c r="B2108" s="149" t="s">
        <v>6544</v>
      </c>
      <c r="C2108" s="149">
        <v>71</v>
      </c>
      <c r="D2108" s="149">
        <v>400</v>
      </c>
      <c r="E2108" s="149">
        <v>0</v>
      </c>
      <c r="F2108" s="149">
        <v>0</v>
      </c>
      <c r="G2108" s="149">
        <v>55200</v>
      </c>
      <c r="H2108" s="150" t="str">
        <f t="shared" si="96"/>
        <v>5</v>
      </c>
      <c r="I2108" s="150" t="str">
        <f t="shared" si="97"/>
        <v>55</v>
      </c>
      <c r="J2108" s="150" t="str">
        <f t="shared" si="98"/>
        <v>552</v>
      </c>
      <c r="K2108" s="150" t="s">
        <v>9849</v>
      </c>
      <c r="L2108" s="149" t="s">
        <v>6175</v>
      </c>
      <c r="M2108" s="151">
        <v>10000</v>
      </c>
    </row>
    <row r="2109" spans="1:13" s="149" customFormat="1" x14ac:dyDescent="0.25">
      <c r="A2109" s="149" t="s">
        <v>7639</v>
      </c>
      <c r="B2109" s="149" t="s">
        <v>6545</v>
      </c>
      <c r="C2109" s="149">
        <v>71</v>
      </c>
      <c r="D2109" s="149">
        <v>400</v>
      </c>
      <c r="E2109" s="149">
        <v>0</v>
      </c>
      <c r="F2109" s="149">
        <v>0</v>
      </c>
      <c r="G2109" s="149">
        <v>55240</v>
      </c>
      <c r="H2109" s="150" t="str">
        <f t="shared" si="96"/>
        <v>5</v>
      </c>
      <c r="I2109" s="150" t="str">
        <f t="shared" si="97"/>
        <v>55</v>
      </c>
      <c r="J2109" s="150" t="str">
        <f t="shared" si="98"/>
        <v>552</v>
      </c>
      <c r="K2109" s="150" t="s">
        <v>9850</v>
      </c>
      <c r="L2109" s="149" t="s">
        <v>6177</v>
      </c>
      <c r="M2109" s="151">
        <v>3000</v>
      </c>
    </row>
    <row r="2110" spans="1:13" s="149" customFormat="1" x14ac:dyDescent="0.25">
      <c r="A2110" s="149" t="s">
        <v>7639</v>
      </c>
      <c r="B2110" s="149" t="s">
        <v>6546</v>
      </c>
      <c r="C2110" s="149">
        <v>71</v>
      </c>
      <c r="D2110" s="149">
        <v>400</v>
      </c>
      <c r="E2110" s="149">
        <v>0</v>
      </c>
      <c r="F2110" s="149">
        <v>0</v>
      </c>
      <c r="G2110" s="149">
        <v>55243</v>
      </c>
      <c r="H2110" s="150" t="str">
        <f t="shared" si="96"/>
        <v>5</v>
      </c>
      <c r="I2110" s="150" t="str">
        <f t="shared" si="97"/>
        <v>55</v>
      </c>
      <c r="J2110" s="150" t="str">
        <f t="shared" si="98"/>
        <v>552</v>
      </c>
      <c r="K2110" s="150" t="s">
        <v>9851</v>
      </c>
      <c r="L2110" s="149" t="s">
        <v>6547</v>
      </c>
      <c r="M2110" s="151">
        <v>10000</v>
      </c>
    </row>
    <row r="2111" spans="1:13" s="149" customFormat="1" x14ac:dyDescent="0.25">
      <c r="A2111" s="149" t="s">
        <v>7639</v>
      </c>
      <c r="B2111" s="149" t="s">
        <v>6548</v>
      </c>
      <c r="C2111" s="149">
        <v>71</v>
      </c>
      <c r="D2111" s="149">
        <v>400</v>
      </c>
      <c r="E2111" s="149">
        <v>0</v>
      </c>
      <c r="F2111" s="149">
        <v>0</v>
      </c>
      <c r="G2111" s="149">
        <v>55244</v>
      </c>
      <c r="H2111" s="150" t="str">
        <f t="shared" si="96"/>
        <v>5</v>
      </c>
      <c r="I2111" s="150" t="str">
        <f t="shared" si="97"/>
        <v>55</v>
      </c>
      <c r="J2111" s="150" t="str">
        <f t="shared" si="98"/>
        <v>552</v>
      </c>
      <c r="K2111" s="150" t="s">
        <v>9852</v>
      </c>
      <c r="L2111" s="149" t="s">
        <v>6549</v>
      </c>
      <c r="M2111" s="151">
        <v>4400</v>
      </c>
    </row>
    <row r="2112" spans="1:13" s="149" customFormat="1" x14ac:dyDescent="0.25">
      <c r="A2112" s="149" t="s">
        <v>7639</v>
      </c>
      <c r="B2112" s="149" t="s">
        <v>6550</v>
      </c>
      <c r="C2112" s="149">
        <v>71</v>
      </c>
      <c r="D2112" s="149">
        <v>400</v>
      </c>
      <c r="E2112" s="149">
        <v>0</v>
      </c>
      <c r="F2112" s="149">
        <v>0</v>
      </c>
      <c r="G2112" s="149">
        <v>55247</v>
      </c>
      <c r="H2112" s="150" t="str">
        <f t="shared" si="96"/>
        <v>5</v>
      </c>
      <c r="I2112" s="150" t="str">
        <f t="shared" si="97"/>
        <v>55</v>
      </c>
      <c r="J2112" s="150" t="str">
        <f t="shared" si="98"/>
        <v>552</v>
      </c>
      <c r="K2112" s="150" t="s">
        <v>9853</v>
      </c>
      <c r="L2112" s="149" t="s">
        <v>6551</v>
      </c>
      <c r="M2112" s="151">
        <v>2500</v>
      </c>
    </row>
    <row r="2113" spans="1:13" s="149" customFormat="1" x14ac:dyDescent="0.25">
      <c r="A2113" s="149" t="s">
        <v>7639</v>
      </c>
      <c r="B2113" s="149" t="s">
        <v>6552</v>
      </c>
      <c r="C2113" s="149">
        <v>71</v>
      </c>
      <c r="D2113" s="149">
        <v>400</v>
      </c>
      <c r="E2113" s="149">
        <v>0</v>
      </c>
      <c r="F2113" s="149">
        <v>0</v>
      </c>
      <c r="G2113" s="149">
        <v>55300</v>
      </c>
      <c r="H2113" s="150" t="str">
        <f t="shared" si="96"/>
        <v>5</v>
      </c>
      <c r="I2113" s="150" t="str">
        <f t="shared" si="97"/>
        <v>55</v>
      </c>
      <c r="J2113" s="150" t="str">
        <f t="shared" si="98"/>
        <v>553</v>
      </c>
      <c r="K2113" s="150" t="s">
        <v>9854</v>
      </c>
      <c r="L2113" s="149" t="s">
        <v>6179</v>
      </c>
      <c r="M2113" s="151">
        <v>500</v>
      </c>
    </row>
    <row r="2114" spans="1:13" s="149" customFormat="1" x14ac:dyDescent="0.25">
      <c r="A2114" s="149" t="s">
        <v>7639</v>
      </c>
      <c r="B2114" s="149" t="s">
        <v>6553</v>
      </c>
      <c r="C2114" s="149">
        <v>71</v>
      </c>
      <c r="D2114" s="149">
        <v>400</v>
      </c>
      <c r="E2114" s="149">
        <v>0</v>
      </c>
      <c r="F2114" s="149">
        <v>0</v>
      </c>
      <c r="G2114" s="149">
        <v>55600</v>
      </c>
      <c r="H2114" s="150" t="str">
        <f t="shared" si="96"/>
        <v>5</v>
      </c>
      <c r="I2114" s="150" t="str">
        <f t="shared" si="97"/>
        <v>55</v>
      </c>
      <c r="J2114" s="150" t="str">
        <f t="shared" si="98"/>
        <v>556</v>
      </c>
      <c r="K2114" s="150" t="s">
        <v>9855</v>
      </c>
      <c r="L2114" s="149" t="s">
        <v>6139</v>
      </c>
      <c r="M2114" s="151">
        <v>1000</v>
      </c>
    </row>
    <row r="2115" spans="1:13" s="149" customFormat="1" x14ac:dyDescent="0.25">
      <c r="A2115" s="149" t="s">
        <v>7639</v>
      </c>
      <c r="B2115" s="149" t="s">
        <v>6554</v>
      </c>
      <c r="C2115" s="149">
        <v>71</v>
      </c>
      <c r="D2115" s="149">
        <v>400</v>
      </c>
      <c r="E2115" s="149">
        <v>0</v>
      </c>
      <c r="F2115" s="149">
        <v>0</v>
      </c>
      <c r="G2115" s="149">
        <v>55635</v>
      </c>
      <c r="H2115" s="150" t="str">
        <f t="shared" ref="H2115:H2178" si="99">LEFT(G2115,1)</f>
        <v>5</v>
      </c>
      <c r="I2115" s="150" t="str">
        <f t="shared" ref="I2115:I2178" si="100">LEFT(G2115,2)</f>
        <v>55</v>
      </c>
      <c r="J2115" s="150" t="str">
        <f t="shared" ref="J2115:J2178" si="101">LEFT(G2115,3)</f>
        <v>556</v>
      </c>
      <c r="K2115" s="150" t="s">
        <v>9856</v>
      </c>
      <c r="L2115" s="149" t="s">
        <v>6183</v>
      </c>
      <c r="M2115" s="151">
        <v>1000</v>
      </c>
    </row>
    <row r="2116" spans="1:13" s="149" customFormat="1" x14ac:dyDescent="0.25">
      <c r="A2116" s="149" t="s">
        <v>7639</v>
      </c>
      <c r="B2116" s="149" t="s">
        <v>6555</v>
      </c>
      <c r="C2116" s="149">
        <v>71</v>
      </c>
      <c r="D2116" s="149">
        <v>400</v>
      </c>
      <c r="E2116" s="149">
        <v>0</v>
      </c>
      <c r="F2116" s="149">
        <v>0</v>
      </c>
      <c r="G2116" s="149">
        <v>55650</v>
      </c>
      <c r="H2116" s="150" t="str">
        <f t="shared" si="99"/>
        <v>5</v>
      </c>
      <c r="I2116" s="150" t="str">
        <f t="shared" si="100"/>
        <v>55</v>
      </c>
      <c r="J2116" s="150" t="str">
        <f t="shared" si="101"/>
        <v>556</v>
      </c>
      <c r="K2116" s="150" t="s">
        <v>9857</v>
      </c>
      <c r="L2116" s="149" t="s">
        <v>6185</v>
      </c>
      <c r="M2116" s="151">
        <v>2000</v>
      </c>
    </row>
    <row r="2117" spans="1:13" s="149" customFormat="1" x14ac:dyDescent="0.25">
      <c r="A2117" s="149" t="s">
        <v>7639</v>
      </c>
      <c r="B2117" s="149" t="s">
        <v>6556</v>
      </c>
      <c r="C2117" s="149">
        <v>71</v>
      </c>
      <c r="D2117" s="149">
        <v>400</v>
      </c>
      <c r="E2117" s="149">
        <v>0</v>
      </c>
      <c r="F2117" s="149">
        <v>0</v>
      </c>
      <c r="G2117" s="149">
        <v>57510</v>
      </c>
      <c r="H2117" s="150" t="str">
        <f t="shared" si="99"/>
        <v>5</v>
      </c>
      <c r="I2117" s="150" t="str">
        <f t="shared" si="100"/>
        <v>57</v>
      </c>
      <c r="J2117" s="150" t="str">
        <f t="shared" si="101"/>
        <v>575</v>
      </c>
      <c r="K2117" s="150" t="s">
        <v>9858</v>
      </c>
      <c r="L2117" s="149" t="s">
        <v>6557</v>
      </c>
      <c r="M2117" s="151">
        <v>4550</v>
      </c>
    </row>
    <row r="2118" spans="1:13" s="149" customFormat="1" x14ac:dyDescent="0.25">
      <c r="A2118" s="149" t="s">
        <v>7639</v>
      </c>
      <c r="B2118" s="149" t="s">
        <v>6558</v>
      </c>
      <c r="C2118" s="149">
        <v>72</v>
      </c>
      <c r="D2118" s="149">
        <v>400</v>
      </c>
      <c r="E2118" s="149">
        <v>0</v>
      </c>
      <c r="F2118" s="149">
        <v>0</v>
      </c>
      <c r="G2118" s="149">
        <v>48844</v>
      </c>
      <c r="H2118" s="150" t="str">
        <f t="shared" si="99"/>
        <v>4</v>
      </c>
      <c r="I2118" s="150" t="str">
        <f t="shared" si="100"/>
        <v>48</v>
      </c>
      <c r="J2118" s="150" t="str">
        <f t="shared" si="101"/>
        <v>488</v>
      </c>
      <c r="K2118" s="150" t="s">
        <v>9859</v>
      </c>
      <c r="L2118" s="149" t="s">
        <v>6437</v>
      </c>
      <c r="M2118" s="151">
        <v>0</v>
      </c>
    </row>
    <row r="2119" spans="1:13" s="149" customFormat="1" x14ac:dyDescent="0.25">
      <c r="A2119" s="149" t="s">
        <v>7639</v>
      </c>
      <c r="B2119" s="149" t="s">
        <v>6559</v>
      </c>
      <c r="C2119" s="149">
        <v>72</v>
      </c>
      <c r="D2119" s="149">
        <v>400</v>
      </c>
      <c r="E2119" s="149">
        <v>0</v>
      </c>
      <c r="F2119" s="149">
        <v>0</v>
      </c>
      <c r="G2119" s="149">
        <v>48860</v>
      </c>
      <c r="H2119" s="150" t="str">
        <f t="shared" si="99"/>
        <v>4</v>
      </c>
      <c r="I2119" s="150" t="str">
        <f t="shared" si="100"/>
        <v>48</v>
      </c>
      <c r="J2119" s="150" t="str">
        <f t="shared" si="101"/>
        <v>488</v>
      </c>
      <c r="K2119" s="150" t="s">
        <v>9860</v>
      </c>
      <c r="L2119" s="149" t="s">
        <v>41</v>
      </c>
      <c r="M2119" s="151">
        <v>0</v>
      </c>
    </row>
    <row r="2120" spans="1:13" s="149" customFormat="1" x14ac:dyDescent="0.25">
      <c r="A2120" s="149" t="s">
        <v>7639</v>
      </c>
      <c r="B2120" s="149" t="s">
        <v>6560</v>
      </c>
      <c r="C2120" s="149">
        <v>72</v>
      </c>
      <c r="D2120" s="149">
        <v>400</v>
      </c>
      <c r="E2120" s="149">
        <v>0</v>
      </c>
      <c r="F2120" s="149">
        <v>0</v>
      </c>
      <c r="G2120" s="149">
        <v>48884</v>
      </c>
      <c r="H2120" s="150" t="str">
        <f t="shared" si="99"/>
        <v>4</v>
      </c>
      <c r="I2120" s="150" t="str">
        <f t="shared" si="100"/>
        <v>48</v>
      </c>
      <c r="J2120" s="150" t="str">
        <f t="shared" si="101"/>
        <v>488</v>
      </c>
      <c r="K2120" s="150" t="s">
        <v>9861</v>
      </c>
      <c r="L2120" s="149" t="s">
        <v>6561</v>
      </c>
      <c r="M2120" s="151">
        <v>-9929</v>
      </c>
    </row>
    <row r="2121" spans="1:13" s="149" customFormat="1" x14ac:dyDescent="0.25">
      <c r="A2121" s="149" t="s">
        <v>7639</v>
      </c>
      <c r="B2121" s="149" t="s">
        <v>6562</v>
      </c>
      <c r="C2121" s="149">
        <v>72</v>
      </c>
      <c r="D2121" s="149">
        <v>400</v>
      </c>
      <c r="E2121" s="149">
        <v>0</v>
      </c>
      <c r="F2121" s="149">
        <v>0</v>
      </c>
      <c r="G2121" s="149">
        <v>55200</v>
      </c>
      <c r="H2121" s="150" t="str">
        <f t="shared" si="99"/>
        <v>5</v>
      </c>
      <c r="I2121" s="150" t="str">
        <f t="shared" si="100"/>
        <v>55</v>
      </c>
      <c r="J2121" s="150" t="str">
        <f t="shared" si="101"/>
        <v>552</v>
      </c>
      <c r="K2121" s="150" t="s">
        <v>9862</v>
      </c>
      <c r="L2121" s="149" t="s">
        <v>6175</v>
      </c>
      <c r="M2121" s="151">
        <v>9929</v>
      </c>
    </row>
    <row r="2122" spans="1:13" s="149" customFormat="1" x14ac:dyDescent="0.25">
      <c r="A2122" s="149" t="s">
        <v>7639</v>
      </c>
      <c r="B2122" s="149" t="s">
        <v>6563</v>
      </c>
      <c r="C2122" s="149">
        <v>72</v>
      </c>
      <c r="D2122" s="149">
        <v>400</v>
      </c>
      <c r="E2122" s="149">
        <v>0</v>
      </c>
      <c r="F2122" s="149">
        <v>0</v>
      </c>
      <c r="G2122" s="149">
        <v>55800</v>
      </c>
      <c r="H2122" s="150" t="str">
        <f t="shared" si="99"/>
        <v>5</v>
      </c>
      <c r="I2122" s="150" t="str">
        <f t="shared" si="100"/>
        <v>55</v>
      </c>
      <c r="J2122" s="150" t="str">
        <f t="shared" si="101"/>
        <v>558</v>
      </c>
      <c r="K2122" s="150" t="s">
        <v>9863</v>
      </c>
      <c r="L2122" s="149" t="s">
        <v>6269</v>
      </c>
      <c r="M2122" s="151">
        <v>0</v>
      </c>
    </row>
    <row r="2123" spans="1:13" s="149" customFormat="1" x14ac:dyDescent="0.25">
      <c r="A2123" s="149" t="s">
        <v>7639</v>
      </c>
      <c r="B2123" s="149" t="s">
        <v>6564</v>
      </c>
      <c r="C2123" s="149">
        <v>72</v>
      </c>
      <c r="D2123" s="149">
        <v>400</v>
      </c>
      <c r="E2123" s="149">
        <v>0</v>
      </c>
      <c r="F2123" s="149">
        <v>0</v>
      </c>
      <c r="G2123" s="149">
        <v>57351</v>
      </c>
      <c r="H2123" s="150" t="str">
        <f t="shared" si="99"/>
        <v>5</v>
      </c>
      <c r="I2123" s="150" t="str">
        <f t="shared" si="100"/>
        <v>57</v>
      </c>
      <c r="J2123" s="150" t="str">
        <f t="shared" si="101"/>
        <v>573</v>
      </c>
      <c r="K2123" s="150" t="s">
        <v>9864</v>
      </c>
      <c r="L2123" s="149" t="s">
        <v>6565</v>
      </c>
      <c r="M2123" s="151">
        <v>0</v>
      </c>
    </row>
    <row r="2124" spans="1:13" s="149" customFormat="1" x14ac:dyDescent="0.25">
      <c r="A2124" s="149" t="s">
        <v>7639</v>
      </c>
      <c r="B2124" s="149" t="s">
        <v>6607</v>
      </c>
      <c r="C2124" s="149">
        <v>75</v>
      </c>
      <c r="D2124" s="149">
        <v>0</v>
      </c>
      <c r="E2124" s="149">
        <v>0</v>
      </c>
      <c r="F2124" s="149">
        <v>0</v>
      </c>
      <c r="G2124" s="149">
        <v>48860</v>
      </c>
      <c r="H2124" s="150" t="str">
        <f t="shared" si="99"/>
        <v>4</v>
      </c>
      <c r="I2124" s="150" t="str">
        <f t="shared" si="100"/>
        <v>48</v>
      </c>
      <c r="J2124" s="150" t="str">
        <f t="shared" si="101"/>
        <v>488</v>
      </c>
      <c r="K2124" s="150" t="s">
        <v>9865</v>
      </c>
      <c r="L2124" s="149" t="s">
        <v>41</v>
      </c>
      <c r="M2124" s="151">
        <v>0</v>
      </c>
    </row>
    <row r="2125" spans="1:13" s="149" customFormat="1" x14ac:dyDescent="0.25">
      <c r="A2125" s="149" t="s">
        <v>7639</v>
      </c>
      <c r="B2125" s="149" t="s">
        <v>6608</v>
      </c>
      <c r="C2125" s="149">
        <v>75</v>
      </c>
      <c r="D2125" s="149">
        <v>0</v>
      </c>
      <c r="E2125" s="149">
        <v>0</v>
      </c>
      <c r="F2125" s="149">
        <v>0</v>
      </c>
      <c r="G2125" s="149">
        <v>55800</v>
      </c>
      <c r="H2125" s="150" t="str">
        <f t="shared" si="99"/>
        <v>5</v>
      </c>
      <c r="I2125" s="150" t="str">
        <f t="shared" si="100"/>
        <v>55</v>
      </c>
      <c r="J2125" s="150" t="str">
        <f t="shared" si="101"/>
        <v>558</v>
      </c>
      <c r="K2125" s="150" t="s">
        <v>9866</v>
      </c>
      <c r="L2125" s="149" t="s">
        <v>6269</v>
      </c>
      <c r="M2125" s="151">
        <v>2000</v>
      </c>
    </row>
    <row r="2126" spans="1:13" s="149" customFormat="1" x14ac:dyDescent="0.25">
      <c r="A2126" s="149" t="s">
        <v>7639</v>
      </c>
      <c r="B2126" s="149" t="s">
        <v>6609</v>
      </c>
      <c r="C2126" s="149">
        <v>75</v>
      </c>
      <c r="D2126" s="149">
        <v>200</v>
      </c>
      <c r="E2126" s="149">
        <v>0</v>
      </c>
      <c r="F2126" s="149">
        <v>0</v>
      </c>
      <c r="G2126" s="149">
        <v>55105</v>
      </c>
      <c r="H2126" s="150" t="str">
        <f t="shared" si="99"/>
        <v>5</v>
      </c>
      <c r="I2126" s="150" t="str">
        <f t="shared" si="100"/>
        <v>55</v>
      </c>
      <c r="J2126" s="150" t="str">
        <f t="shared" si="101"/>
        <v>551</v>
      </c>
      <c r="K2126" s="150" t="s">
        <v>9867</v>
      </c>
      <c r="L2126" s="149" t="s">
        <v>6251</v>
      </c>
      <c r="M2126" s="151">
        <v>48000</v>
      </c>
    </row>
    <row r="2127" spans="1:13" s="149" customFormat="1" x14ac:dyDescent="0.25">
      <c r="A2127" s="149" t="s">
        <v>7639</v>
      </c>
      <c r="B2127" s="149" t="s">
        <v>6610</v>
      </c>
      <c r="C2127" s="149">
        <v>75</v>
      </c>
      <c r="D2127" s="149">
        <v>200</v>
      </c>
      <c r="E2127" s="149">
        <v>0</v>
      </c>
      <c r="F2127" s="149">
        <v>975109</v>
      </c>
      <c r="G2127" s="149">
        <v>48000</v>
      </c>
      <c r="H2127" s="150" t="str">
        <f t="shared" si="99"/>
        <v>4</v>
      </c>
      <c r="I2127" s="150" t="str">
        <f t="shared" si="100"/>
        <v>48</v>
      </c>
      <c r="J2127" s="150" t="str">
        <f t="shared" si="101"/>
        <v>480</v>
      </c>
      <c r="K2127" s="150" t="s">
        <v>9868</v>
      </c>
      <c r="L2127" s="149" t="s">
        <v>6611</v>
      </c>
      <c r="M2127" s="151">
        <v>0</v>
      </c>
    </row>
    <row r="2128" spans="1:13" s="149" customFormat="1" x14ac:dyDescent="0.25">
      <c r="A2128" s="149" t="s">
        <v>7639</v>
      </c>
      <c r="B2128" s="149" t="s">
        <v>6612</v>
      </c>
      <c r="C2128" s="149">
        <v>75</v>
      </c>
      <c r="D2128" s="149">
        <v>200</v>
      </c>
      <c r="E2128" s="149">
        <v>0</v>
      </c>
      <c r="F2128" s="149">
        <v>975109</v>
      </c>
      <c r="G2128" s="149">
        <v>55000</v>
      </c>
      <c r="H2128" s="150" t="str">
        <f t="shared" si="99"/>
        <v>5</v>
      </c>
      <c r="I2128" s="150" t="str">
        <f t="shared" si="100"/>
        <v>55</v>
      </c>
      <c r="J2128" s="150" t="str">
        <f t="shared" si="101"/>
        <v>550</v>
      </c>
      <c r="K2128" s="150" t="s">
        <v>9869</v>
      </c>
      <c r="L2128" s="149" t="s">
        <v>6613</v>
      </c>
      <c r="M2128" s="151">
        <v>0</v>
      </c>
    </row>
    <row r="2129" spans="1:13" s="149" customFormat="1" x14ac:dyDescent="0.25">
      <c r="A2129" s="149" t="s">
        <v>7639</v>
      </c>
      <c r="B2129" s="149" t="s">
        <v>6614</v>
      </c>
      <c r="C2129" s="149">
        <v>75</v>
      </c>
      <c r="D2129" s="149">
        <v>400</v>
      </c>
      <c r="E2129" s="149">
        <v>0</v>
      </c>
      <c r="F2129" s="149">
        <v>0</v>
      </c>
      <c r="G2129" s="149">
        <v>48885</v>
      </c>
      <c r="H2129" s="150" t="str">
        <f t="shared" si="99"/>
        <v>4</v>
      </c>
      <c r="I2129" s="150" t="str">
        <f t="shared" si="100"/>
        <v>48</v>
      </c>
      <c r="J2129" s="150" t="str">
        <f t="shared" si="101"/>
        <v>488</v>
      </c>
      <c r="K2129" s="150" t="s">
        <v>9870</v>
      </c>
      <c r="L2129" s="149" t="s">
        <v>6615</v>
      </c>
      <c r="M2129" s="151">
        <v>-50000</v>
      </c>
    </row>
    <row r="2130" spans="1:13" s="149" customFormat="1" x14ac:dyDescent="0.25">
      <c r="A2130" s="149" t="s">
        <v>7639</v>
      </c>
      <c r="B2130" s="149" t="s">
        <v>6616</v>
      </c>
      <c r="C2130" s="149">
        <v>79</v>
      </c>
      <c r="D2130" s="149">
        <v>320</v>
      </c>
      <c r="E2130" s="149">
        <v>0</v>
      </c>
      <c r="F2130" s="149">
        <v>0</v>
      </c>
      <c r="G2130" s="149">
        <v>48840</v>
      </c>
      <c r="H2130" s="150" t="str">
        <f t="shared" si="99"/>
        <v>4</v>
      </c>
      <c r="I2130" s="150" t="str">
        <f t="shared" si="100"/>
        <v>48</v>
      </c>
      <c r="J2130" s="150" t="str">
        <f t="shared" si="101"/>
        <v>488</v>
      </c>
      <c r="K2130" s="150" t="s">
        <v>9871</v>
      </c>
      <c r="L2130" s="149" t="s">
        <v>6617</v>
      </c>
      <c r="M2130" s="151">
        <v>-1000</v>
      </c>
    </row>
    <row r="2131" spans="1:13" s="149" customFormat="1" x14ac:dyDescent="0.25">
      <c r="A2131" s="149" t="s">
        <v>7639</v>
      </c>
      <c r="B2131" s="149" t="s">
        <v>6618</v>
      </c>
      <c r="C2131" s="149">
        <v>79</v>
      </c>
      <c r="D2131" s="149">
        <v>320</v>
      </c>
      <c r="E2131" s="149">
        <v>0</v>
      </c>
      <c r="F2131" s="149">
        <v>0</v>
      </c>
      <c r="G2131" s="149">
        <v>48841</v>
      </c>
      <c r="H2131" s="150" t="str">
        <f t="shared" si="99"/>
        <v>4</v>
      </c>
      <c r="I2131" s="150" t="str">
        <f t="shared" si="100"/>
        <v>48</v>
      </c>
      <c r="J2131" s="150" t="str">
        <f t="shared" si="101"/>
        <v>488</v>
      </c>
      <c r="K2131" s="150" t="s">
        <v>9872</v>
      </c>
      <c r="L2131" s="149" t="s">
        <v>6619</v>
      </c>
      <c r="M2131" s="151">
        <v>-8640</v>
      </c>
    </row>
    <row r="2132" spans="1:13" s="149" customFormat="1" x14ac:dyDescent="0.25">
      <c r="A2132" s="149" t="s">
        <v>7639</v>
      </c>
      <c r="B2132" s="149" t="s">
        <v>6620</v>
      </c>
      <c r="C2132" s="149">
        <v>79</v>
      </c>
      <c r="D2132" s="149">
        <v>320</v>
      </c>
      <c r="E2132" s="149">
        <v>0</v>
      </c>
      <c r="F2132" s="149">
        <v>0</v>
      </c>
      <c r="G2132" s="149">
        <v>48846</v>
      </c>
      <c r="H2132" s="150" t="str">
        <f t="shared" si="99"/>
        <v>4</v>
      </c>
      <c r="I2132" s="150" t="str">
        <f t="shared" si="100"/>
        <v>48</v>
      </c>
      <c r="J2132" s="150" t="str">
        <f t="shared" si="101"/>
        <v>488</v>
      </c>
      <c r="K2132" s="150" t="s">
        <v>9873</v>
      </c>
      <c r="L2132" s="149" t="s">
        <v>6621</v>
      </c>
      <c r="M2132" s="151">
        <v>-17500</v>
      </c>
    </row>
    <row r="2133" spans="1:13" s="149" customFormat="1" x14ac:dyDescent="0.25">
      <c r="A2133" s="149" t="s">
        <v>7639</v>
      </c>
      <c r="B2133" s="149" t="s">
        <v>6622</v>
      </c>
      <c r="C2133" s="149">
        <v>79</v>
      </c>
      <c r="D2133" s="149">
        <v>320</v>
      </c>
      <c r="E2133" s="149">
        <v>0</v>
      </c>
      <c r="F2133" s="149">
        <v>0</v>
      </c>
      <c r="G2133" s="149">
        <v>48847</v>
      </c>
      <c r="H2133" s="150" t="str">
        <f t="shared" si="99"/>
        <v>4</v>
      </c>
      <c r="I2133" s="150" t="str">
        <f t="shared" si="100"/>
        <v>48</v>
      </c>
      <c r="J2133" s="150" t="str">
        <f t="shared" si="101"/>
        <v>488</v>
      </c>
      <c r="K2133" s="150" t="s">
        <v>9874</v>
      </c>
      <c r="L2133" s="149" t="s">
        <v>6623</v>
      </c>
      <c r="M2133" s="151">
        <v>-290</v>
      </c>
    </row>
    <row r="2134" spans="1:13" s="149" customFormat="1" x14ac:dyDescent="0.25">
      <c r="A2134" s="149" t="s">
        <v>7639</v>
      </c>
      <c r="B2134" s="149" t="s">
        <v>6624</v>
      </c>
      <c r="C2134" s="149">
        <v>79</v>
      </c>
      <c r="D2134" s="149">
        <v>320</v>
      </c>
      <c r="E2134" s="149">
        <v>0</v>
      </c>
      <c r="F2134" s="149">
        <v>0</v>
      </c>
      <c r="G2134" s="149">
        <v>48848</v>
      </c>
      <c r="H2134" s="150" t="str">
        <f t="shared" si="99"/>
        <v>4</v>
      </c>
      <c r="I2134" s="150" t="str">
        <f t="shared" si="100"/>
        <v>48</v>
      </c>
      <c r="J2134" s="150" t="str">
        <f t="shared" si="101"/>
        <v>488</v>
      </c>
      <c r="K2134" s="150" t="s">
        <v>9875</v>
      </c>
      <c r="L2134" s="149" t="s">
        <v>6625</v>
      </c>
      <c r="M2134" s="151">
        <v>-5000</v>
      </c>
    </row>
    <row r="2135" spans="1:13" s="149" customFormat="1" x14ac:dyDescent="0.25">
      <c r="A2135" s="149" t="s">
        <v>7639</v>
      </c>
      <c r="B2135" s="149" t="s">
        <v>6626</v>
      </c>
      <c r="C2135" s="149">
        <v>79</v>
      </c>
      <c r="D2135" s="149">
        <v>320</v>
      </c>
      <c r="E2135" s="149">
        <v>0</v>
      </c>
      <c r="F2135" s="149">
        <v>0</v>
      </c>
      <c r="G2135" s="149">
        <v>48860</v>
      </c>
      <c r="H2135" s="150" t="str">
        <f t="shared" si="99"/>
        <v>4</v>
      </c>
      <c r="I2135" s="150" t="str">
        <f t="shared" si="100"/>
        <v>48</v>
      </c>
      <c r="J2135" s="150" t="str">
        <f t="shared" si="101"/>
        <v>488</v>
      </c>
      <c r="K2135" s="150" t="s">
        <v>9876</v>
      </c>
      <c r="L2135" s="149" t="s">
        <v>41</v>
      </c>
      <c r="M2135" s="151">
        <v>-100</v>
      </c>
    </row>
    <row r="2136" spans="1:13" s="149" customFormat="1" x14ac:dyDescent="0.25">
      <c r="A2136" s="149" t="s">
        <v>7639</v>
      </c>
      <c r="B2136" s="149" t="s">
        <v>6627</v>
      </c>
      <c r="C2136" s="149">
        <v>79</v>
      </c>
      <c r="D2136" s="149">
        <v>320</v>
      </c>
      <c r="E2136" s="149">
        <v>0</v>
      </c>
      <c r="F2136" s="149">
        <v>0</v>
      </c>
      <c r="G2136" s="149">
        <v>48890</v>
      </c>
      <c r="H2136" s="150" t="str">
        <f t="shared" si="99"/>
        <v>4</v>
      </c>
      <c r="I2136" s="150" t="str">
        <f t="shared" si="100"/>
        <v>48</v>
      </c>
      <c r="J2136" s="150" t="str">
        <f t="shared" si="101"/>
        <v>488</v>
      </c>
      <c r="K2136" s="150" t="s">
        <v>9877</v>
      </c>
      <c r="L2136" s="149" t="s">
        <v>51</v>
      </c>
      <c r="M2136" s="151">
        <v>0</v>
      </c>
    </row>
    <row r="2137" spans="1:13" s="149" customFormat="1" x14ac:dyDescent="0.25">
      <c r="A2137" s="149" t="s">
        <v>7639</v>
      </c>
      <c r="B2137" s="149" t="s">
        <v>6628</v>
      </c>
      <c r="C2137" s="149">
        <v>79</v>
      </c>
      <c r="D2137" s="149">
        <v>320</v>
      </c>
      <c r="E2137" s="149">
        <v>0</v>
      </c>
      <c r="F2137" s="149">
        <v>0</v>
      </c>
      <c r="G2137" s="149">
        <v>52360</v>
      </c>
      <c r="H2137" s="150" t="str">
        <f t="shared" si="99"/>
        <v>5</v>
      </c>
      <c r="I2137" s="150" t="str">
        <f t="shared" si="100"/>
        <v>52</v>
      </c>
      <c r="J2137" s="150" t="str">
        <f t="shared" si="101"/>
        <v>523</v>
      </c>
      <c r="K2137" s="150" t="s">
        <v>9878</v>
      </c>
      <c r="L2137" s="149" t="s">
        <v>6155</v>
      </c>
      <c r="M2137" s="151">
        <v>17000</v>
      </c>
    </row>
    <row r="2138" spans="1:13" s="149" customFormat="1" x14ac:dyDescent="0.25">
      <c r="A2138" s="149" t="s">
        <v>7639</v>
      </c>
      <c r="B2138" s="149" t="s">
        <v>6629</v>
      </c>
      <c r="C2138" s="149">
        <v>79</v>
      </c>
      <c r="D2138" s="149">
        <v>320</v>
      </c>
      <c r="E2138" s="149">
        <v>0</v>
      </c>
      <c r="F2138" s="149">
        <v>0</v>
      </c>
      <c r="G2138" s="149">
        <v>53320</v>
      </c>
      <c r="H2138" s="150" t="str">
        <f t="shared" si="99"/>
        <v>5</v>
      </c>
      <c r="I2138" s="150" t="str">
        <f t="shared" si="100"/>
        <v>53</v>
      </c>
      <c r="J2138" s="150" t="str">
        <f t="shared" si="101"/>
        <v>533</v>
      </c>
      <c r="K2138" s="150" t="s">
        <v>9879</v>
      </c>
      <c r="L2138" s="149" t="s">
        <v>6161</v>
      </c>
      <c r="M2138" s="151">
        <v>1054</v>
      </c>
    </row>
    <row r="2139" spans="1:13" s="149" customFormat="1" x14ac:dyDescent="0.25">
      <c r="A2139" s="149" t="s">
        <v>7639</v>
      </c>
      <c r="B2139" s="149" t="s">
        <v>6630</v>
      </c>
      <c r="C2139" s="149">
        <v>79</v>
      </c>
      <c r="D2139" s="149">
        <v>320</v>
      </c>
      <c r="E2139" s="149">
        <v>0</v>
      </c>
      <c r="F2139" s="149">
        <v>0</v>
      </c>
      <c r="G2139" s="149">
        <v>53340</v>
      </c>
      <c r="H2139" s="150" t="str">
        <f t="shared" si="99"/>
        <v>5</v>
      </c>
      <c r="I2139" s="150" t="str">
        <f t="shared" si="100"/>
        <v>53</v>
      </c>
      <c r="J2139" s="150" t="str">
        <f t="shared" si="101"/>
        <v>533</v>
      </c>
      <c r="K2139" s="150" t="s">
        <v>9880</v>
      </c>
      <c r="L2139" s="149" t="s">
        <v>6163</v>
      </c>
      <c r="M2139" s="151">
        <v>246</v>
      </c>
    </row>
    <row r="2140" spans="1:13" s="149" customFormat="1" x14ac:dyDescent="0.25">
      <c r="A2140" s="149" t="s">
        <v>7639</v>
      </c>
      <c r="B2140" s="149" t="s">
        <v>6631</v>
      </c>
      <c r="C2140" s="149">
        <v>79</v>
      </c>
      <c r="D2140" s="149">
        <v>320</v>
      </c>
      <c r="E2140" s="149">
        <v>0</v>
      </c>
      <c r="F2140" s="149">
        <v>0</v>
      </c>
      <c r="G2140" s="149">
        <v>53520</v>
      </c>
      <c r="H2140" s="150" t="str">
        <f t="shared" si="99"/>
        <v>5</v>
      </c>
      <c r="I2140" s="150" t="str">
        <f t="shared" si="100"/>
        <v>53</v>
      </c>
      <c r="J2140" s="150" t="str">
        <f t="shared" si="101"/>
        <v>535</v>
      </c>
      <c r="K2140" s="150" t="s">
        <v>9881</v>
      </c>
      <c r="L2140" s="149" t="s">
        <v>6167</v>
      </c>
      <c r="M2140" s="151">
        <v>9</v>
      </c>
    </row>
    <row r="2141" spans="1:13" s="149" customFormat="1" x14ac:dyDescent="0.25">
      <c r="A2141" s="149" t="s">
        <v>7639</v>
      </c>
      <c r="B2141" s="149" t="s">
        <v>6632</v>
      </c>
      <c r="C2141" s="149">
        <v>79</v>
      </c>
      <c r="D2141" s="149">
        <v>320</v>
      </c>
      <c r="E2141" s="149">
        <v>0</v>
      </c>
      <c r="F2141" s="149">
        <v>0</v>
      </c>
      <c r="G2141" s="149">
        <v>53620</v>
      </c>
      <c r="H2141" s="150" t="str">
        <f t="shared" si="99"/>
        <v>5</v>
      </c>
      <c r="I2141" s="150" t="str">
        <f t="shared" si="100"/>
        <v>53</v>
      </c>
      <c r="J2141" s="150" t="str">
        <f t="shared" si="101"/>
        <v>536</v>
      </c>
      <c r="K2141" s="150" t="s">
        <v>9882</v>
      </c>
      <c r="L2141" s="149" t="s">
        <v>6169</v>
      </c>
      <c r="M2141" s="151">
        <v>307</v>
      </c>
    </row>
    <row r="2142" spans="1:13" s="149" customFormat="1" x14ac:dyDescent="0.25">
      <c r="A2142" s="149" t="s">
        <v>7639</v>
      </c>
      <c r="B2142" s="149" t="s">
        <v>6633</v>
      </c>
      <c r="C2142" s="149">
        <v>79</v>
      </c>
      <c r="D2142" s="149">
        <v>320</v>
      </c>
      <c r="E2142" s="149">
        <v>0</v>
      </c>
      <c r="F2142" s="149">
        <v>0</v>
      </c>
      <c r="G2142" s="149">
        <v>54210</v>
      </c>
      <c r="H2142" s="150" t="str">
        <f t="shared" si="99"/>
        <v>5</v>
      </c>
      <c r="I2142" s="150" t="str">
        <f t="shared" si="100"/>
        <v>54</v>
      </c>
      <c r="J2142" s="150" t="str">
        <f t="shared" si="101"/>
        <v>542</v>
      </c>
      <c r="K2142" s="150" t="s">
        <v>9883</v>
      </c>
      <c r="L2142" s="149" t="s">
        <v>6171</v>
      </c>
      <c r="M2142" s="151">
        <v>15000</v>
      </c>
    </row>
    <row r="2143" spans="1:13" s="149" customFormat="1" x14ac:dyDescent="0.25">
      <c r="A2143" s="149" t="s">
        <v>7639</v>
      </c>
      <c r="B2143" s="149" t="s">
        <v>6634</v>
      </c>
      <c r="C2143" s="149">
        <v>79</v>
      </c>
      <c r="D2143" s="149">
        <v>320</v>
      </c>
      <c r="E2143" s="149">
        <v>0</v>
      </c>
      <c r="F2143" s="149">
        <v>0</v>
      </c>
      <c r="G2143" s="149">
        <v>55140</v>
      </c>
      <c r="H2143" s="150" t="str">
        <f t="shared" si="99"/>
        <v>5</v>
      </c>
      <c r="I2143" s="150" t="str">
        <f t="shared" si="100"/>
        <v>55</v>
      </c>
      <c r="J2143" s="150" t="str">
        <f t="shared" si="101"/>
        <v>551</v>
      </c>
      <c r="K2143" s="150" t="s">
        <v>9884</v>
      </c>
      <c r="L2143" s="149" t="s">
        <v>6635</v>
      </c>
      <c r="M2143" s="151">
        <v>4000</v>
      </c>
    </row>
    <row r="2144" spans="1:13" s="149" customFormat="1" x14ac:dyDescent="0.25">
      <c r="A2144" s="149" t="s">
        <v>7639</v>
      </c>
      <c r="B2144" s="149" t="s">
        <v>6636</v>
      </c>
      <c r="C2144" s="149">
        <v>79</v>
      </c>
      <c r="D2144" s="149">
        <v>320</v>
      </c>
      <c r="E2144" s="149">
        <v>0</v>
      </c>
      <c r="F2144" s="149">
        <v>0</v>
      </c>
      <c r="G2144" s="149">
        <v>55250</v>
      </c>
      <c r="H2144" s="150" t="str">
        <f t="shared" si="99"/>
        <v>5</v>
      </c>
      <c r="I2144" s="150" t="str">
        <f t="shared" si="100"/>
        <v>55</v>
      </c>
      <c r="J2144" s="150" t="str">
        <f t="shared" si="101"/>
        <v>552</v>
      </c>
      <c r="K2144" s="150" t="s">
        <v>9885</v>
      </c>
      <c r="L2144" s="149" t="s">
        <v>6637</v>
      </c>
      <c r="M2144" s="151">
        <v>7200</v>
      </c>
    </row>
    <row r="2145" spans="1:13" s="149" customFormat="1" x14ac:dyDescent="0.25">
      <c r="A2145" s="149" t="s">
        <v>7639</v>
      </c>
      <c r="B2145" s="149" t="s">
        <v>6638</v>
      </c>
      <c r="C2145" s="149">
        <v>79</v>
      </c>
      <c r="D2145" s="149">
        <v>320</v>
      </c>
      <c r="E2145" s="149">
        <v>0</v>
      </c>
      <c r="F2145" s="149">
        <v>0</v>
      </c>
      <c r="G2145" s="149">
        <v>55251</v>
      </c>
      <c r="H2145" s="150" t="str">
        <f t="shared" si="99"/>
        <v>5</v>
      </c>
      <c r="I2145" s="150" t="str">
        <f t="shared" si="100"/>
        <v>55</v>
      </c>
      <c r="J2145" s="150" t="str">
        <f t="shared" si="101"/>
        <v>552</v>
      </c>
      <c r="K2145" s="150" t="s">
        <v>9886</v>
      </c>
      <c r="L2145" s="149" t="s">
        <v>6639</v>
      </c>
      <c r="M2145" s="151">
        <v>2000</v>
      </c>
    </row>
    <row r="2146" spans="1:13" s="149" customFormat="1" x14ac:dyDescent="0.25">
      <c r="A2146" s="149" t="s">
        <v>7639</v>
      </c>
      <c r="B2146" s="149" t="s">
        <v>6640</v>
      </c>
      <c r="C2146" s="149">
        <v>79</v>
      </c>
      <c r="D2146" s="149">
        <v>320</v>
      </c>
      <c r="E2146" s="149">
        <v>0</v>
      </c>
      <c r="F2146" s="149">
        <v>0</v>
      </c>
      <c r="G2146" s="149">
        <v>55252</v>
      </c>
      <c r="H2146" s="150" t="str">
        <f t="shared" si="99"/>
        <v>5</v>
      </c>
      <c r="I2146" s="150" t="str">
        <f t="shared" si="100"/>
        <v>55</v>
      </c>
      <c r="J2146" s="150" t="str">
        <f t="shared" si="101"/>
        <v>552</v>
      </c>
      <c r="K2146" s="150" t="s">
        <v>9887</v>
      </c>
      <c r="L2146" s="149" t="s">
        <v>6641</v>
      </c>
      <c r="M2146" s="151">
        <v>1000</v>
      </c>
    </row>
    <row r="2147" spans="1:13" s="149" customFormat="1" x14ac:dyDescent="0.25">
      <c r="A2147" s="149" t="s">
        <v>7639</v>
      </c>
      <c r="B2147" s="149" t="s">
        <v>6642</v>
      </c>
      <c r="C2147" s="149">
        <v>79</v>
      </c>
      <c r="D2147" s="149">
        <v>320</v>
      </c>
      <c r="E2147" s="149">
        <v>0</v>
      </c>
      <c r="F2147" s="149">
        <v>0</v>
      </c>
      <c r="G2147" s="149">
        <v>55253</v>
      </c>
      <c r="H2147" s="150" t="str">
        <f t="shared" si="99"/>
        <v>5</v>
      </c>
      <c r="I2147" s="150" t="str">
        <f t="shared" si="100"/>
        <v>55</v>
      </c>
      <c r="J2147" s="150" t="str">
        <f t="shared" si="101"/>
        <v>552</v>
      </c>
      <c r="K2147" s="150" t="s">
        <v>9888</v>
      </c>
      <c r="L2147" s="149" t="s">
        <v>6643</v>
      </c>
      <c r="M2147" s="151">
        <v>1000</v>
      </c>
    </row>
    <row r="2148" spans="1:13" s="149" customFormat="1" x14ac:dyDescent="0.25">
      <c r="A2148" s="149" t="s">
        <v>7639</v>
      </c>
      <c r="B2148" s="149" t="s">
        <v>6644</v>
      </c>
      <c r="C2148" s="149">
        <v>79</v>
      </c>
      <c r="D2148" s="149">
        <v>320</v>
      </c>
      <c r="E2148" s="149">
        <v>0</v>
      </c>
      <c r="F2148" s="149">
        <v>0</v>
      </c>
      <c r="G2148" s="149">
        <v>55254</v>
      </c>
      <c r="H2148" s="150" t="str">
        <f t="shared" si="99"/>
        <v>5</v>
      </c>
      <c r="I2148" s="150" t="str">
        <f t="shared" si="100"/>
        <v>55</v>
      </c>
      <c r="J2148" s="150" t="str">
        <f t="shared" si="101"/>
        <v>552</v>
      </c>
      <c r="K2148" s="150" t="s">
        <v>9889</v>
      </c>
      <c r="L2148" s="149" t="s">
        <v>6645</v>
      </c>
      <c r="M2148" s="151">
        <v>2000</v>
      </c>
    </row>
    <row r="2149" spans="1:13" s="149" customFormat="1" x14ac:dyDescent="0.25">
      <c r="A2149" s="149" t="s">
        <v>7639</v>
      </c>
      <c r="B2149" s="149" t="s">
        <v>6646</v>
      </c>
      <c r="C2149" s="149">
        <v>79</v>
      </c>
      <c r="D2149" s="149">
        <v>320</v>
      </c>
      <c r="E2149" s="149">
        <v>0</v>
      </c>
      <c r="F2149" s="149">
        <v>0</v>
      </c>
      <c r="G2149" s="149">
        <v>55255</v>
      </c>
      <c r="H2149" s="150" t="str">
        <f t="shared" si="99"/>
        <v>5</v>
      </c>
      <c r="I2149" s="150" t="str">
        <f t="shared" si="100"/>
        <v>55</v>
      </c>
      <c r="J2149" s="150" t="str">
        <f t="shared" si="101"/>
        <v>552</v>
      </c>
      <c r="K2149" s="150" t="s">
        <v>9890</v>
      </c>
      <c r="L2149" s="149" t="s">
        <v>6647</v>
      </c>
      <c r="M2149" s="151">
        <v>1500</v>
      </c>
    </row>
    <row r="2150" spans="1:13" s="149" customFormat="1" x14ac:dyDescent="0.25">
      <c r="A2150" s="149" t="s">
        <v>7639</v>
      </c>
      <c r="B2150" s="149" t="s">
        <v>6648</v>
      </c>
      <c r="C2150" s="149">
        <v>79</v>
      </c>
      <c r="D2150" s="149">
        <v>320</v>
      </c>
      <c r="E2150" s="149">
        <v>0</v>
      </c>
      <c r="F2150" s="149">
        <v>0</v>
      </c>
      <c r="G2150" s="149">
        <v>55256</v>
      </c>
      <c r="H2150" s="150" t="str">
        <f t="shared" si="99"/>
        <v>5</v>
      </c>
      <c r="I2150" s="150" t="str">
        <f t="shared" si="100"/>
        <v>55</v>
      </c>
      <c r="J2150" s="150" t="str">
        <f t="shared" si="101"/>
        <v>552</v>
      </c>
      <c r="K2150" s="150" t="s">
        <v>9891</v>
      </c>
      <c r="L2150" s="149" t="s">
        <v>6649</v>
      </c>
      <c r="M2150" s="151">
        <v>1300</v>
      </c>
    </row>
    <row r="2151" spans="1:13" s="149" customFormat="1" x14ac:dyDescent="0.25">
      <c r="A2151" s="149" t="s">
        <v>7639</v>
      </c>
      <c r="B2151" s="149" t="s">
        <v>6650</v>
      </c>
      <c r="C2151" s="149">
        <v>79</v>
      </c>
      <c r="D2151" s="149">
        <v>320</v>
      </c>
      <c r="E2151" s="149">
        <v>0</v>
      </c>
      <c r="F2151" s="149">
        <v>0</v>
      </c>
      <c r="G2151" s="149">
        <v>55257</v>
      </c>
      <c r="H2151" s="150" t="str">
        <f t="shared" si="99"/>
        <v>5</v>
      </c>
      <c r="I2151" s="150" t="str">
        <f t="shared" si="100"/>
        <v>55</v>
      </c>
      <c r="J2151" s="150" t="str">
        <f t="shared" si="101"/>
        <v>552</v>
      </c>
      <c r="K2151" s="150" t="s">
        <v>9892</v>
      </c>
      <c r="L2151" s="149" t="s">
        <v>6651</v>
      </c>
      <c r="M2151" s="151">
        <v>1000</v>
      </c>
    </row>
    <row r="2152" spans="1:13" s="149" customFormat="1" x14ac:dyDescent="0.25">
      <c r="A2152" s="149" t="s">
        <v>7639</v>
      </c>
      <c r="B2152" s="149" t="s">
        <v>6652</v>
      </c>
      <c r="C2152" s="149">
        <v>79</v>
      </c>
      <c r="D2152" s="149">
        <v>320</v>
      </c>
      <c r="E2152" s="149">
        <v>0</v>
      </c>
      <c r="F2152" s="149">
        <v>0</v>
      </c>
      <c r="G2152" s="149">
        <v>55258</v>
      </c>
      <c r="H2152" s="150" t="str">
        <f t="shared" si="99"/>
        <v>5</v>
      </c>
      <c r="I2152" s="150" t="str">
        <f t="shared" si="100"/>
        <v>55</v>
      </c>
      <c r="J2152" s="150" t="str">
        <f t="shared" si="101"/>
        <v>552</v>
      </c>
      <c r="K2152" s="150" t="s">
        <v>9893</v>
      </c>
      <c r="L2152" s="149" t="s">
        <v>6653</v>
      </c>
      <c r="M2152" s="151">
        <v>1000</v>
      </c>
    </row>
    <row r="2153" spans="1:13" s="149" customFormat="1" x14ac:dyDescent="0.25">
      <c r="A2153" s="149" t="s">
        <v>7639</v>
      </c>
      <c r="B2153" s="149" t="s">
        <v>6654</v>
      </c>
      <c r="C2153" s="149">
        <v>79</v>
      </c>
      <c r="D2153" s="149">
        <v>320</v>
      </c>
      <c r="E2153" s="149">
        <v>0</v>
      </c>
      <c r="F2153" s="149">
        <v>0</v>
      </c>
      <c r="G2153" s="149">
        <v>55261</v>
      </c>
      <c r="H2153" s="150" t="str">
        <f t="shared" si="99"/>
        <v>5</v>
      </c>
      <c r="I2153" s="150" t="str">
        <f t="shared" si="100"/>
        <v>55</v>
      </c>
      <c r="J2153" s="150" t="str">
        <f t="shared" si="101"/>
        <v>552</v>
      </c>
      <c r="K2153" s="150" t="s">
        <v>9894</v>
      </c>
      <c r="L2153" s="149" t="s">
        <v>6655</v>
      </c>
      <c r="M2153" s="151">
        <v>3800</v>
      </c>
    </row>
    <row r="2154" spans="1:13" s="149" customFormat="1" x14ac:dyDescent="0.25">
      <c r="A2154" s="149" t="s">
        <v>7639</v>
      </c>
      <c r="B2154" s="149" t="s">
        <v>6656</v>
      </c>
      <c r="C2154" s="149">
        <v>79</v>
      </c>
      <c r="D2154" s="149">
        <v>320</v>
      </c>
      <c r="E2154" s="149">
        <v>0</v>
      </c>
      <c r="F2154" s="149">
        <v>0</v>
      </c>
      <c r="G2154" s="149">
        <v>55262</v>
      </c>
      <c r="H2154" s="150" t="str">
        <f t="shared" si="99"/>
        <v>5</v>
      </c>
      <c r="I2154" s="150" t="str">
        <f t="shared" si="100"/>
        <v>55</v>
      </c>
      <c r="J2154" s="150" t="str">
        <f t="shared" si="101"/>
        <v>552</v>
      </c>
      <c r="K2154" s="150" t="s">
        <v>9895</v>
      </c>
      <c r="L2154" s="149" t="s">
        <v>6657</v>
      </c>
      <c r="M2154" s="151">
        <v>1000</v>
      </c>
    </row>
    <row r="2155" spans="1:13" s="149" customFormat="1" x14ac:dyDescent="0.25">
      <c r="A2155" s="149" t="s">
        <v>7639</v>
      </c>
      <c r="B2155" s="149" t="s">
        <v>6658</v>
      </c>
      <c r="C2155" s="149">
        <v>79</v>
      </c>
      <c r="D2155" s="149">
        <v>320</v>
      </c>
      <c r="E2155" s="149">
        <v>0</v>
      </c>
      <c r="F2155" s="149">
        <v>0</v>
      </c>
      <c r="G2155" s="149">
        <v>55264</v>
      </c>
      <c r="H2155" s="150" t="str">
        <f t="shared" si="99"/>
        <v>5</v>
      </c>
      <c r="I2155" s="150" t="str">
        <f t="shared" si="100"/>
        <v>55</v>
      </c>
      <c r="J2155" s="150" t="str">
        <f t="shared" si="101"/>
        <v>552</v>
      </c>
      <c r="K2155" s="150" t="s">
        <v>9896</v>
      </c>
      <c r="L2155" s="149" t="s">
        <v>6659</v>
      </c>
      <c r="M2155" s="151">
        <v>2500</v>
      </c>
    </row>
    <row r="2156" spans="1:13" s="149" customFormat="1" x14ac:dyDescent="0.25">
      <c r="A2156" s="149" t="s">
        <v>7639</v>
      </c>
      <c r="B2156" s="149" t="s">
        <v>6660</v>
      </c>
      <c r="C2156" s="149">
        <v>79</v>
      </c>
      <c r="D2156" s="149">
        <v>320</v>
      </c>
      <c r="E2156" s="149">
        <v>0</v>
      </c>
      <c r="F2156" s="149">
        <v>0</v>
      </c>
      <c r="G2156" s="149">
        <v>55800</v>
      </c>
      <c r="H2156" s="150" t="str">
        <f t="shared" si="99"/>
        <v>5</v>
      </c>
      <c r="I2156" s="150" t="str">
        <f t="shared" si="100"/>
        <v>55</v>
      </c>
      <c r="J2156" s="150" t="str">
        <f t="shared" si="101"/>
        <v>558</v>
      </c>
      <c r="K2156" s="150" t="s">
        <v>9897</v>
      </c>
      <c r="L2156" s="149" t="s">
        <v>6269</v>
      </c>
      <c r="M2156" s="151">
        <v>1000</v>
      </c>
    </row>
    <row r="2157" spans="1:13" s="149" customFormat="1" x14ac:dyDescent="0.25">
      <c r="A2157" s="149" t="s">
        <v>7639</v>
      </c>
      <c r="B2157" s="149" t="s">
        <v>6661</v>
      </c>
      <c r="C2157" s="149">
        <v>79</v>
      </c>
      <c r="D2157" s="149">
        <v>320</v>
      </c>
      <c r="E2157" s="149">
        <v>0</v>
      </c>
      <c r="F2157" s="149">
        <v>0</v>
      </c>
      <c r="G2157" s="149">
        <v>55861</v>
      </c>
      <c r="H2157" s="150" t="str">
        <f t="shared" si="99"/>
        <v>5</v>
      </c>
      <c r="I2157" s="150" t="str">
        <f t="shared" si="100"/>
        <v>55</v>
      </c>
      <c r="J2157" s="150" t="str">
        <f t="shared" si="101"/>
        <v>558</v>
      </c>
      <c r="K2157" s="150" t="s">
        <v>9898</v>
      </c>
      <c r="L2157" s="149" t="s">
        <v>6477</v>
      </c>
      <c r="M2157" s="151">
        <v>582</v>
      </c>
    </row>
    <row r="2158" spans="1:13" x14ac:dyDescent="0.25">
      <c r="A2158" s="148" t="s">
        <v>7641</v>
      </c>
      <c r="B2158" s="152" t="s">
        <v>615</v>
      </c>
      <c r="C2158" s="152">
        <v>11</v>
      </c>
      <c r="D2158" s="152">
        <v>150</v>
      </c>
      <c r="E2158" s="152">
        <v>0</v>
      </c>
      <c r="F2158" s="152">
        <v>663000</v>
      </c>
      <c r="G2158" s="152">
        <v>54300</v>
      </c>
      <c r="H2158" s="150" t="str">
        <f t="shared" si="99"/>
        <v>5</v>
      </c>
      <c r="I2158" s="150" t="str">
        <f t="shared" si="100"/>
        <v>54</v>
      </c>
      <c r="J2158" s="150" t="str">
        <f t="shared" si="101"/>
        <v>543</v>
      </c>
      <c r="K2158" s="150" t="s">
        <v>7919</v>
      </c>
      <c r="L2158" s="152" t="s">
        <v>616</v>
      </c>
      <c r="M2158" s="153">
        <v>1000</v>
      </c>
    </row>
    <row r="2159" spans="1:13" x14ac:dyDescent="0.25">
      <c r="A2159" s="148" t="s">
        <v>7641</v>
      </c>
      <c r="B2159" s="152" t="s">
        <v>617</v>
      </c>
      <c r="C2159" s="152">
        <v>11</v>
      </c>
      <c r="D2159" s="152">
        <v>150</v>
      </c>
      <c r="E2159" s="152">
        <v>0</v>
      </c>
      <c r="F2159" s="152">
        <v>663000</v>
      </c>
      <c r="G2159" s="152">
        <v>55200</v>
      </c>
      <c r="H2159" s="150" t="str">
        <f t="shared" si="99"/>
        <v>5</v>
      </c>
      <c r="I2159" s="150" t="str">
        <f t="shared" si="100"/>
        <v>55</v>
      </c>
      <c r="J2159" s="150" t="str">
        <f t="shared" si="101"/>
        <v>552</v>
      </c>
      <c r="K2159" s="150" t="s">
        <v>8042</v>
      </c>
      <c r="L2159" s="152" t="s">
        <v>618</v>
      </c>
      <c r="M2159" s="153">
        <v>6500</v>
      </c>
    </row>
    <row r="2160" spans="1:13" x14ac:dyDescent="0.25">
      <c r="A2160" s="148" t="s">
        <v>7641</v>
      </c>
      <c r="B2160" s="152" t="s">
        <v>619</v>
      </c>
      <c r="C2160" s="152">
        <v>11</v>
      </c>
      <c r="D2160" s="152">
        <v>150</v>
      </c>
      <c r="E2160" s="152">
        <v>0</v>
      </c>
      <c r="F2160" s="152">
        <v>663000</v>
      </c>
      <c r="G2160" s="152">
        <v>55300</v>
      </c>
      <c r="H2160" s="150" t="str">
        <f t="shared" si="99"/>
        <v>5</v>
      </c>
      <c r="I2160" s="150" t="str">
        <f t="shared" si="100"/>
        <v>55</v>
      </c>
      <c r="J2160" s="150" t="str">
        <f t="shared" si="101"/>
        <v>553</v>
      </c>
      <c r="K2160" s="150" t="s">
        <v>8082</v>
      </c>
      <c r="L2160" s="152" t="s">
        <v>620</v>
      </c>
      <c r="M2160" s="153">
        <v>700</v>
      </c>
    </row>
    <row r="2161" spans="1:13" x14ac:dyDescent="0.25">
      <c r="A2161" s="148" t="s">
        <v>7641</v>
      </c>
      <c r="B2161" s="152" t="s">
        <v>621</v>
      </c>
      <c r="C2161" s="152">
        <v>11</v>
      </c>
      <c r="D2161" s="152">
        <v>150</v>
      </c>
      <c r="E2161" s="152">
        <v>0</v>
      </c>
      <c r="F2161" s="152">
        <v>663000</v>
      </c>
      <c r="G2161" s="152">
        <v>55309</v>
      </c>
      <c r="H2161" s="150" t="str">
        <f t="shared" si="99"/>
        <v>5</v>
      </c>
      <c r="I2161" s="150" t="str">
        <f t="shared" si="100"/>
        <v>55</v>
      </c>
      <c r="J2161" s="150" t="str">
        <f t="shared" si="101"/>
        <v>553</v>
      </c>
      <c r="K2161" s="150" t="s">
        <v>8103</v>
      </c>
      <c r="L2161" s="152" t="s">
        <v>622</v>
      </c>
      <c r="M2161" s="153">
        <v>11000</v>
      </c>
    </row>
    <row r="2162" spans="1:13" x14ac:dyDescent="0.25">
      <c r="A2162" s="148" t="s">
        <v>7641</v>
      </c>
      <c r="B2162" s="152" t="s">
        <v>623</v>
      </c>
      <c r="C2162" s="152">
        <v>11</v>
      </c>
      <c r="D2162" s="152">
        <v>150</v>
      </c>
      <c r="E2162" s="152">
        <v>0</v>
      </c>
      <c r="F2162" s="152">
        <v>663000</v>
      </c>
      <c r="G2162" s="152">
        <v>55610</v>
      </c>
      <c r="H2162" s="150" t="str">
        <f t="shared" si="99"/>
        <v>5</v>
      </c>
      <c r="I2162" s="150" t="str">
        <f t="shared" si="100"/>
        <v>55</v>
      </c>
      <c r="J2162" s="150" t="str">
        <f t="shared" si="101"/>
        <v>556</v>
      </c>
      <c r="K2162" s="150" t="s">
        <v>8154</v>
      </c>
      <c r="L2162" s="152" t="s">
        <v>624</v>
      </c>
      <c r="M2162" s="153">
        <v>5000</v>
      </c>
    </row>
    <row r="2163" spans="1:13" x14ac:dyDescent="0.25">
      <c r="A2163" s="148" t="s">
        <v>7641</v>
      </c>
      <c r="B2163" s="152" t="s">
        <v>625</v>
      </c>
      <c r="C2163" s="152">
        <v>11</v>
      </c>
      <c r="D2163" s="152">
        <v>150</v>
      </c>
      <c r="E2163" s="152">
        <v>0</v>
      </c>
      <c r="F2163" s="152">
        <v>663000</v>
      </c>
      <c r="G2163" s="152">
        <v>55630</v>
      </c>
      <c r="H2163" s="150" t="str">
        <f t="shared" si="99"/>
        <v>5</v>
      </c>
      <c r="I2163" s="150" t="str">
        <f t="shared" si="100"/>
        <v>55</v>
      </c>
      <c r="J2163" s="150" t="str">
        <f t="shared" si="101"/>
        <v>556</v>
      </c>
      <c r="K2163" s="150" t="s">
        <v>8179</v>
      </c>
      <c r="L2163" s="152" t="s">
        <v>626</v>
      </c>
      <c r="M2163" s="153">
        <v>556</v>
      </c>
    </row>
    <row r="2164" spans="1:13" x14ac:dyDescent="0.25">
      <c r="A2164" s="148" t="s">
        <v>7641</v>
      </c>
      <c r="B2164" s="152" t="s">
        <v>62</v>
      </c>
      <c r="C2164" s="152">
        <v>11</v>
      </c>
      <c r="D2164" s="152">
        <v>100</v>
      </c>
      <c r="E2164" s="152">
        <v>0</v>
      </c>
      <c r="F2164" s="152">
        <v>661000</v>
      </c>
      <c r="G2164" s="152">
        <v>52300</v>
      </c>
      <c r="H2164" s="150" t="str">
        <f t="shared" si="99"/>
        <v>5</v>
      </c>
      <c r="I2164" s="150" t="str">
        <f t="shared" si="100"/>
        <v>52</v>
      </c>
      <c r="J2164" s="150" t="str">
        <f t="shared" si="101"/>
        <v>523</v>
      </c>
      <c r="K2164" s="150" t="s">
        <v>7806</v>
      </c>
      <c r="L2164" s="152" t="s">
        <v>63</v>
      </c>
      <c r="M2164" s="153">
        <v>3120</v>
      </c>
    </row>
    <row r="2165" spans="1:13" x14ac:dyDescent="0.25">
      <c r="A2165" s="148" t="s">
        <v>7641</v>
      </c>
      <c r="B2165" s="154" t="s">
        <v>78</v>
      </c>
      <c r="C2165" s="154">
        <v>11</v>
      </c>
      <c r="D2165" s="154">
        <v>100</v>
      </c>
      <c r="E2165" s="154">
        <v>0</v>
      </c>
      <c r="F2165" s="154">
        <v>661000</v>
      </c>
      <c r="G2165" s="154">
        <v>53902</v>
      </c>
      <c r="H2165" s="150" t="str">
        <f t="shared" si="99"/>
        <v>5</v>
      </c>
      <c r="I2165" s="150" t="str">
        <f t="shared" si="100"/>
        <v>53</v>
      </c>
      <c r="J2165" s="150" t="str">
        <f t="shared" si="101"/>
        <v>539</v>
      </c>
      <c r="K2165" s="150" t="s">
        <v>7904</v>
      </c>
      <c r="L2165" s="154" t="s">
        <v>79</v>
      </c>
      <c r="M2165" s="153">
        <v>1234</v>
      </c>
    </row>
    <row r="2166" spans="1:13" x14ac:dyDescent="0.25">
      <c r="A2166" s="148" t="s">
        <v>7641</v>
      </c>
      <c r="B2166" s="152" t="s">
        <v>82</v>
      </c>
      <c r="C2166" s="152">
        <v>11</v>
      </c>
      <c r="D2166" s="152">
        <v>100</v>
      </c>
      <c r="E2166" s="152">
        <v>0</v>
      </c>
      <c r="F2166" s="152">
        <v>661000</v>
      </c>
      <c r="G2166" s="152">
        <v>54210</v>
      </c>
      <c r="H2166" s="150" t="str">
        <f t="shared" si="99"/>
        <v>5</v>
      </c>
      <c r="I2166" s="150" t="str">
        <f t="shared" si="100"/>
        <v>54</v>
      </c>
      <c r="J2166" s="150" t="str">
        <f t="shared" si="101"/>
        <v>542</v>
      </c>
      <c r="K2166" s="150" t="s">
        <v>7909</v>
      </c>
      <c r="L2166" s="152" t="s">
        <v>83</v>
      </c>
      <c r="M2166" s="153">
        <v>5000</v>
      </c>
    </row>
    <row r="2167" spans="1:13" x14ac:dyDescent="0.25">
      <c r="A2167" s="148" t="s">
        <v>7641</v>
      </c>
      <c r="B2167" s="152" t="s">
        <v>84</v>
      </c>
      <c r="C2167" s="152">
        <v>11</v>
      </c>
      <c r="D2167" s="152">
        <v>100</v>
      </c>
      <c r="E2167" s="152">
        <v>0</v>
      </c>
      <c r="F2167" s="152">
        <v>661000</v>
      </c>
      <c r="G2167" s="152">
        <v>54300</v>
      </c>
      <c r="H2167" s="150" t="str">
        <f t="shared" si="99"/>
        <v>5</v>
      </c>
      <c r="I2167" s="150" t="str">
        <f t="shared" si="100"/>
        <v>54</v>
      </c>
      <c r="J2167" s="150" t="str">
        <f t="shared" si="101"/>
        <v>543</v>
      </c>
      <c r="K2167" s="150" t="s">
        <v>7915</v>
      </c>
      <c r="L2167" s="152" t="s">
        <v>85</v>
      </c>
      <c r="M2167" s="153">
        <v>4000</v>
      </c>
    </row>
    <row r="2168" spans="1:13" x14ac:dyDescent="0.25">
      <c r="A2168" s="148" t="s">
        <v>7641</v>
      </c>
      <c r="B2168" s="152" t="s">
        <v>86</v>
      </c>
      <c r="C2168" s="152">
        <v>11</v>
      </c>
      <c r="D2168" s="152">
        <v>100</v>
      </c>
      <c r="E2168" s="152">
        <v>0</v>
      </c>
      <c r="F2168" s="152">
        <v>661000</v>
      </c>
      <c r="G2168" s="152">
        <v>55100</v>
      </c>
      <c r="H2168" s="150" t="str">
        <f t="shared" si="99"/>
        <v>5</v>
      </c>
      <c r="I2168" s="150" t="str">
        <f t="shared" si="100"/>
        <v>55</v>
      </c>
      <c r="J2168" s="150" t="str">
        <f t="shared" si="101"/>
        <v>551</v>
      </c>
      <c r="K2168" s="150" t="s">
        <v>7995</v>
      </c>
      <c r="L2168" s="152" t="s">
        <v>87</v>
      </c>
      <c r="M2168" s="153">
        <v>12000</v>
      </c>
    </row>
    <row r="2169" spans="1:13" x14ac:dyDescent="0.25">
      <c r="A2169" s="148" t="s">
        <v>7641</v>
      </c>
      <c r="B2169" s="152" t="s">
        <v>88</v>
      </c>
      <c r="C2169" s="152">
        <v>11</v>
      </c>
      <c r="D2169" s="152">
        <v>100</v>
      </c>
      <c r="E2169" s="152">
        <v>0</v>
      </c>
      <c r="F2169" s="152">
        <v>661000</v>
      </c>
      <c r="G2169" s="152">
        <v>55105</v>
      </c>
      <c r="H2169" s="150" t="str">
        <f t="shared" si="99"/>
        <v>5</v>
      </c>
      <c r="I2169" s="150" t="str">
        <f t="shared" si="100"/>
        <v>55</v>
      </c>
      <c r="J2169" s="150" t="str">
        <f t="shared" si="101"/>
        <v>551</v>
      </c>
      <c r="K2169" s="150" t="s">
        <v>8001</v>
      </c>
      <c r="L2169" s="152" t="s">
        <v>89</v>
      </c>
      <c r="M2169" s="155">
        <v>75000</v>
      </c>
    </row>
    <row r="2170" spans="1:13" x14ac:dyDescent="0.25">
      <c r="A2170" s="148" t="s">
        <v>7641</v>
      </c>
      <c r="B2170" s="152" t="s">
        <v>90</v>
      </c>
      <c r="C2170" s="152">
        <v>11</v>
      </c>
      <c r="D2170" s="152">
        <v>100</v>
      </c>
      <c r="E2170" s="152">
        <v>0</v>
      </c>
      <c r="F2170" s="152">
        <v>661000</v>
      </c>
      <c r="G2170" s="152">
        <v>55200</v>
      </c>
      <c r="H2170" s="150" t="str">
        <f t="shared" si="99"/>
        <v>5</v>
      </c>
      <c r="I2170" s="150" t="str">
        <f t="shared" si="100"/>
        <v>55</v>
      </c>
      <c r="J2170" s="150" t="str">
        <f t="shared" si="101"/>
        <v>552</v>
      </c>
      <c r="K2170" s="150" t="s">
        <v>8036</v>
      </c>
      <c r="L2170" s="152" t="s">
        <v>91</v>
      </c>
      <c r="M2170" s="153">
        <v>11000</v>
      </c>
    </row>
    <row r="2171" spans="1:13" x14ac:dyDescent="0.25">
      <c r="A2171" s="148" t="s">
        <v>7641</v>
      </c>
      <c r="B2171" s="152" t="s">
        <v>92</v>
      </c>
      <c r="C2171" s="152">
        <v>11</v>
      </c>
      <c r="D2171" s="152">
        <v>100</v>
      </c>
      <c r="E2171" s="152">
        <v>0</v>
      </c>
      <c r="F2171" s="152">
        <v>661000</v>
      </c>
      <c r="G2171" s="152">
        <v>55300</v>
      </c>
      <c r="H2171" s="150" t="str">
        <f t="shared" si="99"/>
        <v>5</v>
      </c>
      <c r="I2171" s="150" t="str">
        <f t="shared" si="100"/>
        <v>55</v>
      </c>
      <c r="J2171" s="150" t="str">
        <f t="shared" si="101"/>
        <v>553</v>
      </c>
      <c r="K2171" s="150" t="s">
        <v>8077</v>
      </c>
      <c r="L2171" s="152" t="s">
        <v>93</v>
      </c>
      <c r="M2171" s="153">
        <v>92000</v>
      </c>
    </row>
    <row r="2172" spans="1:13" x14ac:dyDescent="0.25">
      <c r="A2172" s="148" t="s">
        <v>7641</v>
      </c>
      <c r="B2172" s="152" t="s">
        <v>94</v>
      </c>
      <c r="C2172" s="152">
        <v>11</v>
      </c>
      <c r="D2172" s="152">
        <v>100</v>
      </c>
      <c r="E2172" s="152">
        <v>0</v>
      </c>
      <c r="F2172" s="152">
        <v>661000</v>
      </c>
      <c r="G2172" s="152">
        <v>55550</v>
      </c>
      <c r="H2172" s="150" t="str">
        <f t="shared" si="99"/>
        <v>5</v>
      </c>
      <c r="I2172" s="150" t="str">
        <f t="shared" si="100"/>
        <v>55</v>
      </c>
      <c r="J2172" s="150" t="str">
        <f t="shared" si="101"/>
        <v>555</v>
      </c>
      <c r="K2172" s="150" t="s">
        <v>8126</v>
      </c>
      <c r="L2172" s="152" t="s">
        <v>95</v>
      </c>
      <c r="M2172" s="153">
        <v>600</v>
      </c>
    </row>
    <row r="2173" spans="1:13" x14ac:dyDescent="0.25">
      <c r="A2173" s="148" t="s">
        <v>7641</v>
      </c>
      <c r="B2173" s="152" t="s">
        <v>96</v>
      </c>
      <c r="C2173" s="152">
        <v>11</v>
      </c>
      <c r="D2173" s="152">
        <v>100</v>
      </c>
      <c r="E2173" s="152">
        <v>0</v>
      </c>
      <c r="F2173" s="152">
        <v>661000</v>
      </c>
      <c r="G2173" s="152">
        <v>55560</v>
      </c>
      <c r="H2173" s="150" t="str">
        <f t="shared" si="99"/>
        <v>5</v>
      </c>
      <c r="I2173" s="150" t="str">
        <f t="shared" si="100"/>
        <v>55</v>
      </c>
      <c r="J2173" s="150" t="str">
        <f t="shared" si="101"/>
        <v>555</v>
      </c>
      <c r="K2173" s="150" t="s">
        <v>8134</v>
      </c>
      <c r="L2173" s="152" t="s">
        <v>97</v>
      </c>
      <c r="M2173" s="153">
        <v>450</v>
      </c>
    </row>
    <row r="2174" spans="1:13" x14ac:dyDescent="0.25">
      <c r="A2174" s="148" t="s">
        <v>7641</v>
      </c>
      <c r="B2174" s="152" t="s">
        <v>98</v>
      </c>
      <c r="C2174" s="152">
        <v>11</v>
      </c>
      <c r="D2174" s="152">
        <v>100</v>
      </c>
      <c r="E2174" s="152">
        <v>0</v>
      </c>
      <c r="F2174" s="152">
        <v>661000</v>
      </c>
      <c r="G2174" s="152">
        <v>55630</v>
      </c>
      <c r="H2174" s="150" t="str">
        <f t="shared" si="99"/>
        <v>5</v>
      </c>
      <c r="I2174" s="150" t="str">
        <f t="shared" si="100"/>
        <v>55</v>
      </c>
      <c r="J2174" s="150" t="str">
        <f t="shared" si="101"/>
        <v>556</v>
      </c>
      <c r="K2174" s="150" t="s">
        <v>8159</v>
      </c>
      <c r="L2174" s="152" t="s">
        <v>99</v>
      </c>
      <c r="M2174" s="153">
        <v>2200</v>
      </c>
    </row>
    <row r="2175" spans="1:13" x14ac:dyDescent="0.25">
      <c r="A2175" s="148" t="s">
        <v>7641</v>
      </c>
      <c r="B2175" s="152" t="s">
        <v>100</v>
      </c>
      <c r="C2175" s="152">
        <v>11</v>
      </c>
      <c r="D2175" s="152">
        <v>100</v>
      </c>
      <c r="E2175" s="152">
        <v>0</v>
      </c>
      <c r="F2175" s="152">
        <v>661000</v>
      </c>
      <c r="G2175" s="152">
        <v>55635</v>
      </c>
      <c r="H2175" s="150" t="str">
        <f t="shared" si="99"/>
        <v>5</v>
      </c>
      <c r="I2175" s="150" t="str">
        <f t="shared" si="100"/>
        <v>55</v>
      </c>
      <c r="J2175" s="150" t="str">
        <f t="shared" si="101"/>
        <v>556</v>
      </c>
      <c r="K2175" s="150" t="s">
        <v>8275</v>
      </c>
      <c r="L2175" s="152" t="s">
        <v>101</v>
      </c>
      <c r="M2175" s="153">
        <v>1500</v>
      </c>
    </row>
    <row r="2176" spans="1:13" x14ac:dyDescent="0.25">
      <c r="A2176" s="148" t="s">
        <v>7641</v>
      </c>
      <c r="B2176" s="152" t="s">
        <v>102</v>
      </c>
      <c r="C2176" s="152">
        <v>11</v>
      </c>
      <c r="D2176" s="152">
        <v>100</v>
      </c>
      <c r="E2176" s="152">
        <v>0</v>
      </c>
      <c r="F2176" s="152">
        <v>661000</v>
      </c>
      <c r="G2176" s="152">
        <v>55800</v>
      </c>
      <c r="H2176" s="150" t="str">
        <f t="shared" si="99"/>
        <v>5</v>
      </c>
      <c r="I2176" s="150" t="str">
        <f t="shared" si="100"/>
        <v>55</v>
      </c>
      <c r="J2176" s="150" t="str">
        <f t="shared" si="101"/>
        <v>558</v>
      </c>
      <c r="K2176" s="150" t="s">
        <v>8331</v>
      </c>
      <c r="L2176" s="152" t="s">
        <v>103</v>
      </c>
      <c r="M2176" s="153">
        <v>10900</v>
      </c>
    </row>
    <row r="2177" spans="1:13" x14ac:dyDescent="0.25">
      <c r="A2177" s="148" t="s">
        <v>7641</v>
      </c>
      <c r="B2177" s="152" t="s">
        <v>104</v>
      </c>
      <c r="C2177" s="152">
        <v>11</v>
      </c>
      <c r="D2177" s="152">
        <v>100</v>
      </c>
      <c r="E2177" s="152">
        <v>0</v>
      </c>
      <c r="F2177" s="152">
        <v>661100</v>
      </c>
      <c r="G2177" s="152">
        <v>55300</v>
      </c>
      <c r="H2177" s="150" t="str">
        <f t="shared" si="99"/>
        <v>5</v>
      </c>
      <c r="I2177" s="150" t="str">
        <f t="shared" si="100"/>
        <v>55</v>
      </c>
      <c r="J2177" s="150" t="str">
        <f t="shared" si="101"/>
        <v>553</v>
      </c>
      <c r="K2177" s="150" t="s">
        <v>8078</v>
      </c>
      <c r="L2177" s="152" t="s">
        <v>105</v>
      </c>
      <c r="M2177" s="153">
        <v>800</v>
      </c>
    </row>
    <row r="2178" spans="1:13" x14ac:dyDescent="0.25">
      <c r="A2178" s="148" t="s">
        <v>7641</v>
      </c>
      <c r="B2178" s="152" t="s">
        <v>122</v>
      </c>
      <c r="C2178" s="152">
        <v>11</v>
      </c>
      <c r="D2178" s="152">
        <v>100</v>
      </c>
      <c r="E2178" s="152">
        <v>0</v>
      </c>
      <c r="F2178" s="152">
        <v>662000</v>
      </c>
      <c r="G2178" s="152">
        <v>54210</v>
      </c>
      <c r="H2178" s="150" t="str">
        <f t="shared" si="99"/>
        <v>5</v>
      </c>
      <c r="I2178" s="150" t="str">
        <f t="shared" si="100"/>
        <v>54</v>
      </c>
      <c r="J2178" s="150" t="str">
        <f t="shared" si="101"/>
        <v>542</v>
      </c>
      <c r="K2178" s="150" t="s">
        <v>7910</v>
      </c>
      <c r="L2178" s="152" t="s">
        <v>123</v>
      </c>
      <c r="M2178" s="153">
        <v>4800</v>
      </c>
    </row>
    <row r="2179" spans="1:13" x14ac:dyDescent="0.25">
      <c r="A2179" s="148" t="s">
        <v>7641</v>
      </c>
      <c r="B2179" s="152" t="s">
        <v>124</v>
      </c>
      <c r="C2179" s="152">
        <v>11</v>
      </c>
      <c r="D2179" s="152">
        <v>100</v>
      </c>
      <c r="E2179" s="152">
        <v>0</v>
      </c>
      <c r="F2179" s="152">
        <v>662000</v>
      </c>
      <c r="G2179" s="152">
        <v>54300</v>
      </c>
      <c r="H2179" s="150" t="str">
        <f t="shared" ref="H2179:H2242" si="102">LEFT(G2179,1)</f>
        <v>5</v>
      </c>
      <c r="I2179" s="150" t="str">
        <f t="shared" ref="I2179:I2242" si="103">LEFT(G2179,2)</f>
        <v>54</v>
      </c>
      <c r="J2179" s="150" t="str">
        <f t="shared" ref="J2179:J2242" si="104">LEFT(G2179,3)</f>
        <v>543</v>
      </c>
      <c r="K2179" s="150" t="s">
        <v>7916</v>
      </c>
      <c r="L2179" s="152" t="s">
        <v>125</v>
      </c>
      <c r="M2179" s="153">
        <v>610</v>
      </c>
    </row>
    <row r="2180" spans="1:13" x14ac:dyDescent="0.25">
      <c r="A2180" s="148" t="s">
        <v>7641</v>
      </c>
      <c r="B2180" s="152" t="s">
        <v>126</v>
      </c>
      <c r="C2180" s="152">
        <v>11</v>
      </c>
      <c r="D2180" s="152">
        <v>100</v>
      </c>
      <c r="E2180" s="152">
        <v>0</v>
      </c>
      <c r="F2180" s="152">
        <v>662000</v>
      </c>
      <c r="G2180" s="152">
        <v>55200</v>
      </c>
      <c r="H2180" s="150" t="str">
        <f t="shared" si="102"/>
        <v>5</v>
      </c>
      <c r="I2180" s="150" t="str">
        <f t="shared" si="103"/>
        <v>55</v>
      </c>
      <c r="J2180" s="150" t="str">
        <f t="shared" si="104"/>
        <v>552</v>
      </c>
      <c r="K2180" s="150" t="s">
        <v>8037</v>
      </c>
      <c r="L2180" s="152" t="s">
        <v>127</v>
      </c>
      <c r="M2180" s="155">
        <v>35000</v>
      </c>
    </row>
    <row r="2181" spans="1:13" x14ac:dyDescent="0.25">
      <c r="A2181" s="148" t="s">
        <v>7641</v>
      </c>
      <c r="B2181" s="152" t="s">
        <v>128</v>
      </c>
      <c r="C2181" s="152">
        <v>11</v>
      </c>
      <c r="D2181" s="152">
        <v>100</v>
      </c>
      <c r="E2181" s="152">
        <v>0</v>
      </c>
      <c r="F2181" s="152">
        <v>662000</v>
      </c>
      <c r="G2181" s="152">
        <v>55300</v>
      </c>
      <c r="H2181" s="150" t="str">
        <f t="shared" si="102"/>
        <v>5</v>
      </c>
      <c r="I2181" s="150" t="str">
        <f t="shared" si="103"/>
        <v>55</v>
      </c>
      <c r="J2181" s="150" t="str">
        <f t="shared" si="104"/>
        <v>553</v>
      </c>
      <c r="K2181" s="150" t="s">
        <v>8079</v>
      </c>
      <c r="L2181" s="152" t="s">
        <v>129</v>
      </c>
      <c r="M2181" s="153">
        <v>600</v>
      </c>
    </row>
    <row r="2182" spans="1:13" x14ac:dyDescent="0.25">
      <c r="A2182" s="148" t="s">
        <v>7641</v>
      </c>
      <c r="B2182" s="152" t="s">
        <v>130</v>
      </c>
      <c r="C2182" s="152">
        <v>11</v>
      </c>
      <c r="D2182" s="152">
        <v>100</v>
      </c>
      <c r="E2182" s="152">
        <v>0</v>
      </c>
      <c r="F2182" s="152">
        <v>662000</v>
      </c>
      <c r="G2182" s="152">
        <v>55710</v>
      </c>
      <c r="H2182" s="150" t="str">
        <f t="shared" si="102"/>
        <v>5</v>
      </c>
      <c r="I2182" s="150" t="str">
        <f t="shared" si="103"/>
        <v>55</v>
      </c>
      <c r="J2182" s="150" t="str">
        <f t="shared" si="104"/>
        <v>557</v>
      </c>
      <c r="K2182" s="150" t="s">
        <v>8330</v>
      </c>
      <c r="L2182" s="152" t="s">
        <v>131</v>
      </c>
      <c r="M2182" s="153">
        <v>0</v>
      </c>
    </row>
    <row r="2183" spans="1:13" x14ac:dyDescent="0.25">
      <c r="A2183" s="148" t="s">
        <v>7641</v>
      </c>
      <c r="B2183" s="152" t="s">
        <v>132</v>
      </c>
      <c r="C2183" s="152">
        <v>11</v>
      </c>
      <c r="D2183" s="152">
        <v>100</v>
      </c>
      <c r="E2183" s="152">
        <v>0</v>
      </c>
      <c r="F2183" s="152">
        <v>662000</v>
      </c>
      <c r="G2183" s="152">
        <v>55800</v>
      </c>
      <c r="H2183" s="150" t="str">
        <f t="shared" si="102"/>
        <v>5</v>
      </c>
      <c r="I2183" s="150" t="str">
        <f t="shared" si="103"/>
        <v>55</v>
      </c>
      <c r="J2183" s="150" t="str">
        <f t="shared" si="104"/>
        <v>558</v>
      </c>
      <c r="K2183" s="150" t="s">
        <v>8332</v>
      </c>
      <c r="L2183" s="152" t="s">
        <v>133</v>
      </c>
      <c r="M2183" s="153">
        <v>1000</v>
      </c>
    </row>
    <row r="2184" spans="1:13" x14ac:dyDescent="0.25">
      <c r="A2184" s="148" t="s">
        <v>7641</v>
      </c>
      <c r="B2184" s="152" t="s">
        <v>134</v>
      </c>
      <c r="C2184" s="152">
        <v>11</v>
      </c>
      <c r="D2184" s="152">
        <v>100</v>
      </c>
      <c r="E2184" s="152">
        <v>0</v>
      </c>
      <c r="F2184" s="152">
        <v>662000</v>
      </c>
      <c r="G2184" s="152">
        <v>57552</v>
      </c>
      <c r="H2184" s="150" t="str">
        <f t="shared" si="102"/>
        <v>5</v>
      </c>
      <c r="I2184" s="150" t="str">
        <f t="shared" si="103"/>
        <v>57</v>
      </c>
      <c r="J2184" s="150" t="str">
        <f t="shared" si="104"/>
        <v>575</v>
      </c>
      <c r="K2184" s="150" t="s">
        <v>8393</v>
      </c>
      <c r="L2184" s="152" t="s">
        <v>135</v>
      </c>
      <c r="M2184" s="155">
        <v>5000</v>
      </c>
    </row>
    <row r="2185" spans="1:13" x14ac:dyDescent="0.25">
      <c r="A2185" s="148" t="s">
        <v>7641</v>
      </c>
      <c r="B2185" s="152" t="s">
        <v>136</v>
      </c>
      <c r="C2185" s="152">
        <v>11</v>
      </c>
      <c r="D2185" s="152">
        <v>100</v>
      </c>
      <c r="E2185" s="152">
        <v>0</v>
      </c>
      <c r="F2185" s="152">
        <v>671020</v>
      </c>
      <c r="G2185" s="152">
        <v>55105</v>
      </c>
      <c r="H2185" s="150" t="str">
        <f t="shared" si="102"/>
        <v>5</v>
      </c>
      <c r="I2185" s="150" t="str">
        <f t="shared" si="103"/>
        <v>55</v>
      </c>
      <c r="J2185" s="150" t="str">
        <f t="shared" si="104"/>
        <v>551</v>
      </c>
      <c r="K2185" s="150" t="s">
        <v>8002</v>
      </c>
      <c r="L2185" s="152" t="s">
        <v>137</v>
      </c>
      <c r="M2185" s="153">
        <v>0</v>
      </c>
    </row>
    <row r="2186" spans="1:13" x14ac:dyDescent="0.25">
      <c r="A2186" s="148" t="s">
        <v>7641</v>
      </c>
      <c r="B2186" s="152" t="s">
        <v>138</v>
      </c>
      <c r="C2186" s="152">
        <v>11</v>
      </c>
      <c r="D2186" s="152">
        <v>100</v>
      </c>
      <c r="E2186" s="152">
        <v>0</v>
      </c>
      <c r="F2186" s="152">
        <v>675020</v>
      </c>
      <c r="G2186" s="152">
        <v>55200</v>
      </c>
      <c r="H2186" s="150" t="str">
        <f t="shared" si="102"/>
        <v>5</v>
      </c>
      <c r="I2186" s="150" t="str">
        <f t="shared" si="103"/>
        <v>55</v>
      </c>
      <c r="J2186" s="150" t="str">
        <f t="shared" si="104"/>
        <v>552</v>
      </c>
      <c r="K2186" s="150" t="s">
        <v>8038</v>
      </c>
      <c r="L2186" s="152" t="s">
        <v>139</v>
      </c>
      <c r="M2186" s="155">
        <v>15000</v>
      </c>
    </row>
    <row r="2187" spans="1:13" x14ac:dyDescent="0.25">
      <c r="A2187" s="148" t="s">
        <v>7641</v>
      </c>
      <c r="B2187" s="152" t="s">
        <v>140</v>
      </c>
      <c r="C2187" s="152">
        <v>11</v>
      </c>
      <c r="D2187" s="152">
        <v>100</v>
      </c>
      <c r="E2187" s="152">
        <v>0</v>
      </c>
      <c r="F2187" s="152">
        <v>675020</v>
      </c>
      <c r="G2187" s="152">
        <v>55300</v>
      </c>
      <c r="H2187" s="150" t="str">
        <f t="shared" si="102"/>
        <v>5</v>
      </c>
      <c r="I2187" s="150" t="str">
        <f t="shared" si="103"/>
        <v>55</v>
      </c>
      <c r="J2187" s="150" t="str">
        <f t="shared" si="104"/>
        <v>553</v>
      </c>
      <c r="K2187" s="150" t="s">
        <v>8080</v>
      </c>
      <c r="L2187" s="152" t="s">
        <v>141</v>
      </c>
      <c r="M2187" s="153">
        <v>3000</v>
      </c>
    </row>
    <row r="2188" spans="1:13" x14ac:dyDescent="0.25">
      <c r="A2188" s="148" t="s">
        <v>7641</v>
      </c>
      <c r="B2188" s="152" t="s">
        <v>142</v>
      </c>
      <c r="C2188" s="152">
        <v>11</v>
      </c>
      <c r="D2188" s="152">
        <v>100</v>
      </c>
      <c r="E2188" s="152">
        <v>0</v>
      </c>
      <c r="F2188" s="152">
        <v>675020</v>
      </c>
      <c r="G2188" s="152">
        <v>55630</v>
      </c>
      <c r="H2188" s="150" t="str">
        <f t="shared" si="102"/>
        <v>5</v>
      </c>
      <c r="I2188" s="150" t="str">
        <f t="shared" si="103"/>
        <v>55</v>
      </c>
      <c r="J2188" s="150" t="str">
        <f t="shared" si="104"/>
        <v>556</v>
      </c>
      <c r="K2188" s="150" t="s">
        <v>8160</v>
      </c>
      <c r="L2188" s="152" t="s">
        <v>143</v>
      </c>
      <c r="M2188" s="153">
        <v>350</v>
      </c>
    </row>
    <row r="2189" spans="1:13" x14ac:dyDescent="0.25">
      <c r="A2189" s="148" t="s">
        <v>7641</v>
      </c>
      <c r="B2189" s="152" t="s">
        <v>148</v>
      </c>
      <c r="C2189" s="152">
        <v>11</v>
      </c>
      <c r="D2189" s="152">
        <v>100</v>
      </c>
      <c r="E2189" s="152">
        <v>0</v>
      </c>
      <c r="F2189" s="152">
        <v>680500</v>
      </c>
      <c r="G2189" s="152">
        <v>52300</v>
      </c>
      <c r="H2189" s="150" t="str">
        <f t="shared" si="102"/>
        <v>5</v>
      </c>
      <c r="I2189" s="150" t="str">
        <f t="shared" si="103"/>
        <v>52</v>
      </c>
      <c r="J2189" s="150" t="str">
        <f t="shared" si="104"/>
        <v>523</v>
      </c>
      <c r="K2189" s="150" t="s">
        <v>7807</v>
      </c>
      <c r="L2189" s="152" t="s">
        <v>149</v>
      </c>
      <c r="M2189" s="153">
        <v>2340</v>
      </c>
    </row>
    <row r="2190" spans="1:13" x14ac:dyDescent="0.25">
      <c r="A2190" s="148" t="s">
        <v>7641</v>
      </c>
      <c r="B2190" s="154" t="s">
        <v>164</v>
      </c>
      <c r="C2190" s="154">
        <v>11</v>
      </c>
      <c r="D2190" s="154">
        <v>100</v>
      </c>
      <c r="E2190" s="154">
        <v>0</v>
      </c>
      <c r="F2190" s="154">
        <v>680500</v>
      </c>
      <c r="G2190" s="154">
        <v>53902</v>
      </c>
      <c r="H2190" s="150" t="str">
        <f t="shared" si="102"/>
        <v>5</v>
      </c>
      <c r="I2190" s="150" t="str">
        <f t="shared" si="103"/>
        <v>53</v>
      </c>
      <c r="J2190" s="150" t="str">
        <f t="shared" si="104"/>
        <v>539</v>
      </c>
      <c r="K2190" s="150" t="s">
        <v>7905</v>
      </c>
      <c r="L2190" s="154" t="s">
        <v>165</v>
      </c>
      <c r="M2190" s="153">
        <v>935</v>
      </c>
    </row>
    <row r="2191" spans="1:13" x14ac:dyDescent="0.25">
      <c r="A2191" s="148" t="s">
        <v>7641</v>
      </c>
      <c r="B2191" s="152" t="s">
        <v>168</v>
      </c>
      <c r="C2191" s="152">
        <v>11</v>
      </c>
      <c r="D2191" s="152">
        <v>100</v>
      </c>
      <c r="E2191" s="152">
        <v>0</v>
      </c>
      <c r="F2191" s="152">
        <v>680500</v>
      </c>
      <c r="G2191" s="152">
        <v>55550</v>
      </c>
      <c r="H2191" s="150" t="str">
        <f t="shared" si="102"/>
        <v>5</v>
      </c>
      <c r="I2191" s="150" t="str">
        <f t="shared" si="103"/>
        <v>55</v>
      </c>
      <c r="J2191" s="150" t="str">
        <f t="shared" si="104"/>
        <v>555</v>
      </c>
      <c r="K2191" s="150" t="s">
        <v>8127</v>
      </c>
      <c r="L2191" s="152" t="s">
        <v>169</v>
      </c>
      <c r="M2191" s="153">
        <v>307</v>
      </c>
    </row>
    <row r="2192" spans="1:13" x14ac:dyDescent="0.25">
      <c r="A2192" s="148" t="s">
        <v>7641</v>
      </c>
      <c r="B2192" s="152" t="s">
        <v>170</v>
      </c>
      <c r="C2192" s="152">
        <v>11</v>
      </c>
      <c r="D2192" s="152">
        <v>100</v>
      </c>
      <c r="E2192" s="152">
        <v>0</v>
      </c>
      <c r="F2192" s="152">
        <v>680500</v>
      </c>
      <c r="G2192" s="152">
        <v>55630</v>
      </c>
      <c r="H2192" s="150" t="str">
        <f t="shared" si="102"/>
        <v>5</v>
      </c>
      <c r="I2192" s="150" t="str">
        <f t="shared" si="103"/>
        <v>55</v>
      </c>
      <c r="J2192" s="150" t="str">
        <f t="shared" si="104"/>
        <v>556</v>
      </c>
      <c r="K2192" s="150" t="s">
        <v>8161</v>
      </c>
      <c r="L2192" s="152" t="s">
        <v>171</v>
      </c>
      <c r="M2192" s="153">
        <v>700</v>
      </c>
    </row>
    <row r="2193" spans="1:13" x14ac:dyDescent="0.25">
      <c r="A2193" s="148" t="s">
        <v>7641</v>
      </c>
      <c r="B2193" s="152" t="s">
        <v>190</v>
      </c>
      <c r="C2193" s="152">
        <v>11</v>
      </c>
      <c r="D2193" s="152">
        <v>100</v>
      </c>
      <c r="E2193" s="152">
        <v>0</v>
      </c>
      <c r="F2193" s="152">
        <v>682000</v>
      </c>
      <c r="G2193" s="152">
        <v>55630</v>
      </c>
      <c r="H2193" s="150" t="str">
        <f t="shared" si="102"/>
        <v>5</v>
      </c>
      <c r="I2193" s="150" t="str">
        <f t="shared" si="103"/>
        <v>55</v>
      </c>
      <c r="J2193" s="150" t="str">
        <f t="shared" si="104"/>
        <v>556</v>
      </c>
      <c r="K2193" s="150" t="s">
        <v>8162</v>
      </c>
      <c r="L2193" s="152" t="s">
        <v>191</v>
      </c>
      <c r="M2193" s="153">
        <v>222</v>
      </c>
    </row>
    <row r="2194" spans="1:13" x14ac:dyDescent="0.25">
      <c r="A2194" s="148" t="s">
        <v>7641</v>
      </c>
      <c r="B2194" s="152" t="s">
        <v>194</v>
      </c>
      <c r="C2194" s="152">
        <v>11</v>
      </c>
      <c r="D2194" s="152">
        <v>100</v>
      </c>
      <c r="E2194" s="152">
        <v>0</v>
      </c>
      <c r="F2194" s="152">
        <v>684000</v>
      </c>
      <c r="G2194" s="152">
        <v>52300</v>
      </c>
      <c r="H2194" s="150" t="str">
        <f t="shared" si="102"/>
        <v>5</v>
      </c>
      <c r="I2194" s="150" t="str">
        <f t="shared" si="103"/>
        <v>52</v>
      </c>
      <c r="J2194" s="150" t="str">
        <f t="shared" si="104"/>
        <v>523</v>
      </c>
      <c r="K2194" s="150" t="s">
        <v>7809</v>
      </c>
      <c r="L2194" s="152" t="s">
        <v>195</v>
      </c>
      <c r="M2194" s="153">
        <v>2340</v>
      </c>
    </row>
    <row r="2195" spans="1:13" x14ac:dyDescent="0.25">
      <c r="A2195" s="148" t="s">
        <v>7641</v>
      </c>
      <c r="B2195" s="154" t="s">
        <v>210</v>
      </c>
      <c r="C2195" s="154">
        <v>11</v>
      </c>
      <c r="D2195" s="154">
        <v>100</v>
      </c>
      <c r="E2195" s="154">
        <v>0</v>
      </c>
      <c r="F2195" s="154">
        <v>684000</v>
      </c>
      <c r="G2195" s="154">
        <v>53902</v>
      </c>
      <c r="H2195" s="150" t="str">
        <f t="shared" si="102"/>
        <v>5</v>
      </c>
      <c r="I2195" s="150" t="str">
        <f t="shared" si="103"/>
        <v>53</v>
      </c>
      <c r="J2195" s="150" t="str">
        <f t="shared" si="104"/>
        <v>539</v>
      </c>
      <c r="K2195" s="150" t="s">
        <v>7906</v>
      </c>
      <c r="L2195" s="154" t="s">
        <v>211</v>
      </c>
      <c r="M2195" s="155">
        <v>935</v>
      </c>
    </row>
    <row r="2196" spans="1:13" x14ac:dyDescent="0.25">
      <c r="A2196" s="148" t="s">
        <v>7641</v>
      </c>
      <c r="B2196" s="152" t="s">
        <v>212</v>
      </c>
      <c r="C2196" s="152">
        <v>11</v>
      </c>
      <c r="D2196" s="152">
        <v>100</v>
      </c>
      <c r="E2196" s="152">
        <v>0</v>
      </c>
      <c r="F2196" s="152">
        <v>684000</v>
      </c>
      <c r="G2196" s="152">
        <v>55550</v>
      </c>
      <c r="H2196" s="150" t="str">
        <f t="shared" si="102"/>
        <v>5</v>
      </c>
      <c r="I2196" s="150" t="str">
        <f t="shared" si="103"/>
        <v>55</v>
      </c>
      <c r="J2196" s="150" t="str">
        <f t="shared" si="104"/>
        <v>555</v>
      </c>
      <c r="K2196" s="150" t="s">
        <v>8128</v>
      </c>
      <c r="L2196" s="152" t="s">
        <v>213</v>
      </c>
      <c r="M2196" s="153">
        <v>306</v>
      </c>
    </row>
    <row r="2197" spans="1:13" x14ac:dyDescent="0.25">
      <c r="A2197" s="148" t="s">
        <v>7641</v>
      </c>
      <c r="B2197" s="152" t="s">
        <v>214</v>
      </c>
      <c r="C2197" s="152">
        <v>11</v>
      </c>
      <c r="D2197" s="152">
        <v>100</v>
      </c>
      <c r="E2197" s="152">
        <v>0</v>
      </c>
      <c r="F2197" s="152">
        <v>684000</v>
      </c>
      <c r="G2197" s="152">
        <v>55630</v>
      </c>
      <c r="H2197" s="150" t="str">
        <f t="shared" si="102"/>
        <v>5</v>
      </c>
      <c r="I2197" s="150" t="str">
        <f t="shared" si="103"/>
        <v>55</v>
      </c>
      <c r="J2197" s="150" t="str">
        <f t="shared" si="104"/>
        <v>556</v>
      </c>
      <c r="K2197" s="150" t="s">
        <v>8163</v>
      </c>
      <c r="L2197" s="152" t="s">
        <v>215</v>
      </c>
      <c r="M2197" s="153">
        <v>0</v>
      </c>
    </row>
    <row r="2198" spans="1:13" x14ac:dyDescent="0.25">
      <c r="A2198" s="148" t="s">
        <v>7641</v>
      </c>
      <c r="B2198" s="152" t="s">
        <v>216</v>
      </c>
      <c r="C2198" s="152">
        <v>11</v>
      </c>
      <c r="D2198" s="152">
        <v>120</v>
      </c>
      <c r="E2198" s="152">
        <v>2</v>
      </c>
      <c r="F2198" s="152">
        <v>40110</v>
      </c>
      <c r="G2198" s="152">
        <v>51311</v>
      </c>
      <c r="H2198" s="150" t="str">
        <f t="shared" si="102"/>
        <v>5</v>
      </c>
      <c r="I2198" s="150" t="str">
        <f t="shared" si="103"/>
        <v>51</v>
      </c>
      <c r="J2198" s="150" t="str">
        <f t="shared" si="104"/>
        <v>513</v>
      </c>
      <c r="K2198" s="150" t="s">
        <v>7694</v>
      </c>
      <c r="L2198" s="152" t="s">
        <v>217</v>
      </c>
      <c r="M2198" s="153">
        <v>32269</v>
      </c>
    </row>
    <row r="2199" spans="1:13" x14ac:dyDescent="0.25">
      <c r="A2199" s="148" t="s">
        <v>7641</v>
      </c>
      <c r="B2199" s="152" t="s">
        <v>228</v>
      </c>
      <c r="C2199" s="152">
        <v>11</v>
      </c>
      <c r="D2199" s="152">
        <v>120</v>
      </c>
      <c r="E2199" s="152">
        <v>2</v>
      </c>
      <c r="F2199" s="152">
        <v>50000</v>
      </c>
      <c r="G2199" s="152">
        <v>51310</v>
      </c>
      <c r="H2199" s="150" t="str">
        <f t="shared" si="102"/>
        <v>5</v>
      </c>
      <c r="I2199" s="150" t="str">
        <f t="shared" si="103"/>
        <v>51</v>
      </c>
      <c r="J2199" s="150" t="str">
        <f t="shared" si="104"/>
        <v>513</v>
      </c>
      <c r="K2199" s="150" t="s">
        <v>7644</v>
      </c>
      <c r="L2199" s="152" t="s">
        <v>229</v>
      </c>
      <c r="M2199" s="153">
        <v>0</v>
      </c>
    </row>
    <row r="2200" spans="1:13" x14ac:dyDescent="0.25">
      <c r="A2200" s="148" t="s">
        <v>7641</v>
      </c>
      <c r="B2200" s="152" t="s">
        <v>230</v>
      </c>
      <c r="C2200" s="152">
        <v>11</v>
      </c>
      <c r="D2200" s="152">
        <v>120</v>
      </c>
      <c r="E2200" s="152">
        <v>2</v>
      </c>
      <c r="F2200" s="152">
        <v>50000</v>
      </c>
      <c r="G2200" s="152">
        <v>51311</v>
      </c>
      <c r="H2200" s="150" t="str">
        <f t="shared" si="102"/>
        <v>5</v>
      </c>
      <c r="I2200" s="150" t="str">
        <f t="shared" si="103"/>
        <v>51</v>
      </c>
      <c r="J2200" s="150" t="str">
        <f t="shared" si="104"/>
        <v>513</v>
      </c>
      <c r="K2200" s="150" t="s">
        <v>7695</v>
      </c>
      <c r="L2200" s="152" t="s">
        <v>231</v>
      </c>
      <c r="M2200" s="153">
        <v>21502</v>
      </c>
    </row>
    <row r="2201" spans="1:13" x14ac:dyDescent="0.25">
      <c r="A2201" s="148" t="s">
        <v>7641</v>
      </c>
      <c r="B2201" s="152" t="s">
        <v>240</v>
      </c>
      <c r="C2201" s="152">
        <v>11</v>
      </c>
      <c r="D2201" s="152">
        <v>120</v>
      </c>
      <c r="E2201" s="152">
        <v>2</v>
      </c>
      <c r="F2201" s="152">
        <v>70100</v>
      </c>
      <c r="G2201" s="152">
        <v>51311</v>
      </c>
      <c r="H2201" s="150" t="str">
        <f t="shared" si="102"/>
        <v>5</v>
      </c>
      <c r="I2201" s="150" t="str">
        <f t="shared" si="103"/>
        <v>51</v>
      </c>
      <c r="J2201" s="150" t="str">
        <f t="shared" si="104"/>
        <v>513</v>
      </c>
      <c r="K2201" s="150" t="s">
        <v>7696</v>
      </c>
      <c r="L2201" s="152" t="s">
        <v>241</v>
      </c>
      <c r="M2201" s="153">
        <v>24352</v>
      </c>
    </row>
    <row r="2202" spans="1:13" x14ac:dyDescent="0.25">
      <c r="A2202" s="148" t="s">
        <v>7641</v>
      </c>
      <c r="B2202" s="152" t="s">
        <v>250</v>
      </c>
      <c r="C2202" s="152">
        <v>11</v>
      </c>
      <c r="D2202" s="152">
        <v>120</v>
      </c>
      <c r="E2202" s="152">
        <v>2</v>
      </c>
      <c r="F2202" s="152">
        <v>100200</v>
      </c>
      <c r="G2202" s="152">
        <v>51311</v>
      </c>
      <c r="H2202" s="150" t="str">
        <f t="shared" si="102"/>
        <v>5</v>
      </c>
      <c r="I2202" s="150" t="str">
        <f t="shared" si="103"/>
        <v>51</v>
      </c>
      <c r="J2202" s="150" t="str">
        <f t="shared" si="104"/>
        <v>513</v>
      </c>
      <c r="K2202" s="150" t="s">
        <v>7697</v>
      </c>
      <c r="L2202" s="152" t="s">
        <v>251</v>
      </c>
      <c r="M2202" s="153">
        <v>6738</v>
      </c>
    </row>
    <row r="2203" spans="1:13" x14ac:dyDescent="0.25">
      <c r="A2203" s="148" t="s">
        <v>7641</v>
      </c>
      <c r="B2203" s="152" t="s">
        <v>260</v>
      </c>
      <c r="C2203" s="152">
        <v>11</v>
      </c>
      <c r="D2203" s="152">
        <v>120</v>
      </c>
      <c r="E2203" s="152">
        <v>2</v>
      </c>
      <c r="F2203" s="152">
        <v>100400</v>
      </c>
      <c r="G2203" s="152">
        <v>51311</v>
      </c>
      <c r="H2203" s="150" t="str">
        <f t="shared" si="102"/>
        <v>5</v>
      </c>
      <c r="I2203" s="150" t="str">
        <f t="shared" si="103"/>
        <v>51</v>
      </c>
      <c r="J2203" s="150" t="str">
        <f t="shared" si="104"/>
        <v>513</v>
      </c>
      <c r="K2203" s="150" t="s">
        <v>7698</v>
      </c>
      <c r="L2203" s="152" t="s">
        <v>261</v>
      </c>
      <c r="M2203" s="153">
        <v>21635</v>
      </c>
    </row>
    <row r="2204" spans="1:13" x14ac:dyDescent="0.25">
      <c r="A2204" s="148" t="s">
        <v>7641</v>
      </c>
      <c r="B2204" s="152" t="s">
        <v>270</v>
      </c>
      <c r="C2204" s="152">
        <v>11</v>
      </c>
      <c r="D2204" s="152">
        <v>120</v>
      </c>
      <c r="E2204" s="152">
        <v>2</v>
      </c>
      <c r="F2204" s="152">
        <v>101100</v>
      </c>
      <c r="G2204" s="152">
        <v>51311</v>
      </c>
      <c r="H2204" s="150" t="str">
        <f t="shared" si="102"/>
        <v>5</v>
      </c>
      <c r="I2204" s="150" t="str">
        <f t="shared" si="103"/>
        <v>51</v>
      </c>
      <c r="J2204" s="150" t="str">
        <f t="shared" si="104"/>
        <v>513</v>
      </c>
      <c r="K2204" s="150" t="s">
        <v>7699</v>
      </c>
      <c r="L2204" s="152" t="s">
        <v>271</v>
      </c>
      <c r="M2204" s="153">
        <v>4024</v>
      </c>
    </row>
    <row r="2205" spans="1:13" x14ac:dyDescent="0.25">
      <c r="A2205" s="148" t="s">
        <v>7641</v>
      </c>
      <c r="B2205" s="152" t="s">
        <v>280</v>
      </c>
      <c r="C2205" s="152">
        <v>11</v>
      </c>
      <c r="D2205" s="152">
        <v>120</v>
      </c>
      <c r="E2205" s="152">
        <v>2</v>
      </c>
      <c r="F2205" s="152">
        <v>110500</v>
      </c>
      <c r="G2205" s="152">
        <v>51311</v>
      </c>
      <c r="H2205" s="150" t="str">
        <f t="shared" si="102"/>
        <v>5</v>
      </c>
      <c r="I2205" s="150" t="str">
        <f t="shared" si="103"/>
        <v>51</v>
      </c>
      <c r="J2205" s="150" t="str">
        <f t="shared" si="104"/>
        <v>513</v>
      </c>
      <c r="K2205" s="150" t="s">
        <v>7700</v>
      </c>
      <c r="L2205" s="152" t="s">
        <v>281</v>
      </c>
      <c r="M2205" s="153">
        <v>38563</v>
      </c>
    </row>
    <row r="2206" spans="1:13" x14ac:dyDescent="0.25">
      <c r="A2206" s="148" t="s">
        <v>7641</v>
      </c>
      <c r="B2206" s="152" t="s">
        <v>290</v>
      </c>
      <c r="C2206" s="152">
        <v>11</v>
      </c>
      <c r="D2206" s="152">
        <v>120</v>
      </c>
      <c r="E2206" s="152">
        <v>2</v>
      </c>
      <c r="F2206" s="152">
        <v>130500</v>
      </c>
      <c r="G2206" s="152">
        <v>51311</v>
      </c>
      <c r="H2206" s="150" t="str">
        <f t="shared" si="102"/>
        <v>5</v>
      </c>
      <c r="I2206" s="150" t="str">
        <f t="shared" si="103"/>
        <v>51</v>
      </c>
      <c r="J2206" s="150" t="str">
        <f t="shared" si="104"/>
        <v>513</v>
      </c>
      <c r="K2206" s="150" t="s">
        <v>7701</v>
      </c>
      <c r="L2206" s="152" t="s">
        <v>291</v>
      </c>
      <c r="M2206" s="153">
        <v>10000</v>
      </c>
    </row>
    <row r="2207" spans="1:13" x14ac:dyDescent="0.25">
      <c r="A2207" s="148" t="s">
        <v>7641</v>
      </c>
      <c r="B2207" s="152" t="s">
        <v>302</v>
      </c>
      <c r="C2207" s="152">
        <v>11</v>
      </c>
      <c r="D2207" s="152">
        <v>120</v>
      </c>
      <c r="E2207" s="152">
        <v>2</v>
      </c>
      <c r="F2207" s="152">
        <v>150100</v>
      </c>
      <c r="G2207" s="152">
        <v>51311</v>
      </c>
      <c r="H2207" s="150" t="str">
        <f t="shared" si="102"/>
        <v>5</v>
      </c>
      <c r="I2207" s="150" t="str">
        <f t="shared" si="103"/>
        <v>51</v>
      </c>
      <c r="J2207" s="150" t="str">
        <f t="shared" si="104"/>
        <v>513</v>
      </c>
      <c r="K2207" s="150" t="s">
        <v>7702</v>
      </c>
      <c r="L2207" s="152" t="s">
        <v>303</v>
      </c>
      <c r="M2207" s="153">
        <v>132074</v>
      </c>
    </row>
    <row r="2208" spans="1:13" x14ac:dyDescent="0.25">
      <c r="A2208" s="148" t="s">
        <v>7641</v>
      </c>
      <c r="B2208" s="152" t="s">
        <v>314</v>
      </c>
      <c r="C2208" s="152">
        <v>11</v>
      </c>
      <c r="D2208" s="152">
        <v>120</v>
      </c>
      <c r="E2208" s="152">
        <v>2</v>
      </c>
      <c r="F2208" s="152">
        <v>150100</v>
      </c>
      <c r="G2208" s="152">
        <v>55630</v>
      </c>
      <c r="H2208" s="150" t="str">
        <f t="shared" si="102"/>
        <v>5</v>
      </c>
      <c r="I2208" s="150" t="str">
        <f t="shared" si="103"/>
        <v>55</v>
      </c>
      <c r="J2208" s="150" t="str">
        <f t="shared" si="104"/>
        <v>556</v>
      </c>
      <c r="K2208" s="150" t="s">
        <v>8164</v>
      </c>
      <c r="L2208" s="152" t="s">
        <v>315</v>
      </c>
      <c r="M2208" s="153">
        <v>120</v>
      </c>
    </row>
    <row r="2209" spans="1:13" x14ac:dyDescent="0.25">
      <c r="A2209" s="148" t="s">
        <v>7641</v>
      </c>
      <c r="B2209" s="152" t="s">
        <v>316</v>
      </c>
      <c r="C2209" s="152">
        <v>11</v>
      </c>
      <c r="D2209" s="152">
        <v>120</v>
      </c>
      <c r="E2209" s="152">
        <v>2</v>
      </c>
      <c r="F2209" s="152">
        <v>150600</v>
      </c>
      <c r="G2209" s="152">
        <v>51311</v>
      </c>
      <c r="H2209" s="150" t="str">
        <f t="shared" si="102"/>
        <v>5</v>
      </c>
      <c r="I2209" s="150" t="str">
        <f t="shared" si="103"/>
        <v>51</v>
      </c>
      <c r="J2209" s="150" t="str">
        <f t="shared" si="104"/>
        <v>513</v>
      </c>
      <c r="K2209" s="150" t="s">
        <v>7703</v>
      </c>
      <c r="L2209" s="152" t="s">
        <v>317</v>
      </c>
      <c r="M2209" s="153">
        <v>12958</v>
      </c>
    </row>
    <row r="2210" spans="1:13" x14ac:dyDescent="0.25">
      <c r="A2210" s="148" t="s">
        <v>7641</v>
      </c>
      <c r="B2210" s="152" t="s">
        <v>326</v>
      </c>
      <c r="C2210" s="152">
        <v>11</v>
      </c>
      <c r="D2210" s="152">
        <v>120</v>
      </c>
      <c r="E2210" s="152">
        <v>2</v>
      </c>
      <c r="F2210" s="152">
        <v>150600</v>
      </c>
      <c r="G2210" s="152">
        <v>55630</v>
      </c>
      <c r="H2210" s="150" t="str">
        <f t="shared" si="102"/>
        <v>5</v>
      </c>
      <c r="I2210" s="150" t="str">
        <f t="shared" si="103"/>
        <v>55</v>
      </c>
      <c r="J2210" s="150" t="str">
        <f t="shared" si="104"/>
        <v>556</v>
      </c>
      <c r="K2210" s="150" t="s">
        <v>8165</v>
      </c>
      <c r="L2210" s="152" t="s">
        <v>327</v>
      </c>
      <c r="M2210" s="153">
        <v>8</v>
      </c>
    </row>
    <row r="2211" spans="1:13" x14ac:dyDescent="0.25">
      <c r="A2211" s="148" t="s">
        <v>7641</v>
      </c>
      <c r="B2211" s="152" t="s">
        <v>328</v>
      </c>
      <c r="C2211" s="152">
        <v>11</v>
      </c>
      <c r="D2211" s="152">
        <v>120</v>
      </c>
      <c r="E2211" s="152">
        <v>2</v>
      </c>
      <c r="F2211" s="152">
        <v>170100</v>
      </c>
      <c r="G2211" s="152">
        <v>51311</v>
      </c>
      <c r="H2211" s="150" t="str">
        <f t="shared" si="102"/>
        <v>5</v>
      </c>
      <c r="I2211" s="150" t="str">
        <f t="shared" si="103"/>
        <v>51</v>
      </c>
      <c r="J2211" s="150" t="str">
        <f t="shared" si="104"/>
        <v>513</v>
      </c>
      <c r="K2211" s="150" t="s">
        <v>7704</v>
      </c>
      <c r="L2211" s="152" t="s">
        <v>329</v>
      </c>
      <c r="M2211" s="153">
        <v>34636</v>
      </c>
    </row>
    <row r="2212" spans="1:13" x14ac:dyDescent="0.25">
      <c r="A2212" s="148" t="s">
        <v>7641</v>
      </c>
      <c r="B2212" s="152" t="s">
        <v>338</v>
      </c>
      <c r="C2212" s="152">
        <v>11</v>
      </c>
      <c r="D2212" s="152">
        <v>120</v>
      </c>
      <c r="E2212" s="152">
        <v>2</v>
      </c>
      <c r="F2212" s="152">
        <v>170100</v>
      </c>
      <c r="G2212" s="152">
        <v>55630</v>
      </c>
      <c r="H2212" s="150" t="str">
        <f t="shared" si="102"/>
        <v>5</v>
      </c>
      <c r="I2212" s="150" t="str">
        <f t="shared" si="103"/>
        <v>55</v>
      </c>
      <c r="J2212" s="150" t="str">
        <f t="shared" si="104"/>
        <v>556</v>
      </c>
      <c r="K2212" s="150" t="s">
        <v>8166</v>
      </c>
      <c r="L2212" s="152" t="s">
        <v>339</v>
      </c>
      <c r="M2212" s="153">
        <v>88</v>
      </c>
    </row>
    <row r="2213" spans="1:13" x14ac:dyDescent="0.25">
      <c r="A2213" s="148" t="s">
        <v>7641</v>
      </c>
      <c r="B2213" s="152" t="s">
        <v>340</v>
      </c>
      <c r="C2213" s="152">
        <v>11</v>
      </c>
      <c r="D2213" s="152">
        <v>120</v>
      </c>
      <c r="E2213" s="152">
        <v>2</v>
      </c>
      <c r="F2213" s="152">
        <v>190200</v>
      </c>
      <c r="G2213" s="152">
        <v>51311</v>
      </c>
      <c r="H2213" s="150" t="str">
        <f t="shared" si="102"/>
        <v>5</v>
      </c>
      <c r="I2213" s="150" t="str">
        <f t="shared" si="103"/>
        <v>51</v>
      </c>
      <c r="J2213" s="150" t="str">
        <f t="shared" si="104"/>
        <v>513</v>
      </c>
      <c r="K2213" s="150" t="s">
        <v>7705</v>
      </c>
      <c r="L2213" s="152" t="s">
        <v>341</v>
      </c>
      <c r="M2213" s="153">
        <v>10280</v>
      </c>
    </row>
    <row r="2214" spans="1:13" x14ac:dyDescent="0.25">
      <c r="A2214" s="148" t="s">
        <v>7641</v>
      </c>
      <c r="B2214" s="152" t="s">
        <v>350</v>
      </c>
      <c r="C2214" s="152">
        <v>11</v>
      </c>
      <c r="D2214" s="152">
        <v>120</v>
      </c>
      <c r="E2214" s="152">
        <v>2</v>
      </c>
      <c r="F2214" s="152">
        <v>190200</v>
      </c>
      <c r="G2214" s="152">
        <v>55630</v>
      </c>
      <c r="H2214" s="150" t="str">
        <f t="shared" si="102"/>
        <v>5</v>
      </c>
      <c r="I2214" s="150" t="str">
        <f t="shared" si="103"/>
        <v>55</v>
      </c>
      <c r="J2214" s="150" t="str">
        <f t="shared" si="104"/>
        <v>556</v>
      </c>
      <c r="K2214" s="150" t="s">
        <v>8167</v>
      </c>
      <c r="L2214" s="152" t="s">
        <v>351</v>
      </c>
      <c r="M2214" s="153">
        <v>28</v>
      </c>
    </row>
    <row r="2215" spans="1:13" x14ac:dyDescent="0.25">
      <c r="A2215" s="148" t="s">
        <v>7641</v>
      </c>
      <c r="B2215" s="152" t="s">
        <v>352</v>
      </c>
      <c r="C2215" s="152">
        <v>11</v>
      </c>
      <c r="D2215" s="152">
        <v>120</v>
      </c>
      <c r="E2215" s="152">
        <v>2</v>
      </c>
      <c r="F2215" s="152">
        <v>191900</v>
      </c>
      <c r="G2215" s="152">
        <v>51311</v>
      </c>
      <c r="H2215" s="150" t="str">
        <f t="shared" si="102"/>
        <v>5</v>
      </c>
      <c r="I2215" s="150" t="str">
        <f t="shared" si="103"/>
        <v>51</v>
      </c>
      <c r="J2215" s="150" t="str">
        <f t="shared" si="104"/>
        <v>513</v>
      </c>
      <c r="K2215" s="150" t="s">
        <v>7706</v>
      </c>
      <c r="L2215" s="152" t="s">
        <v>353</v>
      </c>
      <c r="M2215" s="153">
        <v>2668</v>
      </c>
    </row>
    <row r="2216" spans="1:13" x14ac:dyDescent="0.25">
      <c r="A2216" s="148" t="s">
        <v>7641</v>
      </c>
      <c r="B2216" s="152" t="s">
        <v>362</v>
      </c>
      <c r="C2216" s="152">
        <v>11</v>
      </c>
      <c r="D2216" s="152">
        <v>120</v>
      </c>
      <c r="E2216" s="152">
        <v>2</v>
      </c>
      <c r="F2216" s="152">
        <v>200100</v>
      </c>
      <c r="G2216" s="152">
        <v>51311</v>
      </c>
      <c r="H2216" s="150" t="str">
        <f t="shared" si="102"/>
        <v>5</v>
      </c>
      <c r="I2216" s="150" t="str">
        <f t="shared" si="103"/>
        <v>51</v>
      </c>
      <c r="J2216" s="150" t="str">
        <f t="shared" si="104"/>
        <v>513</v>
      </c>
      <c r="K2216" s="150" t="s">
        <v>7707</v>
      </c>
      <c r="L2216" s="152" t="s">
        <v>363</v>
      </c>
      <c r="M2216" s="153">
        <v>31812</v>
      </c>
    </row>
    <row r="2217" spans="1:13" x14ac:dyDescent="0.25">
      <c r="A2217" s="148" t="s">
        <v>7641</v>
      </c>
      <c r="B2217" s="152" t="s">
        <v>374</v>
      </c>
      <c r="C2217" s="152">
        <v>11</v>
      </c>
      <c r="D2217" s="152">
        <v>120</v>
      </c>
      <c r="E2217" s="152">
        <v>2</v>
      </c>
      <c r="F2217" s="152">
        <v>210500</v>
      </c>
      <c r="G2217" s="152">
        <v>51311</v>
      </c>
      <c r="H2217" s="150" t="str">
        <f t="shared" si="102"/>
        <v>5</v>
      </c>
      <c r="I2217" s="150" t="str">
        <f t="shared" si="103"/>
        <v>51</v>
      </c>
      <c r="J2217" s="150" t="str">
        <f t="shared" si="104"/>
        <v>513</v>
      </c>
      <c r="K2217" s="150" t="s">
        <v>7708</v>
      </c>
      <c r="L2217" s="152" t="s">
        <v>375</v>
      </c>
      <c r="M2217" s="153">
        <v>27695</v>
      </c>
    </row>
    <row r="2218" spans="1:13" x14ac:dyDescent="0.25">
      <c r="A2218" s="148" t="s">
        <v>7641</v>
      </c>
      <c r="B2218" s="152" t="s">
        <v>386</v>
      </c>
      <c r="C2218" s="152">
        <v>11</v>
      </c>
      <c r="D2218" s="152">
        <v>120</v>
      </c>
      <c r="E2218" s="152">
        <v>2</v>
      </c>
      <c r="F2218" s="152">
        <v>210500</v>
      </c>
      <c r="G2218" s="152">
        <v>55630</v>
      </c>
      <c r="H2218" s="150" t="str">
        <f t="shared" si="102"/>
        <v>5</v>
      </c>
      <c r="I2218" s="150" t="str">
        <f t="shared" si="103"/>
        <v>55</v>
      </c>
      <c r="J2218" s="150" t="str">
        <f t="shared" si="104"/>
        <v>556</v>
      </c>
      <c r="K2218" s="150" t="s">
        <v>8168</v>
      </c>
      <c r="L2218" s="152" t="s">
        <v>387</v>
      </c>
      <c r="M2218" s="153">
        <v>10</v>
      </c>
    </row>
    <row r="2219" spans="1:13" x14ac:dyDescent="0.25">
      <c r="A2219" s="148" t="s">
        <v>7641</v>
      </c>
      <c r="B2219" s="152" t="s">
        <v>388</v>
      </c>
      <c r="C2219" s="152">
        <v>11</v>
      </c>
      <c r="D2219" s="152">
        <v>120</v>
      </c>
      <c r="E2219" s="152">
        <v>2</v>
      </c>
      <c r="F2219" s="152">
        <v>220200</v>
      </c>
      <c r="G2219" s="152">
        <v>51311</v>
      </c>
      <c r="H2219" s="150" t="str">
        <f t="shared" si="102"/>
        <v>5</v>
      </c>
      <c r="I2219" s="150" t="str">
        <f t="shared" si="103"/>
        <v>51</v>
      </c>
      <c r="J2219" s="150" t="str">
        <f t="shared" si="104"/>
        <v>513</v>
      </c>
      <c r="K2219" s="150" t="s">
        <v>7709</v>
      </c>
      <c r="L2219" s="152" t="s">
        <v>389</v>
      </c>
      <c r="M2219" s="153">
        <v>13612</v>
      </c>
    </row>
    <row r="2220" spans="1:13" x14ac:dyDescent="0.25">
      <c r="A2220" s="148" t="s">
        <v>7641</v>
      </c>
      <c r="B2220" s="152" t="s">
        <v>398</v>
      </c>
      <c r="C2220" s="152">
        <v>11</v>
      </c>
      <c r="D2220" s="152">
        <v>120</v>
      </c>
      <c r="E2220" s="152">
        <v>2</v>
      </c>
      <c r="F2220" s="152">
        <v>220200</v>
      </c>
      <c r="G2220" s="152">
        <v>55630</v>
      </c>
      <c r="H2220" s="150" t="str">
        <f t="shared" si="102"/>
        <v>5</v>
      </c>
      <c r="I2220" s="150" t="str">
        <f t="shared" si="103"/>
        <v>55</v>
      </c>
      <c r="J2220" s="150" t="str">
        <f t="shared" si="104"/>
        <v>556</v>
      </c>
      <c r="K2220" s="150" t="s">
        <v>8169</v>
      </c>
      <c r="L2220" s="152" t="s">
        <v>399</v>
      </c>
      <c r="M2220" s="153">
        <v>42</v>
      </c>
    </row>
    <row r="2221" spans="1:13" x14ac:dyDescent="0.25">
      <c r="A2221" s="148" t="s">
        <v>7641</v>
      </c>
      <c r="B2221" s="152" t="s">
        <v>400</v>
      </c>
      <c r="C2221" s="152">
        <v>11</v>
      </c>
      <c r="D2221" s="152">
        <v>120</v>
      </c>
      <c r="E2221" s="152">
        <v>2</v>
      </c>
      <c r="F2221" s="152">
        <v>220210</v>
      </c>
      <c r="G2221" s="152">
        <v>51311</v>
      </c>
      <c r="H2221" s="150" t="str">
        <f t="shared" si="102"/>
        <v>5</v>
      </c>
      <c r="I2221" s="150" t="str">
        <f t="shared" si="103"/>
        <v>51</v>
      </c>
      <c r="J2221" s="150" t="str">
        <f t="shared" si="104"/>
        <v>513</v>
      </c>
      <c r="K2221" s="150" t="s">
        <v>7710</v>
      </c>
      <c r="L2221" s="152" t="s">
        <v>401</v>
      </c>
      <c r="M2221" s="153">
        <v>57590</v>
      </c>
    </row>
    <row r="2222" spans="1:13" x14ac:dyDescent="0.25">
      <c r="A2222" s="148" t="s">
        <v>7641</v>
      </c>
      <c r="B2222" s="152" t="s">
        <v>410</v>
      </c>
      <c r="C2222" s="152">
        <v>11</v>
      </c>
      <c r="D2222" s="152">
        <v>120</v>
      </c>
      <c r="E2222" s="152">
        <v>2</v>
      </c>
      <c r="F2222" s="152">
        <v>220500</v>
      </c>
      <c r="G2222" s="152">
        <v>51311</v>
      </c>
      <c r="H2222" s="150" t="str">
        <f t="shared" si="102"/>
        <v>5</v>
      </c>
      <c r="I2222" s="150" t="str">
        <f t="shared" si="103"/>
        <v>51</v>
      </c>
      <c r="J2222" s="150" t="str">
        <f t="shared" si="104"/>
        <v>513</v>
      </c>
      <c r="K2222" s="150" t="s">
        <v>7711</v>
      </c>
      <c r="L2222" s="152" t="s">
        <v>411</v>
      </c>
      <c r="M2222" s="153">
        <v>17512</v>
      </c>
    </row>
    <row r="2223" spans="1:13" x14ac:dyDescent="0.25">
      <c r="A2223" s="148" t="s">
        <v>7641</v>
      </c>
      <c r="B2223" s="152" t="s">
        <v>420</v>
      </c>
      <c r="C2223" s="152">
        <v>11</v>
      </c>
      <c r="D2223" s="152">
        <v>120</v>
      </c>
      <c r="E2223" s="152">
        <v>2</v>
      </c>
      <c r="F2223" s="152">
        <v>220500</v>
      </c>
      <c r="G2223" s="152">
        <v>55630</v>
      </c>
      <c r="H2223" s="150" t="str">
        <f t="shared" si="102"/>
        <v>5</v>
      </c>
      <c r="I2223" s="150" t="str">
        <f t="shared" si="103"/>
        <v>55</v>
      </c>
      <c r="J2223" s="150" t="str">
        <f t="shared" si="104"/>
        <v>556</v>
      </c>
      <c r="K2223" s="150" t="s">
        <v>8170</v>
      </c>
      <c r="L2223" s="152" t="s">
        <v>421</v>
      </c>
      <c r="M2223" s="153">
        <v>32</v>
      </c>
    </row>
    <row r="2224" spans="1:13" x14ac:dyDescent="0.25">
      <c r="A2224" s="148" t="s">
        <v>7641</v>
      </c>
      <c r="B2224" s="152" t="s">
        <v>422</v>
      </c>
      <c r="C2224" s="152">
        <v>11</v>
      </c>
      <c r="D2224" s="152">
        <v>120</v>
      </c>
      <c r="E2224" s="152">
        <v>2</v>
      </c>
      <c r="F2224" s="152">
        <v>220600</v>
      </c>
      <c r="G2224" s="152">
        <v>51311</v>
      </c>
      <c r="H2224" s="150" t="str">
        <f t="shared" si="102"/>
        <v>5</v>
      </c>
      <c r="I2224" s="150" t="str">
        <f t="shared" si="103"/>
        <v>51</v>
      </c>
      <c r="J2224" s="150" t="str">
        <f t="shared" si="104"/>
        <v>513</v>
      </c>
      <c r="K2224" s="150" t="s">
        <v>7712</v>
      </c>
      <c r="L2224" s="152" t="s">
        <v>423</v>
      </c>
      <c r="M2224" s="153">
        <v>3167</v>
      </c>
    </row>
    <row r="2225" spans="1:13" x14ac:dyDescent="0.25">
      <c r="A2225" s="148" t="s">
        <v>7641</v>
      </c>
      <c r="B2225" s="152" t="s">
        <v>432</v>
      </c>
      <c r="C2225" s="152">
        <v>11</v>
      </c>
      <c r="D2225" s="152">
        <v>120</v>
      </c>
      <c r="E2225" s="152">
        <v>2</v>
      </c>
      <c r="F2225" s="152">
        <v>220700</v>
      </c>
      <c r="G2225" s="152">
        <v>51311</v>
      </c>
      <c r="H2225" s="150" t="str">
        <f t="shared" si="102"/>
        <v>5</v>
      </c>
      <c r="I2225" s="150" t="str">
        <f t="shared" si="103"/>
        <v>51</v>
      </c>
      <c r="J2225" s="150" t="str">
        <f t="shared" si="104"/>
        <v>513</v>
      </c>
      <c r="K2225" s="150" t="s">
        <v>7713</v>
      </c>
      <c r="L2225" s="152" t="s">
        <v>433</v>
      </c>
      <c r="M2225" s="153">
        <v>4262</v>
      </c>
    </row>
    <row r="2226" spans="1:13" x14ac:dyDescent="0.25">
      <c r="A2226" s="148" t="s">
        <v>7641</v>
      </c>
      <c r="B2226" s="152" t="s">
        <v>442</v>
      </c>
      <c r="C2226" s="152">
        <v>11</v>
      </c>
      <c r="D2226" s="152">
        <v>120</v>
      </c>
      <c r="E2226" s="152">
        <v>2</v>
      </c>
      <c r="F2226" s="152">
        <v>220700</v>
      </c>
      <c r="G2226" s="152">
        <v>55630</v>
      </c>
      <c r="H2226" s="150" t="str">
        <f t="shared" si="102"/>
        <v>5</v>
      </c>
      <c r="I2226" s="150" t="str">
        <f t="shared" si="103"/>
        <v>55</v>
      </c>
      <c r="J2226" s="150" t="str">
        <f t="shared" si="104"/>
        <v>556</v>
      </c>
      <c r="K2226" s="150" t="s">
        <v>8171</v>
      </c>
      <c r="L2226" s="152" t="s">
        <v>443</v>
      </c>
      <c r="M2226" s="153">
        <v>122</v>
      </c>
    </row>
    <row r="2227" spans="1:13" x14ac:dyDescent="0.25">
      <c r="A2227" s="148" t="s">
        <v>7641</v>
      </c>
      <c r="B2227" s="152" t="s">
        <v>444</v>
      </c>
      <c r="C2227" s="152">
        <v>11</v>
      </c>
      <c r="D2227" s="152">
        <v>120</v>
      </c>
      <c r="E2227" s="152">
        <v>2</v>
      </c>
      <c r="F2227" s="152">
        <v>220800</v>
      </c>
      <c r="G2227" s="152">
        <v>51311</v>
      </c>
      <c r="H2227" s="150" t="str">
        <f t="shared" si="102"/>
        <v>5</v>
      </c>
      <c r="I2227" s="150" t="str">
        <f t="shared" si="103"/>
        <v>51</v>
      </c>
      <c r="J2227" s="150" t="str">
        <f t="shared" si="104"/>
        <v>513</v>
      </c>
      <c r="K2227" s="150" t="s">
        <v>7714</v>
      </c>
      <c r="L2227" s="152" t="s">
        <v>445</v>
      </c>
      <c r="M2227" s="153">
        <v>14066</v>
      </c>
    </row>
    <row r="2228" spans="1:13" x14ac:dyDescent="0.25">
      <c r="A2228" s="148" t="s">
        <v>7641</v>
      </c>
      <c r="B2228" s="152" t="s">
        <v>454</v>
      </c>
      <c r="C2228" s="152">
        <v>11</v>
      </c>
      <c r="D2228" s="152">
        <v>120</v>
      </c>
      <c r="E2228" s="152">
        <v>2</v>
      </c>
      <c r="F2228" s="152">
        <v>220800</v>
      </c>
      <c r="G2228" s="152">
        <v>55630</v>
      </c>
      <c r="H2228" s="150" t="str">
        <f t="shared" si="102"/>
        <v>5</v>
      </c>
      <c r="I2228" s="150" t="str">
        <f t="shared" si="103"/>
        <v>55</v>
      </c>
      <c r="J2228" s="150" t="str">
        <f t="shared" si="104"/>
        <v>556</v>
      </c>
      <c r="K2228" s="150" t="s">
        <v>8172</v>
      </c>
      <c r="L2228" s="152" t="s">
        <v>455</v>
      </c>
      <c r="M2228" s="153">
        <v>192</v>
      </c>
    </row>
    <row r="2229" spans="1:13" x14ac:dyDescent="0.25">
      <c r="A2229" s="148" t="s">
        <v>7641</v>
      </c>
      <c r="B2229" s="152" t="s">
        <v>456</v>
      </c>
      <c r="C2229" s="152">
        <v>11</v>
      </c>
      <c r="D2229" s="152">
        <v>120</v>
      </c>
      <c r="E2229" s="152">
        <v>2</v>
      </c>
      <c r="F2229" s="152">
        <v>493010</v>
      </c>
      <c r="G2229" s="152">
        <v>51311</v>
      </c>
      <c r="H2229" s="150" t="str">
        <f t="shared" si="102"/>
        <v>5</v>
      </c>
      <c r="I2229" s="150" t="str">
        <f t="shared" si="103"/>
        <v>51</v>
      </c>
      <c r="J2229" s="150" t="str">
        <f t="shared" si="104"/>
        <v>513</v>
      </c>
      <c r="K2229" s="150" t="s">
        <v>7715</v>
      </c>
      <c r="L2229" s="152" t="s">
        <v>457</v>
      </c>
      <c r="M2229" s="153">
        <v>10958</v>
      </c>
    </row>
    <row r="2230" spans="1:13" x14ac:dyDescent="0.25">
      <c r="A2230" s="148" t="s">
        <v>7641</v>
      </c>
      <c r="B2230" s="152" t="s">
        <v>466</v>
      </c>
      <c r="C2230" s="152">
        <v>11</v>
      </c>
      <c r="D2230" s="152">
        <v>120</v>
      </c>
      <c r="E2230" s="152">
        <v>2</v>
      </c>
      <c r="F2230" s="152">
        <v>493080</v>
      </c>
      <c r="G2230" s="152">
        <v>51311</v>
      </c>
      <c r="H2230" s="150" t="str">
        <f t="shared" si="102"/>
        <v>5</v>
      </c>
      <c r="I2230" s="150" t="str">
        <f t="shared" si="103"/>
        <v>51</v>
      </c>
      <c r="J2230" s="150" t="str">
        <f t="shared" si="104"/>
        <v>513</v>
      </c>
      <c r="K2230" s="150" t="s">
        <v>7716</v>
      </c>
      <c r="L2230" s="152" t="s">
        <v>467</v>
      </c>
      <c r="M2230" s="153">
        <v>40554</v>
      </c>
    </row>
    <row r="2231" spans="1:13" x14ac:dyDescent="0.25">
      <c r="A2231" s="148" t="s">
        <v>7641</v>
      </c>
      <c r="B2231" s="152" t="s">
        <v>478</v>
      </c>
      <c r="C2231" s="152">
        <v>11</v>
      </c>
      <c r="D2231" s="152">
        <v>120</v>
      </c>
      <c r="E2231" s="152">
        <v>2</v>
      </c>
      <c r="F2231" s="152">
        <v>601000</v>
      </c>
      <c r="G2231" s="152">
        <v>51412</v>
      </c>
      <c r="H2231" s="150" t="str">
        <f t="shared" si="102"/>
        <v>5</v>
      </c>
      <c r="I2231" s="150" t="str">
        <f t="shared" si="103"/>
        <v>51</v>
      </c>
      <c r="J2231" s="150" t="str">
        <f t="shared" si="104"/>
        <v>514</v>
      </c>
      <c r="K2231" s="150" t="s">
        <v>7781</v>
      </c>
      <c r="L2231" s="152" t="s">
        <v>479</v>
      </c>
      <c r="M2231" s="153">
        <v>7000</v>
      </c>
    </row>
    <row r="2232" spans="1:13" x14ac:dyDescent="0.25">
      <c r="A2232" s="148" t="s">
        <v>7641</v>
      </c>
      <c r="B2232" s="152" t="s">
        <v>482</v>
      </c>
      <c r="C2232" s="152">
        <v>11</v>
      </c>
      <c r="D2232" s="152">
        <v>120</v>
      </c>
      <c r="E2232" s="152">
        <v>2</v>
      </c>
      <c r="F2232" s="152">
        <v>601000</v>
      </c>
      <c r="G2232" s="152">
        <v>52300</v>
      </c>
      <c r="H2232" s="150" t="str">
        <f t="shared" si="102"/>
        <v>5</v>
      </c>
      <c r="I2232" s="150" t="str">
        <f t="shared" si="103"/>
        <v>52</v>
      </c>
      <c r="J2232" s="150" t="str">
        <f t="shared" si="104"/>
        <v>523</v>
      </c>
      <c r="K2232" s="150" t="s">
        <v>7810</v>
      </c>
      <c r="L2232" s="152" t="s">
        <v>483</v>
      </c>
      <c r="M2232" s="153">
        <v>1000</v>
      </c>
    </row>
    <row r="2233" spans="1:13" x14ac:dyDescent="0.25">
      <c r="A2233" s="148" t="s">
        <v>7641</v>
      </c>
      <c r="B2233" s="152" t="s">
        <v>500</v>
      </c>
      <c r="C2233" s="152">
        <v>11</v>
      </c>
      <c r="D2233" s="152">
        <v>120</v>
      </c>
      <c r="E2233" s="152">
        <v>2</v>
      </c>
      <c r="F2233" s="152">
        <v>601000</v>
      </c>
      <c r="G2233" s="152">
        <v>54300</v>
      </c>
      <c r="H2233" s="150" t="str">
        <f t="shared" si="102"/>
        <v>5</v>
      </c>
      <c r="I2233" s="150" t="str">
        <f t="shared" si="103"/>
        <v>54</v>
      </c>
      <c r="J2233" s="150" t="str">
        <f t="shared" si="104"/>
        <v>543</v>
      </c>
      <c r="K2233" s="150" t="s">
        <v>7917</v>
      </c>
      <c r="L2233" s="152" t="s">
        <v>501</v>
      </c>
      <c r="M2233" s="153">
        <v>30000</v>
      </c>
    </row>
    <row r="2234" spans="1:13" x14ac:dyDescent="0.25">
      <c r="A2234" s="148" t="s">
        <v>7641</v>
      </c>
      <c r="B2234" s="152" t="s">
        <v>502</v>
      </c>
      <c r="C2234" s="152">
        <v>11</v>
      </c>
      <c r="D2234" s="152">
        <v>120</v>
      </c>
      <c r="E2234" s="152">
        <v>2</v>
      </c>
      <c r="F2234" s="152">
        <v>601000</v>
      </c>
      <c r="G2234" s="152">
        <v>55125</v>
      </c>
      <c r="H2234" s="150" t="str">
        <f t="shared" si="102"/>
        <v>5</v>
      </c>
      <c r="I2234" s="150" t="str">
        <f t="shared" si="103"/>
        <v>55</v>
      </c>
      <c r="J2234" s="150" t="str">
        <f t="shared" si="104"/>
        <v>551</v>
      </c>
      <c r="K2234" s="150" t="s">
        <v>8027</v>
      </c>
      <c r="L2234" s="152" t="s">
        <v>503</v>
      </c>
      <c r="M2234" s="153">
        <v>500</v>
      </c>
    </row>
    <row r="2235" spans="1:13" x14ac:dyDescent="0.25">
      <c r="A2235" s="148" t="s">
        <v>7641</v>
      </c>
      <c r="B2235" s="152" t="s">
        <v>504</v>
      </c>
      <c r="C2235" s="152">
        <v>11</v>
      </c>
      <c r="D2235" s="152">
        <v>120</v>
      </c>
      <c r="E2235" s="152">
        <v>2</v>
      </c>
      <c r="F2235" s="152">
        <v>601000</v>
      </c>
      <c r="G2235" s="152">
        <v>55200</v>
      </c>
      <c r="H2235" s="150" t="str">
        <f t="shared" si="102"/>
        <v>5</v>
      </c>
      <c r="I2235" s="150" t="str">
        <f t="shared" si="103"/>
        <v>55</v>
      </c>
      <c r="J2235" s="150" t="str">
        <f t="shared" si="104"/>
        <v>552</v>
      </c>
      <c r="K2235" s="150" t="s">
        <v>8039</v>
      </c>
      <c r="L2235" s="152" t="s">
        <v>505</v>
      </c>
      <c r="M2235" s="153">
        <v>4500</v>
      </c>
    </row>
    <row r="2236" spans="1:13" x14ac:dyDescent="0.25">
      <c r="A2236" s="148" t="s">
        <v>7641</v>
      </c>
      <c r="B2236" s="152" t="s">
        <v>506</v>
      </c>
      <c r="C2236" s="152">
        <v>11</v>
      </c>
      <c r="D2236" s="152">
        <v>120</v>
      </c>
      <c r="E2236" s="152">
        <v>2</v>
      </c>
      <c r="F2236" s="152">
        <v>601000</v>
      </c>
      <c r="G2236" s="152">
        <v>55210</v>
      </c>
      <c r="H2236" s="150" t="str">
        <f t="shared" si="102"/>
        <v>5</v>
      </c>
      <c r="I2236" s="150" t="str">
        <f t="shared" si="103"/>
        <v>55</v>
      </c>
      <c r="J2236" s="150" t="str">
        <f t="shared" si="104"/>
        <v>552</v>
      </c>
      <c r="K2236" s="150" t="s">
        <v>8073</v>
      </c>
      <c r="L2236" s="152" t="s">
        <v>507</v>
      </c>
      <c r="M2236" s="153">
        <v>10000</v>
      </c>
    </row>
    <row r="2237" spans="1:13" x14ac:dyDescent="0.25">
      <c r="A2237" s="148" t="s">
        <v>7641</v>
      </c>
      <c r="B2237" s="152" t="s">
        <v>508</v>
      </c>
      <c r="C2237" s="152">
        <v>11</v>
      </c>
      <c r="D2237" s="152">
        <v>120</v>
      </c>
      <c r="E2237" s="152">
        <v>2</v>
      </c>
      <c r="F2237" s="152">
        <v>601000</v>
      </c>
      <c r="G2237" s="152">
        <v>55630</v>
      </c>
      <c r="H2237" s="150" t="str">
        <f t="shared" si="102"/>
        <v>5</v>
      </c>
      <c r="I2237" s="150" t="str">
        <f t="shared" si="103"/>
        <v>55</v>
      </c>
      <c r="J2237" s="150" t="str">
        <f t="shared" si="104"/>
        <v>556</v>
      </c>
      <c r="K2237" s="150" t="s">
        <v>8173</v>
      </c>
      <c r="L2237" s="152" t="s">
        <v>509</v>
      </c>
      <c r="M2237" s="153">
        <v>1500</v>
      </c>
    </row>
    <row r="2238" spans="1:13" x14ac:dyDescent="0.25">
      <c r="A2238" s="148" t="s">
        <v>7641</v>
      </c>
      <c r="B2238" s="152" t="s">
        <v>510</v>
      </c>
      <c r="C2238" s="152">
        <v>11</v>
      </c>
      <c r="D2238" s="152">
        <v>120</v>
      </c>
      <c r="E2238" s="152">
        <v>2</v>
      </c>
      <c r="F2238" s="152">
        <v>601000</v>
      </c>
      <c r="G2238" s="152">
        <v>55650</v>
      </c>
      <c r="H2238" s="150" t="str">
        <f t="shared" si="102"/>
        <v>5</v>
      </c>
      <c r="I2238" s="150" t="str">
        <f t="shared" si="103"/>
        <v>55</v>
      </c>
      <c r="J2238" s="150" t="str">
        <f t="shared" si="104"/>
        <v>556</v>
      </c>
      <c r="K2238" s="150" t="s">
        <v>8286</v>
      </c>
      <c r="L2238" s="152" t="s">
        <v>511</v>
      </c>
      <c r="M2238" s="153">
        <v>42340</v>
      </c>
    </row>
    <row r="2239" spans="1:13" x14ac:dyDescent="0.25">
      <c r="A2239" s="148" t="s">
        <v>7641</v>
      </c>
      <c r="B2239" s="152" t="s">
        <v>512</v>
      </c>
      <c r="C2239" s="152">
        <v>11</v>
      </c>
      <c r="D2239" s="152">
        <v>120</v>
      </c>
      <c r="E2239" s="152">
        <v>2</v>
      </c>
      <c r="F2239" s="152">
        <v>601000</v>
      </c>
      <c r="G2239" s="152">
        <v>55830</v>
      </c>
      <c r="H2239" s="150" t="str">
        <f t="shared" si="102"/>
        <v>5</v>
      </c>
      <c r="I2239" s="150" t="str">
        <f t="shared" si="103"/>
        <v>55</v>
      </c>
      <c r="J2239" s="150" t="str">
        <f t="shared" si="104"/>
        <v>558</v>
      </c>
      <c r="K2239" s="150" t="s">
        <v>8347</v>
      </c>
      <c r="L2239" s="152" t="s">
        <v>513</v>
      </c>
      <c r="M2239" s="153">
        <v>10000</v>
      </c>
    </row>
    <row r="2240" spans="1:13" x14ac:dyDescent="0.25">
      <c r="A2240" s="148" t="s">
        <v>7641</v>
      </c>
      <c r="B2240" s="152" t="s">
        <v>514</v>
      </c>
      <c r="C2240" s="152">
        <v>11</v>
      </c>
      <c r="D2240" s="152">
        <v>120</v>
      </c>
      <c r="E2240" s="152">
        <v>2</v>
      </c>
      <c r="F2240" s="152">
        <v>601000</v>
      </c>
      <c r="G2240" s="152">
        <v>56400</v>
      </c>
      <c r="H2240" s="150" t="str">
        <f t="shared" si="102"/>
        <v>5</v>
      </c>
      <c r="I2240" s="150" t="str">
        <f t="shared" si="103"/>
        <v>56</v>
      </c>
      <c r="J2240" s="150" t="str">
        <f t="shared" si="104"/>
        <v>564</v>
      </c>
      <c r="K2240" s="150" t="s">
        <v>8368</v>
      </c>
      <c r="L2240" s="152" t="s">
        <v>515</v>
      </c>
      <c r="M2240" s="153">
        <v>6000</v>
      </c>
    </row>
    <row r="2241" spans="1:13" x14ac:dyDescent="0.25">
      <c r="A2241" s="148" t="s">
        <v>7641</v>
      </c>
      <c r="B2241" s="152" t="s">
        <v>516</v>
      </c>
      <c r="C2241" s="152">
        <v>11</v>
      </c>
      <c r="D2241" s="152">
        <v>120</v>
      </c>
      <c r="E2241" s="152">
        <v>2</v>
      </c>
      <c r="F2241" s="152">
        <v>612000</v>
      </c>
      <c r="G2241" s="152">
        <v>51411</v>
      </c>
      <c r="H2241" s="150" t="str">
        <f t="shared" si="102"/>
        <v>5</v>
      </c>
      <c r="I2241" s="150" t="str">
        <f t="shared" si="103"/>
        <v>51</v>
      </c>
      <c r="J2241" s="150" t="str">
        <f t="shared" si="104"/>
        <v>514</v>
      </c>
      <c r="K2241" s="150" t="s">
        <v>7775</v>
      </c>
      <c r="L2241" s="152" t="s">
        <v>517</v>
      </c>
      <c r="M2241" s="153">
        <v>30000</v>
      </c>
    </row>
    <row r="2242" spans="1:13" x14ac:dyDescent="0.25">
      <c r="A2242" s="148" t="s">
        <v>7641</v>
      </c>
      <c r="B2242" s="152" t="s">
        <v>526</v>
      </c>
      <c r="C2242" s="152">
        <v>11</v>
      </c>
      <c r="D2242" s="152">
        <v>120</v>
      </c>
      <c r="E2242" s="152">
        <v>2</v>
      </c>
      <c r="F2242" s="152">
        <v>612000</v>
      </c>
      <c r="G2242" s="152">
        <v>55630</v>
      </c>
      <c r="H2242" s="150" t="str">
        <f t="shared" si="102"/>
        <v>5</v>
      </c>
      <c r="I2242" s="150" t="str">
        <f t="shared" si="103"/>
        <v>55</v>
      </c>
      <c r="J2242" s="150" t="str">
        <f t="shared" si="104"/>
        <v>556</v>
      </c>
      <c r="K2242" s="150" t="s">
        <v>8174</v>
      </c>
      <c r="L2242" s="152" t="s">
        <v>527</v>
      </c>
      <c r="M2242" s="153">
        <v>82</v>
      </c>
    </row>
    <row r="2243" spans="1:13" x14ac:dyDescent="0.25">
      <c r="A2243" s="148" t="s">
        <v>7641</v>
      </c>
      <c r="B2243" s="152" t="s">
        <v>528</v>
      </c>
      <c r="C2243" s="152">
        <v>11</v>
      </c>
      <c r="D2243" s="152">
        <v>120</v>
      </c>
      <c r="E2243" s="152">
        <v>2</v>
      </c>
      <c r="F2243" s="152">
        <v>631000</v>
      </c>
      <c r="G2243" s="152">
        <v>51311</v>
      </c>
      <c r="H2243" s="150" t="str">
        <f t="shared" ref="H2243:H2306" si="105">LEFT(G2243,1)</f>
        <v>5</v>
      </c>
      <c r="I2243" s="150" t="str">
        <f t="shared" ref="I2243:I2306" si="106">LEFT(G2243,2)</f>
        <v>51</v>
      </c>
      <c r="J2243" s="150" t="str">
        <f t="shared" ref="J2243:J2306" si="107">LEFT(G2243,3)</f>
        <v>513</v>
      </c>
      <c r="K2243" s="150" t="s">
        <v>7717</v>
      </c>
      <c r="L2243" s="152" t="s">
        <v>529</v>
      </c>
      <c r="M2243" s="153">
        <v>25000</v>
      </c>
    </row>
    <row r="2244" spans="1:13" x14ac:dyDescent="0.25">
      <c r="A2244" s="148" t="s">
        <v>7641</v>
      </c>
      <c r="B2244" s="152" t="s">
        <v>530</v>
      </c>
      <c r="C2244" s="152">
        <v>11</v>
      </c>
      <c r="D2244" s="152">
        <v>120</v>
      </c>
      <c r="E2244" s="152">
        <v>2</v>
      </c>
      <c r="F2244" s="152">
        <v>631000</v>
      </c>
      <c r="G2244" s="152">
        <v>51411</v>
      </c>
      <c r="H2244" s="150" t="str">
        <f t="shared" si="105"/>
        <v>5</v>
      </c>
      <c r="I2244" s="150" t="str">
        <f t="shared" si="106"/>
        <v>51</v>
      </c>
      <c r="J2244" s="150" t="str">
        <f t="shared" si="107"/>
        <v>514</v>
      </c>
      <c r="K2244" s="150" t="s">
        <v>7776</v>
      </c>
      <c r="L2244" s="152" t="s">
        <v>531</v>
      </c>
      <c r="M2244" s="153">
        <v>16769</v>
      </c>
    </row>
    <row r="2245" spans="1:13" x14ac:dyDescent="0.25">
      <c r="A2245" s="148" t="s">
        <v>7641</v>
      </c>
      <c r="B2245" s="152" t="s">
        <v>548</v>
      </c>
      <c r="C2245" s="152">
        <v>11</v>
      </c>
      <c r="D2245" s="152">
        <v>120</v>
      </c>
      <c r="E2245" s="152">
        <v>2</v>
      </c>
      <c r="F2245" s="152">
        <v>631000</v>
      </c>
      <c r="G2245" s="152">
        <v>55630</v>
      </c>
      <c r="H2245" s="150" t="str">
        <f t="shared" si="105"/>
        <v>5</v>
      </c>
      <c r="I2245" s="150" t="str">
        <f t="shared" si="106"/>
        <v>55</v>
      </c>
      <c r="J2245" s="150" t="str">
        <f t="shared" si="107"/>
        <v>556</v>
      </c>
      <c r="K2245" s="150" t="s">
        <v>8175</v>
      </c>
      <c r="L2245" s="152" t="s">
        <v>549</v>
      </c>
      <c r="M2245" s="153">
        <v>182</v>
      </c>
    </row>
    <row r="2246" spans="1:13" x14ac:dyDescent="0.25">
      <c r="A2246" s="148" t="s">
        <v>7641</v>
      </c>
      <c r="B2246" s="152" t="s">
        <v>550</v>
      </c>
      <c r="C2246" s="152">
        <v>11</v>
      </c>
      <c r="D2246" s="152">
        <v>120</v>
      </c>
      <c r="E2246" s="152">
        <v>2</v>
      </c>
      <c r="F2246" s="152">
        <v>657000</v>
      </c>
      <c r="G2246" s="152">
        <v>55530</v>
      </c>
      <c r="H2246" s="150" t="str">
        <f t="shared" si="105"/>
        <v>5</v>
      </c>
      <c r="I2246" s="150" t="str">
        <f t="shared" si="106"/>
        <v>55</v>
      </c>
      <c r="J2246" s="150" t="str">
        <f t="shared" si="107"/>
        <v>555</v>
      </c>
      <c r="K2246" s="150" t="s">
        <v>8116</v>
      </c>
      <c r="L2246" s="152" t="s">
        <v>551</v>
      </c>
      <c r="M2246" s="153">
        <v>22290</v>
      </c>
    </row>
    <row r="2247" spans="1:13" x14ac:dyDescent="0.25">
      <c r="A2247" s="148" t="s">
        <v>7641</v>
      </c>
      <c r="B2247" s="152" t="s">
        <v>552</v>
      </c>
      <c r="C2247" s="152">
        <v>11</v>
      </c>
      <c r="D2247" s="152">
        <v>120</v>
      </c>
      <c r="E2247" s="152">
        <v>2</v>
      </c>
      <c r="F2247" s="152">
        <v>657000</v>
      </c>
      <c r="G2247" s="152">
        <v>55540</v>
      </c>
      <c r="H2247" s="150" t="str">
        <f t="shared" si="105"/>
        <v>5</v>
      </c>
      <c r="I2247" s="150" t="str">
        <f t="shared" si="106"/>
        <v>55</v>
      </c>
      <c r="J2247" s="150" t="str">
        <f t="shared" si="107"/>
        <v>555</v>
      </c>
      <c r="K2247" s="150" t="s">
        <v>8122</v>
      </c>
      <c r="L2247" s="152" t="s">
        <v>553</v>
      </c>
      <c r="M2247" s="153">
        <v>1161</v>
      </c>
    </row>
    <row r="2248" spans="1:13" x14ac:dyDescent="0.25">
      <c r="A2248" s="148" t="s">
        <v>7641</v>
      </c>
      <c r="B2248" s="152" t="s">
        <v>554</v>
      </c>
      <c r="C2248" s="152">
        <v>11</v>
      </c>
      <c r="D2248" s="152">
        <v>120</v>
      </c>
      <c r="E2248" s="152">
        <v>2</v>
      </c>
      <c r="F2248" s="152">
        <v>657000</v>
      </c>
      <c r="G2248" s="152">
        <v>55560</v>
      </c>
      <c r="H2248" s="150" t="str">
        <f t="shared" si="105"/>
        <v>5</v>
      </c>
      <c r="I2248" s="150" t="str">
        <f t="shared" si="106"/>
        <v>55</v>
      </c>
      <c r="J2248" s="150" t="str">
        <f t="shared" si="107"/>
        <v>555</v>
      </c>
      <c r="K2248" s="150" t="s">
        <v>8135</v>
      </c>
      <c r="L2248" s="152" t="s">
        <v>555</v>
      </c>
      <c r="M2248" s="153">
        <v>7769</v>
      </c>
    </row>
    <row r="2249" spans="1:13" x14ac:dyDescent="0.25">
      <c r="A2249" s="148" t="s">
        <v>7641</v>
      </c>
      <c r="B2249" s="152" t="s">
        <v>556</v>
      </c>
      <c r="C2249" s="152">
        <v>11</v>
      </c>
      <c r="D2249" s="152">
        <v>120</v>
      </c>
      <c r="E2249" s="152">
        <v>2</v>
      </c>
      <c r="F2249" s="152">
        <v>657000</v>
      </c>
      <c r="G2249" s="152">
        <v>55580</v>
      </c>
      <c r="H2249" s="150" t="str">
        <f t="shared" si="105"/>
        <v>5</v>
      </c>
      <c r="I2249" s="150" t="str">
        <f t="shared" si="106"/>
        <v>55</v>
      </c>
      <c r="J2249" s="150" t="str">
        <f t="shared" si="107"/>
        <v>555</v>
      </c>
      <c r="K2249" s="150" t="s">
        <v>8145</v>
      </c>
      <c r="L2249" s="152" t="s">
        <v>557</v>
      </c>
      <c r="M2249" s="153">
        <v>4597</v>
      </c>
    </row>
    <row r="2250" spans="1:13" x14ac:dyDescent="0.25">
      <c r="A2250" s="148" t="s">
        <v>7641</v>
      </c>
      <c r="B2250" s="152" t="s">
        <v>558</v>
      </c>
      <c r="C2250" s="152">
        <v>11</v>
      </c>
      <c r="D2250" s="152">
        <v>120</v>
      </c>
      <c r="E2250" s="152">
        <v>2</v>
      </c>
      <c r="F2250" s="152">
        <v>700400</v>
      </c>
      <c r="G2250" s="152">
        <v>55630</v>
      </c>
      <c r="H2250" s="150" t="str">
        <f t="shared" si="105"/>
        <v>5</v>
      </c>
      <c r="I2250" s="150" t="str">
        <f t="shared" si="106"/>
        <v>55</v>
      </c>
      <c r="J2250" s="150" t="str">
        <f t="shared" si="107"/>
        <v>556</v>
      </c>
      <c r="K2250" s="150" t="s">
        <v>8176</v>
      </c>
      <c r="L2250" s="152" t="s">
        <v>559</v>
      </c>
      <c r="M2250" s="153">
        <v>0</v>
      </c>
    </row>
    <row r="2251" spans="1:13" x14ac:dyDescent="0.25">
      <c r="A2251" s="148" t="s">
        <v>7641</v>
      </c>
      <c r="B2251" s="152" t="s">
        <v>566</v>
      </c>
      <c r="C2251" s="152">
        <v>11</v>
      </c>
      <c r="D2251" s="152">
        <v>140</v>
      </c>
      <c r="E2251" s="152">
        <v>0</v>
      </c>
      <c r="F2251" s="152">
        <v>684000</v>
      </c>
      <c r="G2251" s="152">
        <v>52350</v>
      </c>
      <c r="H2251" s="150" t="str">
        <f t="shared" si="105"/>
        <v>5</v>
      </c>
      <c r="I2251" s="150" t="str">
        <f t="shared" si="106"/>
        <v>52</v>
      </c>
      <c r="J2251" s="150" t="str">
        <f t="shared" si="107"/>
        <v>523</v>
      </c>
      <c r="K2251" s="150" t="s">
        <v>7850</v>
      </c>
      <c r="L2251" s="152" t="s">
        <v>567</v>
      </c>
      <c r="M2251" s="153">
        <v>7385</v>
      </c>
    </row>
    <row r="2252" spans="1:13" x14ac:dyDescent="0.25">
      <c r="A2252" s="148" t="s">
        <v>7641</v>
      </c>
      <c r="B2252" s="152" t="s">
        <v>574</v>
      </c>
      <c r="C2252" s="152">
        <v>11</v>
      </c>
      <c r="D2252" s="152">
        <v>140</v>
      </c>
      <c r="E2252" s="152">
        <v>0</v>
      </c>
      <c r="F2252" s="152">
        <v>684000</v>
      </c>
      <c r="G2252" s="152">
        <v>54300</v>
      </c>
      <c r="H2252" s="150" t="str">
        <f t="shared" si="105"/>
        <v>5</v>
      </c>
      <c r="I2252" s="150" t="str">
        <f t="shared" si="106"/>
        <v>54</v>
      </c>
      <c r="J2252" s="150" t="str">
        <f t="shared" si="107"/>
        <v>543</v>
      </c>
      <c r="K2252" s="150" t="s">
        <v>7918</v>
      </c>
      <c r="L2252" s="152" t="s">
        <v>575</v>
      </c>
      <c r="M2252" s="153">
        <v>3000</v>
      </c>
    </row>
    <row r="2253" spans="1:13" x14ac:dyDescent="0.25">
      <c r="A2253" s="148" t="s">
        <v>7641</v>
      </c>
      <c r="B2253" s="152" t="s">
        <v>576</v>
      </c>
      <c r="C2253" s="152">
        <v>11</v>
      </c>
      <c r="D2253" s="152">
        <v>140</v>
      </c>
      <c r="E2253" s="152">
        <v>0</v>
      </c>
      <c r="F2253" s="152">
        <v>684000</v>
      </c>
      <c r="G2253" s="152">
        <v>55100</v>
      </c>
      <c r="H2253" s="150" t="str">
        <f t="shared" si="105"/>
        <v>5</v>
      </c>
      <c r="I2253" s="150" t="str">
        <f t="shared" si="106"/>
        <v>55</v>
      </c>
      <c r="J2253" s="150" t="str">
        <f t="shared" si="107"/>
        <v>551</v>
      </c>
      <c r="K2253" s="150" t="s">
        <v>7996</v>
      </c>
      <c r="L2253" s="152" t="s">
        <v>577</v>
      </c>
      <c r="M2253" s="153">
        <v>130</v>
      </c>
    </row>
    <row r="2254" spans="1:13" x14ac:dyDescent="0.25">
      <c r="A2254" s="148" t="s">
        <v>7641</v>
      </c>
      <c r="B2254" s="152" t="s">
        <v>578</v>
      </c>
      <c r="C2254" s="152">
        <v>11</v>
      </c>
      <c r="D2254" s="152">
        <v>140</v>
      </c>
      <c r="E2254" s="152">
        <v>0</v>
      </c>
      <c r="F2254" s="152">
        <v>684000</v>
      </c>
      <c r="G2254" s="152">
        <v>55105</v>
      </c>
      <c r="H2254" s="150" t="str">
        <f t="shared" si="105"/>
        <v>5</v>
      </c>
      <c r="I2254" s="150" t="str">
        <f t="shared" si="106"/>
        <v>55</v>
      </c>
      <c r="J2254" s="150" t="str">
        <f t="shared" si="107"/>
        <v>551</v>
      </c>
      <c r="K2254" s="150" t="s">
        <v>8003</v>
      </c>
      <c r="L2254" s="152" t="s">
        <v>579</v>
      </c>
      <c r="M2254" s="153">
        <v>71792</v>
      </c>
    </row>
    <row r="2255" spans="1:13" x14ac:dyDescent="0.25">
      <c r="A2255" s="148" t="s">
        <v>7641</v>
      </c>
      <c r="B2255" s="152" t="s">
        <v>580</v>
      </c>
      <c r="C2255" s="152">
        <v>11</v>
      </c>
      <c r="D2255" s="152">
        <v>140</v>
      </c>
      <c r="E2255" s="152">
        <v>0</v>
      </c>
      <c r="F2255" s="152">
        <v>684000</v>
      </c>
      <c r="G2255" s="152">
        <v>55200</v>
      </c>
      <c r="H2255" s="150" t="str">
        <f t="shared" si="105"/>
        <v>5</v>
      </c>
      <c r="I2255" s="150" t="str">
        <f t="shared" si="106"/>
        <v>55</v>
      </c>
      <c r="J2255" s="150" t="str">
        <f t="shared" si="107"/>
        <v>552</v>
      </c>
      <c r="K2255" s="150" t="s">
        <v>8041</v>
      </c>
      <c r="L2255" s="152" t="s">
        <v>581</v>
      </c>
      <c r="M2255" s="153">
        <v>9000</v>
      </c>
    </row>
    <row r="2256" spans="1:13" x14ac:dyDescent="0.25">
      <c r="A2256" s="148" t="s">
        <v>7641</v>
      </c>
      <c r="B2256" s="152" t="s">
        <v>582</v>
      </c>
      <c r="C2256" s="152">
        <v>11</v>
      </c>
      <c r="D2256" s="152">
        <v>140</v>
      </c>
      <c r="E2256" s="152">
        <v>0</v>
      </c>
      <c r="F2256" s="152">
        <v>684000</v>
      </c>
      <c r="G2256" s="152">
        <v>55300</v>
      </c>
      <c r="H2256" s="150" t="str">
        <f t="shared" si="105"/>
        <v>5</v>
      </c>
      <c r="I2256" s="150" t="str">
        <f t="shared" si="106"/>
        <v>55</v>
      </c>
      <c r="J2256" s="150" t="str">
        <f t="shared" si="107"/>
        <v>553</v>
      </c>
      <c r="K2256" s="150" t="s">
        <v>8081</v>
      </c>
      <c r="L2256" s="152" t="s">
        <v>583</v>
      </c>
      <c r="M2256" s="153">
        <v>2000</v>
      </c>
    </row>
    <row r="2257" spans="1:13" x14ac:dyDescent="0.25">
      <c r="A2257" s="148" t="s">
        <v>7641</v>
      </c>
      <c r="B2257" s="152" t="s">
        <v>584</v>
      </c>
      <c r="C2257" s="152">
        <v>11</v>
      </c>
      <c r="D2257" s="152">
        <v>140</v>
      </c>
      <c r="E2257" s="152">
        <v>0</v>
      </c>
      <c r="F2257" s="152">
        <v>684000</v>
      </c>
      <c r="G2257" s="152">
        <v>55630</v>
      </c>
      <c r="H2257" s="150" t="str">
        <f t="shared" si="105"/>
        <v>5</v>
      </c>
      <c r="I2257" s="150" t="str">
        <f t="shared" si="106"/>
        <v>55</v>
      </c>
      <c r="J2257" s="150" t="str">
        <f t="shared" si="107"/>
        <v>556</v>
      </c>
      <c r="K2257" s="150" t="s">
        <v>8178</v>
      </c>
      <c r="L2257" s="152" t="s">
        <v>215</v>
      </c>
      <c r="M2257" s="153">
        <v>1000</v>
      </c>
    </row>
    <row r="2258" spans="1:13" x14ac:dyDescent="0.25">
      <c r="A2258" s="148" t="s">
        <v>7641</v>
      </c>
      <c r="B2258" s="152" t="s">
        <v>585</v>
      </c>
      <c r="C2258" s="152">
        <v>11</v>
      </c>
      <c r="D2258" s="152">
        <v>140</v>
      </c>
      <c r="E2258" s="152">
        <v>0</v>
      </c>
      <c r="F2258" s="152">
        <v>684000</v>
      </c>
      <c r="G2258" s="152">
        <v>55635</v>
      </c>
      <c r="H2258" s="150" t="str">
        <f t="shared" si="105"/>
        <v>5</v>
      </c>
      <c r="I2258" s="150" t="str">
        <f t="shared" si="106"/>
        <v>55</v>
      </c>
      <c r="J2258" s="150" t="str">
        <f t="shared" si="107"/>
        <v>556</v>
      </c>
      <c r="K2258" s="150" t="s">
        <v>8276</v>
      </c>
      <c r="L2258" s="152" t="s">
        <v>586</v>
      </c>
      <c r="M2258" s="153">
        <v>800</v>
      </c>
    </row>
    <row r="2259" spans="1:13" x14ac:dyDescent="0.25">
      <c r="A2259" s="148" t="s">
        <v>7641</v>
      </c>
      <c r="B2259" s="152" t="s">
        <v>587</v>
      </c>
      <c r="C2259" s="152">
        <v>11</v>
      </c>
      <c r="D2259" s="152">
        <v>140</v>
      </c>
      <c r="E2259" s="152">
        <v>0</v>
      </c>
      <c r="F2259" s="152">
        <v>684000</v>
      </c>
      <c r="G2259" s="152">
        <v>55810</v>
      </c>
      <c r="H2259" s="150" t="str">
        <f t="shared" si="105"/>
        <v>5</v>
      </c>
      <c r="I2259" s="150" t="str">
        <f t="shared" si="106"/>
        <v>55</v>
      </c>
      <c r="J2259" s="150" t="str">
        <f t="shared" si="107"/>
        <v>558</v>
      </c>
      <c r="K2259" s="150" t="s">
        <v>8338</v>
      </c>
      <c r="L2259" s="152" t="s">
        <v>588</v>
      </c>
      <c r="M2259" s="153">
        <v>500</v>
      </c>
    </row>
    <row r="2260" spans="1:13" x14ac:dyDescent="0.25">
      <c r="A2260" s="148" t="s">
        <v>7641</v>
      </c>
      <c r="B2260" s="152" t="s">
        <v>589</v>
      </c>
      <c r="C2260" s="152">
        <v>11</v>
      </c>
      <c r="D2260" s="152">
        <v>140</v>
      </c>
      <c r="E2260" s="152">
        <v>0</v>
      </c>
      <c r="F2260" s="152">
        <v>684000</v>
      </c>
      <c r="G2260" s="152">
        <v>55830</v>
      </c>
      <c r="H2260" s="150" t="str">
        <f t="shared" si="105"/>
        <v>5</v>
      </c>
      <c r="I2260" s="150" t="str">
        <f t="shared" si="106"/>
        <v>55</v>
      </c>
      <c r="J2260" s="150" t="str">
        <f t="shared" si="107"/>
        <v>558</v>
      </c>
      <c r="K2260" s="150" t="s">
        <v>8348</v>
      </c>
      <c r="L2260" s="152" t="s">
        <v>590</v>
      </c>
      <c r="M2260" s="153">
        <v>282000</v>
      </c>
    </row>
    <row r="2261" spans="1:13" x14ac:dyDescent="0.25">
      <c r="A2261" s="148" t="s">
        <v>7641</v>
      </c>
      <c r="B2261" s="152" t="s">
        <v>591</v>
      </c>
      <c r="C2261" s="152">
        <v>11</v>
      </c>
      <c r="D2261" s="152">
        <v>140</v>
      </c>
      <c r="E2261" s="152">
        <v>0</v>
      </c>
      <c r="F2261" s="152">
        <v>684000</v>
      </c>
      <c r="G2261" s="152">
        <v>56400</v>
      </c>
      <c r="H2261" s="150" t="str">
        <f t="shared" si="105"/>
        <v>5</v>
      </c>
      <c r="I2261" s="150" t="str">
        <f t="shared" si="106"/>
        <v>56</v>
      </c>
      <c r="J2261" s="150" t="str">
        <f t="shared" si="107"/>
        <v>564</v>
      </c>
      <c r="K2261" s="150" t="s">
        <v>8369</v>
      </c>
      <c r="L2261" s="152" t="s">
        <v>592</v>
      </c>
      <c r="M2261" s="153">
        <v>2794</v>
      </c>
    </row>
    <row r="2262" spans="1:13" x14ac:dyDescent="0.25">
      <c r="A2262" s="148" t="s">
        <v>7641</v>
      </c>
      <c r="B2262" s="152" t="s">
        <v>643</v>
      </c>
      <c r="C2262" s="152">
        <v>11</v>
      </c>
      <c r="D2262" s="152">
        <v>200</v>
      </c>
      <c r="E2262" s="152">
        <v>0</v>
      </c>
      <c r="F2262" s="152">
        <v>677100</v>
      </c>
      <c r="G2262" s="152">
        <v>54300</v>
      </c>
      <c r="H2262" s="150" t="str">
        <f t="shared" si="105"/>
        <v>5</v>
      </c>
      <c r="I2262" s="150" t="str">
        <f t="shared" si="106"/>
        <v>54</v>
      </c>
      <c r="J2262" s="150" t="str">
        <f t="shared" si="107"/>
        <v>543</v>
      </c>
      <c r="K2262" s="150" t="s">
        <v>7920</v>
      </c>
      <c r="L2262" s="152" t="s">
        <v>644</v>
      </c>
      <c r="M2262" s="153">
        <v>956</v>
      </c>
    </row>
    <row r="2263" spans="1:13" x14ac:dyDescent="0.25">
      <c r="A2263" s="148" t="s">
        <v>7641</v>
      </c>
      <c r="B2263" s="156" t="s">
        <v>645</v>
      </c>
      <c r="C2263" s="156">
        <v>11</v>
      </c>
      <c r="D2263" s="156">
        <v>200</v>
      </c>
      <c r="E2263" s="156">
        <v>0</v>
      </c>
      <c r="F2263" s="156">
        <v>677100</v>
      </c>
      <c r="G2263" s="156">
        <v>55105</v>
      </c>
      <c r="H2263" s="150" t="str">
        <f t="shared" si="105"/>
        <v>5</v>
      </c>
      <c r="I2263" s="150" t="str">
        <f t="shared" si="106"/>
        <v>55</v>
      </c>
      <c r="J2263" s="150" t="str">
        <f t="shared" si="107"/>
        <v>551</v>
      </c>
      <c r="K2263" s="150" t="s">
        <v>8004</v>
      </c>
      <c r="L2263" s="156" t="s">
        <v>646</v>
      </c>
      <c r="M2263" s="157">
        <v>630185</v>
      </c>
    </row>
    <row r="2264" spans="1:13" x14ac:dyDescent="0.25">
      <c r="A2264" s="148" t="s">
        <v>7641</v>
      </c>
      <c r="B2264" s="152" t="s">
        <v>647</v>
      </c>
      <c r="C2264" s="152">
        <v>11</v>
      </c>
      <c r="D2264" s="152">
        <v>200</v>
      </c>
      <c r="E2264" s="152">
        <v>0</v>
      </c>
      <c r="F2264" s="152">
        <v>677100</v>
      </c>
      <c r="G2264" s="152">
        <v>55630</v>
      </c>
      <c r="H2264" s="150" t="str">
        <f t="shared" si="105"/>
        <v>5</v>
      </c>
      <c r="I2264" s="150" t="str">
        <f t="shared" si="106"/>
        <v>55</v>
      </c>
      <c r="J2264" s="150" t="str">
        <f t="shared" si="107"/>
        <v>556</v>
      </c>
      <c r="K2264" s="150" t="s">
        <v>8180</v>
      </c>
      <c r="L2264" s="152" t="s">
        <v>648</v>
      </c>
      <c r="M2264" s="153">
        <v>6</v>
      </c>
    </row>
    <row r="2265" spans="1:13" x14ac:dyDescent="0.25">
      <c r="A2265" s="148" t="s">
        <v>7641</v>
      </c>
      <c r="B2265" s="152" t="s">
        <v>649</v>
      </c>
      <c r="C2265" s="152">
        <v>11</v>
      </c>
      <c r="D2265" s="152">
        <v>200</v>
      </c>
      <c r="E2265" s="152">
        <v>0</v>
      </c>
      <c r="F2265" s="152">
        <v>695000</v>
      </c>
      <c r="G2265" s="152">
        <v>55800</v>
      </c>
      <c r="H2265" s="150" t="str">
        <f t="shared" si="105"/>
        <v>5</v>
      </c>
      <c r="I2265" s="150" t="str">
        <f t="shared" si="106"/>
        <v>55</v>
      </c>
      <c r="J2265" s="150" t="str">
        <f t="shared" si="107"/>
        <v>558</v>
      </c>
      <c r="K2265" s="150" t="s">
        <v>8333</v>
      </c>
      <c r="L2265" s="152" t="s">
        <v>650</v>
      </c>
      <c r="M2265" s="153">
        <v>27455</v>
      </c>
    </row>
    <row r="2266" spans="1:13" x14ac:dyDescent="0.25">
      <c r="A2266" s="148" t="s">
        <v>7641</v>
      </c>
      <c r="B2266" s="152" t="s">
        <v>800</v>
      </c>
      <c r="C2266" s="152">
        <v>11</v>
      </c>
      <c r="D2266" s="152">
        <v>210</v>
      </c>
      <c r="E2266" s="152">
        <v>0</v>
      </c>
      <c r="F2266" s="152">
        <v>677020</v>
      </c>
      <c r="G2266" s="152">
        <v>54300</v>
      </c>
      <c r="H2266" s="150" t="str">
        <f t="shared" si="105"/>
        <v>5</v>
      </c>
      <c r="I2266" s="150" t="str">
        <f t="shared" si="106"/>
        <v>54</v>
      </c>
      <c r="J2266" s="150" t="str">
        <f t="shared" si="107"/>
        <v>543</v>
      </c>
      <c r="K2266" s="150" t="s">
        <v>7923</v>
      </c>
      <c r="L2266" s="152" t="s">
        <v>801</v>
      </c>
      <c r="M2266" s="153">
        <v>5000</v>
      </c>
    </row>
    <row r="2267" spans="1:13" x14ac:dyDescent="0.25">
      <c r="A2267" s="148" t="s">
        <v>7641</v>
      </c>
      <c r="B2267" s="152" t="s">
        <v>802</v>
      </c>
      <c r="C2267" s="152">
        <v>11</v>
      </c>
      <c r="D2267" s="152">
        <v>210</v>
      </c>
      <c r="E2267" s="152">
        <v>0</v>
      </c>
      <c r="F2267" s="152">
        <v>677020</v>
      </c>
      <c r="G2267" s="152">
        <v>55200</v>
      </c>
      <c r="H2267" s="150" t="str">
        <f t="shared" si="105"/>
        <v>5</v>
      </c>
      <c r="I2267" s="150" t="str">
        <f t="shared" si="106"/>
        <v>55</v>
      </c>
      <c r="J2267" s="150" t="str">
        <f t="shared" si="107"/>
        <v>552</v>
      </c>
      <c r="K2267" s="150" t="s">
        <v>8044</v>
      </c>
      <c r="L2267" s="152" t="s">
        <v>803</v>
      </c>
      <c r="M2267" s="153">
        <v>1000</v>
      </c>
    </row>
    <row r="2268" spans="1:13" x14ac:dyDescent="0.25">
      <c r="A2268" s="148" t="s">
        <v>7641</v>
      </c>
      <c r="B2268" s="152" t="s">
        <v>804</v>
      </c>
      <c r="C2268" s="152">
        <v>11</v>
      </c>
      <c r="D2268" s="152">
        <v>210</v>
      </c>
      <c r="E2268" s="152">
        <v>0</v>
      </c>
      <c r="F2268" s="152">
        <v>677020</v>
      </c>
      <c r="G2268" s="152">
        <v>55300</v>
      </c>
      <c r="H2268" s="150" t="str">
        <f t="shared" si="105"/>
        <v>5</v>
      </c>
      <c r="I2268" s="150" t="str">
        <f t="shared" si="106"/>
        <v>55</v>
      </c>
      <c r="J2268" s="150" t="str">
        <f t="shared" si="107"/>
        <v>553</v>
      </c>
      <c r="K2268" s="150" t="s">
        <v>8084</v>
      </c>
      <c r="L2268" s="152" t="s">
        <v>805</v>
      </c>
      <c r="M2268" s="153">
        <v>500</v>
      </c>
    </row>
    <row r="2269" spans="1:13" x14ac:dyDescent="0.25">
      <c r="A2269" s="148" t="s">
        <v>7641</v>
      </c>
      <c r="B2269" s="152" t="s">
        <v>806</v>
      </c>
      <c r="C2269" s="152">
        <v>11</v>
      </c>
      <c r="D2269" s="152">
        <v>210</v>
      </c>
      <c r="E2269" s="152">
        <v>0</v>
      </c>
      <c r="F2269" s="152">
        <v>677020</v>
      </c>
      <c r="G2269" s="152">
        <v>55550</v>
      </c>
      <c r="H2269" s="150" t="str">
        <f t="shared" si="105"/>
        <v>5</v>
      </c>
      <c r="I2269" s="150" t="str">
        <f t="shared" si="106"/>
        <v>55</v>
      </c>
      <c r="J2269" s="150" t="str">
        <f t="shared" si="107"/>
        <v>555</v>
      </c>
      <c r="K2269" s="150" t="s">
        <v>8130</v>
      </c>
      <c r="L2269" s="152" t="s">
        <v>807</v>
      </c>
      <c r="M2269" s="153">
        <v>500</v>
      </c>
    </row>
    <row r="2270" spans="1:13" x14ac:dyDescent="0.25">
      <c r="A2270" s="148" t="s">
        <v>7641</v>
      </c>
      <c r="B2270" s="152" t="s">
        <v>808</v>
      </c>
      <c r="C2270" s="152">
        <v>11</v>
      </c>
      <c r="D2270" s="152">
        <v>210</v>
      </c>
      <c r="E2270" s="152">
        <v>0</v>
      </c>
      <c r="F2270" s="152">
        <v>677020</v>
      </c>
      <c r="G2270" s="152">
        <v>55650</v>
      </c>
      <c r="H2270" s="150" t="str">
        <f t="shared" si="105"/>
        <v>5</v>
      </c>
      <c r="I2270" s="150" t="str">
        <f t="shared" si="106"/>
        <v>55</v>
      </c>
      <c r="J2270" s="150" t="str">
        <f t="shared" si="107"/>
        <v>556</v>
      </c>
      <c r="K2270" s="150" t="s">
        <v>8289</v>
      </c>
      <c r="L2270" s="152" t="s">
        <v>809</v>
      </c>
      <c r="M2270" s="153">
        <v>1700</v>
      </c>
    </row>
    <row r="2271" spans="1:13" x14ac:dyDescent="0.25">
      <c r="A2271" s="148" t="s">
        <v>7641</v>
      </c>
      <c r="B2271" s="152" t="s">
        <v>6123</v>
      </c>
      <c r="C2271" s="152">
        <v>13</v>
      </c>
      <c r="D2271" s="152">
        <v>210</v>
      </c>
      <c r="E2271" s="152">
        <v>0</v>
      </c>
      <c r="F2271" s="152">
        <v>695000</v>
      </c>
      <c r="G2271" s="152">
        <v>55105</v>
      </c>
      <c r="H2271" s="150" t="str">
        <f t="shared" si="105"/>
        <v>5</v>
      </c>
      <c r="I2271" s="150" t="str">
        <f t="shared" si="106"/>
        <v>55</v>
      </c>
      <c r="J2271" s="150" t="str">
        <f t="shared" si="107"/>
        <v>551</v>
      </c>
      <c r="K2271" s="150" t="s">
        <v>9620</v>
      </c>
      <c r="L2271" s="152" t="s">
        <v>811</v>
      </c>
      <c r="M2271" s="153">
        <v>1994.5</v>
      </c>
    </row>
    <row r="2272" spans="1:13" x14ac:dyDescent="0.25">
      <c r="A2272" s="148" t="s">
        <v>7641</v>
      </c>
      <c r="B2272" s="152" t="s">
        <v>818</v>
      </c>
      <c r="C2272" s="152">
        <v>11</v>
      </c>
      <c r="D2272" s="152">
        <v>220</v>
      </c>
      <c r="E2272" s="152">
        <v>0</v>
      </c>
      <c r="F2272" s="152">
        <v>651000</v>
      </c>
      <c r="G2272" s="152">
        <v>52300</v>
      </c>
      <c r="H2272" s="150" t="str">
        <f t="shared" si="105"/>
        <v>5</v>
      </c>
      <c r="I2272" s="150" t="str">
        <f t="shared" si="106"/>
        <v>52</v>
      </c>
      <c r="J2272" s="150" t="str">
        <f t="shared" si="107"/>
        <v>523</v>
      </c>
      <c r="K2272" s="150" t="s">
        <v>7813</v>
      </c>
      <c r="L2272" s="152" t="s">
        <v>819</v>
      </c>
      <c r="M2272" s="153">
        <v>11500</v>
      </c>
    </row>
    <row r="2273" spans="1:13" x14ac:dyDescent="0.25">
      <c r="A2273" s="148" t="s">
        <v>7641</v>
      </c>
      <c r="B2273" s="152" t="s">
        <v>834</v>
      </c>
      <c r="C2273" s="152">
        <v>11</v>
      </c>
      <c r="D2273" s="152">
        <v>220</v>
      </c>
      <c r="E2273" s="152">
        <v>0</v>
      </c>
      <c r="F2273" s="152">
        <v>651000</v>
      </c>
      <c r="G2273" s="152">
        <v>54330</v>
      </c>
      <c r="H2273" s="150" t="str">
        <f t="shared" si="105"/>
        <v>5</v>
      </c>
      <c r="I2273" s="150" t="str">
        <f t="shared" si="106"/>
        <v>54</v>
      </c>
      <c r="J2273" s="150" t="str">
        <f t="shared" si="107"/>
        <v>543</v>
      </c>
      <c r="K2273" s="150" t="s">
        <v>7985</v>
      </c>
      <c r="L2273" s="152" t="s">
        <v>835</v>
      </c>
      <c r="M2273" s="153">
        <v>34000</v>
      </c>
    </row>
    <row r="2274" spans="1:13" x14ac:dyDescent="0.25">
      <c r="A2274" s="148" t="s">
        <v>7641</v>
      </c>
      <c r="B2274" s="152" t="s">
        <v>836</v>
      </c>
      <c r="C2274" s="152">
        <v>11</v>
      </c>
      <c r="D2274" s="152">
        <v>220</v>
      </c>
      <c r="E2274" s="152">
        <v>0</v>
      </c>
      <c r="F2274" s="152">
        <v>651000</v>
      </c>
      <c r="G2274" s="152">
        <v>54335</v>
      </c>
      <c r="H2274" s="150" t="str">
        <f t="shared" si="105"/>
        <v>5</v>
      </c>
      <c r="I2274" s="150" t="str">
        <f t="shared" si="106"/>
        <v>54</v>
      </c>
      <c r="J2274" s="150" t="str">
        <f t="shared" si="107"/>
        <v>543</v>
      </c>
      <c r="K2274" s="150" t="s">
        <v>7987</v>
      </c>
      <c r="L2274" s="152" t="s">
        <v>837</v>
      </c>
      <c r="M2274" s="153">
        <v>18800</v>
      </c>
    </row>
    <row r="2275" spans="1:13" x14ac:dyDescent="0.25">
      <c r="A2275" s="148" t="s">
        <v>7641</v>
      </c>
      <c r="B2275" s="152" t="s">
        <v>838</v>
      </c>
      <c r="C2275" s="152">
        <v>11</v>
      </c>
      <c r="D2275" s="152">
        <v>220</v>
      </c>
      <c r="E2275" s="152">
        <v>0</v>
      </c>
      <c r="F2275" s="152">
        <v>651000</v>
      </c>
      <c r="G2275" s="152">
        <v>54337</v>
      </c>
      <c r="H2275" s="150" t="str">
        <f t="shared" si="105"/>
        <v>5</v>
      </c>
      <c r="I2275" s="150" t="str">
        <f t="shared" si="106"/>
        <v>54</v>
      </c>
      <c r="J2275" s="150" t="str">
        <f t="shared" si="107"/>
        <v>543</v>
      </c>
      <c r="K2275" s="150" t="s">
        <v>7988</v>
      </c>
      <c r="L2275" s="152" t="s">
        <v>839</v>
      </c>
      <c r="M2275" s="153">
        <v>14200</v>
      </c>
    </row>
    <row r="2276" spans="1:13" x14ac:dyDescent="0.25">
      <c r="A2276" s="148" t="s">
        <v>7641</v>
      </c>
      <c r="B2276" s="152" t="s">
        <v>840</v>
      </c>
      <c r="C2276" s="152">
        <v>11</v>
      </c>
      <c r="D2276" s="152">
        <v>220</v>
      </c>
      <c r="E2276" s="152">
        <v>0</v>
      </c>
      <c r="F2276" s="152">
        <v>651000</v>
      </c>
      <c r="G2276" s="152">
        <v>54338</v>
      </c>
      <c r="H2276" s="150" t="str">
        <f t="shared" si="105"/>
        <v>5</v>
      </c>
      <c r="I2276" s="150" t="str">
        <f t="shared" si="106"/>
        <v>54</v>
      </c>
      <c r="J2276" s="150" t="str">
        <f t="shared" si="107"/>
        <v>543</v>
      </c>
      <c r="K2276" s="150" t="s">
        <v>7989</v>
      </c>
      <c r="L2276" s="152" t="s">
        <v>841</v>
      </c>
      <c r="M2276" s="153">
        <v>13900</v>
      </c>
    </row>
    <row r="2277" spans="1:13" x14ac:dyDescent="0.25">
      <c r="A2277" s="148" t="s">
        <v>7641</v>
      </c>
      <c r="B2277" s="152" t="s">
        <v>842</v>
      </c>
      <c r="C2277" s="152">
        <v>11</v>
      </c>
      <c r="D2277" s="152">
        <v>220</v>
      </c>
      <c r="E2277" s="152">
        <v>0</v>
      </c>
      <c r="F2277" s="152">
        <v>651000</v>
      </c>
      <c r="G2277" s="152">
        <v>55630</v>
      </c>
      <c r="H2277" s="150" t="str">
        <f t="shared" si="105"/>
        <v>5</v>
      </c>
      <c r="I2277" s="150" t="str">
        <f t="shared" si="106"/>
        <v>55</v>
      </c>
      <c r="J2277" s="150" t="str">
        <f t="shared" si="107"/>
        <v>556</v>
      </c>
      <c r="K2277" s="150" t="s">
        <v>8184</v>
      </c>
      <c r="L2277" s="152" t="s">
        <v>843</v>
      </c>
      <c r="M2277" s="153">
        <v>28</v>
      </c>
    </row>
    <row r="2278" spans="1:13" x14ac:dyDescent="0.25">
      <c r="A2278" s="148" t="s">
        <v>7641</v>
      </c>
      <c r="B2278" s="152" t="s">
        <v>844</v>
      </c>
      <c r="C2278" s="152">
        <v>11</v>
      </c>
      <c r="D2278" s="152">
        <v>220</v>
      </c>
      <c r="E2278" s="152">
        <v>0</v>
      </c>
      <c r="F2278" s="152">
        <v>651000</v>
      </c>
      <c r="G2278" s="152">
        <v>55650</v>
      </c>
      <c r="H2278" s="150" t="str">
        <f t="shared" si="105"/>
        <v>5</v>
      </c>
      <c r="I2278" s="150" t="str">
        <f t="shared" si="106"/>
        <v>55</v>
      </c>
      <c r="J2278" s="150" t="str">
        <f t="shared" si="107"/>
        <v>556</v>
      </c>
      <c r="K2278" s="150" t="s">
        <v>8290</v>
      </c>
      <c r="L2278" s="152" t="s">
        <v>845</v>
      </c>
      <c r="M2278" s="153">
        <v>111800</v>
      </c>
    </row>
    <row r="2279" spans="1:13" x14ac:dyDescent="0.25">
      <c r="A2279" s="148" t="s">
        <v>7641</v>
      </c>
      <c r="B2279" s="152" t="s">
        <v>846</v>
      </c>
      <c r="C2279" s="152">
        <v>11</v>
      </c>
      <c r="D2279" s="152">
        <v>220</v>
      </c>
      <c r="E2279" s="152">
        <v>0</v>
      </c>
      <c r="F2279" s="152">
        <v>651000</v>
      </c>
      <c r="G2279" s="152">
        <v>55651</v>
      </c>
      <c r="H2279" s="150" t="str">
        <f t="shared" si="105"/>
        <v>5</v>
      </c>
      <c r="I2279" s="150" t="str">
        <f t="shared" si="106"/>
        <v>55</v>
      </c>
      <c r="J2279" s="150" t="str">
        <f t="shared" si="107"/>
        <v>556</v>
      </c>
      <c r="K2279" s="150" t="s">
        <v>8312</v>
      </c>
      <c r="L2279" s="152" t="s">
        <v>847</v>
      </c>
      <c r="M2279" s="153">
        <v>85653</v>
      </c>
    </row>
    <row r="2280" spans="1:13" x14ac:dyDescent="0.25">
      <c r="A2280" s="148" t="s">
        <v>7641</v>
      </c>
      <c r="B2280" s="152" t="s">
        <v>848</v>
      </c>
      <c r="C2280" s="152">
        <v>11</v>
      </c>
      <c r="D2280" s="152">
        <v>220</v>
      </c>
      <c r="E2280" s="152">
        <v>0</v>
      </c>
      <c r="F2280" s="152">
        <v>651000</v>
      </c>
      <c r="G2280" s="152">
        <v>56400</v>
      </c>
      <c r="H2280" s="150" t="str">
        <f t="shared" si="105"/>
        <v>5</v>
      </c>
      <c r="I2280" s="150" t="str">
        <f t="shared" si="106"/>
        <v>56</v>
      </c>
      <c r="J2280" s="150" t="str">
        <f t="shared" si="107"/>
        <v>564</v>
      </c>
      <c r="K2280" s="150" t="s">
        <v>8371</v>
      </c>
      <c r="L2280" s="152" t="s">
        <v>849</v>
      </c>
      <c r="M2280" s="153">
        <v>500</v>
      </c>
    </row>
    <row r="2281" spans="1:13" x14ac:dyDescent="0.25">
      <c r="A2281" s="148" t="s">
        <v>7641</v>
      </c>
      <c r="B2281" s="152" t="s">
        <v>850</v>
      </c>
      <c r="C2281" s="152">
        <v>11</v>
      </c>
      <c r="D2281" s="152">
        <v>220</v>
      </c>
      <c r="E2281" s="152">
        <v>0</v>
      </c>
      <c r="F2281" s="152">
        <v>651000</v>
      </c>
      <c r="G2281" s="152">
        <v>56405</v>
      </c>
      <c r="H2281" s="150" t="str">
        <f t="shared" si="105"/>
        <v>5</v>
      </c>
      <c r="I2281" s="150" t="str">
        <f t="shared" si="106"/>
        <v>56</v>
      </c>
      <c r="J2281" s="150" t="str">
        <f t="shared" si="107"/>
        <v>564</v>
      </c>
      <c r="K2281" s="150" t="s">
        <v>8385</v>
      </c>
      <c r="L2281" s="152" t="s">
        <v>851</v>
      </c>
      <c r="M2281" s="153">
        <v>5810</v>
      </c>
    </row>
    <row r="2282" spans="1:13" x14ac:dyDescent="0.25">
      <c r="A2282" s="148" t="s">
        <v>7641</v>
      </c>
      <c r="B2282" s="152" t="s">
        <v>856</v>
      </c>
      <c r="C2282" s="152">
        <v>11</v>
      </c>
      <c r="D2282" s="152">
        <v>220</v>
      </c>
      <c r="E2282" s="152">
        <v>0</v>
      </c>
      <c r="F2282" s="152">
        <v>653000</v>
      </c>
      <c r="G2282" s="152">
        <v>52300</v>
      </c>
      <c r="H2282" s="150" t="str">
        <f t="shared" si="105"/>
        <v>5</v>
      </c>
      <c r="I2282" s="150" t="str">
        <f t="shared" si="106"/>
        <v>52</v>
      </c>
      <c r="J2282" s="150" t="str">
        <f t="shared" si="107"/>
        <v>523</v>
      </c>
      <c r="K2282" s="150" t="s">
        <v>7814</v>
      </c>
      <c r="L2282" s="152" t="s">
        <v>857</v>
      </c>
      <c r="M2282" s="153">
        <v>0</v>
      </c>
    </row>
    <row r="2283" spans="1:13" x14ac:dyDescent="0.25">
      <c r="A2283" s="148" t="s">
        <v>7641</v>
      </c>
      <c r="B2283" s="152" t="s">
        <v>872</v>
      </c>
      <c r="C2283" s="152">
        <v>11</v>
      </c>
      <c r="D2283" s="152">
        <v>220</v>
      </c>
      <c r="E2283" s="152">
        <v>0</v>
      </c>
      <c r="F2283" s="152">
        <v>653000</v>
      </c>
      <c r="G2283" s="152">
        <v>54300</v>
      </c>
      <c r="H2283" s="150" t="str">
        <f t="shared" si="105"/>
        <v>5</v>
      </c>
      <c r="I2283" s="150" t="str">
        <f t="shared" si="106"/>
        <v>54</v>
      </c>
      <c r="J2283" s="150" t="str">
        <f t="shared" si="107"/>
        <v>543</v>
      </c>
      <c r="K2283" s="150" t="s">
        <v>7924</v>
      </c>
      <c r="L2283" s="152" t="s">
        <v>873</v>
      </c>
      <c r="M2283" s="153">
        <v>84190</v>
      </c>
    </row>
    <row r="2284" spans="1:13" x14ac:dyDescent="0.25">
      <c r="A2284" s="148" t="s">
        <v>7641</v>
      </c>
      <c r="B2284" s="152" t="s">
        <v>874</v>
      </c>
      <c r="C2284" s="152">
        <v>11</v>
      </c>
      <c r="D2284" s="152">
        <v>220</v>
      </c>
      <c r="E2284" s="152">
        <v>0</v>
      </c>
      <c r="F2284" s="152">
        <v>653000</v>
      </c>
      <c r="G2284" s="152">
        <v>55630</v>
      </c>
      <c r="H2284" s="150" t="str">
        <f t="shared" si="105"/>
        <v>5</v>
      </c>
      <c r="I2284" s="150" t="str">
        <f t="shared" si="106"/>
        <v>55</v>
      </c>
      <c r="J2284" s="150" t="str">
        <f t="shared" si="107"/>
        <v>556</v>
      </c>
      <c r="K2284" s="150" t="s">
        <v>8185</v>
      </c>
      <c r="L2284" s="152" t="s">
        <v>875</v>
      </c>
      <c r="M2284" s="153">
        <v>80</v>
      </c>
    </row>
    <row r="2285" spans="1:13" x14ac:dyDescent="0.25">
      <c r="A2285" s="148" t="s">
        <v>7641</v>
      </c>
      <c r="B2285" s="152" t="s">
        <v>876</v>
      </c>
      <c r="C2285" s="152">
        <v>11</v>
      </c>
      <c r="D2285" s="152">
        <v>220</v>
      </c>
      <c r="E2285" s="152">
        <v>0</v>
      </c>
      <c r="F2285" s="152">
        <v>653000</v>
      </c>
      <c r="G2285" s="152">
        <v>55650</v>
      </c>
      <c r="H2285" s="150" t="str">
        <f t="shared" si="105"/>
        <v>5</v>
      </c>
      <c r="I2285" s="150" t="str">
        <f t="shared" si="106"/>
        <v>55</v>
      </c>
      <c r="J2285" s="150" t="str">
        <f t="shared" si="107"/>
        <v>556</v>
      </c>
      <c r="K2285" s="150" t="s">
        <v>8291</v>
      </c>
      <c r="L2285" s="152" t="s">
        <v>877</v>
      </c>
      <c r="M2285" s="153">
        <v>31500</v>
      </c>
    </row>
    <row r="2286" spans="1:13" x14ac:dyDescent="0.25">
      <c r="A2286" s="148" t="s">
        <v>7641</v>
      </c>
      <c r="B2286" s="152" t="s">
        <v>880</v>
      </c>
      <c r="C2286" s="152">
        <v>11</v>
      </c>
      <c r="D2286" s="152">
        <v>220</v>
      </c>
      <c r="E2286" s="152">
        <v>0</v>
      </c>
      <c r="F2286" s="152">
        <v>655000</v>
      </c>
      <c r="G2286" s="152">
        <v>52300</v>
      </c>
      <c r="H2286" s="150" t="str">
        <f t="shared" si="105"/>
        <v>5</v>
      </c>
      <c r="I2286" s="150" t="str">
        <f t="shared" si="106"/>
        <v>52</v>
      </c>
      <c r="J2286" s="150" t="str">
        <f t="shared" si="107"/>
        <v>523</v>
      </c>
      <c r="K2286" s="150" t="s">
        <v>7815</v>
      </c>
      <c r="L2286" s="152" t="s">
        <v>881</v>
      </c>
      <c r="M2286" s="153">
        <v>1750</v>
      </c>
    </row>
    <row r="2287" spans="1:13" x14ac:dyDescent="0.25">
      <c r="A2287" s="148" t="s">
        <v>7641</v>
      </c>
      <c r="B2287" s="152" t="s">
        <v>896</v>
      </c>
      <c r="C2287" s="152">
        <v>11</v>
      </c>
      <c r="D2287" s="152">
        <v>220</v>
      </c>
      <c r="E2287" s="152">
        <v>0</v>
      </c>
      <c r="F2287" s="152">
        <v>655000</v>
      </c>
      <c r="G2287" s="152">
        <v>54300</v>
      </c>
      <c r="H2287" s="150" t="str">
        <f t="shared" si="105"/>
        <v>5</v>
      </c>
      <c r="I2287" s="150" t="str">
        <f t="shared" si="106"/>
        <v>54</v>
      </c>
      <c r="J2287" s="150" t="str">
        <f t="shared" si="107"/>
        <v>543</v>
      </c>
      <c r="K2287" s="150" t="s">
        <v>7925</v>
      </c>
      <c r="L2287" s="152" t="s">
        <v>897</v>
      </c>
      <c r="M2287" s="153">
        <v>12500</v>
      </c>
    </row>
    <row r="2288" spans="1:13" x14ac:dyDescent="0.25">
      <c r="A2288" s="148" t="s">
        <v>7641</v>
      </c>
      <c r="B2288" s="152" t="s">
        <v>898</v>
      </c>
      <c r="C2288" s="152">
        <v>11</v>
      </c>
      <c r="D2288" s="152">
        <v>220</v>
      </c>
      <c r="E2288" s="152">
        <v>0</v>
      </c>
      <c r="F2288" s="152">
        <v>655000</v>
      </c>
      <c r="G2288" s="152">
        <v>54330</v>
      </c>
      <c r="H2288" s="150" t="str">
        <f t="shared" si="105"/>
        <v>5</v>
      </c>
      <c r="I2288" s="150" t="str">
        <f t="shared" si="106"/>
        <v>54</v>
      </c>
      <c r="J2288" s="150" t="str">
        <f t="shared" si="107"/>
        <v>543</v>
      </c>
      <c r="K2288" s="150" t="s">
        <v>7986</v>
      </c>
      <c r="L2288" s="152" t="s">
        <v>899</v>
      </c>
      <c r="M2288" s="153">
        <v>32500</v>
      </c>
    </row>
    <row r="2289" spans="1:13" x14ac:dyDescent="0.25">
      <c r="A2289" s="148" t="s">
        <v>7641</v>
      </c>
      <c r="B2289" s="152" t="s">
        <v>900</v>
      </c>
      <c r="C2289" s="152">
        <v>11</v>
      </c>
      <c r="D2289" s="152">
        <v>220</v>
      </c>
      <c r="E2289" s="152">
        <v>0</v>
      </c>
      <c r="F2289" s="152">
        <v>655000</v>
      </c>
      <c r="G2289" s="152">
        <v>55630</v>
      </c>
      <c r="H2289" s="150" t="str">
        <f t="shared" si="105"/>
        <v>5</v>
      </c>
      <c r="I2289" s="150" t="str">
        <f t="shared" si="106"/>
        <v>55</v>
      </c>
      <c r="J2289" s="150" t="str">
        <f t="shared" si="107"/>
        <v>556</v>
      </c>
      <c r="K2289" s="150" t="s">
        <v>8186</v>
      </c>
      <c r="L2289" s="152" t="s">
        <v>901</v>
      </c>
      <c r="M2289" s="153">
        <v>6</v>
      </c>
    </row>
    <row r="2290" spans="1:13" x14ac:dyDescent="0.25">
      <c r="A2290" s="148" t="s">
        <v>7641</v>
      </c>
      <c r="B2290" s="152" t="s">
        <v>902</v>
      </c>
      <c r="C2290" s="152">
        <v>11</v>
      </c>
      <c r="D2290" s="152">
        <v>220</v>
      </c>
      <c r="E2290" s="152">
        <v>0</v>
      </c>
      <c r="F2290" s="152">
        <v>655000</v>
      </c>
      <c r="G2290" s="152">
        <v>55650</v>
      </c>
      <c r="H2290" s="150" t="str">
        <f t="shared" si="105"/>
        <v>5</v>
      </c>
      <c r="I2290" s="150" t="str">
        <f t="shared" si="106"/>
        <v>55</v>
      </c>
      <c r="J2290" s="150" t="str">
        <f t="shared" si="107"/>
        <v>556</v>
      </c>
      <c r="K2290" s="150" t="s">
        <v>8292</v>
      </c>
      <c r="L2290" s="152" t="s">
        <v>903</v>
      </c>
      <c r="M2290" s="153">
        <v>17000</v>
      </c>
    </row>
    <row r="2291" spans="1:13" x14ac:dyDescent="0.25">
      <c r="A2291" s="148" t="s">
        <v>7641</v>
      </c>
      <c r="B2291" s="152" t="s">
        <v>904</v>
      </c>
      <c r="C2291" s="152">
        <v>11</v>
      </c>
      <c r="D2291" s="152">
        <v>220</v>
      </c>
      <c r="E2291" s="152">
        <v>0</v>
      </c>
      <c r="F2291" s="152">
        <v>655000</v>
      </c>
      <c r="G2291" s="152">
        <v>55651</v>
      </c>
      <c r="H2291" s="150" t="str">
        <f t="shared" si="105"/>
        <v>5</v>
      </c>
      <c r="I2291" s="150" t="str">
        <f t="shared" si="106"/>
        <v>55</v>
      </c>
      <c r="J2291" s="150" t="str">
        <f t="shared" si="107"/>
        <v>556</v>
      </c>
      <c r="K2291" s="150" t="s">
        <v>8313</v>
      </c>
      <c r="L2291" s="152" t="s">
        <v>905</v>
      </c>
      <c r="M2291" s="153">
        <v>23000</v>
      </c>
    </row>
    <row r="2292" spans="1:13" x14ac:dyDescent="0.25">
      <c r="A2292" s="148" t="s">
        <v>7641</v>
      </c>
      <c r="B2292" s="152" t="s">
        <v>9899</v>
      </c>
      <c r="C2292" s="152">
        <v>11</v>
      </c>
      <c r="D2292" s="152">
        <v>220</v>
      </c>
      <c r="E2292" s="152">
        <v>0</v>
      </c>
      <c r="F2292" s="152">
        <v>657000</v>
      </c>
      <c r="G2292" s="152">
        <v>55530</v>
      </c>
      <c r="H2292" s="150" t="str">
        <f t="shared" si="105"/>
        <v>5</v>
      </c>
      <c r="I2292" s="150" t="str">
        <f t="shared" si="106"/>
        <v>55</v>
      </c>
      <c r="J2292" s="150" t="str">
        <f t="shared" si="107"/>
        <v>555</v>
      </c>
      <c r="K2292" s="150" t="s">
        <v>8120</v>
      </c>
      <c r="L2292" s="152" t="s">
        <v>551</v>
      </c>
      <c r="M2292" s="153">
        <v>0</v>
      </c>
    </row>
    <row r="2293" spans="1:13" x14ac:dyDescent="0.25">
      <c r="A2293" s="148" t="s">
        <v>7641</v>
      </c>
      <c r="B2293" s="152" t="s">
        <v>9899</v>
      </c>
      <c r="C2293" s="152">
        <v>11</v>
      </c>
      <c r="D2293" s="152">
        <v>220</v>
      </c>
      <c r="E2293" s="152">
        <v>0</v>
      </c>
      <c r="F2293" s="152">
        <v>657000</v>
      </c>
      <c r="G2293" s="152">
        <v>55530</v>
      </c>
      <c r="H2293" s="150" t="str">
        <f t="shared" si="105"/>
        <v>5</v>
      </c>
      <c r="I2293" s="150" t="str">
        <f t="shared" si="106"/>
        <v>55</v>
      </c>
      <c r="J2293" s="150" t="str">
        <f t="shared" si="107"/>
        <v>555</v>
      </c>
      <c r="K2293" s="150" t="s">
        <v>8120</v>
      </c>
      <c r="L2293" s="152" t="s">
        <v>551</v>
      </c>
      <c r="M2293" s="153">
        <v>845000</v>
      </c>
    </row>
    <row r="2294" spans="1:13" x14ac:dyDescent="0.25">
      <c r="A2294" s="148" t="s">
        <v>7641</v>
      </c>
      <c r="B2294" s="152" t="s">
        <v>9900</v>
      </c>
      <c r="C2294" s="152">
        <v>11</v>
      </c>
      <c r="D2294" s="152">
        <v>220</v>
      </c>
      <c r="E2294" s="152">
        <v>0</v>
      </c>
      <c r="F2294" s="152">
        <v>657000</v>
      </c>
      <c r="G2294" s="152">
        <v>55540</v>
      </c>
      <c r="H2294" s="150" t="str">
        <f t="shared" si="105"/>
        <v>5</v>
      </c>
      <c r="I2294" s="150" t="str">
        <f t="shared" si="106"/>
        <v>55</v>
      </c>
      <c r="J2294" s="150" t="str">
        <f t="shared" si="107"/>
        <v>555</v>
      </c>
      <c r="K2294" s="150" t="s">
        <v>8125</v>
      </c>
      <c r="L2294" s="152" t="s">
        <v>553</v>
      </c>
      <c r="M2294" s="153">
        <v>155661</v>
      </c>
    </row>
    <row r="2295" spans="1:13" x14ac:dyDescent="0.25">
      <c r="A2295" s="148" t="s">
        <v>7641</v>
      </c>
      <c r="B2295" s="152" t="s">
        <v>9901</v>
      </c>
      <c r="C2295" s="152">
        <v>11</v>
      </c>
      <c r="D2295" s="152">
        <v>220</v>
      </c>
      <c r="E2295" s="152">
        <v>0</v>
      </c>
      <c r="F2295" s="152">
        <v>657000</v>
      </c>
      <c r="G2295" s="152">
        <v>55560</v>
      </c>
      <c r="H2295" s="150" t="str">
        <f t="shared" si="105"/>
        <v>5</v>
      </c>
      <c r="I2295" s="150" t="str">
        <f t="shared" si="106"/>
        <v>55</v>
      </c>
      <c r="J2295" s="150" t="str">
        <f t="shared" si="107"/>
        <v>555</v>
      </c>
      <c r="K2295" s="150" t="s">
        <v>8137</v>
      </c>
      <c r="L2295" s="152" t="s">
        <v>555</v>
      </c>
      <c r="M2295" s="153">
        <v>59200</v>
      </c>
    </row>
    <row r="2296" spans="1:13" x14ac:dyDescent="0.25">
      <c r="A2296" s="148" t="s">
        <v>7641</v>
      </c>
      <c r="B2296" s="152" t="s">
        <v>9902</v>
      </c>
      <c r="C2296" s="152">
        <v>11</v>
      </c>
      <c r="D2296" s="152">
        <v>220</v>
      </c>
      <c r="E2296" s="152">
        <v>0</v>
      </c>
      <c r="F2296" s="152">
        <v>657000</v>
      </c>
      <c r="G2296" s="152">
        <v>55570</v>
      </c>
      <c r="H2296" s="150" t="str">
        <f t="shared" si="105"/>
        <v>5</v>
      </c>
      <c r="I2296" s="150" t="str">
        <f t="shared" si="106"/>
        <v>55</v>
      </c>
      <c r="J2296" s="150" t="str">
        <f t="shared" si="107"/>
        <v>555</v>
      </c>
      <c r="K2296" s="150" t="s">
        <v>8140</v>
      </c>
      <c r="L2296" s="152" t="s">
        <v>657</v>
      </c>
      <c r="M2296" s="153">
        <v>31838</v>
      </c>
    </row>
    <row r="2297" spans="1:13" x14ac:dyDescent="0.25">
      <c r="A2297" s="148" t="s">
        <v>7641</v>
      </c>
      <c r="B2297" s="152" t="s">
        <v>9903</v>
      </c>
      <c r="C2297" s="152">
        <v>11</v>
      </c>
      <c r="D2297" s="152">
        <v>220</v>
      </c>
      <c r="E2297" s="152">
        <v>0</v>
      </c>
      <c r="F2297" s="152">
        <v>657000</v>
      </c>
      <c r="G2297" s="152">
        <v>55575</v>
      </c>
      <c r="H2297" s="150" t="str">
        <f t="shared" si="105"/>
        <v>5</v>
      </c>
      <c r="I2297" s="150" t="str">
        <f t="shared" si="106"/>
        <v>55</v>
      </c>
      <c r="J2297" s="150" t="str">
        <f t="shared" si="107"/>
        <v>555</v>
      </c>
      <c r="K2297" s="150" t="s">
        <v>8142</v>
      </c>
      <c r="L2297" s="152" t="s">
        <v>659</v>
      </c>
      <c r="M2297" s="153">
        <v>2000</v>
      </c>
    </row>
    <row r="2298" spans="1:13" x14ac:dyDescent="0.25">
      <c r="A2298" s="148" t="s">
        <v>7641</v>
      </c>
      <c r="B2298" s="152" t="s">
        <v>9904</v>
      </c>
      <c r="C2298" s="152">
        <v>11</v>
      </c>
      <c r="D2298" s="152">
        <v>220</v>
      </c>
      <c r="E2298" s="152">
        <v>0</v>
      </c>
      <c r="F2298" s="152">
        <v>657000</v>
      </c>
      <c r="G2298" s="152">
        <v>55580</v>
      </c>
      <c r="H2298" s="150" t="str">
        <f t="shared" si="105"/>
        <v>5</v>
      </c>
      <c r="I2298" s="150" t="str">
        <f t="shared" si="106"/>
        <v>55</v>
      </c>
      <c r="J2298" s="150" t="str">
        <f t="shared" si="107"/>
        <v>555</v>
      </c>
      <c r="K2298" s="150" t="s">
        <v>8147</v>
      </c>
      <c r="L2298" s="152" t="s">
        <v>557</v>
      </c>
      <c r="M2298" s="153">
        <v>50000</v>
      </c>
    </row>
    <row r="2299" spans="1:13" x14ac:dyDescent="0.25">
      <c r="A2299" s="148" t="s">
        <v>7641</v>
      </c>
      <c r="B2299" s="152" t="s">
        <v>912</v>
      </c>
      <c r="C2299" s="152">
        <v>11</v>
      </c>
      <c r="D2299" s="152">
        <v>220</v>
      </c>
      <c r="E2299" s="152">
        <v>0</v>
      </c>
      <c r="F2299" s="152">
        <v>659010</v>
      </c>
      <c r="G2299" s="152">
        <v>52360</v>
      </c>
      <c r="H2299" s="150" t="str">
        <f t="shared" si="105"/>
        <v>5</v>
      </c>
      <c r="I2299" s="150" t="str">
        <f t="shared" si="106"/>
        <v>52</v>
      </c>
      <c r="J2299" s="150" t="str">
        <f t="shared" si="107"/>
        <v>523</v>
      </c>
      <c r="K2299" s="150" t="s">
        <v>7863</v>
      </c>
      <c r="L2299" s="152" t="s">
        <v>913</v>
      </c>
      <c r="M2299" s="153">
        <v>14000</v>
      </c>
    </row>
    <row r="2300" spans="1:13" x14ac:dyDescent="0.25">
      <c r="A2300" s="148" t="s">
        <v>7641</v>
      </c>
      <c r="B2300" s="152" t="s">
        <v>928</v>
      </c>
      <c r="C2300" s="152">
        <v>11</v>
      </c>
      <c r="D2300" s="152">
        <v>220</v>
      </c>
      <c r="E2300" s="152">
        <v>0</v>
      </c>
      <c r="F2300" s="152">
        <v>659010</v>
      </c>
      <c r="G2300" s="152">
        <v>54300</v>
      </c>
      <c r="H2300" s="150" t="str">
        <f t="shared" si="105"/>
        <v>5</v>
      </c>
      <c r="I2300" s="150" t="str">
        <f t="shared" si="106"/>
        <v>54</v>
      </c>
      <c r="J2300" s="150" t="str">
        <f t="shared" si="107"/>
        <v>543</v>
      </c>
      <c r="K2300" s="150" t="s">
        <v>7926</v>
      </c>
      <c r="L2300" s="152" t="s">
        <v>929</v>
      </c>
      <c r="M2300" s="153">
        <v>38000</v>
      </c>
    </row>
    <row r="2301" spans="1:13" x14ac:dyDescent="0.25">
      <c r="A2301" s="148" t="s">
        <v>7641</v>
      </c>
      <c r="B2301" s="152" t="s">
        <v>930</v>
      </c>
      <c r="C2301" s="152">
        <v>11</v>
      </c>
      <c r="D2301" s="152">
        <v>220</v>
      </c>
      <c r="E2301" s="152">
        <v>0</v>
      </c>
      <c r="F2301" s="152">
        <v>659010</v>
      </c>
      <c r="G2301" s="152">
        <v>55105</v>
      </c>
      <c r="H2301" s="150" t="str">
        <f t="shared" si="105"/>
        <v>5</v>
      </c>
      <c r="I2301" s="150" t="str">
        <f t="shared" si="106"/>
        <v>55</v>
      </c>
      <c r="J2301" s="150" t="str">
        <f t="shared" si="107"/>
        <v>551</v>
      </c>
      <c r="K2301" s="150" t="s">
        <v>8008</v>
      </c>
      <c r="L2301" s="152" t="s">
        <v>931</v>
      </c>
      <c r="M2301" s="153">
        <v>20700</v>
      </c>
    </row>
    <row r="2302" spans="1:13" x14ac:dyDescent="0.25">
      <c r="A2302" s="148" t="s">
        <v>7641</v>
      </c>
      <c r="B2302" s="152" t="s">
        <v>932</v>
      </c>
      <c r="C2302" s="152">
        <v>11</v>
      </c>
      <c r="D2302" s="152">
        <v>220</v>
      </c>
      <c r="E2302" s="152">
        <v>0</v>
      </c>
      <c r="F2302" s="152">
        <v>659010</v>
      </c>
      <c r="G2302" s="152">
        <v>55550</v>
      </c>
      <c r="H2302" s="150" t="str">
        <f t="shared" si="105"/>
        <v>5</v>
      </c>
      <c r="I2302" s="150" t="str">
        <f t="shared" si="106"/>
        <v>55</v>
      </c>
      <c r="J2302" s="150" t="str">
        <f t="shared" si="107"/>
        <v>555</v>
      </c>
      <c r="K2302" s="150" t="s">
        <v>8131</v>
      </c>
      <c r="L2302" s="152" t="s">
        <v>933</v>
      </c>
      <c r="M2302" s="153">
        <v>0</v>
      </c>
    </row>
    <row r="2303" spans="1:13" x14ac:dyDescent="0.25">
      <c r="A2303" s="148" t="s">
        <v>7641</v>
      </c>
      <c r="B2303" s="152" t="s">
        <v>934</v>
      </c>
      <c r="C2303" s="152">
        <v>11</v>
      </c>
      <c r="D2303" s="152">
        <v>220</v>
      </c>
      <c r="E2303" s="152">
        <v>0</v>
      </c>
      <c r="F2303" s="152">
        <v>659010</v>
      </c>
      <c r="G2303" s="152">
        <v>55600</v>
      </c>
      <c r="H2303" s="150" t="str">
        <f t="shared" si="105"/>
        <v>5</v>
      </c>
      <c r="I2303" s="150" t="str">
        <f t="shared" si="106"/>
        <v>55</v>
      </c>
      <c r="J2303" s="150" t="str">
        <f t="shared" si="107"/>
        <v>556</v>
      </c>
      <c r="K2303" s="150" t="s">
        <v>8149</v>
      </c>
      <c r="L2303" s="152" t="s">
        <v>935</v>
      </c>
      <c r="M2303" s="153">
        <v>800</v>
      </c>
    </row>
    <row r="2304" spans="1:13" x14ac:dyDescent="0.25">
      <c r="A2304" s="148" t="s">
        <v>7641</v>
      </c>
      <c r="B2304" s="152" t="s">
        <v>936</v>
      </c>
      <c r="C2304" s="152">
        <v>11</v>
      </c>
      <c r="D2304" s="152">
        <v>220</v>
      </c>
      <c r="E2304" s="152">
        <v>0</v>
      </c>
      <c r="F2304" s="152">
        <v>659010</v>
      </c>
      <c r="G2304" s="152">
        <v>55630</v>
      </c>
      <c r="H2304" s="150" t="str">
        <f t="shared" si="105"/>
        <v>5</v>
      </c>
      <c r="I2304" s="150" t="str">
        <f t="shared" si="106"/>
        <v>55</v>
      </c>
      <c r="J2304" s="150" t="str">
        <f t="shared" si="107"/>
        <v>556</v>
      </c>
      <c r="K2304" s="150" t="s">
        <v>8187</v>
      </c>
      <c r="L2304" s="152" t="s">
        <v>937</v>
      </c>
      <c r="M2304" s="153">
        <v>500</v>
      </c>
    </row>
    <row r="2305" spans="1:13" x14ac:dyDescent="0.25">
      <c r="A2305" s="148" t="s">
        <v>7641</v>
      </c>
      <c r="B2305" s="152" t="s">
        <v>938</v>
      </c>
      <c r="C2305" s="152">
        <v>11</v>
      </c>
      <c r="D2305" s="152">
        <v>220</v>
      </c>
      <c r="E2305" s="152">
        <v>0</v>
      </c>
      <c r="F2305" s="152">
        <v>659010</v>
      </c>
      <c r="G2305" s="152">
        <v>55650</v>
      </c>
      <c r="H2305" s="150" t="str">
        <f t="shared" si="105"/>
        <v>5</v>
      </c>
      <c r="I2305" s="150" t="str">
        <f t="shared" si="106"/>
        <v>55</v>
      </c>
      <c r="J2305" s="150" t="str">
        <f t="shared" si="107"/>
        <v>556</v>
      </c>
      <c r="K2305" s="150" t="s">
        <v>8293</v>
      </c>
      <c r="L2305" s="152" t="s">
        <v>939</v>
      </c>
      <c r="M2305" s="153">
        <v>28500</v>
      </c>
    </row>
    <row r="2306" spans="1:13" x14ac:dyDescent="0.25">
      <c r="A2306" s="148" t="s">
        <v>7641</v>
      </c>
      <c r="B2306" s="152" t="s">
        <v>940</v>
      </c>
      <c r="C2306" s="152">
        <v>11</v>
      </c>
      <c r="D2306" s="152">
        <v>220</v>
      </c>
      <c r="E2306" s="152">
        <v>0</v>
      </c>
      <c r="F2306" s="152">
        <v>659010</v>
      </c>
      <c r="G2306" s="152">
        <v>55651</v>
      </c>
      <c r="H2306" s="150" t="str">
        <f t="shared" si="105"/>
        <v>5</v>
      </c>
      <c r="I2306" s="150" t="str">
        <f t="shared" si="106"/>
        <v>55</v>
      </c>
      <c r="J2306" s="150" t="str">
        <f t="shared" si="107"/>
        <v>556</v>
      </c>
      <c r="K2306" s="150" t="s">
        <v>8314</v>
      </c>
      <c r="L2306" s="152" t="s">
        <v>941</v>
      </c>
      <c r="M2306" s="153">
        <v>2500</v>
      </c>
    </row>
    <row r="2307" spans="1:13" x14ac:dyDescent="0.25">
      <c r="A2307" s="148" t="s">
        <v>7641</v>
      </c>
      <c r="B2307" s="152" t="s">
        <v>942</v>
      </c>
      <c r="C2307" s="152">
        <v>11</v>
      </c>
      <c r="D2307" s="152">
        <v>220</v>
      </c>
      <c r="E2307" s="152">
        <v>0</v>
      </c>
      <c r="F2307" s="152">
        <v>659010</v>
      </c>
      <c r="G2307" s="152">
        <v>55830</v>
      </c>
      <c r="H2307" s="150" t="str">
        <f t="shared" ref="H2307:H2370" si="108">LEFT(G2307,1)</f>
        <v>5</v>
      </c>
      <c r="I2307" s="150" t="str">
        <f t="shared" ref="I2307:I2370" si="109">LEFT(G2307,2)</f>
        <v>55</v>
      </c>
      <c r="J2307" s="150" t="str">
        <f t="shared" ref="J2307:J2370" si="110">LEFT(G2307,3)</f>
        <v>558</v>
      </c>
      <c r="K2307" s="150" t="s">
        <v>8349</v>
      </c>
      <c r="L2307" s="152" t="s">
        <v>943</v>
      </c>
      <c r="M2307" s="153">
        <v>500</v>
      </c>
    </row>
    <row r="2308" spans="1:13" x14ac:dyDescent="0.25">
      <c r="A2308" s="148" t="s">
        <v>7641</v>
      </c>
      <c r="B2308" s="152" t="s">
        <v>944</v>
      </c>
      <c r="C2308" s="152">
        <v>11</v>
      </c>
      <c r="D2308" s="152">
        <v>220</v>
      </c>
      <c r="E2308" s="152">
        <v>0</v>
      </c>
      <c r="F2308" s="152">
        <v>659010</v>
      </c>
      <c r="G2308" s="152">
        <v>56216</v>
      </c>
      <c r="H2308" s="150" t="str">
        <f t="shared" si="108"/>
        <v>5</v>
      </c>
      <c r="I2308" s="150" t="str">
        <f t="shared" si="109"/>
        <v>56</v>
      </c>
      <c r="J2308" s="150" t="str">
        <f t="shared" si="110"/>
        <v>562</v>
      </c>
      <c r="K2308" s="150" t="s">
        <v>8356</v>
      </c>
      <c r="L2308" s="152" t="s">
        <v>945</v>
      </c>
      <c r="M2308" s="153">
        <v>425</v>
      </c>
    </row>
    <row r="2309" spans="1:13" x14ac:dyDescent="0.25">
      <c r="A2309" s="148" t="s">
        <v>7641</v>
      </c>
      <c r="B2309" s="152" t="s">
        <v>946</v>
      </c>
      <c r="C2309" s="152">
        <v>11</v>
      </c>
      <c r="D2309" s="152">
        <v>220</v>
      </c>
      <c r="E2309" s="152">
        <v>0</v>
      </c>
      <c r="F2309" s="152">
        <v>659020</v>
      </c>
      <c r="G2309" s="152">
        <v>54300</v>
      </c>
      <c r="H2309" s="150" t="str">
        <f t="shared" si="108"/>
        <v>5</v>
      </c>
      <c r="I2309" s="150" t="str">
        <f t="shared" si="109"/>
        <v>54</v>
      </c>
      <c r="J2309" s="150" t="str">
        <f t="shared" si="110"/>
        <v>543</v>
      </c>
      <c r="K2309" s="150" t="s">
        <v>7927</v>
      </c>
      <c r="L2309" s="152" t="s">
        <v>947</v>
      </c>
      <c r="M2309" s="153">
        <v>500</v>
      </c>
    </row>
    <row r="2310" spans="1:13" x14ac:dyDescent="0.25">
      <c r="A2310" s="148" t="s">
        <v>7641</v>
      </c>
      <c r="B2310" s="152" t="s">
        <v>948</v>
      </c>
      <c r="C2310" s="152">
        <v>11</v>
      </c>
      <c r="D2310" s="152">
        <v>220</v>
      </c>
      <c r="E2310" s="152">
        <v>0</v>
      </c>
      <c r="F2310" s="152">
        <v>659020</v>
      </c>
      <c r="G2310" s="152">
        <v>55105</v>
      </c>
      <c r="H2310" s="150" t="str">
        <f t="shared" si="108"/>
        <v>5</v>
      </c>
      <c r="I2310" s="150" t="str">
        <f t="shared" si="109"/>
        <v>55</v>
      </c>
      <c r="J2310" s="150" t="str">
        <f t="shared" si="110"/>
        <v>551</v>
      </c>
      <c r="K2310" s="150" t="s">
        <v>8009</v>
      </c>
      <c r="L2310" s="152" t="s">
        <v>949</v>
      </c>
      <c r="M2310" s="153">
        <v>500</v>
      </c>
    </row>
    <row r="2311" spans="1:13" x14ac:dyDescent="0.25">
      <c r="A2311" s="148" t="s">
        <v>7641</v>
      </c>
      <c r="B2311" s="152" t="s">
        <v>950</v>
      </c>
      <c r="C2311" s="152">
        <v>11</v>
      </c>
      <c r="D2311" s="152">
        <v>220</v>
      </c>
      <c r="E2311" s="152">
        <v>0</v>
      </c>
      <c r="F2311" s="152">
        <v>659020</v>
      </c>
      <c r="G2311" s="152">
        <v>55575</v>
      </c>
      <c r="H2311" s="150" t="str">
        <f t="shared" si="108"/>
        <v>5</v>
      </c>
      <c r="I2311" s="150" t="str">
        <f t="shared" si="109"/>
        <v>55</v>
      </c>
      <c r="J2311" s="150" t="str">
        <f t="shared" si="110"/>
        <v>555</v>
      </c>
      <c r="K2311" s="150" t="s">
        <v>8143</v>
      </c>
      <c r="L2311" s="152" t="s">
        <v>951</v>
      </c>
      <c r="M2311" s="153">
        <v>14500</v>
      </c>
    </row>
    <row r="2312" spans="1:13" x14ac:dyDescent="0.25">
      <c r="A2312" s="148" t="s">
        <v>7641</v>
      </c>
      <c r="B2312" s="152" t="s">
        <v>952</v>
      </c>
      <c r="C2312" s="152">
        <v>11</v>
      </c>
      <c r="D2312" s="152">
        <v>220</v>
      </c>
      <c r="E2312" s="152">
        <v>0</v>
      </c>
      <c r="F2312" s="152">
        <v>659020</v>
      </c>
      <c r="G2312" s="152">
        <v>56217</v>
      </c>
      <c r="H2312" s="150" t="str">
        <f t="shared" si="108"/>
        <v>5</v>
      </c>
      <c r="I2312" s="150" t="str">
        <f t="shared" si="109"/>
        <v>56</v>
      </c>
      <c r="J2312" s="150" t="str">
        <f t="shared" si="110"/>
        <v>562</v>
      </c>
      <c r="K2312" s="150" t="s">
        <v>8357</v>
      </c>
      <c r="L2312" s="152" t="s">
        <v>953</v>
      </c>
      <c r="M2312" s="153">
        <v>5500</v>
      </c>
    </row>
    <row r="2313" spans="1:13" x14ac:dyDescent="0.25">
      <c r="A2313" s="148" t="s">
        <v>7641</v>
      </c>
      <c r="B2313" s="152" t="s">
        <v>955</v>
      </c>
      <c r="C2313" s="152">
        <v>11</v>
      </c>
      <c r="D2313" s="152">
        <v>220</v>
      </c>
      <c r="E2313" s="152">
        <v>0</v>
      </c>
      <c r="F2313" s="152">
        <v>677000</v>
      </c>
      <c r="G2313" s="152">
        <v>52300</v>
      </c>
      <c r="H2313" s="150" t="str">
        <f t="shared" si="108"/>
        <v>5</v>
      </c>
      <c r="I2313" s="150" t="str">
        <f t="shared" si="109"/>
        <v>52</v>
      </c>
      <c r="J2313" s="150" t="str">
        <f t="shared" si="110"/>
        <v>523</v>
      </c>
      <c r="K2313" s="150" t="s">
        <v>7816</v>
      </c>
      <c r="L2313" s="152" t="s">
        <v>956</v>
      </c>
      <c r="M2313" s="153">
        <v>0</v>
      </c>
    </row>
    <row r="2314" spans="1:13" x14ac:dyDescent="0.25">
      <c r="A2314" s="148" t="s">
        <v>7641</v>
      </c>
      <c r="B2314" s="152" t="s">
        <v>963</v>
      </c>
      <c r="C2314" s="152">
        <v>11</v>
      </c>
      <c r="D2314" s="152">
        <v>220</v>
      </c>
      <c r="E2314" s="152">
        <v>0</v>
      </c>
      <c r="F2314" s="152">
        <v>677000</v>
      </c>
      <c r="G2314" s="152">
        <v>55630</v>
      </c>
      <c r="H2314" s="150" t="str">
        <f t="shared" si="108"/>
        <v>5</v>
      </c>
      <c r="I2314" s="150" t="str">
        <f t="shared" si="109"/>
        <v>55</v>
      </c>
      <c r="J2314" s="150" t="str">
        <f t="shared" si="110"/>
        <v>556</v>
      </c>
      <c r="K2314" s="150" t="s">
        <v>8188</v>
      </c>
      <c r="L2314" s="152" t="s">
        <v>815</v>
      </c>
      <c r="M2314" s="153">
        <v>150</v>
      </c>
    </row>
    <row r="2315" spans="1:13" x14ac:dyDescent="0.25">
      <c r="A2315" s="148" t="s">
        <v>7641</v>
      </c>
      <c r="B2315" s="152" t="s">
        <v>964</v>
      </c>
      <c r="C2315" s="152">
        <v>11</v>
      </c>
      <c r="D2315" s="152">
        <v>220</v>
      </c>
      <c r="E2315" s="152">
        <v>0</v>
      </c>
      <c r="F2315" s="152">
        <v>677300</v>
      </c>
      <c r="G2315" s="152">
        <v>54349</v>
      </c>
      <c r="H2315" s="150" t="str">
        <f t="shared" si="108"/>
        <v>5</v>
      </c>
      <c r="I2315" s="150" t="str">
        <f t="shared" si="109"/>
        <v>54</v>
      </c>
      <c r="J2315" s="150" t="str">
        <f t="shared" si="110"/>
        <v>543</v>
      </c>
      <c r="K2315" s="150" t="s">
        <v>7991</v>
      </c>
      <c r="L2315" s="152" t="s">
        <v>965</v>
      </c>
      <c r="M2315" s="153">
        <v>12000</v>
      </c>
    </row>
    <row r="2316" spans="1:13" x14ac:dyDescent="0.25">
      <c r="A2316" s="148" t="s">
        <v>7641</v>
      </c>
      <c r="B2316" s="152" t="s">
        <v>966</v>
      </c>
      <c r="C2316" s="152">
        <v>11</v>
      </c>
      <c r="D2316" s="152">
        <v>220</v>
      </c>
      <c r="E2316" s="152">
        <v>0</v>
      </c>
      <c r="F2316" s="152">
        <v>677300</v>
      </c>
      <c r="G2316" s="152">
        <v>55651</v>
      </c>
      <c r="H2316" s="150" t="str">
        <f t="shared" si="108"/>
        <v>5</v>
      </c>
      <c r="I2316" s="150" t="str">
        <f t="shared" si="109"/>
        <v>55</v>
      </c>
      <c r="J2316" s="150" t="str">
        <f t="shared" si="110"/>
        <v>556</v>
      </c>
      <c r="K2316" s="150" t="s">
        <v>8315</v>
      </c>
      <c r="L2316" s="152" t="s">
        <v>967</v>
      </c>
      <c r="M2316" s="153">
        <v>3300</v>
      </c>
    </row>
    <row r="2317" spans="1:13" x14ac:dyDescent="0.25">
      <c r="A2317" s="148" t="s">
        <v>7641</v>
      </c>
      <c r="B2317" s="152" t="s">
        <v>974</v>
      </c>
      <c r="C2317" s="152">
        <v>11</v>
      </c>
      <c r="D2317" s="152">
        <v>220</v>
      </c>
      <c r="E2317" s="152">
        <v>0</v>
      </c>
      <c r="F2317" s="152">
        <v>683000</v>
      </c>
      <c r="G2317" s="152">
        <v>52300</v>
      </c>
      <c r="H2317" s="150" t="str">
        <f t="shared" si="108"/>
        <v>5</v>
      </c>
      <c r="I2317" s="150" t="str">
        <f t="shared" si="109"/>
        <v>52</v>
      </c>
      <c r="J2317" s="150" t="str">
        <f t="shared" si="110"/>
        <v>523</v>
      </c>
      <c r="K2317" s="150" t="s">
        <v>7817</v>
      </c>
      <c r="L2317" s="152" t="s">
        <v>975</v>
      </c>
      <c r="M2317" s="153">
        <v>1350</v>
      </c>
    </row>
    <row r="2318" spans="1:13" x14ac:dyDescent="0.25">
      <c r="A2318" s="148" t="s">
        <v>7641</v>
      </c>
      <c r="B2318" s="152" t="s">
        <v>990</v>
      </c>
      <c r="C2318" s="152">
        <v>11</v>
      </c>
      <c r="D2318" s="152">
        <v>220</v>
      </c>
      <c r="E2318" s="152">
        <v>0</v>
      </c>
      <c r="F2318" s="152">
        <v>683000</v>
      </c>
      <c r="G2318" s="152">
        <v>54340</v>
      </c>
      <c r="H2318" s="150" t="str">
        <f t="shared" si="108"/>
        <v>5</v>
      </c>
      <c r="I2318" s="150" t="str">
        <f t="shared" si="109"/>
        <v>54</v>
      </c>
      <c r="J2318" s="150" t="str">
        <f t="shared" si="110"/>
        <v>543</v>
      </c>
      <c r="K2318" s="150" t="s">
        <v>7990</v>
      </c>
      <c r="L2318" s="152" t="s">
        <v>991</v>
      </c>
      <c r="M2318" s="153">
        <v>18000</v>
      </c>
    </row>
    <row r="2319" spans="1:13" x14ac:dyDescent="0.25">
      <c r="A2319" s="148" t="s">
        <v>7641</v>
      </c>
      <c r="B2319" s="152" t="s">
        <v>992</v>
      </c>
      <c r="C2319" s="152">
        <v>11</v>
      </c>
      <c r="D2319" s="152">
        <v>220</v>
      </c>
      <c r="E2319" s="152">
        <v>0</v>
      </c>
      <c r="F2319" s="152">
        <v>683000</v>
      </c>
      <c r="G2319" s="152">
        <v>55630</v>
      </c>
      <c r="H2319" s="150" t="str">
        <f t="shared" si="108"/>
        <v>5</v>
      </c>
      <c r="I2319" s="150" t="str">
        <f t="shared" si="109"/>
        <v>55</v>
      </c>
      <c r="J2319" s="150" t="str">
        <f t="shared" si="110"/>
        <v>556</v>
      </c>
      <c r="K2319" s="150" t="s">
        <v>8189</v>
      </c>
      <c r="L2319" s="152" t="s">
        <v>993</v>
      </c>
      <c r="M2319" s="153">
        <v>200</v>
      </c>
    </row>
    <row r="2320" spans="1:13" x14ac:dyDescent="0.25">
      <c r="A2320" s="148" t="s">
        <v>7641</v>
      </c>
      <c r="B2320" s="158" t="s">
        <v>1000</v>
      </c>
      <c r="C2320" s="158">
        <v>11</v>
      </c>
      <c r="D2320" s="158">
        <v>300</v>
      </c>
      <c r="E2320" s="158">
        <v>0</v>
      </c>
      <c r="F2320" s="158">
        <v>601000</v>
      </c>
      <c r="G2320" s="158">
        <v>51412</v>
      </c>
      <c r="H2320" s="150" t="str">
        <f t="shared" si="108"/>
        <v>5</v>
      </c>
      <c r="I2320" s="150" t="str">
        <f t="shared" si="109"/>
        <v>51</v>
      </c>
      <c r="J2320" s="150" t="str">
        <f t="shared" si="110"/>
        <v>514</v>
      </c>
      <c r="K2320" s="150" t="s">
        <v>7784</v>
      </c>
      <c r="L2320" s="158" t="s">
        <v>479</v>
      </c>
      <c r="M2320" s="159">
        <v>273600</v>
      </c>
    </row>
    <row r="2321" spans="1:13" x14ac:dyDescent="0.25">
      <c r="A2321" s="148" t="s">
        <v>7641</v>
      </c>
      <c r="B2321" s="158" t="s">
        <v>1004</v>
      </c>
      <c r="C2321" s="158">
        <v>11</v>
      </c>
      <c r="D2321" s="158">
        <v>300</v>
      </c>
      <c r="E2321" s="158">
        <v>0</v>
      </c>
      <c r="F2321" s="158">
        <v>601000</v>
      </c>
      <c r="G2321" s="158">
        <v>52300</v>
      </c>
      <c r="H2321" s="150" t="str">
        <f t="shared" si="108"/>
        <v>5</v>
      </c>
      <c r="I2321" s="150" t="str">
        <f t="shared" si="109"/>
        <v>52</v>
      </c>
      <c r="J2321" s="150" t="str">
        <f t="shared" si="110"/>
        <v>523</v>
      </c>
      <c r="K2321" s="150" t="s">
        <v>7818</v>
      </c>
      <c r="L2321" s="158" t="s">
        <v>483</v>
      </c>
      <c r="M2321" s="160">
        <v>0</v>
      </c>
    </row>
    <row r="2322" spans="1:13" x14ac:dyDescent="0.25">
      <c r="A2322" s="148" t="s">
        <v>7641</v>
      </c>
      <c r="B2322" s="158" t="s">
        <v>1005</v>
      </c>
      <c r="C2322" s="158">
        <v>11</v>
      </c>
      <c r="D2322" s="158">
        <v>300</v>
      </c>
      <c r="E2322" s="158">
        <v>0</v>
      </c>
      <c r="F2322" s="158">
        <v>601000</v>
      </c>
      <c r="G2322" s="158">
        <v>52350</v>
      </c>
      <c r="H2322" s="150" t="str">
        <f t="shared" si="108"/>
        <v>5</v>
      </c>
      <c r="I2322" s="150" t="str">
        <f t="shared" si="109"/>
        <v>52</v>
      </c>
      <c r="J2322" s="150" t="str">
        <f t="shared" si="110"/>
        <v>523</v>
      </c>
      <c r="K2322" s="150" t="s">
        <v>7852</v>
      </c>
      <c r="L2322" s="158" t="s">
        <v>1006</v>
      </c>
      <c r="M2322" s="160">
        <v>4000</v>
      </c>
    </row>
    <row r="2323" spans="1:13" x14ac:dyDescent="0.25">
      <c r="A2323" s="148" t="s">
        <v>7641</v>
      </c>
      <c r="B2323" s="158" t="s">
        <v>1007</v>
      </c>
      <c r="C2323" s="158">
        <v>11</v>
      </c>
      <c r="D2323" s="158">
        <v>300</v>
      </c>
      <c r="E2323" s="158">
        <v>0</v>
      </c>
      <c r="F2323" s="158">
        <v>601000</v>
      </c>
      <c r="G2323" s="158">
        <v>52360</v>
      </c>
      <c r="H2323" s="150" t="str">
        <f t="shared" si="108"/>
        <v>5</v>
      </c>
      <c r="I2323" s="150" t="str">
        <f t="shared" si="109"/>
        <v>52</v>
      </c>
      <c r="J2323" s="150" t="str">
        <f t="shared" si="110"/>
        <v>523</v>
      </c>
      <c r="K2323" s="150" t="s">
        <v>7864</v>
      </c>
      <c r="L2323" s="158" t="s">
        <v>1008</v>
      </c>
      <c r="M2323" s="160">
        <v>20000</v>
      </c>
    </row>
    <row r="2324" spans="1:13" x14ac:dyDescent="0.25">
      <c r="A2324" s="148" t="s">
        <v>7641</v>
      </c>
      <c r="B2324" s="158" t="s">
        <v>1017</v>
      </c>
      <c r="C2324" s="158">
        <v>11</v>
      </c>
      <c r="D2324" s="158">
        <v>300</v>
      </c>
      <c r="E2324" s="158">
        <v>0</v>
      </c>
      <c r="F2324" s="158">
        <v>601000</v>
      </c>
      <c r="G2324" s="158">
        <v>54210</v>
      </c>
      <c r="H2324" s="150" t="str">
        <f t="shared" si="108"/>
        <v>5</v>
      </c>
      <c r="I2324" s="150" t="str">
        <f t="shared" si="109"/>
        <v>54</v>
      </c>
      <c r="J2324" s="150" t="str">
        <f t="shared" si="110"/>
        <v>542</v>
      </c>
      <c r="K2324" s="150" t="s">
        <v>7911</v>
      </c>
      <c r="L2324" s="158" t="s">
        <v>1018</v>
      </c>
      <c r="M2324" s="160">
        <v>0</v>
      </c>
    </row>
    <row r="2325" spans="1:13" x14ac:dyDescent="0.25">
      <c r="A2325" s="148" t="s">
        <v>7641</v>
      </c>
      <c r="B2325" s="158" t="s">
        <v>1019</v>
      </c>
      <c r="C2325" s="158">
        <v>11</v>
      </c>
      <c r="D2325" s="158">
        <v>300</v>
      </c>
      <c r="E2325" s="158">
        <v>0</v>
      </c>
      <c r="F2325" s="158">
        <v>601000</v>
      </c>
      <c r="G2325" s="158">
        <v>54300</v>
      </c>
      <c r="H2325" s="150" t="str">
        <f t="shared" si="108"/>
        <v>5</v>
      </c>
      <c r="I2325" s="150" t="str">
        <f t="shared" si="109"/>
        <v>54</v>
      </c>
      <c r="J2325" s="150" t="str">
        <f t="shared" si="110"/>
        <v>543</v>
      </c>
      <c r="K2325" s="150" t="s">
        <v>7929</v>
      </c>
      <c r="L2325" s="158" t="s">
        <v>501</v>
      </c>
      <c r="M2325" s="160">
        <v>39400</v>
      </c>
    </row>
    <row r="2326" spans="1:13" x14ac:dyDescent="0.25">
      <c r="A2326" s="148" t="s">
        <v>7641</v>
      </c>
      <c r="B2326" s="158" t="s">
        <v>1020</v>
      </c>
      <c r="C2326" s="158">
        <v>11</v>
      </c>
      <c r="D2326" s="158">
        <v>300</v>
      </c>
      <c r="E2326" s="158">
        <v>0</v>
      </c>
      <c r="F2326" s="158">
        <v>601000</v>
      </c>
      <c r="G2326" s="158">
        <v>55105</v>
      </c>
      <c r="H2326" s="150" t="str">
        <f t="shared" si="108"/>
        <v>5</v>
      </c>
      <c r="I2326" s="150" t="str">
        <f t="shared" si="109"/>
        <v>55</v>
      </c>
      <c r="J2326" s="150" t="str">
        <f t="shared" si="110"/>
        <v>551</v>
      </c>
      <c r="K2326" s="150" t="s">
        <v>8010</v>
      </c>
      <c r="L2326" s="158" t="s">
        <v>1021</v>
      </c>
      <c r="M2326" s="160">
        <f>ROUND((4069*175)*70%,0)</f>
        <v>498453</v>
      </c>
    </row>
    <row r="2327" spans="1:13" x14ac:dyDescent="0.25">
      <c r="A2327" s="148" t="s">
        <v>7641</v>
      </c>
      <c r="B2327" s="158" t="s">
        <v>1022</v>
      </c>
      <c r="C2327" s="158">
        <v>11</v>
      </c>
      <c r="D2327" s="158">
        <v>300</v>
      </c>
      <c r="E2327" s="158">
        <v>0</v>
      </c>
      <c r="F2327" s="158">
        <v>601000</v>
      </c>
      <c r="G2327" s="158">
        <v>55200</v>
      </c>
      <c r="H2327" s="150" t="str">
        <f t="shared" si="108"/>
        <v>5</v>
      </c>
      <c r="I2327" s="150" t="str">
        <f t="shared" si="109"/>
        <v>55</v>
      </c>
      <c r="J2327" s="150" t="str">
        <f t="shared" si="110"/>
        <v>552</v>
      </c>
      <c r="K2327" s="150" t="s">
        <v>8045</v>
      </c>
      <c r="L2327" s="158" t="s">
        <v>505</v>
      </c>
      <c r="M2327" s="160">
        <v>6000</v>
      </c>
    </row>
    <row r="2328" spans="1:13" x14ac:dyDescent="0.25">
      <c r="A2328" s="148" t="s">
        <v>7641</v>
      </c>
      <c r="B2328" s="158" t="s">
        <v>1023</v>
      </c>
      <c r="C2328" s="158">
        <v>11</v>
      </c>
      <c r="D2328" s="158">
        <v>300</v>
      </c>
      <c r="E2328" s="158">
        <v>0</v>
      </c>
      <c r="F2328" s="158">
        <v>601000</v>
      </c>
      <c r="G2328" s="158">
        <v>55300</v>
      </c>
      <c r="H2328" s="150" t="str">
        <f t="shared" si="108"/>
        <v>5</v>
      </c>
      <c r="I2328" s="150" t="str">
        <f t="shared" si="109"/>
        <v>55</v>
      </c>
      <c r="J2328" s="150" t="str">
        <f t="shared" si="110"/>
        <v>553</v>
      </c>
      <c r="K2328" s="150" t="s">
        <v>8085</v>
      </c>
      <c r="L2328" s="158" t="s">
        <v>1024</v>
      </c>
      <c r="M2328" s="160">
        <v>400</v>
      </c>
    </row>
    <row r="2329" spans="1:13" x14ac:dyDescent="0.25">
      <c r="A2329" s="148" t="s">
        <v>7641</v>
      </c>
      <c r="B2329" s="158" t="s">
        <v>1025</v>
      </c>
      <c r="C2329" s="158">
        <v>11</v>
      </c>
      <c r="D2329" s="158">
        <v>300</v>
      </c>
      <c r="E2329" s="158">
        <v>0</v>
      </c>
      <c r="F2329" s="158">
        <v>601000</v>
      </c>
      <c r="G2329" s="158">
        <v>55630</v>
      </c>
      <c r="H2329" s="150" t="str">
        <f t="shared" si="108"/>
        <v>5</v>
      </c>
      <c r="I2329" s="150" t="str">
        <f t="shared" si="109"/>
        <v>55</v>
      </c>
      <c r="J2329" s="150" t="str">
        <f t="shared" si="110"/>
        <v>556</v>
      </c>
      <c r="K2329" s="150" t="s">
        <v>8190</v>
      </c>
      <c r="L2329" s="158" t="s">
        <v>509</v>
      </c>
      <c r="M2329" s="160">
        <v>1076</v>
      </c>
    </row>
    <row r="2330" spans="1:13" x14ac:dyDescent="0.25">
      <c r="A2330" s="148" t="s">
        <v>7641</v>
      </c>
      <c r="B2330" s="158" t="s">
        <v>1026</v>
      </c>
      <c r="C2330" s="158">
        <v>11</v>
      </c>
      <c r="D2330" s="158">
        <v>300</v>
      </c>
      <c r="E2330" s="158">
        <v>0</v>
      </c>
      <c r="F2330" s="158">
        <v>601000</v>
      </c>
      <c r="G2330" s="158">
        <v>55635</v>
      </c>
      <c r="H2330" s="150" t="str">
        <f t="shared" si="108"/>
        <v>5</v>
      </c>
      <c r="I2330" s="150" t="str">
        <f t="shared" si="109"/>
        <v>55</v>
      </c>
      <c r="J2330" s="150" t="str">
        <f t="shared" si="110"/>
        <v>556</v>
      </c>
      <c r="K2330" s="150" t="s">
        <v>8278</v>
      </c>
      <c r="L2330" s="158" t="s">
        <v>1027</v>
      </c>
      <c r="M2330" s="159">
        <v>18450</v>
      </c>
    </row>
    <row r="2331" spans="1:13" x14ac:dyDescent="0.25">
      <c r="A2331" s="148" t="s">
        <v>7641</v>
      </c>
      <c r="B2331" s="158" t="s">
        <v>1028</v>
      </c>
      <c r="C2331" s="158">
        <v>11</v>
      </c>
      <c r="D2331" s="158">
        <v>300</v>
      </c>
      <c r="E2331" s="158">
        <v>0</v>
      </c>
      <c r="F2331" s="158">
        <v>601000</v>
      </c>
      <c r="G2331" s="158">
        <v>55650</v>
      </c>
      <c r="H2331" s="150" t="str">
        <f t="shared" si="108"/>
        <v>5</v>
      </c>
      <c r="I2331" s="150" t="str">
        <f t="shared" si="109"/>
        <v>55</v>
      </c>
      <c r="J2331" s="150" t="str">
        <f t="shared" si="110"/>
        <v>556</v>
      </c>
      <c r="K2331" s="150" t="s">
        <v>8294</v>
      </c>
      <c r="L2331" s="158" t="s">
        <v>511</v>
      </c>
      <c r="M2331" s="160">
        <v>160</v>
      </c>
    </row>
    <row r="2332" spans="1:13" x14ac:dyDescent="0.25">
      <c r="A2332" s="148" t="s">
        <v>7641</v>
      </c>
      <c r="B2332" s="158" t="s">
        <v>1029</v>
      </c>
      <c r="C2332" s="158">
        <v>11</v>
      </c>
      <c r="D2332" s="158">
        <v>300</v>
      </c>
      <c r="E2332" s="158">
        <v>0</v>
      </c>
      <c r="F2332" s="158">
        <v>612000</v>
      </c>
      <c r="G2332" s="158">
        <v>56310</v>
      </c>
      <c r="H2332" s="150" t="str">
        <f t="shared" si="108"/>
        <v>5</v>
      </c>
      <c r="I2332" s="150" t="str">
        <f t="shared" si="109"/>
        <v>56</v>
      </c>
      <c r="J2332" s="150" t="str">
        <f t="shared" si="110"/>
        <v>563</v>
      </c>
      <c r="K2332" s="150" t="s">
        <v>8363</v>
      </c>
      <c r="L2332" s="158" t="s">
        <v>1030</v>
      </c>
      <c r="M2332" s="160">
        <v>129</v>
      </c>
    </row>
    <row r="2333" spans="1:13" x14ac:dyDescent="0.25">
      <c r="A2333" s="148" t="s">
        <v>7641</v>
      </c>
      <c r="B2333" s="158" t="s">
        <v>1043</v>
      </c>
      <c r="C2333" s="158">
        <v>11</v>
      </c>
      <c r="D2333" s="158">
        <v>300</v>
      </c>
      <c r="E2333" s="158">
        <v>0</v>
      </c>
      <c r="F2333" s="158">
        <v>675020</v>
      </c>
      <c r="G2333" s="158">
        <v>55630</v>
      </c>
      <c r="H2333" s="150" t="str">
        <f t="shared" si="108"/>
        <v>5</v>
      </c>
      <c r="I2333" s="150" t="str">
        <f t="shared" si="109"/>
        <v>55</v>
      </c>
      <c r="J2333" s="150" t="str">
        <f t="shared" si="110"/>
        <v>556</v>
      </c>
      <c r="K2333" s="150" t="s">
        <v>8191</v>
      </c>
      <c r="L2333" s="158" t="s">
        <v>143</v>
      </c>
      <c r="M2333" s="160">
        <v>0</v>
      </c>
    </row>
    <row r="2334" spans="1:13" x14ac:dyDescent="0.25">
      <c r="A2334" s="148" t="s">
        <v>7641</v>
      </c>
      <c r="B2334" s="158" t="s">
        <v>1044</v>
      </c>
      <c r="C2334" s="158">
        <v>11</v>
      </c>
      <c r="D2334" s="158">
        <v>300</v>
      </c>
      <c r="E2334" s="158">
        <v>4</v>
      </c>
      <c r="F2334" s="158">
        <v>490000</v>
      </c>
      <c r="G2334" s="158">
        <v>51311</v>
      </c>
      <c r="H2334" s="150" t="str">
        <f t="shared" si="108"/>
        <v>5</v>
      </c>
      <c r="I2334" s="150" t="str">
        <f t="shared" si="109"/>
        <v>51</v>
      </c>
      <c r="J2334" s="150" t="str">
        <f t="shared" si="110"/>
        <v>513</v>
      </c>
      <c r="K2334" s="150" t="s">
        <v>7718</v>
      </c>
      <c r="L2334" s="158" t="s">
        <v>1045</v>
      </c>
      <c r="M2334" s="160">
        <v>86356.26</v>
      </c>
    </row>
    <row r="2335" spans="1:13" x14ac:dyDescent="0.25">
      <c r="A2335" s="148" t="s">
        <v>7641</v>
      </c>
      <c r="B2335" s="158" t="s">
        <v>1054</v>
      </c>
      <c r="C2335" s="158">
        <v>11</v>
      </c>
      <c r="D2335" s="158">
        <v>300</v>
      </c>
      <c r="E2335" s="158">
        <v>4</v>
      </c>
      <c r="F2335" s="158">
        <v>601000</v>
      </c>
      <c r="G2335" s="158">
        <v>55650</v>
      </c>
      <c r="H2335" s="150" t="str">
        <f t="shared" si="108"/>
        <v>5</v>
      </c>
      <c r="I2335" s="150" t="str">
        <f t="shared" si="109"/>
        <v>55</v>
      </c>
      <c r="J2335" s="150" t="str">
        <f t="shared" si="110"/>
        <v>556</v>
      </c>
      <c r="K2335" s="150" t="s">
        <v>8295</v>
      </c>
      <c r="L2335" s="158" t="s">
        <v>511</v>
      </c>
      <c r="M2335" s="160">
        <v>23000</v>
      </c>
    </row>
    <row r="2336" spans="1:13" x14ac:dyDescent="0.25">
      <c r="A2336" s="148" t="s">
        <v>7641</v>
      </c>
      <c r="B2336" s="152" t="s">
        <v>1056</v>
      </c>
      <c r="C2336" s="152">
        <v>11</v>
      </c>
      <c r="D2336" s="152">
        <v>301</v>
      </c>
      <c r="E2336" s="152">
        <v>0</v>
      </c>
      <c r="F2336" s="152">
        <v>601000</v>
      </c>
      <c r="G2336" s="152">
        <v>51412</v>
      </c>
      <c r="H2336" s="150" t="str">
        <f t="shared" si="108"/>
        <v>5</v>
      </c>
      <c r="I2336" s="150" t="str">
        <f t="shared" si="109"/>
        <v>51</v>
      </c>
      <c r="J2336" s="150" t="str">
        <f t="shared" si="110"/>
        <v>514</v>
      </c>
      <c r="K2336" s="150" t="s">
        <v>7785</v>
      </c>
      <c r="L2336" s="152" t="s">
        <v>479</v>
      </c>
      <c r="M2336" s="153">
        <v>40000</v>
      </c>
    </row>
    <row r="2337" spans="1:13" x14ac:dyDescent="0.25">
      <c r="A2337" s="148" t="s">
        <v>7641</v>
      </c>
      <c r="B2337" s="152" t="s">
        <v>1058</v>
      </c>
      <c r="C2337" s="152">
        <v>11</v>
      </c>
      <c r="D2337" s="152">
        <v>301</v>
      </c>
      <c r="E2337" s="152">
        <v>0</v>
      </c>
      <c r="F2337" s="152">
        <v>601000</v>
      </c>
      <c r="G2337" s="152">
        <v>52300</v>
      </c>
      <c r="H2337" s="150" t="str">
        <f t="shared" si="108"/>
        <v>5</v>
      </c>
      <c r="I2337" s="150" t="str">
        <f t="shared" si="109"/>
        <v>52</v>
      </c>
      <c r="J2337" s="150" t="str">
        <f t="shared" si="110"/>
        <v>523</v>
      </c>
      <c r="K2337" s="150" t="s">
        <v>7819</v>
      </c>
      <c r="L2337" s="152" t="s">
        <v>483</v>
      </c>
      <c r="M2337" s="153">
        <v>12000</v>
      </c>
    </row>
    <row r="2338" spans="1:13" x14ac:dyDescent="0.25">
      <c r="A2338" s="148" t="s">
        <v>7641</v>
      </c>
      <c r="B2338" s="152" t="s">
        <v>1059</v>
      </c>
      <c r="C2338" s="152">
        <v>11</v>
      </c>
      <c r="D2338" s="152">
        <v>301</v>
      </c>
      <c r="E2338" s="152">
        <v>0</v>
      </c>
      <c r="F2338" s="152">
        <v>601000</v>
      </c>
      <c r="G2338" s="152">
        <v>52360</v>
      </c>
      <c r="H2338" s="150" t="str">
        <f t="shared" si="108"/>
        <v>5</v>
      </c>
      <c r="I2338" s="150" t="str">
        <f t="shared" si="109"/>
        <v>52</v>
      </c>
      <c r="J2338" s="150" t="str">
        <f t="shared" si="110"/>
        <v>523</v>
      </c>
      <c r="K2338" s="150" t="s">
        <v>7865</v>
      </c>
      <c r="L2338" s="152" t="s">
        <v>1008</v>
      </c>
      <c r="M2338" s="153">
        <v>0</v>
      </c>
    </row>
    <row r="2339" spans="1:13" x14ac:dyDescent="0.25">
      <c r="A2339" s="148" t="s">
        <v>7641</v>
      </c>
      <c r="B2339" s="152" t="s">
        <v>1068</v>
      </c>
      <c r="C2339" s="152">
        <v>11</v>
      </c>
      <c r="D2339" s="152">
        <v>301</v>
      </c>
      <c r="E2339" s="152">
        <v>0</v>
      </c>
      <c r="F2339" s="152">
        <v>601000</v>
      </c>
      <c r="G2339" s="152">
        <v>54300</v>
      </c>
      <c r="H2339" s="150" t="str">
        <f t="shared" si="108"/>
        <v>5</v>
      </c>
      <c r="I2339" s="150" t="str">
        <f t="shared" si="109"/>
        <v>54</v>
      </c>
      <c r="J2339" s="150" t="str">
        <f t="shared" si="110"/>
        <v>543</v>
      </c>
      <c r="K2339" s="150" t="s">
        <v>7930</v>
      </c>
      <c r="L2339" s="152" t="s">
        <v>501</v>
      </c>
      <c r="M2339" s="153">
        <v>10000</v>
      </c>
    </row>
    <row r="2340" spans="1:13" x14ac:dyDescent="0.25">
      <c r="A2340" s="148" t="s">
        <v>7641</v>
      </c>
      <c r="B2340" s="152" t="s">
        <v>1069</v>
      </c>
      <c r="C2340" s="152">
        <v>11</v>
      </c>
      <c r="D2340" s="152">
        <v>301</v>
      </c>
      <c r="E2340" s="152">
        <v>0</v>
      </c>
      <c r="F2340" s="152">
        <v>601000</v>
      </c>
      <c r="G2340" s="152">
        <v>55200</v>
      </c>
      <c r="H2340" s="150" t="str">
        <f t="shared" si="108"/>
        <v>5</v>
      </c>
      <c r="I2340" s="150" t="str">
        <f t="shared" si="109"/>
        <v>55</v>
      </c>
      <c r="J2340" s="150" t="str">
        <f t="shared" si="110"/>
        <v>552</v>
      </c>
      <c r="K2340" s="150" t="s">
        <v>8046</v>
      </c>
      <c r="L2340" s="152" t="s">
        <v>505</v>
      </c>
      <c r="M2340" s="153">
        <v>5000</v>
      </c>
    </row>
    <row r="2341" spans="1:13" x14ac:dyDescent="0.25">
      <c r="A2341" s="148" t="s">
        <v>7641</v>
      </c>
      <c r="B2341" s="152" t="s">
        <v>1070</v>
      </c>
      <c r="C2341" s="152">
        <v>11</v>
      </c>
      <c r="D2341" s="152">
        <v>301</v>
      </c>
      <c r="E2341" s="152">
        <v>0</v>
      </c>
      <c r="F2341" s="152">
        <v>601000</v>
      </c>
      <c r="G2341" s="152">
        <v>55630</v>
      </c>
      <c r="H2341" s="150" t="str">
        <f t="shared" si="108"/>
        <v>5</v>
      </c>
      <c r="I2341" s="150" t="str">
        <f t="shared" si="109"/>
        <v>55</v>
      </c>
      <c r="J2341" s="150" t="str">
        <f t="shared" si="110"/>
        <v>556</v>
      </c>
      <c r="K2341" s="150" t="s">
        <v>8192</v>
      </c>
      <c r="L2341" s="152" t="s">
        <v>509</v>
      </c>
      <c r="M2341" s="153">
        <v>1400</v>
      </c>
    </row>
    <row r="2342" spans="1:13" x14ac:dyDescent="0.25">
      <c r="A2342" s="148" t="s">
        <v>7641</v>
      </c>
      <c r="B2342" s="152" t="s">
        <v>1129</v>
      </c>
      <c r="C2342" s="152">
        <v>11</v>
      </c>
      <c r="D2342" s="152">
        <v>310</v>
      </c>
      <c r="E2342" s="152">
        <v>0</v>
      </c>
      <c r="F2342" s="152">
        <v>80100</v>
      </c>
      <c r="G2342" s="152">
        <v>51311</v>
      </c>
      <c r="H2342" s="150" t="str">
        <f t="shared" si="108"/>
        <v>5</v>
      </c>
      <c r="I2342" s="150" t="str">
        <f t="shared" si="109"/>
        <v>51</v>
      </c>
      <c r="J2342" s="150" t="str">
        <f t="shared" si="110"/>
        <v>513</v>
      </c>
      <c r="K2342" s="150" t="s">
        <v>7720</v>
      </c>
      <c r="L2342" s="152" t="s">
        <v>1130</v>
      </c>
      <c r="M2342" s="153"/>
    </row>
    <row r="2343" spans="1:13" x14ac:dyDescent="0.25">
      <c r="A2343" s="148" t="s">
        <v>7641</v>
      </c>
      <c r="B2343" s="152" t="s">
        <v>1141</v>
      </c>
      <c r="C2343" s="152">
        <v>11</v>
      </c>
      <c r="D2343" s="152">
        <v>310</v>
      </c>
      <c r="E2343" s="152">
        <v>0</v>
      </c>
      <c r="F2343" s="152">
        <v>100200</v>
      </c>
      <c r="G2343" s="152">
        <v>51310</v>
      </c>
      <c r="H2343" s="150" t="str">
        <f t="shared" si="108"/>
        <v>5</v>
      </c>
      <c r="I2343" s="150" t="str">
        <f t="shared" si="109"/>
        <v>51</v>
      </c>
      <c r="J2343" s="150" t="str">
        <f t="shared" si="110"/>
        <v>513</v>
      </c>
      <c r="K2343" s="150" t="s">
        <v>7646</v>
      </c>
      <c r="L2343" s="152" t="s">
        <v>1142</v>
      </c>
      <c r="M2343" s="153">
        <v>4293</v>
      </c>
    </row>
    <row r="2344" spans="1:13" x14ac:dyDescent="0.25">
      <c r="A2344" s="148" t="s">
        <v>7641</v>
      </c>
      <c r="B2344" s="152" t="s">
        <v>1143</v>
      </c>
      <c r="C2344" s="152">
        <v>11</v>
      </c>
      <c r="D2344" s="152">
        <v>310</v>
      </c>
      <c r="E2344" s="152">
        <v>0</v>
      </c>
      <c r="F2344" s="152">
        <v>100200</v>
      </c>
      <c r="G2344" s="152">
        <v>51311</v>
      </c>
      <c r="H2344" s="150" t="str">
        <f t="shared" si="108"/>
        <v>5</v>
      </c>
      <c r="I2344" s="150" t="str">
        <f t="shared" si="109"/>
        <v>51</v>
      </c>
      <c r="J2344" s="150" t="str">
        <f t="shared" si="110"/>
        <v>513</v>
      </c>
      <c r="K2344" s="150" t="s">
        <v>7721</v>
      </c>
      <c r="L2344" s="152" t="s">
        <v>251</v>
      </c>
      <c r="M2344" s="153">
        <v>176100</v>
      </c>
    </row>
    <row r="2345" spans="1:13" x14ac:dyDescent="0.25">
      <c r="A2345" s="148" t="s">
        <v>7641</v>
      </c>
      <c r="B2345" s="152" t="s">
        <v>1146</v>
      </c>
      <c r="C2345" s="152">
        <v>11</v>
      </c>
      <c r="D2345" s="152">
        <v>310</v>
      </c>
      <c r="E2345" s="152">
        <v>0</v>
      </c>
      <c r="F2345" s="152">
        <v>100200</v>
      </c>
      <c r="G2345" s="152">
        <v>52360</v>
      </c>
      <c r="H2345" s="150" t="str">
        <f t="shared" si="108"/>
        <v>5</v>
      </c>
      <c r="I2345" s="150" t="str">
        <f t="shared" si="109"/>
        <v>52</v>
      </c>
      <c r="J2345" s="150" t="str">
        <f t="shared" si="110"/>
        <v>523</v>
      </c>
      <c r="K2345" s="150" t="s">
        <v>7867</v>
      </c>
      <c r="L2345" s="152" t="s">
        <v>1147</v>
      </c>
      <c r="M2345" s="153">
        <v>7700</v>
      </c>
    </row>
    <row r="2346" spans="1:13" x14ac:dyDescent="0.25">
      <c r="A2346" s="148" t="s">
        <v>7641</v>
      </c>
      <c r="B2346" s="152" t="s">
        <v>1168</v>
      </c>
      <c r="C2346" s="152">
        <v>11</v>
      </c>
      <c r="D2346" s="152">
        <v>310</v>
      </c>
      <c r="E2346" s="152">
        <v>0</v>
      </c>
      <c r="F2346" s="152">
        <v>100200</v>
      </c>
      <c r="G2346" s="152">
        <v>54300</v>
      </c>
      <c r="H2346" s="150" t="str">
        <f t="shared" si="108"/>
        <v>5</v>
      </c>
      <c r="I2346" s="150" t="str">
        <f t="shared" si="109"/>
        <v>54</v>
      </c>
      <c r="J2346" s="150" t="str">
        <f t="shared" si="110"/>
        <v>543</v>
      </c>
      <c r="K2346" s="150" t="s">
        <v>7933</v>
      </c>
      <c r="L2346" s="152" t="s">
        <v>1169</v>
      </c>
      <c r="M2346" s="153">
        <v>3975</v>
      </c>
    </row>
    <row r="2347" spans="1:13" x14ac:dyDescent="0.25">
      <c r="A2347" s="148" t="s">
        <v>7641</v>
      </c>
      <c r="B2347" s="152" t="s">
        <v>1170</v>
      </c>
      <c r="C2347" s="152">
        <v>11</v>
      </c>
      <c r="D2347" s="152">
        <v>310</v>
      </c>
      <c r="E2347" s="152">
        <v>0</v>
      </c>
      <c r="F2347" s="152">
        <v>100200</v>
      </c>
      <c r="G2347" s="152">
        <v>55630</v>
      </c>
      <c r="H2347" s="150" t="str">
        <f t="shared" si="108"/>
        <v>5</v>
      </c>
      <c r="I2347" s="150" t="str">
        <f t="shared" si="109"/>
        <v>55</v>
      </c>
      <c r="J2347" s="150" t="str">
        <f t="shared" si="110"/>
        <v>556</v>
      </c>
      <c r="K2347" s="150" t="s">
        <v>8196</v>
      </c>
      <c r="L2347" s="152" t="s">
        <v>1171</v>
      </c>
      <c r="M2347" s="153">
        <v>600</v>
      </c>
    </row>
    <row r="2348" spans="1:13" x14ac:dyDescent="0.25">
      <c r="A2348" s="148" t="s">
        <v>7641</v>
      </c>
      <c r="B2348" s="152" t="s">
        <v>1172</v>
      </c>
      <c r="C2348" s="152">
        <v>11</v>
      </c>
      <c r="D2348" s="152">
        <v>310</v>
      </c>
      <c r="E2348" s="152">
        <v>0</v>
      </c>
      <c r="F2348" s="152">
        <v>100200</v>
      </c>
      <c r="G2348" s="152">
        <v>55651</v>
      </c>
      <c r="H2348" s="150" t="str">
        <f t="shared" si="108"/>
        <v>5</v>
      </c>
      <c r="I2348" s="150" t="str">
        <f t="shared" si="109"/>
        <v>55</v>
      </c>
      <c r="J2348" s="150" t="str">
        <f t="shared" si="110"/>
        <v>556</v>
      </c>
      <c r="K2348" s="150" t="s">
        <v>8316</v>
      </c>
      <c r="L2348" s="152" t="s">
        <v>1173</v>
      </c>
      <c r="M2348" s="153">
        <v>10</v>
      </c>
    </row>
    <row r="2349" spans="1:13" x14ac:dyDescent="0.25">
      <c r="A2349" s="148" t="s">
        <v>7641</v>
      </c>
      <c r="B2349" s="152" t="s">
        <v>1174</v>
      </c>
      <c r="C2349" s="152">
        <v>11</v>
      </c>
      <c r="D2349" s="152">
        <v>310</v>
      </c>
      <c r="E2349" s="152">
        <v>0</v>
      </c>
      <c r="F2349" s="152">
        <v>100200</v>
      </c>
      <c r="G2349" s="152">
        <v>56400</v>
      </c>
      <c r="H2349" s="150" t="str">
        <f t="shared" si="108"/>
        <v>5</v>
      </c>
      <c r="I2349" s="150" t="str">
        <f t="shared" si="109"/>
        <v>56</v>
      </c>
      <c r="J2349" s="150" t="str">
        <f t="shared" si="110"/>
        <v>564</v>
      </c>
      <c r="K2349" s="150" t="s">
        <v>8373</v>
      </c>
      <c r="L2349" s="152" t="s">
        <v>1175</v>
      </c>
      <c r="M2349" s="153">
        <v>2500</v>
      </c>
    </row>
    <row r="2350" spans="1:13" x14ac:dyDescent="0.25">
      <c r="A2350" s="148" t="s">
        <v>7641</v>
      </c>
      <c r="B2350" s="152" t="s">
        <v>1178</v>
      </c>
      <c r="C2350" s="152">
        <v>11</v>
      </c>
      <c r="D2350" s="152">
        <v>310</v>
      </c>
      <c r="E2350" s="152">
        <v>0</v>
      </c>
      <c r="F2350" s="152">
        <v>100400</v>
      </c>
      <c r="G2350" s="152">
        <v>51310</v>
      </c>
      <c r="H2350" s="150" t="str">
        <f t="shared" si="108"/>
        <v>5</v>
      </c>
      <c r="I2350" s="150" t="str">
        <f t="shared" si="109"/>
        <v>51</v>
      </c>
      <c r="J2350" s="150" t="str">
        <f t="shared" si="110"/>
        <v>513</v>
      </c>
      <c r="K2350" s="150" t="s">
        <v>7647</v>
      </c>
      <c r="L2350" s="152" t="s">
        <v>1179</v>
      </c>
      <c r="M2350" s="153">
        <v>4443.2550000000001</v>
      </c>
    </row>
    <row r="2351" spans="1:13" x14ac:dyDescent="0.25">
      <c r="A2351" s="148" t="s">
        <v>7641</v>
      </c>
      <c r="B2351" s="152" t="s">
        <v>1180</v>
      </c>
      <c r="C2351" s="152">
        <v>11</v>
      </c>
      <c r="D2351" s="152">
        <v>310</v>
      </c>
      <c r="E2351" s="152">
        <v>0</v>
      </c>
      <c r="F2351" s="152">
        <v>100400</v>
      </c>
      <c r="G2351" s="152">
        <v>51311</v>
      </c>
      <c r="H2351" s="150" t="str">
        <f t="shared" si="108"/>
        <v>5</v>
      </c>
      <c r="I2351" s="150" t="str">
        <f t="shared" si="109"/>
        <v>51</v>
      </c>
      <c r="J2351" s="150" t="str">
        <f t="shared" si="110"/>
        <v>513</v>
      </c>
      <c r="K2351" s="150" t="s">
        <v>7722</v>
      </c>
      <c r="L2351" s="152" t="s">
        <v>261</v>
      </c>
      <c r="M2351" s="153">
        <v>123560</v>
      </c>
    </row>
    <row r="2352" spans="1:13" x14ac:dyDescent="0.25">
      <c r="A2352" s="148" t="s">
        <v>7641</v>
      </c>
      <c r="B2352" s="152" t="s">
        <v>1181</v>
      </c>
      <c r="C2352" s="152">
        <v>11</v>
      </c>
      <c r="D2352" s="152">
        <v>310</v>
      </c>
      <c r="E2352" s="152">
        <v>0</v>
      </c>
      <c r="F2352" s="152">
        <v>100400</v>
      </c>
      <c r="G2352" s="152">
        <v>52400</v>
      </c>
      <c r="H2352" s="150" t="str">
        <f t="shared" si="108"/>
        <v>5</v>
      </c>
      <c r="I2352" s="150" t="str">
        <f t="shared" si="109"/>
        <v>52</v>
      </c>
      <c r="J2352" s="150" t="str">
        <f t="shared" si="110"/>
        <v>524</v>
      </c>
      <c r="K2352" s="150" t="s">
        <v>7887</v>
      </c>
      <c r="L2352" s="152" t="s">
        <v>1182</v>
      </c>
      <c r="M2352" s="153">
        <v>10350</v>
      </c>
    </row>
    <row r="2353" spans="1:13" x14ac:dyDescent="0.25">
      <c r="A2353" s="148" t="s">
        <v>7641</v>
      </c>
      <c r="B2353" s="152" t="s">
        <v>1191</v>
      </c>
      <c r="C2353" s="152">
        <v>11</v>
      </c>
      <c r="D2353" s="152">
        <v>310</v>
      </c>
      <c r="E2353" s="152">
        <v>0</v>
      </c>
      <c r="F2353" s="152">
        <v>100400</v>
      </c>
      <c r="G2353" s="152">
        <v>54300</v>
      </c>
      <c r="H2353" s="150" t="str">
        <f t="shared" si="108"/>
        <v>5</v>
      </c>
      <c r="I2353" s="150" t="str">
        <f t="shared" si="109"/>
        <v>54</v>
      </c>
      <c r="J2353" s="150" t="str">
        <f t="shared" si="110"/>
        <v>543</v>
      </c>
      <c r="K2353" s="150" t="s">
        <v>7934</v>
      </c>
      <c r="L2353" s="152" t="s">
        <v>1192</v>
      </c>
      <c r="M2353" s="153">
        <v>3000</v>
      </c>
    </row>
    <row r="2354" spans="1:13" x14ac:dyDescent="0.25">
      <c r="A2354" s="148" t="s">
        <v>7641</v>
      </c>
      <c r="B2354" s="152" t="s">
        <v>1193</v>
      </c>
      <c r="C2354" s="152">
        <v>11</v>
      </c>
      <c r="D2354" s="152">
        <v>310</v>
      </c>
      <c r="E2354" s="152">
        <v>0</v>
      </c>
      <c r="F2354" s="152">
        <v>100400</v>
      </c>
      <c r="G2354" s="152">
        <v>55630</v>
      </c>
      <c r="H2354" s="150" t="str">
        <f t="shared" si="108"/>
        <v>5</v>
      </c>
      <c r="I2354" s="150" t="str">
        <f t="shared" si="109"/>
        <v>55</v>
      </c>
      <c r="J2354" s="150" t="str">
        <f t="shared" si="110"/>
        <v>556</v>
      </c>
      <c r="K2354" s="150" t="s">
        <v>8197</v>
      </c>
      <c r="L2354" s="152" t="s">
        <v>1194</v>
      </c>
      <c r="M2354" s="153">
        <v>600</v>
      </c>
    </row>
    <row r="2355" spans="1:13" x14ac:dyDescent="0.25">
      <c r="A2355" s="148" t="s">
        <v>7641</v>
      </c>
      <c r="B2355" s="152" t="s">
        <v>1195</v>
      </c>
      <c r="C2355" s="152">
        <v>11</v>
      </c>
      <c r="D2355" s="152">
        <v>310</v>
      </c>
      <c r="E2355" s="152">
        <v>0</v>
      </c>
      <c r="F2355" s="152">
        <v>100400</v>
      </c>
      <c r="G2355" s="152">
        <v>55651</v>
      </c>
      <c r="H2355" s="150" t="str">
        <f t="shared" si="108"/>
        <v>5</v>
      </c>
      <c r="I2355" s="150" t="str">
        <f t="shared" si="109"/>
        <v>55</v>
      </c>
      <c r="J2355" s="150" t="str">
        <f t="shared" si="110"/>
        <v>556</v>
      </c>
      <c r="K2355" s="150" t="s">
        <v>8317</v>
      </c>
      <c r="L2355" s="152" t="s">
        <v>1196</v>
      </c>
      <c r="M2355" s="153">
        <v>3000</v>
      </c>
    </row>
    <row r="2356" spans="1:13" x14ac:dyDescent="0.25">
      <c r="A2356" s="148" t="s">
        <v>7641</v>
      </c>
      <c r="B2356" s="152" t="s">
        <v>1199</v>
      </c>
      <c r="C2356" s="152">
        <v>11</v>
      </c>
      <c r="D2356" s="152">
        <v>310</v>
      </c>
      <c r="E2356" s="152">
        <v>0</v>
      </c>
      <c r="F2356" s="152">
        <v>100700</v>
      </c>
      <c r="G2356" s="152">
        <v>51310</v>
      </c>
      <c r="H2356" s="150" t="str">
        <f t="shared" si="108"/>
        <v>5</v>
      </c>
      <c r="I2356" s="150" t="str">
        <f t="shared" si="109"/>
        <v>51</v>
      </c>
      <c r="J2356" s="150" t="str">
        <f t="shared" si="110"/>
        <v>513</v>
      </c>
      <c r="K2356" s="150" t="s">
        <v>7648</v>
      </c>
      <c r="L2356" s="152" t="s">
        <v>1200</v>
      </c>
      <c r="M2356" s="153">
        <v>23246</v>
      </c>
    </row>
    <row r="2357" spans="1:13" x14ac:dyDescent="0.25">
      <c r="A2357" s="148" t="s">
        <v>7641</v>
      </c>
      <c r="B2357" s="152" t="s">
        <v>1201</v>
      </c>
      <c r="C2357" s="152">
        <v>11</v>
      </c>
      <c r="D2357" s="152">
        <v>310</v>
      </c>
      <c r="E2357" s="152">
        <v>0</v>
      </c>
      <c r="F2357" s="152">
        <v>100700</v>
      </c>
      <c r="G2357" s="152">
        <v>51311</v>
      </c>
      <c r="H2357" s="150" t="str">
        <f t="shared" si="108"/>
        <v>5</v>
      </c>
      <c r="I2357" s="150" t="str">
        <f t="shared" si="109"/>
        <v>51</v>
      </c>
      <c r="J2357" s="150" t="str">
        <f t="shared" si="110"/>
        <v>513</v>
      </c>
      <c r="K2357" s="150" t="s">
        <v>7723</v>
      </c>
      <c r="L2357" s="152" t="s">
        <v>1202</v>
      </c>
      <c r="M2357" s="153">
        <v>120000</v>
      </c>
    </row>
    <row r="2358" spans="1:13" x14ac:dyDescent="0.25">
      <c r="A2358" s="148" t="s">
        <v>7641</v>
      </c>
      <c r="B2358" s="152" t="s">
        <v>1203</v>
      </c>
      <c r="C2358" s="152">
        <v>11</v>
      </c>
      <c r="D2358" s="152">
        <v>310</v>
      </c>
      <c r="E2358" s="152">
        <v>0</v>
      </c>
      <c r="F2358" s="152">
        <v>100700</v>
      </c>
      <c r="G2358" s="152">
        <v>52350</v>
      </c>
      <c r="H2358" s="150" t="str">
        <f t="shared" si="108"/>
        <v>5</v>
      </c>
      <c r="I2358" s="150" t="str">
        <f t="shared" si="109"/>
        <v>52</v>
      </c>
      <c r="J2358" s="150" t="str">
        <f t="shared" si="110"/>
        <v>523</v>
      </c>
      <c r="K2358" s="150" t="s">
        <v>7854</v>
      </c>
      <c r="L2358" s="152" t="s">
        <v>1204</v>
      </c>
      <c r="M2358" s="153">
        <v>435</v>
      </c>
    </row>
    <row r="2359" spans="1:13" x14ac:dyDescent="0.25">
      <c r="A2359" s="148" t="s">
        <v>7641</v>
      </c>
      <c r="B2359" s="152" t="s">
        <v>1205</v>
      </c>
      <c r="C2359" s="152">
        <v>11</v>
      </c>
      <c r="D2359" s="152">
        <v>310</v>
      </c>
      <c r="E2359" s="152">
        <v>0</v>
      </c>
      <c r="F2359" s="152">
        <v>100700</v>
      </c>
      <c r="G2359" s="152">
        <v>52360</v>
      </c>
      <c r="H2359" s="150" t="str">
        <f t="shared" si="108"/>
        <v>5</v>
      </c>
      <c r="I2359" s="150" t="str">
        <f t="shared" si="109"/>
        <v>52</v>
      </c>
      <c r="J2359" s="150" t="str">
        <f t="shared" si="110"/>
        <v>523</v>
      </c>
      <c r="K2359" s="150" t="s">
        <v>7868</v>
      </c>
      <c r="L2359" s="152" t="s">
        <v>1206</v>
      </c>
      <c r="M2359" s="153">
        <v>1500</v>
      </c>
    </row>
    <row r="2360" spans="1:13" x14ac:dyDescent="0.25">
      <c r="A2360" s="148" t="s">
        <v>7641</v>
      </c>
      <c r="B2360" s="152" t="s">
        <v>1227</v>
      </c>
      <c r="C2360" s="152">
        <v>11</v>
      </c>
      <c r="D2360" s="152">
        <v>310</v>
      </c>
      <c r="E2360" s="152">
        <v>0</v>
      </c>
      <c r="F2360" s="152">
        <v>100700</v>
      </c>
      <c r="G2360" s="152">
        <v>55105</v>
      </c>
      <c r="H2360" s="150" t="str">
        <f t="shared" si="108"/>
        <v>5</v>
      </c>
      <c r="I2360" s="150" t="str">
        <f t="shared" si="109"/>
        <v>55</v>
      </c>
      <c r="J2360" s="150" t="str">
        <f t="shared" si="110"/>
        <v>551</v>
      </c>
      <c r="K2360" s="150" t="s">
        <v>8011</v>
      </c>
      <c r="L2360" s="152" t="s">
        <v>1228</v>
      </c>
      <c r="M2360" s="153">
        <v>1420</v>
      </c>
    </row>
    <row r="2361" spans="1:13" x14ac:dyDescent="0.25">
      <c r="A2361" s="148" t="s">
        <v>7641</v>
      </c>
      <c r="B2361" s="152" t="s">
        <v>1229</v>
      </c>
      <c r="C2361" s="152">
        <v>11</v>
      </c>
      <c r="D2361" s="152">
        <v>310</v>
      </c>
      <c r="E2361" s="152">
        <v>0</v>
      </c>
      <c r="F2361" s="152">
        <v>100700</v>
      </c>
      <c r="G2361" s="152">
        <v>55200</v>
      </c>
      <c r="H2361" s="150" t="str">
        <f t="shared" si="108"/>
        <v>5</v>
      </c>
      <c r="I2361" s="150" t="str">
        <f t="shared" si="109"/>
        <v>55</v>
      </c>
      <c r="J2361" s="150" t="str">
        <f t="shared" si="110"/>
        <v>552</v>
      </c>
      <c r="K2361" s="150" t="s">
        <v>8048</v>
      </c>
      <c r="L2361" s="152" t="s">
        <v>1230</v>
      </c>
      <c r="M2361" s="153">
        <v>2000</v>
      </c>
    </row>
    <row r="2362" spans="1:13" x14ac:dyDescent="0.25">
      <c r="A2362" s="148" t="s">
        <v>7641</v>
      </c>
      <c r="B2362" s="152" t="s">
        <v>1231</v>
      </c>
      <c r="C2362" s="152">
        <v>11</v>
      </c>
      <c r="D2362" s="152">
        <v>310</v>
      </c>
      <c r="E2362" s="152">
        <v>0</v>
      </c>
      <c r="F2362" s="152">
        <v>100700</v>
      </c>
      <c r="G2362" s="152">
        <v>55300</v>
      </c>
      <c r="H2362" s="150" t="str">
        <f t="shared" si="108"/>
        <v>5</v>
      </c>
      <c r="I2362" s="150" t="str">
        <f t="shared" si="109"/>
        <v>55</v>
      </c>
      <c r="J2362" s="150" t="str">
        <f t="shared" si="110"/>
        <v>553</v>
      </c>
      <c r="K2362" s="150" t="s">
        <v>8086</v>
      </c>
      <c r="L2362" s="152" t="s">
        <v>1232</v>
      </c>
      <c r="M2362" s="153">
        <v>200</v>
      </c>
    </row>
    <row r="2363" spans="1:13" x14ac:dyDescent="0.25">
      <c r="A2363" s="148" t="s">
        <v>7641</v>
      </c>
      <c r="B2363" s="152" t="s">
        <v>1233</v>
      </c>
      <c r="C2363" s="152">
        <v>11</v>
      </c>
      <c r="D2363" s="152">
        <v>310</v>
      </c>
      <c r="E2363" s="152">
        <v>0</v>
      </c>
      <c r="F2363" s="152">
        <v>100700</v>
      </c>
      <c r="G2363" s="152">
        <v>55630</v>
      </c>
      <c r="H2363" s="150" t="str">
        <f t="shared" si="108"/>
        <v>5</v>
      </c>
      <c r="I2363" s="150" t="str">
        <f t="shared" si="109"/>
        <v>55</v>
      </c>
      <c r="J2363" s="150" t="str">
        <f t="shared" si="110"/>
        <v>556</v>
      </c>
      <c r="K2363" s="150" t="s">
        <v>8198</v>
      </c>
      <c r="L2363" s="152" t="s">
        <v>1234</v>
      </c>
      <c r="M2363" s="153">
        <v>600</v>
      </c>
    </row>
    <row r="2364" spans="1:13" x14ac:dyDescent="0.25">
      <c r="A2364" s="148" t="s">
        <v>7641</v>
      </c>
      <c r="B2364" s="152" t="s">
        <v>1235</v>
      </c>
      <c r="C2364" s="152">
        <v>11</v>
      </c>
      <c r="D2364" s="152">
        <v>310</v>
      </c>
      <c r="E2364" s="152">
        <v>0</v>
      </c>
      <c r="F2364" s="152">
        <v>100700</v>
      </c>
      <c r="G2364" s="152">
        <v>57552</v>
      </c>
      <c r="H2364" s="150" t="str">
        <f t="shared" si="108"/>
        <v>5</v>
      </c>
      <c r="I2364" s="150" t="str">
        <f t="shared" si="109"/>
        <v>57</v>
      </c>
      <c r="J2364" s="150" t="str">
        <f t="shared" si="110"/>
        <v>575</v>
      </c>
      <c r="K2364" s="150" t="s">
        <v>8395</v>
      </c>
      <c r="L2364" s="152" t="s">
        <v>1236</v>
      </c>
      <c r="M2364" s="153">
        <v>2000</v>
      </c>
    </row>
    <row r="2365" spans="1:13" x14ac:dyDescent="0.25">
      <c r="A2365" s="148" t="s">
        <v>7641</v>
      </c>
      <c r="B2365" s="152" t="s">
        <v>1237</v>
      </c>
      <c r="C2365" s="152">
        <v>11</v>
      </c>
      <c r="D2365" s="152">
        <v>310</v>
      </c>
      <c r="E2365" s="152">
        <v>0</v>
      </c>
      <c r="F2365" s="152">
        <v>101100</v>
      </c>
      <c r="G2365" s="152">
        <v>51310</v>
      </c>
      <c r="H2365" s="150" t="str">
        <f t="shared" si="108"/>
        <v>5</v>
      </c>
      <c r="I2365" s="150" t="str">
        <f t="shared" si="109"/>
        <v>51</v>
      </c>
      <c r="J2365" s="150" t="str">
        <f t="shared" si="110"/>
        <v>513</v>
      </c>
      <c r="K2365" s="150" t="s">
        <v>7649</v>
      </c>
      <c r="L2365" s="152" t="s">
        <v>1238</v>
      </c>
      <c r="M2365" s="153">
        <v>7000</v>
      </c>
    </row>
    <row r="2366" spans="1:13" x14ac:dyDescent="0.25">
      <c r="A2366" s="148" t="s">
        <v>7641</v>
      </c>
      <c r="B2366" s="152" t="s">
        <v>1239</v>
      </c>
      <c r="C2366" s="152">
        <v>11</v>
      </c>
      <c r="D2366" s="152">
        <v>310</v>
      </c>
      <c r="E2366" s="152">
        <v>0</v>
      </c>
      <c r="F2366" s="152">
        <v>101100</v>
      </c>
      <c r="G2366" s="152">
        <v>51311</v>
      </c>
      <c r="H2366" s="150" t="str">
        <f t="shared" si="108"/>
        <v>5</v>
      </c>
      <c r="I2366" s="150" t="str">
        <f t="shared" si="109"/>
        <v>51</v>
      </c>
      <c r="J2366" s="150" t="str">
        <f t="shared" si="110"/>
        <v>513</v>
      </c>
      <c r="K2366" s="150" t="s">
        <v>7724</v>
      </c>
      <c r="L2366" s="152" t="s">
        <v>271</v>
      </c>
      <c r="M2366" s="153">
        <v>40000</v>
      </c>
    </row>
    <row r="2367" spans="1:13" x14ac:dyDescent="0.25">
      <c r="A2367" s="148" t="s">
        <v>7641</v>
      </c>
      <c r="B2367" s="152" t="s">
        <v>1252</v>
      </c>
      <c r="C2367" s="152">
        <v>11</v>
      </c>
      <c r="D2367" s="152">
        <v>310</v>
      </c>
      <c r="E2367" s="152">
        <v>0</v>
      </c>
      <c r="F2367" s="152">
        <v>101100</v>
      </c>
      <c r="G2367" s="152">
        <v>54300</v>
      </c>
      <c r="H2367" s="150" t="str">
        <f t="shared" si="108"/>
        <v>5</v>
      </c>
      <c r="I2367" s="150" t="str">
        <f t="shared" si="109"/>
        <v>54</v>
      </c>
      <c r="J2367" s="150" t="str">
        <f t="shared" si="110"/>
        <v>543</v>
      </c>
      <c r="K2367" s="150" t="s">
        <v>7935</v>
      </c>
      <c r="L2367" s="152" t="s">
        <v>1253</v>
      </c>
      <c r="M2367" s="153">
        <v>2500</v>
      </c>
    </row>
    <row r="2368" spans="1:13" x14ac:dyDescent="0.25">
      <c r="A2368" s="148" t="s">
        <v>7641</v>
      </c>
      <c r="B2368" s="152" t="s">
        <v>1254</v>
      </c>
      <c r="C2368" s="152">
        <v>11</v>
      </c>
      <c r="D2368" s="152">
        <v>310</v>
      </c>
      <c r="E2368" s="152">
        <v>0</v>
      </c>
      <c r="F2368" s="152">
        <v>101100</v>
      </c>
      <c r="G2368" s="152">
        <v>55630</v>
      </c>
      <c r="H2368" s="150" t="str">
        <f t="shared" si="108"/>
        <v>5</v>
      </c>
      <c r="I2368" s="150" t="str">
        <f t="shared" si="109"/>
        <v>55</v>
      </c>
      <c r="J2368" s="150" t="str">
        <f t="shared" si="110"/>
        <v>556</v>
      </c>
      <c r="K2368" s="150" t="s">
        <v>8199</v>
      </c>
      <c r="L2368" s="152" t="s">
        <v>1255</v>
      </c>
      <c r="M2368" s="153">
        <v>600</v>
      </c>
    </row>
    <row r="2369" spans="1:13" x14ac:dyDescent="0.25">
      <c r="A2369" s="148" t="s">
        <v>7641</v>
      </c>
      <c r="B2369" s="152" t="s">
        <v>1256</v>
      </c>
      <c r="C2369" s="152">
        <v>11</v>
      </c>
      <c r="D2369" s="152">
        <v>310</v>
      </c>
      <c r="E2369" s="152">
        <v>0</v>
      </c>
      <c r="F2369" s="152">
        <v>130500</v>
      </c>
      <c r="G2369" s="152">
        <v>51310</v>
      </c>
      <c r="H2369" s="150" t="str">
        <f t="shared" si="108"/>
        <v>5</v>
      </c>
      <c r="I2369" s="150" t="str">
        <f t="shared" si="109"/>
        <v>51</v>
      </c>
      <c r="J2369" s="150" t="str">
        <f t="shared" si="110"/>
        <v>513</v>
      </c>
      <c r="K2369" s="150" t="s">
        <v>7650</v>
      </c>
      <c r="L2369" s="152" t="s">
        <v>1257</v>
      </c>
      <c r="M2369" s="153">
        <v>7000</v>
      </c>
    </row>
    <row r="2370" spans="1:13" x14ac:dyDescent="0.25">
      <c r="A2370" s="148" t="s">
        <v>7641</v>
      </c>
      <c r="B2370" s="152" t="s">
        <v>1267</v>
      </c>
      <c r="C2370" s="152">
        <v>11</v>
      </c>
      <c r="D2370" s="152">
        <v>310</v>
      </c>
      <c r="E2370" s="152">
        <v>0</v>
      </c>
      <c r="F2370" s="152">
        <v>130500</v>
      </c>
      <c r="G2370" s="152">
        <v>55630</v>
      </c>
      <c r="H2370" s="150" t="str">
        <f t="shared" si="108"/>
        <v>5</v>
      </c>
      <c r="I2370" s="150" t="str">
        <f t="shared" si="109"/>
        <v>55</v>
      </c>
      <c r="J2370" s="150" t="str">
        <f t="shared" si="110"/>
        <v>556</v>
      </c>
      <c r="K2370" s="150" t="s">
        <v>8200</v>
      </c>
      <c r="L2370" s="152" t="s">
        <v>1268</v>
      </c>
      <c r="M2370" s="153">
        <v>600</v>
      </c>
    </row>
    <row r="2371" spans="1:13" x14ac:dyDescent="0.25">
      <c r="A2371" s="148" t="s">
        <v>7641</v>
      </c>
      <c r="B2371" s="152" t="s">
        <v>1269</v>
      </c>
      <c r="C2371" s="152">
        <v>11</v>
      </c>
      <c r="D2371" s="152">
        <v>310</v>
      </c>
      <c r="E2371" s="152">
        <v>0</v>
      </c>
      <c r="F2371" s="152">
        <v>140100</v>
      </c>
      <c r="G2371" s="152">
        <v>55300</v>
      </c>
      <c r="H2371" s="150" t="str">
        <f t="shared" ref="H2371:H2434" si="111">LEFT(G2371,1)</f>
        <v>5</v>
      </c>
      <c r="I2371" s="150" t="str">
        <f t="shared" ref="I2371:I2434" si="112">LEFT(G2371,2)</f>
        <v>55</v>
      </c>
      <c r="J2371" s="150" t="str">
        <f t="shared" ref="J2371:J2434" si="113">LEFT(G2371,3)</f>
        <v>553</v>
      </c>
      <c r="K2371" s="150" t="s">
        <v>8087</v>
      </c>
      <c r="L2371" s="152" t="s">
        <v>1270</v>
      </c>
      <c r="M2371" s="153">
        <v>5000</v>
      </c>
    </row>
    <row r="2372" spans="1:13" x14ac:dyDescent="0.25">
      <c r="A2372" s="148" t="s">
        <v>7641</v>
      </c>
      <c r="B2372" s="152" t="s">
        <v>1273</v>
      </c>
      <c r="C2372" s="152">
        <v>11</v>
      </c>
      <c r="D2372" s="152">
        <v>310</v>
      </c>
      <c r="E2372" s="152">
        <v>0</v>
      </c>
      <c r="F2372" s="152">
        <v>150900</v>
      </c>
      <c r="G2372" s="152">
        <v>51310</v>
      </c>
      <c r="H2372" s="150" t="str">
        <f t="shared" si="111"/>
        <v>5</v>
      </c>
      <c r="I2372" s="150" t="str">
        <f t="shared" si="112"/>
        <v>51</v>
      </c>
      <c r="J2372" s="150" t="str">
        <f t="shared" si="113"/>
        <v>513</v>
      </c>
      <c r="K2372" s="150" t="s">
        <v>7651</v>
      </c>
      <c r="L2372" s="152" t="s">
        <v>1274</v>
      </c>
      <c r="M2372" s="153">
        <v>20000</v>
      </c>
    </row>
    <row r="2373" spans="1:13" x14ac:dyDescent="0.25">
      <c r="A2373" s="148" t="s">
        <v>7641</v>
      </c>
      <c r="B2373" s="152" t="s">
        <v>1275</v>
      </c>
      <c r="C2373" s="152">
        <v>11</v>
      </c>
      <c r="D2373" s="152">
        <v>310</v>
      </c>
      <c r="E2373" s="152">
        <v>0</v>
      </c>
      <c r="F2373" s="152">
        <v>150900</v>
      </c>
      <c r="G2373" s="152">
        <v>51311</v>
      </c>
      <c r="H2373" s="150" t="str">
        <f t="shared" si="111"/>
        <v>5</v>
      </c>
      <c r="I2373" s="150" t="str">
        <f t="shared" si="112"/>
        <v>51</v>
      </c>
      <c r="J2373" s="150" t="str">
        <f t="shared" si="113"/>
        <v>513</v>
      </c>
      <c r="K2373" s="150" t="s">
        <v>7725</v>
      </c>
      <c r="L2373" s="152" t="s">
        <v>1276</v>
      </c>
      <c r="M2373" s="153">
        <v>8000</v>
      </c>
    </row>
    <row r="2374" spans="1:13" x14ac:dyDescent="0.25">
      <c r="A2374" s="148" t="s">
        <v>7641</v>
      </c>
      <c r="B2374" s="152" t="s">
        <v>1277</v>
      </c>
      <c r="C2374" s="152">
        <v>11</v>
      </c>
      <c r="D2374" s="152">
        <v>310</v>
      </c>
      <c r="E2374" s="152">
        <v>0</v>
      </c>
      <c r="F2374" s="152">
        <v>150900</v>
      </c>
      <c r="G2374" s="152">
        <v>51412</v>
      </c>
      <c r="H2374" s="150" t="str">
        <f t="shared" si="111"/>
        <v>5</v>
      </c>
      <c r="I2374" s="150" t="str">
        <f t="shared" si="112"/>
        <v>51</v>
      </c>
      <c r="J2374" s="150" t="str">
        <f t="shared" si="113"/>
        <v>514</v>
      </c>
      <c r="K2374" s="150" t="s">
        <v>7786</v>
      </c>
      <c r="L2374" s="152" t="s">
        <v>1278</v>
      </c>
      <c r="M2374" s="153">
        <v>4000</v>
      </c>
    </row>
    <row r="2375" spans="1:13" x14ac:dyDescent="0.25">
      <c r="A2375" s="148" t="s">
        <v>7641</v>
      </c>
      <c r="B2375" s="152" t="s">
        <v>1297</v>
      </c>
      <c r="C2375" s="152">
        <v>11</v>
      </c>
      <c r="D2375" s="152">
        <v>310</v>
      </c>
      <c r="E2375" s="152">
        <v>0</v>
      </c>
      <c r="F2375" s="152">
        <v>150900</v>
      </c>
      <c r="G2375" s="152">
        <v>55630</v>
      </c>
      <c r="H2375" s="150" t="str">
        <f t="shared" si="111"/>
        <v>5</v>
      </c>
      <c r="I2375" s="150" t="str">
        <f t="shared" si="112"/>
        <v>55</v>
      </c>
      <c r="J2375" s="150" t="str">
        <f t="shared" si="113"/>
        <v>556</v>
      </c>
      <c r="K2375" s="150" t="s">
        <v>8201</v>
      </c>
      <c r="L2375" s="152" t="s">
        <v>1298</v>
      </c>
      <c r="M2375" s="153">
        <v>600</v>
      </c>
    </row>
    <row r="2376" spans="1:13" x14ac:dyDescent="0.25">
      <c r="A2376" s="148" t="s">
        <v>7641</v>
      </c>
      <c r="B2376" s="152" t="s">
        <v>1301</v>
      </c>
      <c r="C2376" s="152">
        <v>11</v>
      </c>
      <c r="D2376" s="152">
        <v>310</v>
      </c>
      <c r="E2376" s="152">
        <v>0</v>
      </c>
      <c r="F2376" s="152">
        <v>200100</v>
      </c>
      <c r="G2376" s="152">
        <v>51310</v>
      </c>
      <c r="H2376" s="150" t="str">
        <f t="shared" si="111"/>
        <v>5</v>
      </c>
      <c r="I2376" s="150" t="str">
        <f t="shared" si="112"/>
        <v>51</v>
      </c>
      <c r="J2376" s="150" t="str">
        <f t="shared" si="113"/>
        <v>513</v>
      </c>
      <c r="K2376" s="150" t="s">
        <v>7652</v>
      </c>
      <c r="L2376" s="152" t="s">
        <v>1302</v>
      </c>
      <c r="M2376" s="153">
        <v>10000</v>
      </c>
    </row>
    <row r="2377" spans="1:13" x14ac:dyDescent="0.25">
      <c r="A2377" s="148" t="s">
        <v>7641</v>
      </c>
      <c r="B2377" s="152" t="s">
        <v>1303</v>
      </c>
      <c r="C2377" s="152">
        <v>11</v>
      </c>
      <c r="D2377" s="152">
        <v>310</v>
      </c>
      <c r="E2377" s="152">
        <v>0</v>
      </c>
      <c r="F2377" s="152">
        <v>200100</v>
      </c>
      <c r="G2377" s="152">
        <v>51311</v>
      </c>
      <c r="H2377" s="150" t="str">
        <f t="shared" si="111"/>
        <v>5</v>
      </c>
      <c r="I2377" s="150" t="str">
        <f t="shared" si="112"/>
        <v>51</v>
      </c>
      <c r="J2377" s="150" t="str">
        <f t="shared" si="113"/>
        <v>513</v>
      </c>
      <c r="K2377" s="150" t="s">
        <v>7726</v>
      </c>
      <c r="L2377" s="152" t="s">
        <v>363</v>
      </c>
      <c r="M2377" s="153">
        <v>160000</v>
      </c>
    </row>
    <row r="2378" spans="1:13" x14ac:dyDescent="0.25">
      <c r="A2378" s="148" t="s">
        <v>7641</v>
      </c>
      <c r="B2378" s="152" t="s">
        <v>1304</v>
      </c>
      <c r="C2378" s="152">
        <v>11</v>
      </c>
      <c r="D2378" s="152">
        <v>310</v>
      </c>
      <c r="E2378" s="152">
        <v>0</v>
      </c>
      <c r="F2378" s="152">
        <v>200100</v>
      </c>
      <c r="G2378" s="152">
        <v>51412</v>
      </c>
      <c r="H2378" s="150" t="str">
        <f t="shared" si="111"/>
        <v>5</v>
      </c>
      <c r="I2378" s="150" t="str">
        <f t="shared" si="112"/>
        <v>51</v>
      </c>
      <c r="J2378" s="150" t="str">
        <f t="shared" si="113"/>
        <v>514</v>
      </c>
      <c r="K2378" s="150" t="s">
        <v>7787</v>
      </c>
      <c r="L2378" s="152" t="s">
        <v>1305</v>
      </c>
      <c r="M2378" s="153">
        <v>300</v>
      </c>
    </row>
    <row r="2379" spans="1:13" x14ac:dyDescent="0.25">
      <c r="A2379" s="148" t="s">
        <v>7641</v>
      </c>
      <c r="B2379" s="152" t="s">
        <v>1323</v>
      </c>
      <c r="C2379" s="152">
        <v>11</v>
      </c>
      <c r="D2379" s="152">
        <v>310</v>
      </c>
      <c r="E2379" s="152">
        <v>0</v>
      </c>
      <c r="F2379" s="152">
        <v>200100</v>
      </c>
      <c r="G2379" s="152">
        <v>55630</v>
      </c>
      <c r="H2379" s="150" t="str">
        <f t="shared" si="111"/>
        <v>5</v>
      </c>
      <c r="I2379" s="150" t="str">
        <f t="shared" si="112"/>
        <v>55</v>
      </c>
      <c r="J2379" s="150" t="str">
        <f t="shared" si="113"/>
        <v>556</v>
      </c>
      <c r="K2379" s="150" t="s">
        <v>8202</v>
      </c>
      <c r="L2379" s="152" t="s">
        <v>1324</v>
      </c>
      <c r="M2379" s="153">
        <v>600</v>
      </c>
    </row>
    <row r="2380" spans="1:13" x14ac:dyDescent="0.25">
      <c r="A2380" s="148" t="s">
        <v>7641</v>
      </c>
      <c r="B2380" s="152" t="s">
        <v>1348</v>
      </c>
      <c r="C2380" s="152">
        <v>11</v>
      </c>
      <c r="D2380" s="152">
        <v>310</v>
      </c>
      <c r="E2380" s="152">
        <v>0</v>
      </c>
      <c r="F2380" s="152">
        <v>220200</v>
      </c>
      <c r="G2380" s="152">
        <v>51310</v>
      </c>
      <c r="H2380" s="150" t="str">
        <f t="shared" si="111"/>
        <v>5</v>
      </c>
      <c r="I2380" s="150" t="str">
        <f t="shared" si="112"/>
        <v>51</v>
      </c>
      <c r="J2380" s="150" t="str">
        <f t="shared" si="113"/>
        <v>513</v>
      </c>
      <c r="K2380" s="150" t="s">
        <v>7654</v>
      </c>
      <c r="L2380" s="152" t="s">
        <v>1349</v>
      </c>
      <c r="M2380" s="153">
        <v>15000</v>
      </c>
    </row>
    <row r="2381" spans="1:13" x14ac:dyDescent="0.25">
      <c r="A2381" s="148" t="s">
        <v>7641</v>
      </c>
      <c r="B2381" s="152" t="s">
        <v>1350</v>
      </c>
      <c r="C2381" s="152">
        <v>11</v>
      </c>
      <c r="D2381" s="152">
        <v>310</v>
      </c>
      <c r="E2381" s="152">
        <v>0</v>
      </c>
      <c r="F2381" s="152">
        <v>220200</v>
      </c>
      <c r="G2381" s="152">
        <v>51311</v>
      </c>
      <c r="H2381" s="150" t="str">
        <f t="shared" si="111"/>
        <v>5</v>
      </c>
      <c r="I2381" s="150" t="str">
        <f t="shared" si="112"/>
        <v>51</v>
      </c>
      <c r="J2381" s="150" t="str">
        <f t="shared" si="113"/>
        <v>513</v>
      </c>
      <c r="K2381" s="150" t="s">
        <v>7728</v>
      </c>
      <c r="L2381" s="152" t="s">
        <v>389</v>
      </c>
      <c r="M2381" s="153">
        <v>35828</v>
      </c>
    </row>
    <row r="2382" spans="1:13" x14ac:dyDescent="0.25">
      <c r="A2382" s="148" t="s">
        <v>7641</v>
      </c>
      <c r="B2382" s="152" t="s">
        <v>1359</v>
      </c>
      <c r="C2382" s="152">
        <v>11</v>
      </c>
      <c r="D2382" s="152">
        <v>310</v>
      </c>
      <c r="E2382" s="152">
        <v>0</v>
      </c>
      <c r="F2382" s="152">
        <v>220200</v>
      </c>
      <c r="G2382" s="152">
        <v>55630</v>
      </c>
      <c r="H2382" s="150" t="str">
        <f t="shared" si="111"/>
        <v>5</v>
      </c>
      <c r="I2382" s="150" t="str">
        <f t="shared" si="112"/>
        <v>55</v>
      </c>
      <c r="J2382" s="150" t="str">
        <f t="shared" si="113"/>
        <v>556</v>
      </c>
      <c r="K2382" s="150" t="s">
        <v>8204</v>
      </c>
      <c r="L2382" s="152" t="s">
        <v>399</v>
      </c>
      <c r="M2382" s="153">
        <v>600</v>
      </c>
    </row>
    <row r="2383" spans="1:13" x14ac:dyDescent="0.25">
      <c r="A2383" s="148" t="s">
        <v>7641</v>
      </c>
      <c r="B2383" s="152" t="s">
        <v>1362</v>
      </c>
      <c r="C2383" s="152">
        <v>11</v>
      </c>
      <c r="D2383" s="152">
        <v>310</v>
      </c>
      <c r="E2383" s="152">
        <v>0</v>
      </c>
      <c r="F2383" s="152">
        <v>220210</v>
      </c>
      <c r="G2383" s="152">
        <v>51310</v>
      </c>
      <c r="H2383" s="150" t="str">
        <f t="shared" si="111"/>
        <v>5</v>
      </c>
      <c r="I2383" s="150" t="str">
        <f t="shared" si="112"/>
        <v>51</v>
      </c>
      <c r="J2383" s="150" t="str">
        <f t="shared" si="113"/>
        <v>513</v>
      </c>
      <c r="K2383" s="150" t="s">
        <v>7655</v>
      </c>
      <c r="L2383" s="152" t="s">
        <v>1363</v>
      </c>
      <c r="M2383" s="153">
        <v>3000</v>
      </c>
    </row>
    <row r="2384" spans="1:13" x14ac:dyDescent="0.25">
      <c r="A2384" s="148" t="s">
        <v>7641</v>
      </c>
      <c r="B2384" s="152" t="s">
        <v>1364</v>
      </c>
      <c r="C2384" s="152">
        <v>11</v>
      </c>
      <c r="D2384" s="152">
        <v>310</v>
      </c>
      <c r="E2384" s="152">
        <v>0</v>
      </c>
      <c r="F2384" s="152">
        <v>220210</v>
      </c>
      <c r="G2384" s="152">
        <v>51311</v>
      </c>
      <c r="H2384" s="150" t="str">
        <f t="shared" si="111"/>
        <v>5</v>
      </c>
      <c r="I2384" s="150" t="str">
        <f t="shared" si="112"/>
        <v>51</v>
      </c>
      <c r="J2384" s="150" t="str">
        <f t="shared" si="113"/>
        <v>513</v>
      </c>
      <c r="K2384" s="150" t="s">
        <v>7729</v>
      </c>
      <c r="L2384" s="152" t="s">
        <v>401</v>
      </c>
      <c r="M2384" s="153">
        <v>38721</v>
      </c>
    </row>
    <row r="2385" spans="1:13" x14ac:dyDescent="0.25">
      <c r="A2385" s="148" t="s">
        <v>7641</v>
      </c>
      <c r="B2385" s="152" t="s">
        <v>1371</v>
      </c>
      <c r="C2385" s="152">
        <v>11</v>
      </c>
      <c r="D2385" s="152">
        <v>310</v>
      </c>
      <c r="E2385" s="152">
        <v>0</v>
      </c>
      <c r="F2385" s="152">
        <v>220210</v>
      </c>
      <c r="G2385" s="152">
        <v>55200</v>
      </c>
      <c r="H2385" s="150" t="str">
        <f t="shared" si="111"/>
        <v>5</v>
      </c>
      <c r="I2385" s="150" t="str">
        <f t="shared" si="112"/>
        <v>55</v>
      </c>
      <c r="J2385" s="150" t="str">
        <f t="shared" si="113"/>
        <v>552</v>
      </c>
      <c r="K2385" s="150" t="s">
        <v>8049</v>
      </c>
      <c r="L2385" s="152" t="s">
        <v>1372</v>
      </c>
      <c r="M2385" s="153">
        <v>2500</v>
      </c>
    </row>
    <row r="2386" spans="1:13" x14ac:dyDescent="0.25">
      <c r="A2386" s="148" t="s">
        <v>7641</v>
      </c>
      <c r="B2386" s="152" t="s">
        <v>1373</v>
      </c>
      <c r="C2386" s="152">
        <v>11</v>
      </c>
      <c r="D2386" s="152">
        <v>310</v>
      </c>
      <c r="E2386" s="152">
        <v>0</v>
      </c>
      <c r="F2386" s="152">
        <v>220210</v>
      </c>
      <c r="G2386" s="152">
        <v>55630</v>
      </c>
      <c r="H2386" s="150" t="str">
        <f t="shared" si="111"/>
        <v>5</v>
      </c>
      <c r="I2386" s="150" t="str">
        <f t="shared" si="112"/>
        <v>55</v>
      </c>
      <c r="J2386" s="150" t="str">
        <f t="shared" si="113"/>
        <v>556</v>
      </c>
      <c r="K2386" s="150" t="s">
        <v>8205</v>
      </c>
      <c r="L2386" s="152" t="s">
        <v>1374</v>
      </c>
      <c r="M2386" s="153">
        <v>600</v>
      </c>
    </row>
    <row r="2387" spans="1:13" x14ac:dyDescent="0.25">
      <c r="A2387" s="148" t="s">
        <v>7641</v>
      </c>
      <c r="B2387" s="152" t="s">
        <v>1377</v>
      </c>
      <c r="C2387" s="152">
        <v>11</v>
      </c>
      <c r="D2387" s="152">
        <v>310</v>
      </c>
      <c r="E2387" s="152">
        <v>0</v>
      </c>
      <c r="F2387" s="152">
        <v>220400</v>
      </c>
      <c r="G2387" s="152">
        <v>51310</v>
      </c>
      <c r="H2387" s="150" t="str">
        <f t="shared" si="111"/>
        <v>5</v>
      </c>
      <c r="I2387" s="150" t="str">
        <f t="shared" si="112"/>
        <v>51</v>
      </c>
      <c r="J2387" s="150" t="str">
        <f t="shared" si="113"/>
        <v>513</v>
      </c>
      <c r="K2387" s="150" t="s">
        <v>7656</v>
      </c>
      <c r="L2387" s="152" t="s">
        <v>1378</v>
      </c>
      <c r="M2387" s="153">
        <v>17172</v>
      </c>
    </row>
    <row r="2388" spans="1:13" x14ac:dyDescent="0.25">
      <c r="A2388" s="148" t="s">
        <v>7641</v>
      </c>
      <c r="B2388" s="152" t="s">
        <v>1379</v>
      </c>
      <c r="C2388" s="152">
        <v>11</v>
      </c>
      <c r="D2388" s="152">
        <v>310</v>
      </c>
      <c r="E2388" s="152">
        <v>0</v>
      </c>
      <c r="F2388" s="152">
        <v>220400</v>
      </c>
      <c r="G2388" s="152">
        <v>51311</v>
      </c>
      <c r="H2388" s="150" t="str">
        <f t="shared" si="111"/>
        <v>5</v>
      </c>
      <c r="I2388" s="150" t="str">
        <f t="shared" si="112"/>
        <v>51</v>
      </c>
      <c r="J2388" s="150" t="str">
        <f t="shared" si="113"/>
        <v>513</v>
      </c>
      <c r="K2388" s="150" t="s">
        <v>7730</v>
      </c>
      <c r="L2388" s="152" t="s">
        <v>1380</v>
      </c>
      <c r="M2388" s="153">
        <v>25000</v>
      </c>
    </row>
    <row r="2389" spans="1:13" x14ac:dyDescent="0.25">
      <c r="A2389" s="148" t="s">
        <v>7641</v>
      </c>
      <c r="B2389" s="152" t="s">
        <v>1391</v>
      </c>
      <c r="C2389" s="152">
        <v>11</v>
      </c>
      <c r="D2389" s="152">
        <v>310</v>
      </c>
      <c r="E2389" s="152">
        <v>0</v>
      </c>
      <c r="F2389" s="152">
        <v>220400</v>
      </c>
      <c r="G2389" s="152">
        <v>55630</v>
      </c>
      <c r="H2389" s="150" t="str">
        <f t="shared" si="111"/>
        <v>5</v>
      </c>
      <c r="I2389" s="150" t="str">
        <f t="shared" si="112"/>
        <v>55</v>
      </c>
      <c r="J2389" s="150" t="str">
        <f t="shared" si="113"/>
        <v>556</v>
      </c>
      <c r="K2389" s="150" t="s">
        <v>8206</v>
      </c>
      <c r="L2389" s="152" t="s">
        <v>1392</v>
      </c>
      <c r="M2389" s="153">
        <v>600</v>
      </c>
    </row>
    <row r="2390" spans="1:13" x14ac:dyDescent="0.25">
      <c r="A2390" s="148" t="s">
        <v>7641</v>
      </c>
      <c r="B2390" s="152" t="s">
        <v>1395</v>
      </c>
      <c r="C2390" s="152">
        <v>11</v>
      </c>
      <c r="D2390" s="152">
        <v>310</v>
      </c>
      <c r="E2390" s="152">
        <v>0</v>
      </c>
      <c r="F2390" s="152">
        <v>220500</v>
      </c>
      <c r="G2390" s="152">
        <v>51310</v>
      </c>
      <c r="H2390" s="150" t="str">
        <f t="shared" si="111"/>
        <v>5</v>
      </c>
      <c r="I2390" s="150" t="str">
        <f t="shared" si="112"/>
        <v>51</v>
      </c>
      <c r="J2390" s="150" t="str">
        <f t="shared" si="113"/>
        <v>513</v>
      </c>
      <c r="K2390" s="150" t="s">
        <v>7657</v>
      </c>
      <c r="L2390" s="152" t="s">
        <v>1396</v>
      </c>
      <c r="M2390" s="153">
        <v>65000</v>
      </c>
    </row>
    <row r="2391" spans="1:13" x14ac:dyDescent="0.25">
      <c r="A2391" s="148" t="s">
        <v>7641</v>
      </c>
      <c r="B2391" s="152" t="s">
        <v>1397</v>
      </c>
      <c r="C2391" s="152">
        <v>11</v>
      </c>
      <c r="D2391" s="152">
        <v>310</v>
      </c>
      <c r="E2391" s="152">
        <v>0</v>
      </c>
      <c r="F2391" s="152">
        <v>220500</v>
      </c>
      <c r="G2391" s="152">
        <v>51311</v>
      </c>
      <c r="H2391" s="150" t="str">
        <f t="shared" si="111"/>
        <v>5</v>
      </c>
      <c r="I2391" s="150" t="str">
        <f t="shared" si="112"/>
        <v>51</v>
      </c>
      <c r="J2391" s="150" t="str">
        <f t="shared" si="113"/>
        <v>513</v>
      </c>
      <c r="K2391" s="150" t="s">
        <v>7731</v>
      </c>
      <c r="L2391" s="152" t="s">
        <v>411</v>
      </c>
      <c r="M2391" s="153">
        <v>130000</v>
      </c>
    </row>
    <row r="2392" spans="1:13" x14ac:dyDescent="0.25">
      <c r="A2392" s="148" t="s">
        <v>7641</v>
      </c>
      <c r="B2392" s="152" t="s">
        <v>1406</v>
      </c>
      <c r="C2392" s="152">
        <v>11</v>
      </c>
      <c r="D2392" s="152">
        <v>310</v>
      </c>
      <c r="E2392" s="152">
        <v>0</v>
      </c>
      <c r="F2392" s="152">
        <v>220500</v>
      </c>
      <c r="G2392" s="152">
        <v>55630</v>
      </c>
      <c r="H2392" s="150" t="str">
        <f t="shared" si="111"/>
        <v>5</v>
      </c>
      <c r="I2392" s="150" t="str">
        <f t="shared" si="112"/>
        <v>55</v>
      </c>
      <c r="J2392" s="150" t="str">
        <f t="shared" si="113"/>
        <v>556</v>
      </c>
      <c r="K2392" s="150" t="s">
        <v>8207</v>
      </c>
      <c r="L2392" s="152" t="s">
        <v>421</v>
      </c>
      <c r="M2392" s="153">
        <v>600</v>
      </c>
    </row>
    <row r="2393" spans="1:13" x14ac:dyDescent="0.25">
      <c r="A2393" s="148" t="s">
        <v>7641</v>
      </c>
      <c r="B2393" s="152" t="s">
        <v>1409</v>
      </c>
      <c r="C2393" s="152">
        <v>11</v>
      </c>
      <c r="D2393" s="152">
        <v>310</v>
      </c>
      <c r="E2393" s="152">
        <v>0</v>
      </c>
      <c r="F2393" s="152">
        <v>220700</v>
      </c>
      <c r="G2393" s="152">
        <v>51310</v>
      </c>
      <c r="H2393" s="150" t="str">
        <f t="shared" si="111"/>
        <v>5</v>
      </c>
      <c r="I2393" s="150" t="str">
        <f t="shared" si="112"/>
        <v>51</v>
      </c>
      <c r="J2393" s="150" t="str">
        <f t="shared" si="113"/>
        <v>513</v>
      </c>
      <c r="K2393" s="150" t="s">
        <v>7658</v>
      </c>
      <c r="L2393" s="152" t="s">
        <v>1410</v>
      </c>
      <c r="M2393" s="153">
        <v>17172</v>
      </c>
    </row>
    <row r="2394" spans="1:13" x14ac:dyDescent="0.25">
      <c r="A2394" s="148" t="s">
        <v>7641</v>
      </c>
      <c r="B2394" s="152" t="s">
        <v>1411</v>
      </c>
      <c r="C2394" s="152">
        <v>11</v>
      </c>
      <c r="D2394" s="152">
        <v>310</v>
      </c>
      <c r="E2394" s="152">
        <v>0</v>
      </c>
      <c r="F2394" s="152">
        <v>220700</v>
      </c>
      <c r="G2394" s="152">
        <v>51311</v>
      </c>
      <c r="H2394" s="150" t="str">
        <f t="shared" si="111"/>
        <v>5</v>
      </c>
      <c r="I2394" s="150" t="str">
        <f t="shared" si="112"/>
        <v>51</v>
      </c>
      <c r="J2394" s="150" t="str">
        <f t="shared" si="113"/>
        <v>513</v>
      </c>
      <c r="K2394" s="150" t="s">
        <v>7732</v>
      </c>
      <c r="L2394" s="152" t="s">
        <v>433</v>
      </c>
      <c r="M2394" s="153">
        <v>101500</v>
      </c>
    </row>
    <row r="2395" spans="1:13" x14ac:dyDescent="0.25">
      <c r="A2395" s="148" t="s">
        <v>7641</v>
      </c>
      <c r="B2395" s="152" t="s">
        <v>1418</v>
      </c>
      <c r="C2395" s="152">
        <v>11</v>
      </c>
      <c r="D2395" s="152">
        <v>310</v>
      </c>
      <c r="E2395" s="152">
        <v>0</v>
      </c>
      <c r="F2395" s="152">
        <v>220700</v>
      </c>
      <c r="G2395" s="152">
        <v>55630</v>
      </c>
      <c r="H2395" s="150" t="str">
        <f t="shared" si="111"/>
        <v>5</v>
      </c>
      <c r="I2395" s="150" t="str">
        <f t="shared" si="112"/>
        <v>55</v>
      </c>
      <c r="J2395" s="150" t="str">
        <f t="shared" si="113"/>
        <v>556</v>
      </c>
      <c r="K2395" s="150" t="s">
        <v>8208</v>
      </c>
      <c r="L2395" s="152" t="s">
        <v>443</v>
      </c>
      <c r="M2395" s="153">
        <v>600</v>
      </c>
    </row>
    <row r="2396" spans="1:13" x14ac:dyDescent="0.25">
      <c r="A2396" s="148" t="s">
        <v>7641</v>
      </c>
      <c r="B2396" s="152" t="s">
        <v>1421</v>
      </c>
      <c r="C2396" s="152">
        <v>11</v>
      </c>
      <c r="D2396" s="152">
        <v>310</v>
      </c>
      <c r="E2396" s="152">
        <v>0</v>
      </c>
      <c r="F2396" s="152">
        <v>220800</v>
      </c>
      <c r="G2396" s="152">
        <v>51310</v>
      </c>
      <c r="H2396" s="150" t="str">
        <f t="shared" si="111"/>
        <v>5</v>
      </c>
      <c r="I2396" s="150" t="str">
        <f t="shared" si="112"/>
        <v>51</v>
      </c>
      <c r="J2396" s="150" t="str">
        <f t="shared" si="113"/>
        <v>513</v>
      </c>
      <c r="K2396" s="150" t="s">
        <v>7659</v>
      </c>
      <c r="L2396" s="152" t="s">
        <v>1422</v>
      </c>
      <c r="M2396" s="153">
        <v>21465</v>
      </c>
    </row>
    <row r="2397" spans="1:13" x14ac:dyDescent="0.25">
      <c r="A2397" s="148" t="s">
        <v>7641</v>
      </c>
      <c r="B2397" s="152" t="s">
        <v>1423</v>
      </c>
      <c r="C2397" s="152">
        <v>11</v>
      </c>
      <c r="D2397" s="152">
        <v>310</v>
      </c>
      <c r="E2397" s="152">
        <v>0</v>
      </c>
      <c r="F2397" s="152">
        <v>220800</v>
      </c>
      <c r="G2397" s="152">
        <v>51311</v>
      </c>
      <c r="H2397" s="150" t="str">
        <f t="shared" si="111"/>
        <v>5</v>
      </c>
      <c r="I2397" s="150" t="str">
        <f t="shared" si="112"/>
        <v>51</v>
      </c>
      <c r="J2397" s="150" t="str">
        <f t="shared" si="113"/>
        <v>513</v>
      </c>
      <c r="K2397" s="150" t="s">
        <v>7733</v>
      </c>
      <c r="L2397" s="152" t="s">
        <v>445</v>
      </c>
      <c r="M2397" s="153">
        <v>49035</v>
      </c>
    </row>
    <row r="2398" spans="1:13" x14ac:dyDescent="0.25">
      <c r="A2398" s="148" t="s">
        <v>7641</v>
      </c>
      <c r="B2398" s="152" t="s">
        <v>1432</v>
      </c>
      <c r="C2398" s="152">
        <v>11</v>
      </c>
      <c r="D2398" s="152">
        <v>310</v>
      </c>
      <c r="E2398" s="152">
        <v>0</v>
      </c>
      <c r="F2398" s="152">
        <v>220800</v>
      </c>
      <c r="G2398" s="152">
        <v>55630</v>
      </c>
      <c r="H2398" s="150" t="str">
        <f t="shared" si="111"/>
        <v>5</v>
      </c>
      <c r="I2398" s="150" t="str">
        <f t="shared" si="112"/>
        <v>55</v>
      </c>
      <c r="J2398" s="150" t="str">
        <f t="shared" si="113"/>
        <v>556</v>
      </c>
      <c r="K2398" s="150" t="s">
        <v>8209</v>
      </c>
      <c r="L2398" s="152" t="s">
        <v>455</v>
      </c>
      <c r="M2398" s="153">
        <v>600</v>
      </c>
    </row>
    <row r="2399" spans="1:13" x14ac:dyDescent="0.25">
      <c r="A2399" s="148" t="s">
        <v>7641</v>
      </c>
      <c r="B2399" s="152" t="s">
        <v>2136</v>
      </c>
      <c r="C2399" s="152">
        <v>11</v>
      </c>
      <c r="D2399" s="152">
        <v>350</v>
      </c>
      <c r="E2399" s="152">
        <v>0</v>
      </c>
      <c r="F2399" s="152">
        <v>130500</v>
      </c>
      <c r="G2399" s="152">
        <v>51310</v>
      </c>
      <c r="H2399" s="150" t="str">
        <f t="shared" si="111"/>
        <v>5</v>
      </c>
      <c r="I2399" s="150" t="str">
        <f t="shared" si="112"/>
        <v>51</v>
      </c>
      <c r="J2399" s="150" t="str">
        <f t="shared" si="113"/>
        <v>513</v>
      </c>
      <c r="K2399" s="150" t="s">
        <v>7677</v>
      </c>
      <c r="L2399" s="152" t="s">
        <v>1257</v>
      </c>
      <c r="M2399" s="153">
        <v>12000</v>
      </c>
    </row>
    <row r="2400" spans="1:13" x14ac:dyDescent="0.25">
      <c r="A2400" s="148" t="s">
        <v>7641</v>
      </c>
      <c r="B2400" s="152" t="s">
        <v>2137</v>
      </c>
      <c r="C2400" s="152">
        <v>11</v>
      </c>
      <c r="D2400" s="152">
        <v>350</v>
      </c>
      <c r="E2400" s="152">
        <v>0</v>
      </c>
      <c r="F2400" s="152">
        <v>130500</v>
      </c>
      <c r="G2400" s="152">
        <v>51311</v>
      </c>
      <c r="H2400" s="150" t="str">
        <f t="shared" si="111"/>
        <v>5</v>
      </c>
      <c r="I2400" s="150" t="str">
        <f t="shared" si="112"/>
        <v>51</v>
      </c>
      <c r="J2400" s="150" t="str">
        <f t="shared" si="113"/>
        <v>513</v>
      </c>
      <c r="K2400" s="150" t="s">
        <v>7754</v>
      </c>
      <c r="L2400" s="152" t="s">
        <v>291</v>
      </c>
      <c r="M2400" s="153">
        <v>8480</v>
      </c>
    </row>
    <row r="2401" spans="1:14" x14ac:dyDescent="0.25">
      <c r="A2401" s="148" t="s">
        <v>7641</v>
      </c>
      <c r="B2401" s="152" t="s">
        <v>1435</v>
      </c>
      <c r="C2401" s="152">
        <v>11</v>
      </c>
      <c r="D2401" s="152">
        <v>320</v>
      </c>
      <c r="E2401" s="152">
        <v>0</v>
      </c>
      <c r="F2401" s="152">
        <v>83500</v>
      </c>
      <c r="G2401" s="152">
        <v>51310</v>
      </c>
      <c r="H2401" s="150" t="str">
        <f t="shared" si="111"/>
        <v>5</v>
      </c>
      <c r="I2401" s="150" t="str">
        <f t="shared" si="112"/>
        <v>51</v>
      </c>
      <c r="J2401" s="150" t="str">
        <f t="shared" si="113"/>
        <v>513</v>
      </c>
      <c r="K2401" s="150" t="s">
        <v>7660</v>
      </c>
      <c r="L2401" s="152" t="s">
        <v>1436</v>
      </c>
      <c r="M2401" s="153">
        <v>36000</v>
      </c>
    </row>
    <row r="2402" spans="1:14" x14ac:dyDescent="0.25">
      <c r="A2402" s="148" t="s">
        <v>7641</v>
      </c>
      <c r="B2402" s="152" t="s">
        <v>1437</v>
      </c>
      <c r="C2402" s="152">
        <v>11</v>
      </c>
      <c r="D2402" s="152">
        <v>320</v>
      </c>
      <c r="E2402" s="152">
        <v>0</v>
      </c>
      <c r="F2402" s="152">
        <v>83500</v>
      </c>
      <c r="G2402" s="152">
        <v>51311</v>
      </c>
      <c r="H2402" s="150" t="str">
        <f t="shared" si="111"/>
        <v>5</v>
      </c>
      <c r="I2402" s="150" t="str">
        <f t="shared" si="112"/>
        <v>51</v>
      </c>
      <c r="J2402" s="150" t="str">
        <f t="shared" si="113"/>
        <v>513</v>
      </c>
      <c r="K2402" s="150" t="s">
        <v>7734</v>
      </c>
      <c r="L2402" s="152" t="s">
        <v>1438</v>
      </c>
      <c r="M2402" s="153">
        <v>235000</v>
      </c>
    </row>
    <row r="2403" spans="1:14" x14ac:dyDescent="0.25">
      <c r="A2403" s="148" t="s">
        <v>7641</v>
      </c>
      <c r="B2403" s="152" t="s">
        <v>1439</v>
      </c>
      <c r="C2403" s="152">
        <v>11</v>
      </c>
      <c r="D2403" s="152">
        <v>320</v>
      </c>
      <c r="E2403" s="152">
        <v>0</v>
      </c>
      <c r="F2403" s="152">
        <v>83500</v>
      </c>
      <c r="G2403" s="152">
        <v>51412</v>
      </c>
      <c r="H2403" s="150" t="str">
        <f t="shared" si="111"/>
        <v>5</v>
      </c>
      <c r="I2403" s="150" t="str">
        <f t="shared" si="112"/>
        <v>51</v>
      </c>
      <c r="J2403" s="150" t="str">
        <f t="shared" si="113"/>
        <v>514</v>
      </c>
      <c r="K2403" s="150" t="s">
        <v>7788</v>
      </c>
      <c r="L2403" s="152" t="s">
        <v>1440</v>
      </c>
      <c r="M2403" s="153">
        <v>500</v>
      </c>
    </row>
    <row r="2404" spans="1:14" x14ac:dyDescent="0.25">
      <c r="A2404" s="148" t="s">
        <v>7641</v>
      </c>
      <c r="B2404" s="152" t="s">
        <v>1441</v>
      </c>
      <c r="C2404" s="152">
        <v>11</v>
      </c>
      <c r="D2404" s="152">
        <v>320</v>
      </c>
      <c r="E2404" s="152">
        <v>0</v>
      </c>
      <c r="F2404" s="152">
        <v>83500</v>
      </c>
      <c r="G2404" s="152">
        <v>52360</v>
      </c>
      <c r="H2404" s="150" t="str">
        <f t="shared" si="111"/>
        <v>5</v>
      </c>
      <c r="I2404" s="150" t="str">
        <f t="shared" si="112"/>
        <v>52</v>
      </c>
      <c r="J2404" s="150" t="str">
        <f t="shared" si="113"/>
        <v>523</v>
      </c>
      <c r="K2404" s="150" t="s">
        <v>7869</v>
      </c>
      <c r="L2404" s="152" t="s">
        <v>1442</v>
      </c>
      <c r="M2404" s="153">
        <v>13000</v>
      </c>
    </row>
    <row r="2405" spans="1:14" x14ac:dyDescent="0.25">
      <c r="A2405" s="148" t="s">
        <v>7641</v>
      </c>
      <c r="B2405" s="152" t="s">
        <v>1443</v>
      </c>
      <c r="C2405" s="152">
        <v>11</v>
      </c>
      <c r="D2405" s="152">
        <v>320</v>
      </c>
      <c r="E2405" s="152">
        <v>0</v>
      </c>
      <c r="F2405" s="152">
        <v>83500</v>
      </c>
      <c r="G2405" s="152">
        <v>52400</v>
      </c>
      <c r="H2405" s="150" t="str">
        <f t="shared" si="111"/>
        <v>5</v>
      </c>
      <c r="I2405" s="150" t="str">
        <f t="shared" si="112"/>
        <v>52</v>
      </c>
      <c r="J2405" s="150" t="str">
        <f t="shared" si="113"/>
        <v>524</v>
      </c>
      <c r="K2405" s="150" t="s">
        <v>7888</v>
      </c>
      <c r="L2405" s="152" t="s">
        <v>1444</v>
      </c>
      <c r="M2405" s="153">
        <v>4000</v>
      </c>
    </row>
    <row r="2406" spans="1:14" x14ac:dyDescent="0.25">
      <c r="A2406" s="148" t="s">
        <v>7641</v>
      </c>
      <c r="B2406" s="152" t="s">
        <v>1467</v>
      </c>
      <c r="C2406" s="152">
        <v>11</v>
      </c>
      <c r="D2406" s="152">
        <v>320</v>
      </c>
      <c r="E2406" s="152">
        <v>0</v>
      </c>
      <c r="F2406" s="152">
        <v>83500</v>
      </c>
      <c r="G2406" s="152">
        <v>54300</v>
      </c>
      <c r="H2406" s="150" t="str">
        <f t="shared" si="111"/>
        <v>5</v>
      </c>
      <c r="I2406" s="150" t="str">
        <f t="shared" si="112"/>
        <v>54</v>
      </c>
      <c r="J2406" s="150" t="str">
        <f t="shared" si="113"/>
        <v>543</v>
      </c>
      <c r="K2406" s="150" t="s">
        <v>7936</v>
      </c>
      <c r="L2406" s="152" t="s">
        <v>1468</v>
      </c>
      <c r="M2406" s="153">
        <v>1300</v>
      </c>
    </row>
    <row r="2407" spans="1:14" x14ac:dyDescent="0.25">
      <c r="A2407" s="148" t="s">
        <v>7641</v>
      </c>
      <c r="B2407" s="152" t="s">
        <v>1469</v>
      </c>
      <c r="C2407" s="152">
        <v>11</v>
      </c>
      <c r="D2407" s="152">
        <v>320</v>
      </c>
      <c r="E2407" s="152">
        <v>0</v>
      </c>
      <c r="F2407" s="152">
        <v>83500</v>
      </c>
      <c r="G2407" s="152">
        <v>55309</v>
      </c>
      <c r="H2407" s="150" t="str">
        <f t="shared" si="111"/>
        <v>5</v>
      </c>
      <c r="I2407" s="150" t="str">
        <f t="shared" si="112"/>
        <v>55</v>
      </c>
      <c r="J2407" s="150" t="str">
        <f t="shared" si="113"/>
        <v>553</v>
      </c>
      <c r="K2407" s="150" t="s">
        <v>8105</v>
      </c>
      <c r="L2407" s="152" t="s">
        <v>1470</v>
      </c>
      <c r="M2407" s="153">
        <v>700</v>
      </c>
    </row>
    <row r="2408" spans="1:14" x14ac:dyDescent="0.25">
      <c r="A2408" s="148" t="s">
        <v>7641</v>
      </c>
      <c r="B2408" s="152" t="s">
        <v>1471</v>
      </c>
      <c r="C2408" s="152">
        <v>11</v>
      </c>
      <c r="D2408" s="152">
        <v>320</v>
      </c>
      <c r="E2408" s="152">
        <v>0</v>
      </c>
      <c r="F2408" s="152">
        <v>83500</v>
      </c>
      <c r="G2408" s="152">
        <v>55630</v>
      </c>
      <c r="H2408" s="150" t="str">
        <f t="shared" si="111"/>
        <v>5</v>
      </c>
      <c r="I2408" s="150" t="str">
        <f t="shared" si="112"/>
        <v>55</v>
      </c>
      <c r="J2408" s="150" t="str">
        <f t="shared" si="113"/>
        <v>556</v>
      </c>
      <c r="K2408" s="150" t="s">
        <v>8210</v>
      </c>
      <c r="L2408" s="152" t="s">
        <v>1472</v>
      </c>
      <c r="M2408" s="153">
        <v>2600</v>
      </c>
    </row>
    <row r="2409" spans="1:14" x14ac:dyDescent="0.25">
      <c r="A2409" s="148" t="s">
        <v>7641</v>
      </c>
      <c r="B2409" s="152" t="s">
        <v>1473</v>
      </c>
      <c r="C2409" s="152">
        <v>11</v>
      </c>
      <c r="D2409" s="152">
        <v>320</v>
      </c>
      <c r="E2409" s="152">
        <v>0</v>
      </c>
      <c r="F2409" s="152">
        <v>83500</v>
      </c>
      <c r="G2409" s="152">
        <v>55651</v>
      </c>
      <c r="H2409" s="150" t="str">
        <f t="shared" si="111"/>
        <v>5</v>
      </c>
      <c r="I2409" s="150" t="str">
        <f t="shared" si="112"/>
        <v>55</v>
      </c>
      <c r="J2409" s="150" t="str">
        <f t="shared" si="113"/>
        <v>556</v>
      </c>
      <c r="K2409" s="150" t="s">
        <v>8318</v>
      </c>
      <c r="L2409" s="152" t="s">
        <v>1474</v>
      </c>
      <c r="M2409" s="153">
        <v>5000</v>
      </c>
    </row>
    <row r="2410" spans="1:14" x14ac:dyDescent="0.25">
      <c r="A2410" s="148" t="s">
        <v>7641</v>
      </c>
      <c r="B2410" s="152" t="s">
        <v>1477</v>
      </c>
      <c r="C2410" s="152">
        <v>11</v>
      </c>
      <c r="D2410" s="152">
        <v>320</v>
      </c>
      <c r="E2410" s="152">
        <v>0</v>
      </c>
      <c r="F2410" s="152">
        <v>83510</v>
      </c>
      <c r="G2410" s="152">
        <v>51310</v>
      </c>
      <c r="H2410" s="150" t="str">
        <f t="shared" si="111"/>
        <v>5</v>
      </c>
      <c r="I2410" s="150" t="str">
        <f t="shared" si="112"/>
        <v>51</v>
      </c>
      <c r="J2410" s="150" t="str">
        <f t="shared" si="113"/>
        <v>513</v>
      </c>
      <c r="K2410" s="150" t="s">
        <v>7661</v>
      </c>
      <c r="L2410" s="152" t="s">
        <v>1478</v>
      </c>
      <c r="M2410" s="153">
        <v>5000</v>
      </c>
      <c r="N2410" s="161" t="s">
        <v>9905</v>
      </c>
    </row>
    <row r="2411" spans="1:14" x14ac:dyDescent="0.25">
      <c r="A2411" s="148" t="s">
        <v>7641</v>
      </c>
      <c r="B2411" s="152" t="s">
        <v>1479</v>
      </c>
      <c r="C2411" s="152">
        <v>11</v>
      </c>
      <c r="D2411" s="152">
        <v>320</v>
      </c>
      <c r="E2411" s="152">
        <v>0</v>
      </c>
      <c r="F2411" s="152">
        <v>83510</v>
      </c>
      <c r="G2411" s="152">
        <v>51311</v>
      </c>
      <c r="H2411" s="150" t="str">
        <f t="shared" si="111"/>
        <v>5</v>
      </c>
      <c r="I2411" s="150" t="str">
        <f t="shared" si="112"/>
        <v>51</v>
      </c>
      <c r="J2411" s="150" t="str">
        <f t="shared" si="113"/>
        <v>513</v>
      </c>
      <c r="K2411" s="150" t="s">
        <v>7735</v>
      </c>
      <c r="L2411" s="152" t="s">
        <v>1480</v>
      </c>
      <c r="M2411" s="153">
        <v>500</v>
      </c>
    </row>
    <row r="2412" spans="1:14" x14ac:dyDescent="0.25">
      <c r="A2412" s="148" t="s">
        <v>7641</v>
      </c>
      <c r="B2412" s="152" t="s">
        <v>1481</v>
      </c>
      <c r="C2412" s="152">
        <v>11</v>
      </c>
      <c r="D2412" s="152">
        <v>320</v>
      </c>
      <c r="E2412" s="152">
        <v>0</v>
      </c>
      <c r="F2412" s="152">
        <v>83510</v>
      </c>
      <c r="G2412" s="152">
        <v>51412</v>
      </c>
      <c r="H2412" s="150" t="str">
        <f t="shared" si="111"/>
        <v>5</v>
      </c>
      <c r="I2412" s="150" t="str">
        <f t="shared" si="112"/>
        <v>51</v>
      </c>
      <c r="J2412" s="150" t="str">
        <f t="shared" si="113"/>
        <v>514</v>
      </c>
      <c r="K2412" s="150" t="s">
        <v>7789</v>
      </c>
      <c r="L2412" s="152" t="s">
        <v>1482</v>
      </c>
      <c r="M2412" s="153">
        <v>500</v>
      </c>
    </row>
    <row r="2413" spans="1:14" x14ac:dyDescent="0.25">
      <c r="A2413" s="148" t="s">
        <v>7641</v>
      </c>
      <c r="B2413" s="152" t="s">
        <v>1501</v>
      </c>
      <c r="C2413" s="152">
        <v>11</v>
      </c>
      <c r="D2413" s="152">
        <v>320</v>
      </c>
      <c r="E2413" s="152">
        <v>0</v>
      </c>
      <c r="F2413" s="152">
        <v>83510</v>
      </c>
      <c r="G2413" s="152">
        <v>55630</v>
      </c>
      <c r="H2413" s="150" t="str">
        <f t="shared" si="111"/>
        <v>5</v>
      </c>
      <c r="I2413" s="150" t="str">
        <f t="shared" si="112"/>
        <v>55</v>
      </c>
      <c r="J2413" s="150" t="str">
        <f t="shared" si="113"/>
        <v>556</v>
      </c>
      <c r="K2413" s="150" t="s">
        <v>8211</v>
      </c>
      <c r="L2413" s="152" t="s">
        <v>1502</v>
      </c>
      <c r="M2413" s="153">
        <v>500</v>
      </c>
    </row>
    <row r="2414" spans="1:14" x14ac:dyDescent="0.25">
      <c r="A2414" s="148" t="s">
        <v>7641</v>
      </c>
      <c r="B2414" s="152" t="s">
        <v>1505</v>
      </c>
      <c r="C2414" s="152">
        <v>11</v>
      </c>
      <c r="D2414" s="152">
        <v>320</v>
      </c>
      <c r="E2414" s="152">
        <v>0</v>
      </c>
      <c r="F2414" s="152">
        <v>83550</v>
      </c>
      <c r="G2414" s="152">
        <v>51310</v>
      </c>
      <c r="H2414" s="150" t="str">
        <f t="shared" si="111"/>
        <v>5</v>
      </c>
      <c r="I2414" s="150" t="str">
        <f t="shared" si="112"/>
        <v>51</v>
      </c>
      <c r="J2414" s="150" t="str">
        <f t="shared" si="113"/>
        <v>513</v>
      </c>
      <c r="K2414" s="150" t="s">
        <v>7662</v>
      </c>
      <c r="L2414" s="152" t="s">
        <v>1506</v>
      </c>
      <c r="M2414" s="153">
        <v>8500</v>
      </c>
    </row>
    <row r="2415" spans="1:14" x14ac:dyDescent="0.25">
      <c r="A2415" s="148" t="s">
        <v>7641</v>
      </c>
      <c r="B2415" s="152" t="s">
        <v>1507</v>
      </c>
      <c r="C2415" s="152">
        <v>11</v>
      </c>
      <c r="D2415" s="152">
        <v>320</v>
      </c>
      <c r="E2415" s="152">
        <v>0</v>
      </c>
      <c r="F2415" s="152">
        <v>83550</v>
      </c>
      <c r="G2415" s="152">
        <v>51311</v>
      </c>
      <c r="H2415" s="150" t="str">
        <f t="shared" si="111"/>
        <v>5</v>
      </c>
      <c r="I2415" s="150" t="str">
        <f t="shared" si="112"/>
        <v>51</v>
      </c>
      <c r="J2415" s="150" t="str">
        <f t="shared" si="113"/>
        <v>513</v>
      </c>
      <c r="K2415" s="150" t="s">
        <v>7736</v>
      </c>
      <c r="L2415" s="152" t="s">
        <v>1508</v>
      </c>
      <c r="M2415" s="153">
        <v>64000</v>
      </c>
    </row>
    <row r="2416" spans="1:14" x14ac:dyDescent="0.25">
      <c r="A2416" s="148" t="s">
        <v>7641</v>
      </c>
      <c r="B2416" s="152" t="s">
        <v>1509</v>
      </c>
      <c r="C2416" s="152">
        <v>11</v>
      </c>
      <c r="D2416" s="152">
        <v>320</v>
      </c>
      <c r="E2416" s="152">
        <v>0</v>
      </c>
      <c r="F2416" s="152">
        <v>83550</v>
      </c>
      <c r="G2416" s="152">
        <v>52400</v>
      </c>
      <c r="H2416" s="150" t="str">
        <f t="shared" si="111"/>
        <v>5</v>
      </c>
      <c r="I2416" s="150" t="str">
        <f t="shared" si="112"/>
        <v>52</v>
      </c>
      <c r="J2416" s="150" t="str">
        <f t="shared" si="113"/>
        <v>524</v>
      </c>
      <c r="K2416" s="150" t="s">
        <v>7889</v>
      </c>
      <c r="L2416" s="152" t="s">
        <v>1510</v>
      </c>
      <c r="M2416" s="153">
        <v>8000</v>
      </c>
    </row>
    <row r="2417" spans="1:14" x14ac:dyDescent="0.25">
      <c r="A2417" s="148" t="s">
        <v>7641</v>
      </c>
      <c r="B2417" s="152" t="s">
        <v>1523</v>
      </c>
      <c r="C2417" s="152">
        <v>11</v>
      </c>
      <c r="D2417" s="152">
        <v>320</v>
      </c>
      <c r="E2417" s="152">
        <v>0</v>
      </c>
      <c r="F2417" s="152">
        <v>83550</v>
      </c>
      <c r="G2417" s="152">
        <v>55630</v>
      </c>
      <c r="H2417" s="150" t="str">
        <f t="shared" si="111"/>
        <v>5</v>
      </c>
      <c r="I2417" s="150" t="str">
        <f t="shared" si="112"/>
        <v>55</v>
      </c>
      <c r="J2417" s="150" t="str">
        <f t="shared" si="113"/>
        <v>556</v>
      </c>
      <c r="K2417" s="150" t="s">
        <v>8212</v>
      </c>
      <c r="L2417" s="152" t="s">
        <v>1524</v>
      </c>
      <c r="M2417" s="153">
        <v>1100</v>
      </c>
    </row>
    <row r="2418" spans="1:14" x14ac:dyDescent="0.25">
      <c r="A2418" s="148" t="s">
        <v>7641</v>
      </c>
      <c r="B2418" s="152" t="s">
        <v>1525</v>
      </c>
      <c r="C2418" s="152">
        <v>11</v>
      </c>
      <c r="D2418" s="152">
        <v>320</v>
      </c>
      <c r="E2418" s="152">
        <v>0</v>
      </c>
      <c r="F2418" s="152">
        <v>83700</v>
      </c>
      <c r="G2418" s="152">
        <v>51310</v>
      </c>
      <c r="H2418" s="150" t="str">
        <f t="shared" si="111"/>
        <v>5</v>
      </c>
      <c r="I2418" s="150" t="str">
        <f t="shared" si="112"/>
        <v>51</v>
      </c>
      <c r="J2418" s="150" t="str">
        <f t="shared" si="113"/>
        <v>513</v>
      </c>
      <c r="K2418" s="150" t="s">
        <v>7663</v>
      </c>
      <c r="L2418" s="152" t="s">
        <v>1526</v>
      </c>
      <c r="M2418" s="153">
        <v>4800</v>
      </c>
    </row>
    <row r="2419" spans="1:14" x14ac:dyDescent="0.25">
      <c r="A2419" s="148" t="s">
        <v>7641</v>
      </c>
      <c r="B2419" s="152" t="s">
        <v>1527</v>
      </c>
      <c r="C2419" s="152">
        <v>11</v>
      </c>
      <c r="D2419" s="152">
        <v>320</v>
      </c>
      <c r="E2419" s="152">
        <v>0</v>
      </c>
      <c r="F2419" s="152">
        <v>83700</v>
      </c>
      <c r="G2419" s="152">
        <v>51311</v>
      </c>
      <c r="H2419" s="150" t="str">
        <f t="shared" si="111"/>
        <v>5</v>
      </c>
      <c r="I2419" s="150" t="str">
        <f t="shared" si="112"/>
        <v>51</v>
      </c>
      <c r="J2419" s="150" t="str">
        <f t="shared" si="113"/>
        <v>513</v>
      </c>
      <c r="K2419" s="150" t="s">
        <v>7737</v>
      </c>
      <c r="L2419" s="152" t="s">
        <v>1528</v>
      </c>
      <c r="M2419" s="153">
        <v>32000</v>
      </c>
    </row>
    <row r="2420" spans="1:14" x14ac:dyDescent="0.25">
      <c r="A2420" s="148" t="s">
        <v>7641</v>
      </c>
      <c r="B2420" s="152" t="s">
        <v>1537</v>
      </c>
      <c r="C2420" s="152">
        <v>11</v>
      </c>
      <c r="D2420" s="152">
        <v>320</v>
      </c>
      <c r="E2420" s="152">
        <v>0</v>
      </c>
      <c r="F2420" s="152">
        <v>83700</v>
      </c>
      <c r="G2420" s="152">
        <v>55630</v>
      </c>
      <c r="H2420" s="150" t="str">
        <f t="shared" si="111"/>
        <v>5</v>
      </c>
      <c r="I2420" s="150" t="str">
        <f t="shared" si="112"/>
        <v>55</v>
      </c>
      <c r="J2420" s="150" t="str">
        <f t="shared" si="113"/>
        <v>556</v>
      </c>
      <c r="K2420" s="150" t="s">
        <v>8213</v>
      </c>
      <c r="L2420" s="152" t="s">
        <v>1538</v>
      </c>
      <c r="M2420" s="153">
        <v>50</v>
      </c>
    </row>
    <row r="2421" spans="1:14" x14ac:dyDescent="0.25">
      <c r="A2421" s="148" t="s">
        <v>7641</v>
      </c>
      <c r="B2421" s="152" t="s">
        <v>1539</v>
      </c>
      <c r="C2421" s="152">
        <v>11</v>
      </c>
      <c r="D2421" s="152">
        <v>320</v>
      </c>
      <c r="E2421" s="152">
        <v>0</v>
      </c>
      <c r="F2421" s="152">
        <v>130600</v>
      </c>
      <c r="G2421" s="152">
        <v>51311</v>
      </c>
      <c r="H2421" s="150" t="str">
        <f t="shared" si="111"/>
        <v>5</v>
      </c>
      <c r="I2421" s="150" t="str">
        <f t="shared" si="112"/>
        <v>51</v>
      </c>
      <c r="J2421" s="150" t="str">
        <f t="shared" si="113"/>
        <v>513</v>
      </c>
      <c r="K2421" s="150" t="s">
        <v>7738</v>
      </c>
      <c r="L2421" s="152" t="s">
        <v>1540</v>
      </c>
      <c r="M2421" s="153">
        <v>35000</v>
      </c>
    </row>
    <row r="2422" spans="1:14" x14ac:dyDescent="0.25">
      <c r="A2422" s="148" t="s">
        <v>7641</v>
      </c>
      <c r="B2422" s="152" t="s">
        <v>1549</v>
      </c>
      <c r="C2422" s="152">
        <v>11</v>
      </c>
      <c r="D2422" s="152">
        <v>320</v>
      </c>
      <c r="E2422" s="152">
        <v>0</v>
      </c>
      <c r="F2422" s="152">
        <v>130600</v>
      </c>
      <c r="G2422" s="152">
        <v>55630</v>
      </c>
      <c r="H2422" s="150" t="str">
        <f t="shared" si="111"/>
        <v>5</v>
      </c>
      <c r="I2422" s="150" t="str">
        <f t="shared" si="112"/>
        <v>55</v>
      </c>
      <c r="J2422" s="150" t="str">
        <f t="shared" si="113"/>
        <v>556</v>
      </c>
      <c r="K2422" s="150" t="s">
        <v>8214</v>
      </c>
      <c r="L2422" s="152" t="s">
        <v>1550</v>
      </c>
      <c r="M2422" s="153">
        <v>45</v>
      </c>
    </row>
    <row r="2423" spans="1:14" x14ac:dyDescent="0.25">
      <c r="A2423" s="148" t="s">
        <v>7641</v>
      </c>
      <c r="B2423" s="152" t="s">
        <v>1553</v>
      </c>
      <c r="C2423" s="152">
        <v>11</v>
      </c>
      <c r="D2423" s="152">
        <v>320</v>
      </c>
      <c r="E2423" s="152">
        <v>0</v>
      </c>
      <c r="F2423" s="152">
        <v>601000</v>
      </c>
      <c r="G2423" s="152">
        <v>52300</v>
      </c>
      <c r="H2423" s="150" t="str">
        <f t="shared" si="111"/>
        <v>5</v>
      </c>
      <c r="I2423" s="150" t="str">
        <f t="shared" si="112"/>
        <v>52</v>
      </c>
      <c r="J2423" s="150" t="str">
        <f t="shared" si="113"/>
        <v>523</v>
      </c>
      <c r="K2423" s="150" t="s">
        <v>7820</v>
      </c>
      <c r="L2423" s="152" t="s">
        <v>483</v>
      </c>
      <c r="M2423" s="153">
        <v>0</v>
      </c>
    </row>
    <row r="2424" spans="1:14" x14ac:dyDescent="0.25">
      <c r="A2424" s="148" t="s">
        <v>7641</v>
      </c>
      <c r="B2424" s="152" t="s">
        <v>1562</v>
      </c>
      <c r="C2424" s="152">
        <v>11</v>
      </c>
      <c r="D2424" s="152">
        <v>320</v>
      </c>
      <c r="E2424" s="152">
        <v>0</v>
      </c>
      <c r="F2424" s="152">
        <v>601000</v>
      </c>
      <c r="G2424" s="152">
        <v>55630</v>
      </c>
      <c r="H2424" s="150" t="str">
        <f t="shared" si="111"/>
        <v>5</v>
      </c>
      <c r="I2424" s="150" t="str">
        <f t="shared" si="112"/>
        <v>55</v>
      </c>
      <c r="J2424" s="150" t="str">
        <f t="shared" si="113"/>
        <v>556</v>
      </c>
      <c r="K2424" s="150" t="s">
        <v>8215</v>
      </c>
      <c r="L2424" s="152" t="s">
        <v>509</v>
      </c>
      <c r="M2424" s="153">
        <v>1000</v>
      </c>
    </row>
    <row r="2425" spans="1:14" x14ac:dyDescent="0.25">
      <c r="A2425" s="148" t="s">
        <v>7641</v>
      </c>
      <c r="B2425" s="152" t="s">
        <v>1565</v>
      </c>
      <c r="C2425" s="152">
        <v>11</v>
      </c>
      <c r="D2425" s="152">
        <v>320</v>
      </c>
      <c r="E2425" s="152">
        <v>0</v>
      </c>
      <c r="F2425" s="152">
        <v>696500</v>
      </c>
      <c r="G2425" s="152">
        <v>51412</v>
      </c>
      <c r="H2425" s="150" t="str">
        <f t="shared" si="111"/>
        <v>5</v>
      </c>
      <c r="I2425" s="150" t="str">
        <f t="shared" si="112"/>
        <v>51</v>
      </c>
      <c r="J2425" s="150" t="str">
        <f t="shared" si="113"/>
        <v>514</v>
      </c>
      <c r="K2425" s="150" t="s">
        <v>7790</v>
      </c>
      <c r="L2425" s="152" t="s">
        <v>1566</v>
      </c>
      <c r="M2425" s="153">
        <v>169000</v>
      </c>
      <c r="N2425" s="161" t="s">
        <v>9906</v>
      </c>
    </row>
    <row r="2426" spans="1:14" x14ac:dyDescent="0.25">
      <c r="A2426" s="148" t="s">
        <v>7641</v>
      </c>
      <c r="B2426" s="152" t="s">
        <v>1569</v>
      </c>
      <c r="C2426" s="152">
        <v>11</v>
      </c>
      <c r="D2426" s="152">
        <v>320</v>
      </c>
      <c r="E2426" s="152">
        <v>0</v>
      </c>
      <c r="F2426" s="152">
        <v>696500</v>
      </c>
      <c r="G2426" s="152">
        <v>52300</v>
      </c>
      <c r="H2426" s="150" t="str">
        <f t="shared" si="111"/>
        <v>5</v>
      </c>
      <c r="I2426" s="150" t="str">
        <f t="shared" si="112"/>
        <v>52</v>
      </c>
      <c r="J2426" s="150" t="str">
        <f t="shared" si="113"/>
        <v>523</v>
      </c>
      <c r="K2426" s="150" t="s">
        <v>7821</v>
      </c>
      <c r="L2426" s="152" t="s">
        <v>1570</v>
      </c>
      <c r="M2426" s="153">
        <v>0</v>
      </c>
    </row>
    <row r="2427" spans="1:14" x14ac:dyDescent="0.25">
      <c r="A2427" s="148" t="s">
        <v>7641</v>
      </c>
      <c r="B2427" s="152" t="s">
        <v>1571</v>
      </c>
      <c r="C2427" s="152">
        <v>11</v>
      </c>
      <c r="D2427" s="152">
        <v>320</v>
      </c>
      <c r="E2427" s="152">
        <v>0</v>
      </c>
      <c r="F2427" s="152">
        <v>696500</v>
      </c>
      <c r="G2427" s="152">
        <v>52360</v>
      </c>
      <c r="H2427" s="150" t="str">
        <f t="shared" si="111"/>
        <v>5</v>
      </c>
      <c r="I2427" s="150" t="str">
        <f t="shared" si="112"/>
        <v>52</v>
      </c>
      <c r="J2427" s="150" t="str">
        <f t="shared" si="113"/>
        <v>523</v>
      </c>
      <c r="K2427" s="150" t="s">
        <v>7870</v>
      </c>
      <c r="L2427" s="152" t="s">
        <v>1572</v>
      </c>
      <c r="M2427" s="153">
        <v>15000</v>
      </c>
    </row>
    <row r="2428" spans="1:14" x14ac:dyDescent="0.25">
      <c r="A2428" s="148" t="s">
        <v>7641</v>
      </c>
      <c r="B2428" s="152" t="s">
        <v>1589</v>
      </c>
      <c r="C2428" s="152">
        <v>11</v>
      </c>
      <c r="D2428" s="152">
        <v>320</v>
      </c>
      <c r="E2428" s="152">
        <v>0</v>
      </c>
      <c r="F2428" s="152">
        <v>696500</v>
      </c>
      <c r="G2428" s="152">
        <v>54300</v>
      </c>
      <c r="H2428" s="150" t="str">
        <f t="shared" si="111"/>
        <v>5</v>
      </c>
      <c r="I2428" s="150" t="str">
        <f t="shared" si="112"/>
        <v>54</v>
      </c>
      <c r="J2428" s="150" t="str">
        <f t="shared" si="113"/>
        <v>543</v>
      </c>
      <c r="K2428" s="150" t="s">
        <v>7937</v>
      </c>
      <c r="L2428" s="152" t="s">
        <v>1590</v>
      </c>
      <c r="M2428" s="153">
        <v>112967.77</v>
      </c>
    </row>
    <row r="2429" spans="1:14" x14ac:dyDescent="0.25">
      <c r="A2429" s="148" t="s">
        <v>7641</v>
      </c>
      <c r="B2429" s="152" t="s">
        <v>1591</v>
      </c>
      <c r="C2429" s="152">
        <v>11</v>
      </c>
      <c r="D2429" s="152">
        <v>320</v>
      </c>
      <c r="E2429" s="152">
        <v>0</v>
      </c>
      <c r="F2429" s="152">
        <v>696500</v>
      </c>
      <c r="G2429" s="152">
        <v>55100</v>
      </c>
      <c r="H2429" s="150" t="str">
        <f t="shared" si="111"/>
        <v>5</v>
      </c>
      <c r="I2429" s="150" t="str">
        <f t="shared" si="112"/>
        <v>55</v>
      </c>
      <c r="J2429" s="150" t="str">
        <f t="shared" si="113"/>
        <v>551</v>
      </c>
      <c r="K2429" s="150" t="s">
        <v>7997</v>
      </c>
      <c r="L2429" s="152" t="s">
        <v>1592</v>
      </c>
      <c r="M2429" s="153">
        <v>8333</v>
      </c>
    </row>
    <row r="2430" spans="1:14" x14ac:dyDescent="0.25">
      <c r="A2430" s="148" t="s">
        <v>7641</v>
      </c>
      <c r="B2430" s="152" t="s">
        <v>1593</v>
      </c>
      <c r="C2430" s="152">
        <v>11</v>
      </c>
      <c r="D2430" s="152">
        <v>320</v>
      </c>
      <c r="E2430" s="152">
        <v>0</v>
      </c>
      <c r="F2430" s="152">
        <v>696500</v>
      </c>
      <c r="G2430" s="152">
        <v>55105</v>
      </c>
      <c r="H2430" s="150" t="str">
        <f t="shared" si="111"/>
        <v>5</v>
      </c>
      <c r="I2430" s="150" t="str">
        <f t="shared" si="112"/>
        <v>55</v>
      </c>
      <c r="J2430" s="150" t="str">
        <f t="shared" si="113"/>
        <v>551</v>
      </c>
      <c r="K2430" s="150" t="s">
        <v>8012</v>
      </c>
      <c r="L2430" s="152" t="s">
        <v>1594</v>
      </c>
      <c r="M2430" s="153">
        <v>96667</v>
      </c>
    </row>
    <row r="2431" spans="1:14" x14ac:dyDescent="0.25">
      <c r="A2431" s="148" t="s">
        <v>7641</v>
      </c>
      <c r="B2431" s="152" t="s">
        <v>1595</v>
      </c>
      <c r="C2431" s="152">
        <v>11</v>
      </c>
      <c r="D2431" s="152">
        <v>320</v>
      </c>
      <c r="E2431" s="152">
        <v>0</v>
      </c>
      <c r="F2431" s="152">
        <v>696500</v>
      </c>
      <c r="G2431" s="152">
        <v>55110</v>
      </c>
      <c r="H2431" s="150" t="str">
        <f t="shared" si="111"/>
        <v>5</v>
      </c>
      <c r="I2431" s="150" t="str">
        <f t="shared" si="112"/>
        <v>55</v>
      </c>
      <c r="J2431" s="150" t="str">
        <f t="shared" si="113"/>
        <v>551</v>
      </c>
      <c r="K2431" s="150" t="s">
        <v>8026</v>
      </c>
      <c r="L2431" s="152" t="s">
        <v>1596</v>
      </c>
      <c r="M2431" s="153">
        <v>60000</v>
      </c>
      <c r="N2431" s="148" t="s">
        <v>9907</v>
      </c>
    </row>
    <row r="2432" spans="1:14" x14ac:dyDescent="0.25">
      <c r="A2432" s="148" t="s">
        <v>7641</v>
      </c>
      <c r="B2432" s="152" t="s">
        <v>1597</v>
      </c>
      <c r="C2432" s="152">
        <v>11</v>
      </c>
      <c r="D2432" s="152">
        <v>320</v>
      </c>
      <c r="E2432" s="152">
        <v>0</v>
      </c>
      <c r="F2432" s="152">
        <v>696500</v>
      </c>
      <c r="G2432" s="152">
        <v>55200</v>
      </c>
      <c r="H2432" s="150" t="str">
        <f t="shared" si="111"/>
        <v>5</v>
      </c>
      <c r="I2432" s="150" t="str">
        <f t="shared" si="112"/>
        <v>55</v>
      </c>
      <c r="J2432" s="150" t="str">
        <f t="shared" si="113"/>
        <v>552</v>
      </c>
      <c r="K2432" s="150" t="s">
        <v>8050</v>
      </c>
      <c r="L2432" s="152" t="s">
        <v>1598</v>
      </c>
      <c r="M2432" s="153">
        <v>15000</v>
      </c>
    </row>
    <row r="2433" spans="1:14" ht="45" x14ac:dyDescent="0.25">
      <c r="A2433" s="148" t="s">
        <v>7641</v>
      </c>
      <c r="B2433" s="152" t="s">
        <v>1599</v>
      </c>
      <c r="C2433" s="152">
        <v>11</v>
      </c>
      <c r="D2433" s="152">
        <v>320</v>
      </c>
      <c r="E2433" s="152">
        <v>0</v>
      </c>
      <c r="F2433" s="152">
        <v>696500</v>
      </c>
      <c r="G2433" s="152">
        <v>55240</v>
      </c>
      <c r="H2433" s="150" t="str">
        <f t="shared" si="111"/>
        <v>5</v>
      </c>
      <c r="I2433" s="150" t="str">
        <f t="shared" si="112"/>
        <v>55</v>
      </c>
      <c r="J2433" s="150" t="str">
        <f t="shared" si="113"/>
        <v>552</v>
      </c>
      <c r="K2433" s="150" t="s">
        <v>8075</v>
      </c>
      <c r="L2433" s="152" t="s">
        <v>1600</v>
      </c>
      <c r="M2433" s="153">
        <v>125000</v>
      </c>
      <c r="N2433" s="161" t="s">
        <v>9908</v>
      </c>
    </row>
    <row r="2434" spans="1:14" x14ac:dyDescent="0.25">
      <c r="A2434" s="148" t="s">
        <v>7641</v>
      </c>
      <c r="B2434" s="152" t="s">
        <v>1601</v>
      </c>
      <c r="C2434" s="152">
        <v>11</v>
      </c>
      <c r="D2434" s="152">
        <v>320</v>
      </c>
      <c r="E2434" s="152">
        <v>0</v>
      </c>
      <c r="F2434" s="152">
        <v>696500</v>
      </c>
      <c r="G2434" s="152">
        <v>55264</v>
      </c>
      <c r="H2434" s="150" t="str">
        <f t="shared" si="111"/>
        <v>5</v>
      </c>
      <c r="I2434" s="150" t="str">
        <f t="shared" si="112"/>
        <v>55</v>
      </c>
      <c r="J2434" s="150" t="str">
        <f t="shared" si="113"/>
        <v>552</v>
      </c>
      <c r="K2434" s="150" t="s">
        <v>8076</v>
      </c>
      <c r="L2434" s="152" t="s">
        <v>1602</v>
      </c>
      <c r="M2434" s="153">
        <v>10000</v>
      </c>
    </row>
    <row r="2435" spans="1:14" x14ac:dyDescent="0.25">
      <c r="A2435" s="148" t="s">
        <v>7641</v>
      </c>
      <c r="B2435" s="152" t="s">
        <v>1603</v>
      </c>
      <c r="C2435" s="152">
        <v>11</v>
      </c>
      <c r="D2435" s="152">
        <v>320</v>
      </c>
      <c r="E2435" s="152">
        <v>0</v>
      </c>
      <c r="F2435" s="152">
        <v>696500</v>
      </c>
      <c r="G2435" s="152">
        <v>55300</v>
      </c>
      <c r="H2435" s="150" t="str">
        <f t="shared" ref="H2435:H2498" si="114">LEFT(G2435,1)</f>
        <v>5</v>
      </c>
      <c r="I2435" s="150" t="str">
        <f t="shared" ref="I2435:I2498" si="115">LEFT(G2435,2)</f>
        <v>55</v>
      </c>
      <c r="J2435" s="150" t="str">
        <f t="shared" ref="J2435:J2498" si="116">LEFT(G2435,3)</f>
        <v>553</v>
      </c>
      <c r="K2435" s="150" t="s">
        <v>8088</v>
      </c>
      <c r="L2435" s="152" t="s">
        <v>1604</v>
      </c>
      <c r="M2435" s="153">
        <v>25000</v>
      </c>
    </row>
    <row r="2436" spans="1:14" x14ac:dyDescent="0.25">
      <c r="A2436" s="148" t="s">
        <v>7641</v>
      </c>
      <c r="B2436" s="152" t="s">
        <v>1605</v>
      </c>
      <c r="C2436" s="152">
        <v>11</v>
      </c>
      <c r="D2436" s="152">
        <v>320</v>
      </c>
      <c r="E2436" s="152">
        <v>0</v>
      </c>
      <c r="F2436" s="152">
        <v>696500</v>
      </c>
      <c r="G2436" s="152">
        <v>55309</v>
      </c>
      <c r="H2436" s="150" t="str">
        <f t="shared" si="114"/>
        <v>5</v>
      </c>
      <c r="I2436" s="150" t="str">
        <f t="shared" si="115"/>
        <v>55</v>
      </c>
      <c r="J2436" s="150" t="str">
        <f t="shared" si="116"/>
        <v>553</v>
      </c>
      <c r="K2436" s="150" t="s">
        <v>8106</v>
      </c>
      <c r="L2436" s="152" t="s">
        <v>1606</v>
      </c>
      <c r="M2436" s="153">
        <v>800</v>
      </c>
    </row>
    <row r="2437" spans="1:14" x14ac:dyDescent="0.25">
      <c r="A2437" s="148" t="s">
        <v>7641</v>
      </c>
      <c r="B2437" s="152" t="s">
        <v>1607</v>
      </c>
      <c r="C2437" s="152">
        <v>11</v>
      </c>
      <c r="D2437" s="152">
        <v>320</v>
      </c>
      <c r="E2437" s="152">
        <v>0</v>
      </c>
      <c r="F2437" s="152">
        <v>696500</v>
      </c>
      <c r="G2437" s="152">
        <v>55400</v>
      </c>
      <c r="H2437" s="150" t="str">
        <f t="shared" si="114"/>
        <v>5</v>
      </c>
      <c r="I2437" s="150" t="str">
        <f t="shared" si="115"/>
        <v>55</v>
      </c>
      <c r="J2437" s="150" t="str">
        <f t="shared" si="116"/>
        <v>554</v>
      </c>
      <c r="K2437" s="150" t="s">
        <v>8114</v>
      </c>
      <c r="L2437" s="152" t="s">
        <v>1608</v>
      </c>
      <c r="M2437" s="153">
        <v>69570</v>
      </c>
    </row>
    <row r="2438" spans="1:14" x14ac:dyDescent="0.25">
      <c r="A2438" s="148" t="s">
        <v>7641</v>
      </c>
      <c r="B2438" s="152" t="s">
        <v>1609</v>
      </c>
      <c r="C2438" s="152">
        <v>11</v>
      </c>
      <c r="D2438" s="152">
        <v>320</v>
      </c>
      <c r="E2438" s="152">
        <v>0</v>
      </c>
      <c r="F2438" s="152">
        <v>696500</v>
      </c>
      <c r="G2438" s="152">
        <v>55600</v>
      </c>
      <c r="H2438" s="150" t="str">
        <f t="shared" si="114"/>
        <v>5</v>
      </c>
      <c r="I2438" s="150" t="str">
        <f t="shared" si="115"/>
        <v>55</v>
      </c>
      <c r="J2438" s="150" t="str">
        <f t="shared" si="116"/>
        <v>556</v>
      </c>
      <c r="K2438" s="150" t="s">
        <v>8150</v>
      </c>
      <c r="L2438" s="152" t="s">
        <v>1610</v>
      </c>
      <c r="M2438" s="153">
        <v>10000</v>
      </c>
    </row>
    <row r="2439" spans="1:14" x14ac:dyDescent="0.25">
      <c r="A2439" s="148" t="s">
        <v>7641</v>
      </c>
      <c r="B2439" s="152" t="s">
        <v>1611</v>
      </c>
      <c r="C2439" s="152">
        <v>11</v>
      </c>
      <c r="D2439" s="152">
        <v>320</v>
      </c>
      <c r="E2439" s="152">
        <v>0</v>
      </c>
      <c r="F2439" s="152">
        <v>696500</v>
      </c>
      <c r="G2439" s="152">
        <v>55630</v>
      </c>
      <c r="H2439" s="150" t="str">
        <f t="shared" si="114"/>
        <v>5</v>
      </c>
      <c r="I2439" s="150" t="str">
        <f t="shared" si="115"/>
        <v>55</v>
      </c>
      <c r="J2439" s="150" t="str">
        <f t="shared" si="116"/>
        <v>556</v>
      </c>
      <c r="K2439" s="150" t="s">
        <v>8216</v>
      </c>
      <c r="L2439" s="152" t="s">
        <v>1612</v>
      </c>
      <c r="M2439" s="153">
        <v>1700</v>
      </c>
    </row>
    <row r="2440" spans="1:14" x14ac:dyDescent="0.25">
      <c r="A2440" s="148" t="s">
        <v>7641</v>
      </c>
      <c r="B2440" s="152" t="s">
        <v>1613</v>
      </c>
      <c r="C2440" s="152">
        <v>11</v>
      </c>
      <c r="D2440" s="152">
        <v>320</v>
      </c>
      <c r="E2440" s="152">
        <v>0</v>
      </c>
      <c r="F2440" s="152">
        <v>696500</v>
      </c>
      <c r="G2440" s="152">
        <v>55651</v>
      </c>
      <c r="H2440" s="150" t="str">
        <f t="shared" si="114"/>
        <v>5</v>
      </c>
      <c r="I2440" s="150" t="str">
        <f t="shared" si="115"/>
        <v>55</v>
      </c>
      <c r="J2440" s="150" t="str">
        <f t="shared" si="116"/>
        <v>556</v>
      </c>
      <c r="K2440" s="150" t="s">
        <v>8319</v>
      </c>
      <c r="L2440" s="152" t="s">
        <v>1614</v>
      </c>
      <c r="M2440" s="153">
        <v>12000</v>
      </c>
    </row>
    <row r="2441" spans="1:14" x14ac:dyDescent="0.25">
      <c r="A2441" s="148" t="s">
        <v>7641</v>
      </c>
      <c r="B2441" s="152" t="s">
        <v>1615</v>
      </c>
      <c r="C2441" s="152">
        <v>11</v>
      </c>
      <c r="D2441" s="152">
        <v>320</v>
      </c>
      <c r="E2441" s="152">
        <v>0</v>
      </c>
      <c r="F2441" s="152">
        <v>696500</v>
      </c>
      <c r="G2441" s="152">
        <v>56400</v>
      </c>
      <c r="H2441" s="150" t="str">
        <f t="shared" si="114"/>
        <v>5</v>
      </c>
      <c r="I2441" s="150" t="str">
        <f t="shared" si="115"/>
        <v>56</v>
      </c>
      <c r="J2441" s="150" t="str">
        <f t="shared" si="116"/>
        <v>564</v>
      </c>
      <c r="K2441" s="150" t="s">
        <v>8374</v>
      </c>
      <c r="L2441" s="152" t="s">
        <v>1616</v>
      </c>
      <c r="M2441" s="153">
        <v>9158.2000000000007</v>
      </c>
    </row>
    <row r="2442" spans="1:14" ht="30" x14ac:dyDescent="0.25">
      <c r="A2442" s="148" t="s">
        <v>7641</v>
      </c>
      <c r="B2442" s="152" t="s">
        <v>1617</v>
      </c>
      <c r="C2442" s="152">
        <v>11</v>
      </c>
      <c r="D2442" s="152">
        <v>320</v>
      </c>
      <c r="E2442" s="152">
        <v>0</v>
      </c>
      <c r="F2442" s="152">
        <v>696500</v>
      </c>
      <c r="G2442" s="152">
        <v>57552</v>
      </c>
      <c r="H2442" s="150" t="str">
        <f t="shared" si="114"/>
        <v>5</v>
      </c>
      <c r="I2442" s="150" t="str">
        <f t="shared" si="115"/>
        <v>57</v>
      </c>
      <c r="J2442" s="150" t="str">
        <f t="shared" si="116"/>
        <v>575</v>
      </c>
      <c r="K2442" s="150" t="s">
        <v>8923</v>
      </c>
      <c r="L2442" s="152" t="s">
        <v>1618</v>
      </c>
      <c r="M2442" s="153">
        <v>38000</v>
      </c>
      <c r="N2442" s="161" t="s">
        <v>9909</v>
      </c>
    </row>
    <row r="2443" spans="1:14" x14ac:dyDescent="0.25">
      <c r="A2443" s="148" t="s">
        <v>7641</v>
      </c>
      <c r="B2443" s="152" t="s">
        <v>1081</v>
      </c>
      <c r="C2443" s="152">
        <v>11</v>
      </c>
      <c r="D2443" s="152">
        <v>304</v>
      </c>
      <c r="E2443" s="152">
        <v>0</v>
      </c>
      <c r="F2443" s="152">
        <v>601000</v>
      </c>
      <c r="G2443" s="152">
        <v>54300</v>
      </c>
      <c r="H2443" s="150" t="str">
        <f t="shared" si="114"/>
        <v>5</v>
      </c>
      <c r="I2443" s="150" t="str">
        <f t="shared" si="115"/>
        <v>54</v>
      </c>
      <c r="J2443" s="150" t="str">
        <f t="shared" si="116"/>
        <v>543</v>
      </c>
      <c r="K2443" s="150" t="s">
        <v>7931</v>
      </c>
      <c r="L2443" s="152" t="s">
        <v>501</v>
      </c>
      <c r="M2443" s="153">
        <v>3204</v>
      </c>
      <c r="N2443" s="161"/>
    </row>
    <row r="2444" spans="1:14" x14ac:dyDescent="0.25">
      <c r="A2444" s="148" t="s">
        <v>7641</v>
      </c>
      <c r="B2444" s="152" t="s">
        <v>1082</v>
      </c>
      <c r="C2444" s="152">
        <v>11</v>
      </c>
      <c r="D2444" s="152">
        <v>304</v>
      </c>
      <c r="E2444" s="152">
        <v>0</v>
      </c>
      <c r="F2444" s="152">
        <v>601000</v>
      </c>
      <c r="G2444" s="152">
        <v>55200</v>
      </c>
      <c r="H2444" s="150" t="str">
        <f t="shared" si="114"/>
        <v>5</v>
      </c>
      <c r="I2444" s="150" t="str">
        <f t="shared" si="115"/>
        <v>55</v>
      </c>
      <c r="J2444" s="150" t="str">
        <f t="shared" si="116"/>
        <v>552</v>
      </c>
      <c r="K2444" s="150" t="s">
        <v>8047</v>
      </c>
      <c r="L2444" s="152" t="s">
        <v>505</v>
      </c>
      <c r="M2444" s="153">
        <v>651</v>
      </c>
    </row>
    <row r="2445" spans="1:14" x14ac:dyDescent="0.25">
      <c r="A2445" s="148" t="s">
        <v>7641</v>
      </c>
      <c r="B2445" s="152" t="s">
        <v>1083</v>
      </c>
      <c r="C2445" s="152">
        <v>11</v>
      </c>
      <c r="D2445" s="152">
        <v>304</v>
      </c>
      <c r="E2445" s="152">
        <v>0</v>
      </c>
      <c r="F2445" s="152">
        <v>601000</v>
      </c>
      <c r="G2445" s="152">
        <v>55630</v>
      </c>
      <c r="H2445" s="150" t="str">
        <f t="shared" si="114"/>
        <v>5</v>
      </c>
      <c r="I2445" s="150" t="str">
        <f t="shared" si="115"/>
        <v>55</v>
      </c>
      <c r="J2445" s="150" t="str">
        <f t="shared" si="116"/>
        <v>556</v>
      </c>
      <c r="K2445" s="150" t="s">
        <v>8193</v>
      </c>
      <c r="L2445" s="152" t="s">
        <v>509</v>
      </c>
      <c r="M2445" s="153">
        <v>279</v>
      </c>
    </row>
    <row r="2446" spans="1:14" x14ac:dyDescent="0.25">
      <c r="A2446" s="148" t="s">
        <v>7641</v>
      </c>
      <c r="B2446" s="152" t="s">
        <v>1084</v>
      </c>
      <c r="C2446" s="152">
        <v>11</v>
      </c>
      <c r="D2446" s="152">
        <v>304</v>
      </c>
      <c r="E2446" s="152">
        <v>0</v>
      </c>
      <c r="F2446" s="152">
        <v>601000</v>
      </c>
      <c r="G2446" s="152">
        <v>55650</v>
      </c>
      <c r="H2446" s="150" t="str">
        <f t="shared" si="114"/>
        <v>5</v>
      </c>
      <c r="I2446" s="150" t="str">
        <f t="shared" si="115"/>
        <v>55</v>
      </c>
      <c r="J2446" s="150" t="str">
        <f t="shared" si="116"/>
        <v>556</v>
      </c>
      <c r="K2446" s="150" t="s">
        <v>8296</v>
      </c>
      <c r="L2446" s="152" t="s">
        <v>511</v>
      </c>
      <c r="M2446" s="153">
        <v>3000</v>
      </c>
    </row>
    <row r="2447" spans="1:14" x14ac:dyDescent="0.25">
      <c r="A2447" s="148" t="s">
        <v>7641</v>
      </c>
      <c r="B2447" s="152" t="s">
        <v>1091</v>
      </c>
      <c r="C2447" s="152">
        <v>11</v>
      </c>
      <c r="D2447" s="152">
        <v>304</v>
      </c>
      <c r="E2447" s="152">
        <v>0</v>
      </c>
      <c r="F2447" s="152">
        <v>682100</v>
      </c>
      <c r="G2447" s="152">
        <v>54300</v>
      </c>
      <c r="H2447" s="150" t="str">
        <f t="shared" si="114"/>
        <v>5</v>
      </c>
      <c r="I2447" s="150" t="str">
        <f t="shared" si="115"/>
        <v>54</v>
      </c>
      <c r="J2447" s="150" t="str">
        <f t="shared" si="116"/>
        <v>543</v>
      </c>
      <c r="K2447" s="150" t="s">
        <v>7932</v>
      </c>
      <c r="L2447" s="152" t="s">
        <v>1092</v>
      </c>
      <c r="M2447" s="153">
        <v>282</v>
      </c>
    </row>
    <row r="2448" spans="1:14" x14ac:dyDescent="0.25">
      <c r="A2448" s="148" t="s">
        <v>7641</v>
      </c>
      <c r="B2448" s="152" t="s">
        <v>1093</v>
      </c>
      <c r="C2448" s="152">
        <v>11</v>
      </c>
      <c r="D2448" s="152">
        <v>304</v>
      </c>
      <c r="E2448" s="152">
        <v>0</v>
      </c>
      <c r="F2448" s="152">
        <v>682100</v>
      </c>
      <c r="G2448" s="152">
        <v>55630</v>
      </c>
      <c r="H2448" s="150" t="str">
        <f t="shared" si="114"/>
        <v>5</v>
      </c>
      <c r="I2448" s="150" t="str">
        <f t="shared" si="115"/>
        <v>55</v>
      </c>
      <c r="J2448" s="150" t="str">
        <f t="shared" si="116"/>
        <v>556</v>
      </c>
      <c r="K2448" s="150" t="s">
        <v>8194</v>
      </c>
      <c r="L2448" s="152" t="s">
        <v>1094</v>
      </c>
      <c r="M2448" s="153">
        <v>93</v>
      </c>
    </row>
    <row r="2449" spans="1:13" x14ac:dyDescent="0.25">
      <c r="A2449" s="148" t="s">
        <v>7641</v>
      </c>
      <c r="B2449" s="152" t="s">
        <v>1099</v>
      </c>
      <c r="C2449" s="152">
        <v>11</v>
      </c>
      <c r="D2449" s="152">
        <v>304</v>
      </c>
      <c r="E2449" s="152">
        <v>0</v>
      </c>
      <c r="F2449" s="152">
        <v>703800</v>
      </c>
      <c r="G2449" s="152">
        <v>52350</v>
      </c>
      <c r="H2449" s="150" t="str">
        <f t="shared" si="114"/>
        <v>5</v>
      </c>
      <c r="I2449" s="150" t="str">
        <f t="shared" si="115"/>
        <v>52</v>
      </c>
      <c r="J2449" s="150" t="str">
        <f t="shared" si="116"/>
        <v>523</v>
      </c>
      <c r="K2449" s="150" t="s">
        <v>7853</v>
      </c>
      <c r="L2449" s="152" t="s">
        <v>1100</v>
      </c>
      <c r="M2449" s="162">
        <v>0</v>
      </c>
    </row>
    <row r="2450" spans="1:13" x14ac:dyDescent="0.25">
      <c r="A2450" s="148" t="s">
        <v>7641</v>
      </c>
      <c r="B2450" s="152" t="s">
        <v>1101</v>
      </c>
      <c r="C2450" s="152">
        <v>11</v>
      </c>
      <c r="D2450" s="152">
        <v>304</v>
      </c>
      <c r="E2450" s="152">
        <v>0</v>
      </c>
      <c r="F2450" s="152">
        <v>703800</v>
      </c>
      <c r="G2450" s="152">
        <v>52360</v>
      </c>
      <c r="H2450" s="150" t="str">
        <f t="shared" si="114"/>
        <v>5</v>
      </c>
      <c r="I2450" s="150" t="str">
        <f t="shared" si="115"/>
        <v>52</v>
      </c>
      <c r="J2450" s="150" t="str">
        <f t="shared" si="116"/>
        <v>523</v>
      </c>
      <c r="K2450" s="150" t="s">
        <v>7866</v>
      </c>
      <c r="L2450" s="152" t="s">
        <v>1102</v>
      </c>
      <c r="M2450" s="153">
        <v>8500</v>
      </c>
    </row>
    <row r="2451" spans="1:13" x14ac:dyDescent="0.25">
      <c r="A2451" s="148" t="s">
        <v>7641</v>
      </c>
      <c r="B2451" s="152" t="s">
        <v>1119</v>
      </c>
      <c r="C2451" s="152">
        <v>11</v>
      </c>
      <c r="D2451" s="152">
        <v>304</v>
      </c>
      <c r="E2451" s="152">
        <v>0</v>
      </c>
      <c r="F2451" s="152">
        <v>703800</v>
      </c>
      <c r="G2451" s="152">
        <v>55630</v>
      </c>
      <c r="H2451" s="150" t="str">
        <f t="shared" si="114"/>
        <v>5</v>
      </c>
      <c r="I2451" s="150" t="str">
        <f t="shared" si="115"/>
        <v>55</v>
      </c>
      <c r="J2451" s="150" t="str">
        <f t="shared" si="116"/>
        <v>556</v>
      </c>
      <c r="K2451" s="150" t="s">
        <v>8195</v>
      </c>
      <c r="L2451" s="152" t="s">
        <v>1120</v>
      </c>
      <c r="M2451" s="153">
        <v>233</v>
      </c>
    </row>
    <row r="2452" spans="1:13" x14ac:dyDescent="0.25">
      <c r="A2452" s="148" t="s">
        <v>7641</v>
      </c>
      <c r="B2452" s="152" t="s">
        <v>1621</v>
      </c>
      <c r="C2452" s="152">
        <v>11</v>
      </c>
      <c r="D2452" s="152">
        <v>330</v>
      </c>
      <c r="E2452" s="152">
        <v>0</v>
      </c>
      <c r="F2452" s="152">
        <v>40110</v>
      </c>
      <c r="G2452" s="152">
        <v>51310</v>
      </c>
      <c r="H2452" s="150" t="str">
        <f t="shared" si="114"/>
        <v>5</v>
      </c>
      <c r="I2452" s="150" t="str">
        <f t="shared" si="115"/>
        <v>51</v>
      </c>
      <c r="J2452" s="150" t="str">
        <f t="shared" si="116"/>
        <v>513</v>
      </c>
      <c r="K2452" s="150" t="s">
        <v>7664</v>
      </c>
      <c r="L2452" s="152" t="s">
        <v>1622</v>
      </c>
      <c r="M2452" s="162">
        <v>56000</v>
      </c>
    </row>
    <row r="2453" spans="1:13" x14ac:dyDescent="0.25">
      <c r="A2453" s="148" t="s">
        <v>7641</v>
      </c>
      <c r="B2453" s="152" t="s">
        <v>1623</v>
      </c>
      <c r="C2453" s="152">
        <v>11</v>
      </c>
      <c r="D2453" s="152">
        <v>330</v>
      </c>
      <c r="E2453" s="152">
        <v>0</v>
      </c>
      <c r="F2453" s="152">
        <v>40110</v>
      </c>
      <c r="G2453" s="152">
        <v>51311</v>
      </c>
      <c r="H2453" s="150" t="str">
        <f t="shared" si="114"/>
        <v>5</v>
      </c>
      <c r="I2453" s="150" t="str">
        <f t="shared" si="115"/>
        <v>51</v>
      </c>
      <c r="J2453" s="150" t="str">
        <f t="shared" si="116"/>
        <v>513</v>
      </c>
      <c r="K2453" s="150" t="s">
        <v>7739</v>
      </c>
      <c r="L2453" s="152" t="s">
        <v>217</v>
      </c>
      <c r="M2453" s="162">
        <v>240240</v>
      </c>
    </row>
    <row r="2454" spans="1:13" x14ac:dyDescent="0.25">
      <c r="A2454" s="148" t="s">
        <v>7641</v>
      </c>
      <c r="B2454" s="152" t="s">
        <v>1626</v>
      </c>
      <c r="C2454" s="152">
        <v>11</v>
      </c>
      <c r="D2454" s="152">
        <v>330</v>
      </c>
      <c r="E2454" s="152">
        <v>0</v>
      </c>
      <c r="F2454" s="152">
        <v>40110</v>
      </c>
      <c r="G2454" s="152">
        <v>52300</v>
      </c>
      <c r="H2454" s="150" t="str">
        <f t="shared" si="114"/>
        <v>5</v>
      </c>
      <c r="I2454" s="150" t="str">
        <f t="shared" si="115"/>
        <v>52</v>
      </c>
      <c r="J2454" s="150" t="str">
        <f t="shared" si="116"/>
        <v>523</v>
      </c>
      <c r="K2454" s="150" t="s">
        <v>7822</v>
      </c>
      <c r="L2454" s="152" t="s">
        <v>1627</v>
      </c>
      <c r="M2454" s="162">
        <v>2682.8999999999996</v>
      </c>
    </row>
    <row r="2455" spans="1:13" x14ac:dyDescent="0.25">
      <c r="A2455" s="148" t="s">
        <v>7641</v>
      </c>
      <c r="B2455" s="152" t="s">
        <v>1645</v>
      </c>
      <c r="C2455" s="152">
        <v>11</v>
      </c>
      <c r="D2455" s="152">
        <v>330</v>
      </c>
      <c r="E2455" s="152">
        <v>0</v>
      </c>
      <c r="F2455" s="152">
        <v>40110</v>
      </c>
      <c r="G2455" s="152">
        <v>54300</v>
      </c>
      <c r="H2455" s="150" t="str">
        <f t="shared" si="114"/>
        <v>5</v>
      </c>
      <c r="I2455" s="150" t="str">
        <f t="shared" si="115"/>
        <v>54</v>
      </c>
      <c r="J2455" s="150" t="str">
        <f t="shared" si="116"/>
        <v>543</v>
      </c>
      <c r="K2455" s="150" t="s">
        <v>7938</v>
      </c>
      <c r="L2455" s="152" t="s">
        <v>1646</v>
      </c>
      <c r="M2455" s="162">
        <v>41592</v>
      </c>
    </row>
    <row r="2456" spans="1:13" x14ac:dyDescent="0.25">
      <c r="A2456" s="148" t="s">
        <v>7641</v>
      </c>
      <c r="B2456" s="152" t="s">
        <v>1647</v>
      </c>
      <c r="C2456" s="152">
        <v>11</v>
      </c>
      <c r="D2456" s="152">
        <v>330</v>
      </c>
      <c r="E2456" s="152">
        <v>0</v>
      </c>
      <c r="F2456" s="152">
        <v>40110</v>
      </c>
      <c r="G2456" s="152">
        <v>55630</v>
      </c>
      <c r="H2456" s="150" t="str">
        <f t="shared" si="114"/>
        <v>5</v>
      </c>
      <c r="I2456" s="150" t="str">
        <f t="shared" si="115"/>
        <v>55</v>
      </c>
      <c r="J2456" s="150" t="str">
        <f t="shared" si="116"/>
        <v>556</v>
      </c>
      <c r="K2456" s="150" t="s">
        <v>8217</v>
      </c>
      <c r="L2456" s="152" t="s">
        <v>1648</v>
      </c>
      <c r="M2456" s="162">
        <v>3682.7999999999997</v>
      </c>
    </row>
    <row r="2457" spans="1:13" x14ac:dyDescent="0.25">
      <c r="A2457" s="148" t="s">
        <v>7641</v>
      </c>
      <c r="B2457" s="152" t="s">
        <v>1649</v>
      </c>
      <c r="C2457" s="152">
        <v>11</v>
      </c>
      <c r="D2457" s="152">
        <v>330</v>
      </c>
      <c r="E2457" s="152">
        <v>0</v>
      </c>
      <c r="F2457" s="152">
        <v>40110</v>
      </c>
      <c r="G2457" s="152">
        <v>55650</v>
      </c>
      <c r="H2457" s="150" t="str">
        <f t="shared" si="114"/>
        <v>5</v>
      </c>
      <c r="I2457" s="150" t="str">
        <f t="shared" si="115"/>
        <v>55</v>
      </c>
      <c r="J2457" s="150" t="str">
        <f t="shared" si="116"/>
        <v>556</v>
      </c>
      <c r="K2457" s="150" t="s">
        <v>8297</v>
      </c>
      <c r="L2457" s="152" t="s">
        <v>1650</v>
      </c>
      <c r="M2457" s="162">
        <v>14358</v>
      </c>
    </row>
    <row r="2458" spans="1:13" x14ac:dyDescent="0.25">
      <c r="A2458" s="148" t="s">
        <v>7641</v>
      </c>
      <c r="B2458" s="152" t="s">
        <v>1651</v>
      </c>
      <c r="C2458" s="152">
        <v>11</v>
      </c>
      <c r="D2458" s="152">
        <v>330</v>
      </c>
      <c r="E2458" s="152">
        <v>0</v>
      </c>
      <c r="F2458" s="152">
        <v>70710</v>
      </c>
      <c r="G2458" s="152">
        <v>54300</v>
      </c>
      <c r="H2458" s="150" t="str">
        <f t="shared" si="114"/>
        <v>5</v>
      </c>
      <c r="I2458" s="150" t="str">
        <f t="shared" si="115"/>
        <v>54</v>
      </c>
      <c r="J2458" s="150" t="str">
        <f t="shared" si="116"/>
        <v>543</v>
      </c>
      <c r="K2458" s="150" t="s">
        <v>7939</v>
      </c>
      <c r="L2458" s="152" t="s">
        <v>1652</v>
      </c>
      <c r="M2458" s="162">
        <v>564</v>
      </c>
    </row>
    <row r="2459" spans="1:13" x14ac:dyDescent="0.25">
      <c r="A2459" s="148" t="s">
        <v>7641</v>
      </c>
      <c r="B2459" s="152" t="s">
        <v>1653</v>
      </c>
      <c r="C2459" s="152">
        <v>11</v>
      </c>
      <c r="D2459" s="152">
        <v>330</v>
      </c>
      <c r="E2459" s="152">
        <v>0</v>
      </c>
      <c r="F2459" s="152">
        <v>70710</v>
      </c>
      <c r="G2459" s="152">
        <v>55630</v>
      </c>
      <c r="H2459" s="150" t="str">
        <f t="shared" si="114"/>
        <v>5</v>
      </c>
      <c r="I2459" s="150" t="str">
        <f t="shared" si="115"/>
        <v>55</v>
      </c>
      <c r="J2459" s="150" t="str">
        <f t="shared" si="116"/>
        <v>556</v>
      </c>
      <c r="K2459" s="150" t="s">
        <v>8218</v>
      </c>
      <c r="L2459" s="152" t="s">
        <v>1654</v>
      </c>
      <c r="M2459" s="162">
        <v>334.8</v>
      </c>
    </row>
    <row r="2460" spans="1:13" x14ac:dyDescent="0.25">
      <c r="A2460" s="148" t="s">
        <v>7641</v>
      </c>
      <c r="B2460" s="152" t="s">
        <v>1657</v>
      </c>
      <c r="C2460" s="152">
        <v>11</v>
      </c>
      <c r="D2460" s="152">
        <v>330</v>
      </c>
      <c r="E2460" s="152">
        <v>0</v>
      </c>
      <c r="F2460" s="152">
        <v>90100</v>
      </c>
      <c r="G2460" s="152">
        <v>51310</v>
      </c>
      <c r="H2460" s="150" t="str">
        <f t="shared" si="114"/>
        <v>5</v>
      </c>
      <c r="I2460" s="150" t="str">
        <f t="shared" si="115"/>
        <v>51</v>
      </c>
      <c r="J2460" s="150" t="str">
        <f t="shared" si="116"/>
        <v>513</v>
      </c>
      <c r="K2460" s="150" t="s">
        <v>7665</v>
      </c>
      <c r="L2460" s="152" t="s">
        <v>1658</v>
      </c>
      <c r="M2460" s="153">
        <v>34000</v>
      </c>
    </row>
    <row r="2461" spans="1:13" x14ac:dyDescent="0.25">
      <c r="A2461" s="148" t="s">
        <v>7641</v>
      </c>
      <c r="B2461" s="152" t="s">
        <v>1659</v>
      </c>
      <c r="C2461" s="152">
        <v>11</v>
      </c>
      <c r="D2461" s="152">
        <v>330</v>
      </c>
      <c r="E2461" s="152">
        <v>0</v>
      </c>
      <c r="F2461" s="152">
        <v>90100</v>
      </c>
      <c r="G2461" s="152">
        <v>51311</v>
      </c>
      <c r="H2461" s="150" t="str">
        <f t="shared" si="114"/>
        <v>5</v>
      </c>
      <c r="I2461" s="150" t="str">
        <f t="shared" si="115"/>
        <v>51</v>
      </c>
      <c r="J2461" s="150" t="str">
        <f t="shared" si="116"/>
        <v>513</v>
      </c>
      <c r="K2461" s="150" t="s">
        <v>7740</v>
      </c>
      <c r="L2461" s="152" t="s">
        <v>1660</v>
      </c>
      <c r="M2461" s="162">
        <v>644.80000000000007</v>
      </c>
    </row>
    <row r="2462" spans="1:13" x14ac:dyDescent="0.25">
      <c r="A2462" s="148" t="s">
        <v>7641</v>
      </c>
      <c r="B2462" s="152" t="s">
        <v>1661</v>
      </c>
      <c r="C2462" s="152">
        <v>11</v>
      </c>
      <c r="D2462" s="152">
        <v>330</v>
      </c>
      <c r="E2462" s="152">
        <v>0</v>
      </c>
      <c r="F2462" s="152">
        <v>90100</v>
      </c>
      <c r="G2462" s="152">
        <v>51412</v>
      </c>
      <c r="H2462" s="150" t="str">
        <f t="shared" si="114"/>
        <v>5</v>
      </c>
      <c r="I2462" s="150" t="str">
        <f t="shared" si="115"/>
        <v>51</v>
      </c>
      <c r="J2462" s="150" t="str">
        <f t="shared" si="116"/>
        <v>514</v>
      </c>
      <c r="K2462" s="150" t="s">
        <v>7791</v>
      </c>
      <c r="L2462" s="152" t="s">
        <v>1662</v>
      </c>
      <c r="M2462" s="153">
        <v>0</v>
      </c>
    </row>
    <row r="2463" spans="1:13" x14ac:dyDescent="0.25">
      <c r="A2463" s="148" t="s">
        <v>7641</v>
      </c>
      <c r="B2463" s="152" t="s">
        <v>1665</v>
      </c>
      <c r="C2463" s="152">
        <v>11</v>
      </c>
      <c r="D2463" s="152">
        <v>330</v>
      </c>
      <c r="E2463" s="152">
        <v>0</v>
      </c>
      <c r="F2463" s="152">
        <v>90100</v>
      </c>
      <c r="G2463" s="152">
        <v>52300</v>
      </c>
      <c r="H2463" s="150" t="str">
        <f t="shared" si="114"/>
        <v>5</v>
      </c>
      <c r="I2463" s="150" t="str">
        <f t="shared" si="115"/>
        <v>52</v>
      </c>
      <c r="J2463" s="150" t="str">
        <f t="shared" si="116"/>
        <v>523</v>
      </c>
      <c r="K2463" s="150" t="s">
        <v>7823</v>
      </c>
      <c r="L2463" s="152" t="s">
        <v>1666</v>
      </c>
      <c r="M2463" s="162">
        <v>1341.4499999999998</v>
      </c>
    </row>
    <row r="2464" spans="1:13" x14ac:dyDescent="0.25">
      <c r="A2464" s="148" t="s">
        <v>7641</v>
      </c>
      <c r="B2464" s="152" t="s">
        <v>1693</v>
      </c>
      <c r="C2464" s="152">
        <v>11</v>
      </c>
      <c r="D2464" s="152">
        <v>330</v>
      </c>
      <c r="E2464" s="152">
        <v>0</v>
      </c>
      <c r="F2464" s="152">
        <v>90100</v>
      </c>
      <c r="G2464" s="152">
        <v>54300</v>
      </c>
      <c r="H2464" s="150" t="str">
        <f t="shared" si="114"/>
        <v>5</v>
      </c>
      <c r="I2464" s="150" t="str">
        <f t="shared" si="115"/>
        <v>54</v>
      </c>
      <c r="J2464" s="150" t="str">
        <f t="shared" si="116"/>
        <v>543</v>
      </c>
      <c r="K2464" s="150" t="s">
        <v>7940</v>
      </c>
      <c r="L2464" s="152" t="s">
        <v>1694</v>
      </c>
      <c r="M2464" s="162">
        <v>2008.8</v>
      </c>
    </row>
    <row r="2465" spans="1:13" x14ac:dyDescent="0.25">
      <c r="A2465" s="148" t="s">
        <v>7641</v>
      </c>
      <c r="B2465" s="152" t="s">
        <v>1695</v>
      </c>
      <c r="C2465" s="152">
        <v>11</v>
      </c>
      <c r="D2465" s="152">
        <v>330</v>
      </c>
      <c r="E2465" s="152">
        <v>0</v>
      </c>
      <c r="F2465" s="152">
        <v>90100</v>
      </c>
      <c r="G2465" s="152">
        <v>55630</v>
      </c>
      <c r="H2465" s="150" t="str">
        <f t="shared" si="114"/>
        <v>5</v>
      </c>
      <c r="I2465" s="150" t="str">
        <f t="shared" si="115"/>
        <v>55</v>
      </c>
      <c r="J2465" s="150" t="str">
        <f t="shared" si="116"/>
        <v>556</v>
      </c>
      <c r="K2465" s="150" t="s">
        <v>8219</v>
      </c>
      <c r="L2465" s="152" t="s">
        <v>1696</v>
      </c>
      <c r="M2465" s="162">
        <v>446.4</v>
      </c>
    </row>
    <row r="2466" spans="1:13" x14ac:dyDescent="0.25">
      <c r="A2466" s="148" t="s">
        <v>7641</v>
      </c>
      <c r="B2466" s="152" t="s">
        <v>1699</v>
      </c>
      <c r="C2466" s="152">
        <v>11</v>
      </c>
      <c r="D2466" s="152">
        <v>330</v>
      </c>
      <c r="E2466" s="152">
        <v>0</v>
      </c>
      <c r="F2466" s="152">
        <v>170100</v>
      </c>
      <c r="G2466" s="152">
        <v>51310</v>
      </c>
      <c r="H2466" s="150" t="str">
        <f t="shared" si="114"/>
        <v>5</v>
      </c>
      <c r="I2466" s="150" t="str">
        <f t="shared" si="115"/>
        <v>51</v>
      </c>
      <c r="J2466" s="150" t="str">
        <f t="shared" si="116"/>
        <v>513</v>
      </c>
      <c r="K2466" s="150" t="s">
        <v>7666</v>
      </c>
      <c r="L2466" s="152" t="s">
        <v>1700</v>
      </c>
      <c r="M2466" s="153">
        <v>271000</v>
      </c>
    </row>
    <row r="2467" spans="1:13" x14ac:dyDescent="0.25">
      <c r="A2467" s="148" t="s">
        <v>7641</v>
      </c>
      <c r="B2467" s="152" t="s">
        <v>1701</v>
      </c>
      <c r="C2467" s="152">
        <v>11</v>
      </c>
      <c r="D2467" s="152">
        <v>330</v>
      </c>
      <c r="E2467" s="152">
        <v>0</v>
      </c>
      <c r="F2467" s="152">
        <v>170100</v>
      </c>
      <c r="G2467" s="152">
        <v>51311</v>
      </c>
      <c r="H2467" s="150" t="str">
        <f t="shared" si="114"/>
        <v>5</v>
      </c>
      <c r="I2467" s="150" t="str">
        <f t="shared" si="115"/>
        <v>51</v>
      </c>
      <c r="J2467" s="150" t="str">
        <f t="shared" si="116"/>
        <v>513</v>
      </c>
      <c r="K2467" s="150" t="s">
        <v>7741</v>
      </c>
      <c r="L2467" s="152" t="s">
        <v>329</v>
      </c>
      <c r="M2467" s="153">
        <v>240000</v>
      </c>
    </row>
    <row r="2468" spans="1:13" x14ac:dyDescent="0.25">
      <c r="A2468" s="148" t="s">
        <v>7641</v>
      </c>
      <c r="B2468" s="152" t="s">
        <v>1702</v>
      </c>
      <c r="C2468" s="152">
        <v>11</v>
      </c>
      <c r="D2468" s="152">
        <v>330</v>
      </c>
      <c r="E2468" s="152">
        <v>0</v>
      </c>
      <c r="F2468" s="152">
        <v>170100</v>
      </c>
      <c r="G2468" s="152">
        <v>51412</v>
      </c>
      <c r="H2468" s="150" t="str">
        <f t="shared" si="114"/>
        <v>5</v>
      </c>
      <c r="I2468" s="150" t="str">
        <f t="shared" si="115"/>
        <v>51</v>
      </c>
      <c r="J2468" s="150" t="str">
        <f t="shared" si="116"/>
        <v>514</v>
      </c>
      <c r="K2468" s="150" t="s">
        <v>7792</v>
      </c>
      <c r="L2468" s="152" t="s">
        <v>1703</v>
      </c>
      <c r="M2468" s="153">
        <v>0</v>
      </c>
    </row>
    <row r="2469" spans="1:13" x14ac:dyDescent="0.25">
      <c r="A2469" s="148" t="s">
        <v>7641</v>
      </c>
      <c r="B2469" s="152" t="s">
        <v>1722</v>
      </c>
      <c r="C2469" s="152">
        <v>11</v>
      </c>
      <c r="D2469" s="152">
        <v>330</v>
      </c>
      <c r="E2469" s="152">
        <v>0</v>
      </c>
      <c r="F2469" s="152">
        <v>170100</v>
      </c>
      <c r="G2469" s="152">
        <v>54300</v>
      </c>
      <c r="H2469" s="150" t="str">
        <f t="shared" si="114"/>
        <v>5</v>
      </c>
      <c r="I2469" s="150" t="str">
        <f t="shared" si="115"/>
        <v>54</v>
      </c>
      <c r="J2469" s="150" t="str">
        <f t="shared" si="116"/>
        <v>543</v>
      </c>
      <c r="K2469" s="150" t="s">
        <v>7941</v>
      </c>
      <c r="L2469" s="152" t="s">
        <v>1723</v>
      </c>
      <c r="M2469" s="162">
        <v>1116</v>
      </c>
    </row>
    <row r="2470" spans="1:13" x14ac:dyDescent="0.25">
      <c r="A2470" s="148" t="s">
        <v>7641</v>
      </c>
      <c r="B2470" s="152" t="s">
        <v>1724</v>
      </c>
      <c r="C2470" s="152">
        <v>11</v>
      </c>
      <c r="D2470" s="152">
        <v>330</v>
      </c>
      <c r="E2470" s="152">
        <v>0</v>
      </c>
      <c r="F2470" s="152">
        <v>170100</v>
      </c>
      <c r="G2470" s="152">
        <v>55630</v>
      </c>
      <c r="H2470" s="150" t="str">
        <f t="shared" si="114"/>
        <v>5</v>
      </c>
      <c r="I2470" s="150" t="str">
        <f t="shared" si="115"/>
        <v>55</v>
      </c>
      <c r="J2470" s="150" t="str">
        <f t="shared" si="116"/>
        <v>556</v>
      </c>
      <c r="K2470" s="150" t="s">
        <v>8220</v>
      </c>
      <c r="L2470" s="152" t="s">
        <v>339</v>
      </c>
      <c r="M2470" s="162">
        <v>11718</v>
      </c>
    </row>
    <row r="2471" spans="1:13" x14ac:dyDescent="0.25">
      <c r="A2471" s="148" t="s">
        <v>7641</v>
      </c>
      <c r="B2471" s="152" t="s">
        <v>1725</v>
      </c>
      <c r="C2471" s="152">
        <v>11</v>
      </c>
      <c r="D2471" s="152">
        <v>330</v>
      </c>
      <c r="E2471" s="152">
        <v>0</v>
      </c>
      <c r="F2471" s="152">
        <v>170100</v>
      </c>
      <c r="G2471" s="152">
        <v>55650</v>
      </c>
      <c r="H2471" s="150" t="str">
        <f t="shared" si="114"/>
        <v>5</v>
      </c>
      <c r="I2471" s="150" t="str">
        <f t="shared" si="115"/>
        <v>55</v>
      </c>
      <c r="J2471" s="150" t="str">
        <f t="shared" si="116"/>
        <v>556</v>
      </c>
      <c r="K2471" s="150" t="s">
        <v>8298</v>
      </c>
      <c r="L2471" s="152" t="s">
        <v>1726</v>
      </c>
      <c r="M2471" s="162">
        <v>564</v>
      </c>
    </row>
    <row r="2472" spans="1:13" x14ac:dyDescent="0.25">
      <c r="A2472" s="148" t="s">
        <v>7641</v>
      </c>
      <c r="B2472" s="152" t="s">
        <v>1729</v>
      </c>
      <c r="C2472" s="152">
        <v>11</v>
      </c>
      <c r="D2472" s="152">
        <v>330</v>
      </c>
      <c r="E2472" s="152">
        <v>0</v>
      </c>
      <c r="F2472" s="152">
        <v>190200</v>
      </c>
      <c r="G2472" s="152">
        <v>51310</v>
      </c>
      <c r="H2472" s="150" t="str">
        <f t="shared" si="114"/>
        <v>5</v>
      </c>
      <c r="I2472" s="150" t="str">
        <f t="shared" si="115"/>
        <v>51</v>
      </c>
      <c r="J2472" s="150" t="str">
        <f t="shared" si="116"/>
        <v>513</v>
      </c>
      <c r="K2472" s="150" t="s">
        <v>7667</v>
      </c>
      <c r="L2472" s="152" t="s">
        <v>1730</v>
      </c>
      <c r="M2472" s="162">
        <v>10930.5</v>
      </c>
    </row>
    <row r="2473" spans="1:13" x14ac:dyDescent="0.25">
      <c r="A2473" s="148" t="s">
        <v>7641</v>
      </c>
      <c r="B2473" s="152" t="s">
        <v>1731</v>
      </c>
      <c r="C2473" s="152">
        <v>11</v>
      </c>
      <c r="D2473" s="152">
        <v>330</v>
      </c>
      <c r="E2473" s="152">
        <v>0</v>
      </c>
      <c r="F2473" s="152">
        <v>190200</v>
      </c>
      <c r="G2473" s="152">
        <v>51311</v>
      </c>
      <c r="H2473" s="150" t="str">
        <f t="shared" si="114"/>
        <v>5</v>
      </c>
      <c r="I2473" s="150" t="str">
        <f t="shared" si="115"/>
        <v>51</v>
      </c>
      <c r="J2473" s="150" t="str">
        <f t="shared" si="116"/>
        <v>513</v>
      </c>
      <c r="K2473" s="150" t="s">
        <v>7742</v>
      </c>
      <c r="L2473" s="152" t="s">
        <v>341</v>
      </c>
      <c r="M2473" s="162">
        <v>48672</v>
      </c>
    </row>
    <row r="2474" spans="1:13" x14ac:dyDescent="0.25">
      <c r="A2474" s="148" t="s">
        <v>7641</v>
      </c>
      <c r="B2474" s="152" t="s">
        <v>1734</v>
      </c>
      <c r="C2474" s="152">
        <v>11</v>
      </c>
      <c r="D2474" s="152">
        <v>330</v>
      </c>
      <c r="E2474" s="152">
        <v>0</v>
      </c>
      <c r="F2474" s="152">
        <v>190200</v>
      </c>
      <c r="G2474" s="152">
        <v>52300</v>
      </c>
      <c r="H2474" s="150" t="str">
        <f t="shared" si="114"/>
        <v>5</v>
      </c>
      <c r="I2474" s="150" t="str">
        <f t="shared" si="115"/>
        <v>52</v>
      </c>
      <c r="J2474" s="150" t="str">
        <f t="shared" si="116"/>
        <v>523</v>
      </c>
      <c r="K2474" s="150" t="s">
        <v>7824</v>
      </c>
      <c r="L2474" s="152" t="s">
        <v>1735</v>
      </c>
      <c r="M2474" s="153">
        <v>2012.1749999999997</v>
      </c>
    </row>
    <row r="2475" spans="1:13" x14ac:dyDescent="0.25">
      <c r="A2475" s="148" t="s">
        <v>7641</v>
      </c>
      <c r="B2475" s="152" t="s">
        <v>1756</v>
      </c>
      <c r="C2475" s="152">
        <v>11</v>
      </c>
      <c r="D2475" s="152">
        <v>330</v>
      </c>
      <c r="E2475" s="152">
        <v>0</v>
      </c>
      <c r="F2475" s="152">
        <v>190200</v>
      </c>
      <c r="G2475" s="152">
        <v>54300</v>
      </c>
      <c r="H2475" s="150" t="str">
        <f t="shared" si="114"/>
        <v>5</v>
      </c>
      <c r="I2475" s="150" t="str">
        <f t="shared" si="115"/>
        <v>54</v>
      </c>
      <c r="J2475" s="150" t="str">
        <f t="shared" si="116"/>
        <v>543</v>
      </c>
      <c r="K2475" s="150" t="s">
        <v>7942</v>
      </c>
      <c r="L2475" s="152" t="s">
        <v>1757</v>
      </c>
      <c r="M2475" s="162">
        <v>2100</v>
      </c>
    </row>
    <row r="2476" spans="1:13" x14ac:dyDescent="0.25">
      <c r="A2476" s="148" t="s">
        <v>7641</v>
      </c>
      <c r="B2476" s="152" t="s">
        <v>1758</v>
      </c>
      <c r="C2476" s="152">
        <v>11</v>
      </c>
      <c r="D2476" s="152">
        <v>330</v>
      </c>
      <c r="E2476" s="152">
        <v>0</v>
      </c>
      <c r="F2476" s="152">
        <v>190200</v>
      </c>
      <c r="G2476" s="152">
        <v>55630</v>
      </c>
      <c r="H2476" s="150" t="str">
        <f t="shared" si="114"/>
        <v>5</v>
      </c>
      <c r="I2476" s="150" t="str">
        <f t="shared" si="115"/>
        <v>55</v>
      </c>
      <c r="J2476" s="150" t="str">
        <f t="shared" si="116"/>
        <v>556</v>
      </c>
      <c r="K2476" s="150" t="s">
        <v>8221</v>
      </c>
      <c r="L2476" s="152" t="s">
        <v>351</v>
      </c>
      <c r="M2476" s="162">
        <v>446.4</v>
      </c>
    </row>
    <row r="2477" spans="1:13" x14ac:dyDescent="0.25">
      <c r="A2477" s="148" t="s">
        <v>7641</v>
      </c>
      <c r="B2477" s="152" t="s">
        <v>1761</v>
      </c>
      <c r="C2477" s="152">
        <v>11</v>
      </c>
      <c r="D2477" s="152">
        <v>330</v>
      </c>
      <c r="E2477" s="152">
        <v>0</v>
      </c>
      <c r="F2477" s="152">
        <v>190500</v>
      </c>
      <c r="G2477" s="152">
        <v>51310</v>
      </c>
      <c r="H2477" s="150" t="str">
        <f t="shared" si="114"/>
        <v>5</v>
      </c>
      <c r="I2477" s="150" t="str">
        <f t="shared" si="115"/>
        <v>51</v>
      </c>
      <c r="J2477" s="150" t="str">
        <f t="shared" si="116"/>
        <v>513</v>
      </c>
      <c r="K2477" s="150" t="s">
        <v>7668</v>
      </c>
      <c r="L2477" s="152" t="s">
        <v>1762</v>
      </c>
      <c r="M2477" s="162">
        <v>52000</v>
      </c>
    </row>
    <row r="2478" spans="1:13" x14ac:dyDescent="0.25">
      <c r="A2478" s="148" t="s">
        <v>7641</v>
      </c>
      <c r="B2478" s="152" t="s">
        <v>1763</v>
      </c>
      <c r="C2478" s="152">
        <v>11</v>
      </c>
      <c r="D2478" s="152">
        <v>330</v>
      </c>
      <c r="E2478" s="152">
        <v>0</v>
      </c>
      <c r="F2478" s="152">
        <v>190500</v>
      </c>
      <c r="G2478" s="152">
        <v>51311</v>
      </c>
      <c r="H2478" s="150" t="str">
        <f t="shared" si="114"/>
        <v>5</v>
      </c>
      <c r="I2478" s="150" t="str">
        <f t="shared" si="115"/>
        <v>51</v>
      </c>
      <c r="J2478" s="150" t="str">
        <f t="shared" si="116"/>
        <v>513</v>
      </c>
      <c r="K2478" s="150" t="s">
        <v>7743</v>
      </c>
      <c r="L2478" s="152" t="s">
        <v>1764</v>
      </c>
      <c r="M2478" s="162">
        <v>84760</v>
      </c>
    </row>
    <row r="2479" spans="1:13" x14ac:dyDescent="0.25">
      <c r="A2479" s="148" t="s">
        <v>7641</v>
      </c>
      <c r="B2479" s="152" t="s">
        <v>1767</v>
      </c>
      <c r="C2479" s="152">
        <v>11</v>
      </c>
      <c r="D2479" s="152">
        <v>330</v>
      </c>
      <c r="E2479" s="152">
        <v>0</v>
      </c>
      <c r="F2479" s="152">
        <v>190500</v>
      </c>
      <c r="G2479" s="152">
        <v>52300</v>
      </c>
      <c r="H2479" s="150" t="str">
        <f t="shared" si="114"/>
        <v>5</v>
      </c>
      <c r="I2479" s="150" t="str">
        <f t="shared" si="115"/>
        <v>52</v>
      </c>
      <c r="J2479" s="150" t="str">
        <f t="shared" si="116"/>
        <v>523</v>
      </c>
      <c r="K2479" s="150" t="s">
        <v>7825</v>
      </c>
      <c r="L2479" s="152" t="s">
        <v>1768</v>
      </c>
      <c r="M2479" s="162">
        <v>1341.4499999999998</v>
      </c>
    </row>
    <row r="2480" spans="1:13" x14ac:dyDescent="0.25">
      <c r="A2480" s="148" t="s">
        <v>7641</v>
      </c>
      <c r="B2480" s="152" t="s">
        <v>1793</v>
      </c>
      <c r="C2480" s="152">
        <v>11</v>
      </c>
      <c r="D2480" s="152">
        <v>330</v>
      </c>
      <c r="E2480" s="152">
        <v>0</v>
      </c>
      <c r="F2480" s="152">
        <v>190500</v>
      </c>
      <c r="G2480" s="152">
        <v>54300</v>
      </c>
      <c r="H2480" s="150" t="str">
        <f t="shared" si="114"/>
        <v>5</v>
      </c>
      <c r="I2480" s="150" t="str">
        <f t="shared" si="115"/>
        <v>54</v>
      </c>
      <c r="J2480" s="150" t="str">
        <f t="shared" si="116"/>
        <v>543</v>
      </c>
      <c r="K2480" s="150" t="s">
        <v>7943</v>
      </c>
      <c r="L2480" s="152" t="s">
        <v>1794</v>
      </c>
      <c r="M2480" s="162">
        <v>12600</v>
      </c>
    </row>
    <row r="2481" spans="1:13" x14ac:dyDescent="0.25">
      <c r="A2481" s="148" t="s">
        <v>7641</v>
      </c>
      <c r="B2481" s="152" t="s">
        <v>1795</v>
      </c>
      <c r="C2481" s="152">
        <v>11</v>
      </c>
      <c r="D2481" s="152">
        <v>330</v>
      </c>
      <c r="E2481" s="152">
        <v>0</v>
      </c>
      <c r="F2481" s="152">
        <v>190500</v>
      </c>
      <c r="G2481" s="152">
        <v>55630</v>
      </c>
      <c r="H2481" s="150" t="str">
        <f t="shared" si="114"/>
        <v>5</v>
      </c>
      <c r="I2481" s="150" t="str">
        <f t="shared" si="115"/>
        <v>55</v>
      </c>
      <c r="J2481" s="150" t="str">
        <f t="shared" si="116"/>
        <v>556</v>
      </c>
      <c r="K2481" s="150" t="s">
        <v>8222</v>
      </c>
      <c r="L2481" s="152" t="s">
        <v>1796</v>
      </c>
      <c r="M2481" s="162">
        <v>1246.8</v>
      </c>
    </row>
    <row r="2482" spans="1:13" x14ac:dyDescent="0.25">
      <c r="A2482" s="148" t="s">
        <v>7641</v>
      </c>
      <c r="B2482" s="152" t="s">
        <v>1797</v>
      </c>
      <c r="C2482" s="152">
        <v>11</v>
      </c>
      <c r="D2482" s="152">
        <v>330</v>
      </c>
      <c r="E2482" s="152">
        <v>0</v>
      </c>
      <c r="F2482" s="152">
        <v>190500</v>
      </c>
      <c r="G2482" s="152">
        <v>55650</v>
      </c>
      <c r="H2482" s="150" t="str">
        <f t="shared" si="114"/>
        <v>5</v>
      </c>
      <c r="I2482" s="150" t="str">
        <f t="shared" si="115"/>
        <v>55</v>
      </c>
      <c r="J2482" s="150" t="str">
        <f t="shared" si="116"/>
        <v>556</v>
      </c>
      <c r="K2482" s="150" t="s">
        <v>8299</v>
      </c>
      <c r="L2482" s="152" t="s">
        <v>1798</v>
      </c>
      <c r="M2482" s="162">
        <v>2880</v>
      </c>
    </row>
    <row r="2483" spans="1:13" x14ac:dyDescent="0.25">
      <c r="A2483" s="148" t="s">
        <v>7641</v>
      </c>
      <c r="B2483" s="152" t="s">
        <v>1801</v>
      </c>
      <c r="C2483" s="152">
        <v>11</v>
      </c>
      <c r="D2483" s="152">
        <v>330</v>
      </c>
      <c r="E2483" s="152">
        <v>0</v>
      </c>
      <c r="F2483" s="152">
        <v>191100</v>
      </c>
      <c r="G2483" s="152">
        <v>51310</v>
      </c>
      <c r="H2483" s="150" t="str">
        <f t="shared" si="114"/>
        <v>5</v>
      </c>
      <c r="I2483" s="150" t="str">
        <f t="shared" si="115"/>
        <v>51</v>
      </c>
      <c r="J2483" s="150" t="str">
        <f t="shared" si="116"/>
        <v>513</v>
      </c>
      <c r="K2483" s="150" t="s">
        <v>7669</v>
      </c>
      <c r="L2483" s="152" t="s">
        <v>1802</v>
      </c>
      <c r="M2483" s="162">
        <v>2600</v>
      </c>
    </row>
    <row r="2484" spans="1:13" x14ac:dyDescent="0.25">
      <c r="A2484" s="148" t="s">
        <v>7641</v>
      </c>
      <c r="B2484" s="152" t="s">
        <v>1803</v>
      </c>
      <c r="C2484" s="152">
        <v>11</v>
      </c>
      <c r="D2484" s="152">
        <v>330</v>
      </c>
      <c r="E2484" s="152">
        <v>0</v>
      </c>
      <c r="F2484" s="152">
        <v>191100</v>
      </c>
      <c r="G2484" s="152">
        <v>51311</v>
      </c>
      <c r="H2484" s="150" t="str">
        <f t="shared" si="114"/>
        <v>5</v>
      </c>
      <c r="I2484" s="150" t="str">
        <f t="shared" si="115"/>
        <v>51</v>
      </c>
      <c r="J2484" s="150" t="str">
        <f t="shared" si="116"/>
        <v>513</v>
      </c>
      <c r="K2484" s="150" t="s">
        <v>7744</v>
      </c>
      <c r="L2484" s="152" t="s">
        <v>1804</v>
      </c>
      <c r="M2484" s="162">
        <v>34736</v>
      </c>
    </row>
    <row r="2485" spans="1:13" x14ac:dyDescent="0.25">
      <c r="A2485" s="148" t="s">
        <v>7641</v>
      </c>
      <c r="B2485" s="152" t="s">
        <v>1815</v>
      </c>
      <c r="C2485" s="152">
        <v>11</v>
      </c>
      <c r="D2485" s="152">
        <v>330</v>
      </c>
      <c r="E2485" s="152">
        <v>0</v>
      </c>
      <c r="F2485" s="152">
        <v>191100</v>
      </c>
      <c r="G2485" s="152">
        <v>54300</v>
      </c>
      <c r="H2485" s="150" t="str">
        <f t="shared" si="114"/>
        <v>5</v>
      </c>
      <c r="I2485" s="150" t="str">
        <f t="shared" si="115"/>
        <v>54</v>
      </c>
      <c r="J2485" s="150" t="str">
        <f t="shared" si="116"/>
        <v>543</v>
      </c>
      <c r="K2485" s="150" t="s">
        <v>7944</v>
      </c>
      <c r="L2485" s="152" t="s">
        <v>1816</v>
      </c>
      <c r="M2485" s="153">
        <v>1116</v>
      </c>
    </row>
    <row r="2486" spans="1:13" x14ac:dyDescent="0.25">
      <c r="A2486" s="148" t="s">
        <v>7641</v>
      </c>
      <c r="B2486" s="152" t="s">
        <v>1817</v>
      </c>
      <c r="C2486" s="152">
        <v>11</v>
      </c>
      <c r="D2486" s="152">
        <v>330</v>
      </c>
      <c r="E2486" s="152">
        <v>0</v>
      </c>
      <c r="F2486" s="152">
        <v>191100</v>
      </c>
      <c r="G2486" s="152">
        <v>55630</v>
      </c>
      <c r="H2486" s="150" t="str">
        <f t="shared" si="114"/>
        <v>5</v>
      </c>
      <c r="I2486" s="150" t="str">
        <f t="shared" si="115"/>
        <v>55</v>
      </c>
      <c r="J2486" s="150" t="str">
        <f t="shared" si="116"/>
        <v>556</v>
      </c>
      <c r="K2486" s="150" t="s">
        <v>8223</v>
      </c>
      <c r="L2486" s="152" t="s">
        <v>1818</v>
      </c>
      <c r="M2486" s="153">
        <v>600</v>
      </c>
    </row>
    <row r="2487" spans="1:13" x14ac:dyDescent="0.25">
      <c r="A2487" s="148" t="s">
        <v>7641</v>
      </c>
      <c r="B2487" s="152" t="s">
        <v>1821</v>
      </c>
      <c r="C2487" s="152">
        <v>11</v>
      </c>
      <c r="D2487" s="152">
        <v>330</v>
      </c>
      <c r="E2487" s="152">
        <v>0</v>
      </c>
      <c r="F2487" s="152">
        <v>191400</v>
      </c>
      <c r="G2487" s="152">
        <v>51311</v>
      </c>
      <c r="H2487" s="150" t="str">
        <f t="shared" si="114"/>
        <v>5</v>
      </c>
      <c r="I2487" s="150" t="str">
        <f t="shared" si="115"/>
        <v>51</v>
      </c>
      <c r="J2487" s="150" t="str">
        <f t="shared" si="116"/>
        <v>513</v>
      </c>
      <c r="K2487" s="150" t="s">
        <v>7745</v>
      </c>
      <c r="L2487" s="152" t="s">
        <v>1822</v>
      </c>
      <c r="M2487" s="153">
        <v>2900</v>
      </c>
    </row>
    <row r="2488" spans="1:13" x14ac:dyDescent="0.25">
      <c r="A2488" s="148" t="s">
        <v>7641</v>
      </c>
      <c r="B2488" s="152" t="s">
        <v>1825</v>
      </c>
      <c r="C2488" s="152">
        <v>11</v>
      </c>
      <c r="D2488" s="152">
        <v>330</v>
      </c>
      <c r="E2488" s="152">
        <v>0</v>
      </c>
      <c r="F2488" s="152">
        <v>191400</v>
      </c>
      <c r="G2488" s="152">
        <v>52300</v>
      </c>
      <c r="H2488" s="150" t="str">
        <f t="shared" si="114"/>
        <v>5</v>
      </c>
      <c r="I2488" s="150" t="str">
        <f t="shared" si="115"/>
        <v>52</v>
      </c>
      <c r="J2488" s="150" t="str">
        <f t="shared" si="116"/>
        <v>523</v>
      </c>
      <c r="K2488" s="150" t="s">
        <v>7826</v>
      </c>
      <c r="L2488" s="152" t="s">
        <v>1826</v>
      </c>
      <c r="M2488" s="162">
        <v>1404.6749999999997</v>
      </c>
    </row>
    <row r="2489" spans="1:13" x14ac:dyDescent="0.25">
      <c r="A2489" s="148" t="s">
        <v>7641</v>
      </c>
      <c r="B2489" s="152" t="s">
        <v>1851</v>
      </c>
      <c r="C2489" s="152">
        <v>11</v>
      </c>
      <c r="D2489" s="152">
        <v>330</v>
      </c>
      <c r="E2489" s="152">
        <v>0</v>
      </c>
      <c r="F2489" s="152">
        <v>191400</v>
      </c>
      <c r="G2489" s="152">
        <v>54300</v>
      </c>
      <c r="H2489" s="150" t="str">
        <f t="shared" si="114"/>
        <v>5</v>
      </c>
      <c r="I2489" s="150" t="str">
        <f t="shared" si="115"/>
        <v>54</v>
      </c>
      <c r="J2489" s="150" t="str">
        <f t="shared" si="116"/>
        <v>543</v>
      </c>
      <c r="K2489" s="150" t="s">
        <v>7945</v>
      </c>
      <c r="L2489" s="152" t="s">
        <v>1852</v>
      </c>
      <c r="M2489" s="153">
        <v>1200</v>
      </c>
    </row>
    <row r="2490" spans="1:13" x14ac:dyDescent="0.25">
      <c r="A2490" s="148" t="s">
        <v>7641</v>
      </c>
      <c r="B2490" s="152" t="s">
        <v>1853</v>
      </c>
      <c r="C2490" s="152">
        <v>11</v>
      </c>
      <c r="D2490" s="152">
        <v>330</v>
      </c>
      <c r="E2490" s="152">
        <v>0</v>
      </c>
      <c r="F2490" s="152">
        <v>191400</v>
      </c>
      <c r="G2490" s="152">
        <v>55630</v>
      </c>
      <c r="H2490" s="150" t="str">
        <f t="shared" si="114"/>
        <v>5</v>
      </c>
      <c r="I2490" s="150" t="str">
        <f t="shared" si="115"/>
        <v>55</v>
      </c>
      <c r="J2490" s="150" t="str">
        <f t="shared" si="116"/>
        <v>556</v>
      </c>
      <c r="K2490" s="150" t="s">
        <v>8224</v>
      </c>
      <c r="L2490" s="152" t="s">
        <v>1854</v>
      </c>
      <c r="M2490" s="153">
        <v>669.6</v>
      </c>
    </row>
    <row r="2491" spans="1:13" x14ac:dyDescent="0.25">
      <c r="A2491" s="148" t="s">
        <v>7641</v>
      </c>
      <c r="B2491" s="152" t="s">
        <v>1857</v>
      </c>
      <c r="C2491" s="152">
        <v>11</v>
      </c>
      <c r="D2491" s="152">
        <v>330</v>
      </c>
      <c r="E2491" s="152">
        <v>0</v>
      </c>
      <c r="F2491" s="152">
        <v>191900</v>
      </c>
      <c r="G2491" s="152">
        <v>51311</v>
      </c>
      <c r="H2491" s="150" t="str">
        <f t="shared" si="114"/>
        <v>5</v>
      </c>
      <c r="I2491" s="150" t="str">
        <f t="shared" si="115"/>
        <v>51</v>
      </c>
      <c r="J2491" s="150" t="str">
        <f t="shared" si="116"/>
        <v>513</v>
      </c>
      <c r="K2491" s="150" t="s">
        <v>7746</v>
      </c>
      <c r="L2491" s="152" t="s">
        <v>353</v>
      </c>
      <c r="M2491" s="153">
        <v>3400</v>
      </c>
    </row>
    <row r="2492" spans="1:13" x14ac:dyDescent="0.25">
      <c r="A2492" s="148" t="s">
        <v>7641</v>
      </c>
      <c r="B2492" s="152" t="s">
        <v>1864</v>
      </c>
      <c r="C2492" s="152">
        <v>11</v>
      </c>
      <c r="D2492" s="152">
        <v>330</v>
      </c>
      <c r="E2492" s="152">
        <v>0</v>
      </c>
      <c r="F2492" s="152">
        <v>191900</v>
      </c>
      <c r="G2492" s="152">
        <v>55630</v>
      </c>
      <c r="H2492" s="150" t="str">
        <f t="shared" si="114"/>
        <v>5</v>
      </c>
      <c r="I2492" s="150" t="str">
        <f t="shared" si="115"/>
        <v>55</v>
      </c>
      <c r="J2492" s="150" t="str">
        <f t="shared" si="116"/>
        <v>556</v>
      </c>
      <c r="K2492" s="150" t="s">
        <v>8225</v>
      </c>
      <c r="L2492" s="152" t="s">
        <v>1865</v>
      </c>
      <c r="M2492" s="153">
        <v>223.2</v>
      </c>
    </row>
    <row r="2493" spans="1:13" x14ac:dyDescent="0.25">
      <c r="A2493" s="148" t="s">
        <v>7641</v>
      </c>
      <c r="B2493" s="152" t="s">
        <v>1866</v>
      </c>
      <c r="C2493" s="152">
        <v>11</v>
      </c>
      <c r="D2493" s="152">
        <v>330</v>
      </c>
      <c r="E2493" s="152">
        <v>0</v>
      </c>
      <c r="F2493" s="152">
        <v>220600</v>
      </c>
      <c r="G2493" s="152">
        <v>51311</v>
      </c>
      <c r="H2493" s="150" t="str">
        <f t="shared" si="114"/>
        <v>5</v>
      </c>
      <c r="I2493" s="150" t="str">
        <f t="shared" si="115"/>
        <v>51</v>
      </c>
      <c r="J2493" s="150" t="str">
        <f t="shared" si="116"/>
        <v>513</v>
      </c>
      <c r="K2493" s="150" t="s">
        <v>7747</v>
      </c>
      <c r="L2493" s="152" t="s">
        <v>423</v>
      </c>
      <c r="M2493" s="153">
        <v>3640</v>
      </c>
    </row>
    <row r="2494" spans="1:13" x14ac:dyDescent="0.25">
      <c r="A2494" s="148" t="s">
        <v>7641</v>
      </c>
      <c r="B2494" s="152" t="s">
        <v>1873</v>
      </c>
      <c r="C2494" s="152">
        <v>11</v>
      </c>
      <c r="D2494" s="152">
        <v>330</v>
      </c>
      <c r="E2494" s="152">
        <v>0</v>
      </c>
      <c r="F2494" s="152">
        <v>220600</v>
      </c>
      <c r="G2494" s="152">
        <v>55630</v>
      </c>
      <c r="H2494" s="150" t="str">
        <f t="shared" si="114"/>
        <v>5</v>
      </c>
      <c r="I2494" s="150" t="str">
        <f t="shared" si="115"/>
        <v>55</v>
      </c>
      <c r="J2494" s="150" t="str">
        <f t="shared" si="116"/>
        <v>556</v>
      </c>
      <c r="K2494" s="150" t="s">
        <v>8226</v>
      </c>
      <c r="L2494" s="152" t="s">
        <v>1874</v>
      </c>
      <c r="M2494" s="153">
        <v>1116</v>
      </c>
    </row>
    <row r="2495" spans="1:13" x14ac:dyDescent="0.25">
      <c r="A2495" s="148" t="s">
        <v>7641</v>
      </c>
      <c r="B2495" s="152" t="s">
        <v>1883</v>
      </c>
      <c r="C2495" s="152">
        <v>11</v>
      </c>
      <c r="D2495" s="152">
        <v>330</v>
      </c>
      <c r="E2495" s="152">
        <v>0</v>
      </c>
      <c r="F2495" s="152">
        <v>601000</v>
      </c>
      <c r="G2495" s="152">
        <v>55630</v>
      </c>
      <c r="H2495" s="150" t="str">
        <f t="shared" si="114"/>
        <v>5</v>
      </c>
      <c r="I2495" s="150" t="str">
        <f t="shared" si="115"/>
        <v>55</v>
      </c>
      <c r="J2495" s="150" t="str">
        <f t="shared" si="116"/>
        <v>556</v>
      </c>
      <c r="K2495" s="150" t="s">
        <v>8227</v>
      </c>
      <c r="L2495" s="152" t="s">
        <v>509</v>
      </c>
      <c r="M2495" s="153">
        <v>93</v>
      </c>
    </row>
    <row r="2496" spans="1:13" x14ac:dyDescent="0.25">
      <c r="A2496" s="148" t="s">
        <v>7641</v>
      </c>
      <c r="B2496" s="152" t="s">
        <v>1893</v>
      </c>
      <c r="C2496" s="152">
        <v>11</v>
      </c>
      <c r="D2496" s="152">
        <v>330</v>
      </c>
      <c r="E2496" s="152">
        <v>1</v>
      </c>
      <c r="F2496" s="152">
        <v>70100</v>
      </c>
      <c r="G2496" s="152">
        <v>51310</v>
      </c>
      <c r="H2496" s="150" t="str">
        <f t="shared" si="114"/>
        <v>5</v>
      </c>
      <c r="I2496" s="150" t="str">
        <f t="shared" si="115"/>
        <v>51</v>
      </c>
      <c r="J2496" s="150" t="str">
        <f t="shared" si="116"/>
        <v>513</v>
      </c>
      <c r="K2496" s="150" t="s">
        <v>7670</v>
      </c>
      <c r="L2496" s="152" t="s">
        <v>1894</v>
      </c>
      <c r="M2496" s="153">
        <v>41250</v>
      </c>
    </row>
    <row r="2497" spans="1:13" x14ac:dyDescent="0.25">
      <c r="A2497" s="148" t="s">
        <v>7641</v>
      </c>
      <c r="B2497" s="152" t="s">
        <v>1903</v>
      </c>
      <c r="C2497" s="152">
        <v>11</v>
      </c>
      <c r="D2497" s="152">
        <v>330</v>
      </c>
      <c r="E2497" s="152">
        <v>1</v>
      </c>
      <c r="F2497" s="152">
        <v>70100</v>
      </c>
      <c r="G2497" s="152">
        <v>54300</v>
      </c>
      <c r="H2497" s="150" t="str">
        <f t="shared" si="114"/>
        <v>5</v>
      </c>
      <c r="I2497" s="150" t="str">
        <f t="shared" si="115"/>
        <v>54</v>
      </c>
      <c r="J2497" s="150" t="str">
        <f t="shared" si="116"/>
        <v>543</v>
      </c>
      <c r="K2497" s="150" t="s">
        <v>7946</v>
      </c>
      <c r="L2497" s="152" t="s">
        <v>1904</v>
      </c>
      <c r="M2497" s="153">
        <v>892.8</v>
      </c>
    </row>
    <row r="2498" spans="1:13" x14ac:dyDescent="0.25">
      <c r="A2498" s="148" t="s">
        <v>7641</v>
      </c>
      <c r="B2498" s="152" t="s">
        <v>1905</v>
      </c>
      <c r="C2498" s="152">
        <v>11</v>
      </c>
      <c r="D2498" s="152">
        <v>330</v>
      </c>
      <c r="E2498" s="152">
        <v>1</v>
      </c>
      <c r="F2498" s="152">
        <v>70100</v>
      </c>
      <c r="G2498" s="152">
        <v>55630</v>
      </c>
      <c r="H2498" s="150" t="str">
        <f t="shared" si="114"/>
        <v>5</v>
      </c>
      <c r="I2498" s="150" t="str">
        <f t="shared" si="115"/>
        <v>55</v>
      </c>
      <c r="J2498" s="150" t="str">
        <f t="shared" si="116"/>
        <v>556</v>
      </c>
      <c r="K2498" s="150" t="s">
        <v>8228</v>
      </c>
      <c r="L2498" s="152" t="s">
        <v>1906</v>
      </c>
      <c r="M2498" s="153">
        <v>390</v>
      </c>
    </row>
    <row r="2499" spans="1:13" x14ac:dyDescent="0.25">
      <c r="A2499" s="148" t="s">
        <v>7641</v>
      </c>
      <c r="B2499" s="152" t="s">
        <v>1907</v>
      </c>
      <c r="C2499" s="152">
        <v>11</v>
      </c>
      <c r="D2499" s="152">
        <v>330</v>
      </c>
      <c r="E2499" s="152">
        <v>1</v>
      </c>
      <c r="F2499" s="152">
        <v>70100</v>
      </c>
      <c r="G2499" s="152">
        <v>55650</v>
      </c>
      <c r="H2499" s="150" t="str">
        <f t="shared" ref="H2499:H2562" si="117">LEFT(G2499,1)</f>
        <v>5</v>
      </c>
      <c r="I2499" s="150" t="str">
        <f t="shared" ref="I2499:I2562" si="118">LEFT(G2499,2)</f>
        <v>55</v>
      </c>
      <c r="J2499" s="150" t="str">
        <f t="shared" ref="J2499:J2562" si="119">LEFT(G2499,3)</f>
        <v>556</v>
      </c>
      <c r="K2499" s="150" t="s">
        <v>8300</v>
      </c>
      <c r="L2499" s="152" t="s">
        <v>1908</v>
      </c>
      <c r="M2499" s="153">
        <v>360</v>
      </c>
    </row>
    <row r="2500" spans="1:13" x14ac:dyDescent="0.25">
      <c r="A2500" s="148" t="s">
        <v>7641</v>
      </c>
      <c r="B2500" s="158" t="s">
        <v>1918</v>
      </c>
      <c r="C2500" s="158">
        <v>11</v>
      </c>
      <c r="D2500" s="158">
        <v>335</v>
      </c>
      <c r="E2500" s="158">
        <v>0</v>
      </c>
      <c r="F2500" s="158">
        <v>120300</v>
      </c>
      <c r="G2500" s="158">
        <v>51310</v>
      </c>
      <c r="H2500" s="150" t="str">
        <f t="shared" si="117"/>
        <v>5</v>
      </c>
      <c r="I2500" s="150" t="str">
        <f t="shared" si="118"/>
        <v>51</v>
      </c>
      <c r="J2500" s="150" t="str">
        <f t="shared" si="119"/>
        <v>513</v>
      </c>
      <c r="K2500" s="150" t="s">
        <v>7671</v>
      </c>
      <c r="L2500" s="158" t="s">
        <v>1919</v>
      </c>
      <c r="M2500" s="160">
        <v>19123</v>
      </c>
    </row>
    <row r="2501" spans="1:13" x14ac:dyDescent="0.25">
      <c r="A2501" s="148" t="s">
        <v>7641</v>
      </c>
      <c r="B2501" s="158" t="s">
        <v>1920</v>
      </c>
      <c r="C2501" s="158">
        <v>11</v>
      </c>
      <c r="D2501" s="158">
        <v>335</v>
      </c>
      <c r="E2501" s="158">
        <v>0</v>
      </c>
      <c r="F2501" s="158">
        <v>120300</v>
      </c>
      <c r="G2501" s="158">
        <v>51311</v>
      </c>
      <c r="H2501" s="150" t="str">
        <f t="shared" si="117"/>
        <v>5</v>
      </c>
      <c r="I2501" s="150" t="str">
        <f t="shared" si="118"/>
        <v>51</v>
      </c>
      <c r="J2501" s="150" t="str">
        <f t="shared" si="119"/>
        <v>513</v>
      </c>
      <c r="K2501" s="150" t="s">
        <v>7748</v>
      </c>
      <c r="L2501" s="158" t="s">
        <v>1921</v>
      </c>
      <c r="M2501" s="160">
        <v>142438</v>
      </c>
    </row>
    <row r="2502" spans="1:13" x14ac:dyDescent="0.25">
      <c r="A2502" s="148" t="s">
        <v>7641</v>
      </c>
      <c r="B2502" s="158" t="s">
        <v>1922</v>
      </c>
      <c r="C2502" s="158">
        <v>11</v>
      </c>
      <c r="D2502" s="158">
        <v>335</v>
      </c>
      <c r="E2502" s="158">
        <v>0</v>
      </c>
      <c r="F2502" s="158">
        <v>120300</v>
      </c>
      <c r="G2502" s="158">
        <v>51412</v>
      </c>
      <c r="H2502" s="150" t="str">
        <f t="shared" si="117"/>
        <v>5</v>
      </c>
      <c r="I2502" s="150" t="str">
        <f t="shared" si="118"/>
        <v>51</v>
      </c>
      <c r="J2502" s="150" t="str">
        <f t="shared" si="119"/>
        <v>514</v>
      </c>
      <c r="K2502" s="150" t="s">
        <v>7793</v>
      </c>
      <c r="L2502" s="158" t="s">
        <v>1923</v>
      </c>
      <c r="M2502" s="160">
        <v>1800</v>
      </c>
    </row>
    <row r="2503" spans="1:13" x14ac:dyDescent="0.25">
      <c r="A2503" s="148" t="s">
        <v>7641</v>
      </c>
      <c r="B2503" s="158" t="s">
        <v>1924</v>
      </c>
      <c r="C2503" s="158">
        <v>11</v>
      </c>
      <c r="D2503" s="158">
        <v>335</v>
      </c>
      <c r="E2503" s="158">
        <v>0</v>
      </c>
      <c r="F2503" s="158">
        <v>120300</v>
      </c>
      <c r="G2503" s="158">
        <v>52360</v>
      </c>
      <c r="H2503" s="150" t="str">
        <f t="shared" si="117"/>
        <v>5</v>
      </c>
      <c r="I2503" s="150" t="str">
        <f t="shared" si="118"/>
        <v>52</v>
      </c>
      <c r="J2503" s="150" t="str">
        <f t="shared" si="119"/>
        <v>523</v>
      </c>
      <c r="K2503" s="150" t="s">
        <v>7871</v>
      </c>
      <c r="L2503" s="158" t="s">
        <v>1925</v>
      </c>
      <c r="M2503" s="160">
        <v>2687</v>
      </c>
    </row>
    <row r="2504" spans="1:13" x14ac:dyDescent="0.25">
      <c r="A2504" s="148" t="s">
        <v>7641</v>
      </c>
      <c r="B2504" s="158" t="s">
        <v>1950</v>
      </c>
      <c r="C2504" s="158">
        <v>11</v>
      </c>
      <c r="D2504" s="158">
        <v>335</v>
      </c>
      <c r="E2504" s="158">
        <v>0</v>
      </c>
      <c r="F2504" s="158">
        <v>120300</v>
      </c>
      <c r="G2504" s="158">
        <v>54300</v>
      </c>
      <c r="H2504" s="150" t="str">
        <f t="shared" si="117"/>
        <v>5</v>
      </c>
      <c r="I2504" s="150" t="str">
        <f t="shared" si="118"/>
        <v>54</v>
      </c>
      <c r="J2504" s="150" t="str">
        <f t="shared" si="119"/>
        <v>543</v>
      </c>
      <c r="K2504" s="150" t="s">
        <v>7947</v>
      </c>
      <c r="L2504" s="158" t="s">
        <v>1951</v>
      </c>
      <c r="M2504" s="163">
        <v>5000</v>
      </c>
    </row>
    <row r="2505" spans="1:13" x14ac:dyDescent="0.25">
      <c r="A2505" s="148" t="s">
        <v>7641</v>
      </c>
      <c r="B2505" s="158" t="s">
        <v>1952</v>
      </c>
      <c r="C2505" s="158">
        <v>11</v>
      </c>
      <c r="D2505" s="158">
        <v>335</v>
      </c>
      <c r="E2505" s="158">
        <v>0</v>
      </c>
      <c r="F2505" s="158">
        <v>120300</v>
      </c>
      <c r="G2505" s="158">
        <v>55200</v>
      </c>
      <c r="H2505" s="150" t="str">
        <f t="shared" si="117"/>
        <v>5</v>
      </c>
      <c r="I2505" s="150" t="str">
        <f t="shared" si="118"/>
        <v>55</v>
      </c>
      <c r="J2505" s="150" t="str">
        <f t="shared" si="119"/>
        <v>552</v>
      </c>
      <c r="K2505" s="150" t="s">
        <v>8051</v>
      </c>
      <c r="L2505" s="158" t="s">
        <v>1953</v>
      </c>
      <c r="M2505" s="159">
        <v>1000</v>
      </c>
    </row>
    <row r="2506" spans="1:13" x14ac:dyDescent="0.25">
      <c r="A2506" s="148" t="s">
        <v>7641</v>
      </c>
      <c r="B2506" s="164" t="s">
        <v>9910</v>
      </c>
      <c r="C2506" s="164">
        <v>11</v>
      </c>
      <c r="D2506" s="164">
        <v>335</v>
      </c>
      <c r="E2506" s="164">
        <v>0</v>
      </c>
      <c r="F2506" s="164">
        <v>120300</v>
      </c>
      <c r="G2506" s="164">
        <v>55210</v>
      </c>
      <c r="H2506" s="150" t="str">
        <f t="shared" si="117"/>
        <v>5</v>
      </c>
      <c r="I2506" s="150" t="str">
        <f t="shared" si="118"/>
        <v>55</v>
      </c>
      <c r="J2506" s="150" t="str">
        <f t="shared" si="119"/>
        <v>552</v>
      </c>
      <c r="K2506" s="150" t="s">
        <v>8074</v>
      </c>
      <c r="L2506" s="164" t="s">
        <v>9911</v>
      </c>
      <c r="M2506" s="159">
        <v>1000</v>
      </c>
    </row>
    <row r="2507" spans="1:13" x14ac:dyDescent="0.25">
      <c r="A2507" s="148" t="s">
        <v>7641</v>
      </c>
      <c r="B2507" s="158" t="s">
        <v>1954</v>
      </c>
      <c r="C2507" s="158">
        <v>11</v>
      </c>
      <c r="D2507" s="158">
        <v>335</v>
      </c>
      <c r="E2507" s="158">
        <v>0</v>
      </c>
      <c r="F2507" s="158">
        <v>120300</v>
      </c>
      <c r="G2507" s="158">
        <v>55300</v>
      </c>
      <c r="H2507" s="150" t="str">
        <f t="shared" si="117"/>
        <v>5</v>
      </c>
      <c r="I2507" s="150" t="str">
        <f t="shared" si="118"/>
        <v>55</v>
      </c>
      <c r="J2507" s="150" t="str">
        <f t="shared" si="119"/>
        <v>553</v>
      </c>
      <c r="K2507" s="150" t="s">
        <v>8089</v>
      </c>
      <c r="L2507" s="158" t="s">
        <v>1955</v>
      </c>
      <c r="M2507" s="160">
        <v>12143</v>
      </c>
    </row>
    <row r="2508" spans="1:13" x14ac:dyDescent="0.25">
      <c r="A2508" s="148" t="s">
        <v>7641</v>
      </c>
      <c r="B2508" s="158" t="s">
        <v>1956</v>
      </c>
      <c r="C2508" s="158">
        <v>11</v>
      </c>
      <c r="D2508" s="158">
        <v>335</v>
      </c>
      <c r="E2508" s="158">
        <v>0</v>
      </c>
      <c r="F2508" s="158">
        <v>120300</v>
      </c>
      <c r="G2508" s="158">
        <v>55625</v>
      </c>
      <c r="H2508" s="150" t="str">
        <f t="shared" si="117"/>
        <v>5</v>
      </c>
      <c r="I2508" s="150" t="str">
        <f t="shared" si="118"/>
        <v>55</v>
      </c>
      <c r="J2508" s="150" t="str">
        <f t="shared" si="119"/>
        <v>556</v>
      </c>
      <c r="K2508" s="150" t="s">
        <v>8157</v>
      </c>
      <c r="L2508" s="158" t="s">
        <v>1957</v>
      </c>
      <c r="M2508" s="160">
        <v>250</v>
      </c>
    </row>
    <row r="2509" spans="1:13" x14ac:dyDescent="0.25">
      <c r="A2509" s="148" t="s">
        <v>7641</v>
      </c>
      <c r="B2509" s="158" t="s">
        <v>1958</v>
      </c>
      <c r="C2509" s="158">
        <v>11</v>
      </c>
      <c r="D2509" s="158">
        <v>335</v>
      </c>
      <c r="E2509" s="158">
        <v>0</v>
      </c>
      <c r="F2509" s="158">
        <v>120300</v>
      </c>
      <c r="G2509" s="158">
        <v>55630</v>
      </c>
      <c r="H2509" s="150" t="str">
        <f t="shared" si="117"/>
        <v>5</v>
      </c>
      <c r="I2509" s="150" t="str">
        <f t="shared" si="118"/>
        <v>55</v>
      </c>
      <c r="J2509" s="150" t="str">
        <f t="shared" si="119"/>
        <v>556</v>
      </c>
      <c r="K2509" s="150" t="s">
        <v>8230</v>
      </c>
      <c r="L2509" s="158" t="s">
        <v>1959</v>
      </c>
      <c r="M2509" s="160">
        <v>900</v>
      </c>
    </row>
    <row r="2510" spans="1:13" x14ac:dyDescent="0.25">
      <c r="A2510" s="148" t="s">
        <v>7641</v>
      </c>
      <c r="B2510" s="158" t="s">
        <v>1960</v>
      </c>
      <c r="C2510" s="158">
        <v>11</v>
      </c>
      <c r="D2510" s="158">
        <v>335</v>
      </c>
      <c r="E2510" s="158">
        <v>0</v>
      </c>
      <c r="F2510" s="158">
        <v>120300</v>
      </c>
      <c r="G2510" s="158">
        <v>55650</v>
      </c>
      <c r="H2510" s="150" t="str">
        <f t="shared" si="117"/>
        <v>5</v>
      </c>
      <c r="I2510" s="150" t="str">
        <f t="shared" si="118"/>
        <v>55</v>
      </c>
      <c r="J2510" s="150" t="str">
        <f t="shared" si="119"/>
        <v>556</v>
      </c>
      <c r="K2510" s="150" t="s">
        <v>8301</v>
      </c>
      <c r="L2510" s="158" t="s">
        <v>1961</v>
      </c>
      <c r="M2510" s="163">
        <v>15000</v>
      </c>
    </row>
    <row r="2511" spans="1:13" x14ac:dyDescent="0.25">
      <c r="A2511" s="148" t="s">
        <v>7641</v>
      </c>
      <c r="B2511" s="158" t="s">
        <v>1964</v>
      </c>
      <c r="C2511" s="158">
        <v>11</v>
      </c>
      <c r="D2511" s="158">
        <v>335</v>
      </c>
      <c r="E2511" s="158">
        <v>0</v>
      </c>
      <c r="F2511" s="158">
        <v>120320</v>
      </c>
      <c r="G2511" s="158">
        <v>51310</v>
      </c>
      <c r="H2511" s="150" t="str">
        <f t="shared" si="117"/>
        <v>5</v>
      </c>
      <c r="I2511" s="150" t="str">
        <f t="shared" si="118"/>
        <v>51</v>
      </c>
      <c r="J2511" s="150" t="str">
        <f t="shared" si="119"/>
        <v>513</v>
      </c>
      <c r="K2511" s="150" t="s">
        <v>7672</v>
      </c>
      <c r="L2511" s="158" t="s">
        <v>1965</v>
      </c>
      <c r="M2511" s="160">
        <v>12000</v>
      </c>
    </row>
    <row r="2512" spans="1:13" x14ac:dyDescent="0.25">
      <c r="A2512" s="148" t="s">
        <v>7641</v>
      </c>
      <c r="B2512" s="158" t="s">
        <v>1966</v>
      </c>
      <c r="C2512" s="158">
        <v>11</v>
      </c>
      <c r="D2512" s="158">
        <v>335</v>
      </c>
      <c r="E2512" s="158">
        <v>0</v>
      </c>
      <c r="F2512" s="158">
        <v>120320</v>
      </c>
      <c r="G2512" s="158">
        <v>51311</v>
      </c>
      <c r="H2512" s="150" t="str">
        <f t="shared" si="117"/>
        <v>5</v>
      </c>
      <c r="I2512" s="150" t="str">
        <f t="shared" si="118"/>
        <v>51</v>
      </c>
      <c r="J2512" s="150" t="str">
        <f t="shared" si="119"/>
        <v>513</v>
      </c>
      <c r="K2512" s="150" t="s">
        <v>7749</v>
      </c>
      <c r="L2512" s="158" t="s">
        <v>1967</v>
      </c>
      <c r="M2512" s="160">
        <v>95000</v>
      </c>
    </row>
    <row r="2513" spans="1:13" x14ac:dyDescent="0.25">
      <c r="A2513" s="148" t="s">
        <v>7641</v>
      </c>
      <c r="B2513" s="158" t="s">
        <v>1980</v>
      </c>
      <c r="C2513" s="158">
        <v>11</v>
      </c>
      <c r="D2513" s="158">
        <v>335</v>
      </c>
      <c r="E2513" s="158">
        <v>0</v>
      </c>
      <c r="F2513" s="158">
        <v>120320</v>
      </c>
      <c r="G2513" s="158">
        <v>55200</v>
      </c>
      <c r="H2513" s="150" t="str">
        <f t="shared" si="117"/>
        <v>5</v>
      </c>
      <c r="I2513" s="150" t="str">
        <f t="shared" si="118"/>
        <v>55</v>
      </c>
      <c r="J2513" s="150" t="str">
        <f t="shared" si="119"/>
        <v>552</v>
      </c>
      <c r="K2513" s="150" t="s">
        <v>8052</v>
      </c>
      <c r="L2513" s="158" t="s">
        <v>1981</v>
      </c>
      <c r="M2513" s="159">
        <v>700</v>
      </c>
    </row>
    <row r="2514" spans="1:13" x14ac:dyDescent="0.25">
      <c r="A2514" s="148" t="s">
        <v>7641</v>
      </c>
      <c r="B2514" s="164" t="s">
        <v>9910</v>
      </c>
      <c r="C2514" s="164">
        <v>11</v>
      </c>
      <c r="D2514" s="164">
        <v>335</v>
      </c>
      <c r="E2514" s="164">
        <v>0</v>
      </c>
      <c r="F2514" s="164">
        <v>120300</v>
      </c>
      <c r="G2514" s="164">
        <v>55210</v>
      </c>
      <c r="H2514" s="150" t="str">
        <f t="shared" si="117"/>
        <v>5</v>
      </c>
      <c r="I2514" s="150" t="str">
        <f t="shared" si="118"/>
        <v>55</v>
      </c>
      <c r="J2514" s="150" t="str">
        <f t="shared" si="119"/>
        <v>552</v>
      </c>
      <c r="K2514" s="150" t="s">
        <v>8074</v>
      </c>
      <c r="L2514" s="164" t="s">
        <v>9911</v>
      </c>
      <c r="M2514" s="159">
        <v>500</v>
      </c>
    </row>
    <row r="2515" spans="1:13" x14ac:dyDescent="0.25">
      <c r="A2515" s="148" t="s">
        <v>7641</v>
      </c>
      <c r="B2515" s="158" t="s">
        <v>1982</v>
      </c>
      <c r="C2515" s="158">
        <v>11</v>
      </c>
      <c r="D2515" s="158">
        <v>335</v>
      </c>
      <c r="E2515" s="158">
        <v>0</v>
      </c>
      <c r="F2515" s="158">
        <v>120320</v>
      </c>
      <c r="G2515" s="158">
        <v>55630</v>
      </c>
      <c r="H2515" s="150" t="str">
        <f t="shared" si="117"/>
        <v>5</v>
      </c>
      <c r="I2515" s="150" t="str">
        <f t="shared" si="118"/>
        <v>55</v>
      </c>
      <c r="J2515" s="150" t="str">
        <f t="shared" si="119"/>
        <v>556</v>
      </c>
      <c r="K2515" s="150" t="s">
        <v>8231</v>
      </c>
      <c r="L2515" s="158" t="s">
        <v>1983</v>
      </c>
      <c r="M2515" s="160">
        <v>300</v>
      </c>
    </row>
    <row r="2516" spans="1:13" x14ac:dyDescent="0.25">
      <c r="A2516" s="148" t="s">
        <v>7641</v>
      </c>
      <c r="B2516" s="158" t="s">
        <v>1986</v>
      </c>
      <c r="C2516" s="158">
        <v>11</v>
      </c>
      <c r="D2516" s="158">
        <v>335</v>
      </c>
      <c r="E2516" s="158">
        <v>0</v>
      </c>
      <c r="F2516" s="158">
        <v>120400</v>
      </c>
      <c r="G2516" s="158">
        <v>51310</v>
      </c>
      <c r="H2516" s="150" t="str">
        <f t="shared" si="117"/>
        <v>5</v>
      </c>
      <c r="I2516" s="150" t="str">
        <f t="shared" si="118"/>
        <v>51</v>
      </c>
      <c r="J2516" s="150" t="str">
        <f t="shared" si="119"/>
        <v>513</v>
      </c>
      <c r="K2516" s="150" t="s">
        <v>7673</v>
      </c>
      <c r="L2516" s="158" t="s">
        <v>1987</v>
      </c>
      <c r="M2516" s="160">
        <v>2520</v>
      </c>
    </row>
    <row r="2517" spans="1:13" x14ac:dyDescent="0.25">
      <c r="A2517" s="148" t="s">
        <v>7641</v>
      </c>
      <c r="B2517" s="158" t="s">
        <v>1988</v>
      </c>
      <c r="C2517" s="158">
        <v>11</v>
      </c>
      <c r="D2517" s="158">
        <v>335</v>
      </c>
      <c r="E2517" s="158">
        <v>0</v>
      </c>
      <c r="F2517" s="158">
        <v>120400</v>
      </c>
      <c r="G2517" s="158">
        <v>51311</v>
      </c>
      <c r="H2517" s="150" t="str">
        <f t="shared" si="117"/>
        <v>5</v>
      </c>
      <c r="I2517" s="150" t="str">
        <f t="shared" si="118"/>
        <v>51</v>
      </c>
      <c r="J2517" s="150" t="str">
        <f t="shared" si="119"/>
        <v>513</v>
      </c>
      <c r="K2517" s="150" t="s">
        <v>7750</v>
      </c>
      <c r="L2517" s="158" t="s">
        <v>1989</v>
      </c>
      <c r="M2517" s="163">
        <v>76000</v>
      </c>
    </row>
    <row r="2518" spans="1:13" x14ac:dyDescent="0.25">
      <c r="A2518" s="148" t="s">
        <v>7641</v>
      </c>
      <c r="B2518" s="158" t="s">
        <v>2002</v>
      </c>
      <c r="C2518" s="158">
        <v>11</v>
      </c>
      <c r="D2518" s="158">
        <v>335</v>
      </c>
      <c r="E2518" s="158">
        <v>0</v>
      </c>
      <c r="F2518" s="158">
        <v>120400</v>
      </c>
      <c r="G2518" s="158">
        <v>54210</v>
      </c>
      <c r="H2518" s="150" t="str">
        <f t="shared" si="117"/>
        <v>5</v>
      </c>
      <c r="I2518" s="150" t="str">
        <f t="shared" si="118"/>
        <v>54</v>
      </c>
      <c r="J2518" s="150" t="str">
        <f t="shared" si="119"/>
        <v>542</v>
      </c>
      <c r="K2518" s="150" t="s">
        <v>7912</v>
      </c>
      <c r="L2518" s="158" t="s">
        <v>2003</v>
      </c>
      <c r="M2518" s="160">
        <v>0</v>
      </c>
    </row>
    <row r="2519" spans="1:13" x14ac:dyDescent="0.25">
      <c r="A2519" s="148" t="s">
        <v>7641</v>
      </c>
      <c r="B2519" s="158" t="s">
        <v>2004</v>
      </c>
      <c r="C2519" s="158">
        <v>11</v>
      </c>
      <c r="D2519" s="158">
        <v>335</v>
      </c>
      <c r="E2519" s="158">
        <v>0</v>
      </c>
      <c r="F2519" s="158">
        <v>120400</v>
      </c>
      <c r="G2519" s="158">
        <v>54300</v>
      </c>
      <c r="H2519" s="150" t="str">
        <f t="shared" si="117"/>
        <v>5</v>
      </c>
      <c r="I2519" s="150" t="str">
        <f t="shared" si="118"/>
        <v>54</v>
      </c>
      <c r="J2519" s="150" t="str">
        <f t="shared" si="119"/>
        <v>543</v>
      </c>
      <c r="K2519" s="150" t="s">
        <v>7948</v>
      </c>
      <c r="L2519" s="158" t="s">
        <v>2005</v>
      </c>
      <c r="M2519" s="159">
        <v>3000</v>
      </c>
    </row>
    <row r="2520" spans="1:13" x14ac:dyDescent="0.25">
      <c r="A2520" s="148" t="s">
        <v>7641</v>
      </c>
      <c r="B2520" s="158" t="s">
        <v>2006</v>
      </c>
      <c r="C2520" s="158">
        <v>11</v>
      </c>
      <c r="D2520" s="158">
        <v>335</v>
      </c>
      <c r="E2520" s="158">
        <v>0</v>
      </c>
      <c r="F2520" s="158">
        <v>120400</v>
      </c>
      <c r="G2520" s="158">
        <v>55309</v>
      </c>
      <c r="H2520" s="150" t="str">
        <f t="shared" si="117"/>
        <v>5</v>
      </c>
      <c r="I2520" s="150" t="str">
        <f t="shared" si="118"/>
        <v>55</v>
      </c>
      <c r="J2520" s="150" t="str">
        <f t="shared" si="119"/>
        <v>553</v>
      </c>
      <c r="K2520" s="150" t="s">
        <v>8107</v>
      </c>
      <c r="L2520" s="158" t="s">
        <v>2007</v>
      </c>
      <c r="M2520" s="160">
        <v>4952</v>
      </c>
    </row>
    <row r="2521" spans="1:13" x14ac:dyDescent="0.25">
      <c r="A2521" s="148" t="s">
        <v>7641</v>
      </c>
      <c r="B2521" s="158" t="s">
        <v>2008</v>
      </c>
      <c r="C2521" s="158">
        <v>11</v>
      </c>
      <c r="D2521" s="158">
        <v>335</v>
      </c>
      <c r="E2521" s="158">
        <v>0</v>
      </c>
      <c r="F2521" s="158">
        <v>120400</v>
      </c>
      <c r="G2521" s="158">
        <v>55630</v>
      </c>
      <c r="H2521" s="150" t="str">
        <f t="shared" si="117"/>
        <v>5</v>
      </c>
      <c r="I2521" s="150" t="str">
        <f t="shared" si="118"/>
        <v>55</v>
      </c>
      <c r="J2521" s="150" t="str">
        <f t="shared" si="119"/>
        <v>556</v>
      </c>
      <c r="K2521" s="150" t="s">
        <v>8232</v>
      </c>
      <c r="L2521" s="158" t="s">
        <v>2009</v>
      </c>
      <c r="M2521" s="160">
        <v>211</v>
      </c>
    </row>
    <row r="2522" spans="1:13" x14ac:dyDescent="0.25">
      <c r="A2522" s="148" t="s">
        <v>7641</v>
      </c>
      <c r="B2522" s="158" t="s">
        <v>2010</v>
      </c>
      <c r="C2522" s="158">
        <v>11</v>
      </c>
      <c r="D2522" s="158">
        <v>335</v>
      </c>
      <c r="E2522" s="158">
        <v>0</v>
      </c>
      <c r="F2522" s="158">
        <v>120400</v>
      </c>
      <c r="G2522" s="158">
        <v>55650</v>
      </c>
      <c r="H2522" s="150" t="str">
        <f t="shared" si="117"/>
        <v>5</v>
      </c>
      <c r="I2522" s="150" t="str">
        <f t="shared" si="118"/>
        <v>55</v>
      </c>
      <c r="J2522" s="150" t="str">
        <f t="shared" si="119"/>
        <v>556</v>
      </c>
      <c r="K2522" s="150" t="s">
        <v>8302</v>
      </c>
      <c r="L2522" s="158" t="s">
        <v>2011</v>
      </c>
      <c r="M2522" s="160">
        <v>5000</v>
      </c>
    </row>
    <row r="2523" spans="1:13" x14ac:dyDescent="0.25">
      <c r="A2523" s="148" t="s">
        <v>7641</v>
      </c>
      <c r="B2523" s="158" t="s">
        <v>2012</v>
      </c>
      <c r="C2523" s="158">
        <v>11</v>
      </c>
      <c r="D2523" s="158">
        <v>335</v>
      </c>
      <c r="E2523" s="158">
        <v>0</v>
      </c>
      <c r="F2523" s="158">
        <v>125000</v>
      </c>
      <c r="G2523" s="158">
        <v>51310</v>
      </c>
      <c r="H2523" s="150" t="str">
        <f t="shared" si="117"/>
        <v>5</v>
      </c>
      <c r="I2523" s="150" t="str">
        <f t="shared" si="118"/>
        <v>51</v>
      </c>
      <c r="J2523" s="150" t="str">
        <f t="shared" si="119"/>
        <v>513</v>
      </c>
      <c r="K2523" s="150" t="s">
        <v>7674</v>
      </c>
      <c r="L2523" s="158" t="s">
        <v>2013</v>
      </c>
      <c r="M2523" s="160">
        <v>0</v>
      </c>
    </row>
    <row r="2524" spans="1:13" x14ac:dyDescent="0.25">
      <c r="A2524" s="148" t="s">
        <v>7641</v>
      </c>
      <c r="B2524" s="158" t="s">
        <v>2014</v>
      </c>
      <c r="C2524" s="158">
        <v>11</v>
      </c>
      <c r="D2524" s="158">
        <v>335</v>
      </c>
      <c r="E2524" s="158">
        <v>0</v>
      </c>
      <c r="F2524" s="158">
        <v>125000</v>
      </c>
      <c r="G2524" s="158">
        <v>51311</v>
      </c>
      <c r="H2524" s="150" t="str">
        <f t="shared" si="117"/>
        <v>5</v>
      </c>
      <c r="I2524" s="150" t="str">
        <f t="shared" si="118"/>
        <v>51</v>
      </c>
      <c r="J2524" s="150" t="str">
        <f t="shared" si="119"/>
        <v>513</v>
      </c>
      <c r="K2524" s="150" t="s">
        <v>7751</v>
      </c>
      <c r="L2524" s="158" t="s">
        <v>2015</v>
      </c>
      <c r="M2524" s="160">
        <v>13000</v>
      </c>
    </row>
    <row r="2525" spans="1:13" x14ac:dyDescent="0.25">
      <c r="A2525" s="148" t="s">
        <v>7641</v>
      </c>
      <c r="B2525" s="158" t="s">
        <v>2016</v>
      </c>
      <c r="C2525" s="158">
        <v>11</v>
      </c>
      <c r="D2525" s="158">
        <v>335</v>
      </c>
      <c r="E2525" s="158">
        <v>0</v>
      </c>
      <c r="F2525" s="158">
        <v>125000</v>
      </c>
      <c r="G2525" s="158">
        <v>52400</v>
      </c>
      <c r="H2525" s="150" t="str">
        <f t="shared" si="117"/>
        <v>5</v>
      </c>
      <c r="I2525" s="150" t="str">
        <f t="shared" si="118"/>
        <v>52</v>
      </c>
      <c r="J2525" s="150" t="str">
        <f t="shared" si="119"/>
        <v>524</v>
      </c>
      <c r="K2525" s="150" t="s">
        <v>7890</v>
      </c>
      <c r="L2525" s="158" t="s">
        <v>2017</v>
      </c>
      <c r="M2525" s="160">
        <v>34500</v>
      </c>
    </row>
    <row r="2526" spans="1:13" x14ac:dyDescent="0.25">
      <c r="A2526" s="148" t="s">
        <v>7641</v>
      </c>
      <c r="B2526" s="158" t="s">
        <v>2032</v>
      </c>
      <c r="C2526" s="158">
        <v>11</v>
      </c>
      <c r="D2526" s="158">
        <v>335</v>
      </c>
      <c r="E2526" s="158">
        <v>0</v>
      </c>
      <c r="F2526" s="158">
        <v>125000</v>
      </c>
      <c r="G2526" s="158">
        <v>54300</v>
      </c>
      <c r="H2526" s="150" t="str">
        <f t="shared" si="117"/>
        <v>5</v>
      </c>
      <c r="I2526" s="150" t="str">
        <f t="shared" si="118"/>
        <v>54</v>
      </c>
      <c r="J2526" s="150" t="str">
        <f t="shared" si="119"/>
        <v>543</v>
      </c>
      <c r="K2526" s="150" t="s">
        <v>7949</v>
      </c>
      <c r="L2526" s="158" t="s">
        <v>2033</v>
      </c>
      <c r="M2526" s="159">
        <v>4000</v>
      </c>
    </row>
    <row r="2527" spans="1:13" x14ac:dyDescent="0.25">
      <c r="A2527" s="148" t="s">
        <v>7641</v>
      </c>
      <c r="B2527" s="158" t="s">
        <v>2034</v>
      </c>
      <c r="C2527" s="158">
        <v>11</v>
      </c>
      <c r="D2527" s="158">
        <v>335</v>
      </c>
      <c r="E2527" s="158">
        <v>0</v>
      </c>
      <c r="F2527" s="158">
        <v>125000</v>
      </c>
      <c r="G2527" s="158">
        <v>55630</v>
      </c>
      <c r="H2527" s="150" t="str">
        <f t="shared" si="117"/>
        <v>5</v>
      </c>
      <c r="I2527" s="150" t="str">
        <f t="shared" si="118"/>
        <v>55</v>
      </c>
      <c r="J2527" s="150" t="str">
        <f t="shared" si="119"/>
        <v>556</v>
      </c>
      <c r="K2527" s="150" t="s">
        <v>8233</v>
      </c>
      <c r="L2527" s="158" t="s">
        <v>2035</v>
      </c>
      <c r="M2527" s="160">
        <v>84</v>
      </c>
    </row>
    <row r="2528" spans="1:13" x14ac:dyDescent="0.25">
      <c r="A2528" s="148" t="s">
        <v>7641</v>
      </c>
      <c r="B2528" s="158" t="s">
        <v>2036</v>
      </c>
      <c r="C2528" s="158">
        <v>11</v>
      </c>
      <c r="D2528" s="158">
        <v>335</v>
      </c>
      <c r="E2528" s="158">
        <v>0</v>
      </c>
      <c r="F2528" s="158">
        <v>126000</v>
      </c>
      <c r="G2528" s="158">
        <v>51310</v>
      </c>
      <c r="H2528" s="150" t="str">
        <f t="shared" si="117"/>
        <v>5</v>
      </c>
      <c r="I2528" s="150" t="str">
        <f t="shared" si="118"/>
        <v>51</v>
      </c>
      <c r="J2528" s="150" t="str">
        <f t="shared" si="119"/>
        <v>513</v>
      </c>
      <c r="K2528" s="150" t="s">
        <v>7675</v>
      </c>
      <c r="L2528" s="158" t="s">
        <v>2037</v>
      </c>
      <c r="M2528" s="160">
        <v>6000</v>
      </c>
    </row>
    <row r="2529" spans="1:13" x14ac:dyDescent="0.25">
      <c r="A2529" s="148" t="s">
        <v>7641</v>
      </c>
      <c r="B2529" s="158" t="s">
        <v>2038</v>
      </c>
      <c r="C2529" s="158">
        <v>11</v>
      </c>
      <c r="D2529" s="158">
        <v>335</v>
      </c>
      <c r="E2529" s="158">
        <v>0</v>
      </c>
      <c r="F2529" s="158">
        <v>126000</v>
      </c>
      <c r="G2529" s="158">
        <v>51311</v>
      </c>
      <c r="H2529" s="150" t="str">
        <f t="shared" si="117"/>
        <v>5</v>
      </c>
      <c r="I2529" s="150" t="str">
        <f t="shared" si="118"/>
        <v>51</v>
      </c>
      <c r="J2529" s="150" t="str">
        <f t="shared" si="119"/>
        <v>513</v>
      </c>
      <c r="K2529" s="150" t="s">
        <v>7752</v>
      </c>
      <c r="L2529" s="158" t="s">
        <v>2039</v>
      </c>
      <c r="M2529" s="160">
        <v>30000</v>
      </c>
    </row>
    <row r="2530" spans="1:13" x14ac:dyDescent="0.25">
      <c r="A2530" s="148" t="s">
        <v>7641</v>
      </c>
      <c r="B2530" s="158" t="s">
        <v>2040</v>
      </c>
      <c r="C2530" s="158">
        <v>11</v>
      </c>
      <c r="D2530" s="158">
        <v>335</v>
      </c>
      <c r="E2530" s="158">
        <v>0</v>
      </c>
      <c r="F2530" s="158">
        <v>126000</v>
      </c>
      <c r="G2530" s="158">
        <v>52400</v>
      </c>
      <c r="H2530" s="150" t="str">
        <f t="shared" si="117"/>
        <v>5</v>
      </c>
      <c r="I2530" s="150" t="str">
        <f t="shared" si="118"/>
        <v>52</v>
      </c>
      <c r="J2530" s="150" t="str">
        <f t="shared" si="119"/>
        <v>524</v>
      </c>
      <c r="K2530" s="150" t="s">
        <v>7891</v>
      </c>
      <c r="L2530" s="158" t="s">
        <v>2041</v>
      </c>
      <c r="M2530" s="160">
        <v>1000</v>
      </c>
    </row>
    <row r="2531" spans="1:13" x14ac:dyDescent="0.25">
      <c r="A2531" s="148" t="s">
        <v>7641</v>
      </c>
      <c r="B2531" s="158" t="s">
        <v>2056</v>
      </c>
      <c r="C2531" s="158">
        <v>11</v>
      </c>
      <c r="D2531" s="158">
        <v>335</v>
      </c>
      <c r="E2531" s="158">
        <v>0</v>
      </c>
      <c r="F2531" s="158">
        <v>126000</v>
      </c>
      <c r="G2531" s="158">
        <v>54300</v>
      </c>
      <c r="H2531" s="150" t="str">
        <f t="shared" si="117"/>
        <v>5</v>
      </c>
      <c r="I2531" s="150" t="str">
        <f t="shared" si="118"/>
        <v>54</v>
      </c>
      <c r="J2531" s="150" t="str">
        <f t="shared" si="119"/>
        <v>543</v>
      </c>
      <c r="K2531" s="150" t="s">
        <v>7950</v>
      </c>
      <c r="L2531" s="158" t="s">
        <v>2057</v>
      </c>
      <c r="M2531" s="160">
        <v>2000</v>
      </c>
    </row>
    <row r="2532" spans="1:13" x14ac:dyDescent="0.25">
      <c r="A2532" s="148" t="s">
        <v>7641</v>
      </c>
      <c r="B2532" s="158" t="s">
        <v>2068</v>
      </c>
      <c r="C2532" s="158">
        <v>11</v>
      </c>
      <c r="D2532" s="158">
        <v>335</v>
      </c>
      <c r="E2532" s="158">
        <v>0</v>
      </c>
      <c r="F2532" s="158">
        <v>601000</v>
      </c>
      <c r="G2532" s="158">
        <v>55630</v>
      </c>
      <c r="H2532" s="150" t="str">
        <f t="shared" si="117"/>
        <v>5</v>
      </c>
      <c r="I2532" s="150" t="str">
        <f t="shared" si="118"/>
        <v>55</v>
      </c>
      <c r="J2532" s="150" t="str">
        <f t="shared" si="119"/>
        <v>556</v>
      </c>
      <c r="K2532" s="150" t="s">
        <v>8234</v>
      </c>
      <c r="L2532" s="158" t="s">
        <v>509</v>
      </c>
      <c r="M2532" s="159">
        <v>3000</v>
      </c>
    </row>
    <row r="2533" spans="1:13" x14ac:dyDescent="0.25">
      <c r="A2533" s="148" t="s">
        <v>7641</v>
      </c>
      <c r="B2533" s="152" t="s">
        <v>2071</v>
      </c>
      <c r="C2533" s="152">
        <v>11</v>
      </c>
      <c r="D2533" s="152">
        <v>340</v>
      </c>
      <c r="E2533" s="152">
        <v>0</v>
      </c>
      <c r="F2533" s="152">
        <v>682500</v>
      </c>
      <c r="G2533" s="152">
        <v>52360</v>
      </c>
      <c r="H2533" s="150" t="str">
        <f t="shared" si="117"/>
        <v>5</v>
      </c>
      <c r="I2533" s="150" t="str">
        <f t="shared" si="118"/>
        <v>52</v>
      </c>
      <c r="J2533" s="150" t="str">
        <f t="shared" si="119"/>
        <v>523</v>
      </c>
      <c r="K2533" s="150" t="s">
        <v>7872</v>
      </c>
      <c r="L2533" s="152" t="s">
        <v>2072</v>
      </c>
      <c r="M2533" s="153">
        <v>378500</v>
      </c>
    </row>
    <row r="2534" spans="1:13" x14ac:dyDescent="0.25">
      <c r="A2534" s="148" t="s">
        <v>7641</v>
      </c>
      <c r="B2534" s="152" t="s">
        <v>2089</v>
      </c>
      <c r="C2534" s="152">
        <v>11</v>
      </c>
      <c r="D2534" s="152">
        <v>340</v>
      </c>
      <c r="E2534" s="152">
        <v>0</v>
      </c>
      <c r="F2534" s="152">
        <v>682500</v>
      </c>
      <c r="G2534" s="152">
        <v>54300</v>
      </c>
      <c r="H2534" s="150" t="str">
        <f t="shared" si="117"/>
        <v>5</v>
      </c>
      <c r="I2534" s="150" t="str">
        <f t="shared" si="118"/>
        <v>54</v>
      </c>
      <c r="J2534" s="150" t="str">
        <f t="shared" si="119"/>
        <v>543</v>
      </c>
      <c r="K2534" s="150" t="s">
        <v>7951</v>
      </c>
      <c r="L2534" s="152" t="s">
        <v>2090</v>
      </c>
      <c r="M2534" s="153">
        <v>46500</v>
      </c>
    </row>
    <row r="2535" spans="1:13" x14ac:dyDescent="0.25">
      <c r="A2535" s="148" t="s">
        <v>7641</v>
      </c>
      <c r="B2535" s="152" t="s">
        <v>2091</v>
      </c>
      <c r="C2535" s="152">
        <v>11</v>
      </c>
      <c r="D2535" s="152">
        <v>340</v>
      </c>
      <c r="E2535" s="152">
        <v>0</v>
      </c>
      <c r="F2535" s="152">
        <v>682500</v>
      </c>
      <c r="G2535" s="152">
        <v>54320</v>
      </c>
      <c r="H2535" s="150" t="str">
        <f t="shared" si="117"/>
        <v>5</v>
      </c>
      <c r="I2535" s="150" t="str">
        <f t="shared" si="118"/>
        <v>54</v>
      </c>
      <c r="J2535" s="150" t="str">
        <f t="shared" si="119"/>
        <v>543</v>
      </c>
      <c r="K2535" s="150" t="s">
        <v>7984</v>
      </c>
      <c r="L2535" s="152" t="s">
        <v>2092</v>
      </c>
      <c r="M2535" s="153">
        <v>2500</v>
      </c>
    </row>
    <row r="2536" spans="1:13" x14ac:dyDescent="0.25">
      <c r="A2536" s="148" t="s">
        <v>7641</v>
      </c>
      <c r="B2536" s="152" t="s">
        <v>2093</v>
      </c>
      <c r="C2536" s="152">
        <v>11</v>
      </c>
      <c r="D2536" s="152">
        <v>340</v>
      </c>
      <c r="E2536" s="152">
        <v>0</v>
      </c>
      <c r="F2536" s="152">
        <v>682500</v>
      </c>
      <c r="G2536" s="152">
        <v>55105</v>
      </c>
      <c r="H2536" s="150" t="str">
        <f t="shared" si="117"/>
        <v>5</v>
      </c>
      <c r="I2536" s="150" t="str">
        <f t="shared" si="118"/>
        <v>55</v>
      </c>
      <c r="J2536" s="150" t="str">
        <f t="shared" si="119"/>
        <v>551</v>
      </c>
      <c r="K2536" s="150" t="s">
        <v>8013</v>
      </c>
      <c r="L2536" s="152" t="s">
        <v>2094</v>
      </c>
      <c r="M2536" s="153">
        <v>28085</v>
      </c>
    </row>
    <row r="2537" spans="1:13" x14ac:dyDescent="0.25">
      <c r="A2537" s="148" t="s">
        <v>7641</v>
      </c>
      <c r="B2537" s="152" t="s">
        <v>2095</v>
      </c>
      <c r="C2537" s="152">
        <v>11</v>
      </c>
      <c r="D2537" s="152">
        <v>340</v>
      </c>
      <c r="E2537" s="152">
        <v>0</v>
      </c>
      <c r="F2537" s="152">
        <v>682500</v>
      </c>
      <c r="G2537" s="152">
        <v>55200</v>
      </c>
      <c r="H2537" s="150" t="str">
        <f t="shared" si="117"/>
        <v>5</v>
      </c>
      <c r="I2537" s="150" t="str">
        <f t="shared" si="118"/>
        <v>55</v>
      </c>
      <c r="J2537" s="150" t="str">
        <f t="shared" si="119"/>
        <v>552</v>
      </c>
      <c r="K2537" s="150" t="s">
        <v>8053</v>
      </c>
      <c r="L2537" s="152" t="s">
        <v>2096</v>
      </c>
      <c r="M2537" s="153">
        <v>1000</v>
      </c>
    </row>
    <row r="2538" spans="1:13" x14ac:dyDescent="0.25">
      <c r="A2538" s="148" t="s">
        <v>7641</v>
      </c>
      <c r="B2538" s="152" t="s">
        <v>2097</v>
      </c>
      <c r="C2538" s="152">
        <v>11</v>
      </c>
      <c r="D2538" s="152">
        <v>340</v>
      </c>
      <c r="E2538" s="152">
        <v>0</v>
      </c>
      <c r="F2538" s="152">
        <v>682500</v>
      </c>
      <c r="G2538" s="152">
        <v>55600</v>
      </c>
      <c r="H2538" s="150" t="str">
        <f t="shared" si="117"/>
        <v>5</v>
      </c>
      <c r="I2538" s="150" t="str">
        <f t="shared" si="118"/>
        <v>55</v>
      </c>
      <c r="J2538" s="150" t="str">
        <f t="shared" si="119"/>
        <v>556</v>
      </c>
      <c r="K2538" s="150" t="s">
        <v>8151</v>
      </c>
      <c r="L2538" s="152" t="s">
        <v>2098</v>
      </c>
      <c r="M2538" s="153">
        <v>25000</v>
      </c>
    </row>
    <row r="2539" spans="1:13" x14ac:dyDescent="0.25">
      <c r="A2539" s="148" t="s">
        <v>7641</v>
      </c>
      <c r="B2539" s="152" t="s">
        <v>2099</v>
      </c>
      <c r="C2539" s="152">
        <v>11</v>
      </c>
      <c r="D2539" s="152">
        <v>340</v>
      </c>
      <c r="E2539" s="152">
        <v>0</v>
      </c>
      <c r="F2539" s="152">
        <v>682500</v>
      </c>
      <c r="G2539" s="152">
        <v>55630</v>
      </c>
      <c r="H2539" s="150" t="str">
        <f t="shared" si="117"/>
        <v>5</v>
      </c>
      <c r="I2539" s="150" t="str">
        <f t="shared" si="118"/>
        <v>55</v>
      </c>
      <c r="J2539" s="150" t="str">
        <f t="shared" si="119"/>
        <v>556</v>
      </c>
      <c r="K2539" s="150" t="s">
        <v>8235</v>
      </c>
      <c r="L2539" s="152" t="s">
        <v>2100</v>
      </c>
      <c r="M2539" s="153">
        <v>575</v>
      </c>
    </row>
    <row r="2540" spans="1:13" x14ac:dyDescent="0.25">
      <c r="A2540" s="148" t="s">
        <v>7641</v>
      </c>
      <c r="B2540" s="152" t="s">
        <v>2101</v>
      </c>
      <c r="C2540" s="152">
        <v>11</v>
      </c>
      <c r="D2540" s="152">
        <v>340</v>
      </c>
      <c r="E2540" s="152">
        <v>0</v>
      </c>
      <c r="F2540" s="152">
        <v>682500</v>
      </c>
      <c r="G2540" s="152">
        <v>55635</v>
      </c>
      <c r="H2540" s="150" t="str">
        <f t="shared" si="117"/>
        <v>5</v>
      </c>
      <c r="I2540" s="150" t="str">
        <f t="shared" si="118"/>
        <v>55</v>
      </c>
      <c r="J2540" s="150" t="str">
        <f t="shared" si="119"/>
        <v>556</v>
      </c>
      <c r="K2540" s="150" t="s">
        <v>8279</v>
      </c>
      <c r="L2540" s="152" t="s">
        <v>2102</v>
      </c>
      <c r="M2540" s="153">
        <v>15500</v>
      </c>
    </row>
    <row r="2541" spans="1:13" x14ac:dyDescent="0.25">
      <c r="A2541" s="148" t="s">
        <v>7641</v>
      </c>
      <c r="B2541" s="152" t="s">
        <v>2103</v>
      </c>
      <c r="C2541" s="152">
        <v>11</v>
      </c>
      <c r="D2541" s="152">
        <v>340</v>
      </c>
      <c r="E2541" s="152">
        <v>0</v>
      </c>
      <c r="F2541" s="152">
        <v>682500</v>
      </c>
      <c r="G2541" s="152">
        <v>55650</v>
      </c>
      <c r="H2541" s="150" t="str">
        <f t="shared" si="117"/>
        <v>5</v>
      </c>
      <c r="I2541" s="150" t="str">
        <f t="shared" si="118"/>
        <v>55</v>
      </c>
      <c r="J2541" s="150" t="str">
        <f t="shared" si="119"/>
        <v>556</v>
      </c>
      <c r="K2541" s="150" t="s">
        <v>8303</v>
      </c>
      <c r="L2541" s="152" t="s">
        <v>2104</v>
      </c>
      <c r="M2541" s="153">
        <v>1600</v>
      </c>
    </row>
    <row r="2542" spans="1:13" x14ac:dyDescent="0.25">
      <c r="A2542" s="148" t="s">
        <v>7641</v>
      </c>
      <c r="B2542" s="152" t="s">
        <v>2105</v>
      </c>
      <c r="C2542" s="152">
        <v>11</v>
      </c>
      <c r="D2542" s="152">
        <v>340</v>
      </c>
      <c r="E2542" s="152">
        <v>0</v>
      </c>
      <c r="F2542" s="152">
        <v>682500</v>
      </c>
      <c r="G2542" s="152">
        <v>55651</v>
      </c>
      <c r="H2542" s="150" t="str">
        <f t="shared" si="117"/>
        <v>5</v>
      </c>
      <c r="I2542" s="150" t="str">
        <f t="shared" si="118"/>
        <v>55</v>
      </c>
      <c r="J2542" s="150" t="str">
        <f t="shared" si="119"/>
        <v>556</v>
      </c>
      <c r="K2542" s="150" t="s">
        <v>8320</v>
      </c>
      <c r="L2542" s="152" t="s">
        <v>2106</v>
      </c>
      <c r="M2542" s="153">
        <v>3500</v>
      </c>
    </row>
    <row r="2543" spans="1:13" x14ac:dyDescent="0.25">
      <c r="A2543" s="148" t="s">
        <v>7641</v>
      </c>
      <c r="B2543" s="152" t="s">
        <v>2107</v>
      </c>
      <c r="C2543" s="152">
        <v>11</v>
      </c>
      <c r="D2543" s="152">
        <v>340</v>
      </c>
      <c r="E2543" s="152">
        <v>0</v>
      </c>
      <c r="F2543" s="152">
        <v>682500</v>
      </c>
      <c r="G2543" s="152">
        <v>55810</v>
      </c>
      <c r="H2543" s="150" t="str">
        <f t="shared" si="117"/>
        <v>5</v>
      </c>
      <c r="I2543" s="150" t="str">
        <f t="shared" si="118"/>
        <v>55</v>
      </c>
      <c r="J2543" s="150" t="str">
        <f t="shared" si="119"/>
        <v>558</v>
      </c>
      <c r="K2543" s="150" t="s">
        <v>8339</v>
      </c>
      <c r="L2543" s="152" t="s">
        <v>2108</v>
      </c>
      <c r="M2543" s="153">
        <v>3500</v>
      </c>
    </row>
    <row r="2544" spans="1:13" x14ac:dyDescent="0.25">
      <c r="A2544" s="148" t="s">
        <v>7641</v>
      </c>
      <c r="B2544" s="152" t="s">
        <v>2109</v>
      </c>
      <c r="C2544" s="152">
        <v>11</v>
      </c>
      <c r="D2544" s="152">
        <v>340</v>
      </c>
      <c r="E2544" s="152">
        <v>0</v>
      </c>
      <c r="F2544" s="152">
        <v>682500</v>
      </c>
      <c r="G2544" s="152">
        <v>55820</v>
      </c>
      <c r="H2544" s="150" t="str">
        <f t="shared" si="117"/>
        <v>5</v>
      </c>
      <c r="I2544" s="150" t="str">
        <f t="shared" si="118"/>
        <v>55</v>
      </c>
      <c r="J2544" s="150" t="str">
        <f t="shared" si="119"/>
        <v>558</v>
      </c>
      <c r="K2544" s="150" t="s">
        <v>8342</v>
      </c>
      <c r="L2544" s="152" t="s">
        <v>2110</v>
      </c>
      <c r="M2544" s="153">
        <v>500</v>
      </c>
    </row>
    <row r="2545" spans="1:13" x14ac:dyDescent="0.25">
      <c r="A2545" s="148" t="s">
        <v>7641</v>
      </c>
      <c r="B2545" s="152" t="s">
        <v>2111</v>
      </c>
      <c r="C2545" s="152">
        <v>11</v>
      </c>
      <c r="D2545" s="152">
        <v>340</v>
      </c>
      <c r="E2545" s="152">
        <v>0</v>
      </c>
      <c r="F2545" s="152">
        <v>682500</v>
      </c>
      <c r="G2545" s="152">
        <v>55830</v>
      </c>
      <c r="H2545" s="150" t="str">
        <f t="shared" si="117"/>
        <v>5</v>
      </c>
      <c r="I2545" s="150" t="str">
        <f t="shared" si="118"/>
        <v>55</v>
      </c>
      <c r="J2545" s="150" t="str">
        <f t="shared" si="119"/>
        <v>558</v>
      </c>
      <c r="K2545" s="150" t="s">
        <v>8350</v>
      </c>
      <c r="L2545" s="152" t="s">
        <v>2112</v>
      </c>
      <c r="M2545" s="153">
        <v>36500</v>
      </c>
    </row>
    <row r="2546" spans="1:13" x14ac:dyDescent="0.25">
      <c r="A2546" s="148" t="s">
        <v>7641</v>
      </c>
      <c r="B2546" s="152" t="s">
        <v>2115</v>
      </c>
      <c r="C2546" s="152">
        <v>11</v>
      </c>
      <c r="D2546" s="152">
        <v>350</v>
      </c>
      <c r="E2546" s="152">
        <v>0</v>
      </c>
      <c r="F2546" s="152">
        <v>50000</v>
      </c>
      <c r="G2546" s="152">
        <v>51310</v>
      </c>
      <c r="H2546" s="150" t="str">
        <f t="shared" si="117"/>
        <v>5</v>
      </c>
      <c r="I2546" s="150" t="str">
        <f t="shared" si="118"/>
        <v>51</v>
      </c>
      <c r="J2546" s="150" t="str">
        <f t="shared" si="119"/>
        <v>513</v>
      </c>
      <c r="K2546" s="150" t="s">
        <v>7676</v>
      </c>
      <c r="L2546" s="152" t="s">
        <v>229</v>
      </c>
      <c r="M2546" s="153">
        <v>99716</v>
      </c>
    </row>
    <row r="2547" spans="1:13" x14ac:dyDescent="0.25">
      <c r="A2547" s="148" t="s">
        <v>7641</v>
      </c>
      <c r="B2547" s="152" t="s">
        <v>2116</v>
      </c>
      <c r="C2547" s="152">
        <v>11</v>
      </c>
      <c r="D2547" s="152">
        <v>350</v>
      </c>
      <c r="E2547" s="152">
        <v>0</v>
      </c>
      <c r="F2547" s="152">
        <v>50000</v>
      </c>
      <c r="G2547" s="152">
        <v>51311</v>
      </c>
      <c r="H2547" s="150" t="str">
        <f t="shared" si="117"/>
        <v>5</v>
      </c>
      <c r="I2547" s="150" t="str">
        <f t="shared" si="118"/>
        <v>51</v>
      </c>
      <c r="J2547" s="150" t="str">
        <f t="shared" si="119"/>
        <v>513</v>
      </c>
      <c r="K2547" s="150" t="s">
        <v>7753</v>
      </c>
      <c r="L2547" s="152" t="s">
        <v>231</v>
      </c>
      <c r="M2547" s="153">
        <v>74500</v>
      </c>
    </row>
    <row r="2548" spans="1:13" x14ac:dyDescent="0.25">
      <c r="A2548" s="148" t="s">
        <v>7641</v>
      </c>
      <c r="B2548" s="152" t="s">
        <v>2126</v>
      </c>
      <c r="C2548" s="152">
        <v>11</v>
      </c>
      <c r="D2548" s="152">
        <v>350</v>
      </c>
      <c r="E2548" s="152">
        <v>0</v>
      </c>
      <c r="F2548" s="152">
        <v>50000</v>
      </c>
      <c r="G2548" s="152">
        <v>54300</v>
      </c>
      <c r="H2548" s="150" t="str">
        <f t="shared" si="117"/>
        <v>5</v>
      </c>
      <c r="I2548" s="150" t="str">
        <f t="shared" si="118"/>
        <v>54</v>
      </c>
      <c r="J2548" s="150" t="str">
        <f t="shared" si="119"/>
        <v>543</v>
      </c>
      <c r="K2548" s="150" t="s">
        <v>7952</v>
      </c>
      <c r="L2548" s="152" t="s">
        <v>2127</v>
      </c>
      <c r="M2548" s="153">
        <v>535</v>
      </c>
    </row>
    <row r="2549" spans="1:13" x14ac:dyDescent="0.25">
      <c r="A2549" s="148" t="s">
        <v>7641</v>
      </c>
      <c r="B2549" s="152" t="s">
        <v>2128</v>
      </c>
      <c r="C2549" s="152">
        <v>11</v>
      </c>
      <c r="D2549" s="152">
        <v>350</v>
      </c>
      <c r="E2549" s="152">
        <v>0</v>
      </c>
      <c r="F2549" s="152">
        <v>50000</v>
      </c>
      <c r="G2549" s="152">
        <v>55630</v>
      </c>
      <c r="H2549" s="150" t="str">
        <f t="shared" si="117"/>
        <v>5</v>
      </c>
      <c r="I2549" s="150" t="str">
        <f t="shared" si="118"/>
        <v>55</v>
      </c>
      <c r="J2549" s="150" t="str">
        <f t="shared" si="119"/>
        <v>556</v>
      </c>
      <c r="K2549" s="150" t="s">
        <v>8236</v>
      </c>
      <c r="L2549" s="152" t="s">
        <v>2129</v>
      </c>
      <c r="M2549" s="153">
        <v>250</v>
      </c>
    </row>
    <row r="2550" spans="1:13" x14ac:dyDescent="0.25">
      <c r="A2550" s="148" t="s">
        <v>7641</v>
      </c>
      <c r="B2550" s="152" t="s">
        <v>2130</v>
      </c>
      <c r="C2550" s="152">
        <v>11</v>
      </c>
      <c r="D2550" s="152">
        <v>350</v>
      </c>
      <c r="E2550" s="152">
        <v>0</v>
      </c>
      <c r="F2550" s="152">
        <v>50000</v>
      </c>
      <c r="G2550" s="152">
        <v>56400</v>
      </c>
      <c r="H2550" s="150" t="str">
        <f t="shared" si="117"/>
        <v>5</v>
      </c>
      <c r="I2550" s="150" t="str">
        <f t="shared" si="118"/>
        <v>56</v>
      </c>
      <c r="J2550" s="150" t="str">
        <f t="shared" si="119"/>
        <v>564</v>
      </c>
      <c r="K2550" s="150" t="s">
        <v>8375</v>
      </c>
      <c r="L2550" s="152" t="s">
        <v>2131</v>
      </c>
      <c r="M2550" s="153">
        <v>0</v>
      </c>
    </row>
    <row r="2551" spans="1:13" x14ac:dyDescent="0.25">
      <c r="A2551" s="148" t="s">
        <v>7641</v>
      </c>
      <c r="B2551" s="152" t="s">
        <v>2393</v>
      </c>
      <c r="C2551" s="152">
        <v>11</v>
      </c>
      <c r="D2551" s="152">
        <v>350</v>
      </c>
      <c r="E2551" s="152">
        <v>1</v>
      </c>
      <c r="F2551" s="152">
        <v>94800</v>
      </c>
      <c r="G2551" s="152">
        <v>55630</v>
      </c>
      <c r="H2551" s="150" t="str">
        <f t="shared" si="117"/>
        <v>5</v>
      </c>
      <c r="I2551" s="150" t="str">
        <f t="shared" si="118"/>
        <v>55</v>
      </c>
      <c r="J2551" s="150" t="str">
        <f t="shared" si="119"/>
        <v>556</v>
      </c>
      <c r="K2551" s="150" t="s">
        <v>8245</v>
      </c>
      <c r="L2551" s="152" t="s">
        <v>2133</v>
      </c>
      <c r="M2551" s="153"/>
    </row>
    <row r="2552" spans="1:13" x14ac:dyDescent="0.25">
      <c r="A2552" s="148" t="s">
        <v>7641</v>
      </c>
      <c r="B2552" s="152" t="s">
        <v>2149</v>
      </c>
      <c r="C2552" s="152">
        <v>11</v>
      </c>
      <c r="D2552" s="152">
        <v>350</v>
      </c>
      <c r="E2552" s="152">
        <v>0</v>
      </c>
      <c r="F2552" s="152">
        <v>210440</v>
      </c>
      <c r="G2552" s="152">
        <v>51310</v>
      </c>
      <c r="H2552" s="150" t="str">
        <f t="shared" si="117"/>
        <v>5</v>
      </c>
      <c r="I2552" s="150" t="str">
        <f t="shared" si="118"/>
        <v>51</v>
      </c>
      <c r="J2552" s="150" t="str">
        <f t="shared" si="119"/>
        <v>513</v>
      </c>
      <c r="K2552" s="150" t="s">
        <v>7678</v>
      </c>
      <c r="L2552" s="152" t="s">
        <v>2150</v>
      </c>
      <c r="M2552" s="153">
        <v>3000</v>
      </c>
    </row>
    <row r="2553" spans="1:13" x14ac:dyDescent="0.25">
      <c r="A2553" s="148" t="s">
        <v>7641</v>
      </c>
      <c r="B2553" s="152" t="s">
        <v>2151</v>
      </c>
      <c r="C2553" s="152">
        <v>11</v>
      </c>
      <c r="D2553" s="152">
        <v>350</v>
      </c>
      <c r="E2553" s="152">
        <v>0</v>
      </c>
      <c r="F2553" s="152">
        <v>210440</v>
      </c>
      <c r="G2553" s="152">
        <v>51311</v>
      </c>
      <c r="H2553" s="150" t="str">
        <f t="shared" si="117"/>
        <v>5</v>
      </c>
      <c r="I2553" s="150" t="str">
        <f t="shared" si="118"/>
        <v>51</v>
      </c>
      <c r="J2553" s="150" t="str">
        <f t="shared" si="119"/>
        <v>513</v>
      </c>
      <c r="K2553" s="150" t="s">
        <v>7755</v>
      </c>
      <c r="L2553" s="152" t="s">
        <v>2152</v>
      </c>
      <c r="M2553" s="153">
        <v>11000</v>
      </c>
    </row>
    <row r="2554" spans="1:13" x14ac:dyDescent="0.25">
      <c r="A2554" s="148" t="s">
        <v>7641</v>
      </c>
      <c r="B2554" s="152" t="s">
        <v>2153</v>
      </c>
      <c r="C2554" s="152">
        <v>11</v>
      </c>
      <c r="D2554" s="152">
        <v>350</v>
      </c>
      <c r="E2554" s="152">
        <v>0</v>
      </c>
      <c r="F2554" s="152">
        <v>210440</v>
      </c>
      <c r="G2554" s="152">
        <v>51412</v>
      </c>
      <c r="H2554" s="150" t="str">
        <f t="shared" si="117"/>
        <v>5</v>
      </c>
      <c r="I2554" s="150" t="str">
        <f t="shared" si="118"/>
        <v>51</v>
      </c>
      <c r="J2554" s="150" t="str">
        <f t="shared" si="119"/>
        <v>514</v>
      </c>
      <c r="K2554" s="150" t="s">
        <v>7794</v>
      </c>
      <c r="L2554" s="152" t="s">
        <v>2154</v>
      </c>
      <c r="M2554" s="153">
        <v>75</v>
      </c>
    </row>
    <row r="2555" spans="1:13" x14ac:dyDescent="0.25">
      <c r="A2555" s="148" t="s">
        <v>7641</v>
      </c>
      <c r="B2555" s="152" t="s">
        <v>2168</v>
      </c>
      <c r="C2555" s="152">
        <v>11</v>
      </c>
      <c r="D2555" s="152">
        <v>350</v>
      </c>
      <c r="E2555" s="152">
        <v>0</v>
      </c>
      <c r="F2555" s="152">
        <v>210440</v>
      </c>
      <c r="G2555" s="152">
        <v>55630</v>
      </c>
      <c r="H2555" s="150" t="str">
        <f t="shared" si="117"/>
        <v>5</v>
      </c>
      <c r="I2555" s="150" t="str">
        <f t="shared" si="118"/>
        <v>55</v>
      </c>
      <c r="J2555" s="150" t="str">
        <f t="shared" si="119"/>
        <v>556</v>
      </c>
      <c r="K2555" s="150" t="s">
        <v>8239</v>
      </c>
      <c r="L2555" s="152" t="s">
        <v>1338</v>
      </c>
      <c r="M2555" s="153">
        <v>150</v>
      </c>
    </row>
    <row r="2556" spans="1:13" x14ac:dyDescent="0.25">
      <c r="A2556" s="148" t="s">
        <v>7641</v>
      </c>
      <c r="B2556" s="152" t="s">
        <v>2171</v>
      </c>
      <c r="C2556" s="152">
        <v>11</v>
      </c>
      <c r="D2556" s="152">
        <v>350</v>
      </c>
      <c r="E2556" s="152">
        <v>0</v>
      </c>
      <c r="F2556" s="152">
        <v>210500</v>
      </c>
      <c r="G2556" s="152">
        <v>51310</v>
      </c>
      <c r="H2556" s="150" t="str">
        <f t="shared" si="117"/>
        <v>5</v>
      </c>
      <c r="I2556" s="150" t="str">
        <f t="shared" si="118"/>
        <v>51</v>
      </c>
      <c r="J2556" s="150" t="str">
        <f t="shared" si="119"/>
        <v>513</v>
      </c>
      <c r="K2556" s="150" t="s">
        <v>7679</v>
      </c>
      <c r="L2556" s="152" t="s">
        <v>1340</v>
      </c>
      <c r="M2556" s="153">
        <v>32521</v>
      </c>
    </row>
    <row r="2557" spans="1:13" x14ac:dyDescent="0.25">
      <c r="A2557" s="148" t="s">
        <v>7641</v>
      </c>
      <c r="B2557" s="152" t="s">
        <v>2172</v>
      </c>
      <c r="C2557" s="152">
        <v>11</v>
      </c>
      <c r="D2557" s="152">
        <v>350</v>
      </c>
      <c r="E2557" s="152">
        <v>0</v>
      </c>
      <c r="F2557" s="152">
        <v>210500</v>
      </c>
      <c r="G2557" s="152">
        <v>51311</v>
      </c>
      <c r="H2557" s="150" t="str">
        <f t="shared" si="117"/>
        <v>5</v>
      </c>
      <c r="I2557" s="150" t="str">
        <f t="shared" si="118"/>
        <v>51</v>
      </c>
      <c r="J2557" s="150" t="str">
        <f t="shared" si="119"/>
        <v>513</v>
      </c>
      <c r="K2557" s="150" t="s">
        <v>7756</v>
      </c>
      <c r="L2557" s="152" t="s">
        <v>375</v>
      </c>
      <c r="M2557" s="153">
        <v>176842</v>
      </c>
    </row>
    <row r="2558" spans="1:13" x14ac:dyDescent="0.25">
      <c r="A2558" s="148" t="s">
        <v>7641</v>
      </c>
      <c r="B2558" s="152" t="s">
        <v>2173</v>
      </c>
      <c r="C2558" s="152">
        <v>11</v>
      </c>
      <c r="D2558" s="152">
        <v>350</v>
      </c>
      <c r="E2558" s="152">
        <v>0</v>
      </c>
      <c r="F2558" s="152">
        <v>210500</v>
      </c>
      <c r="G2558" s="152">
        <v>51412</v>
      </c>
      <c r="H2558" s="150" t="str">
        <f t="shared" si="117"/>
        <v>5</v>
      </c>
      <c r="I2558" s="150" t="str">
        <f t="shared" si="118"/>
        <v>51</v>
      </c>
      <c r="J2558" s="150" t="str">
        <f t="shared" si="119"/>
        <v>514</v>
      </c>
      <c r="K2558" s="150" t="s">
        <v>7795</v>
      </c>
      <c r="L2558" s="152" t="s">
        <v>2174</v>
      </c>
      <c r="M2558" s="153">
        <v>5350</v>
      </c>
    </row>
    <row r="2559" spans="1:13" x14ac:dyDescent="0.25">
      <c r="A2559" s="148" t="s">
        <v>7641</v>
      </c>
      <c r="B2559" s="152" t="s">
        <v>2175</v>
      </c>
      <c r="C2559" s="152">
        <v>11</v>
      </c>
      <c r="D2559" s="152">
        <v>350</v>
      </c>
      <c r="E2559" s="152">
        <v>0</v>
      </c>
      <c r="F2559" s="152">
        <v>210500</v>
      </c>
      <c r="G2559" s="152">
        <v>52360</v>
      </c>
      <c r="H2559" s="150" t="str">
        <f t="shared" si="117"/>
        <v>5</v>
      </c>
      <c r="I2559" s="150" t="str">
        <f t="shared" si="118"/>
        <v>52</v>
      </c>
      <c r="J2559" s="150" t="str">
        <f t="shared" si="119"/>
        <v>523</v>
      </c>
      <c r="K2559" s="150" t="s">
        <v>7873</v>
      </c>
      <c r="L2559" s="152" t="s">
        <v>2176</v>
      </c>
      <c r="M2559" s="153">
        <v>100</v>
      </c>
    </row>
    <row r="2560" spans="1:13" x14ac:dyDescent="0.25">
      <c r="A2560" s="148" t="s">
        <v>7641</v>
      </c>
      <c r="B2560" s="152" t="s">
        <v>2194</v>
      </c>
      <c r="C2560" s="152">
        <v>11</v>
      </c>
      <c r="D2560" s="152">
        <v>350</v>
      </c>
      <c r="E2560" s="152">
        <v>0</v>
      </c>
      <c r="F2560" s="152">
        <v>210500</v>
      </c>
      <c r="G2560" s="152">
        <v>55309</v>
      </c>
      <c r="H2560" s="150" t="str">
        <f t="shared" si="117"/>
        <v>5</v>
      </c>
      <c r="I2560" s="150" t="str">
        <f t="shared" si="118"/>
        <v>55</v>
      </c>
      <c r="J2560" s="150" t="str">
        <f t="shared" si="119"/>
        <v>553</v>
      </c>
      <c r="K2560" s="150" t="s">
        <v>8108</v>
      </c>
      <c r="L2560" s="152" t="s">
        <v>2195</v>
      </c>
      <c r="M2560" s="153">
        <v>5700</v>
      </c>
    </row>
    <row r="2561" spans="1:13" x14ac:dyDescent="0.25">
      <c r="A2561" s="148" t="s">
        <v>7641</v>
      </c>
      <c r="B2561" s="152" t="s">
        <v>2196</v>
      </c>
      <c r="C2561" s="152">
        <v>11</v>
      </c>
      <c r="D2561" s="152">
        <v>350</v>
      </c>
      <c r="E2561" s="152">
        <v>0</v>
      </c>
      <c r="F2561" s="152">
        <v>210500</v>
      </c>
      <c r="G2561" s="152">
        <v>55630</v>
      </c>
      <c r="H2561" s="150" t="str">
        <f t="shared" si="117"/>
        <v>5</v>
      </c>
      <c r="I2561" s="150" t="str">
        <f t="shared" si="118"/>
        <v>55</v>
      </c>
      <c r="J2561" s="150" t="str">
        <f t="shared" si="119"/>
        <v>556</v>
      </c>
      <c r="K2561" s="150" t="s">
        <v>8240</v>
      </c>
      <c r="L2561" s="152" t="s">
        <v>387</v>
      </c>
      <c r="M2561" s="153">
        <v>250</v>
      </c>
    </row>
    <row r="2562" spans="1:13" x14ac:dyDescent="0.25">
      <c r="A2562" s="148" t="s">
        <v>7641</v>
      </c>
      <c r="B2562" s="152" t="s">
        <v>2199</v>
      </c>
      <c r="C2562" s="152">
        <v>11</v>
      </c>
      <c r="D2562" s="152">
        <v>350</v>
      </c>
      <c r="E2562" s="152">
        <v>0</v>
      </c>
      <c r="F2562" s="152">
        <v>601000</v>
      </c>
      <c r="G2562" s="152">
        <v>52360</v>
      </c>
      <c r="H2562" s="150" t="str">
        <f t="shared" si="117"/>
        <v>5</v>
      </c>
      <c r="I2562" s="150" t="str">
        <f t="shared" si="118"/>
        <v>52</v>
      </c>
      <c r="J2562" s="150" t="str">
        <f t="shared" si="119"/>
        <v>523</v>
      </c>
      <c r="K2562" s="150" t="s">
        <v>7874</v>
      </c>
      <c r="L2562" s="152" t="s">
        <v>1008</v>
      </c>
      <c r="M2562" s="153">
        <v>250</v>
      </c>
    </row>
    <row r="2563" spans="1:13" x14ac:dyDescent="0.25">
      <c r="A2563" s="148" t="s">
        <v>7641</v>
      </c>
      <c r="B2563" s="152" t="s">
        <v>2207</v>
      </c>
      <c r="C2563" s="152">
        <v>11</v>
      </c>
      <c r="D2563" s="152">
        <v>350</v>
      </c>
      <c r="E2563" s="152">
        <v>0</v>
      </c>
      <c r="F2563" s="152">
        <v>601000</v>
      </c>
      <c r="G2563" s="152">
        <v>54349</v>
      </c>
      <c r="H2563" s="150" t="str">
        <f t="shared" ref="H2563:H2626" si="120">LEFT(G2563,1)</f>
        <v>5</v>
      </c>
      <c r="I2563" s="150" t="str">
        <f t="shared" ref="I2563:I2626" si="121">LEFT(G2563,2)</f>
        <v>54</v>
      </c>
      <c r="J2563" s="150" t="str">
        <f t="shared" ref="J2563:J2626" si="122">LEFT(G2563,3)</f>
        <v>543</v>
      </c>
      <c r="K2563" s="150" t="s">
        <v>7992</v>
      </c>
      <c r="L2563" s="152" t="s">
        <v>2208</v>
      </c>
      <c r="M2563" s="153">
        <v>200</v>
      </c>
    </row>
    <row r="2564" spans="1:13" x14ac:dyDescent="0.25">
      <c r="A2564" s="148" t="s">
        <v>7641</v>
      </c>
      <c r="B2564" s="152" t="s">
        <v>2209</v>
      </c>
      <c r="C2564" s="152">
        <v>11</v>
      </c>
      <c r="D2564" s="152">
        <v>350</v>
      </c>
      <c r="E2564" s="152">
        <v>0</v>
      </c>
      <c r="F2564" s="152">
        <v>601000</v>
      </c>
      <c r="G2564" s="152">
        <v>55630</v>
      </c>
      <c r="H2564" s="150" t="str">
        <f t="shared" si="120"/>
        <v>5</v>
      </c>
      <c r="I2564" s="150" t="str">
        <f t="shared" si="121"/>
        <v>55</v>
      </c>
      <c r="J2564" s="150" t="str">
        <f t="shared" si="122"/>
        <v>556</v>
      </c>
      <c r="K2564" s="150" t="s">
        <v>8241</v>
      </c>
      <c r="L2564" s="152" t="s">
        <v>509</v>
      </c>
      <c r="M2564" s="153">
        <v>100</v>
      </c>
    </row>
    <row r="2565" spans="1:13" x14ac:dyDescent="0.25">
      <c r="A2565" s="148" t="s">
        <v>7641</v>
      </c>
      <c r="B2565" s="152" t="s">
        <v>2210</v>
      </c>
      <c r="C2565" s="152">
        <v>11</v>
      </c>
      <c r="D2565" s="152">
        <v>350</v>
      </c>
      <c r="E2565" s="152">
        <v>0</v>
      </c>
      <c r="F2565" s="152">
        <v>703800</v>
      </c>
      <c r="G2565" s="152">
        <v>51412</v>
      </c>
      <c r="H2565" s="150" t="str">
        <f t="shared" si="120"/>
        <v>5</v>
      </c>
      <c r="I2565" s="150" t="str">
        <f t="shared" si="121"/>
        <v>51</v>
      </c>
      <c r="J2565" s="150" t="str">
        <f t="shared" si="122"/>
        <v>514</v>
      </c>
      <c r="K2565" s="150" t="s">
        <v>7796</v>
      </c>
      <c r="L2565" s="152" t="s">
        <v>2211</v>
      </c>
      <c r="M2565" s="153">
        <v>0</v>
      </c>
    </row>
    <row r="2566" spans="1:13" x14ac:dyDescent="0.25">
      <c r="A2566" s="148" t="s">
        <v>7641</v>
      </c>
      <c r="B2566" s="152" t="s">
        <v>2222</v>
      </c>
      <c r="C2566" s="152">
        <v>11</v>
      </c>
      <c r="D2566" s="152">
        <v>350</v>
      </c>
      <c r="E2566" s="152">
        <v>1</v>
      </c>
      <c r="F2566" s="152">
        <v>10100</v>
      </c>
      <c r="G2566" s="152">
        <v>51310</v>
      </c>
      <c r="H2566" s="150" t="str">
        <f t="shared" si="120"/>
        <v>5</v>
      </c>
      <c r="I2566" s="150" t="str">
        <f t="shared" si="121"/>
        <v>51</v>
      </c>
      <c r="J2566" s="150" t="str">
        <f t="shared" si="122"/>
        <v>513</v>
      </c>
      <c r="K2566" s="150" t="s">
        <v>7680</v>
      </c>
      <c r="L2566" s="152" t="s">
        <v>2223</v>
      </c>
      <c r="M2566" s="153">
        <v>27540</v>
      </c>
    </row>
    <row r="2567" spans="1:13" x14ac:dyDescent="0.25">
      <c r="A2567" s="148" t="s">
        <v>7641</v>
      </c>
      <c r="B2567" s="152" t="s">
        <v>2224</v>
      </c>
      <c r="C2567" s="152">
        <v>11</v>
      </c>
      <c r="D2567" s="152">
        <v>350</v>
      </c>
      <c r="E2567" s="152">
        <v>1</v>
      </c>
      <c r="F2567" s="152">
        <v>10100</v>
      </c>
      <c r="G2567" s="152">
        <v>51311</v>
      </c>
      <c r="H2567" s="150" t="str">
        <f t="shared" si="120"/>
        <v>5</v>
      </c>
      <c r="I2567" s="150" t="str">
        <f t="shared" si="121"/>
        <v>51</v>
      </c>
      <c r="J2567" s="150" t="str">
        <f t="shared" si="122"/>
        <v>513</v>
      </c>
      <c r="K2567" s="150" t="s">
        <v>7757</v>
      </c>
      <c r="L2567" s="152" t="s">
        <v>2225</v>
      </c>
      <c r="M2567" s="153">
        <v>100266</v>
      </c>
    </row>
    <row r="2568" spans="1:13" x14ac:dyDescent="0.25">
      <c r="A2568" s="148" t="s">
        <v>7641</v>
      </c>
      <c r="B2568" s="152" t="s">
        <v>2226</v>
      </c>
      <c r="C2568" s="152">
        <v>11</v>
      </c>
      <c r="D2568" s="152">
        <v>350</v>
      </c>
      <c r="E2568" s="152">
        <v>1</v>
      </c>
      <c r="F2568" s="152">
        <v>10100</v>
      </c>
      <c r="G2568" s="152">
        <v>51412</v>
      </c>
      <c r="H2568" s="150" t="str">
        <f t="shared" si="120"/>
        <v>5</v>
      </c>
      <c r="I2568" s="150" t="str">
        <f t="shared" si="121"/>
        <v>51</v>
      </c>
      <c r="J2568" s="150" t="str">
        <f t="shared" si="122"/>
        <v>514</v>
      </c>
      <c r="K2568" s="150" t="s">
        <v>7797</v>
      </c>
      <c r="L2568" s="152" t="s">
        <v>2227</v>
      </c>
      <c r="M2568" s="153">
        <v>100</v>
      </c>
    </row>
    <row r="2569" spans="1:13" x14ac:dyDescent="0.25">
      <c r="A2569" s="148" t="s">
        <v>7641</v>
      </c>
      <c r="B2569" s="152" t="s">
        <v>2230</v>
      </c>
      <c r="C2569" s="152">
        <v>11</v>
      </c>
      <c r="D2569" s="152">
        <v>350</v>
      </c>
      <c r="E2569" s="152">
        <v>1</v>
      </c>
      <c r="F2569" s="152">
        <v>10100</v>
      </c>
      <c r="G2569" s="152">
        <v>52300</v>
      </c>
      <c r="H2569" s="150" t="str">
        <f t="shared" si="120"/>
        <v>5</v>
      </c>
      <c r="I2569" s="150" t="str">
        <f t="shared" si="121"/>
        <v>52</v>
      </c>
      <c r="J2569" s="150" t="str">
        <f t="shared" si="122"/>
        <v>523</v>
      </c>
      <c r="K2569" s="150" t="s">
        <v>7827</v>
      </c>
      <c r="L2569" s="152" t="s">
        <v>2231</v>
      </c>
      <c r="M2569" s="153">
        <v>0</v>
      </c>
    </row>
    <row r="2570" spans="1:13" x14ac:dyDescent="0.25">
      <c r="A2570" s="148" t="s">
        <v>7641</v>
      </c>
      <c r="B2570" s="152" t="s">
        <v>2258</v>
      </c>
      <c r="C2570" s="152">
        <v>11</v>
      </c>
      <c r="D2570" s="152">
        <v>350</v>
      </c>
      <c r="E2570" s="152">
        <v>1</v>
      </c>
      <c r="F2570" s="152">
        <v>10100</v>
      </c>
      <c r="G2570" s="152">
        <v>54300</v>
      </c>
      <c r="H2570" s="150" t="str">
        <f t="shared" si="120"/>
        <v>5</v>
      </c>
      <c r="I2570" s="150" t="str">
        <f t="shared" si="121"/>
        <v>54</v>
      </c>
      <c r="J2570" s="150" t="str">
        <f t="shared" si="122"/>
        <v>543</v>
      </c>
      <c r="K2570" s="150" t="s">
        <v>7953</v>
      </c>
      <c r="L2570" s="152" t="s">
        <v>2259</v>
      </c>
      <c r="M2570" s="153">
        <v>5350</v>
      </c>
    </row>
    <row r="2571" spans="1:13" x14ac:dyDescent="0.25">
      <c r="A2571" s="148" t="s">
        <v>7641</v>
      </c>
      <c r="B2571" s="152" t="s">
        <v>2260</v>
      </c>
      <c r="C2571" s="152">
        <v>11</v>
      </c>
      <c r="D2571" s="152">
        <v>350</v>
      </c>
      <c r="E2571" s="152">
        <v>1</v>
      </c>
      <c r="F2571" s="152">
        <v>10100</v>
      </c>
      <c r="G2571" s="152">
        <v>55200</v>
      </c>
      <c r="H2571" s="150" t="str">
        <f t="shared" si="120"/>
        <v>5</v>
      </c>
      <c r="I2571" s="150" t="str">
        <f t="shared" si="121"/>
        <v>55</v>
      </c>
      <c r="J2571" s="150" t="str">
        <f t="shared" si="122"/>
        <v>552</v>
      </c>
      <c r="K2571" s="150" t="s">
        <v>8054</v>
      </c>
      <c r="L2571" s="152" t="s">
        <v>2261</v>
      </c>
      <c r="M2571" s="153">
        <v>1070</v>
      </c>
    </row>
    <row r="2572" spans="1:13" x14ac:dyDescent="0.25">
      <c r="A2572" s="148" t="s">
        <v>7641</v>
      </c>
      <c r="B2572" s="152" t="s">
        <v>2262</v>
      </c>
      <c r="C2572" s="152">
        <v>11</v>
      </c>
      <c r="D2572" s="152">
        <v>350</v>
      </c>
      <c r="E2572" s="152">
        <v>1</v>
      </c>
      <c r="F2572" s="152">
        <v>10100</v>
      </c>
      <c r="G2572" s="152">
        <v>55300</v>
      </c>
      <c r="H2572" s="150" t="str">
        <f t="shared" si="120"/>
        <v>5</v>
      </c>
      <c r="I2572" s="150" t="str">
        <f t="shared" si="121"/>
        <v>55</v>
      </c>
      <c r="J2572" s="150" t="str">
        <f t="shared" si="122"/>
        <v>553</v>
      </c>
      <c r="K2572" s="150" t="s">
        <v>8090</v>
      </c>
      <c r="L2572" s="152" t="s">
        <v>2263</v>
      </c>
      <c r="M2572" s="153">
        <v>250</v>
      </c>
    </row>
    <row r="2573" spans="1:13" x14ac:dyDescent="0.25">
      <c r="A2573" s="148" t="s">
        <v>7641</v>
      </c>
      <c r="B2573" s="152" t="s">
        <v>2264</v>
      </c>
      <c r="C2573" s="152">
        <v>11</v>
      </c>
      <c r="D2573" s="152">
        <v>350</v>
      </c>
      <c r="E2573" s="152">
        <v>1</v>
      </c>
      <c r="F2573" s="152">
        <v>10100</v>
      </c>
      <c r="G2573" s="152">
        <v>55560</v>
      </c>
      <c r="H2573" s="150" t="str">
        <f t="shared" si="120"/>
        <v>5</v>
      </c>
      <c r="I2573" s="150" t="str">
        <f t="shared" si="121"/>
        <v>55</v>
      </c>
      <c r="J2573" s="150" t="str">
        <f t="shared" si="122"/>
        <v>555</v>
      </c>
      <c r="K2573" s="150" t="s">
        <v>8138</v>
      </c>
      <c r="L2573" s="152" t="s">
        <v>2265</v>
      </c>
      <c r="M2573" s="153">
        <v>1000</v>
      </c>
    </row>
    <row r="2574" spans="1:13" x14ac:dyDescent="0.25">
      <c r="A2574" s="148" t="s">
        <v>7641</v>
      </c>
      <c r="B2574" s="152" t="s">
        <v>2266</v>
      </c>
      <c r="C2574" s="152">
        <v>11</v>
      </c>
      <c r="D2574" s="152">
        <v>350</v>
      </c>
      <c r="E2574" s="152">
        <v>1</v>
      </c>
      <c r="F2574" s="152">
        <v>10100</v>
      </c>
      <c r="G2574" s="152">
        <v>55630</v>
      </c>
      <c r="H2574" s="150" t="str">
        <f t="shared" si="120"/>
        <v>5</v>
      </c>
      <c r="I2574" s="150" t="str">
        <f t="shared" si="121"/>
        <v>55</v>
      </c>
      <c r="J2574" s="150" t="str">
        <f t="shared" si="122"/>
        <v>556</v>
      </c>
      <c r="K2574" s="150" t="s">
        <v>8242</v>
      </c>
      <c r="L2574" s="152" t="s">
        <v>2267</v>
      </c>
      <c r="M2574" s="153">
        <v>600</v>
      </c>
    </row>
    <row r="2575" spans="1:13" x14ac:dyDescent="0.25">
      <c r="A2575" s="148" t="s">
        <v>7641</v>
      </c>
      <c r="B2575" s="152" t="s">
        <v>2268</v>
      </c>
      <c r="C2575" s="152">
        <v>11</v>
      </c>
      <c r="D2575" s="152">
        <v>350</v>
      </c>
      <c r="E2575" s="152">
        <v>1</v>
      </c>
      <c r="F2575" s="152">
        <v>10100</v>
      </c>
      <c r="G2575" s="152">
        <v>55635</v>
      </c>
      <c r="H2575" s="150" t="str">
        <f t="shared" si="120"/>
        <v>5</v>
      </c>
      <c r="I2575" s="150" t="str">
        <f t="shared" si="121"/>
        <v>55</v>
      </c>
      <c r="J2575" s="150" t="str">
        <f t="shared" si="122"/>
        <v>556</v>
      </c>
      <c r="K2575" s="150" t="s">
        <v>8280</v>
      </c>
      <c r="L2575" s="152" t="s">
        <v>2269</v>
      </c>
      <c r="M2575" s="153">
        <v>107</v>
      </c>
    </row>
    <row r="2576" spans="1:13" x14ac:dyDescent="0.25">
      <c r="A2576" s="148" t="s">
        <v>7641</v>
      </c>
      <c r="B2576" s="152" t="s">
        <v>2270</v>
      </c>
      <c r="C2576" s="152">
        <v>11</v>
      </c>
      <c r="D2576" s="152">
        <v>350</v>
      </c>
      <c r="E2576" s="152">
        <v>1</v>
      </c>
      <c r="F2576" s="152">
        <v>10100</v>
      </c>
      <c r="G2576" s="152">
        <v>55650</v>
      </c>
      <c r="H2576" s="150" t="str">
        <f t="shared" si="120"/>
        <v>5</v>
      </c>
      <c r="I2576" s="150" t="str">
        <f t="shared" si="121"/>
        <v>55</v>
      </c>
      <c r="J2576" s="150" t="str">
        <f t="shared" si="122"/>
        <v>556</v>
      </c>
      <c r="K2576" s="150" t="s">
        <v>8304</v>
      </c>
      <c r="L2576" s="152" t="s">
        <v>2271</v>
      </c>
      <c r="M2576" s="153">
        <v>535</v>
      </c>
    </row>
    <row r="2577" spans="1:13" x14ac:dyDescent="0.25">
      <c r="A2577" s="148" t="s">
        <v>7641</v>
      </c>
      <c r="B2577" s="152" t="s">
        <v>2275</v>
      </c>
      <c r="C2577" s="152">
        <v>11</v>
      </c>
      <c r="D2577" s="152">
        <v>350</v>
      </c>
      <c r="E2577" s="152">
        <v>1</v>
      </c>
      <c r="F2577" s="152">
        <v>70100</v>
      </c>
      <c r="G2577" s="152">
        <v>51311</v>
      </c>
      <c r="H2577" s="150" t="str">
        <f t="shared" si="120"/>
        <v>5</v>
      </c>
      <c r="I2577" s="150" t="str">
        <f t="shared" si="121"/>
        <v>51</v>
      </c>
      <c r="J2577" s="150" t="str">
        <f t="shared" si="122"/>
        <v>513</v>
      </c>
      <c r="K2577" s="150" t="s">
        <v>7758</v>
      </c>
      <c r="L2577" s="152" t="s">
        <v>241</v>
      </c>
      <c r="M2577" s="153"/>
    </row>
    <row r="2578" spans="1:13" x14ac:dyDescent="0.25">
      <c r="A2578" s="148" t="s">
        <v>7641</v>
      </c>
      <c r="B2578" s="152" t="s">
        <v>2305</v>
      </c>
      <c r="C2578" s="152">
        <v>11</v>
      </c>
      <c r="D2578" s="152">
        <v>350</v>
      </c>
      <c r="E2578" s="152">
        <v>1</v>
      </c>
      <c r="F2578" s="152">
        <v>94500</v>
      </c>
      <c r="G2578" s="152">
        <v>54300</v>
      </c>
      <c r="H2578" s="150" t="str">
        <f t="shared" si="120"/>
        <v>5</v>
      </c>
      <c r="I2578" s="150" t="str">
        <f t="shared" si="121"/>
        <v>54</v>
      </c>
      <c r="J2578" s="150" t="str">
        <f t="shared" si="122"/>
        <v>543</v>
      </c>
      <c r="K2578" s="150" t="s">
        <v>7954</v>
      </c>
      <c r="L2578" s="152" t="s">
        <v>2306</v>
      </c>
      <c r="M2578" s="153">
        <v>8560</v>
      </c>
    </row>
    <row r="2579" spans="1:13" x14ac:dyDescent="0.25">
      <c r="A2579" s="148" t="s">
        <v>7641</v>
      </c>
      <c r="B2579" s="152" t="s">
        <v>2307</v>
      </c>
      <c r="C2579" s="152">
        <v>11</v>
      </c>
      <c r="D2579" s="152">
        <v>350</v>
      </c>
      <c r="E2579" s="152">
        <v>1</v>
      </c>
      <c r="F2579" s="152">
        <v>94500</v>
      </c>
      <c r="G2579" s="152">
        <v>55200</v>
      </c>
      <c r="H2579" s="150" t="str">
        <f t="shared" si="120"/>
        <v>5</v>
      </c>
      <c r="I2579" s="150" t="str">
        <f t="shared" si="121"/>
        <v>55</v>
      </c>
      <c r="J2579" s="150" t="str">
        <f t="shared" si="122"/>
        <v>552</v>
      </c>
      <c r="K2579" s="150" t="s">
        <v>8055</v>
      </c>
      <c r="L2579" s="152" t="s">
        <v>2308</v>
      </c>
      <c r="M2579" s="153">
        <v>535</v>
      </c>
    </row>
    <row r="2580" spans="1:13" x14ac:dyDescent="0.25">
      <c r="A2580" s="148" t="s">
        <v>7641</v>
      </c>
      <c r="B2580" s="152" t="s">
        <v>2309</v>
      </c>
      <c r="C2580" s="152">
        <v>11</v>
      </c>
      <c r="D2580" s="152">
        <v>350</v>
      </c>
      <c r="E2580" s="152">
        <v>1</v>
      </c>
      <c r="F2580" s="152">
        <v>94500</v>
      </c>
      <c r="G2580" s="152">
        <v>55630</v>
      </c>
      <c r="H2580" s="150" t="str">
        <f t="shared" si="120"/>
        <v>5</v>
      </c>
      <c r="I2580" s="150" t="str">
        <f t="shared" si="121"/>
        <v>55</v>
      </c>
      <c r="J2580" s="150" t="str">
        <f t="shared" si="122"/>
        <v>556</v>
      </c>
      <c r="K2580" s="150" t="s">
        <v>8243</v>
      </c>
      <c r="L2580" s="152" t="s">
        <v>2310</v>
      </c>
      <c r="M2580" s="153">
        <v>250</v>
      </c>
    </row>
    <row r="2581" spans="1:13" x14ac:dyDescent="0.25">
      <c r="A2581" s="148" t="s">
        <v>7641</v>
      </c>
      <c r="B2581" s="152" t="s">
        <v>2311</v>
      </c>
      <c r="C2581" s="152">
        <v>11</v>
      </c>
      <c r="D2581" s="152">
        <v>350</v>
      </c>
      <c r="E2581" s="152">
        <v>1</v>
      </c>
      <c r="F2581" s="152">
        <v>94500</v>
      </c>
      <c r="G2581" s="152">
        <v>55651</v>
      </c>
      <c r="H2581" s="150" t="str">
        <f t="shared" si="120"/>
        <v>5</v>
      </c>
      <c r="I2581" s="150" t="str">
        <f t="shared" si="121"/>
        <v>55</v>
      </c>
      <c r="J2581" s="150" t="str">
        <f t="shared" si="122"/>
        <v>556</v>
      </c>
      <c r="K2581" s="150" t="s">
        <v>8321</v>
      </c>
      <c r="L2581" s="152" t="s">
        <v>2312</v>
      </c>
      <c r="M2581" s="153">
        <v>700</v>
      </c>
    </row>
    <row r="2582" spans="1:13" x14ac:dyDescent="0.25">
      <c r="A2582" s="148" t="s">
        <v>7641</v>
      </c>
      <c r="B2582" s="152" t="s">
        <v>2315</v>
      </c>
      <c r="C2582" s="152">
        <v>11</v>
      </c>
      <c r="D2582" s="152">
        <v>350</v>
      </c>
      <c r="E2582" s="152">
        <v>1</v>
      </c>
      <c r="F2582" s="152">
        <v>94700</v>
      </c>
      <c r="G2582" s="152">
        <v>51310</v>
      </c>
      <c r="H2582" s="150" t="str">
        <f t="shared" si="120"/>
        <v>5</v>
      </c>
      <c r="I2582" s="150" t="str">
        <f t="shared" si="121"/>
        <v>51</v>
      </c>
      <c r="J2582" s="150" t="str">
        <f t="shared" si="122"/>
        <v>513</v>
      </c>
      <c r="K2582" s="150" t="s">
        <v>7681</v>
      </c>
      <c r="L2582" s="152" t="s">
        <v>2316</v>
      </c>
      <c r="M2582" s="153">
        <v>34380</v>
      </c>
    </row>
    <row r="2583" spans="1:13" x14ac:dyDescent="0.25">
      <c r="A2583" s="148" t="s">
        <v>7641</v>
      </c>
      <c r="B2583" s="152" t="s">
        <v>2319</v>
      </c>
      <c r="C2583" s="152">
        <v>11</v>
      </c>
      <c r="D2583" s="152">
        <v>350</v>
      </c>
      <c r="E2583" s="152">
        <v>1</v>
      </c>
      <c r="F2583" s="152">
        <v>94700</v>
      </c>
      <c r="G2583" s="152">
        <v>51412</v>
      </c>
      <c r="H2583" s="150" t="str">
        <f t="shared" si="120"/>
        <v>5</v>
      </c>
      <c r="I2583" s="150" t="str">
        <f t="shared" si="121"/>
        <v>51</v>
      </c>
      <c r="J2583" s="150" t="str">
        <f t="shared" si="122"/>
        <v>514</v>
      </c>
      <c r="K2583" s="150" t="s">
        <v>7798</v>
      </c>
      <c r="L2583" s="152" t="s">
        <v>2320</v>
      </c>
      <c r="M2583" s="153">
        <v>250</v>
      </c>
    </row>
    <row r="2584" spans="1:13" x14ac:dyDescent="0.25">
      <c r="A2584" s="148" t="s">
        <v>7641</v>
      </c>
      <c r="B2584" s="152" t="s">
        <v>2323</v>
      </c>
      <c r="C2584" s="152">
        <v>11</v>
      </c>
      <c r="D2584" s="152">
        <v>350</v>
      </c>
      <c r="E2584" s="152">
        <v>1</v>
      </c>
      <c r="F2584" s="152">
        <v>94700</v>
      </c>
      <c r="G2584" s="152">
        <v>52360</v>
      </c>
      <c r="H2584" s="150" t="str">
        <f t="shared" si="120"/>
        <v>5</v>
      </c>
      <c r="I2584" s="150" t="str">
        <f t="shared" si="121"/>
        <v>52</v>
      </c>
      <c r="J2584" s="150" t="str">
        <f t="shared" si="122"/>
        <v>523</v>
      </c>
      <c r="K2584" s="150" t="s">
        <v>7875</v>
      </c>
      <c r="L2584" s="152" t="s">
        <v>2324</v>
      </c>
      <c r="M2584" s="153">
        <v>50</v>
      </c>
    </row>
    <row r="2585" spans="1:13" x14ac:dyDescent="0.25">
      <c r="A2585" s="148" t="s">
        <v>7641</v>
      </c>
      <c r="B2585" s="152" t="s">
        <v>2351</v>
      </c>
      <c r="C2585" s="152">
        <v>11</v>
      </c>
      <c r="D2585" s="152">
        <v>350</v>
      </c>
      <c r="E2585" s="152">
        <v>1</v>
      </c>
      <c r="F2585" s="152">
        <v>94700</v>
      </c>
      <c r="G2585" s="152">
        <v>54300</v>
      </c>
      <c r="H2585" s="150" t="str">
        <f t="shared" si="120"/>
        <v>5</v>
      </c>
      <c r="I2585" s="150" t="str">
        <f t="shared" si="121"/>
        <v>54</v>
      </c>
      <c r="J2585" s="150" t="str">
        <f t="shared" si="122"/>
        <v>543</v>
      </c>
      <c r="K2585" s="150" t="s">
        <v>7955</v>
      </c>
      <c r="L2585" s="152" t="s">
        <v>2352</v>
      </c>
      <c r="M2585" s="153">
        <v>10165</v>
      </c>
    </row>
    <row r="2586" spans="1:13" x14ac:dyDescent="0.25">
      <c r="A2586" s="148" t="s">
        <v>7641</v>
      </c>
      <c r="B2586" s="152" t="s">
        <v>2353</v>
      </c>
      <c r="C2586" s="152">
        <v>11</v>
      </c>
      <c r="D2586" s="152">
        <v>350</v>
      </c>
      <c r="E2586" s="152">
        <v>1</v>
      </c>
      <c r="F2586" s="152">
        <v>94700</v>
      </c>
      <c r="G2586" s="152">
        <v>55125</v>
      </c>
      <c r="H2586" s="150" t="str">
        <f t="shared" si="120"/>
        <v>5</v>
      </c>
      <c r="I2586" s="150" t="str">
        <f t="shared" si="121"/>
        <v>55</v>
      </c>
      <c r="J2586" s="150" t="str">
        <f t="shared" si="122"/>
        <v>551</v>
      </c>
      <c r="K2586" s="150" t="s">
        <v>8031</v>
      </c>
      <c r="L2586" s="152" t="s">
        <v>2354</v>
      </c>
      <c r="M2586" s="153">
        <v>656</v>
      </c>
    </row>
    <row r="2587" spans="1:13" x14ac:dyDescent="0.25">
      <c r="A2587" s="148" t="s">
        <v>7641</v>
      </c>
      <c r="B2587" s="152" t="s">
        <v>2355</v>
      </c>
      <c r="C2587" s="152">
        <v>11</v>
      </c>
      <c r="D2587" s="152">
        <v>350</v>
      </c>
      <c r="E2587" s="152">
        <v>1</v>
      </c>
      <c r="F2587" s="152">
        <v>94700</v>
      </c>
      <c r="G2587" s="152">
        <v>55575</v>
      </c>
      <c r="H2587" s="150" t="str">
        <f t="shared" si="120"/>
        <v>5</v>
      </c>
      <c r="I2587" s="150" t="str">
        <f t="shared" si="121"/>
        <v>55</v>
      </c>
      <c r="J2587" s="150" t="str">
        <f t="shared" si="122"/>
        <v>555</v>
      </c>
      <c r="K2587" s="150" t="s">
        <v>8144</v>
      </c>
      <c r="L2587" s="152" t="s">
        <v>2356</v>
      </c>
      <c r="M2587" s="153">
        <v>139</v>
      </c>
    </row>
    <row r="2588" spans="1:13" x14ac:dyDescent="0.25">
      <c r="A2588" s="148" t="s">
        <v>7641</v>
      </c>
      <c r="B2588" s="152" t="s">
        <v>2357</v>
      </c>
      <c r="C2588" s="152">
        <v>11</v>
      </c>
      <c r="D2588" s="152">
        <v>350</v>
      </c>
      <c r="E2588" s="152">
        <v>1</v>
      </c>
      <c r="F2588" s="152">
        <v>94700</v>
      </c>
      <c r="G2588" s="152">
        <v>55630</v>
      </c>
      <c r="H2588" s="150" t="str">
        <f t="shared" si="120"/>
        <v>5</v>
      </c>
      <c r="I2588" s="150" t="str">
        <f t="shared" si="121"/>
        <v>55</v>
      </c>
      <c r="J2588" s="150" t="str">
        <f t="shared" si="122"/>
        <v>556</v>
      </c>
      <c r="K2588" s="150" t="s">
        <v>8244</v>
      </c>
      <c r="L2588" s="152" t="s">
        <v>2358</v>
      </c>
      <c r="M2588" s="153">
        <v>200</v>
      </c>
    </row>
    <row r="2589" spans="1:13" x14ac:dyDescent="0.25">
      <c r="A2589" s="148" t="s">
        <v>7641</v>
      </c>
      <c r="B2589" s="152" t="s">
        <v>2359</v>
      </c>
      <c r="C2589" s="152">
        <v>11</v>
      </c>
      <c r="D2589" s="152">
        <v>350</v>
      </c>
      <c r="E2589" s="152">
        <v>1</v>
      </c>
      <c r="F2589" s="152">
        <v>94700</v>
      </c>
      <c r="G2589" s="152">
        <v>55650</v>
      </c>
      <c r="H2589" s="150" t="str">
        <f t="shared" si="120"/>
        <v>5</v>
      </c>
      <c r="I2589" s="150" t="str">
        <f t="shared" si="121"/>
        <v>55</v>
      </c>
      <c r="J2589" s="150" t="str">
        <f t="shared" si="122"/>
        <v>556</v>
      </c>
      <c r="K2589" s="150" t="s">
        <v>8305</v>
      </c>
      <c r="L2589" s="152" t="s">
        <v>2360</v>
      </c>
      <c r="M2589" s="153">
        <v>4100</v>
      </c>
    </row>
    <row r="2590" spans="1:13" x14ac:dyDescent="0.25">
      <c r="A2590" s="148" t="s">
        <v>7641</v>
      </c>
      <c r="B2590" s="152" t="s">
        <v>2361</v>
      </c>
      <c r="C2590" s="152">
        <v>11</v>
      </c>
      <c r="D2590" s="152">
        <v>350</v>
      </c>
      <c r="E2590" s="152">
        <v>1</v>
      </c>
      <c r="F2590" s="152">
        <v>94700</v>
      </c>
      <c r="G2590" s="152">
        <v>55651</v>
      </c>
      <c r="H2590" s="150" t="str">
        <f t="shared" si="120"/>
        <v>5</v>
      </c>
      <c r="I2590" s="150" t="str">
        <f t="shared" si="121"/>
        <v>55</v>
      </c>
      <c r="J2590" s="150" t="str">
        <f t="shared" si="122"/>
        <v>556</v>
      </c>
      <c r="K2590" s="150" t="s">
        <v>8322</v>
      </c>
      <c r="L2590" s="152" t="s">
        <v>2362</v>
      </c>
      <c r="M2590" s="153">
        <v>642</v>
      </c>
    </row>
    <row r="2591" spans="1:13" x14ac:dyDescent="0.25">
      <c r="A2591" s="148" t="s">
        <v>7641</v>
      </c>
      <c r="B2591" s="152" t="s">
        <v>2363</v>
      </c>
      <c r="C2591" s="152">
        <v>11</v>
      </c>
      <c r="D2591" s="152">
        <v>350</v>
      </c>
      <c r="E2591" s="152">
        <v>1</v>
      </c>
      <c r="F2591" s="152">
        <v>94700</v>
      </c>
      <c r="G2591" s="152">
        <v>55800</v>
      </c>
      <c r="H2591" s="150" t="str">
        <f t="shared" si="120"/>
        <v>5</v>
      </c>
      <c r="I2591" s="150" t="str">
        <f t="shared" si="121"/>
        <v>55</v>
      </c>
      <c r="J2591" s="150" t="str">
        <f t="shared" si="122"/>
        <v>558</v>
      </c>
      <c r="K2591" s="150" t="s">
        <v>8336</v>
      </c>
      <c r="L2591" s="152" t="s">
        <v>2364</v>
      </c>
      <c r="M2591" s="153">
        <v>27</v>
      </c>
    </row>
    <row r="2592" spans="1:13" x14ac:dyDescent="0.25">
      <c r="A2592" s="148" t="s">
        <v>7641</v>
      </c>
      <c r="B2592" s="152" t="s">
        <v>2365</v>
      </c>
      <c r="C2592" s="152">
        <v>11</v>
      </c>
      <c r="D2592" s="152">
        <v>350</v>
      </c>
      <c r="E2592" s="152">
        <v>1</v>
      </c>
      <c r="F2592" s="152">
        <v>94700</v>
      </c>
      <c r="G2592" s="152">
        <v>56400</v>
      </c>
      <c r="H2592" s="150" t="str">
        <f t="shared" si="120"/>
        <v>5</v>
      </c>
      <c r="I2592" s="150" t="str">
        <f t="shared" si="121"/>
        <v>56</v>
      </c>
      <c r="J2592" s="150" t="str">
        <f t="shared" si="122"/>
        <v>564</v>
      </c>
      <c r="K2592" s="150" t="s">
        <v>8376</v>
      </c>
      <c r="L2592" s="152" t="s">
        <v>2366</v>
      </c>
      <c r="M2592" s="153">
        <v>300</v>
      </c>
    </row>
    <row r="2593" spans="1:13" x14ac:dyDescent="0.25">
      <c r="A2593" s="148" t="s">
        <v>7641</v>
      </c>
      <c r="B2593" s="152" t="s">
        <v>2367</v>
      </c>
      <c r="C2593" s="152">
        <v>11</v>
      </c>
      <c r="D2593" s="152">
        <v>350</v>
      </c>
      <c r="E2593" s="152">
        <v>1</v>
      </c>
      <c r="F2593" s="152">
        <v>94800</v>
      </c>
      <c r="G2593" s="152">
        <v>51310</v>
      </c>
      <c r="H2593" s="150" t="str">
        <f t="shared" si="120"/>
        <v>5</v>
      </c>
      <c r="I2593" s="150" t="str">
        <f t="shared" si="121"/>
        <v>51</v>
      </c>
      <c r="J2593" s="150" t="str">
        <f t="shared" si="122"/>
        <v>513</v>
      </c>
      <c r="K2593" s="150" t="s">
        <v>7682</v>
      </c>
      <c r="L2593" s="152" t="s">
        <v>2368</v>
      </c>
      <c r="M2593" s="153">
        <v>36786.095999999998</v>
      </c>
    </row>
    <row r="2594" spans="1:13" x14ac:dyDescent="0.25">
      <c r="A2594" s="148" t="s">
        <v>7641</v>
      </c>
      <c r="B2594" s="152" t="s">
        <v>2369</v>
      </c>
      <c r="C2594" s="152">
        <v>11</v>
      </c>
      <c r="D2594" s="152">
        <v>350</v>
      </c>
      <c r="E2594" s="152">
        <v>1</v>
      </c>
      <c r="F2594" s="152">
        <v>94800</v>
      </c>
      <c r="G2594" s="152">
        <v>51311</v>
      </c>
      <c r="H2594" s="150" t="str">
        <f t="shared" si="120"/>
        <v>5</v>
      </c>
      <c r="I2594" s="150" t="str">
        <f t="shared" si="121"/>
        <v>51</v>
      </c>
      <c r="J2594" s="150" t="str">
        <f t="shared" si="122"/>
        <v>513</v>
      </c>
      <c r="K2594" s="150" t="s">
        <v>7760</v>
      </c>
      <c r="L2594" s="152" t="s">
        <v>2370</v>
      </c>
      <c r="M2594" s="153">
        <v>75736.08</v>
      </c>
    </row>
    <row r="2595" spans="1:13" x14ac:dyDescent="0.25">
      <c r="A2595" s="148" t="s">
        <v>7641</v>
      </c>
      <c r="B2595" s="152" t="s">
        <v>2371</v>
      </c>
      <c r="C2595" s="152">
        <v>11</v>
      </c>
      <c r="D2595" s="152">
        <v>350</v>
      </c>
      <c r="E2595" s="152">
        <v>1</v>
      </c>
      <c r="F2595" s="152">
        <v>94800</v>
      </c>
      <c r="G2595" s="152">
        <v>51412</v>
      </c>
      <c r="H2595" s="150" t="str">
        <f t="shared" si="120"/>
        <v>5</v>
      </c>
      <c r="I2595" s="150" t="str">
        <f t="shared" si="121"/>
        <v>51</v>
      </c>
      <c r="J2595" s="150" t="str">
        <f t="shared" si="122"/>
        <v>514</v>
      </c>
      <c r="K2595" s="150" t="s">
        <v>7799</v>
      </c>
      <c r="L2595" s="152" t="s">
        <v>2372</v>
      </c>
      <c r="M2595" s="153">
        <v>100</v>
      </c>
    </row>
    <row r="2596" spans="1:13" x14ac:dyDescent="0.25">
      <c r="A2596" s="148" t="s">
        <v>7641</v>
      </c>
      <c r="B2596" s="152" t="s">
        <v>2391</v>
      </c>
      <c r="C2596" s="152">
        <v>11</v>
      </c>
      <c r="D2596" s="152">
        <v>350</v>
      </c>
      <c r="E2596" s="152">
        <v>1</v>
      </c>
      <c r="F2596" s="152">
        <v>94800</v>
      </c>
      <c r="G2596" s="152">
        <v>54300</v>
      </c>
      <c r="H2596" s="150" t="str">
        <f t="shared" si="120"/>
        <v>5</v>
      </c>
      <c r="I2596" s="150" t="str">
        <f t="shared" si="121"/>
        <v>54</v>
      </c>
      <c r="J2596" s="150" t="str">
        <f t="shared" si="122"/>
        <v>543</v>
      </c>
      <c r="K2596" s="150" t="s">
        <v>7956</v>
      </c>
      <c r="L2596" s="152" t="s">
        <v>2392</v>
      </c>
      <c r="M2596" s="153">
        <v>9630</v>
      </c>
    </row>
    <row r="2597" spans="1:13" x14ac:dyDescent="0.25">
      <c r="A2597" s="148" t="s">
        <v>7641</v>
      </c>
      <c r="B2597" s="152" t="s">
        <v>2393</v>
      </c>
      <c r="C2597" s="152">
        <v>11</v>
      </c>
      <c r="D2597" s="152">
        <v>350</v>
      </c>
      <c r="E2597" s="152">
        <v>1</v>
      </c>
      <c r="F2597" s="152">
        <v>94800</v>
      </c>
      <c r="G2597" s="152">
        <v>55630</v>
      </c>
      <c r="H2597" s="150" t="str">
        <f t="shared" si="120"/>
        <v>5</v>
      </c>
      <c r="I2597" s="150" t="str">
        <f t="shared" si="121"/>
        <v>55</v>
      </c>
      <c r="J2597" s="150" t="str">
        <f t="shared" si="122"/>
        <v>556</v>
      </c>
      <c r="K2597" s="150" t="s">
        <v>8245</v>
      </c>
      <c r="L2597" s="152" t="s">
        <v>2133</v>
      </c>
      <c r="M2597" s="153">
        <v>45</v>
      </c>
    </row>
    <row r="2598" spans="1:13" x14ac:dyDescent="0.25">
      <c r="A2598" s="148" t="s">
        <v>7641</v>
      </c>
      <c r="B2598" s="152" t="s">
        <v>2394</v>
      </c>
      <c r="C2598" s="152">
        <v>11</v>
      </c>
      <c r="D2598" s="152">
        <v>350</v>
      </c>
      <c r="E2598" s="152">
        <v>1</v>
      </c>
      <c r="F2598" s="152">
        <v>94800</v>
      </c>
      <c r="G2598" s="152">
        <v>55650</v>
      </c>
      <c r="H2598" s="150" t="str">
        <f t="shared" si="120"/>
        <v>5</v>
      </c>
      <c r="I2598" s="150" t="str">
        <f t="shared" si="121"/>
        <v>55</v>
      </c>
      <c r="J2598" s="150" t="str">
        <f t="shared" si="122"/>
        <v>556</v>
      </c>
      <c r="K2598" s="150" t="s">
        <v>8306</v>
      </c>
      <c r="L2598" s="152" t="s">
        <v>2395</v>
      </c>
      <c r="M2598" s="153">
        <v>800</v>
      </c>
    </row>
    <row r="2599" spans="1:13" x14ac:dyDescent="0.25">
      <c r="A2599" s="148" t="s">
        <v>7641</v>
      </c>
      <c r="B2599" s="152" t="s">
        <v>2396</v>
      </c>
      <c r="C2599" s="152">
        <v>11</v>
      </c>
      <c r="D2599" s="152">
        <v>350</v>
      </c>
      <c r="E2599" s="152">
        <v>1</v>
      </c>
      <c r="F2599" s="152">
        <v>94800</v>
      </c>
      <c r="G2599" s="152">
        <v>55651</v>
      </c>
      <c r="H2599" s="150" t="str">
        <f t="shared" si="120"/>
        <v>5</v>
      </c>
      <c r="I2599" s="150" t="str">
        <f t="shared" si="121"/>
        <v>55</v>
      </c>
      <c r="J2599" s="150" t="str">
        <f t="shared" si="122"/>
        <v>556</v>
      </c>
      <c r="K2599" s="150" t="s">
        <v>8323</v>
      </c>
      <c r="L2599" s="152" t="s">
        <v>2397</v>
      </c>
      <c r="M2599" s="153">
        <v>2000</v>
      </c>
    </row>
    <row r="2600" spans="1:13" x14ac:dyDescent="0.25">
      <c r="A2600" s="148" t="s">
        <v>7641</v>
      </c>
      <c r="B2600" s="152" t="s">
        <v>2398</v>
      </c>
      <c r="C2600" s="152">
        <v>11</v>
      </c>
      <c r="D2600" s="152">
        <v>350</v>
      </c>
      <c r="E2600" s="152">
        <v>1</v>
      </c>
      <c r="F2600" s="152">
        <v>94800</v>
      </c>
      <c r="G2600" s="152">
        <v>56341</v>
      </c>
      <c r="H2600" s="150" t="str">
        <f t="shared" si="120"/>
        <v>5</v>
      </c>
      <c r="I2600" s="150" t="str">
        <f t="shared" si="121"/>
        <v>56</v>
      </c>
      <c r="J2600" s="150" t="str">
        <f t="shared" si="122"/>
        <v>563</v>
      </c>
      <c r="K2600" s="150" t="s">
        <v>8366</v>
      </c>
      <c r="L2600" s="152" t="s">
        <v>2399</v>
      </c>
      <c r="M2600" s="153">
        <v>6720</v>
      </c>
    </row>
    <row r="2601" spans="1:13" x14ac:dyDescent="0.25">
      <c r="A2601" s="148" t="s">
        <v>7641</v>
      </c>
      <c r="B2601" s="152" t="s">
        <v>2402</v>
      </c>
      <c r="C2601" s="152">
        <v>11</v>
      </c>
      <c r="D2601" s="152">
        <v>350</v>
      </c>
      <c r="E2601" s="152">
        <v>1</v>
      </c>
      <c r="F2601" s="152">
        <v>95200</v>
      </c>
      <c r="G2601" s="152">
        <v>51310</v>
      </c>
      <c r="H2601" s="150" t="str">
        <f t="shared" si="120"/>
        <v>5</v>
      </c>
      <c r="I2601" s="150" t="str">
        <f t="shared" si="121"/>
        <v>51</v>
      </c>
      <c r="J2601" s="150" t="str">
        <f t="shared" si="122"/>
        <v>513</v>
      </c>
      <c r="K2601" s="150" t="s">
        <v>7683</v>
      </c>
      <c r="L2601" s="152" t="s">
        <v>2403</v>
      </c>
      <c r="M2601" s="153">
        <v>2500</v>
      </c>
    </row>
    <row r="2602" spans="1:13" x14ac:dyDescent="0.25">
      <c r="A2602" s="148" t="s">
        <v>7641</v>
      </c>
      <c r="B2602" s="152" t="s">
        <v>2404</v>
      </c>
      <c r="C2602" s="152">
        <v>11</v>
      </c>
      <c r="D2602" s="152">
        <v>350</v>
      </c>
      <c r="E2602" s="152">
        <v>1</v>
      </c>
      <c r="F2602" s="152">
        <v>95200</v>
      </c>
      <c r="G2602" s="152">
        <v>51311</v>
      </c>
      <c r="H2602" s="150" t="str">
        <f t="shared" si="120"/>
        <v>5</v>
      </c>
      <c r="I2602" s="150" t="str">
        <f t="shared" si="121"/>
        <v>51</v>
      </c>
      <c r="J2602" s="150" t="str">
        <f t="shared" si="122"/>
        <v>513</v>
      </c>
      <c r="K2602" s="150" t="s">
        <v>7761</v>
      </c>
      <c r="L2602" s="152" t="s">
        <v>2405</v>
      </c>
      <c r="M2602" s="153">
        <v>103275</v>
      </c>
    </row>
    <row r="2603" spans="1:13" x14ac:dyDescent="0.25">
      <c r="A2603" s="148" t="s">
        <v>7641</v>
      </c>
      <c r="B2603" s="152" t="s">
        <v>2418</v>
      </c>
      <c r="C2603" s="152">
        <v>11</v>
      </c>
      <c r="D2603" s="152">
        <v>350</v>
      </c>
      <c r="E2603" s="152">
        <v>1</v>
      </c>
      <c r="F2603" s="152">
        <v>95200</v>
      </c>
      <c r="G2603" s="152">
        <v>54300</v>
      </c>
      <c r="H2603" s="150" t="str">
        <f t="shared" si="120"/>
        <v>5</v>
      </c>
      <c r="I2603" s="150" t="str">
        <f t="shared" si="121"/>
        <v>54</v>
      </c>
      <c r="J2603" s="150" t="str">
        <f t="shared" si="122"/>
        <v>543</v>
      </c>
      <c r="K2603" s="150" t="s">
        <v>7957</v>
      </c>
      <c r="L2603" s="152" t="s">
        <v>2419</v>
      </c>
      <c r="M2603" s="153">
        <v>3000</v>
      </c>
    </row>
    <row r="2604" spans="1:13" x14ac:dyDescent="0.25">
      <c r="A2604" s="148" t="s">
        <v>7641</v>
      </c>
      <c r="B2604" s="152" t="s">
        <v>2420</v>
      </c>
      <c r="C2604" s="152">
        <v>11</v>
      </c>
      <c r="D2604" s="152">
        <v>350</v>
      </c>
      <c r="E2604" s="152">
        <v>1</v>
      </c>
      <c r="F2604" s="152">
        <v>95200</v>
      </c>
      <c r="G2604" s="152">
        <v>55300</v>
      </c>
      <c r="H2604" s="150" t="str">
        <f t="shared" si="120"/>
        <v>5</v>
      </c>
      <c r="I2604" s="150" t="str">
        <f t="shared" si="121"/>
        <v>55</v>
      </c>
      <c r="J2604" s="150" t="str">
        <f t="shared" si="122"/>
        <v>553</v>
      </c>
      <c r="K2604" s="150" t="s">
        <v>8092</v>
      </c>
      <c r="L2604" s="152" t="s">
        <v>2421</v>
      </c>
      <c r="M2604" s="153">
        <v>150</v>
      </c>
    </row>
    <row r="2605" spans="1:13" x14ac:dyDescent="0.25">
      <c r="A2605" s="148" t="s">
        <v>7641</v>
      </c>
      <c r="B2605" s="152" t="s">
        <v>2422</v>
      </c>
      <c r="C2605" s="152">
        <v>11</v>
      </c>
      <c r="D2605" s="152">
        <v>350</v>
      </c>
      <c r="E2605" s="152">
        <v>1</v>
      </c>
      <c r="F2605" s="152">
        <v>95200</v>
      </c>
      <c r="G2605" s="152">
        <v>55309</v>
      </c>
      <c r="H2605" s="150" t="str">
        <f t="shared" si="120"/>
        <v>5</v>
      </c>
      <c r="I2605" s="150" t="str">
        <f t="shared" si="121"/>
        <v>55</v>
      </c>
      <c r="J2605" s="150" t="str">
        <f t="shared" si="122"/>
        <v>553</v>
      </c>
      <c r="K2605" s="150" t="s">
        <v>8109</v>
      </c>
      <c r="L2605" s="152" t="s">
        <v>2423</v>
      </c>
      <c r="M2605" s="153">
        <v>150</v>
      </c>
    </row>
    <row r="2606" spans="1:13" x14ac:dyDescent="0.25">
      <c r="A2606" s="148" t="s">
        <v>7641</v>
      </c>
      <c r="B2606" s="152" t="s">
        <v>2424</v>
      </c>
      <c r="C2606" s="152">
        <v>11</v>
      </c>
      <c r="D2606" s="152">
        <v>350</v>
      </c>
      <c r="E2606" s="152">
        <v>1</v>
      </c>
      <c r="F2606" s="152">
        <v>95200</v>
      </c>
      <c r="G2606" s="152">
        <v>55630</v>
      </c>
      <c r="H2606" s="150" t="str">
        <f t="shared" si="120"/>
        <v>5</v>
      </c>
      <c r="I2606" s="150" t="str">
        <f t="shared" si="121"/>
        <v>55</v>
      </c>
      <c r="J2606" s="150" t="str">
        <f t="shared" si="122"/>
        <v>556</v>
      </c>
      <c r="K2606" s="150" t="s">
        <v>8246</v>
      </c>
      <c r="L2606" s="152" t="s">
        <v>2425</v>
      </c>
      <c r="M2606" s="153">
        <v>150</v>
      </c>
    </row>
    <row r="2607" spans="1:13" x14ac:dyDescent="0.25">
      <c r="A2607" s="148" t="s">
        <v>7641</v>
      </c>
      <c r="B2607" s="152" t="s">
        <v>2426</v>
      </c>
      <c r="C2607" s="152">
        <v>11</v>
      </c>
      <c r="D2607" s="152">
        <v>350</v>
      </c>
      <c r="E2607" s="152">
        <v>1</v>
      </c>
      <c r="F2607" s="152">
        <v>95200</v>
      </c>
      <c r="G2607" s="152">
        <v>56400</v>
      </c>
      <c r="H2607" s="150" t="str">
        <f t="shared" si="120"/>
        <v>5</v>
      </c>
      <c r="I2607" s="150" t="str">
        <f t="shared" si="121"/>
        <v>56</v>
      </c>
      <c r="J2607" s="150" t="str">
        <f t="shared" si="122"/>
        <v>564</v>
      </c>
      <c r="K2607" s="150" t="s">
        <v>8377</v>
      </c>
      <c r="L2607" s="152" t="s">
        <v>2427</v>
      </c>
      <c r="M2607" s="153">
        <v>200</v>
      </c>
    </row>
    <row r="2608" spans="1:13" x14ac:dyDescent="0.25">
      <c r="A2608" s="148" t="s">
        <v>7641</v>
      </c>
      <c r="B2608" s="152" t="s">
        <v>2428</v>
      </c>
      <c r="C2608" s="152">
        <v>11</v>
      </c>
      <c r="D2608" s="152">
        <v>350</v>
      </c>
      <c r="E2608" s="152">
        <v>1</v>
      </c>
      <c r="F2608" s="152">
        <v>95220</v>
      </c>
      <c r="G2608" s="152">
        <v>55105</v>
      </c>
      <c r="H2608" s="150" t="str">
        <f t="shared" si="120"/>
        <v>5</v>
      </c>
      <c r="I2608" s="150" t="str">
        <f t="shared" si="121"/>
        <v>55</v>
      </c>
      <c r="J2608" s="150" t="str">
        <f t="shared" si="122"/>
        <v>551</v>
      </c>
      <c r="K2608" s="150" t="s">
        <v>8014</v>
      </c>
      <c r="L2608" s="152" t="s">
        <v>2429</v>
      </c>
      <c r="M2608" s="153">
        <v>67000</v>
      </c>
    </row>
    <row r="2609" spans="1:13" x14ac:dyDescent="0.25">
      <c r="A2609" s="148" t="s">
        <v>7641</v>
      </c>
      <c r="B2609" s="152" t="s">
        <v>2442</v>
      </c>
      <c r="C2609" s="152">
        <v>11</v>
      </c>
      <c r="D2609" s="152">
        <v>350</v>
      </c>
      <c r="E2609" s="152">
        <v>1</v>
      </c>
      <c r="F2609" s="152">
        <v>95300</v>
      </c>
      <c r="G2609" s="152">
        <v>54300</v>
      </c>
      <c r="H2609" s="150" t="str">
        <f t="shared" si="120"/>
        <v>5</v>
      </c>
      <c r="I2609" s="150" t="str">
        <f t="shared" si="121"/>
        <v>54</v>
      </c>
      <c r="J2609" s="150" t="str">
        <f t="shared" si="122"/>
        <v>543</v>
      </c>
      <c r="K2609" s="150" t="s">
        <v>7958</v>
      </c>
      <c r="L2609" s="152" t="s">
        <v>2443</v>
      </c>
      <c r="M2609" s="153">
        <v>107</v>
      </c>
    </row>
    <row r="2610" spans="1:13" x14ac:dyDescent="0.25">
      <c r="A2610" s="148" t="s">
        <v>7641</v>
      </c>
      <c r="B2610" s="152" t="s">
        <v>2444</v>
      </c>
      <c r="C2610" s="152">
        <v>11</v>
      </c>
      <c r="D2610" s="152">
        <v>350</v>
      </c>
      <c r="E2610" s="152">
        <v>1</v>
      </c>
      <c r="F2610" s="152">
        <v>95300</v>
      </c>
      <c r="G2610" s="152">
        <v>55630</v>
      </c>
      <c r="H2610" s="150" t="str">
        <f t="shared" si="120"/>
        <v>5</v>
      </c>
      <c r="I2610" s="150" t="str">
        <f t="shared" si="121"/>
        <v>55</v>
      </c>
      <c r="J2610" s="150" t="str">
        <f t="shared" si="122"/>
        <v>556</v>
      </c>
      <c r="K2610" s="150" t="s">
        <v>8247</v>
      </c>
      <c r="L2610" s="152" t="s">
        <v>2445</v>
      </c>
      <c r="M2610" s="153">
        <v>150</v>
      </c>
    </row>
    <row r="2611" spans="1:13" x14ac:dyDescent="0.25">
      <c r="A2611" s="148" t="s">
        <v>7641</v>
      </c>
      <c r="B2611" s="152" t="s">
        <v>2446</v>
      </c>
      <c r="C2611" s="152">
        <v>11</v>
      </c>
      <c r="D2611" s="152">
        <v>350</v>
      </c>
      <c r="E2611" s="152">
        <v>1</v>
      </c>
      <c r="F2611" s="152">
        <v>95300</v>
      </c>
      <c r="G2611" s="152">
        <v>55651</v>
      </c>
      <c r="H2611" s="150" t="str">
        <f t="shared" si="120"/>
        <v>5</v>
      </c>
      <c r="I2611" s="150" t="str">
        <f t="shared" si="121"/>
        <v>55</v>
      </c>
      <c r="J2611" s="150" t="str">
        <f t="shared" si="122"/>
        <v>556</v>
      </c>
      <c r="K2611" s="150" t="s">
        <v>8324</v>
      </c>
      <c r="L2611" s="152" t="s">
        <v>2447</v>
      </c>
      <c r="M2611" s="153">
        <v>54</v>
      </c>
    </row>
    <row r="2612" spans="1:13" x14ac:dyDescent="0.25">
      <c r="A2612" s="148" t="s">
        <v>7641</v>
      </c>
      <c r="B2612" s="152" t="s">
        <v>2448</v>
      </c>
      <c r="C2612" s="152">
        <v>11</v>
      </c>
      <c r="D2612" s="152">
        <v>350</v>
      </c>
      <c r="E2612" s="152">
        <v>1</v>
      </c>
      <c r="F2612" s="152">
        <v>95300</v>
      </c>
      <c r="G2612" s="152">
        <v>56300</v>
      </c>
      <c r="H2612" s="150" t="str">
        <f t="shared" si="120"/>
        <v>5</v>
      </c>
      <c r="I2612" s="150" t="str">
        <f t="shared" si="121"/>
        <v>56</v>
      </c>
      <c r="J2612" s="150" t="str">
        <f t="shared" si="122"/>
        <v>563</v>
      </c>
      <c r="K2612" s="150" t="s">
        <v>8358</v>
      </c>
      <c r="L2612" s="152" t="s">
        <v>2449</v>
      </c>
      <c r="M2612" s="153">
        <v>3000</v>
      </c>
    </row>
    <row r="2613" spans="1:13" x14ac:dyDescent="0.25">
      <c r="A2613" s="148" t="s">
        <v>7641</v>
      </c>
      <c r="B2613" s="152" t="s">
        <v>2452</v>
      </c>
      <c r="C2613" s="152">
        <v>11</v>
      </c>
      <c r="D2613" s="152">
        <v>350</v>
      </c>
      <c r="E2613" s="152">
        <v>1</v>
      </c>
      <c r="F2613" s="152">
        <v>95650</v>
      </c>
      <c r="G2613" s="152">
        <v>51310</v>
      </c>
      <c r="H2613" s="150" t="str">
        <f t="shared" si="120"/>
        <v>5</v>
      </c>
      <c r="I2613" s="150" t="str">
        <f t="shared" si="121"/>
        <v>51</v>
      </c>
      <c r="J2613" s="150" t="str">
        <f t="shared" si="122"/>
        <v>513</v>
      </c>
      <c r="K2613" s="150" t="s">
        <v>7684</v>
      </c>
      <c r="L2613" s="152" t="s">
        <v>2453</v>
      </c>
      <c r="M2613" s="153">
        <v>16229.16</v>
      </c>
    </row>
    <row r="2614" spans="1:13" x14ac:dyDescent="0.25">
      <c r="A2614" s="148" t="s">
        <v>7641</v>
      </c>
      <c r="B2614" s="152" t="s">
        <v>2454</v>
      </c>
      <c r="C2614" s="152">
        <v>11</v>
      </c>
      <c r="D2614" s="152">
        <v>350</v>
      </c>
      <c r="E2614" s="152">
        <v>1</v>
      </c>
      <c r="F2614" s="152">
        <v>95650</v>
      </c>
      <c r="G2614" s="152">
        <v>51311</v>
      </c>
      <c r="H2614" s="150" t="str">
        <f t="shared" si="120"/>
        <v>5</v>
      </c>
      <c r="I2614" s="150" t="str">
        <f t="shared" si="121"/>
        <v>51</v>
      </c>
      <c r="J2614" s="150" t="str">
        <f t="shared" si="122"/>
        <v>513</v>
      </c>
      <c r="K2614" s="150" t="s">
        <v>7762</v>
      </c>
      <c r="L2614" s="152" t="s">
        <v>2455</v>
      </c>
      <c r="M2614" s="153">
        <v>40572.9</v>
      </c>
    </row>
    <row r="2615" spans="1:13" x14ac:dyDescent="0.25">
      <c r="A2615" s="148" t="s">
        <v>7641</v>
      </c>
      <c r="B2615" s="152" t="s">
        <v>2472</v>
      </c>
      <c r="C2615" s="152">
        <v>11</v>
      </c>
      <c r="D2615" s="152">
        <v>350</v>
      </c>
      <c r="E2615" s="152">
        <v>1</v>
      </c>
      <c r="F2615" s="152">
        <v>95650</v>
      </c>
      <c r="G2615" s="152">
        <v>54300</v>
      </c>
      <c r="H2615" s="150" t="str">
        <f t="shared" si="120"/>
        <v>5</v>
      </c>
      <c r="I2615" s="150" t="str">
        <f t="shared" si="121"/>
        <v>54</v>
      </c>
      <c r="J2615" s="150" t="str">
        <f t="shared" si="122"/>
        <v>543</v>
      </c>
      <c r="K2615" s="150" t="s">
        <v>7959</v>
      </c>
      <c r="L2615" s="152" t="s">
        <v>2473</v>
      </c>
      <c r="M2615" s="153">
        <v>33170</v>
      </c>
    </row>
    <row r="2616" spans="1:13" x14ac:dyDescent="0.25">
      <c r="A2616" s="148" t="s">
        <v>7641</v>
      </c>
      <c r="B2616" s="152" t="s">
        <v>2474</v>
      </c>
      <c r="C2616" s="152">
        <v>11</v>
      </c>
      <c r="D2616" s="152">
        <v>350</v>
      </c>
      <c r="E2616" s="152">
        <v>1</v>
      </c>
      <c r="F2616" s="152">
        <v>95650</v>
      </c>
      <c r="G2616" s="152">
        <v>55630</v>
      </c>
      <c r="H2616" s="150" t="str">
        <f t="shared" si="120"/>
        <v>5</v>
      </c>
      <c r="I2616" s="150" t="str">
        <f t="shared" si="121"/>
        <v>55</v>
      </c>
      <c r="J2616" s="150" t="str">
        <f t="shared" si="122"/>
        <v>556</v>
      </c>
      <c r="K2616" s="150" t="s">
        <v>8248</v>
      </c>
      <c r="L2616" s="152" t="s">
        <v>2475</v>
      </c>
      <c r="M2616" s="153">
        <v>600</v>
      </c>
    </row>
    <row r="2617" spans="1:13" x14ac:dyDescent="0.25">
      <c r="A2617" s="148" t="s">
        <v>7641</v>
      </c>
      <c r="B2617" s="152" t="s">
        <v>2476</v>
      </c>
      <c r="C2617" s="152">
        <v>11</v>
      </c>
      <c r="D2617" s="152">
        <v>350</v>
      </c>
      <c r="E2617" s="152">
        <v>1</v>
      </c>
      <c r="F2617" s="152">
        <v>95650</v>
      </c>
      <c r="G2617" s="152">
        <v>55651</v>
      </c>
      <c r="H2617" s="150" t="str">
        <f t="shared" si="120"/>
        <v>5</v>
      </c>
      <c r="I2617" s="150" t="str">
        <f t="shared" si="121"/>
        <v>55</v>
      </c>
      <c r="J2617" s="150" t="str">
        <f t="shared" si="122"/>
        <v>556</v>
      </c>
      <c r="K2617" s="150" t="s">
        <v>8325</v>
      </c>
      <c r="L2617" s="152" t="s">
        <v>2477</v>
      </c>
      <c r="M2617" s="153">
        <v>2000</v>
      </c>
    </row>
    <row r="2618" spans="1:13" x14ac:dyDescent="0.25">
      <c r="A2618" s="148" t="s">
        <v>7641</v>
      </c>
      <c r="B2618" s="152" t="s">
        <v>2478</v>
      </c>
      <c r="C2618" s="152">
        <v>11</v>
      </c>
      <c r="D2618" s="152">
        <v>350</v>
      </c>
      <c r="E2618" s="152">
        <v>1</v>
      </c>
      <c r="F2618" s="152">
        <v>95650</v>
      </c>
      <c r="G2618" s="152">
        <v>56400</v>
      </c>
      <c r="H2618" s="150" t="str">
        <f t="shared" si="120"/>
        <v>5</v>
      </c>
      <c r="I2618" s="150" t="str">
        <f t="shared" si="121"/>
        <v>56</v>
      </c>
      <c r="J2618" s="150" t="str">
        <f t="shared" si="122"/>
        <v>564</v>
      </c>
      <c r="K2618" s="150" t="s">
        <v>8378</v>
      </c>
      <c r="L2618" s="152" t="s">
        <v>2479</v>
      </c>
      <c r="M2618" s="153">
        <v>600</v>
      </c>
    </row>
    <row r="2619" spans="1:13" x14ac:dyDescent="0.25">
      <c r="A2619" s="148" t="s">
        <v>7641</v>
      </c>
      <c r="B2619" s="152" t="s">
        <v>2482</v>
      </c>
      <c r="C2619" s="152">
        <v>11</v>
      </c>
      <c r="D2619" s="152">
        <v>350</v>
      </c>
      <c r="E2619" s="152">
        <v>1</v>
      </c>
      <c r="F2619" s="152">
        <v>601000</v>
      </c>
      <c r="G2619" s="152">
        <v>52300</v>
      </c>
      <c r="H2619" s="150" t="str">
        <f t="shared" si="120"/>
        <v>5</v>
      </c>
      <c r="I2619" s="150" t="str">
        <f t="shared" si="121"/>
        <v>52</v>
      </c>
      <c r="J2619" s="150" t="str">
        <f t="shared" si="122"/>
        <v>523</v>
      </c>
      <c r="K2619" s="150" t="s">
        <v>7828</v>
      </c>
      <c r="L2619" s="152" t="s">
        <v>483</v>
      </c>
      <c r="M2619" s="153">
        <v>0</v>
      </c>
    </row>
    <row r="2620" spans="1:13" x14ac:dyDescent="0.25">
      <c r="A2620" s="148" t="s">
        <v>7641</v>
      </c>
      <c r="B2620" s="152" t="s">
        <v>2483</v>
      </c>
      <c r="C2620" s="152">
        <v>11</v>
      </c>
      <c r="D2620" s="152">
        <v>350</v>
      </c>
      <c r="E2620" s="152">
        <v>1</v>
      </c>
      <c r="F2620" s="152">
        <v>601000</v>
      </c>
      <c r="G2620" s="152">
        <v>52350</v>
      </c>
      <c r="H2620" s="150" t="str">
        <f t="shared" si="120"/>
        <v>5</v>
      </c>
      <c r="I2620" s="150" t="str">
        <f t="shared" si="121"/>
        <v>52</v>
      </c>
      <c r="J2620" s="150" t="str">
        <f t="shared" si="122"/>
        <v>523</v>
      </c>
      <c r="K2620" s="150" t="s">
        <v>7855</v>
      </c>
      <c r="L2620" s="152" t="s">
        <v>1006</v>
      </c>
      <c r="M2620" s="153">
        <v>6151</v>
      </c>
    </row>
    <row r="2621" spans="1:13" x14ac:dyDescent="0.25">
      <c r="A2621" s="148" t="s">
        <v>7641</v>
      </c>
      <c r="B2621" s="152" t="s">
        <v>2492</v>
      </c>
      <c r="C2621" s="152">
        <v>11</v>
      </c>
      <c r="D2621" s="152">
        <v>350</v>
      </c>
      <c r="E2621" s="152">
        <v>1</v>
      </c>
      <c r="F2621" s="152">
        <v>601000</v>
      </c>
      <c r="G2621" s="152">
        <v>54300</v>
      </c>
      <c r="H2621" s="150" t="str">
        <f t="shared" si="120"/>
        <v>5</v>
      </c>
      <c r="I2621" s="150" t="str">
        <f t="shared" si="121"/>
        <v>54</v>
      </c>
      <c r="J2621" s="150" t="str">
        <f t="shared" si="122"/>
        <v>543</v>
      </c>
      <c r="K2621" s="150" t="s">
        <v>7960</v>
      </c>
      <c r="L2621" s="152" t="s">
        <v>501</v>
      </c>
      <c r="M2621" s="153">
        <v>3300</v>
      </c>
    </row>
    <row r="2622" spans="1:13" x14ac:dyDescent="0.25">
      <c r="A2622" s="148" t="s">
        <v>7641</v>
      </c>
      <c r="B2622" s="152" t="s">
        <v>2493</v>
      </c>
      <c r="C2622" s="152">
        <v>11</v>
      </c>
      <c r="D2622" s="152">
        <v>350</v>
      </c>
      <c r="E2622" s="152">
        <v>1</v>
      </c>
      <c r="F2622" s="152">
        <v>601000</v>
      </c>
      <c r="G2622" s="152">
        <v>54349</v>
      </c>
      <c r="H2622" s="150" t="str">
        <f t="shared" si="120"/>
        <v>5</v>
      </c>
      <c r="I2622" s="150" t="str">
        <f t="shared" si="121"/>
        <v>54</v>
      </c>
      <c r="J2622" s="150" t="str">
        <f t="shared" si="122"/>
        <v>543</v>
      </c>
      <c r="K2622" s="150" t="s">
        <v>7993</v>
      </c>
      <c r="L2622" s="152" t="s">
        <v>2208</v>
      </c>
      <c r="M2622" s="153">
        <v>1000</v>
      </c>
    </row>
    <row r="2623" spans="1:13" x14ac:dyDescent="0.25">
      <c r="A2623" s="148" t="s">
        <v>7641</v>
      </c>
      <c r="B2623" s="152" t="s">
        <v>2494</v>
      </c>
      <c r="C2623" s="152">
        <v>11</v>
      </c>
      <c r="D2623" s="152">
        <v>350</v>
      </c>
      <c r="E2623" s="152">
        <v>1</v>
      </c>
      <c r="F2623" s="152">
        <v>601000</v>
      </c>
      <c r="G2623" s="152">
        <v>55125</v>
      </c>
      <c r="H2623" s="150" t="str">
        <f t="shared" si="120"/>
        <v>5</v>
      </c>
      <c r="I2623" s="150" t="str">
        <f t="shared" si="121"/>
        <v>55</v>
      </c>
      <c r="J2623" s="150" t="str">
        <f t="shared" si="122"/>
        <v>551</v>
      </c>
      <c r="K2623" s="150" t="s">
        <v>8032</v>
      </c>
      <c r="L2623" s="152" t="s">
        <v>503</v>
      </c>
      <c r="M2623" s="153">
        <v>1000</v>
      </c>
    </row>
    <row r="2624" spans="1:13" x14ac:dyDescent="0.25">
      <c r="A2624" s="148" t="s">
        <v>7641</v>
      </c>
      <c r="B2624" s="152" t="s">
        <v>2495</v>
      </c>
      <c r="C2624" s="152">
        <v>11</v>
      </c>
      <c r="D2624" s="152">
        <v>350</v>
      </c>
      <c r="E2624" s="152">
        <v>1</v>
      </c>
      <c r="F2624" s="152">
        <v>601000</v>
      </c>
      <c r="G2624" s="152">
        <v>55200</v>
      </c>
      <c r="H2624" s="150" t="str">
        <f t="shared" si="120"/>
        <v>5</v>
      </c>
      <c r="I2624" s="150" t="str">
        <f t="shared" si="121"/>
        <v>55</v>
      </c>
      <c r="J2624" s="150" t="str">
        <f t="shared" si="122"/>
        <v>552</v>
      </c>
      <c r="K2624" s="150" t="s">
        <v>8056</v>
      </c>
      <c r="L2624" s="152" t="s">
        <v>505</v>
      </c>
      <c r="M2624" s="153">
        <v>2400</v>
      </c>
    </row>
    <row r="2625" spans="1:13" x14ac:dyDescent="0.25">
      <c r="A2625" s="148" t="s">
        <v>7641</v>
      </c>
      <c r="B2625" s="152" t="s">
        <v>2496</v>
      </c>
      <c r="C2625" s="152">
        <v>11</v>
      </c>
      <c r="D2625" s="152">
        <v>350</v>
      </c>
      <c r="E2625" s="152">
        <v>1</v>
      </c>
      <c r="F2625" s="152">
        <v>601000</v>
      </c>
      <c r="G2625" s="152">
        <v>55300</v>
      </c>
      <c r="H2625" s="150" t="str">
        <f t="shared" si="120"/>
        <v>5</v>
      </c>
      <c r="I2625" s="150" t="str">
        <f t="shared" si="121"/>
        <v>55</v>
      </c>
      <c r="J2625" s="150" t="str">
        <f t="shared" si="122"/>
        <v>553</v>
      </c>
      <c r="K2625" s="150" t="s">
        <v>8093</v>
      </c>
      <c r="L2625" s="152" t="s">
        <v>1024</v>
      </c>
      <c r="M2625" s="153">
        <v>3210</v>
      </c>
    </row>
    <row r="2626" spans="1:13" x14ac:dyDescent="0.25">
      <c r="A2626" s="148" t="s">
        <v>7641</v>
      </c>
      <c r="B2626" s="152" t="s">
        <v>2497</v>
      </c>
      <c r="C2626" s="152">
        <v>11</v>
      </c>
      <c r="D2626" s="152">
        <v>350</v>
      </c>
      <c r="E2626" s="152">
        <v>1</v>
      </c>
      <c r="F2626" s="152">
        <v>601000</v>
      </c>
      <c r="G2626" s="152">
        <v>55309</v>
      </c>
      <c r="H2626" s="150" t="str">
        <f t="shared" si="120"/>
        <v>5</v>
      </c>
      <c r="I2626" s="150" t="str">
        <f t="shared" si="121"/>
        <v>55</v>
      </c>
      <c r="J2626" s="150" t="str">
        <f t="shared" si="122"/>
        <v>553</v>
      </c>
      <c r="K2626" s="150" t="s">
        <v>8110</v>
      </c>
      <c r="L2626" s="152" t="s">
        <v>2498</v>
      </c>
      <c r="M2626" s="153">
        <v>107</v>
      </c>
    </row>
    <row r="2627" spans="1:13" x14ac:dyDescent="0.25">
      <c r="A2627" s="148" t="s">
        <v>7641</v>
      </c>
      <c r="B2627" s="152" t="s">
        <v>2499</v>
      </c>
      <c r="C2627" s="152">
        <v>11</v>
      </c>
      <c r="D2627" s="152">
        <v>350</v>
      </c>
      <c r="E2627" s="152">
        <v>1</v>
      </c>
      <c r="F2627" s="152">
        <v>601000</v>
      </c>
      <c r="G2627" s="152">
        <v>55600</v>
      </c>
      <c r="H2627" s="150" t="str">
        <f t="shared" ref="H2627:H2690" si="123">LEFT(G2627,1)</f>
        <v>5</v>
      </c>
      <c r="I2627" s="150" t="str">
        <f t="shared" ref="I2627:I2690" si="124">LEFT(G2627,2)</f>
        <v>55</v>
      </c>
      <c r="J2627" s="150" t="str">
        <f t="shared" ref="J2627:J2690" si="125">LEFT(G2627,3)</f>
        <v>556</v>
      </c>
      <c r="K2627" s="150" t="s">
        <v>8152</v>
      </c>
      <c r="L2627" s="152" t="s">
        <v>2500</v>
      </c>
      <c r="M2627" s="153">
        <v>0</v>
      </c>
    </row>
    <row r="2628" spans="1:13" x14ac:dyDescent="0.25">
      <c r="A2628" s="148" t="s">
        <v>7641</v>
      </c>
      <c r="B2628" s="152" t="s">
        <v>2501</v>
      </c>
      <c r="C2628" s="152">
        <v>11</v>
      </c>
      <c r="D2628" s="152">
        <v>350</v>
      </c>
      <c r="E2628" s="152">
        <v>1</v>
      </c>
      <c r="F2628" s="152">
        <v>601000</v>
      </c>
      <c r="G2628" s="152">
        <v>55630</v>
      </c>
      <c r="H2628" s="150" t="str">
        <f t="shared" si="123"/>
        <v>5</v>
      </c>
      <c r="I2628" s="150" t="str">
        <f t="shared" si="124"/>
        <v>55</v>
      </c>
      <c r="J2628" s="150" t="str">
        <f t="shared" si="125"/>
        <v>556</v>
      </c>
      <c r="K2628" s="150" t="s">
        <v>8249</v>
      </c>
      <c r="L2628" s="152" t="s">
        <v>509</v>
      </c>
      <c r="M2628" s="153">
        <v>800</v>
      </c>
    </row>
    <row r="2629" spans="1:13" x14ac:dyDescent="0.25">
      <c r="A2629" s="148" t="s">
        <v>7641</v>
      </c>
      <c r="B2629" s="152" t="s">
        <v>2502</v>
      </c>
      <c r="C2629" s="152">
        <v>11</v>
      </c>
      <c r="D2629" s="152">
        <v>350</v>
      </c>
      <c r="E2629" s="152">
        <v>1</v>
      </c>
      <c r="F2629" s="152">
        <v>601000</v>
      </c>
      <c r="G2629" s="152">
        <v>55635</v>
      </c>
      <c r="H2629" s="150" t="str">
        <f t="shared" si="123"/>
        <v>5</v>
      </c>
      <c r="I2629" s="150" t="str">
        <f t="shared" si="124"/>
        <v>55</v>
      </c>
      <c r="J2629" s="150" t="str">
        <f t="shared" si="125"/>
        <v>556</v>
      </c>
      <c r="K2629" s="150" t="s">
        <v>8281</v>
      </c>
      <c r="L2629" s="152" t="s">
        <v>1027</v>
      </c>
      <c r="M2629" s="153">
        <v>214</v>
      </c>
    </row>
    <row r="2630" spans="1:13" x14ac:dyDescent="0.25">
      <c r="A2630" s="148" t="s">
        <v>7641</v>
      </c>
      <c r="B2630" s="152" t="s">
        <v>2503</v>
      </c>
      <c r="C2630" s="152">
        <v>11</v>
      </c>
      <c r="D2630" s="152">
        <v>350</v>
      </c>
      <c r="E2630" s="152">
        <v>1</v>
      </c>
      <c r="F2630" s="152">
        <v>601000</v>
      </c>
      <c r="G2630" s="152">
        <v>55650</v>
      </c>
      <c r="H2630" s="150" t="str">
        <f t="shared" si="123"/>
        <v>5</v>
      </c>
      <c r="I2630" s="150" t="str">
        <f t="shared" si="124"/>
        <v>55</v>
      </c>
      <c r="J2630" s="150" t="str">
        <f t="shared" si="125"/>
        <v>556</v>
      </c>
      <c r="K2630" s="150" t="s">
        <v>8307</v>
      </c>
      <c r="L2630" s="152" t="s">
        <v>511</v>
      </c>
      <c r="M2630" s="153">
        <v>15083.93</v>
      </c>
    </row>
    <row r="2631" spans="1:13" x14ac:dyDescent="0.25">
      <c r="A2631" s="148" t="s">
        <v>7641</v>
      </c>
      <c r="B2631" s="152" t="s">
        <v>2504</v>
      </c>
      <c r="C2631" s="152">
        <v>11</v>
      </c>
      <c r="D2631" s="152">
        <v>350</v>
      </c>
      <c r="E2631" s="152">
        <v>1</v>
      </c>
      <c r="F2631" s="152">
        <v>601000</v>
      </c>
      <c r="G2631" s="152">
        <v>55800</v>
      </c>
      <c r="H2631" s="150" t="str">
        <f t="shared" si="123"/>
        <v>5</v>
      </c>
      <c r="I2631" s="150" t="str">
        <f t="shared" si="124"/>
        <v>55</v>
      </c>
      <c r="J2631" s="150" t="str">
        <f t="shared" si="125"/>
        <v>558</v>
      </c>
      <c r="K2631" s="150" t="s">
        <v>8337</v>
      </c>
      <c r="L2631" s="152" t="s">
        <v>2505</v>
      </c>
      <c r="M2631" s="153">
        <v>1000</v>
      </c>
    </row>
    <row r="2632" spans="1:13" x14ac:dyDescent="0.25">
      <c r="A2632" s="148" t="s">
        <v>7641</v>
      </c>
      <c r="B2632" s="152" t="s">
        <v>2506</v>
      </c>
      <c r="C2632" s="152">
        <v>11</v>
      </c>
      <c r="D2632" s="152">
        <v>350</v>
      </c>
      <c r="E2632" s="152">
        <v>1</v>
      </c>
      <c r="F2632" s="152">
        <v>601000</v>
      </c>
      <c r="G2632" s="152">
        <v>55830</v>
      </c>
      <c r="H2632" s="150" t="str">
        <f t="shared" si="123"/>
        <v>5</v>
      </c>
      <c r="I2632" s="150" t="str">
        <f t="shared" si="124"/>
        <v>55</v>
      </c>
      <c r="J2632" s="150" t="str">
        <f t="shared" si="125"/>
        <v>558</v>
      </c>
      <c r="K2632" s="150" t="s">
        <v>8351</v>
      </c>
      <c r="L2632" s="152" t="s">
        <v>513</v>
      </c>
      <c r="M2632" s="153">
        <v>2500</v>
      </c>
    </row>
    <row r="2633" spans="1:13" x14ac:dyDescent="0.25">
      <c r="A2633" s="148" t="s">
        <v>7641</v>
      </c>
      <c r="B2633" s="152" t="s">
        <v>2507</v>
      </c>
      <c r="C2633" s="152">
        <v>11</v>
      </c>
      <c r="D2633" s="152">
        <v>350</v>
      </c>
      <c r="E2633" s="152">
        <v>1</v>
      </c>
      <c r="F2633" s="152">
        <v>601000</v>
      </c>
      <c r="G2633" s="152">
        <v>56300</v>
      </c>
      <c r="H2633" s="150" t="str">
        <f t="shared" si="123"/>
        <v>5</v>
      </c>
      <c r="I2633" s="150" t="str">
        <f t="shared" si="124"/>
        <v>56</v>
      </c>
      <c r="J2633" s="150" t="str">
        <f t="shared" si="125"/>
        <v>563</v>
      </c>
      <c r="K2633" s="150" t="s">
        <v>8359</v>
      </c>
      <c r="L2633" s="152" t="s">
        <v>2508</v>
      </c>
      <c r="M2633" s="153">
        <v>2660</v>
      </c>
    </row>
    <row r="2634" spans="1:13" x14ac:dyDescent="0.25">
      <c r="A2634" s="148" t="s">
        <v>7641</v>
      </c>
      <c r="B2634" s="152" t="s">
        <v>2511</v>
      </c>
      <c r="C2634" s="152">
        <v>11</v>
      </c>
      <c r="D2634" s="152">
        <v>360</v>
      </c>
      <c r="E2634" s="152">
        <v>0</v>
      </c>
      <c r="F2634" s="152">
        <v>160100</v>
      </c>
      <c r="G2634" s="152">
        <v>51310</v>
      </c>
      <c r="H2634" s="150" t="str">
        <f t="shared" si="123"/>
        <v>5</v>
      </c>
      <c r="I2634" s="150" t="str">
        <f t="shared" si="124"/>
        <v>51</v>
      </c>
      <c r="J2634" s="150" t="str">
        <f t="shared" si="125"/>
        <v>513</v>
      </c>
      <c r="K2634" s="150" t="s">
        <v>7685</v>
      </c>
      <c r="L2634" s="152" t="s">
        <v>2512</v>
      </c>
      <c r="M2634" s="153">
        <v>7000</v>
      </c>
    </row>
    <row r="2635" spans="1:13" x14ac:dyDescent="0.25">
      <c r="A2635" s="148" t="s">
        <v>7641</v>
      </c>
      <c r="B2635" s="152" t="s">
        <v>2513</v>
      </c>
      <c r="C2635" s="152">
        <v>11</v>
      </c>
      <c r="D2635" s="152">
        <v>360</v>
      </c>
      <c r="E2635" s="152">
        <v>0</v>
      </c>
      <c r="F2635" s="152">
        <v>160100</v>
      </c>
      <c r="G2635" s="152">
        <v>51311</v>
      </c>
      <c r="H2635" s="150" t="str">
        <f t="shared" si="123"/>
        <v>5</v>
      </c>
      <c r="I2635" s="150" t="str">
        <f t="shared" si="124"/>
        <v>51</v>
      </c>
      <c r="J2635" s="150" t="str">
        <f t="shared" si="125"/>
        <v>513</v>
      </c>
      <c r="K2635" s="150" t="s">
        <v>7763</v>
      </c>
      <c r="L2635" s="152" t="s">
        <v>2514</v>
      </c>
      <c r="M2635" s="165">
        <v>14000</v>
      </c>
    </row>
    <row r="2636" spans="1:13" x14ac:dyDescent="0.25">
      <c r="A2636" s="148" t="s">
        <v>7641</v>
      </c>
      <c r="B2636" s="152" t="s">
        <v>2529</v>
      </c>
      <c r="C2636" s="152">
        <v>11</v>
      </c>
      <c r="D2636" s="152">
        <v>360</v>
      </c>
      <c r="E2636" s="152">
        <v>0</v>
      </c>
      <c r="F2636" s="152">
        <v>160100</v>
      </c>
      <c r="G2636" s="152">
        <v>54300</v>
      </c>
      <c r="H2636" s="150" t="str">
        <f t="shared" si="123"/>
        <v>5</v>
      </c>
      <c r="I2636" s="150" t="str">
        <f t="shared" si="124"/>
        <v>54</v>
      </c>
      <c r="J2636" s="150" t="str">
        <f t="shared" si="125"/>
        <v>543</v>
      </c>
      <c r="K2636" s="150" t="s">
        <v>7961</v>
      </c>
      <c r="L2636" s="152" t="s">
        <v>2530</v>
      </c>
      <c r="M2636" s="153">
        <v>505</v>
      </c>
    </row>
    <row r="2637" spans="1:13" x14ac:dyDescent="0.25">
      <c r="A2637" s="148" t="s">
        <v>7641</v>
      </c>
      <c r="B2637" s="152" t="s">
        <v>2531</v>
      </c>
      <c r="C2637" s="152">
        <v>11</v>
      </c>
      <c r="D2637" s="152">
        <v>360</v>
      </c>
      <c r="E2637" s="152">
        <v>0</v>
      </c>
      <c r="F2637" s="152">
        <v>160100</v>
      </c>
      <c r="G2637" s="152">
        <v>55200</v>
      </c>
      <c r="H2637" s="150" t="str">
        <f t="shared" si="123"/>
        <v>5</v>
      </c>
      <c r="I2637" s="150" t="str">
        <f t="shared" si="124"/>
        <v>55</v>
      </c>
      <c r="J2637" s="150" t="str">
        <f t="shared" si="125"/>
        <v>552</v>
      </c>
      <c r="K2637" s="150" t="s">
        <v>8057</v>
      </c>
      <c r="L2637" s="152" t="s">
        <v>2532</v>
      </c>
      <c r="M2637" s="153">
        <v>500</v>
      </c>
    </row>
    <row r="2638" spans="1:13" x14ac:dyDescent="0.25">
      <c r="A2638" s="148" t="s">
        <v>7641</v>
      </c>
      <c r="B2638" s="152" t="s">
        <v>2533</v>
      </c>
      <c r="C2638" s="152">
        <v>11</v>
      </c>
      <c r="D2638" s="152">
        <v>360</v>
      </c>
      <c r="E2638" s="152">
        <v>0</v>
      </c>
      <c r="F2638" s="152">
        <v>160100</v>
      </c>
      <c r="G2638" s="152">
        <v>55630</v>
      </c>
      <c r="H2638" s="150" t="str">
        <f t="shared" si="123"/>
        <v>5</v>
      </c>
      <c r="I2638" s="150" t="str">
        <f t="shared" si="124"/>
        <v>55</v>
      </c>
      <c r="J2638" s="150" t="str">
        <f t="shared" si="125"/>
        <v>556</v>
      </c>
      <c r="K2638" s="150" t="s">
        <v>8250</v>
      </c>
      <c r="L2638" s="152" t="s">
        <v>2534</v>
      </c>
      <c r="M2638" s="153">
        <v>510</v>
      </c>
    </row>
    <row r="2639" spans="1:13" x14ac:dyDescent="0.25">
      <c r="A2639" s="148" t="s">
        <v>7641</v>
      </c>
      <c r="B2639" s="152" t="s">
        <v>2535</v>
      </c>
      <c r="C2639" s="152">
        <v>11</v>
      </c>
      <c r="D2639" s="152">
        <v>360</v>
      </c>
      <c r="E2639" s="152">
        <v>0</v>
      </c>
      <c r="F2639" s="152">
        <v>490110</v>
      </c>
      <c r="G2639" s="152">
        <v>54300</v>
      </c>
      <c r="H2639" s="150" t="str">
        <f t="shared" si="123"/>
        <v>5</v>
      </c>
      <c r="I2639" s="150" t="str">
        <f t="shared" si="124"/>
        <v>54</v>
      </c>
      <c r="J2639" s="150" t="str">
        <f t="shared" si="125"/>
        <v>543</v>
      </c>
      <c r="K2639" s="150" t="s">
        <v>7962</v>
      </c>
      <c r="L2639" s="152" t="s">
        <v>2536</v>
      </c>
      <c r="M2639" s="153">
        <v>705</v>
      </c>
    </row>
    <row r="2640" spans="1:13" x14ac:dyDescent="0.25">
      <c r="A2640" s="148" t="s">
        <v>7641</v>
      </c>
      <c r="B2640" s="152" t="s">
        <v>2537</v>
      </c>
      <c r="C2640" s="152">
        <v>11</v>
      </c>
      <c r="D2640" s="152">
        <v>360</v>
      </c>
      <c r="E2640" s="152">
        <v>0</v>
      </c>
      <c r="F2640" s="152">
        <v>490110</v>
      </c>
      <c r="G2640" s="152">
        <v>55200</v>
      </c>
      <c r="H2640" s="150" t="str">
        <f t="shared" si="123"/>
        <v>5</v>
      </c>
      <c r="I2640" s="150" t="str">
        <f t="shared" si="124"/>
        <v>55</v>
      </c>
      <c r="J2640" s="150" t="str">
        <f t="shared" si="125"/>
        <v>552</v>
      </c>
      <c r="K2640" s="150" t="s">
        <v>8058</v>
      </c>
      <c r="L2640" s="152" t="s">
        <v>2538</v>
      </c>
      <c r="M2640" s="153">
        <v>250</v>
      </c>
    </row>
    <row r="2641" spans="1:13" x14ac:dyDescent="0.25">
      <c r="A2641" s="148" t="s">
        <v>7641</v>
      </c>
      <c r="B2641" s="152" t="s">
        <v>2539</v>
      </c>
      <c r="C2641" s="152">
        <v>11</v>
      </c>
      <c r="D2641" s="152">
        <v>360</v>
      </c>
      <c r="E2641" s="152">
        <v>0</v>
      </c>
      <c r="F2641" s="152">
        <v>490110</v>
      </c>
      <c r="G2641" s="152">
        <v>56300</v>
      </c>
      <c r="H2641" s="150" t="str">
        <f t="shared" si="123"/>
        <v>5</v>
      </c>
      <c r="I2641" s="150" t="str">
        <f t="shared" si="124"/>
        <v>56</v>
      </c>
      <c r="J2641" s="150" t="str">
        <f t="shared" si="125"/>
        <v>563</v>
      </c>
      <c r="K2641" s="150" t="s">
        <v>8360</v>
      </c>
      <c r="L2641" s="152" t="s">
        <v>2540</v>
      </c>
      <c r="M2641" s="153">
        <v>500</v>
      </c>
    </row>
    <row r="2642" spans="1:13" x14ac:dyDescent="0.25">
      <c r="A2642" s="148" t="s">
        <v>7641</v>
      </c>
      <c r="B2642" s="152" t="s">
        <v>2543</v>
      </c>
      <c r="C2642" s="152">
        <v>11</v>
      </c>
      <c r="D2642" s="152">
        <v>360</v>
      </c>
      <c r="E2642" s="152">
        <v>0</v>
      </c>
      <c r="F2642" s="152">
        <v>601000</v>
      </c>
      <c r="G2642" s="152">
        <v>52300</v>
      </c>
      <c r="H2642" s="150" t="str">
        <f t="shared" si="123"/>
        <v>5</v>
      </c>
      <c r="I2642" s="150" t="str">
        <f t="shared" si="124"/>
        <v>52</v>
      </c>
      <c r="J2642" s="150" t="str">
        <f t="shared" si="125"/>
        <v>523</v>
      </c>
      <c r="K2642" s="150" t="s">
        <v>7829</v>
      </c>
      <c r="L2642" s="152" t="s">
        <v>483</v>
      </c>
      <c r="M2642" s="153">
        <v>1000</v>
      </c>
    </row>
    <row r="2643" spans="1:13" x14ac:dyDescent="0.25">
      <c r="A2643" s="148" t="s">
        <v>7641</v>
      </c>
      <c r="B2643" s="152" t="s">
        <v>2544</v>
      </c>
      <c r="C2643" s="152">
        <v>11</v>
      </c>
      <c r="D2643" s="152">
        <v>360</v>
      </c>
      <c r="E2643" s="152">
        <v>0</v>
      </c>
      <c r="F2643" s="152">
        <v>601000</v>
      </c>
      <c r="G2643" s="152">
        <v>52360</v>
      </c>
      <c r="H2643" s="150" t="str">
        <f t="shared" si="123"/>
        <v>5</v>
      </c>
      <c r="I2643" s="150" t="str">
        <f t="shared" si="124"/>
        <v>52</v>
      </c>
      <c r="J2643" s="150" t="str">
        <f t="shared" si="125"/>
        <v>523</v>
      </c>
      <c r="K2643" s="150" t="s">
        <v>7876</v>
      </c>
      <c r="L2643" s="152" t="s">
        <v>1008</v>
      </c>
      <c r="M2643" s="153">
        <v>1000</v>
      </c>
    </row>
    <row r="2644" spans="1:13" x14ac:dyDescent="0.25">
      <c r="A2644" s="148" t="s">
        <v>7641</v>
      </c>
      <c r="B2644" s="152" t="s">
        <v>2553</v>
      </c>
      <c r="C2644" s="152">
        <v>11</v>
      </c>
      <c r="D2644" s="152">
        <v>360</v>
      </c>
      <c r="E2644" s="152">
        <v>0</v>
      </c>
      <c r="F2644" s="152">
        <v>601000</v>
      </c>
      <c r="G2644" s="152">
        <v>54300</v>
      </c>
      <c r="H2644" s="150" t="str">
        <f t="shared" si="123"/>
        <v>5</v>
      </c>
      <c r="I2644" s="150" t="str">
        <f t="shared" si="124"/>
        <v>54</v>
      </c>
      <c r="J2644" s="150" t="str">
        <f t="shared" si="125"/>
        <v>543</v>
      </c>
      <c r="K2644" s="150" t="s">
        <v>7963</v>
      </c>
      <c r="L2644" s="152" t="s">
        <v>501</v>
      </c>
      <c r="M2644" s="153">
        <v>500</v>
      </c>
    </row>
    <row r="2645" spans="1:13" x14ac:dyDescent="0.25">
      <c r="A2645" s="148" t="s">
        <v>7641</v>
      </c>
      <c r="B2645" s="152" t="s">
        <v>2554</v>
      </c>
      <c r="C2645" s="152">
        <v>11</v>
      </c>
      <c r="D2645" s="152">
        <v>360</v>
      </c>
      <c r="E2645" s="152">
        <v>0</v>
      </c>
      <c r="F2645" s="152">
        <v>601000</v>
      </c>
      <c r="G2645" s="152">
        <v>55630</v>
      </c>
      <c r="H2645" s="150" t="str">
        <f t="shared" si="123"/>
        <v>5</v>
      </c>
      <c r="I2645" s="150" t="str">
        <f t="shared" si="124"/>
        <v>55</v>
      </c>
      <c r="J2645" s="150" t="str">
        <f t="shared" si="125"/>
        <v>556</v>
      </c>
      <c r="K2645" s="150" t="s">
        <v>8251</v>
      </c>
      <c r="L2645" s="152" t="s">
        <v>509</v>
      </c>
      <c r="M2645" s="153">
        <v>1500</v>
      </c>
    </row>
    <row r="2646" spans="1:13" x14ac:dyDescent="0.25">
      <c r="A2646" s="148" t="s">
        <v>7641</v>
      </c>
      <c r="B2646" s="152" t="s">
        <v>2557</v>
      </c>
      <c r="C2646" s="152">
        <v>11</v>
      </c>
      <c r="D2646" s="152">
        <v>360</v>
      </c>
      <c r="E2646" s="152">
        <v>0</v>
      </c>
      <c r="F2646" s="152">
        <v>612000</v>
      </c>
      <c r="G2646" s="152">
        <v>51411</v>
      </c>
      <c r="H2646" s="150" t="str">
        <f t="shared" si="123"/>
        <v>5</v>
      </c>
      <c r="I2646" s="150" t="str">
        <f t="shared" si="124"/>
        <v>51</v>
      </c>
      <c r="J2646" s="150" t="str">
        <f t="shared" si="125"/>
        <v>514</v>
      </c>
      <c r="K2646" s="150" t="s">
        <v>7777</v>
      </c>
      <c r="L2646" s="152" t="s">
        <v>517</v>
      </c>
      <c r="M2646" s="153">
        <v>164000</v>
      </c>
    </row>
    <row r="2647" spans="1:13" x14ac:dyDescent="0.25">
      <c r="A2647" s="148" t="s">
        <v>7641</v>
      </c>
      <c r="B2647" s="152" t="s">
        <v>2558</v>
      </c>
      <c r="C2647" s="152">
        <v>11</v>
      </c>
      <c r="D2647" s="152">
        <v>360</v>
      </c>
      <c r="E2647" s="152">
        <v>0</v>
      </c>
      <c r="F2647" s="152">
        <v>612000</v>
      </c>
      <c r="G2647" s="152">
        <v>51412</v>
      </c>
      <c r="H2647" s="150" t="str">
        <f t="shared" si="123"/>
        <v>5</v>
      </c>
      <c r="I2647" s="150" t="str">
        <f t="shared" si="124"/>
        <v>51</v>
      </c>
      <c r="J2647" s="150" t="str">
        <f t="shared" si="125"/>
        <v>514</v>
      </c>
      <c r="K2647" s="150" t="s">
        <v>7800</v>
      </c>
      <c r="L2647" s="152" t="s">
        <v>2559</v>
      </c>
      <c r="M2647" s="165">
        <v>12000</v>
      </c>
    </row>
    <row r="2648" spans="1:13" x14ac:dyDescent="0.25">
      <c r="A2648" s="148" t="s">
        <v>7641</v>
      </c>
      <c r="B2648" s="152" t="s">
        <v>2562</v>
      </c>
      <c r="C2648" s="152">
        <v>11</v>
      </c>
      <c r="D2648" s="152">
        <v>360</v>
      </c>
      <c r="E2648" s="152">
        <v>0</v>
      </c>
      <c r="F2648" s="152">
        <v>612000</v>
      </c>
      <c r="G2648" s="152">
        <v>52300</v>
      </c>
      <c r="H2648" s="150" t="str">
        <f t="shared" si="123"/>
        <v>5</v>
      </c>
      <c r="I2648" s="150" t="str">
        <f t="shared" si="124"/>
        <v>52</v>
      </c>
      <c r="J2648" s="150" t="str">
        <f t="shared" si="125"/>
        <v>523</v>
      </c>
      <c r="K2648" s="150" t="s">
        <v>7830</v>
      </c>
      <c r="L2648" s="152" t="s">
        <v>2563</v>
      </c>
      <c r="M2648" s="153">
        <v>1800</v>
      </c>
    </row>
    <row r="2649" spans="1:13" x14ac:dyDescent="0.25">
      <c r="A2649" s="148" t="s">
        <v>7641</v>
      </c>
      <c r="B2649" s="152" t="s">
        <v>2564</v>
      </c>
      <c r="C2649" s="152">
        <v>11</v>
      </c>
      <c r="D2649" s="152">
        <v>360</v>
      </c>
      <c r="E2649" s="152">
        <v>0</v>
      </c>
      <c r="F2649" s="152">
        <v>612000</v>
      </c>
      <c r="G2649" s="152">
        <v>52350</v>
      </c>
      <c r="H2649" s="150" t="str">
        <f t="shared" si="123"/>
        <v>5</v>
      </c>
      <c r="I2649" s="150" t="str">
        <f t="shared" si="124"/>
        <v>52</v>
      </c>
      <c r="J2649" s="150" t="str">
        <f t="shared" si="125"/>
        <v>523</v>
      </c>
      <c r="K2649" s="150" t="s">
        <v>7856</v>
      </c>
      <c r="L2649" s="152" t="s">
        <v>2565</v>
      </c>
      <c r="M2649" s="153">
        <v>9000</v>
      </c>
    </row>
    <row r="2650" spans="1:13" x14ac:dyDescent="0.25">
      <c r="A2650" s="148" t="s">
        <v>7641</v>
      </c>
      <c r="B2650" s="152" t="s">
        <v>2576</v>
      </c>
      <c r="C2650" s="152">
        <v>11</v>
      </c>
      <c r="D2650" s="152">
        <v>360</v>
      </c>
      <c r="E2650" s="152">
        <v>0</v>
      </c>
      <c r="F2650" s="152">
        <v>612000</v>
      </c>
      <c r="G2650" s="152">
        <v>54300</v>
      </c>
      <c r="H2650" s="150" t="str">
        <f t="shared" si="123"/>
        <v>5</v>
      </c>
      <c r="I2650" s="150" t="str">
        <f t="shared" si="124"/>
        <v>54</v>
      </c>
      <c r="J2650" s="150" t="str">
        <f t="shared" si="125"/>
        <v>543</v>
      </c>
      <c r="K2650" s="150" t="s">
        <v>7964</v>
      </c>
      <c r="L2650" s="152" t="s">
        <v>2577</v>
      </c>
      <c r="M2650" s="153">
        <v>4551</v>
      </c>
    </row>
    <row r="2651" spans="1:13" x14ac:dyDescent="0.25">
      <c r="A2651" s="148" t="s">
        <v>7641</v>
      </c>
      <c r="B2651" s="152" t="s">
        <v>2578</v>
      </c>
      <c r="C2651" s="152">
        <v>11</v>
      </c>
      <c r="D2651" s="152">
        <v>360</v>
      </c>
      <c r="E2651" s="152">
        <v>0</v>
      </c>
      <c r="F2651" s="152">
        <v>612000</v>
      </c>
      <c r="G2651" s="152">
        <v>55200</v>
      </c>
      <c r="H2651" s="150" t="str">
        <f t="shared" si="123"/>
        <v>5</v>
      </c>
      <c r="I2651" s="150" t="str">
        <f t="shared" si="124"/>
        <v>55</v>
      </c>
      <c r="J2651" s="150" t="str">
        <f t="shared" si="125"/>
        <v>552</v>
      </c>
      <c r="K2651" s="150" t="s">
        <v>8059</v>
      </c>
      <c r="L2651" s="152" t="s">
        <v>2579</v>
      </c>
      <c r="M2651" s="153">
        <v>3100</v>
      </c>
    </row>
    <row r="2652" spans="1:13" x14ac:dyDescent="0.25">
      <c r="A2652" s="148" t="s">
        <v>7641</v>
      </c>
      <c r="B2652" s="152" t="s">
        <v>2580</v>
      </c>
      <c r="C2652" s="152">
        <v>11</v>
      </c>
      <c r="D2652" s="152">
        <v>360</v>
      </c>
      <c r="E2652" s="152">
        <v>0</v>
      </c>
      <c r="F2652" s="152">
        <v>612000</v>
      </c>
      <c r="G2652" s="152">
        <v>55300</v>
      </c>
      <c r="H2652" s="150" t="str">
        <f t="shared" si="123"/>
        <v>5</v>
      </c>
      <c r="I2652" s="150" t="str">
        <f t="shared" si="124"/>
        <v>55</v>
      </c>
      <c r="J2652" s="150" t="str">
        <f t="shared" si="125"/>
        <v>553</v>
      </c>
      <c r="K2652" s="150" t="s">
        <v>8094</v>
      </c>
      <c r="L2652" s="152" t="s">
        <v>2581</v>
      </c>
      <c r="M2652" s="153">
        <v>3000</v>
      </c>
    </row>
    <row r="2653" spans="1:13" x14ac:dyDescent="0.25">
      <c r="A2653" s="148" t="s">
        <v>7641</v>
      </c>
      <c r="B2653" s="152" t="s">
        <v>2582</v>
      </c>
      <c r="C2653" s="152">
        <v>11</v>
      </c>
      <c r="D2653" s="152">
        <v>360</v>
      </c>
      <c r="E2653" s="152">
        <v>0</v>
      </c>
      <c r="F2653" s="152">
        <v>612000</v>
      </c>
      <c r="G2653" s="152">
        <v>55630</v>
      </c>
      <c r="H2653" s="150" t="str">
        <f t="shared" si="123"/>
        <v>5</v>
      </c>
      <c r="I2653" s="150" t="str">
        <f t="shared" si="124"/>
        <v>55</v>
      </c>
      <c r="J2653" s="150" t="str">
        <f t="shared" si="125"/>
        <v>556</v>
      </c>
      <c r="K2653" s="150" t="s">
        <v>8252</v>
      </c>
      <c r="L2653" s="152" t="s">
        <v>527</v>
      </c>
      <c r="M2653" s="153">
        <v>1442</v>
      </c>
    </row>
    <row r="2654" spans="1:13" x14ac:dyDescent="0.25">
      <c r="A2654" s="148" t="s">
        <v>7641</v>
      </c>
      <c r="B2654" s="152" t="s">
        <v>2583</v>
      </c>
      <c r="C2654" s="152">
        <v>11</v>
      </c>
      <c r="D2654" s="152">
        <v>360</v>
      </c>
      <c r="E2654" s="152">
        <v>0</v>
      </c>
      <c r="F2654" s="152">
        <v>612000</v>
      </c>
      <c r="G2654" s="152">
        <v>55650</v>
      </c>
      <c r="H2654" s="150" t="str">
        <f t="shared" si="123"/>
        <v>5</v>
      </c>
      <c r="I2654" s="150" t="str">
        <f t="shared" si="124"/>
        <v>55</v>
      </c>
      <c r="J2654" s="150" t="str">
        <f t="shared" si="125"/>
        <v>556</v>
      </c>
      <c r="K2654" s="150" t="s">
        <v>8308</v>
      </c>
      <c r="L2654" s="152" t="s">
        <v>2584</v>
      </c>
      <c r="M2654" s="153">
        <v>5000</v>
      </c>
    </row>
    <row r="2655" spans="1:13" x14ac:dyDescent="0.25">
      <c r="A2655" s="148" t="s">
        <v>7641</v>
      </c>
      <c r="B2655" s="152" t="s">
        <v>2585</v>
      </c>
      <c r="C2655" s="152">
        <v>11</v>
      </c>
      <c r="D2655" s="152">
        <v>360</v>
      </c>
      <c r="E2655" s="152">
        <v>0</v>
      </c>
      <c r="F2655" s="152">
        <v>612000</v>
      </c>
      <c r="G2655" s="152">
        <v>56300</v>
      </c>
      <c r="H2655" s="150" t="str">
        <f t="shared" si="123"/>
        <v>5</v>
      </c>
      <c r="I2655" s="150" t="str">
        <f t="shared" si="124"/>
        <v>56</v>
      </c>
      <c r="J2655" s="150" t="str">
        <f t="shared" si="125"/>
        <v>563</v>
      </c>
      <c r="K2655" s="150" t="s">
        <v>8361</v>
      </c>
      <c r="L2655" s="152" t="s">
        <v>2586</v>
      </c>
      <c r="M2655" s="165">
        <v>30000</v>
      </c>
    </row>
    <row r="2656" spans="1:13" x14ac:dyDescent="0.25">
      <c r="A2656" s="148" t="s">
        <v>7641</v>
      </c>
      <c r="B2656" s="152" t="s">
        <v>2587</v>
      </c>
      <c r="C2656" s="152">
        <v>11</v>
      </c>
      <c r="D2656" s="152">
        <v>360</v>
      </c>
      <c r="E2656" s="152">
        <v>0</v>
      </c>
      <c r="F2656" s="152">
        <v>612000</v>
      </c>
      <c r="G2656" s="152">
        <v>56310</v>
      </c>
      <c r="H2656" s="150" t="str">
        <f t="shared" si="123"/>
        <v>5</v>
      </c>
      <c r="I2656" s="150" t="str">
        <f t="shared" si="124"/>
        <v>56</v>
      </c>
      <c r="J2656" s="150" t="str">
        <f t="shared" si="125"/>
        <v>563</v>
      </c>
      <c r="K2656" s="150" t="s">
        <v>8364</v>
      </c>
      <c r="L2656" s="152" t="s">
        <v>1030</v>
      </c>
      <c r="M2656" s="153">
        <v>20871</v>
      </c>
    </row>
    <row r="2657" spans="1:13" x14ac:dyDescent="0.25">
      <c r="A2657" s="148" t="s">
        <v>7641</v>
      </c>
      <c r="B2657" s="152" t="s">
        <v>2588</v>
      </c>
      <c r="C2657" s="152">
        <v>11</v>
      </c>
      <c r="D2657" s="152">
        <v>360</v>
      </c>
      <c r="E2657" s="152">
        <v>0</v>
      </c>
      <c r="F2657" s="152">
        <v>612000</v>
      </c>
      <c r="G2657" s="152">
        <v>56340</v>
      </c>
      <c r="H2657" s="150" t="str">
        <f t="shared" si="123"/>
        <v>5</v>
      </c>
      <c r="I2657" s="150" t="str">
        <f t="shared" si="124"/>
        <v>56</v>
      </c>
      <c r="J2657" s="150" t="str">
        <f t="shared" si="125"/>
        <v>563</v>
      </c>
      <c r="K2657" s="150" t="s">
        <v>8365</v>
      </c>
      <c r="L2657" s="152" t="s">
        <v>2589</v>
      </c>
      <c r="M2657" s="165">
        <v>7717</v>
      </c>
    </row>
    <row r="2658" spans="1:13" x14ac:dyDescent="0.25">
      <c r="A2658" s="148" t="s">
        <v>7641</v>
      </c>
      <c r="B2658" s="152" t="s">
        <v>2590</v>
      </c>
      <c r="C2658" s="152">
        <v>11</v>
      </c>
      <c r="D2658" s="152">
        <v>360</v>
      </c>
      <c r="E2658" s="152">
        <v>0</v>
      </c>
      <c r="F2658" s="152">
        <v>612000</v>
      </c>
      <c r="G2658" s="152">
        <v>56341</v>
      </c>
      <c r="H2658" s="150" t="str">
        <f t="shared" si="123"/>
        <v>5</v>
      </c>
      <c r="I2658" s="150" t="str">
        <f t="shared" si="124"/>
        <v>56</v>
      </c>
      <c r="J2658" s="150" t="str">
        <f t="shared" si="125"/>
        <v>563</v>
      </c>
      <c r="K2658" s="150" t="s">
        <v>8367</v>
      </c>
      <c r="L2658" s="152" t="s">
        <v>2591</v>
      </c>
      <c r="M2658" s="153">
        <v>1150</v>
      </c>
    </row>
    <row r="2659" spans="1:13" x14ac:dyDescent="0.25">
      <c r="A2659" s="148" t="s">
        <v>7641</v>
      </c>
      <c r="B2659" s="152" t="s">
        <v>2594</v>
      </c>
      <c r="C2659" s="152">
        <v>11</v>
      </c>
      <c r="D2659" s="152">
        <v>360</v>
      </c>
      <c r="E2659" s="152">
        <v>0</v>
      </c>
      <c r="F2659" s="152">
        <v>613000</v>
      </c>
      <c r="G2659" s="152">
        <v>52300</v>
      </c>
      <c r="H2659" s="150" t="str">
        <f t="shared" si="123"/>
        <v>5</v>
      </c>
      <c r="I2659" s="150" t="str">
        <f t="shared" si="124"/>
        <v>52</v>
      </c>
      <c r="J2659" s="150" t="str">
        <f t="shared" si="125"/>
        <v>523</v>
      </c>
      <c r="K2659" s="150" t="s">
        <v>7831</v>
      </c>
      <c r="L2659" s="152" t="s">
        <v>2595</v>
      </c>
      <c r="M2659" s="153">
        <v>700</v>
      </c>
    </row>
    <row r="2660" spans="1:13" x14ac:dyDescent="0.25">
      <c r="A2660" s="148" t="s">
        <v>7641</v>
      </c>
      <c r="B2660" s="152" t="s">
        <v>2608</v>
      </c>
      <c r="C2660" s="152">
        <v>11</v>
      </c>
      <c r="D2660" s="152">
        <v>360</v>
      </c>
      <c r="E2660" s="152">
        <v>0</v>
      </c>
      <c r="F2660" s="152">
        <v>613000</v>
      </c>
      <c r="G2660" s="152">
        <v>54300</v>
      </c>
      <c r="H2660" s="150" t="str">
        <f t="shared" si="123"/>
        <v>5</v>
      </c>
      <c r="I2660" s="150" t="str">
        <f t="shared" si="124"/>
        <v>54</v>
      </c>
      <c r="J2660" s="150" t="str">
        <f t="shared" si="125"/>
        <v>543</v>
      </c>
      <c r="K2660" s="150" t="s">
        <v>7965</v>
      </c>
      <c r="L2660" s="152" t="s">
        <v>2609</v>
      </c>
      <c r="M2660" s="153">
        <v>4615</v>
      </c>
    </row>
    <row r="2661" spans="1:13" x14ac:dyDescent="0.25">
      <c r="A2661" s="148" t="s">
        <v>7641</v>
      </c>
      <c r="B2661" s="152" t="s">
        <v>2610</v>
      </c>
      <c r="C2661" s="152">
        <v>11</v>
      </c>
      <c r="D2661" s="152">
        <v>360</v>
      </c>
      <c r="E2661" s="152">
        <v>0</v>
      </c>
      <c r="F2661" s="152">
        <v>613000</v>
      </c>
      <c r="G2661" s="152">
        <v>55630</v>
      </c>
      <c r="H2661" s="150" t="str">
        <f t="shared" si="123"/>
        <v>5</v>
      </c>
      <c r="I2661" s="150" t="str">
        <f t="shared" si="124"/>
        <v>55</v>
      </c>
      <c r="J2661" s="150" t="str">
        <f t="shared" si="125"/>
        <v>556</v>
      </c>
      <c r="K2661" s="150" t="s">
        <v>8253</v>
      </c>
      <c r="L2661" s="152" t="s">
        <v>2611</v>
      </c>
      <c r="M2661" s="153">
        <v>500</v>
      </c>
    </row>
    <row r="2662" spans="1:13" x14ac:dyDescent="0.25">
      <c r="A2662" s="148" t="s">
        <v>7641</v>
      </c>
      <c r="B2662" s="152" t="s">
        <v>2612</v>
      </c>
      <c r="C2662" s="152">
        <v>11</v>
      </c>
      <c r="D2662" s="152">
        <v>360</v>
      </c>
      <c r="E2662" s="152">
        <v>0</v>
      </c>
      <c r="F2662" s="152">
        <v>613000</v>
      </c>
      <c r="G2662" s="152">
        <v>56300</v>
      </c>
      <c r="H2662" s="150" t="str">
        <f t="shared" si="123"/>
        <v>5</v>
      </c>
      <c r="I2662" s="150" t="str">
        <f t="shared" si="124"/>
        <v>56</v>
      </c>
      <c r="J2662" s="150" t="str">
        <f t="shared" si="125"/>
        <v>563</v>
      </c>
      <c r="K2662" s="150" t="s">
        <v>8362</v>
      </c>
      <c r="L2662" s="152" t="s">
        <v>2613</v>
      </c>
      <c r="M2662" s="153">
        <v>600</v>
      </c>
    </row>
    <row r="2663" spans="1:13" x14ac:dyDescent="0.25">
      <c r="A2663" s="148" t="s">
        <v>7641</v>
      </c>
      <c r="B2663" s="152" t="s">
        <v>2614</v>
      </c>
      <c r="C2663" s="152">
        <v>11</v>
      </c>
      <c r="D2663" s="152">
        <v>360</v>
      </c>
      <c r="E2663" s="152">
        <v>0</v>
      </c>
      <c r="F2663" s="152">
        <v>613000</v>
      </c>
      <c r="G2663" s="152">
        <v>56400</v>
      </c>
      <c r="H2663" s="150" t="str">
        <f t="shared" si="123"/>
        <v>5</v>
      </c>
      <c r="I2663" s="150" t="str">
        <f t="shared" si="124"/>
        <v>56</v>
      </c>
      <c r="J2663" s="150" t="str">
        <f t="shared" si="125"/>
        <v>564</v>
      </c>
      <c r="K2663" s="150" t="s">
        <v>8379</v>
      </c>
      <c r="L2663" s="152" t="s">
        <v>2615</v>
      </c>
      <c r="M2663" s="153">
        <v>500</v>
      </c>
    </row>
    <row r="2664" spans="1:13" x14ac:dyDescent="0.25">
      <c r="A2664" s="148" t="s">
        <v>7641</v>
      </c>
      <c r="B2664" s="152" t="s">
        <v>2616</v>
      </c>
      <c r="C2664" s="152">
        <v>11</v>
      </c>
      <c r="D2664" s="152">
        <v>365</v>
      </c>
      <c r="E2664" s="152">
        <v>0</v>
      </c>
      <c r="F2664" s="152">
        <v>493034</v>
      </c>
      <c r="G2664" s="152">
        <v>51311</v>
      </c>
      <c r="H2664" s="150" t="str">
        <f t="shared" si="123"/>
        <v>5</v>
      </c>
      <c r="I2664" s="150" t="str">
        <f t="shared" si="124"/>
        <v>51</v>
      </c>
      <c r="J2664" s="150" t="str">
        <f t="shared" si="125"/>
        <v>513</v>
      </c>
      <c r="K2664" s="150" t="s">
        <v>7764</v>
      </c>
      <c r="L2664" s="152" t="s">
        <v>2617</v>
      </c>
      <c r="M2664" s="153">
        <v>3000</v>
      </c>
    </row>
    <row r="2665" spans="1:13" x14ac:dyDescent="0.25">
      <c r="A2665" s="148" t="s">
        <v>7641</v>
      </c>
      <c r="B2665" s="152" t="s">
        <v>2618</v>
      </c>
      <c r="C2665" s="152">
        <v>11</v>
      </c>
      <c r="D2665" s="152">
        <v>365</v>
      </c>
      <c r="E2665" s="152">
        <v>0</v>
      </c>
      <c r="F2665" s="152">
        <v>493034</v>
      </c>
      <c r="G2665" s="152">
        <v>52350</v>
      </c>
      <c r="H2665" s="150" t="str">
        <f t="shared" si="123"/>
        <v>5</v>
      </c>
      <c r="I2665" s="150" t="str">
        <f t="shared" si="124"/>
        <v>52</v>
      </c>
      <c r="J2665" s="150" t="str">
        <f t="shared" si="125"/>
        <v>523</v>
      </c>
      <c r="K2665" s="150" t="s">
        <v>7857</v>
      </c>
      <c r="L2665" s="152" t="s">
        <v>2619</v>
      </c>
      <c r="M2665" s="153">
        <v>23000</v>
      </c>
    </row>
    <row r="2666" spans="1:13" x14ac:dyDescent="0.25">
      <c r="A2666" s="148" t="s">
        <v>7641</v>
      </c>
      <c r="B2666" s="152" t="s">
        <v>2620</v>
      </c>
      <c r="C2666" s="152">
        <v>11</v>
      </c>
      <c r="D2666" s="152">
        <v>365</v>
      </c>
      <c r="E2666" s="152">
        <v>0</v>
      </c>
      <c r="F2666" s="152">
        <v>493034</v>
      </c>
      <c r="G2666" s="152">
        <v>52420</v>
      </c>
      <c r="H2666" s="150" t="str">
        <f t="shared" si="123"/>
        <v>5</v>
      </c>
      <c r="I2666" s="150" t="str">
        <f t="shared" si="124"/>
        <v>52</v>
      </c>
      <c r="J2666" s="150" t="str">
        <f t="shared" si="125"/>
        <v>524</v>
      </c>
      <c r="K2666" s="150" t="s">
        <v>7894</v>
      </c>
      <c r="L2666" s="152" t="s">
        <v>2621</v>
      </c>
      <c r="M2666" s="153">
        <v>0</v>
      </c>
    </row>
    <row r="2667" spans="1:13" x14ac:dyDescent="0.25">
      <c r="A2667" s="148" t="s">
        <v>7641</v>
      </c>
      <c r="B2667" s="152" t="s">
        <v>2634</v>
      </c>
      <c r="C2667" s="152">
        <v>11</v>
      </c>
      <c r="D2667" s="152">
        <v>365</v>
      </c>
      <c r="E2667" s="152">
        <v>0</v>
      </c>
      <c r="F2667" s="152">
        <v>493034</v>
      </c>
      <c r="G2667" s="152">
        <v>55630</v>
      </c>
      <c r="H2667" s="150" t="str">
        <f t="shared" si="123"/>
        <v>5</v>
      </c>
      <c r="I2667" s="150" t="str">
        <f t="shared" si="124"/>
        <v>55</v>
      </c>
      <c r="J2667" s="150" t="str">
        <f t="shared" si="125"/>
        <v>556</v>
      </c>
      <c r="K2667" s="150" t="s">
        <v>8254</v>
      </c>
      <c r="L2667" s="152" t="s">
        <v>2635</v>
      </c>
      <c r="M2667" s="153">
        <v>1500</v>
      </c>
    </row>
    <row r="2668" spans="1:13" x14ac:dyDescent="0.25">
      <c r="A2668" s="148" t="s">
        <v>7641</v>
      </c>
      <c r="B2668" s="152" t="s">
        <v>2638</v>
      </c>
      <c r="C2668" s="152">
        <v>11</v>
      </c>
      <c r="D2668" s="152">
        <v>365</v>
      </c>
      <c r="E2668" s="152">
        <v>0</v>
      </c>
      <c r="F2668" s="152">
        <v>493035</v>
      </c>
      <c r="G2668" s="152">
        <v>52350</v>
      </c>
      <c r="H2668" s="150" t="str">
        <f t="shared" si="123"/>
        <v>5</v>
      </c>
      <c r="I2668" s="150" t="str">
        <f t="shared" si="124"/>
        <v>52</v>
      </c>
      <c r="J2668" s="150" t="str">
        <f t="shared" si="125"/>
        <v>523</v>
      </c>
      <c r="K2668" s="150" t="s">
        <v>7858</v>
      </c>
      <c r="L2668" s="152" t="s">
        <v>2639</v>
      </c>
      <c r="M2668" s="153">
        <v>3800</v>
      </c>
    </row>
    <row r="2669" spans="1:13" x14ac:dyDescent="0.25">
      <c r="A2669" s="148" t="s">
        <v>7641</v>
      </c>
      <c r="B2669" s="152" t="s">
        <v>2640</v>
      </c>
      <c r="C2669" s="152">
        <v>11</v>
      </c>
      <c r="D2669" s="152">
        <v>365</v>
      </c>
      <c r="E2669" s="152">
        <v>0</v>
      </c>
      <c r="F2669" s="152">
        <v>493035</v>
      </c>
      <c r="G2669" s="152">
        <v>52360</v>
      </c>
      <c r="H2669" s="150" t="str">
        <f t="shared" si="123"/>
        <v>5</v>
      </c>
      <c r="I2669" s="150" t="str">
        <f t="shared" si="124"/>
        <v>52</v>
      </c>
      <c r="J2669" s="150" t="str">
        <f t="shared" si="125"/>
        <v>523</v>
      </c>
      <c r="K2669" s="150" t="s">
        <v>7877</v>
      </c>
      <c r="L2669" s="152" t="s">
        <v>2641</v>
      </c>
      <c r="M2669" s="153">
        <v>1000</v>
      </c>
    </row>
    <row r="2670" spans="1:13" x14ac:dyDescent="0.25">
      <c r="A2670" s="148" t="s">
        <v>7641</v>
      </c>
      <c r="B2670" s="152" t="s">
        <v>2654</v>
      </c>
      <c r="C2670" s="152">
        <v>11</v>
      </c>
      <c r="D2670" s="152">
        <v>365</v>
      </c>
      <c r="E2670" s="152">
        <v>0</v>
      </c>
      <c r="F2670" s="152">
        <v>493035</v>
      </c>
      <c r="G2670" s="152">
        <v>54300</v>
      </c>
      <c r="H2670" s="150" t="str">
        <f t="shared" si="123"/>
        <v>5</v>
      </c>
      <c r="I2670" s="150" t="str">
        <f t="shared" si="124"/>
        <v>54</v>
      </c>
      <c r="J2670" s="150" t="str">
        <f t="shared" si="125"/>
        <v>543</v>
      </c>
      <c r="K2670" s="150" t="s">
        <v>7966</v>
      </c>
      <c r="L2670" s="152" t="s">
        <v>2655</v>
      </c>
      <c r="M2670" s="153">
        <v>2575</v>
      </c>
    </row>
    <row r="2671" spans="1:13" x14ac:dyDescent="0.25">
      <c r="A2671" s="148" t="s">
        <v>7641</v>
      </c>
      <c r="B2671" s="152" t="s">
        <v>2656</v>
      </c>
      <c r="C2671" s="152">
        <v>11</v>
      </c>
      <c r="D2671" s="152">
        <v>365</v>
      </c>
      <c r="E2671" s="152">
        <v>0</v>
      </c>
      <c r="F2671" s="152">
        <v>493035</v>
      </c>
      <c r="G2671" s="152">
        <v>55300</v>
      </c>
      <c r="H2671" s="150" t="str">
        <f t="shared" si="123"/>
        <v>5</v>
      </c>
      <c r="I2671" s="150" t="str">
        <f t="shared" si="124"/>
        <v>55</v>
      </c>
      <c r="J2671" s="150" t="str">
        <f t="shared" si="125"/>
        <v>553</v>
      </c>
      <c r="K2671" s="150" t="s">
        <v>8095</v>
      </c>
      <c r="L2671" s="152" t="s">
        <v>2657</v>
      </c>
      <c r="M2671" s="153">
        <v>75</v>
      </c>
    </row>
    <row r="2672" spans="1:13" x14ac:dyDescent="0.25">
      <c r="A2672" s="148" t="s">
        <v>7641</v>
      </c>
      <c r="B2672" s="152" t="s">
        <v>2714</v>
      </c>
      <c r="C2672" s="152">
        <v>11</v>
      </c>
      <c r="D2672" s="152">
        <v>375</v>
      </c>
      <c r="E2672" s="152">
        <v>0</v>
      </c>
      <c r="F2672" s="152">
        <v>85000</v>
      </c>
      <c r="G2672" s="152">
        <v>51311</v>
      </c>
      <c r="H2672" s="150" t="str">
        <f t="shared" si="123"/>
        <v>5</v>
      </c>
      <c r="I2672" s="150" t="str">
        <f t="shared" si="124"/>
        <v>51</v>
      </c>
      <c r="J2672" s="150" t="str">
        <f t="shared" si="125"/>
        <v>513</v>
      </c>
      <c r="K2672" s="150" t="s">
        <v>7765</v>
      </c>
      <c r="L2672" s="152" t="s">
        <v>2715</v>
      </c>
      <c r="M2672" s="153">
        <v>54527</v>
      </c>
    </row>
    <row r="2673" spans="1:13" x14ac:dyDescent="0.25">
      <c r="A2673" s="148" t="s">
        <v>7641</v>
      </c>
      <c r="B2673" s="152" t="s">
        <v>2716</v>
      </c>
      <c r="C2673" s="152">
        <v>11</v>
      </c>
      <c r="D2673" s="152">
        <v>375</v>
      </c>
      <c r="E2673" s="152">
        <v>0</v>
      </c>
      <c r="F2673" s="152">
        <v>85000</v>
      </c>
      <c r="G2673" s="152">
        <v>51412</v>
      </c>
      <c r="H2673" s="150" t="str">
        <f t="shared" si="123"/>
        <v>5</v>
      </c>
      <c r="I2673" s="150" t="str">
        <f t="shared" si="124"/>
        <v>51</v>
      </c>
      <c r="J2673" s="150" t="str">
        <f t="shared" si="125"/>
        <v>514</v>
      </c>
      <c r="K2673" s="150" t="s">
        <v>7802</v>
      </c>
      <c r="L2673" s="152" t="s">
        <v>2717</v>
      </c>
      <c r="M2673" s="153">
        <v>1200</v>
      </c>
    </row>
    <row r="2674" spans="1:13" x14ac:dyDescent="0.25">
      <c r="A2674" s="148" t="s">
        <v>7641</v>
      </c>
      <c r="B2674" s="152" t="s">
        <v>2734</v>
      </c>
      <c r="C2674" s="152">
        <v>11</v>
      </c>
      <c r="D2674" s="152">
        <v>375</v>
      </c>
      <c r="E2674" s="152">
        <v>0</v>
      </c>
      <c r="F2674" s="152">
        <v>85000</v>
      </c>
      <c r="G2674" s="152">
        <v>55105</v>
      </c>
      <c r="H2674" s="150" t="str">
        <f t="shared" si="123"/>
        <v>5</v>
      </c>
      <c r="I2674" s="150" t="str">
        <f t="shared" si="124"/>
        <v>55</v>
      </c>
      <c r="J2674" s="150" t="str">
        <f t="shared" si="125"/>
        <v>551</v>
      </c>
      <c r="K2674" s="150" t="s">
        <v>8016</v>
      </c>
      <c r="L2674" s="152" t="s">
        <v>2735</v>
      </c>
      <c r="M2674" s="153">
        <v>2000</v>
      </c>
    </row>
    <row r="2675" spans="1:13" x14ac:dyDescent="0.25">
      <c r="A2675" s="148" t="s">
        <v>7641</v>
      </c>
      <c r="B2675" s="152" t="s">
        <v>2738</v>
      </c>
      <c r="C2675" s="152">
        <v>11</v>
      </c>
      <c r="D2675" s="152">
        <v>375</v>
      </c>
      <c r="E2675" s="152">
        <v>0</v>
      </c>
      <c r="F2675" s="152">
        <v>110500</v>
      </c>
      <c r="G2675" s="152">
        <v>51310</v>
      </c>
      <c r="H2675" s="150" t="str">
        <f t="shared" si="123"/>
        <v>5</v>
      </c>
      <c r="I2675" s="150" t="str">
        <f t="shared" si="124"/>
        <v>51</v>
      </c>
      <c r="J2675" s="150" t="str">
        <f t="shared" si="125"/>
        <v>513</v>
      </c>
      <c r="K2675" s="150" t="s">
        <v>7686</v>
      </c>
      <c r="L2675" s="152" t="s">
        <v>2739</v>
      </c>
      <c r="M2675" s="153">
        <v>6060</v>
      </c>
    </row>
    <row r="2676" spans="1:13" x14ac:dyDescent="0.25">
      <c r="A2676" s="148" t="s">
        <v>7641</v>
      </c>
      <c r="B2676" s="152" t="s">
        <v>2740</v>
      </c>
      <c r="C2676" s="152">
        <v>11</v>
      </c>
      <c r="D2676" s="152">
        <v>375</v>
      </c>
      <c r="E2676" s="152">
        <v>0</v>
      </c>
      <c r="F2676" s="152">
        <v>110500</v>
      </c>
      <c r="G2676" s="152">
        <v>51311</v>
      </c>
      <c r="H2676" s="150" t="str">
        <f t="shared" si="123"/>
        <v>5</v>
      </c>
      <c r="I2676" s="150" t="str">
        <f t="shared" si="124"/>
        <v>51</v>
      </c>
      <c r="J2676" s="150" t="str">
        <f t="shared" si="125"/>
        <v>513</v>
      </c>
      <c r="K2676" s="150" t="s">
        <v>7766</v>
      </c>
      <c r="L2676" s="152" t="s">
        <v>281</v>
      </c>
      <c r="M2676" s="153">
        <v>144341.12</v>
      </c>
    </row>
    <row r="2677" spans="1:13" x14ac:dyDescent="0.25">
      <c r="A2677" s="148" t="s">
        <v>7641</v>
      </c>
      <c r="B2677" s="152" t="s">
        <v>2749</v>
      </c>
      <c r="C2677" s="152">
        <v>11</v>
      </c>
      <c r="D2677" s="152">
        <v>375</v>
      </c>
      <c r="E2677" s="152">
        <v>0</v>
      </c>
      <c r="F2677" s="152">
        <v>110500</v>
      </c>
      <c r="G2677" s="152">
        <v>54300</v>
      </c>
      <c r="H2677" s="150" t="str">
        <f t="shared" si="123"/>
        <v>5</v>
      </c>
      <c r="I2677" s="150" t="str">
        <f t="shared" si="124"/>
        <v>54</v>
      </c>
      <c r="J2677" s="150" t="str">
        <f t="shared" si="125"/>
        <v>543</v>
      </c>
      <c r="K2677" s="150" t="s">
        <v>7969</v>
      </c>
      <c r="L2677" s="152" t="s">
        <v>2750</v>
      </c>
      <c r="M2677" s="153">
        <v>303</v>
      </c>
    </row>
    <row r="2678" spans="1:13" x14ac:dyDescent="0.25">
      <c r="A2678" s="148" t="s">
        <v>7641</v>
      </c>
      <c r="B2678" s="152" t="s">
        <v>2751</v>
      </c>
      <c r="C2678" s="152">
        <v>11</v>
      </c>
      <c r="D2678" s="152">
        <v>375</v>
      </c>
      <c r="E2678" s="152">
        <v>0</v>
      </c>
      <c r="F2678" s="152">
        <v>110500</v>
      </c>
      <c r="G2678" s="152">
        <v>55630</v>
      </c>
      <c r="H2678" s="150" t="str">
        <f t="shared" si="123"/>
        <v>5</v>
      </c>
      <c r="I2678" s="150" t="str">
        <f t="shared" si="124"/>
        <v>55</v>
      </c>
      <c r="J2678" s="150" t="str">
        <f t="shared" si="125"/>
        <v>556</v>
      </c>
      <c r="K2678" s="150" t="s">
        <v>8256</v>
      </c>
      <c r="L2678" s="152" t="s">
        <v>2752</v>
      </c>
      <c r="M2678" s="153">
        <v>3000</v>
      </c>
    </row>
    <row r="2679" spans="1:13" x14ac:dyDescent="0.25">
      <c r="A2679" s="148" t="s">
        <v>7641</v>
      </c>
      <c r="B2679" s="152" t="s">
        <v>2755</v>
      </c>
      <c r="C2679" s="152">
        <v>11</v>
      </c>
      <c r="D2679" s="152">
        <v>375</v>
      </c>
      <c r="E2679" s="152">
        <v>0</v>
      </c>
      <c r="F2679" s="152">
        <v>150100</v>
      </c>
      <c r="G2679" s="152">
        <v>51310</v>
      </c>
      <c r="H2679" s="150" t="str">
        <f t="shared" si="123"/>
        <v>5</v>
      </c>
      <c r="I2679" s="150" t="str">
        <f t="shared" si="124"/>
        <v>51</v>
      </c>
      <c r="J2679" s="150" t="str">
        <f t="shared" si="125"/>
        <v>513</v>
      </c>
      <c r="K2679" s="150" t="s">
        <v>7687</v>
      </c>
      <c r="L2679" s="152" t="s">
        <v>2756</v>
      </c>
      <c r="M2679" s="153">
        <v>71710</v>
      </c>
    </row>
    <row r="2680" spans="1:13" x14ac:dyDescent="0.25">
      <c r="A2680" s="148" t="s">
        <v>7641</v>
      </c>
      <c r="B2680" s="152" t="s">
        <v>2757</v>
      </c>
      <c r="C2680" s="152">
        <v>11</v>
      </c>
      <c r="D2680" s="152">
        <v>375</v>
      </c>
      <c r="E2680" s="152">
        <v>0</v>
      </c>
      <c r="F2680" s="152">
        <v>150100</v>
      </c>
      <c r="G2680" s="152">
        <v>51311</v>
      </c>
      <c r="H2680" s="150" t="str">
        <f t="shared" si="123"/>
        <v>5</v>
      </c>
      <c r="I2680" s="150" t="str">
        <f t="shared" si="124"/>
        <v>51</v>
      </c>
      <c r="J2680" s="150" t="str">
        <f t="shared" si="125"/>
        <v>513</v>
      </c>
      <c r="K2680" s="150" t="s">
        <v>7767</v>
      </c>
      <c r="L2680" s="152" t="s">
        <v>303</v>
      </c>
      <c r="M2680" s="153">
        <v>375360</v>
      </c>
    </row>
    <row r="2681" spans="1:13" x14ac:dyDescent="0.25">
      <c r="A2681" s="148" t="s">
        <v>7641</v>
      </c>
      <c r="B2681" s="152" t="s">
        <v>2767</v>
      </c>
      <c r="C2681" s="152">
        <v>11</v>
      </c>
      <c r="D2681" s="152">
        <v>375</v>
      </c>
      <c r="E2681" s="152">
        <v>0</v>
      </c>
      <c r="F2681" s="152">
        <v>150100</v>
      </c>
      <c r="G2681" s="152">
        <v>54300</v>
      </c>
      <c r="H2681" s="150" t="str">
        <f t="shared" si="123"/>
        <v>5</v>
      </c>
      <c r="I2681" s="150" t="str">
        <f t="shared" si="124"/>
        <v>54</v>
      </c>
      <c r="J2681" s="150" t="str">
        <f t="shared" si="125"/>
        <v>543</v>
      </c>
      <c r="K2681" s="150" t="s">
        <v>7970</v>
      </c>
      <c r="L2681" s="152" t="s">
        <v>2768</v>
      </c>
      <c r="M2681" s="153">
        <v>910</v>
      </c>
    </row>
    <row r="2682" spans="1:13" x14ac:dyDescent="0.25">
      <c r="A2682" s="148" t="s">
        <v>7641</v>
      </c>
      <c r="B2682" s="152" t="s">
        <v>2769</v>
      </c>
      <c r="C2682" s="152">
        <v>11</v>
      </c>
      <c r="D2682" s="152">
        <v>375</v>
      </c>
      <c r="E2682" s="152">
        <v>0</v>
      </c>
      <c r="F2682" s="152">
        <v>150100</v>
      </c>
      <c r="G2682" s="152">
        <v>55300</v>
      </c>
      <c r="H2682" s="150" t="str">
        <f t="shared" si="123"/>
        <v>5</v>
      </c>
      <c r="I2682" s="150" t="str">
        <f t="shared" si="124"/>
        <v>55</v>
      </c>
      <c r="J2682" s="150" t="str">
        <f t="shared" si="125"/>
        <v>553</v>
      </c>
      <c r="K2682" s="150" t="s">
        <v>8096</v>
      </c>
      <c r="L2682" s="152" t="s">
        <v>2770</v>
      </c>
      <c r="M2682" s="153">
        <v>100</v>
      </c>
    </row>
    <row r="2683" spans="1:13" x14ac:dyDescent="0.25">
      <c r="A2683" s="148" t="s">
        <v>7641</v>
      </c>
      <c r="B2683" s="152" t="s">
        <v>2771</v>
      </c>
      <c r="C2683" s="152">
        <v>11</v>
      </c>
      <c r="D2683" s="152">
        <v>375</v>
      </c>
      <c r="E2683" s="152">
        <v>0</v>
      </c>
      <c r="F2683" s="152">
        <v>150100</v>
      </c>
      <c r="G2683" s="152">
        <v>55630</v>
      </c>
      <c r="H2683" s="150" t="str">
        <f t="shared" si="123"/>
        <v>5</v>
      </c>
      <c r="I2683" s="150" t="str">
        <f t="shared" si="124"/>
        <v>55</v>
      </c>
      <c r="J2683" s="150" t="str">
        <f t="shared" si="125"/>
        <v>556</v>
      </c>
      <c r="K2683" s="150" t="s">
        <v>8257</v>
      </c>
      <c r="L2683" s="152" t="s">
        <v>315</v>
      </c>
      <c r="M2683" s="153">
        <v>11000</v>
      </c>
    </row>
    <row r="2684" spans="1:13" x14ac:dyDescent="0.25">
      <c r="A2684" s="148" t="s">
        <v>7641</v>
      </c>
      <c r="B2684" s="152" t="s">
        <v>2774</v>
      </c>
      <c r="C2684" s="152">
        <v>11</v>
      </c>
      <c r="D2684" s="152">
        <v>375</v>
      </c>
      <c r="E2684" s="152">
        <v>0</v>
      </c>
      <c r="F2684" s="152">
        <v>150600</v>
      </c>
      <c r="G2684" s="152">
        <v>51310</v>
      </c>
      <c r="H2684" s="150" t="str">
        <f t="shared" si="123"/>
        <v>5</v>
      </c>
      <c r="I2684" s="150" t="str">
        <f t="shared" si="124"/>
        <v>51</v>
      </c>
      <c r="J2684" s="150" t="str">
        <f t="shared" si="125"/>
        <v>513</v>
      </c>
      <c r="K2684" s="150" t="s">
        <v>7688</v>
      </c>
      <c r="L2684" s="152" t="s">
        <v>2775</v>
      </c>
      <c r="M2684" s="153">
        <v>35350</v>
      </c>
    </row>
    <row r="2685" spans="1:13" x14ac:dyDescent="0.25">
      <c r="A2685" s="148" t="s">
        <v>7641</v>
      </c>
      <c r="B2685" s="152" t="s">
        <v>2776</v>
      </c>
      <c r="C2685" s="152">
        <v>11</v>
      </c>
      <c r="D2685" s="152">
        <v>375</v>
      </c>
      <c r="E2685" s="152">
        <v>0</v>
      </c>
      <c r="F2685" s="152">
        <v>150600</v>
      </c>
      <c r="G2685" s="152">
        <v>51311</v>
      </c>
      <c r="H2685" s="150" t="str">
        <f t="shared" si="123"/>
        <v>5</v>
      </c>
      <c r="I2685" s="150" t="str">
        <f t="shared" si="124"/>
        <v>51</v>
      </c>
      <c r="J2685" s="150" t="str">
        <f t="shared" si="125"/>
        <v>513</v>
      </c>
      <c r="K2685" s="150" t="s">
        <v>7768</v>
      </c>
      <c r="L2685" s="152" t="s">
        <v>317</v>
      </c>
      <c r="M2685" s="153">
        <v>140330</v>
      </c>
    </row>
    <row r="2686" spans="1:13" x14ac:dyDescent="0.25">
      <c r="A2686" s="148" t="s">
        <v>7641</v>
      </c>
      <c r="B2686" s="152" t="s">
        <v>2785</v>
      </c>
      <c r="C2686" s="152">
        <v>11</v>
      </c>
      <c r="D2686" s="152">
        <v>375</v>
      </c>
      <c r="E2686" s="152">
        <v>0</v>
      </c>
      <c r="F2686" s="152">
        <v>150600</v>
      </c>
      <c r="G2686" s="152">
        <v>54300</v>
      </c>
      <c r="H2686" s="150" t="str">
        <f t="shared" si="123"/>
        <v>5</v>
      </c>
      <c r="I2686" s="150" t="str">
        <f t="shared" si="124"/>
        <v>54</v>
      </c>
      <c r="J2686" s="150" t="str">
        <f t="shared" si="125"/>
        <v>543</v>
      </c>
      <c r="K2686" s="150" t="s">
        <v>7971</v>
      </c>
      <c r="L2686" s="152" t="s">
        <v>2786</v>
      </c>
      <c r="M2686" s="153">
        <v>303</v>
      </c>
    </row>
    <row r="2687" spans="1:13" x14ac:dyDescent="0.25">
      <c r="A2687" s="148" t="s">
        <v>7641</v>
      </c>
      <c r="B2687" s="152" t="s">
        <v>2787</v>
      </c>
      <c r="C2687" s="152">
        <v>11</v>
      </c>
      <c r="D2687" s="152">
        <v>375</v>
      </c>
      <c r="E2687" s="152">
        <v>0</v>
      </c>
      <c r="F2687" s="152">
        <v>150600</v>
      </c>
      <c r="G2687" s="152">
        <v>55200</v>
      </c>
      <c r="H2687" s="150" t="str">
        <f t="shared" si="123"/>
        <v>5</v>
      </c>
      <c r="I2687" s="150" t="str">
        <f t="shared" si="124"/>
        <v>55</v>
      </c>
      <c r="J2687" s="150" t="str">
        <f t="shared" si="125"/>
        <v>552</v>
      </c>
      <c r="K2687" s="150" t="s">
        <v>8062</v>
      </c>
      <c r="L2687" s="152" t="s">
        <v>2788</v>
      </c>
      <c r="M2687" s="153">
        <v>3000</v>
      </c>
    </row>
    <row r="2688" spans="1:13" x14ac:dyDescent="0.25">
      <c r="A2688" s="148" t="s">
        <v>7641</v>
      </c>
      <c r="B2688" s="152" t="s">
        <v>2789</v>
      </c>
      <c r="C2688" s="152">
        <v>11</v>
      </c>
      <c r="D2688" s="152">
        <v>375</v>
      </c>
      <c r="E2688" s="152">
        <v>0</v>
      </c>
      <c r="F2688" s="152">
        <v>150600</v>
      </c>
      <c r="G2688" s="152">
        <v>55630</v>
      </c>
      <c r="H2688" s="150" t="str">
        <f t="shared" si="123"/>
        <v>5</v>
      </c>
      <c r="I2688" s="150" t="str">
        <f t="shared" si="124"/>
        <v>55</v>
      </c>
      <c r="J2688" s="150" t="str">
        <f t="shared" si="125"/>
        <v>556</v>
      </c>
      <c r="K2688" s="150" t="s">
        <v>8258</v>
      </c>
      <c r="L2688" s="152" t="s">
        <v>327</v>
      </c>
      <c r="M2688" s="153">
        <v>1600</v>
      </c>
    </row>
    <row r="2689" spans="1:13" x14ac:dyDescent="0.25">
      <c r="A2689" s="148" t="s">
        <v>7641</v>
      </c>
      <c r="B2689" s="152" t="s">
        <v>2792</v>
      </c>
      <c r="C2689" s="152">
        <v>11</v>
      </c>
      <c r="D2689" s="152">
        <v>375</v>
      </c>
      <c r="E2689" s="152">
        <v>0</v>
      </c>
      <c r="F2689" s="152">
        <v>493080</v>
      </c>
      <c r="G2689" s="152">
        <v>51310</v>
      </c>
      <c r="H2689" s="150" t="str">
        <f t="shared" si="123"/>
        <v>5</v>
      </c>
      <c r="I2689" s="150" t="str">
        <f t="shared" si="124"/>
        <v>51</v>
      </c>
      <c r="J2689" s="150" t="str">
        <f t="shared" si="125"/>
        <v>513</v>
      </c>
      <c r="K2689" s="150" t="s">
        <v>7689</v>
      </c>
      <c r="L2689" s="152" t="s">
        <v>2793</v>
      </c>
      <c r="M2689" s="153">
        <v>7676</v>
      </c>
    </row>
    <row r="2690" spans="1:13" x14ac:dyDescent="0.25">
      <c r="A2690" s="148" t="s">
        <v>7641</v>
      </c>
      <c r="B2690" s="152" t="s">
        <v>2794</v>
      </c>
      <c r="C2690" s="152">
        <v>11</v>
      </c>
      <c r="D2690" s="152">
        <v>375</v>
      </c>
      <c r="E2690" s="152">
        <v>0</v>
      </c>
      <c r="F2690" s="152">
        <v>493080</v>
      </c>
      <c r="G2690" s="152">
        <v>51311</v>
      </c>
      <c r="H2690" s="150" t="str">
        <f t="shared" si="123"/>
        <v>5</v>
      </c>
      <c r="I2690" s="150" t="str">
        <f t="shared" si="124"/>
        <v>51</v>
      </c>
      <c r="J2690" s="150" t="str">
        <f t="shared" si="125"/>
        <v>513</v>
      </c>
      <c r="K2690" s="150" t="s">
        <v>7769</v>
      </c>
      <c r="L2690" s="152" t="s">
        <v>467</v>
      </c>
      <c r="M2690" s="153">
        <v>176750</v>
      </c>
    </row>
    <row r="2691" spans="1:13" x14ac:dyDescent="0.25">
      <c r="A2691" s="148" t="s">
        <v>7641</v>
      </c>
      <c r="B2691" s="152" t="s">
        <v>2801</v>
      </c>
      <c r="C2691" s="152">
        <v>11</v>
      </c>
      <c r="D2691" s="152">
        <v>375</v>
      </c>
      <c r="E2691" s="152">
        <v>0</v>
      </c>
      <c r="F2691" s="152">
        <v>493080</v>
      </c>
      <c r="G2691" s="152">
        <v>54300</v>
      </c>
      <c r="H2691" s="150" t="str">
        <f t="shared" ref="H2691:H2754" si="126">LEFT(G2691,1)</f>
        <v>5</v>
      </c>
      <c r="I2691" s="150" t="str">
        <f t="shared" ref="I2691:I2754" si="127">LEFT(G2691,2)</f>
        <v>54</v>
      </c>
      <c r="J2691" s="150" t="str">
        <f t="shared" ref="J2691:J2754" si="128">LEFT(G2691,3)</f>
        <v>543</v>
      </c>
      <c r="K2691" s="150" t="s">
        <v>7972</v>
      </c>
      <c r="L2691" s="152" t="s">
        <v>2802</v>
      </c>
      <c r="M2691" s="153">
        <v>600</v>
      </c>
    </row>
    <row r="2692" spans="1:13" x14ac:dyDescent="0.25">
      <c r="A2692" s="148" t="s">
        <v>7641</v>
      </c>
      <c r="B2692" s="152" t="s">
        <v>2803</v>
      </c>
      <c r="C2692" s="152">
        <v>11</v>
      </c>
      <c r="D2692" s="152">
        <v>375</v>
      </c>
      <c r="E2692" s="152">
        <v>0</v>
      </c>
      <c r="F2692" s="152">
        <v>493080</v>
      </c>
      <c r="G2692" s="152">
        <v>55630</v>
      </c>
      <c r="H2692" s="150" t="str">
        <f t="shared" si="126"/>
        <v>5</v>
      </c>
      <c r="I2692" s="150" t="str">
        <f t="shared" si="127"/>
        <v>55</v>
      </c>
      <c r="J2692" s="150" t="str">
        <f t="shared" si="128"/>
        <v>556</v>
      </c>
      <c r="K2692" s="150" t="s">
        <v>8259</v>
      </c>
      <c r="L2692" s="152" t="s">
        <v>2804</v>
      </c>
      <c r="M2692" s="153">
        <v>2200</v>
      </c>
    </row>
    <row r="2693" spans="1:13" ht="19.5" x14ac:dyDescent="0.3">
      <c r="A2693" s="148" t="s">
        <v>7641</v>
      </c>
      <c r="B2693" s="166" t="s">
        <v>1121</v>
      </c>
      <c r="C2693" s="166">
        <v>11</v>
      </c>
      <c r="D2693" s="166">
        <v>310</v>
      </c>
      <c r="E2693" s="166">
        <v>0</v>
      </c>
      <c r="F2693" s="166">
        <v>50000</v>
      </c>
      <c r="G2693" s="166">
        <v>51310</v>
      </c>
      <c r="H2693" s="150" t="str">
        <f t="shared" si="126"/>
        <v>5</v>
      </c>
      <c r="I2693" s="150" t="str">
        <f t="shared" si="127"/>
        <v>51</v>
      </c>
      <c r="J2693" s="150" t="str">
        <f t="shared" si="128"/>
        <v>513</v>
      </c>
      <c r="K2693" s="150" t="s">
        <v>7645</v>
      </c>
      <c r="L2693" s="166" t="s">
        <v>229</v>
      </c>
      <c r="M2693" s="153">
        <v>12000</v>
      </c>
    </row>
    <row r="2694" spans="1:13" ht="19.5" x14ac:dyDescent="0.3">
      <c r="A2694" s="148" t="s">
        <v>7641</v>
      </c>
      <c r="B2694" s="166" t="s">
        <v>1122</v>
      </c>
      <c r="C2694" s="166">
        <v>11</v>
      </c>
      <c r="D2694" s="166">
        <v>310</v>
      </c>
      <c r="E2694" s="166">
        <v>0</v>
      </c>
      <c r="F2694" s="166">
        <v>50000</v>
      </c>
      <c r="G2694" s="166">
        <v>51311</v>
      </c>
      <c r="H2694" s="150" t="str">
        <f t="shared" si="126"/>
        <v>5</v>
      </c>
      <c r="I2694" s="150" t="str">
        <f t="shared" si="127"/>
        <v>51</v>
      </c>
      <c r="J2694" s="150" t="str">
        <f t="shared" si="128"/>
        <v>513</v>
      </c>
      <c r="K2694" s="150" t="s">
        <v>7719</v>
      </c>
      <c r="L2694" s="166" t="s">
        <v>231</v>
      </c>
      <c r="M2694" s="153">
        <v>37000</v>
      </c>
    </row>
    <row r="2695" spans="1:13" x14ac:dyDescent="0.25">
      <c r="A2695" s="148" t="s">
        <v>7641</v>
      </c>
      <c r="B2695" s="152" t="s">
        <v>2662</v>
      </c>
      <c r="C2695" s="152">
        <v>11</v>
      </c>
      <c r="D2695" s="152">
        <v>370</v>
      </c>
      <c r="E2695" s="152">
        <v>0</v>
      </c>
      <c r="F2695" s="152">
        <v>708300</v>
      </c>
      <c r="G2695" s="152">
        <v>52360</v>
      </c>
      <c r="H2695" s="150" t="str">
        <f t="shared" si="126"/>
        <v>5</v>
      </c>
      <c r="I2695" s="150" t="str">
        <f t="shared" si="127"/>
        <v>52</v>
      </c>
      <c r="J2695" s="150" t="str">
        <f t="shared" si="128"/>
        <v>523</v>
      </c>
      <c r="K2695" s="150" t="s">
        <v>7878</v>
      </c>
      <c r="L2695" s="152" t="s">
        <v>2663</v>
      </c>
      <c r="M2695" s="153">
        <v>24000</v>
      </c>
    </row>
    <row r="2696" spans="1:13" x14ac:dyDescent="0.25">
      <c r="A2696" s="148" t="s">
        <v>7641</v>
      </c>
      <c r="B2696" s="152" t="s">
        <v>2678</v>
      </c>
      <c r="C2696" s="152">
        <v>11</v>
      </c>
      <c r="D2696" s="152">
        <v>370</v>
      </c>
      <c r="E2696" s="152">
        <v>0</v>
      </c>
      <c r="F2696" s="152">
        <v>708300</v>
      </c>
      <c r="G2696" s="152">
        <v>54300</v>
      </c>
      <c r="H2696" s="150" t="str">
        <f t="shared" si="126"/>
        <v>5</v>
      </c>
      <c r="I2696" s="150" t="str">
        <f t="shared" si="127"/>
        <v>54</v>
      </c>
      <c r="J2696" s="150" t="str">
        <f t="shared" si="128"/>
        <v>543</v>
      </c>
      <c r="K2696" s="150" t="s">
        <v>7967</v>
      </c>
      <c r="L2696" s="152" t="s">
        <v>2679</v>
      </c>
      <c r="M2696" s="153">
        <f>6388.48-1093.05</f>
        <v>5295.4299999999994</v>
      </c>
    </row>
    <row r="2697" spans="1:13" x14ac:dyDescent="0.25">
      <c r="A2697" s="148" t="s">
        <v>7641</v>
      </c>
      <c r="B2697" s="152" t="s">
        <v>2680</v>
      </c>
      <c r="C2697" s="152">
        <v>11</v>
      </c>
      <c r="D2697" s="152">
        <v>370</v>
      </c>
      <c r="E2697" s="152">
        <v>0</v>
      </c>
      <c r="F2697" s="152">
        <v>708300</v>
      </c>
      <c r="G2697" s="152">
        <v>55100</v>
      </c>
      <c r="H2697" s="150" t="str">
        <f t="shared" si="126"/>
        <v>5</v>
      </c>
      <c r="I2697" s="150" t="str">
        <f t="shared" si="127"/>
        <v>55</v>
      </c>
      <c r="J2697" s="150" t="str">
        <f t="shared" si="128"/>
        <v>551</v>
      </c>
      <c r="K2697" s="150" t="s">
        <v>7998</v>
      </c>
      <c r="L2697" s="152" t="s">
        <v>2681</v>
      </c>
      <c r="M2697" s="153">
        <v>2500</v>
      </c>
    </row>
    <row r="2698" spans="1:13" x14ac:dyDescent="0.25">
      <c r="A2698" s="148" t="s">
        <v>7641</v>
      </c>
      <c r="B2698" s="152" t="s">
        <v>2682</v>
      </c>
      <c r="C2698" s="152">
        <v>11</v>
      </c>
      <c r="D2698" s="152">
        <v>370</v>
      </c>
      <c r="E2698" s="152">
        <v>0</v>
      </c>
      <c r="F2698" s="152">
        <v>708300</v>
      </c>
      <c r="G2698" s="152">
        <v>55105</v>
      </c>
      <c r="H2698" s="150" t="str">
        <f t="shared" si="126"/>
        <v>5</v>
      </c>
      <c r="I2698" s="150" t="str">
        <f t="shared" si="127"/>
        <v>55</v>
      </c>
      <c r="J2698" s="150" t="str">
        <f t="shared" si="128"/>
        <v>551</v>
      </c>
      <c r="K2698" s="150" t="s">
        <v>8015</v>
      </c>
      <c r="L2698" s="152" t="s">
        <v>2683</v>
      </c>
      <c r="M2698" s="153">
        <v>58658</v>
      </c>
    </row>
    <row r="2699" spans="1:13" x14ac:dyDescent="0.25">
      <c r="A2699" s="148" t="s">
        <v>7641</v>
      </c>
      <c r="B2699" s="152" t="s">
        <v>2684</v>
      </c>
      <c r="C2699" s="152">
        <v>11</v>
      </c>
      <c r="D2699" s="152">
        <v>370</v>
      </c>
      <c r="E2699" s="152">
        <v>0</v>
      </c>
      <c r="F2699" s="152">
        <v>708300</v>
      </c>
      <c r="G2699" s="152">
        <v>55200</v>
      </c>
      <c r="H2699" s="150" t="str">
        <f t="shared" si="126"/>
        <v>5</v>
      </c>
      <c r="I2699" s="150" t="str">
        <f t="shared" si="127"/>
        <v>55</v>
      </c>
      <c r="J2699" s="150" t="str">
        <f t="shared" si="128"/>
        <v>552</v>
      </c>
      <c r="K2699" s="150" t="s">
        <v>8060</v>
      </c>
      <c r="L2699" s="152" t="s">
        <v>2685</v>
      </c>
      <c r="M2699" s="153">
        <v>1800</v>
      </c>
    </row>
    <row r="2700" spans="1:13" x14ac:dyDescent="0.25">
      <c r="A2700" s="148" t="s">
        <v>7641</v>
      </c>
      <c r="B2700" s="152" t="s">
        <v>2686</v>
      </c>
      <c r="C2700" s="152">
        <v>11</v>
      </c>
      <c r="D2700" s="152">
        <v>370</v>
      </c>
      <c r="E2700" s="152">
        <v>0</v>
      </c>
      <c r="F2700" s="152">
        <v>708300</v>
      </c>
      <c r="G2700" s="152">
        <v>55600</v>
      </c>
      <c r="H2700" s="150" t="str">
        <f t="shared" si="126"/>
        <v>5</v>
      </c>
      <c r="I2700" s="150" t="str">
        <f t="shared" si="127"/>
        <v>55</v>
      </c>
      <c r="J2700" s="150" t="str">
        <f t="shared" si="128"/>
        <v>556</v>
      </c>
      <c r="K2700" s="150" t="s">
        <v>8153</v>
      </c>
      <c r="L2700" s="152" t="s">
        <v>2687</v>
      </c>
      <c r="M2700" s="153">
        <v>3000</v>
      </c>
    </row>
    <row r="2701" spans="1:13" x14ac:dyDescent="0.25">
      <c r="A2701" s="148" t="s">
        <v>7641</v>
      </c>
      <c r="B2701" s="152" t="s">
        <v>2688</v>
      </c>
      <c r="C2701" s="152">
        <v>11</v>
      </c>
      <c r="D2701" s="152">
        <v>370</v>
      </c>
      <c r="E2701" s="152">
        <v>0</v>
      </c>
      <c r="F2701" s="152">
        <v>708300</v>
      </c>
      <c r="G2701" s="152">
        <v>55630</v>
      </c>
      <c r="H2701" s="150" t="str">
        <f t="shared" si="126"/>
        <v>5</v>
      </c>
      <c r="I2701" s="150" t="str">
        <f t="shared" si="127"/>
        <v>55</v>
      </c>
      <c r="J2701" s="150" t="str">
        <f t="shared" si="128"/>
        <v>556</v>
      </c>
      <c r="K2701" s="150" t="s">
        <v>8255</v>
      </c>
      <c r="L2701" s="152" t="s">
        <v>2689</v>
      </c>
      <c r="M2701" s="153">
        <v>1000</v>
      </c>
    </row>
    <row r="2702" spans="1:13" x14ac:dyDescent="0.25">
      <c r="A2702" s="148" t="s">
        <v>7641</v>
      </c>
      <c r="B2702" s="152" t="s">
        <v>2690</v>
      </c>
      <c r="C2702" s="152">
        <v>11</v>
      </c>
      <c r="D2702" s="152">
        <v>370</v>
      </c>
      <c r="E2702" s="152">
        <v>0</v>
      </c>
      <c r="F2702" s="152">
        <v>708300</v>
      </c>
      <c r="G2702" s="152">
        <v>55635</v>
      </c>
      <c r="H2702" s="150" t="str">
        <f t="shared" si="126"/>
        <v>5</v>
      </c>
      <c r="I2702" s="150" t="str">
        <f t="shared" si="127"/>
        <v>55</v>
      </c>
      <c r="J2702" s="150" t="str">
        <f t="shared" si="128"/>
        <v>556</v>
      </c>
      <c r="K2702" s="150" t="s">
        <v>8282</v>
      </c>
      <c r="L2702" s="152" t="s">
        <v>2691</v>
      </c>
      <c r="M2702" s="153">
        <v>3000</v>
      </c>
    </row>
    <row r="2703" spans="1:13" x14ac:dyDescent="0.25">
      <c r="A2703" s="148" t="s">
        <v>7641</v>
      </c>
      <c r="B2703" s="152" t="s">
        <v>2692</v>
      </c>
      <c r="C2703" s="152">
        <v>11</v>
      </c>
      <c r="D2703" s="152">
        <v>370</v>
      </c>
      <c r="E2703" s="152">
        <v>0</v>
      </c>
      <c r="F2703" s="152">
        <v>708300</v>
      </c>
      <c r="G2703" s="152">
        <v>57350</v>
      </c>
      <c r="H2703" s="150" t="str">
        <f t="shared" si="126"/>
        <v>5</v>
      </c>
      <c r="I2703" s="150" t="str">
        <f t="shared" si="127"/>
        <v>57</v>
      </c>
      <c r="J2703" s="150" t="str">
        <f t="shared" si="128"/>
        <v>573</v>
      </c>
      <c r="K2703" s="150" t="s">
        <v>8390</v>
      </c>
      <c r="L2703" s="152" t="s">
        <v>2693</v>
      </c>
      <c r="M2703" s="153">
        <v>43132</v>
      </c>
    </row>
    <row r="2704" spans="1:13" x14ac:dyDescent="0.25">
      <c r="A2704" s="148" t="s">
        <v>7641</v>
      </c>
      <c r="B2704" s="152" t="s">
        <v>2694</v>
      </c>
      <c r="C2704" s="152">
        <v>11</v>
      </c>
      <c r="D2704" s="152">
        <v>372</v>
      </c>
      <c r="E2704" s="152">
        <v>0</v>
      </c>
      <c r="F2704" s="152">
        <v>601000</v>
      </c>
      <c r="G2704" s="152">
        <v>51412</v>
      </c>
      <c r="H2704" s="150" t="str">
        <f t="shared" si="126"/>
        <v>5</v>
      </c>
      <c r="I2704" s="150" t="str">
        <f t="shared" si="127"/>
        <v>51</v>
      </c>
      <c r="J2704" s="150" t="str">
        <f t="shared" si="128"/>
        <v>514</v>
      </c>
      <c r="K2704" s="150" t="s">
        <v>7801</v>
      </c>
      <c r="L2704" s="152" t="s">
        <v>479</v>
      </c>
      <c r="M2704" s="153">
        <v>7663</v>
      </c>
    </row>
    <row r="2705" spans="1:13" x14ac:dyDescent="0.25">
      <c r="A2705" s="148" t="s">
        <v>7641</v>
      </c>
      <c r="B2705" s="152" t="s">
        <v>2699</v>
      </c>
      <c r="C2705" s="152">
        <v>11</v>
      </c>
      <c r="D2705" s="152">
        <v>372</v>
      </c>
      <c r="E2705" s="152">
        <v>0</v>
      </c>
      <c r="F2705" s="152">
        <v>601000</v>
      </c>
      <c r="G2705" s="152">
        <v>54300</v>
      </c>
      <c r="H2705" s="150" t="str">
        <f t="shared" si="126"/>
        <v>5</v>
      </c>
      <c r="I2705" s="150" t="str">
        <f t="shared" si="127"/>
        <v>54</v>
      </c>
      <c r="J2705" s="150" t="str">
        <f t="shared" si="128"/>
        <v>543</v>
      </c>
      <c r="K2705" s="150" t="s">
        <v>7968</v>
      </c>
      <c r="L2705" s="152" t="s">
        <v>501</v>
      </c>
      <c r="M2705" s="153">
        <v>15650</v>
      </c>
    </row>
    <row r="2706" spans="1:13" x14ac:dyDescent="0.25">
      <c r="A2706" s="148" t="s">
        <v>7641</v>
      </c>
      <c r="B2706" s="152" t="s">
        <v>2700</v>
      </c>
      <c r="C2706" s="152">
        <v>11</v>
      </c>
      <c r="D2706" s="152">
        <v>372</v>
      </c>
      <c r="E2706" s="152">
        <v>0</v>
      </c>
      <c r="F2706" s="152">
        <v>601000</v>
      </c>
      <c r="G2706" s="152">
        <v>55200</v>
      </c>
      <c r="H2706" s="150" t="str">
        <f t="shared" si="126"/>
        <v>5</v>
      </c>
      <c r="I2706" s="150" t="str">
        <f t="shared" si="127"/>
        <v>55</v>
      </c>
      <c r="J2706" s="150" t="str">
        <f t="shared" si="128"/>
        <v>552</v>
      </c>
      <c r="K2706" s="150" t="s">
        <v>8061</v>
      </c>
      <c r="L2706" s="152" t="s">
        <v>505</v>
      </c>
      <c r="M2706" s="153">
        <v>6500</v>
      </c>
    </row>
    <row r="2707" spans="1:13" x14ac:dyDescent="0.25">
      <c r="A2707" s="148" t="s">
        <v>7641</v>
      </c>
      <c r="B2707" s="152" t="s">
        <v>2701</v>
      </c>
      <c r="C2707" s="152">
        <v>11</v>
      </c>
      <c r="D2707" s="152">
        <v>372</v>
      </c>
      <c r="E2707" s="152">
        <v>0</v>
      </c>
      <c r="F2707" s="152">
        <v>601000</v>
      </c>
      <c r="G2707" s="152">
        <v>55821</v>
      </c>
      <c r="H2707" s="150" t="str">
        <f t="shared" si="126"/>
        <v>5</v>
      </c>
      <c r="I2707" s="150" t="str">
        <f t="shared" si="127"/>
        <v>55</v>
      </c>
      <c r="J2707" s="150" t="str">
        <f t="shared" si="128"/>
        <v>558</v>
      </c>
      <c r="K2707" s="150" t="s">
        <v>8345</v>
      </c>
      <c r="L2707" s="152" t="s">
        <v>2702</v>
      </c>
      <c r="M2707" s="153">
        <v>1000</v>
      </c>
    </row>
    <row r="2708" spans="1:13" x14ac:dyDescent="0.25">
      <c r="A2708" s="148" t="s">
        <v>7641</v>
      </c>
      <c r="B2708" s="152" t="s">
        <v>2703</v>
      </c>
      <c r="C2708" s="152">
        <v>11</v>
      </c>
      <c r="D2708" s="152">
        <v>372</v>
      </c>
      <c r="E2708" s="152">
        <v>0</v>
      </c>
      <c r="F2708" s="152">
        <v>601000</v>
      </c>
      <c r="G2708" s="152">
        <v>56400</v>
      </c>
      <c r="H2708" s="150" t="str">
        <f t="shared" si="126"/>
        <v>5</v>
      </c>
      <c r="I2708" s="150" t="str">
        <f t="shared" si="127"/>
        <v>56</v>
      </c>
      <c r="J2708" s="150" t="str">
        <f t="shared" si="128"/>
        <v>564</v>
      </c>
      <c r="K2708" s="150" t="s">
        <v>8380</v>
      </c>
      <c r="L2708" s="152" t="s">
        <v>515</v>
      </c>
      <c r="M2708" s="153">
        <v>350</v>
      </c>
    </row>
    <row r="2709" spans="1:13" x14ac:dyDescent="0.25">
      <c r="A2709" s="148" t="s">
        <v>7641</v>
      </c>
      <c r="B2709" s="158" t="s">
        <v>2805</v>
      </c>
      <c r="C2709" s="158">
        <v>11</v>
      </c>
      <c r="D2709" s="158">
        <v>395</v>
      </c>
      <c r="E2709" s="158">
        <v>0</v>
      </c>
      <c r="F2709" s="158">
        <v>635050</v>
      </c>
      <c r="G2709" s="158">
        <v>51412</v>
      </c>
      <c r="H2709" s="150" t="str">
        <f t="shared" si="126"/>
        <v>5</v>
      </c>
      <c r="I2709" s="150" t="str">
        <f t="shared" si="127"/>
        <v>51</v>
      </c>
      <c r="J2709" s="150" t="str">
        <f t="shared" si="128"/>
        <v>514</v>
      </c>
      <c r="K2709" s="150" t="s">
        <v>7803</v>
      </c>
      <c r="L2709" s="158" t="s">
        <v>2806</v>
      </c>
      <c r="M2709" s="160">
        <v>2000</v>
      </c>
    </row>
    <row r="2710" spans="1:13" x14ac:dyDescent="0.25">
      <c r="A2710" s="148" t="s">
        <v>7641</v>
      </c>
      <c r="B2710" s="158" t="s">
        <v>2809</v>
      </c>
      <c r="C2710" s="158">
        <v>11</v>
      </c>
      <c r="D2710" s="158">
        <v>395</v>
      </c>
      <c r="E2710" s="158">
        <v>0</v>
      </c>
      <c r="F2710" s="158">
        <v>635050</v>
      </c>
      <c r="G2710" s="158">
        <v>52350</v>
      </c>
      <c r="H2710" s="150" t="str">
        <f t="shared" si="126"/>
        <v>5</v>
      </c>
      <c r="I2710" s="150" t="str">
        <f t="shared" si="127"/>
        <v>52</v>
      </c>
      <c r="J2710" s="150" t="str">
        <f t="shared" si="128"/>
        <v>523</v>
      </c>
      <c r="K2710" s="150" t="s">
        <v>7859</v>
      </c>
      <c r="L2710" s="158" t="s">
        <v>2810</v>
      </c>
      <c r="M2710" s="160">
        <v>14000</v>
      </c>
    </row>
    <row r="2711" spans="1:13" x14ac:dyDescent="0.25">
      <c r="A2711" s="148" t="s">
        <v>7641</v>
      </c>
      <c r="B2711" s="158" t="s">
        <v>2829</v>
      </c>
      <c r="C2711" s="158">
        <v>11</v>
      </c>
      <c r="D2711" s="158">
        <v>395</v>
      </c>
      <c r="E2711" s="158">
        <v>0</v>
      </c>
      <c r="F2711" s="158">
        <v>635050</v>
      </c>
      <c r="G2711" s="158">
        <v>54300</v>
      </c>
      <c r="H2711" s="150" t="str">
        <f t="shared" si="126"/>
        <v>5</v>
      </c>
      <c r="I2711" s="150" t="str">
        <f t="shared" si="127"/>
        <v>54</v>
      </c>
      <c r="J2711" s="150" t="str">
        <f t="shared" si="128"/>
        <v>543</v>
      </c>
      <c r="K2711" s="150" t="s">
        <v>7973</v>
      </c>
      <c r="L2711" s="158" t="s">
        <v>2830</v>
      </c>
      <c r="M2711" s="160">
        <v>3000</v>
      </c>
    </row>
    <row r="2712" spans="1:13" x14ac:dyDescent="0.25">
      <c r="A2712" s="148" t="s">
        <v>7641</v>
      </c>
      <c r="B2712" s="158" t="s">
        <v>2831</v>
      </c>
      <c r="C2712" s="158">
        <v>11</v>
      </c>
      <c r="D2712" s="158">
        <v>395</v>
      </c>
      <c r="E2712" s="158">
        <v>0</v>
      </c>
      <c r="F2712" s="158">
        <v>635050</v>
      </c>
      <c r="G2712" s="158">
        <v>55105</v>
      </c>
      <c r="H2712" s="150" t="str">
        <f t="shared" si="126"/>
        <v>5</v>
      </c>
      <c r="I2712" s="150" t="str">
        <f t="shared" si="127"/>
        <v>55</v>
      </c>
      <c r="J2712" s="150" t="str">
        <f t="shared" si="128"/>
        <v>551</v>
      </c>
      <c r="K2712" s="150" t="s">
        <v>8017</v>
      </c>
      <c r="L2712" s="158" t="s">
        <v>2832</v>
      </c>
      <c r="M2712" s="160">
        <v>450</v>
      </c>
    </row>
    <row r="2713" spans="1:13" x14ac:dyDescent="0.25">
      <c r="A2713" s="148" t="s">
        <v>7641</v>
      </c>
      <c r="B2713" s="158" t="s">
        <v>2833</v>
      </c>
      <c r="C2713" s="158">
        <v>11</v>
      </c>
      <c r="D2713" s="158">
        <v>395</v>
      </c>
      <c r="E2713" s="158">
        <v>0</v>
      </c>
      <c r="F2713" s="158">
        <v>635050</v>
      </c>
      <c r="G2713" s="158">
        <v>55125</v>
      </c>
      <c r="H2713" s="150" t="str">
        <f t="shared" si="126"/>
        <v>5</v>
      </c>
      <c r="I2713" s="150" t="str">
        <f t="shared" si="127"/>
        <v>55</v>
      </c>
      <c r="J2713" s="150" t="str">
        <f t="shared" si="128"/>
        <v>551</v>
      </c>
      <c r="K2713" s="150" t="s">
        <v>8033</v>
      </c>
      <c r="L2713" s="158" t="s">
        <v>2834</v>
      </c>
      <c r="M2713" s="160">
        <v>350</v>
      </c>
    </row>
    <row r="2714" spans="1:13" x14ac:dyDescent="0.25">
      <c r="A2714" s="148" t="s">
        <v>7641</v>
      </c>
      <c r="B2714" s="158" t="s">
        <v>2835</v>
      </c>
      <c r="C2714" s="158">
        <v>11</v>
      </c>
      <c r="D2714" s="158">
        <v>395</v>
      </c>
      <c r="E2714" s="158">
        <v>0</v>
      </c>
      <c r="F2714" s="158">
        <v>635050</v>
      </c>
      <c r="G2714" s="158">
        <v>55200</v>
      </c>
      <c r="H2714" s="150" t="str">
        <f t="shared" si="126"/>
        <v>5</v>
      </c>
      <c r="I2714" s="150" t="str">
        <f t="shared" si="127"/>
        <v>55</v>
      </c>
      <c r="J2714" s="150" t="str">
        <f t="shared" si="128"/>
        <v>552</v>
      </c>
      <c r="K2714" s="150" t="s">
        <v>8063</v>
      </c>
      <c r="L2714" s="158" t="s">
        <v>2836</v>
      </c>
      <c r="M2714" s="160">
        <v>1600</v>
      </c>
    </row>
    <row r="2715" spans="1:13" x14ac:dyDescent="0.25">
      <c r="A2715" s="148" t="s">
        <v>7641</v>
      </c>
      <c r="B2715" s="158" t="s">
        <v>2837</v>
      </c>
      <c r="C2715" s="158">
        <v>11</v>
      </c>
      <c r="D2715" s="158">
        <v>395</v>
      </c>
      <c r="E2715" s="158">
        <v>0</v>
      </c>
      <c r="F2715" s="158">
        <v>635050</v>
      </c>
      <c r="G2715" s="158">
        <v>55630</v>
      </c>
      <c r="H2715" s="150" t="str">
        <f t="shared" si="126"/>
        <v>5</v>
      </c>
      <c r="I2715" s="150" t="str">
        <f t="shared" si="127"/>
        <v>55</v>
      </c>
      <c r="J2715" s="150" t="str">
        <f t="shared" si="128"/>
        <v>556</v>
      </c>
      <c r="K2715" s="150" t="s">
        <v>8260</v>
      </c>
      <c r="L2715" s="158" t="s">
        <v>2838</v>
      </c>
      <c r="M2715" s="160">
        <v>495</v>
      </c>
    </row>
    <row r="2716" spans="1:13" x14ac:dyDescent="0.25">
      <c r="A2716" s="148" t="s">
        <v>7641</v>
      </c>
      <c r="B2716" s="158" t="s">
        <v>2839</v>
      </c>
      <c r="C2716" s="158">
        <v>11</v>
      </c>
      <c r="D2716" s="158">
        <v>395</v>
      </c>
      <c r="E2716" s="158">
        <v>0</v>
      </c>
      <c r="F2716" s="158">
        <v>635050</v>
      </c>
      <c r="G2716" s="158">
        <v>55650</v>
      </c>
      <c r="H2716" s="150" t="str">
        <f t="shared" si="126"/>
        <v>5</v>
      </c>
      <c r="I2716" s="150" t="str">
        <f t="shared" si="127"/>
        <v>55</v>
      </c>
      <c r="J2716" s="150" t="str">
        <f t="shared" si="128"/>
        <v>556</v>
      </c>
      <c r="K2716" s="150" t="s">
        <v>8309</v>
      </c>
      <c r="L2716" s="158" t="s">
        <v>2840</v>
      </c>
      <c r="M2716" s="160">
        <v>160</v>
      </c>
    </row>
    <row r="2717" spans="1:13" x14ac:dyDescent="0.25">
      <c r="A2717" s="148" t="s">
        <v>7641</v>
      </c>
      <c r="B2717" s="158" t="s">
        <v>2841</v>
      </c>
      <c r="C2717" s="158">
        <v>11</v>
      </c>
      <c r="D2717" s="158">
        <v>395</v>
      </c>
      <c r="E2717" s="158">
        <v>0</v>
      </c>
      <c r="F2717" s="158">
        <v>635050</v>
      </c>
      <c r="G2717" s="158">
        <v>56400</v>
      </c>
      <c r="H2717" s="150" t="str">
        <f t="shared" si="126"/>
        <v>5</v>
      </c>
      <c r="I2717" s="150" t="str">
        <f t="shared" si="127"/>
        <v>56</v>
      </c>
      <c r="J2717" s="150" t="str">
        <f t="shared" si="128"/>
        <v>564</v>
      </c>
      <c r="K2717" s="150" t="s">
        <v>8381</v>
      </c>
      <c r="L2717" s="158" t="s">
        <v>2842</v>
      </c>
      <c r="M2717" s="160">
        <v>2224</v>
      </c>
    </row>
    <row r="2718" spans="1:13" x14ac:dyDescent="0.25">
      <c r="A2718" s="148" t="s">
        <v>7641</v>
      </c>
      <c r="B2718" s="158" t="s">
        <v>2859</v>
      </c>
      <c r="C2718" s="158">
        <v>11</v>
      </c>
      <c r="D2718" s="158">
        <v>395</v>
      </c>
      <c r="E2718" s="158">
        <v>0</v>
      </c>
      <c r="F2718" s="158">
        <v>696000</v>
      </c>
      <c r="G2718" s="158">
        <v>55630</v>
      </c>
      <c r="H2718" s="150" t="str">
        <f t="shared" si="126"/>
        <v>5</v>
      </c>
      <c r="I2718" s="150" t="str">
        <f t="shared" si="127"/>
        <v>55</v>
      </c>
      <c r="J2718" s="150" t="str">
        <f t="shared" si="128"/>
        <v>556</v>
      </c>
      <c r="K2718" s="150" t="s">
        <v>8261</v>
      </c>
      <c r="L2718" s="158" t="s">
        <v>2860</v>
      </c>
      <c r="M2718" s="160">
        <v>600</v>
      </c>
    </row>
    <row r="2719" spans="1:13" x14ac:dyDescent="0.25">
      <c r="A2719" s="148" t="s">
        <v>7641</v>
      </c>
      <c r="B2719" s="158" t="s">
        <v>2864</v>
      </c>
      <c r="C2719" s="158">
        <v>11</v>
      </c>
      <c r="D2719" s="158">
        <v>400</v>
      </c>
      <c r="E2719" s="158">
        <v>0</v>
      </c>
      <c r="F2719" s="158">
        <v>493010</v>
      </c>
      <c r="G2719" s="158">
        <v>51310</v>
      </c>
      <c r="H2719" s="150" t="str">
        <f t="shared" si="126"/>
        <v>5</v>
      </c>
      <c r="I2719" s="150" t="str">
        <f t="shared" si="127"/>
        <v>51</v>
      </c>
      <c r="J2719" s="150" t="str">
        <f t="shared" si="128"/>
        <v>513</v>
      </c>
      <c r="K2719" s="150" t="s">
        <v>7690</v>
      </c>
      <c r="L2719" s="158" t="s">
        <v>2865</v>
      </c>
      <c r="M2719" s="159">
        <v>2000</v>
      </c>
    </row>
    <row r="2720" spans="1:13" x14ac:dyDescent="0.25">
      <c r="A2720" s="148" t="s">
        <v>7641</v>
      </c>
      <c r="B2720" s="158" t="s">
        <v>2890</v>
      </c>
      <c r="C2720" s="158">
        <v>11</v>
      </c>
      <c r="D2720" s="158">
        <v>400</v>
      </c>
      <c r="E2720" s="158">
        <v>0</v>
      </c>
      <c r="F2720" s="158">
        <v>631000</v>
      </c>
      <c r="G2720" s="158">
        <v>51310</v>
      </c>
      <c r="H2720" s="150" t="str">
        <f t="shared" si="126"/>
        <v>5</v>
      </c>
      <c r="I2720" s="150" t="str">
        <f t="shared" si="127"/>
        <v>51</v>
      </c>
      <c r="J2720" s="150" t="str">
        <f t="shared" si="128"/>
        <v>513</v>
      </c>
      <c r="K2720" s="150" t="s">
        <v>7691</v>
      </c>
      <c r="L2720" s="158" t="s">
        <v>2891</v>
      </c>
      <c r="M2720" s="160">
        <v>148000</v>
      </c>
    </row>
    <row r="2721" spans="1:13" x14ac:dyDescent="0.25">
      <c r="A2721" s="148" t="s">
        <v>7641</v>
      </c>
      <c r="B2721" s="158" t="s">
        <v>2892</v>
      </c>
      <c r="C2721" s="158">
        <v>11</v>
      </c>
      <c r="D2721" s="158">
        <v>400</v>
      </c>
      <c r="E2721" s="158">
        <v>0</v>
      </c>
      <c r="F2721" s="158">
        <v>631000</v>
      </c>
      <c r="G2721" s="158">
        <v>51311</v>
      </c>
      <c r="H2721" s="150" t="str">
        <f t="shared" si="126"/>
        <v>5</v>
      </c>
      <c r="I2721" s="150" t="str">
        <f t="shared" si="127"/>
        <v>51</v>
      </c>
      <c r="J2721" s="150" t="str">
        <f t="shared" si="128"/>
        <v>513</v>
      </c>
      <c r="K2721" s="150" t="s">
        <v>7770</v>
      </c>
      <c r="L2721" s="158" t="s">
        <v>529</v>
      </c>
      <c r="M2721" s="160">
        <v>58317</v>
      </c>
    </row>
    <row r="2722" spans="1:13" x14ac:dyDescent="0.25">
      <c r="A2722" s="148" t="s">
        <v>7641</v>
      </c>
      <c r="B2722" s="158" t="s">
        <v>2893</v>
      </c>
      <c r="C2722" s="158">
        <v>11</v>
      </c>
      <c r="D2722" s="158">
        <v>400</v>
      </c>
      <c r="E2722" s="158">
        <v>0</v>
      </c>
      <c r="F2722" s="158">
        <v>631000</v>
      </c>
      <c r="G2722" s="158">
        <v>51410</v>
      </c>
      <c r="H2722" s="150" t="str">
        <f t="shared" si="126"/>
        <v>5</v>
      </c>
      <c r="I2722" s="150" t="str">
        <f t="shared" si="127"/>
        <v>51</v>
      </c>
      <c r="J2722" s="150" t="str">
        <f t="shared" si="128"/>
        <v>514</v>
      </c>
      <c r="K2722" s="150" t="s">
        <v>7773</v>
      </c>
      <c r="L2722" s="158" t="s">
        <v>2894</v>
      </c>
      <c r="M2722" s="160">
        <v>140000</v>
      </c>
    </row>
    <row r="2723" spans="1:13" x14ac:dyDescent="0.25">
      <c r="A2723" s="148" t="s">
        <v>7641</v>
      </c>
      <c r="B2723" s="158" t="s">
        <v>2895</v>
      </c>
      <c r="C2723" s="158">
        <v>11</v>
      </c>
      <c r="D2723" s="158">
        <v>400</v>
      </c>
      <c r="E2723" s="158">
        <v>0</v>
      </c>
      <c r="F2723" s="158">
        <v>631000</v>
      </c>
      <c r="G2723" s="158">
        <v>51411</v>
      </c>
      <c r="H2723" s="150" t="str">
        <f t="shared" si="126"/>
        <v>5</v>
      </c>
      <c r="I2723" s="150" t="str">
        <f t="shared" si="127"/>
        <v>51</v>
      </c>
      <c r="J2723" s="150" t="str">
        <f t="shared" si="128"/>
        <v>514</v>
      </c>
      <c r="K2723" s="150" t="s">
        <v>7778</v>
      </c>
      <c r="L2723" s="158" t="s">
        <v>531</v>
      </c>
      <c r="M2723" s="160">
        <v>110000</v>
      </c>
    </row>
    <row r="2724" spans="1:13" x14ac:dyDescent="0.25">
      <c r="A2724" s="148" t="s">
        <v>7641</v>
      </c>
      <c r="B2724" s="158" t="s">
        <v>2898</v>
      </c>
      <c r="C2724" s="158">
        <v>11</v>
      </c>
      <c r="D2724" s="158">
        <v>400</v>
      </c>
      <c r="E2724" s="158">
        <v>0</v>
      </c>
      <c r="F2724" s="158">
        <v>631000</v>
      </c>
      <c r="G2724" s="158">
        <v>52300</v>
      </c>
      <c r="H2724" s="150" t="str">
        <f t="shared" si="126"/>
        <v>5</v>
      </c>
      <c r="I2724" s="150" t="str">
        <f t="shared" si="127"/>
        <v>52</v>
      </c>
      <c r="J2724" s="150" t="str">
        <f t="shared" si="128"/>
        <v>523</v>
      </c>
      <c r="K2724" s="150" t="s">
        <v>7834</v>
      </c>
      <c r="L2724" s="158" t="s">
        <v>2899</v>
      </c>
      <c r="M2724" s="160">
        <v>726.23</v>
      </c>
    </row>
    <row r="2725" spans="1:13" x14ac:dyDescent="0.25">
      <c r="A2725" s="148" t="s">
        <v>7641</v>
      </c>
      <c r="B2725" s="158" t="s">
        <v>2900</v>
      </c>
      <c r="C2725" s="158">
        <v>11</v>
      </c>
      <c r="D2725" s="158">
        <v>400</v>
      </c>
      <c r="E2725" s="158">
        <v>0</v>
      </c>
      <c r="F2725" s="158">
        <v>631000</v>
      </c>
      <c r="G2725" s="158">
        <v>52360</v>
      </c>
      <c r="H2725" s="150" t="str">
        <f t="shared" si="126"/>
        <v>5</v>
      </c>
      <c r="I2725" s="150" t="str">
        <f t="shared" si="127"/>
        <v>52</v>
      </c>
      <c r="J2725" s="150" t="str">
        <f t="shared" si="128"/>
        <v>523</v>
      </c>
      <c r="K2725" s="150" t="s">
        <v>7880</v>
      </c>
      <c r="L2725" s="158" t="s">
        <v>2901</v>
      </c>
      <c r="M2725" s="160">
        <v>3253.12</v>
      </c>
    </row>
    <row r="2726" spans="1:13" x14ac:dyDescent="0.25">
      <c r="A2726" s="148" t="s">
        <v>7641</v>
      </c>
      <c r="B2726" s="158" t="s">
        <v>2922</v>
      </c>
      <c r="C2726" s="158">
        <v>11</v>
      </c>
      <c r="D2726" s="158">
        <v>400</v>
      </c>
      <c r="E2726" s="158">
        <v>0</v>
      </c>
      <c r="F2726" s="158">
        <v>631000</v>
      </c>
      <c r="G2726" s="158">
        <v>54300</v>
      </c>
      <c r="H2726" s="150" t="str">
        <f t="shared" si="126"/>
        <v>5</v>
      </c>
      <c r="I2726" s="150" t="str">
        <f t="shared" si="127"/>
        <v>54</v>
      </c>
      <c r="J2726" s="150" t="str">
        <f t="shared" si="128"/>
        <v>543</v>
      </c>
      <c r="K2726" s="150" t="s">
        <v>7975</v>
      </c>
      <c r="L2726" s="158" t="s">
        <v>2923</v>
      </c>
      <c r="M2726" s="160">
        <v>40</v>
      </c>
    </row>
    <row r="2727" spans="1:13" x14ac:dyDescent="0.25">
      <c r="A2727" s="148" t="s">
        <v>7641</v>
      </c>
      <c r="B2727" s="158" t="s">
        <v>2924</v>
      </c>
      <c r="C2727" s="158">
        <v>11</v>
      </c>
      <c r="D2727" s="158">
        <v>400</v>
      </c>
      <c r="E2727" s="158">
        <v>0</v>
      </c>
      <c r="F2727" s="158">
        <v>631000</v>
      </c>
      <c r="G2727" s="158">
        <v>55630</v>
      </c>
      <c r="H2727" s="150" t="str">
        <f t="shared" si="126"/>
        <v>5</v>
      </c>
      <c r="I2727" s="150" t="str">
        <f t="shared" si="127"/>
        <v>55</v>
      </c>
      <c r="J2727" s="150" t="str">
        <f t="shared" si="128"/>
        <v>556</v>
      </c>
      <c r="K2727" s="150" t="s">
        <v>8262</v>
      </c>
      <c r="L2727" s="158" t="s">
        <v>549</v>
      </c>
      <c r="M2727" s="160">
        <v>20.65</v>
      </c>
    </row>
    <row r="2728" spans="1:13" x14ac:dyDescent="0.25">
      <c r="A2728" s="148" t="s">
        <v>7641</v>
      </c>
      <c r="B2728" s="158" t="s">
        <v>2943</v>
      </c>
      <c r="C2728" s="158">
        <v>11</v>
      </c>
      <c r="D2728" s="158">
        <v>400</v>
      </c>
      <c r="E2728" s="158">
        <v>0</v>
      </c>
      <c r="F2728" s="158">
        <v>633050</v>
      </c>
      <c r="G2728" s="158">
        <v>52310</v>
      </c>
      <c r="H2728" s="150" t="str">
        <f t="shared" si="126"/>
        <v>5</v>
      </c>
      <c r="I2728" s="150" t="str">
        <f t="shared" si="127"/>
        <v>52</v>
      </c>
      <c r="J2728" s="150" t="str">
        <f t="shared" si="128"/>
        <v>523</v>
      </c>
      <c r="K2728" s="150" t="s">
        <v>7845</v>
      </c>
      <c r="L2728" s="158" t="s">
        <v>2944</v>
      </c>
      <c r="M2728" s="160">
        <v>1000</v>
      </c>
    </row>
    <row r="2729" spans="1:13" x14ac:dyDescent="0.25">
      <c r="A2729" s="148" t="s">
        <v>7641</v>
      </c>
      <c r="B2729" s="158" t="s">
        <v>2951</v>
      </c>
      <c r="C2729" s="158">
        <v>11</v>
      </c>
      <c r="D2729" s="158">
        <v>400</v>
      </c>
      <c r="E2729" s="158">
        <v>0</v>
      </c>
      <c r="F2729" s="158">
        <v>634000</v>
      </c>
      <c r="G2729" s="158">
        <v>52300</v>
      </c>
      <c r="H2729" s="150" t="str">
        <f t="shared" si="126"/>
        <v>5</v>
      </c>
      <c r="I2729" s="150" t="str">
        <f t="shared" si="127"/>
        <v>52</v>
      </c>
      <c r="J2729" s="150" t="str">
        <f t="shared" si="128"/>
        <v>523</v>
      </c>
      <c r="K2729" s="150" t="s">
        <v>7835</v>
      </c>
      <c r="L2729" s="158" t="s">
        <v>2952</v>
      </c>
      <c r="M2729" s="160">
        <v>0</v>
      </c>
    </row>
    <row r="2730" spans="1:13" x14ac:dyDescent="0.25">
      <c r="A2730" s="148" t="s">
        <v>7641</v>
      </c>
      <c r="B2730" s="158" t="s">
        <v>2969</v>
      </c>
      <c r="C2730" s="158">
        <v>11</v>
      </c>
      <c r="D2730" s="158">
        <v>400</v>
      </c>
      <c r="E2730" s="158">
        <v>0</v>
      </c>
      <c r="F2730" s="158">
        <v>634000</v>
      </c>
      <c r="G2730" s="158">
        <v>54300</v>
      </c>
      <c r="H2730" s="150" t="str">
        <f t="shared" si="126"/>
        <v>5</v>
      </c>
      <c r="I2730" s="150" t="str">
        <f t="shared" si="127"/>
        <v>54</v>
      </c>
      <c r="J2730" s="150" t="str">
        <f t="shared" si="128"/>
        <v>543</v>
      </c>
      <c r="K2730" s="150" t="s">
        <v>7976</v>
      </c>
      <c r="L2730" s="158" t="s">
        <v>2970</v>
      </c>
      <c r="M2730" s="160">
        <v>600</v>
      </c>
    </row>
    <row r="2731" spans="1:13" x14ac:dyDescent="0.25">
      <c r="A2731" s="148" t="s">
        <v>7641</v>
      </c>
      <c r="B2731" s="158" t="s">
        <v>2971</v>
      </c>
      <c r="C2731" s="158">
        <v>11</v>
      </c>
      <c r="D2731" s="158">
        <v>400</v>
      </c>
      <c r="E2731" s="158">
        <v>0</v>
      </c>
      <c r="F2731" s="158">
        <v>634000</v>
      </c>
      <c r="G2731" s="158">
        <v>55200</v>
      </c>
      <c r="H2731" s="150" t="str">
        <f t="shared" si="126"/>
        <v>5</v>
      </c>
      <c r="I2731" s="150" t="str">
        <f t="shared" si="127"/>
        <v>55</v>
      </c>
      <c r="J2731" s="150" t="str">
        <f t="shared" si="128"/>
        <v>552</v>
      </c>
      <c r="K2731" s="150" t="s">
        <v>8064</v>
      </c>
      <c r="L2731" s="158" t="s">
        <v>2972</v>
      </c>
      <c r="M2731" s="160">
        <v>500</v>
      </c>
    </row>
    <row r="2732" spans="1:13" x14ac:dyDescent="0.25">
      <c r="A2732" s="148" t="s">
        <v>7641</v>
      </c>
      <c r="B2732" s="158" t="s">
        <v>2973</v>
      </c>
      <c r="C2732" s="158">
        <v>11</v>
      </c>
      <c r="D2732" s="158">
        <v>400</v>
      </c>
      <c r="E2732" s="158">
        <v>0</v>
      </c>
      <c r="F2732" s="158">
        <v>634000</v>
      </c>
      <c r="G2732" s="158">
        <v>55630</v>
      </c>
      <c r="H2732" s="150" t="str">
        <f t="shared" si="126"/>
        <v>5</v>
      </c>
      <c r="I2732" s="150" t="str">
        <f t="shared" si="127"/>
        <v>55</v>
      </c>
      <c r="J2732" s="150" t="str">
        <f t="shared" si="128"/>
        <v>556</v>
      </c>
      <c r="K2732" s="150" t="s">
        <v>8264</v>
      </c>
      <c r="L2732" s="158" t="s">
        <v>2974</v>
      </c>
      <c r="M2732" s="160">
        <v>3000</v>
      </c>
    </row>
    <row r="2733" spans="1:13" s="156" customFormat="1" x14ac:dyDescent="0.25">
      <c r="A2733" s="148" t="s">
        <v>7641</v>
      </c>
      <c r="B2733" s="156" t="s">
        <v>2870</v>
      </c>
      <c r="C2733" s="156">
        <v>11</v>
      </c>
      <c r="D2733" s="156">
        <v>400</v>
      </c>
      <c r="E2733" s="156">
        <v>0</v>
      </c>
      <c r="F2733" s="156">
        <v>620020</v>
      </c>
      <c r="G2733" s="156">
        <v>52300</v>
      </c>
      <c r="H2733" s="150" t="str">
        <f t="shared" si="126"/>
        <v>5</v>
      </c>
      <c r="I2733" s="150" t="str">
        <f t="shared" si="127"/>
        <v>52</v>
      </c>
      <c r="J2733" s="150" t="str">
        <f t="shared" si="128"/>
        <v>523</v>
      </c>
      <c r="K2733" s="150" t="s">
        <v>7833</v>
      </c>
      <c r="L2733" s="156" t="s">
        <v>2871</v>
      </c>
      <c r="M2733" s="157">
        <v>3000</v>
      </c>
    </row>
    <row r="2734" spans="1:13" s="156" customFormat="1" x14ac:dyDescent="0.25">
      <c r="A2734" s="148" t="s">
        <v>7641</v>
      </c>
      <c r="B2734" s="156" t="s">
        <v>2880</v>
      </c>
      <c r="C2734" s="156">
        <v>11</v>
      </c>
      <c r="D2734" s="156">
        <v>400</v>
      </c>
      <c r="E2734" s="156">
        <v>0</v>
      </c>
      <c r="F2734" s="156">
        <v>620020</v>
      </c>
      <c r="G2734" s="156">
        <v>54300</v>
      </c>
      <c r="H2734" s="150" t="str">
        <f t="shared" si="126"/>
        <v>5</v>
      </c>
      <c r="I2734" s="150" t="str">
        <f t="shared" si="127"/>
        <v>54</v>
      </c>
      <c r="J2734" s="150" t="str">
        <f t="shared" si="128"/>
        <v>543</v>
      </c>
      <c r="K2734" s="150" t="s">
        <v>7974</v>
      </c>
      <c r="L2734" s="156" t="s">
        <v>2881</v>
      </c>
      <c r="M2734" s="157">
        <v>3000</v>
      </c>
    </row>
    <row r="2735" spans="1:13" s="156" customFormat="1" x14ac:dyDescent="0.25">
      <c r="A2735" s="148" t="s">
        <v>7641</v>
      </c>
      <c r="B2735" s="156" t="s">
        <v>2882</v>
      </c>
      <c r="C2735" s="156">
        <v>11</v>
      </c>
      <c r="D2735" s="156">
        <v>400</v>
      </c>
      <c r="E2735" s="156">
        <v>0</v>
      </c>
      <c r="F2735" s="156">
        <v>620020</v>
      </c>
      <c r="G2735" s="156">
        <v>55100</v>
      </c>
      <c r="H2735" s="150" t="str">
        <f t="shared" si="126"/>
        <v>5</v>
      </c>
      <c r="I2735" s="150" t="str">
        <f t="shared" si="127"/>
        <v>55</v>
      </c>
      <c r="J2735" s="150" t="str">
        <f t="shared" si="128"/>
        <v>551</v>
      </c>
      <c r="K2735" s="150" t="s">
        <v>7999</v>
      </c>
      <c r="L2735" s="156" t="s">
        <v>2883</v>
      </c>
      <c r="M2735" s="157">
        <v>5000</v>
      </c>
    </row>
    <row r="2736" spans="1:13" s="156" customFormat="1" x14ac:dyDescent="0.25">
      <c r="A2736" s="148" t="s">
        <v>7641</v>
      </c>
      <c r="B2736" s="156" t="s">
        <v>2884</v>
      </c>
      <c r="C2736" s="156">
        <v>11</v>
      </c>
      <c r="D2736" s="156">
        <v>400</v>
      </c>
      <c r="E2736" s="156">
        <v>0</v>
      </c>
      <c r="F2736" s="156">
        <v>620020</v>
      </c>
      <c r="G2736" s="156">
        <v>55635</v>
      </c>
      <c r="H2736" s="150" t="str">
        <f t="shared" si="126"/>
        <v>5</v>
      </c>
      <c r="I2736" s="150" t="str">
        <f t="shared" si="127"/>
        <v>55</v>
      </c>
      <c r="J2736" s="150" t="str">
        <f t="shared" si="128"/>
        <v>556</v>
      </c>
      <c r="K2736" s="150" t="s">
        <v>8283</v>
      </c>
      <c r="L2736" s="156" t="s">
        <v>2885</v>
      </c>
      <c r="M2736" s="157">
        <v>12000</v>
      </c>
    </row>
    <row r="2737" spans="1:13" s="156" customFormat="1" x14ac:dyDescent="0.25">
      <c r="A2737" s="148" t="s">
        <v>7641</v>
      </c>
      <c r="B2737" s="156" t="s">
        <v>3016</v>
      </c>
      <c r="C2737" s="156">
        <v>11</v>
      </c>
      <c r="D2737" s="156">
        <v>400</v>
      </c>
      <c r="E2737" s="156">
        <v>0</v>
      </c>
      <c r="F2737" s="156">
        <v>696000</v>
      </c>
      <c r="G2737" s="156">
        <v>52300</v>
      </c>
      <c r="H2737" s="150" t="str">
        <f t="shared" si="126"/>
        <v>5</v>
      </c>
      <c r="I2737" s="150" t="str">
        <f t="shared" si="127"/>
        <v>52</v>
      </c>
      <c r="J2737" s="150" t="str">
        <f t="shared" si="128"/>
        <v>523</v>
      </c>
      <c r="K2737" s="150" t="s">
        <v>7837</v>
      </c>
      <c r="L2737" s="156" t="s">
        <v>3017</v>
      </c>
      <c r="M2737" s="157">
        <v>0</v>
      </c>
    </row>
    <row r="2738" spans="1:13" s="156" customFormat="1" x14ac:dyDescent="0.25">
      <c r="A2738" s="148" t="s">
        <v>7641</v>
      </c>
      <c r="B2738" s="156" t="s">
        <v>3025</v>
      </c>
      <c r="C2738" s="156">
        <v>11</v>
      </c>
      <c r="D2738" s="156">
        <v>400</v>
      </c>
      <c r="E2738" s="156">
        <v>0</v>
      </c>
      <c r="F2738" s="156">
        <v>696000</v>
      </c>
      <c r="G2738" s="156">
        <v>54300</v>
      </c>
      <c r="H2738" s="150" t="str">
        <f t="shared" si="126"/>
        <v>5</v>
      </c>
      <c r="I2738" s="150" t="str">
        <f t="shared" si="127"/>
        <v>54</v>
      </c>
      <c r="J2738" s="150" t="str">
        <f t="shared" si="128"/>
        <v>543</v>
      </c>
      <c r="K2738" s="150" t="s">
        <v>7978</v>
      </c>
      <c r="L2738" s="156" t="s">
        <v>3026</v>
      </c>
      <c r="M2738" s="157">
        <v>100</v>
      </c>
    </row>
    <row r="2739" spans="1:13" s="156" customFormat="1" x14ac:dyDescent="0.25">
      <c r="A2739" s="148" t="s">
        <v>7641</v>
      </c>
      <c r="B2739" s="156" t="s">
        <v>3027</v>
      </c>
      <c r="C2739" s="156">
        <v>11</v>
      </c>
      <c r="D2739" s="156">
        <v>400</v>
      </c>
      <c r="E2739" s="156">
        <v>0</v>
      </c>
      <c r="F2739" s="156">
        <v>696000</v>
      </c>
      <c r="G2739" s="156">
        <v>55630</v>
      </c>
      <c r="H2739" s="150" t="str">
        <f t="shared" si="126"/>
        <v>5</v>
      </c>
      <c r="I2739" s="150" t="str">
        <f t="shared" si="127"/>
        <v>55</v>
      </c>
      <c r="J2739" s="150" t="str">
        <f t="shared" si="128"/>
        <v>556</v>
      </c>
      <c r="K2739" s="150" t="s">
        <v>8266</v>
      </c>
      <c r="L2739" s="156" t="s">
        <v>2860</v>
      </c>
      <c r="M2739" s="157">
        <v>1200</v>
      </c>
    </row>
    <row r="2740" spans="1:13" s="156" customFormat="1" x14ac:dyDescent="0.25">
      <c r="A2740" s="148" t="s">
        <v>7641</v>
      </c>
      <c r="B2740" s="156" t="s">
        <v>2925</v>
      </c>
      <c r="C2740" s="156">
        <v>11</v>
      </c>
      <c r="D2740" s="156">
        <v>400</v>
      </c>
      <c r="E2740" s="156">
        <v>0</v>
      </c>
      <c r="F2740" s="156">
        <v>631020</v>
      </c>
      <c r="G2740" s="156">
        <v>52360</v>
      </c>
      <c r="H2740" s="150" t="str">
        <f t="shared" si="126"/>
        <v>5</v>
      </c>
      <c r="I2740" s="150" t="str">
        <f t="shared" si="127"/>
        <v>52</v>
      </c>
      <c r="J2740" s="150" t="str">
        <f t="shared" si="128"/>
        <v>523</v>
      </c>
      <c r="K2740" s="150" t="s">
        <v>7881</v>
      </c>
      <c r="L2740" s="156" t="s">
        <v>2926</v>
      </c>
      <c r="M2740" s="157">
        <v>155075</v>
      </c>
    </row>
    <row r="2741" spans="1:13" x14ac:dyDescent="0.25">
      <c r="A2741" s="148" t="s">
        <v>7641</v>
      </c>
      <c r="B2741" s="152" t="s">
        <v>2941</v>
      </c>
      <c r="C2741" s="152">
        <v>11</v>
      </c>
      <c r="D2741" s="152">
        <v>400</v>
      </c>
      <c r="E2741" s="152">
        <v>0</v>
      </c>
      <c r="F2741" s="152">
        <v>631020</v>
      </c>
      <c r="G2741" s="152">
        <v>55630</v>
      </c>
      <c r="H2741" s="150" t="str">
        <f t="shared" si="126"/>
        <v>5</v>
      </c>
      <c r="I2741" s="150" t="str">
        <f t="shared" si="127"/>
        <v>55</v>
      </c>
      <c r="J2741" s="150" t="str">
        <f t="shared" si="128"/>
        <v>556</v>
      </c>
      <c r="K2741" s="150" t="s">
        <v>8263</v>
      </c>
      <c r="L2741" s="152" t="s">
        <v>2942</v>
      </c>
      <c r="M2741" s="153">
        <v>200</v>
      </c>
    </row>
    <row r="2742" spans="1:13" x14ac:dyDescent="0.25">
      <c r="A2742" s="148" t="s">
        <v>7641</v>
      </c>
      <c r="B2742" s="152" t="s">
        <v>2979</v>
      </c>
      <c r="C2742" s="152">
        <v>11</v>
      </c>
      <c r="D2742" s="152">
        <v>400</v>
      </c>
      <c r="E2742" s="152">
        <v>0</v>
      </c>
      <c r="F2742" s="152">
        <v>665000</v>
      </c>
      <c r="G2742" s="152">
        <v>52300</v>
      </c>
      <c r="H2742" s="150" t="str">
        <f t="shared" si="126"/>
        <v>5</v>
      </c>
      <c r="I2742" s="150" t="str">
        <f t="shared" si="127"/>
        <v>52</v>
      </c>
      <c r="J2742" s="150" t="str">
        <f t="shared" si="128"/>
        <v>523</v>
      </c>
      <c r="K2742" s="150" t="s">
        <v>7836</v>
      </c>
      <c r="L2742" s="152" t="s">
        <v>2980</v>
      </c>
      <c r="M2742" s="153">
        <v>0</v>
      </c>
    </row>
    <row r="2743" spans="1:13" x14ac:dyDescent="0.25">
      <c r="A2743" s="148" t="s">
        <v>7641</v>
      </c>
      <c r="B2743" s="152" t="s">
        <v>2981</v>
      </c>
      <c r="C2743" s="152">
        <v>11</v>
      </c>
      <c r="D2743" s="152">
        <v>400</v>
      </c>
      <c r="E2743" s="152">
        <v>0</v>
      </c>
      <c r="F2743" s="152">
        <v>665000</v>
      </c>
      <c r="G2743" s="152">
        <v>52360</v>
      </c>
      <c r="H2743" s="150" t="str">
        <f t="shared" si="126"/>
        <v>5</v>
      </c>
      <c r="I2743" s="150" t="str">
        <f t="shared" si="127"/>
        <v>52</v>
      </c>
      <c r="J2743" s="150" t="str">
        <f t="shared" si="128"/>
        <v>523</v>
      </c>
      <c r="K2743" s="150" t="s">
        <v>7882</v>
      </c>
      <c r="L2743" s="152" t="s">
        <v>2982</v>
      </c>
      <c r="M2743" s="153">
        <v>49000</v>
      </c>
    </row>
    <row r="2744" spans="1:13" x14ac:dyDescent="0.25">
      <c r="A2744" s="148" t="s">
        <v>7641</v>
      </c>
      <c r="B2744" s="152" t="s">
        <v>2999</v>
      </c>
      <c r="C2744" s="152">
        <v>11</v>
      </c>
      <c r="D2744" s="152">
        <v>400</v>
      </c>
      <c r="E2744" s="152">
        <v>0</v>
      </c>
      <c r="F2744" s="152">
        <v>665000</v>
      </c>
      <c r="G2744" s="152">
        <v>54300</v>
      </c>
      <c r="H2744" s="150" t="str">
        <f t="shared" si="126"/>
        <v>5</v>
      </c>
      <c r="I2744" s="150" t="str">
        <f t="shared" si="127"/>
        <v>54</v>
      </c>
      <c r="J2744" s="150" t="str">
        <f t="shared" si="128"/>
        <v>543</v>
      </c>
      <c r="K2744" s="150" t="s">
        <v>7977</v>
      </c>
      <c r="L2744" s="152" t="s">
        <v>3000</v>
      </c>
      <c r="M2744" s="153">
        <v>1800</v>
      </c>
    </row>
    <row r="2745" spans="1:13" x14ac:dyDescent="0.25">
      <c r="A2745" s="148" t="s">
        <v>7641</v>
      </c>
      <c r="B2745" s="152" t="s">
        <v>3001</v>
      </c>
      <c r="C2745" s="152">
        <v>11</v>
      </c>
      <c r="D2745" s="152">
        <v>400</v>
      </c>
      <c r="E2745" s="152">
        <v>0</v>
      </c>
      <c r="F2745" s="152">
        <v>665000</v>
      </c>
      <c r="G2745" s="152">
        <v>55100</v>
      </c>
      <c r="H2745" s="150" t="str">
        <f t="shared" si="126"/>
        <v>5</v>
      </c>
      <c r="I2745" s="150" t="str">
        <f t="shared" si="127"/>
        <v>55</v>
      </c>
      <c r="J2745" s="150" t="str">
        <f t="shared" si="128"/>
        <v>551</v>
      </c>
      <c r="K2745" s="150" t="s">
        <v>8000</v>
      </c>
      <c r="L2745" s="152" t="s">
        <v>3002</v>
      </c>
      <c r="M2745" s="153">
        <v>0</v>
      </c>
    </row>
    <row r="2746" spans="1:13" x14ac:dyDescent="0.25">
      <c r="A2746" s="148" t="s">
        <v>7641</v>
      </c>
      <c r="B2746" s="152" t="s">
        <v>3003</v>
      </c>
      <c r="C2746" s="152">
        <v>11</v>
      </c>
      <c r="D2746" s="152">
        <v>400</v>
      </c>
      <c r="E2746" s="152">
        <v>0</v>
      </c>
      <c r="F2746" s="152">
        <v>665000</v>
      </c>
      <c r="G2746" s="152">
        <v>55105</v>
      </c>
      <c r="H2746" s="150" t="str">
        <f t="shared" si="126"/>
        <v>5</v>
      </c>
      <c r="I2746" s="150" t="str">
        <f t="shared" si="127"/>
        <v>55</v>
      </c>
      <c r="J2746" s="150" t="str">
        <f t="shared" si="128"/>
        <v>551</v>
      </c>
      <c r="K2746" s="150" t="s">
        <v>8019</v>
      </c>
      <c r="L2746" s="152" t="s">
        <v>3004</v>
      </c>
      <c r="M2746" s="153">
        <v>200</v>
      </c>
    </row>
    <row r="2747" spans="1:13" x14ac:dyDescent="0.25">
      <c r="A2747" s="148" t="s">
        <v>7641</v>
      </c>
      <c r="B2747" s="152" t="s">
        <v>3005</v>
      </c>
      <c r="C2747" s="152">
        <v>11</v>
      </c>
      <c r="D2747" s="152">
        <v>400</v>
      </c>
      <c r="E2747" s="152">
        <v>0</v>
      </c>
      <c r="F2747" s="152">
        <v>665000</v>
      </c>
      <c r="G2747" s="152">
        <v>55200</v>
      </c>
      <c r="H2747" s="150" t="str">
        <f t="shared" si="126"/>
        <v>5</v>
      </c>
      <c r="I2747" s="150" t="str">
        <f t="shared" si="127"/>
        <v>55</v>
      </c>
      <c r="J2747" s="150" t="str">
        <f t="shared" si="128"/>
        <v>552</v>
      </c>
      <c r="K2747" s="150" t="s">
        <v>8066</v>
      </c>
      <c r="L2747" s="152" t="s">
        <v>3006</v>
      </c>
      <c r="M2747" s="153">
        <v>6000</v>
      </c>
    </row>
    <row r="2748" spans="1:13" x14ac:dyDescent="0.25">
      <c r="A2748" s="148" t="s">
        <v>7641</v>
      </c>
      <c r="B2748" s="152" t="s">
        <v>3007</v>
      </c>
      <c r="C2748" s="152">
        <v>11</v>
      </c>
      <c r="D2748" s="152">
        <v>400</v>
      </c>
      <c r="E2748" s="152">
        <v>0</v>
      </c>
      <c r="F2748" s="152">
        <v>665000</v>
      </c>
      <c r="G2748" s="152">
        <v>55300</v>
      </c>
      <c r="H2748" s="150" t="str">
        <f t="shared" si="126"/>
        <v>5</v>
      </c>
      <c r="I2748" s="150" t="str">
        <f t="shared" si="127"/>
        <v>55</v>
      </c>
      <c r="J2748" s="150" t="str">
        <f t="shared" si="128"/>
        <v>553</v>
      </c>
      <c r="K2748" s="150" t="s">
        <v>8097</v>
      </c>
      <c r="L2748" s="152" t="s">
        <v>3008</v>
      </c>
      <c r="M2748" s="153">
        <v>300</v>
      </c>
    </row>
    <row r="2749" spans="1:13" x14ac:dyDescent="0.25">
      <c r="A2749" s="148" t="s">
        <v>7641</v>
      </c>
      <c r="B2749" s="152" t="s">
        <v>3009</v>
      </c>
      <c r="C2749" s="152">
        <v>11</v>
      </c>
      <c r="D2749" s="152">
        <v>400</v>
      </c>
      <c r="E2749" s="152">
        <v>0</v>
      </c>
      <c r="F2749" s="152">
        <v>665000</v>
      </c>
      <c r="G2749" s="152">
        <v>55400</v>
      </c>
      <c r="H2749" s="150" t="str">
        <f t="shared" si="126"/>
        <v>5</v>
      </c>
      <c r="I2749" s="150" t="str">
        <f t="shared" si="127"/>
        <v>55</v>
      </c>
      <c r="J2749" s="150" t="str">
        <f t="shared" si="128"/>
        <v>554</v>
      </c>
      <c r="K2749" s="150" t="s">
        <v>8115</v>
      </c>
      <c r="L2749" s="152" t="s">
        <v>3010</v>
      </c>
      <c r="M2749" s="153">
        <v>119651</v>
      </c>
    </row>
    <row r="2750" spans="1:13" x14ac:dyDescent="0.25">
      <c r="A2750" s="148" t="s">
        <v>7641</v>
      </c>
      <c r="B2750" s="152" t="s">
        <v>3011</v>
      </c>
      <c r="C2750" s="152">
        <v>11</v>
      </c>
      <c r="D2750" s="152">
        <v>400</v>
      </c>
      <c r="E2750" s="152">
        <v>0</v>
      </c>
      <c r="F2750" s="152">
        <v>665000</v>
      </c>
      <c r="G2750" s="152">
        <v>55630</v>
      </c>
      <c r="H2750" s="150" t="str">
        <f t="shared" si="126"/>
        <v>5</v>
      </c>
      <c r="I2750" s="150" t="str">
        <f t="shared" si="127"/>
        <v>55</v>
      </c>
      <c r="J2750" s="150" t="str">
        <f t="shared" si="128"/>
        <v>556</v>
      </c>
      <c r="K2750" s="150" t="s">
        <v>8265</v>
      </c>
      <c r="L2750" s="152" t="s">
        <v>3012</v>
      </c>
      <c r="M2750" s="153">
        <v>500</v>
      </c>
    </row>
    <row r="2751" spans="1:13" x14ac:dyDescent="0.25">
      <c r="A2751" s="148" t="s">
        <v>7641</v>
      </c>
      <c r="B2751" s="152" t="s">
        <v>3060</v>
      </c>
      <c r="C2751" s="152">
        <v>11</v>
      </c>
      <c r="D2751" s="152">
        <v>410</v>
      </c>
      <c r="E2751" s="152">
        <v>0</v>
      </c>
      <c r="F2751" s="152">
        <v>620000</v>
      </c>
      <c r="G2751" s="152">
        <v>52300</v>
      </c>
      <c r="H2751" s="150" t="str">
        <f t="shared" si="126"/>
        <v>5</v>
      </c>
      <c r="I2751" s="150" t="str">
        <f t="shared" si="127"/>
        <v>52</v>
      </c>
      <c r="J2751" s="150" t="str">
        <f t="shared" si="128"/>
        <v>523</v>
      </c>
      <c r="K2751" s="150" t="s">
        <v>7838</v>
      </c>
      <c r="L2751" s="152" t="s">
        <v>3061</v>
      </c>
      <c r="M2751" s="153">
        <v>500</v>
      </c>
    </row>
    <row r="2752" spans="1:13" x14ac:dyDescent="0.25">
      <c r="A2752" s="148" t="s">
        <v>7641</v>
      </c>
      <c r="B2752" s="152" t="s">
        <v>3062</v>
      </c>
      <c r="C2752" s="152">
        <v>11</v>
      </c>
      <c r="D2752" s="152">
        <v>410</v>
      </c>
      <c r="E2752" s="152">
        <v>0</v>
      </c>
      <c r="F2752" s="152">
        <v>620000</v>
      </c>
      <c r="G2752" s="152">
        <v>52360</v>
      </c>
      <c r="H2752" s="150" t="str">
        <f t="shared" si="126"/>
        <v>5</v>
      </c>
      <c r="I2752" s="150" t="str">
        <f t="shared" si="127"/>
        <v>52</v>
      </c>
      <c r="J2752" s="150" t="str">
        <f t="shared" si="128"/>
        <v>523</v>
      </c>
      <c r="K2752" s="150" t="s">
        <v>7883</v>
      </c>
      <c r="L2752" s="152" t="s">
        <v>3063</v>
      </c>
      <c r="M2752" s="153">
        <v>18000</v>
      </c>
    </row>
    <row r="2753" spans="1:13" x14ac:dyDescent="0.25">
      <c r="A2753" s="148" t="s">
        <v>7641</v>
      </c>
      <c r="B2753" s="152" t="s">
        <v>3078</v>
      </c>
      <c r="C2753" s="152">
        <v>11</v>
      </c>
      <c r="D2753" s="152">
        <v>410</v>
      </c>
      <c r="E2753" s="152">
        <v>0</v>
      </c>
      <c r="F2753" s="152">
        <v>620000</v>
      </c>
      <c r="G2753" s="152">
        <v>54300</v>
      </c>
      <c r="H2753" s="150" t="str">
        <f t="shared" si="126"/>
        <v>5</v>
      </c>
      <c r="I2753" s="150" t="str">
        <f t="shared" si="127"/>
        <v>54</v>
      </c>
      <c r="J2753" s="150" t="str">
        <f t="shared" si="128"/>
        <v>543</v>
      </c>
      <c r="K2753" s="150" t="s">
        <v>7979</v>
      </c>
      <c r="L2753" s="152" t="s">
        <v>3079</v>
      </c>
      <c r="M2753" s="153">
        <v>1649</v>
      </c>
    </row>
    <row r="2754" spans="1:13" x14ac:dyDescent="0.25">
      <c r="A2754" s="148" t="s">
        <v>7641</v>
      </c>
      <c r="B2754" s="152" t="s">
        <v>3080</v>
      </c>
      <c r="C2754" s="152">
        <v>11</v>
      </c>
      <c r="D2754" s="152">
        <v>410</v>
      </c>
      <c r="E2754" s="152">
        <v>0</v>
      </c>
      <c r="F2754" s="152">
        <v>620000</v>
      </c>
      <c r="G2754" s="152">
        <v>55200</v>
      </c>
      <c r="H2754" s="150" t="str">
        <f t="shared" si="126"/>
        <v>5</v>
      </c>
      <c r="I2754" s="150" t="str">
        <f t="shared" si="127"/>
        <v>55</v>
      </c>
      <c r="J2754" s="150" t="str">
        <f t="shared" si="128"/>
        <v>552</v>
      </c>
      <c r="K2754" s="150" t="s">
        <v>8067</v>
      </c>
      <c r="L2754" s="152" t="s">
        <v>3081</v>
      </c>
      <c r="M2754" s="153">
        <v>2910</v>
      </c>
    </row>
    <row r="2755" spans="1:13" x14ac:dyDescent="0.25">
      <c r="A2755" s="148" t="s">
        <v>7641</v>
      </c>
      <c r="B2755" s="152" t="s">
        <v>3082</v>
      </c>
      <c r="C2755" s="152">
        <v>11</v>
      </c>
      <c r="D2755" s="152">
        <v>410</v>
      </c>
      <c r="E2755" s="152">
        <v>0</v>
      </c>
      <c r="F2755" s="152">
        <v>620000</v>
      </c>
      <c r="G2755" s="152">
        <v>55300</v>
      </c>
      <c r="H2755" s="150" t="str">
        <f t="shared" ref="H2755:H2818" si="129">LEFT(G2755,1)</f>
        <v>5</v>
      </c>
      <c r="I2755" s="150" t="str">
        <f t="shared" ref="I2755:I2818" si="130">LEFT(G2755,2)</f>
        <v>55</v>
      </c>
      <c r="J2755" s="150" t="str">
        <f t="shared" ref="J2755:J2818" si="131">LEFT(G2755,3)</f>
        <v>553</v>
      </c>
      <c r="K2755" s="150" t="s">
        <v>8098</v>
      </c>
      <c r="L2755" s="152" t="s">
        <v>3083</v>
      </c>
      <c r="M2755" s="153">
        <v>0</v>
      </c>
    </row>
    <row r="2756" spans="1:13" x14ac:dyDescent="0.25">
      <c r="A2756" s="148" t="s">
        <v>7641</v>
      </c>
      <c r="B2756" s="152" t="s">
        <v>3084</v>
      </c>
      <c r="C2756" s="152">
        <v>11</v>
      </c>
      <c r="D2756" s="152">
        <v>410</v>
      </c>
      <c r="E2756" s="152">
        <v>0</v>
      </c>
      <c r="F2756" s="152">
        <v>620000</v>
      </c>
      <c r="G2756" s="152">
        <v>55630</v>
      </c>
      <c r="H2756" s="150" t="str">
        <f t="shared" si="129"/>
        <v>5</v>
      </c>
      <c r="I2756" s="150" t="str">
        <f t="shared" si="130"/>
        <v>55</v>
      </c>
      <c r="J2756" s="150" t="str">
        <f t="shared" si="131"/>
        <v>556</v>
      </c>
      <c r="K2756" s="150" t="s">
        <v>8267</v>
      </c>
      <c r="L2756" s="152" t="s">
        <v>3085</v>
      </c>
      <c r="M2756" s="153">
        <v>3820</v>
      </c>
    </row>
    <row r="2757" spans="1:13" x14ac:dyDescent="0.25">
      <c r="A2757" s="148" t="s">
        <v>7641</v>
      </c>
      <c r="B2757" s="152" t="s">
        <v>3086</v>
      </c>
      <c r="C2757" s="152">
        <v>11</v>
      </c>
      <c r="D2757" s="152">
        <v>410</v>
      </c>
      <c r="E2757" s="152">
        <v>0</v>
      </c>
      <c r="F2757" s="152">
        <v>620000</v>
      </c>
      <c r="G2757" s="152">
        <v>55635</v>
      </c>
      <c r="H2757" s="150" t="str">
        <f t="shared" si="129"/>
        <v>5</v>
      </c>
      <c r="I2757" s="150" t="str">
        <f t="shared" si="130"/>
        <v>55</v>
      </c>
      <c r="J2757" s="150" t="str">
        <f t="shared" si="131"/>
        <v>556</v>
      </c>
      <c r="K2757" s="150" t="s">
        <v>8284</v>
      </c>
      <c r="L2757" s="152" t="s">
        <v>3087</v>
      </c>
      <c r="M2757" s="153">
        <v>4074</v>
      </c>
    </row>
    <row r="2758" spans="1:13" x14ac:dyDescent="0.25">
      <c r="A2758" s="148" t="s">
        <v>7641</v>
      </c>
      <c r="B2758" s="152" t="s">
        <v>3088</v>
      </c>
      <c r="C2758" s="152">
        <v>11</v>
      </c>
      <c r="D2758" s="152">
        <v>410</v>
      </c>
      <c r="E2758" s="152">
        <v>0</v>
      </c>
      <c r="F2758" s="152">
        <v>620000</v>
      </c>
      <c r="G2758" s="152">
        <v>55650</v>
      </c>
      <c r="H2758" s="150" t="str">
        <f t="shared" si="129"/>
        <v>5</v>
      </c>
      <c r="I2758" s="150" t="str">
        <f t="shared" si="130"/>
        <v>55</v>
      </c>
      <c r="J2758" s="150" t="str">
        <f t="shared" si="131"/>
        <v>556</v>
      </c>
      <c r="K2758" s="150" t="s">
        <v>8310</v>
      </c>
      <c r="L2758" s="152" t="s">
        <v>3089</v>
      </c>
      <c r="M2758" s="153">
        <v>3820</v>
      </c>
    </row>
    <row r="2759" spans="1:13" x14ac:dyDescent="0.25">
      <c r="A2759" s="148" t="s">
        <v>7641</v>
      </c>
      <c r="B2759" s="167" t="s">
        <v>3094</v>
      </c>
      <c r="C2759" s="167">
        <v>11</v>
      </c>
      <c r="D2759" s="167">
        <v>420</v>
      </c>
      <c r="E2759" s="167">
        <v>0</v>
      </c>
      <c r="F2759" s="167">
        <v>646000</v>
      </c>
      <c r="G2759" s="167">
        <v>52300</v>
      </c>
      <c r="H2759" s="150" t="str">
        <f t="shared" si="129"/>
        <v>5</v>
      </c>
      <c r="I2759" s="150" t="str">
        <f t="shared" si="130"/>
        <v>52</v>
      </c>
      <c r="J2759" s="150" t="str">
        <f t="shared" si="131"/>
        <v>523</v>
      </c>
      <c r="K2759" s="150" t="s">
        <v>7839</v>
      </c>
      <c r="L2759" s="152" t="s">
        <v>3095</v>
      </c>
      <c r="M2759" s="153">
        <v>6000</v>
      </c>
    </row>
    <row r="2760" spans="1:13" x14ac:dyDescent="0.25">
      <c r="A2760" s="148" t="s">
        <v>7641</v>
      </c>
      <c r="B2760" s="167" t="s">
        <v>3096</v>
      </c>
      <c r="C2760" s="167">
        <v>11</v>
      </c>
      <c r="D2760" s="167">
        <v>420</v>
      </c>
      <c r="E2760" s="167">
        <v>0</v>
      </c>
      <c r="F2760" s="167">
        <v>646000</v>
      </c>
      <c r="G2760" s="167">
        <v>52310</v>
      </c>
      <c r="H2760" s="150" t="str">
        <f t="shared" si="129"/>
        <v>5</v>
      </c>
      <c r="I2760" s="150" t="str">
        <f t="shared" si="130"/>
        <v>52</v>
      </c>
      <c r="J2760" s="150" t="str">
        <f t="shared" si="131"/>
        <v>523</v>
      </c>
      <c r="K2760" s="150" t="s">
        <v>7846</v>
      </c>
      <c r="L2760" s="152" t="s">
        <v>3097</v>
      </c>
      <c r="M2760" s="153">
        <v>45000</v>
      </c>
    </row>
    <row r="2761" spans="1:13" x14ac:dyDescent="0.25">
      <c r="A2761" s="148" t="s">
        <v>7641</v>
      </c>
      <c r="B2761" s="167" t="s">
        <v>3098</v>
      </c>
      <c r="C2761" s="167">
        <v>11</v>
      </c>
      <c r="D2761" s="167">
        <v>420</v>
      </c>
      <c r="E2761" s="167">
        <v>0</v>
      </c>
      <c r="F2761" s="167">
        <v>646000</v>
      </c>
      <c r="G2761" s="167">
        <v>52360</v>
      </c>
      <c r="H2761" s="150" t="str">
        <f t="shared" si="129"/>
        <v>5</v>
      </c>
      <c r="I2761" s="150" t="str">
        <f t="shared" si="130"/>
        <v>52</v>
      </c>
      <c r="J2761" s="150" t="str">
        <f t="shared" si="131"/>
        <v>523</v>
      </c>
      <c r="K2761" s="150" t="s">
        <v>7884</v>
      </c>
      <c r="L2761" s="152" t="s">
        <v>3099</v>
      </c>
      <c r="M2761" s="153">
        <v>200</v>
      </c>
    </row>
    <row r="2762" spans="1:13" x14ac:dyDescent="0.25">
      <c r="A2762" s="148" t="s">
        <v>7641</v>
      </c>
      <c r="B2762" s="167" t="s">
        <v>3114</v>
      </c>
      <c r="C2762" s="167">
        <v>11</v>
      </c>
      <c r="D2762" s="167">
        <v>420</v>
      </c>
      <c r="E2762" s="167">
        <v>0</v>
      </c>
      <c r="F2762" s="167">
        <v>646000</v>
      </c>
      <c r="G2762" s="167">
        <v>54300</v>
      </c>
      <c r="H2762" s="150" t="str">
        <f t="shared" si="129"/>
        <v>5</v>
      </c>
      <c r="I2762" s="150" t="str">
        <f t="shared" si="130"/>
        <v>54</v>
      </c>
      <c r="J2762" s="150" t="str">
        <f t="shared" si="131"/>
        <v>543</v>
      </c>
      <c r="K2762" s="150" t="s">
        <v>7980</v>
      </c>
      <c r="L2762" s="152" t="s">
        <v>3115</v>
      </c>
      <c r="M2762" s="153">
        <v>2820</v>
      </c>
    </row>
    <row r="2763" spans="1:13" x14ac:dyDescent="0.25">
      <c r="A2763" s="148" t="s">
        <v>7641</v>
      </c>
      <c r="B2763" s="167" t="s">
        <v>3116</v>
      </c>
      <c r="C2763" s="167">
        <v>11</v>
      </c>
      <c r="D2763" s="167">
        <v>420</v>
      </c>
      <c r="E2763" s="167">
        <v>0</v>
      </c>
      <c r="F2763" s="167">
        <v>646000</v>
      </c>
      <c r="G2763" s="167">
        <v>55200</v>
      </c>
      <c r="H2763" s="150" t="str">
        <f t="shared" si="129"/>
        <v>5</v>
      </c>
      <c r="I2763" s="150" t="str">
        <f t="shared" si="130"/>
        <v>55</v>
      </c>
      <c r="J2763" s="150" t="str">
        <f t="shared" si="131"/>
        <v>552</v>
      </c>
      <c r="K2763" s="150" t="s">
        <v>8068</v>
      </c>
      <c r="L2763" s="152" t="s">
        <v>3117</v>
      </c>
      <c r="M2763" s="153">
        <v>4850</v>
      </c>
    </row>
    <row r="2764" spans="1:13" x14ac:dyDescent="0.25">
      <c r="A2764" s="148" t="s">
        <v>7641</v>
      </c>
      <c r="B2764" s="167" t="s">
        <v>3118</v>
      </c>
      <c r="C2764" s="167">
        <v>11</v>
      </c>
      <c r="D2764" s="167">
        <v>420</v>
      </c>
      <c r="E2764" s="167">
        <v>0</v>
      </c>
      <c r="F2764" s="167">
        <v>646000</v>
      </c>
      <c r="G2764" s="167">
        <v>55300</v>
      </c>
      <c r="H2764" s="150" t="str">
        <f t="shared" si="129"/>
        <v>5</v>
      </c>
      <c r="I2764" s="150" t="str">
        <f t="shared" si="130"/>
        <v>55</v>
      </c>
      <c r="J2764" s="150" t="str">
        <f t="shared" si="131"/>
        <v>553</v>
      </c>
      <c r="K2764" s="150" t="s">
        <v>8099</v>
      </c>
      <c r="L2764" s="152" t="s">
        <v>3119</v>
      </c>
      <c r="M2764" s="153">
        <v>1509</v>
      </c>
    </row>
    <row r="2765" spans="1:13" x14ac:dyDescent="0.25">
      <c r="A2765" s="148" t="s">
        <v>7641</v>
      </c>
      <c r="B2765" s="167" t="s">
        <v>3120</v>
      </c>
      <c r="C2765" s="167">
        <v>11</v>
      </c>
      <c r="D2765" s="167">
        <v>420</v>
      </c>
      <c r="E2765" s="167">
        <v>0</v>
      </c>
      <c r="F2765" s="167">
        <v>646000</v>
      </c>
      <c r="G2765" s="167">
        <v>55309</v>
      </c>
      <c r="H2765" s="150" t="str">
        <f t="shared" si="129"/>
        <v>5</v>
      </c>
      <c r="I2765" s="150" t="str">
        <f t="shared" si="130"/>
        <v>55</v>
      </c>
      <c r="J2765" s="150" t="str">
        <f t="shared" si="131"/>
        <v>553</v>
      </c>
      <c r="K2765" s="150" t="s">
        <v>8111</v>
      </c>
      <c r="L2765" s="152" t="s">
        <v>3121</v>
      </c>
      <c r="M2765" s="153">
        <v>16500</v>
      </c>
    </row>
    <row r="2766" spans="1:13" x14ac:dyDescent="0.25">
      <c r="A2766" s="148" t="s">
        <v>7641</v>
      </c>
      <c r="B2766" s="167" t="s">
        <v>3122</v>
      </c>
      <c r="C2766" s="167">
        <v>11</v>
      </c>
      <c r="D2766" s="167">
        <v>420</v>
      </c>
      <c r="E2766" s="167">
        <v>0</v>
      </c>
      <c r="F2766" s="167">
        <v>646000</v>
      </c>
      <c r="G2766" s="167">
        <v>55630</v>
      </c>
      <c r="H2766" s="150" t="str">
        <f t="shared" si="129"/>
        <v>5</v>
      </c>
      <c r="I2766" s="150" t="str">
        <f t="shared" si="130"/>
        <v>55</v>
      </c>
      <c r="J2766" s="150" t="str">
        <f t="shared" si="131"/>
        <v>556</v>
      </c>
      <c r="K2766" s="150" t="s">
        <v>8268</v>
      </c>
      <c r="L2766" s="152" t="s">
        <v>3123</v>
      </c>
      <c r="M2766" s="153">
        <v>5828</v>
      </c>
    </row>
    <row r="2767" spans="1:13" x14ac:dyDescent="0.25">
      <c r="A2767" s="148" t="s">
        <v>7641</v>
      </c>
      <c r="B2767" s="167" t="s">
        <v>3126</v>
      </c>
      <c r="C2767" s="167">
        <v>11</v>
      </c>
      <c r="D2767" s="167">
        <v>420</v>
      </c>
      <c r="E2767" s="167">
        <v>0</v>
      </c>
      <c r="F2767" s="167">
        <v>646021</v>
      </c>
      <c r="G2767" s="167">
        <v>52300</v>
      </c>
      <c r="H2767" s="150" t="str">
        <f t="shared" si="129"/>
        <v>5</v>
      </c>
      <c r="I2767" s="150" t="str">
        <f t="shared" si="130"/>
        <v>52</v>
      </c>
      <c r="J2767" s="150" t="str">
        <f t="shared" si="131"/>
        <v>523</v>
      </c>
      <c r="K2767" s="150" t="s">
        <v>7840</v>
      </c>
      <c r="L2767" s="152" t="s">
        <v>3127</v>
      </c>
      <c r="M2767" s="153">
        <v>200</v>
      </c>
    </row>
    <row r="2768" spans="1:13" x14ac:dyDescent="0.25">
      <c r="A2768" s="148" t="s">
        <v>7641</v>
      </c>
      <c r="B2768" s="167" t="s">
        <v>3140</v>
      </c>
      <c r="C2768" s="167">
        <v>11</v>
      </c>
      <c r="D2768" s="167">
        <v>420</v>
      </c>
      <c r="E2768" s="167">
        <v>0</v>
      </c>
      <c r="F2768" s="167">
        <v>646021</v>
      </c>
      <c r="G2768" s="167">
        <v>55630</v>
      </c>
      <c r="H2768" s="150" t="str">
        <f t="shared" si="129"/>
        <v>5</v>
      </c>
      <c r="I2768" s="150" t="str">
        <f t="shared" si="130"/>
        <v>55</v>
      </c>
      <c r="J2768" s="150" t="str">
        <f t="shared" si="131"/>
        <v>556</v>
      </c>
      <c r="K2768" s="150" t="s">
        <v>8269</v>
      </c>
      <c r="L2768" s="152" t="s">
        <v>3141</v>
      </c>
      <c r="M2768" s="153">
        <v>388</v>
      </c>
    </row>
    <row r="2769" spans="1:13" x14ac:dyDescent="0.25">
      <c r="A2769" s="148" t="s">
        <v>7641</v>
      </c>
      <c r="B2769" s="152" t="s">
        <v>3146</v>
      </c>
      <c r="C2769" s="152">
        <v>11</v>
      </c>
      <c r="D2769" s="152">
        <v>420</v>
      </c>
      <c r="E2769" s="152">
        <v>0</v>
      </c>
      <c r="F2769" s="152">
        <v>648000</v>
      </c>
      <c r="G2769" s="152">
        <v>52300</v>
      </c>
      <c r="H2769" s="150" t="str">
        <f t="shared" si="129"/>
        <v>5</v>
      </c>
      <c r="I2769" s="150" t="str">
        <f t="shared" si="130"/>
        <v>52</v>
      </c>
      <c r="J2769" s="150" t="str">
        <f t="shared" si="131"/>
        <v>523</v>
      </c>
      <c r="K2769" s="150" t="s">
        <v>7841</v>
      </c>
      <c r="L2769" s="152" t="s">
        <v>3147</v>
      </c>
      <c r="M2769" s="153">
        <v>0</v>
      </c>
    </row>
    <row r="2770" spans="1:13" x14ac:dyDescent="0.25">
      <c r="A2770" s="148" t="s">
        <v>7641</v>
      </c>
      <c r="B2770" s="152" t="s">
        <v>3162</v>
      </c>
      <c r="C2770" s="152">
        <v>11</v>
      </c>
      <c r="D2770" s="152">
        <v>420</v>
      </c>
      <c r="E2770" s="152">
        <v>0</v>
      </c>
      <c r="F2770" s="152">
        <v>648000</v>
      </c>
      <c r="G2770" s="152">
        <v>55200</v>
      </c>
      <c r="H2770" s="150" t="str">
        <f t="shared" si="129"/>
        <v>5</v>
      </c>
      <c r="I2770" s="150" t="str">
        <f t="shared" si="130"/>
        <v>55</v>
      </c>
      <c r="J2770" s="150" t="str">
        <f t="shared" si="131"/>
        <v>552</v>
      </c>
      <c r="K2770" s="150" t="s">
        <v>8069</v>
      </c>
      <c r="L2770" s="152" t="s">
        <v>3163</v>
      </c>
      <c r="M2770" s="153">
        <v>1000</v>
      </c>
    </row>
    <row r="2771" spans="1:13" x14ac:dyDescent="0.25">
      <c r="A2771" s="148" t="s">
        <v>7641</v>
      </c>
      <c r="B2771" s="152" t="s">
        <v>3164</v>
      </c>
      <c r="C2771" s="152">
        <v>11</v>
      </c>
      <c r="D2771" s="152">
        <v>420</v>
      </c>
      <c r="E2771" s="152">
        <v>0</v>
      </c>
      <c r="F2771" s="152">
        <v>648000</v>
      </c>
      <c r="G2771" s="152">
        <v>55300</v>
      </c>
      <c r="H2771" s="150" t="str">
        <f t="shared" si="129"/>
        <v>5</v>
      </c>
      <c r="I2771" s="150" t="str">
        <f t="shared" si="130"/>
        <v>55</v>
      </c>
      <c r="J2771" s="150" t="str">
        <f t="shared" si="131"/>
        <v>553</v>
      </c>
      <c r="K2771" s="150" t="s">
        <v>8100</v>
      </c>
      <c r="L2771" s="152" t="s">
        <v>3165</v>
      </c>
      <c r="M2771" s="153">
        <v>100</v>
      </c>
    </row>
    <row r="2772" spans="1:13" x14ac:dyDescent="0.25">
      <c r="A2772" s="148" t="s">
        <v>7641</v>
      </c>
      <c r="B2772" s="152" t="s">
        <v>3166</v>
      </c>
      <c r="C2772" s="152">
        <v>11</v>
      </c>
      <c r="D2772" s="152">
        <v>420</v>
      </c>
      <c r="E2772" s="152">
        <v>0</v>
      </c>
      <c r="F2772" s="152">
        <v>648000</v>
      </c>
      <c r="G2772" s="152">
        <v>55630</v>
      </c>
      <c r="H2772" s="150" t="str">
        <f t="shared" si="129"/>
        <v>5</v>
      </c>
      <c r="I2772" s="150" t="str">
        <f t="shared" si="130"/>
        <v>55</v>
      </c>
      <c r="J2772" s="150" t="str">
        <f t="shared" si="131"/>
        <v>556</v>
      </c>
      <c r="K2772" s="150" t="s">
        <v>8270</v>
      </c>
      <c r="L2772" s="152" t="s">
        <v>3167</v>
      </c>
      <c r="M2772" s="153">
        <v>8</v>
      </c>
    </row>
    <row r="2773" spans="1:13" s="156" customFormat="1" x14ac:dyDescent="0.25">
      <c r="A2773" s="148" t="s">
        <v>7641</v>
      </c>
      <c r="B2773" s="156" t="s">
        <v>3198</v>
      </c>
      <c r="C2773" s="156">
        <v>11</v>
      </c>
      <c r="D2773" s="156">
        <v>430</v>
      </c>
      <c r="E2773" s="156">
        <v>0</v>
      </c>
      <c r="F2773" s="156">
        <v>704700</v>
      </c>
      <c r="G2773" s="156">
        <v>52315</v>
      </c>
      <c r="H2773" s="150" t="str">
        <f t="shared" si="129"/>
        <v>5</v>
      </c>
      <c r="I2773" s="150" t="str">
        <f t="shared" si="130"/>
        <v>52</v>
      </c>
      <c r="J2773" s="150" t="str">
        <f t="shared" si="131"/>
        <v>523</v>
      </c>
      <c r="K2773" s="150" t="s">
        <v>7848</v>
      </c>
      <c r="L2773" s="156" t="s">
        <v>3199</v>
      </c>
      <c r="M2773" s="157">
        <v>15000</v>
      </c>
    </row>
    <row r="2774" spans="1:13" s="156" customFormat="1" x14ac:dyDescent="0.25">
      <c r="A2774" s="148" t="s">
        <v>7641</v>
      </c>
      <c r="B2774" s="156" t="s">
        <v>3196</v>
      </c>
      <c r="C2774" s="156">
        <v>11</v>
      </c>
      <c r="D2774" s="156">
        <v>430</v>
      </c>
      <c r="E2774" s="156">
        <v>0</v>
      </c>
      <c r="F2774" s="156">
        <v>700500</v>
      </c>
      <c r="G2774" s="156">
        <v>55630</v>
      </c>
      <c r="H2774" s="150" t="str">
        <f t="shared" si="129"/>
        <v>5</v>
      </c>
      <c r="I2774" s="150" t="str">
        <f t="shared" si="130"/>
        <v>55</v>
      </c>
      <c r="J2774" s="150" t="str">
        <f t="shared" si="131"/>
        <v>556</v>
      </c>
      <c r="K2774" s="150" t="s">
        <v>8271</v>
      </c>
      <c r="L2774" s="156" t="s">
        <v>3197</v>
      </c>
      <c r="M2774" s="157">
        <v>125</v>
      </c>
    </row>
    <row r="2775" spans="1:13" s="156" customFormat="1" x14ac:dyDescent="0.25">
      <c r="A2775" s="148" t="s">
        <v>7641</v>
      </c>
      <c r="B2775" s="156" t="s">
        <v>3204</v>
      </c>
      <c r="C2775" s="156">
        <v>11</v>
      </c>
      <c r="D2775" s="156">
        <v>440</v>
      </c>
      <c r="E2775" s="156">
        <v>0</v>
      </c>
      <c r="F2775" s="156">
        <v>493032</v>
      </c>
      <c r="G2775" s="156">
        <v>51311</v>
      </c>
      <c r="H2775" s="150" t="str">
        <f t="shared" si="129"/>
        <v>5</v>
      </c>
      <c r="I2775" s="150" t="str">
        <f t="shared" si="130"/>
        <v>51</v>
      </c>
      <c r="J2775" s="150" t="str">
        <f t="shared" si="131"/>
        <v>513</v>
      </c>
      <c r="K2775" s="150" t="s">
        <v>7771</v>
      </c>
      <c r="L2775" s="156" t="s">
        <v>3205</v>
      </c>
      <c r="M2775" s="157">
        <v>5000</v>
      </c>
    </row>
    <row r="2776" spans="1:13" s="156" customFormat="1" x14ac:dyDescent="0.25">
      <c r="A2776" s="148" t="s">
        <v>7641</v>
      </c>
      <c r="B2776" s="156" t="s">
        <v>3206</v>
      </c>
      <c r="C2776" s="156">
        <v>11</v>
      </c>
      <c r="D2776" s="156">
        <v>440</v>
      </c>
      <c r="E2776" s="156">
        <v>0</v>
      </c>
      <c r="F2776" s="156">
        <v>493032</v>
      </c>
      <c r="G2776" s="156">
        <v>51411</v>
      </c>
      <c r="H2776" s="150" t="str">
        <f t="shared" si="129"/>
        <v>5</v>
      </c>
      <c r="I2776" s="150" t="str">
        <f t="shared" si="130"/>
        <v>51</v>
      </c>
      <c r="J2776" s="150" t="str">
        <f t="shared" si="131"/>
        <v>514</v>
      </c>
      <c r="K2776" s="150" t="s">
        <v>7779</v>
      </c>
      <c r="L2776" s="156" t="s">
        <v>3207</v>
      </c>
      <c r="M2776" s="157">
        <v>3850</v>
      </c>
    </row>
    <row r="2777" spans="1:13" s="156" customFormat="1" x14ac:dyDescent="0.25">
      <c r="A2777" s="148" t="s">
        <v>7641</v>
      </c>
      <c r="B2777" s="156" t="s">
        <v>3208</v>
      </c>
      <c r="C2777" s="156">
        <v>11</v>
      </c>
      <c r="D2777" s="156">
        <v>440</v>
      </c>
      <c r="E2777" s="156">
        <v>0</v>
      </c>
      <c r="F2777" s="156">
        <v>493032</v>
      </c>
      <c r="G2777" s="156">
        <v>52400</v>
      </c>
      <c r="H2777" s="150" t="str">
        <f t="shared" si="129"/>
        <v>5</v>
      </c>
      <c r="I2777" s="150" t="str">
        <f t="shared" si="130"/>
        <v>52</v>
      </c>
      <c r="J2777" s="150" t="str">
        <f t="shared" si="131"/>
        <v>524</v>
      </c>
      <c r="K2777" s="150" t="s">
        <v>7892</v>
      </c>
      <c r="L2777" s="156" t="s">
        <v>3209</v>
      </c>
      <c r="M2777" s="157">
        <v>0</v>
      </c>
    </row>
    <row r="2778" spans="1:13" s="156" customFormat="1" x14ac:dyDescent="0.25">
      <c r="A2778" s="148" t="s">
        <v>7641</v>
      </c>
      <c r="B2778" s="156" t="s">
        <v>3210</v>
      </c>
      <c r="C2778" s="156">
        <v>11</v>
      </c>
      <c r="D2778" s="156">
        <v>440</v>
      </c>
      <c r="E2778" s="156">
        <v>0</v>
      </c>
      <c r="F2778" s="156">
        <v>493032</v>
      </c>
      <c r="G2778" s="156">
        <v>52420</v>
      </c>
      <c r="H2778" s="150" t="str">
        <f t="shared" si="129"/>
        <v>5</v>
      </c>
      <c r="I2778" s="150" t="str">
        <f t="shared" si="130"/>
        <v>52</v>
      </c>
      <c r="J2778" s="150" t="str">
        <f t="shared" si="131"/>
        <v>524</v>
      </c>
      <c r="K2778" s="150" t="s">
        <v>7895</v>
      </c>
      <c r="L2778" s="156" t="s">
        <v>3211</v>
      </c>
      <c r="M2778" s="157">
        <v>1500</v>
      </c>
    </row>
    <row r="2779" spans="1:13" s="156" customFormat="1" x14ac:dyDescent="0.25">
      <c r="A2779" s="148" t="s">
        <v>7641</v>
      </c>
      <c r="B2779" s="156" t="s">
        <v>3234</v>
      </c>
      <c r="C2779" s="156">
        <v>11</v>
      </c>
      <c r="D2779" s="156">
        <v>440</v>
      </c>
      <c r="E2779" s="156">
        <v>0</v>
      </c>
      <c r="F2779" s="156">
        <v>493032</v>
      </c>
      <c r="G2779" s="156">
        <v>54300</v>
      </c>
      <c r="H2779" s="150" t="str">
        <f t="shared" si="129"/>
        <v>5</v>
      </c>
      <c r="I2779" s="150" t="str">
        <f t="shared" si="130"/>
        <v>54</v>
      </c>
      <c r="J2779" s="150" t="str">
        <f t="shared" si="131"/>
        <v>543</v>
      </c>
      <c r="K2779" s="150" t="s">
        <v>7981</v>
      </c>
      <c r="L2779" s="156" t="s">
        <v>3235</v>
      </c>
      <c r="M2779" s="157">
        <v>1500</v>
      </c>
    </row>
    <row r="2780" spans="1:13" s="156" customFormat="1" x14ac:dyDescent="0.25">
      <c r="A2780" s="148" t="s">
        <v>7641</v>
      </c>
      <c r="B2780" s="156" t="s">
        <v>3236</v>
      </c>
      <c r="C2780" s="156">
        <v>11</v>
      </c>
      <c r="D2780" s="156">
        <v>440</v>
      </c>
      <c r="E2780" s="156">
        <v>0</v>
      </c>
      <c r="F2780" s="156">
        <v>493032</v>
      </c>
      <c r="G2780" s="156">
        <v>55105</v>
      </c>
      <c r="H2780" s="150" t="str">
        <f t="shared" si="129"/>
        <v>5</v>
      </c>
      <c r="I2780" s="150" t="str">
        <f t="shared" si="130"/>
        <v>55</v>
      </c>
      <c r="J2780" s="150" t="str">
        <f t="shared" si="131"/>
        <v>551</v>
      </c>
      <c r="K2780" s="150" t="s">
        <v>8021</v>
      </c>
      <c r="L2780" s="156" t="s">
        <v>3237</v>
      </c>
      <c r="M2780" s="157">
        <v>12000</v>
      </c>
    </row>
    <row r="2781" spans="1:13" s="156" customFormat="1" x14ac:dyDescent="0.25">
      <c r="A2781" s="148" t="s">
        <v>7641</v>
      </c>
      <c r="B2781" s="156" t="s">
        <v>3238</v>
      </c>
      <c r="C2781" s="156">
        <v>11</v>
      </c>
      <c r="D2781" s="156">
        <v>440</v>
      </c>
      <c r="E2781" s="156">
        <v>0</v>
      </c>
      <c r="F2781" s="156">
        <v>493032</v>
      </c>
      <c r="G2781" s="156">
        <v>55200</v>
      </c>
      <c r="H2781" s="150" t="str">
        <f t="shared" si="129"/>
        <v>5</v>
      </c>
      <c r="I2781" s="150" t="str">
        <f t="shared" si="130"/>
        <v>55</v>
      </c>
      <c r="J2781" s="150" t="str">
        <f t="shared" si="131"/>
        <v>552</v>
      </c>
      <c r="K2781" s="150" t="s">
        <v>8070</v>
      </c>
      <c r="L2781" s="156" t="s">
        <v>3239</v>
      </c>
      <c r="M2781" s="157">
        <v>500</v>
      </c>
    </row>
    <row r="2782" spans="1:13" s="156" customFormat="1" x14ac:dyDescent="0.25">
      <c r="A2782" s="148" t="s">
        <v>7641</v>
      </c>
      <c r="B2782" s="156" t="s">
        <v>3240</v>
      </c>
      <c r="C2782" s="156">
        <v>11</v>
      </c>
      <c r="D2782" s="156">
        <v>440</v>
      </c>
      <c r="E2782" s="156">
        <v>0</v>
      </c>
      <c r="F2782" s="156">
        <v>493032</v>
      </c>
      <c r="G2782" s="156">
        <v>55309</v>
      </c>
      <c r="H2782" s="150" t="str">
        <f t="shared" si="129"/>
        <v>5</v>
      </c>
      <c r="I2782" s="150" t="str">
        <f t="shared" si="130"/>
        <v>55</v>
      </c>
      <c r="J2782" s="150" t="str">
        <f t="shared" si="131"/>
        <v>553</v>
      </c>
      <c r="K2782" s="150" t="s">
        <v>8112</v>
      </c>
      <c r="L2782" s="156" t="s">
        <v>3241</v>
      </c>
      <c r="M2782" s="157">
        <v>500</v>
      </c>
    </row>
    <row r="2783" spans="1:13" s="156" customFormat="1" x14ac:dyDescent="0.25">
      <c r="A2783" s="148" t="s">
        <v>7641</v>
      </c>
      <c r="B2783" s="156" t="s">
        <v>3242</v>
      </c>
      <c r="C2783" s="156">
        <v>11</v>
      </c>
      <c r="D2783" s="156">
        <v>440</v>
      </c>
      <c r="E2783" s="156">
        <v>0</v>
      </c>
      <c r="F2783" s="156">
        <v>493032</v>
      </c>
      <c r="G2783" s="156">
        <v>55630</v>
      </c>
      <c r="H2783" s="150" t="str">
        <f t="shared" si="129"/>
        <v>5</v>
      </c>
      <c r="I2783" s="150" t="str">
        <f t="shared" si="130"/>
        <v>55</v>
      </c>
      <c r="J2783" s="150" t="str">
        <f t="shared" si="131"/>
        <v>556</v>
      </c>
      <c r="K2783" s="150" t="s">
        <v>8272</v>
      </c>
      <c r="L2783" s="156" t="s">
        <v>3243</v>
      </c>
      <c r="M2783" s="157">
        <v>250</v>
      </c>
    </row>
    <row r="2784" spans="1:13" s="156" customFormat="1" x14ac:dyDescent="0.25">
      <c r="A2784" s="148" t="s">
        <v>7641</v>
      </c>
      <c r="B2784" s="156" t="s">
        <v>3244</v>
      </c>
      <c r="C2784" s="156">
        <v>11</v>
      </c>
      <c r="D2784" s="156">
        <v>440</v>
      </c>
      <c r="E2784" s="156">
        <v>0</v>
      </c>
      <c r="F2784" s="156">
        <v>701021</v>
      </c>
      <c r="G2784" s="156">
        <v>55105</v>
      </c>
      <c r="H2784" s="150" t="str">
        <f t="shared" si="129"/>
        <v>5</v>
      </c>
      <c r="I2784" s="150" t="str">
        <f t="shared" si="130"/>
        <v>55</v>
      </c>
      <c r="J2784" s="150" t="str">
        <f t="shared" si="131"/>
        <v>551</v>
      </c>
      <c r="K2784" s="150" t="s">
        <v>8022</v>
      </c>
      <c r="L2784" s="156" t="s">
        <v>3245</v>
      </c>
      <c r="M2784" s="157">
        <v>47500</v>
      </c>
    </row>
    <row r="2785" spans="1:13" x14ac:dyDescent="0.25">
      <c r="A2785" s="148" t="s">
        <v>7641</v>
      </c>
      <c r="B2785" s="152" t="s">
        <v>3250</v>
      </c>
      <c r="C2785" s="152">
        <v>11</v>
      </c>
      <c r="D2785" s="152">
        <v>500</v>
      </c>
      <c r="E2785" s="152">
        <v>0</v>
      </c>
      <c r="F2785" s="152">
        <v>673000</v>
      </c>
      <c r="G2785" s="152">
        <v>52300</v>
      </c>
      <c r="H2785" s="150" t="str">
        <f t="shared" si="129"/>
        <v>5</v>
      </c>
      <c r="I2785" s="150" t="str">
        <f t="shared" si="130"/>
        <v>52</v>
      </c>
      <c r="J2785" s="150" t="str">
        <f t="shared" si="131"/>
        <v>523</v>
      </c>
      <c r="K2785" s="150" t="s">
        <v>7842</v>
      </c>
      <c r="L2785" s="152" t="s">
        <v>3251</v>
      </c>
      <c r="M2785" s="153">
        <v>3300</v>
      </c>
    </row>
    <row r="2786" spans="1:13" x14ac:dyDescent="0.25">
      <c r="A2786" s="148" t="s">
        <v>7641</v>
      </c>
      <c r="B2786" s="152" t="s">
        <v>3252</v>
      </c>
      <c r="C2786" s="152">
        <v>11</v>
      </c>
      <c r="D2786" s="152">
        <v>500</v>
      </c>
      <c r="E2786" s="152">
        <v>0</v>
      </c>
      <c r="F2786" s="152">
        <v>673000</v>
      </c>
      <c r="G2786" s="152">
        <v>52360</v>
      </c>
      <c r="H2786" s="150" t="str">
        <f t="shared" si="129"/>
        <v>5</v>
      </c>
      <c r="I2786" s="150" t="str">
        <f t="shared" si="130"/>
        <v>52</v>
      </c>
      <c r="J2786" s="150" t="str">
        <f t="shared" si="131"/>
        <v>523</v>
      </c>
      <c r="K2786" s="150" t="s">
        <v>7885</v>
      </c>
      <c r="L2786" s="152" t="s">
        <v>3253</v>
      </c>
      <c r="M2786" s="153">
        <v>6500</v>
      </c>
    </row>
    <row r="2787" spans="1:13" x14ac:dyDescent="0.25">
      <c r="A2787" s="148" t="s">
        <v>7641</v>
      </c>
      <c r="B2787" s="152" t="s">
        <v>3268</v>
      </c>
      <c r="C2787" s="152">
        <v>11</v>
      </c>
      <c r="D2787" s="152">
        <v>500</v>
      </c>
      <c r="E2787" s="152">
        <v>0</v>
      </c>
      <c r="F2787" s="152">
        <v>673000</v>
      </c>
      <c r="G2787" s="152">
        <v>54300</v>
      </c>
      <c r="H2787" s="150" t="str">
        <f t="shared" si="129"/>
        <v>5</v>
      </c>
      <c r="I2787" s="150" t="str">
        <f t="shared" si="130"/>
        <v>54</v>
      </c>
      <c r="J2787" s="150" t="str">
        <f t="shared" si="131"/>
        <v>543</v>
      </c>
      <c r="K2787" s="150" t="s">
        <v>7982</v>
      </c>
      <c r="L2787" s="152" t="s">
        <v>3269</v>
      </c>
      <c r="M2787" s="153">
        <v>3500</v>
      </c>
    </row>
    <row r="2788" spans="1:13" x14ac:dyDescent="0.25">
      <c r="A2788" s="148" t="s">
        <v>7641</v>
      </c>
      <c r="B2788" s="152" t="s">
        <v>3270</v>
      </c>
      <c r="C2788" s="152">
        <v>11</v>
      </c>
      <c r="D2788" s="152">
        <v>500</v>
      </c>
      <c r="E2788" s="152">
        <v>0</v>
      </c>
      <c r="F2788" s="152">
        <v>673000</v>
      </c>
      <c r="G2788" s="152">
        <v>55105</v>
      </c>
      <c r="H2788" s="150" t="str">
        <f t="shared" si="129"/>
        <v>5</v>
      </c>
      <c r="I2788" s="150" t="str">
        <f t="shared" si="130"/>
        <v>55</v>
      </c>
      <c r="J2788" s="150" t="str">
        <f t="shared" si="131"/>
        <v>551</v>
      </c>
      <c r="K2788" s="150" t="s">
        <v>8023</v>
      </c>
      <c r="L2788" s="152" t="s">
        <v>3271</v>
      </c>
      <c r="M2788" s="153">
        <v>2000</v>
      </c>
    </row>
    <row r="2789" spans="1:13" x14ac:dyDescent="0.25">
      <c r="A2789" s="148" t="s">
        <v>7641</v>
      </c>
      <c r="B2789" s="152" t="s">
        <v>3272</v>
      </c>
      <c r="C2789" s="152">
        <v>11</v>
      </c>
      <c r="D2789" s="152">
        <v>500</v>
      </c>
      <c r="E2789" s="152">
        <v>0</v>
      </c>
      <c r="F2789" s="152">
        <v>673000</v>
      </c>
      <c r="G2789" s="152">
        <v>55125</v>
      </c>
      <c r="H2789" s="150" t="str">
        <f t="shared" si="129"/>
        <v>5</v>
      </c>
      <c r="I2789" s="150" t="str">
        <f t="shared" si="130"/>
        <v>55</v>
      </c>
      <c r="J2789" s="150" t="str">
        <f t="shared" si="131"/>
        <v>551</v>
      </c>
      <c r="K2789" s="150" t="s">
        <v>8034</v>
      </c>
      <c r="L2789" s="152" t="s">
        <v>3273</v>
      </c>
      <c r="M2789" s="153">
        <v>35000</v>
      </c>
    </row>
    <row r="2790" spans="1:13" x14ac:dyDescent="0.25">
      <c r="A2790" s="148" t="s">
        <v>7641</v>
      </c>
      <c r="B2790" s="152" t="s">
        <v>3274</v>
      </c>
      <c r="C2790" s="152">
        <v>11</v>
      </c>
      <c r="D2790" s="152">
        <v>500</v>
      </c>
      <c r="E2790" s="152">
        <v>0</v>
      </c>
      <c r="F2790" s="152">
        <v>673000</v>
      </c>
      <c r="G2790" s="152">
        <v>55200</v>
      </c>
      <c r="H2790" s="150" t="str">
        <f t="shared" si="129"/>
        <v>5</v>
      </c>
      <c r="I2790" s="150" t="str">
        <f t="shared" si="130"/>
        <v>55</v>
      </c>
      <c r="J2790" s="150" t="str">
        <f t="shared" si="131"/>
        <v>552</v>
      </c>
      <c r="K2790" s="150" t="s">
        <v>8071</v>
      </c>
      <c r="L2790" s="152" t="s">
        <v>3275</v>
      </c>
      <c r="M2790" s="153">
        <v>2000</v>
      </c>
    </row>
    <row r="2791" spans="1:13" x14ac:dyDescent="0.25">
      <c r="A2791" s="148" t="s">
        <v>7641</v>
      </c>
      <c r="B2791" s="152" t="s">
        <v>3276</v>
      </c>
      <c r="C2791" s="152">
        <v>11</v>
      </c>
      <c r="D2791" s="152">
        <v>500</v>
      </c>
      <c r="E2791" s="152">
        <v>0</v>
      </c>
      <c r="F2791" s="152">
        <v>673000</v>
      </c>
      <c r="G2791" s="152">
        <v>55300</v>
      </c>
      <c r="H2791" s="150" t="str">
        <f t="shared" si="129"/>
        <v>5</v>
      </c>
      <c r="I2791" s="150" t="str">
        <f t="shared" si="130"/>
        <v>55</v>
      </c>
      <c r="J2791" s="150" t="str">
        <f t="shared" si="131"/>
        <v>553</v>
      </c>
      <c r="K2791" s="150" t="s">
        <v>8101</v>
      </c>
      <c r="L2791" s="152" t="s">
        <v>3277</v>
      </c>
      <c r="M2791" s="153">
        <v>2695</v>
      </c>
    </row>
    <row r="2792" spans="1:13" x14ac:dyDescent="0.25">
      <c r="A2792" s="148" t="s">
        <v>7641</v>
      </c>
      <c r="B2792" s="152" t="s">
        <v>3278</v>
      </c>
      <c r="C2792" s="152">
        <v>11</v>
      </c>
      <c r="D2792" s="152">
        <v>500</v>
      </c>
      <c r="E2792" s="152">
        <v>0</v>
      </c>
      <c r="F2792" s="152">
        <v>673000</v>
      </c>
      <c r="G2792" s="152">
        <v>55625</v>
      </c>
      <c r="H2792" s="150" t="str">
        <f t="shared" si="129"/>
        <v>5</v>
      </c>
      <c r="I2792" s="150" t="str">
        <f t="shared" si="130"/>
        <v>55</v>
      </c>
      <c r="J2792" s="150" t="str">
        <f t="shared" si="131"/>
        <v>556</v>
      </c>
      <c r="K2792" s="150" t="s">
        <v>8158</v>
      </c>
      <c r="L2792" s="152" t="s">
        <v>3279</v>
      </c>
      <c r="M2792" s="153">
        <v>15000</v>
      </c>
    </row>
    <row r="2793" spans="1:13" x14ac:dyDescent="0.25">
      <c r="A2793" s="148" t="s">
        <v>7641</v>
      </c>
      <c r="B2793" s="152" t="s">
        <v>3280</v>
      </c>
      <c r="C2793" s="152">
        <v>11</v>
      </c>
      <c r="D2793" s="152">
        <v>500</v>
      </c>
      <c r="E2793" s="152">
        <v>0</v>
      </c>
      <c r="F2793" s="152">
        <v>673000</v>
      </c>
      <c r="G2793" s="152">
        <v>55630</v>
      </c>
      <c r="H2793" s="150" t="str">
        <f t="shared" si="129"/>
        <v>5</v>
      </c>
      <c r="I2793" s="150" t="str">
        <f t="shared" si="130"/>
        <v>55</v>
      </c>
      <c r="J2793" s="150" t="str">
        <f t="shared" si="131"/>
        <v>556</v>
      </c>
      <c r="K2793" s="150" t="s">
        <v>8273</v>
      </c>
      <c r="L2793" s="152" t="s">
        <v>3281</v>
      </c>
      <c r="M2793" s="153">
        <v>3000</v>
      </c>
    </row>
    <row r="2794" spans="1:13" x14ac:dyDescent="0.25">
      <c r="A2794" s="148" t="s">
        <v>7641</v>
      </c>
      <c r="B2794" s="152" t="s">
        <v>3282</v>
      </c>
      <c r="C2794" s="152">
        <v>11</v>
      </c>
      <c r="D2794" s="152">
        <v>500</v>
      </c>
      <c r="E2794" s="152">
        <v>0</v>
      </c>
      <c r="F2794" s="152">
        <v>673000</v>
      </c>
      <c r="G2794" s="152">
        <v>55635</v>
      </c>
      <c r="H2794" s="150" t="str">
        <f t="shared" si="129"/>
        <v>5</v>
      </c>
      <c r="I2794" s="150" t="str">
        <f t="shared" si="130"/>
        <v>55</v>
      </c>
      <c r="J2794" s="150" t="str">
        <f t="shared" si="131"/>
        <v>556</v>
      </c>
      <c r="K2794" s="150" t="s">
        <v>8285</v>
      </c>
      <c r="L2794" s="152" t="s">
        <v>3283</v>
      </c>
      <c r="M2794" s="153">
        <v>200</v>
      </c>
    </row>
    <row r="2795" spans="1:13" s="168" customFormat="1" x14ac:dyDescent="0.25">
      <c r="A2795" s="148" t="s">
        <v>7641</v>
      </c>
      <c r="B2795" s="168" t="s">
        <v>3284</v>
      </c>
      <c r="C2795" s="168">
        <v>11</v>
      </c>
      <c r="D2795" s="168">
        <v>500</v>
      </c>
      <c r="E2795" s="168">
        <v>0</v>
      </c>
      <c r="F2795" s="168">
        <v>673000</v>
      </c>
      <c r="G2795" s="168">
        <v>55700</v>
      </c>
      <c r="H2795" s="150" t="str">
        <f t="shared" si="129"/>
        <v>5</v>
      </c>
      <c r="I2795" s="150" t="str">
        <f t="shared" si="130"/>
        <v>55</v>
      </c>
      <c r="J2795" s="150" t="str">
        <f t="shared" si="131"/>
        <v>557</v>
      </c>
      <c r="K2795" s="150" t="s">
        <v>8329</v>
      </c>
      <c r="L2795" s="168" t="s">
        <v>3285</v>
      </c>
      <c r="M2795" s="169">
        <v>75000</v>
      </c>
    </row>
    <row r="2796" spans="1:13" s="168" customFormat="1" x14ac:dyDescent="0.25">
      <c r="A2796" s="148" t="s">
        <v>7641</v>
      </c>
      <c r="B2796" s="168" t="s">
        <v>3286</v>
      </c>
      <c r="C2796" s="168">
        <v>11</v>
      </c>
      <c r="D2796" s="168">
        <v>500</v>
      </c>
      <c r="E2796" s="168">
        <v>0</v>
      </c>
      <c r="F2796" s="168">
        <v>673000</v>
      </c>
      <c r="G2796" s="168">
        <v>55825</v>
      </c>
      <c r="H2796" s="150" t="str">
        <f t="shared" si="129"/>
        <v>5</v>
      </c>
      <c r="I2796" s="150" t="str">
        <f t="shared" si="130"/>
        <v>55</v>
      </c>
      <c r="J2796" s="150" t="str">
        <f t="shared" si="131"/>
        <v>558</v>
      </c>
      <c r="K2796" s="150" t="s">
        <v>8346</v>
      </c>
      <c r="L2796" s="168" t="s">
        <v>3287</v>
      </c>
      <c r="M2796" s="169">
        <v>0</v>
      </c>
    </row>
    <row r="2797" spans="1:13" x14ac:dyDescent="0.25">
      <c r="A2797" s="148" t="s">
        <v>7641</v>
      </c>
      <c r="B2797" s="152" t="s">
        <v>3288</v>
      </c>
      <c r="C2797" s="152">
        <v>11</v>
      </c>
      <c r="D2797" s="152">
        <v>500</v>
      </c>
      <c r="E2797" s="152">
        <v>0</v>
      </c>
      <c r="F2797" s="152">
        <v>673000</v>
      </c>
      <c r="G2797" s="152">
        <v>56400</v>
      </c>
      <c r="H2797" s="150" t="str">
        <f t="shared" si="129"/>
        <v>5</v>
      </c>
      <c r="I2797" s="150" t="str">
        <f t="shared" si="130"/>
        <v>56</v>
      </c>
      <c r="J2797" s="150" t="str">
        <f t="shared" si="131"/>
        <v>564</v>
      </c>
      <c r="K2797" s="150" t="s">
        <v>8382</v>
      </c>
      <c r="L2797" s="152" t="s">
        <v>3289</v>
      </c>
      <c r="M2797" s="153">
        <v>6000</v>
      </c>
    </row>
    <row r="2798" spans="1:13" x14ac:dyDescent="0.25">
      <c r="A2798" s="148" t="s">
        <v>7641</v>
      </c>
      <c r="B2798" s="152" t="s">
        <v>3294</v>
      </c>
      <c r="C2798" s="152">
        <v>11</v>
      </c>
      <c r="D2798" s="152">
        <v>600</v>
      </c>
      <c r="E2798" s="152">
        <v>0</v>
      </c>
      <c r="F2798" s="152">
        <v>678000</v>
      </c>
      <c r="G2798" s="152">
        <v>52300</v>
      </c>
      <c r="H2798" s="150" t="str">
        <f t="shared" si="129"/>
        <v>5</v>
      </c>
      <c r="I2798" s="150" t="str">
        <f t="shared" si="130"/>
        <v>52</v>
      </c>
      <c r="J2798" s="150" t="str">
        <f t="shared" si="131"/>
        <v>523</v>
      </c>
      <c r="K2798" s="150" t="s">
        <v>7843</v>
      </c>
      <c r="L2798" s="152" t="s">
        <v>3295</v>
      </c>
      <c r="M2798" s="153">
        <v>20000</v>
      </c>
    </row>
    <row r="2799" spans="1:13" x14ac:dyDescent="0.25">
      <c r="A2799" s="148" t="s">
        <v>7641</v>
      </c>
      <c r="B2799" s="152" t="s">
        <v>3296</v>
      </c>
      <c r="C2799" s="152">
        <v>11</v>
      </c>
      <c r="D2799" s="152">
        <v>600</v>
      </c>
      <c r="E2799" s="152">
        <v>0</v>
      </c>
      <c r="F2799" s="152">
        <v>678000</v>
      </c>
      <c r="G2799" s="152">
        <v>52350</v>
      </c>
      <c r="H2799" s="150" t="str">
        <f t="shared" si="129"/>
        <v>5</v>
      </c>
      <c r="I2799" s="150" t="str">
        <f t="shared" si="130"/>
        <v>52</v>
      </c>
      <c r="J2799" s="150" t="str">
        <f t="shared" si="131"/>
        <v>523</v>
      </c>
      <c r="K2799" s="150" t="s">
        <v>7860</v>
      </c>
      <c r="L2799" s="152" t="s">
        <v>3297</v>
      </c>
      <c r="M2799" s="153">
        <v>30000</v>
      </c>
    </row>
    <row r="2800" spans="1:13" x14ac:dyDescent="0.25">
      <c r="A2800" s="148" t="s">
        <v>7641</v>
      </c>
      <c r="B2800" s="152" t="s">
        <v>3312</v>
      </c>
      <c r="C2800" s="152">
        <v>11</v>
      </c>
      <c r="D2800" s="152">
        <v>600</v>
      </c>
      <c r="E2800" s="152">
        <v>0</v>
      </c>
      <c r="F2800" s="152">
        <v>678000</v>
      </c>
      <c r="G2800" s="152">
        <v>54300</v>
      </c>
      <c r="H2800" s="150" t="str">
        <f t="shared" si="129"/>
        <v>5</v>
      </c>
      <c r="I2800" s="150" t="str">
        <f t="shared" si="130"/>
        <v>54</v>
      </c>
      <c r="J2800" s="150" t="str">
        <f t="shared" si="131"/>
        <v>543</v>
      </c>
      <c r="K2800" s="150" t="s">
        <v>7983</v>
      </c>
      <c r="L2800" s="152" t="s">
        <v>3313</v>
      </c>
      <c r="M2800" s="153">
        <v>4500</v>
      </c>
    </row>
    <row r="2801" spans="1:13" x14ac:dyDescent="0.25">
      <c r="A2801" s="148" t="s">
        <v>7641</v>
      </c>
      <c r="B2801" s="152" t="s">
        <v>3314</v>
      </c>
      <c r="C2801" s="152">
        <v>11</v>
      </c>
      <c r="D2801" s="152">
        <v>600</v>
      </c>
      <c r="E2801" s="152">
        <v>0</v>
      </c>
      <c r="F2801" s="152">
        <v>678000</v>
      </c>
      <c r="G2801" s="152">
        <v>55105</v>
      </c>
      <c r="H2801" s="150" t="str">
        <f t="shared" si="129"/>
        <v>5</v>
      </c>
      <c r="I2801" s="150" t="str">
        <f t="shared" si="130"/>
        <v>55</v>
      </c>
      <c r="J2801" s="150" t="str">
        <f t="shared" si="131"/>
        <v>551</v>
      </c>
      <c r="K2801" s="150" t="s">
        <v>8024</v>
      </c>
      <c r="L2801" s="152" t="s">
        <v>3315</v>
      </c>
      <c r="M2801" s="153">
        <v>80170</v>
      </c>
    </row>
    <row r="2802" spans="1:13" x14ac:dyDescent="0.25">
      <c r="A2802" s="148" t="s">
        <v>7641</v>
      </c>
      <c r="B2802" s="152" t="s">
        <v>3316</v>
      </c>
      <c r="C2802" s="152">
        <v>11</v>
      </c>
      <c r="D2802" s="152">
        <v>600</v>
      </c>
      <c r="E2802" s="152">
        <v>0</v>
      </c>
      <c r="F2802" s="152">
        <v>678000</v>
      </c>
      <c r="G2802" s="152">
        <v>55125</v>
      </c>
      <c r="H2802" s="150" t="str">
        <f t="shared" si="129"/>
        <v>5</v>
      </c>
      <c r="I2802" s="150" t="str">
        <f t="shared" si="130"/>
        <v>55</v>
      </c>
      <c r="J2802" s="150" t="str">
        <f t="shared" si="131"/>
        <v>551</v>
      </c>
      <c r="K2802" s="150" t="s">
        <v>8035</v>
      </c>
      <c r="L2802" s="152" t="s">
        <v>3317</v>
      </c>
      <c r="M2802" s="153">
        <v>10000</v>
      </c>
    </row>
    <row r="2803" spans="1:13" x14ac:dyDescent="0.25">
      <c r="A2803" s="148" t="s">
        <v>7641</v>
      </c>
      <c r="B2803" s="152" t="s">
        <v>3318</v>
      </c>
      <c r="C2803" s="152">
        <v>11</v>
      </c>
      <c r="D2803" s="152">
        <v>600</v>
      </c>
      <c r="E2803" s="152">
        <v>0</v>
      </c>
      <c r="F2803" s="152">
        <v>678000</v>
      </c>
      <c r="G2803" s="152">
        <v>55200</v>
      </c>
      <c r="H2803" s="150" t="str">
        <f t="shared" si="129"/>
        <v>5</v>
      </c>
      <c r="I2803" s="150" t="str">
        <f t="shared" si="130"/>
        <v>55</v>
      </c>
      <c r="J2803" s="150" t="str">
        <f t="shared" si="131"/>
        <v>552</v>
      </c>
      <c r="K2803" s="150" t="s">
        <v>8072</v>
      </c>
      <c r="L2803" s="152" t="s">
        <v>3319</v>
      </c>
      <c r="M2803" s="153">
        <v>10000</v>
      </c>
    </row>
    <row r="2804" spans="1:13" x14ac:dyDescent="0.25">
      <c r="A2804" s="148" t="s">
        <v>7641</v>
      </c>
      <c r="B2804" s="152" t="s">
        <v>3320</v>
      </c>
      <c r="C2804" s="152">
        <v>11</v>
      </c>
      <c r="D2804" s="152">
        <v>600</v>
      </c>
      <c r="E2804" s="152">
        <v>0</v>
      </c>
      <c r="F2804" s="152">
        <v>678000</v>
      </c>
      <c r="G2804" s="152">
        <v>55300</v>
      </c>
      <c r="H2804" s="150" t="str">
        <f t="shared" si="129"/>
        <v>5</v>
      </c>
      <c r="I2804" s="150" t="str">
        <f t="shared" si="130"/>
        <v>55</v>
      </c>
      <c r="J2804" s="150" t="str">
        <f t="shared" si="131"/>
        <v>553</v>
      </c>
      <c r="K2804" s="150" t="s">
        <v>8102</v>
      </c>
      <c r="L2804" s="152" t="s">
        <v>3321</v>
      </c>
      <c r="M2804" s="153">
        <v>1500</v>
      </c>
    </row>
    <row r="2805" spans="1:13" x14ac:dyDescent="0.25">
      <c r="A2805" s="148" t="s">
        <v>7641</v>
      </c>
      <c r="B2805" s="152" t="s">
        <v>3322</v>
      </c>
      <c r="C2805" s="152">
        <v>11</v>
      </c>
      <c r="D2805" s="152">
        <v>600</v>
      </c>
      <c r="E2805" s="152">
        <v>0</v>
      </c>
      <c r="F2805" s="152">
        <v>678000</v>
      </c>
      <c r="G2805" s="152">
        <v>55550</v>
      </c>
      <c r="H2805" s="150" t="str">
        <f t="shared" si="129"/>
        <v>5</v>
      </c>
      <c r="I2805" s="150" t="str">
        <f t="shared" si="130"/>
        <v>55</v>
      </c>
      <c r="J2805" s="150" t="str">
        <f t="shared" si="131"/>
        <v>555</v>
      </c>
      <c r="K2805" s="150" t="s">
        <v>8132</v>
      </c>
      <c r="L2805" s="152" t="s">
        <v>3323</v>
      </c>
      <c r="M2805" s="153">
        <v>139000</v>
      </c>
    </row>
    <row r="2806" spans="1:13" x14ac:dyDescent="0.25">
      <c r="A2806" s="148" t="s">
        <v>7641</v>
      </c>
      <c r="B2806" s="152" t="s">
        <v>3324</v>
      </c>
      <c r="C2806" s="152">
        <v>11</v>
      </c>
      <c r="D2806" s="152">
        <v>600</v>
      </c>
      <c r="E2806" s="152">
        <v>0</v>
      </c>
      <c r="F2806" s="152">
        <v>678000</v>
      </c>
      <c r="G2806" s="152">
        <v>55610</v>
      </c>
      <c r="H2806" s="150" t="str">
        <f t="shared" si="129"/>
        <v>5</v>
      </c>
      <c r="I2806" s="150" t="str">
        <f t="shared" si="130"/>
        <v>55</v>
      </c>
      <c r="J2806" s="150" t="str">
        <f t="shared" si="131"/>
        <v>556</v>
      </c>
      <c r="K2806" s="150" t="s">
        <v>8156</v>
      </c>
      <c r="L2806" s="152" t="s">
        <v>3325</v>
      </c>
      <c r="M2806" s="153">
        <v>50000</v>
      </c>
    </row>
    <row r="2807" spans="1:13" x14ac:dyDescent="0.25">
      <c r="A2807" s="148" t="s">
        <v>7641</v>
      </c>
      <c r="B2807" s="152" t="s">
        <v>3326</v>
      </c>
      <c r="C2807" s="152">
        <v>11</v>
      </c>
      <c r="D2807" s="152">
        <v>600</v>
      </c>
      <c r="E2807" s="152">
        <v>0</v>
      </c>
      <c r="F2807" s="152">
        <v>678000</v>
      </c>
      <c r="G2807" s="152">
        <v>55630</v>
      </c>
      <c r="H2807" s="150" t="str">
        <f t="shared" si="129"/>
        <v>5</v>
      </c>
      <c r="I2807" s="150" t="str">
        <f t="shared" si="130"/>
        <v>55</v>
      </c>
      <c r="J2807" s="150" t="str">
        <f t="shared" si="131"/>
        <v>556</v>
      </c>
      <c r="K2807" s="150" t="s">
        <v>8274</v>
      </c>
      <c r="L2807" s="152" t="s">
        <v>3327</v>
      </c>
      <c r="M2807" s="153">
        <v>1000</v>
      </c>
    </row>
    <row r="2808" spans="1:13" s="156" customFormat="1" x14ac:dyDescent="0.25">
      <c r="A2808" s="148" t="s">
        <v>7641</v>
      </c>
      <c r="B2808" s="156" t="s">
        <v>3328</v>
      </c>
      <c r="C2808" s="156">
        <v>11</v>
      </c>
      <c r="D2808" s="156">
        <v>600</v>
      </c>
      <c r="E2808" s="156">
        <v>0</v>
      </c>
      <c r="F2808" s="156">
        <v>678000</v>
      </c>
      <c r="G2808" s="156">
        <v>55650</v>
      </c>
      <c r="H2808" s="150" t="str">
        <f t="shared" si="129"/>
        <v>5</v>
      </c>
      <c r="I2808" s="150" t="str">
        <f t="shared" si="130"/>
        <v>55</v>
      </c>
      <c r="J2808" s="150" t="str">
        <f t="shared" si="131"/>
        <v>556</v>
      </c>
      <c r="K2808" s="150" t="s">
        <v>8311</v>
      </c>
      <c r="L2808" s="156" t="s">
        <v>3329</v>
      </c>
      <c r="M2808" s="157">
        <f>1190285+9700+57000</f>
        <v>1256985</v>
      </c>
    </row>
    <row r="2809" spans="1:13" x14ac:dyDescent="0.25">
      <c r="A2809" s="148" t="s">
        <v>7641</v>
      </c>
      <c r="B2809" s="152" t="s">
        <v>3330</v>
      </c>
      <c r="C2809" s="152">
        <v>11</v>
      </c>
      <c r="D2809" s="152">
        <v>600</v>
      </c>
      <c r="E2809" s="152">
        <v>0</v>
      </c>
      <c r="F2809" s="152">
        <v>678000</v>
      </c>
      <c r="G2809" s="152">
        <v>55653</v>
      </c>
      <c r="H2809" s="150" t="str">
        <f t="shared" si="129"/>
        <v>5</v>
      </c>
      <c r="I2809" s="150" t="str">
        <f t="shared" si="130"/>
        <v>55</v>
      </c>
      <c r="J2809" s="150" t="str">
        <f t="shared" si="131"/>
        <v>556</v>
      </c>
      <c r="K2809" s="150" t="s">
        <v>8326</v>
      </c>
      <c r="L2809" s="152" t="s">
        <v>3331</v>
      </c>
      <c r="M2809" s="153">
        <v>1500</v>
      </c>
    </row>
    <row r="2810" spans="1:13" x14ac:dyDescent="0.25">
      <c r="A2810" s="148" t="s">
        <v>7641</v>
      </c>
      <c r="B2810" s="152" t="s">
        <v>3332</v>
      </c>
      <c r="C2810" s="152">
        <v>11</v>
      </c>
      <c r="D2810" s="152">
        <v>600</v>
      </c>
      <c r="E2810" s="152">
        <v>0</v>
      </c>
      <c r="F2810" s="152">
        <v>678000</v>
      </c>
      <c r="G2810" s="152">
        <v>56400</v>
      </c>
      <c r="H2810" s="150" t="str">
        <f t="shared" si="129"/>
        <v>5</v>
      </c>
      <c r="I2810" s="150" t="str">
        <f t="shared" si="130"/>
        <v>56</v>
      </c>
      <c r="J2810" s="150" t="str">
        <f t="shared" si="131"/>
        <v>564</v>
      </c>
      <c r="K2810" s="150" t="s">
        <v>8383</v>
      </c>
      <c r="L2810" s="152" t="s">
        <v>3333</v>
      </c>
      <c r="M2810" s="153">
        <v>3300</v>
      </c>
    </row>
    <row r="2811" spans="1:13" s="149" customFormat="1" x14ac:dyDescent="0.25">
      <c r="A2811" s="149" t="s">
        <v>7640</v>
      </c>
      <c r="B2811" s="149" t="s">
        <v>2</v>
      </c>
      <c r="C2811" s="149">
        <v>11</v>
      </c>
      <c r="D2811" s="149">
        <v>0</v>
      </c>
      <c r="E2811" s="149">
        <v>0</v>
      </c>
      <c r="F2811" s="149">
        <v>0</v>
      </c>
      <c r="G2811" s="149">
        <v>48110</v>
      </c>
      <c r="H2811" s="150" t="str">
        <f t="shared" si="129"/>
        <v>4</v>
      </c>
      <c r="I2811" s="150" t="str">
        <f t="shared" si="130"/>
        <v>48</v>
      </c>
      <c r="J2811" s="150" t="str">
        <f t="shared" si="131"/>
        <v>481</v>
      </c>
      <c r="K2811" s="150" t="s">
        <v>9536</v>
      </c>
      <c r="L2811" s="149" t="s">
        <v>3</v>
      </c>
      <c r="M2811" s="151">
        <v>0</v>
      </c>
    </row>
    <row r="2812" spans="1:13" s="149" customFormat="1" x14ac:dyDescent="0.25">
      <c r="A2812" s="149" t="s">
        <v>7640</v>
      </c>
      <c r="B2812" s="149" t="s">
        <v>4</v>
      </c>
      <c r="C2812" s="149">
        <v>11</v>
      </c>
      <c r="D2812" s="149">
        <v>0</v>
      </c>
      <c r="E2812" s="149">
        <v>0</v>
      </c>
      <c r="F2812" s="149">
        <v>0</v>
      </c>
      <c r="G2812" s="149">
        <v>48160</v>
      </c>
      <c r="H2812" s="150" t="str">
        <f t="shared" si="129"/>
        <v>4</v>
      </c>
      <c r="I2812" s="150" t="str">
        <f t="shared" si="130"/>
        <v>48</v>
      </c>
      <c r="J2812" s="150" t="str">
        <f t="shared" si="131"/>
        <v>481</v>
      </c>
      <c r="K2812" s="150" t="s">
        <v>9537</v>
      </c>
      <c r="L2812" s="149" t="s">
        <v>5</v>
      </c>
      <c r="M2812" s="151">
        <v>-1472</v>
      </c>
    </row>
    <row r="2813" spans="1:13" s="149" customFormat="1" x14ac:dyDescent="0.25">
      <c r="A2813" s="149" t="s">
        <v>7640</v>
      </c>
      <c r="B2813" s="149" t="s">
        <v>6</v>
      </c>
      <c r="C2813" s="149">
        <v>11</v>
      </c>
      <c r="D2813" s="149">
        <v>0</v>
      </c>
      <c r="E2813" s="149">
        <v>0</v>
      </c>
      <c r="F2813" s="149">
        <v>0</v>
      </c>
      <c r="G2813" s="149">
        <v>48180</v>
      </c>
      <c r="H2813" s="150" t="str">
        <f t="shared" si="129"/>
        <v>4</v>
      </c>
      <c r="I2813" s="150" t="str">
        <f t="shared" si="130"/>
        <v>48</v>
      </c>
      <c r="J2813" s="150" t="str">
        <f t="shared" si="131"/>
        <v>481</v>
      </c>
      <c r="K2813" s="150" t="s">
        <v>9538</v>
      </c>
      <c r="L2813" s="149" t="s">
        <v>7</v>
      </c>
      <c r="M2813" s="151">
        <v>-12455</v>
      </c>
    </row>
    <row r="2814" spans="1:13" s="149" customFormat="1" x14ac:dyDescent="0.25">
      <c r="A2814" s="149" t="s">
        <v>7640</v>
      </c>
      <c r="B2814" s="149" t="s">
        <v>8</v>
      </c>
      <c r="C2814" s="149">
        <v>11</v>
      </c>
      <c r="D2814" s="149">
        <v>0</v>
      </c>
      <c r="E2814" s="149">
        <v>0</v>
      </c>
      <c r="F2814" s="149">
        <v>0</v>
      </c>
      <c r="G2814" s="149">
        <v>48611</v>
      </c>
      <c r="H2814" s="150" t="str">
        <f t="shared" si="129"/>
        <v>4</v>
      </c>
      <c r="I2814" s="150" t="str">
        <f t="shared" si="130"/>
        <v>48</v>
      </c>
      <c r="J2814" s="150" t="str">
        <f t="shared" si="131"/>
        <v>486</v>
      </c>
      <c r="K2814" s="150" t="s">
        <v>9539</v>
      </c>
      <c r="L2814" s="149" t="s">
        <v>9</v>
      </c>
      <c r="M2814" s="151">
        <v>-5071663</v>
      </c>
    </row>
    <row r="2815" spans="1:13" s="149" customFormat="1" x14ac:dyDescent="0.25">
      <c r="A2815" s="149" t="s">
        <v>7640</v>
      </c>
      <c r="B2815" s="149" t="s">
        <v>10</v>
      </c>
      <c r="C2815" s="149">
        <v>11</v>
      </c>
      <c r="D2815" s="149">
        <v>0</v>
      </c>
      <c r="E2815" s="149">
        <v>0</v>
      </c>
      <c r="F2815" s="149">
        <v>0</v>
      </c>
      <c r="G2815" s="149">
        <v>48613</v>
      </c>
      <c r="H2815" s="150" t="str">
        <f t="shared" si="129"/>
        <v>4</v>
      </c>
      <c r="I2815" s="150" t="str">
        <f t="shared" si="130"/>
        <v>48</v>
      </c>
      <c r="J2815" s="150" t="str">
        <f t="shared" si="131"/>
        <v>486</v>
      </c>
      <c r="K2815" s="150" t="s">
        <v>9540</v>
      </c>
      <c r="L2815" s="149" t="s">
        <v>11</v>
      </c>
      <c r="M2815" s="151">
        <v>-118400</v>
      </c>
    </row>
    <row r="2816" spans="1:13" s="149" customFormat="1" x14ac:dyDescent="0.25">
      <c r="A2816" s="149" t="s">
        <v>7640</v>
      </c>
      <c r="B2816" s="149" t="s">
        <v>12</v>
      </c>
      <c r="C2816" s="149">
        <v>11</v>
      </c>
      <c r="D2816" s="149">
        <v>0</v>
      </c>
      <c r="E2816" s="149">
        <v>0</v>
      </c>
      <c r="F2816" s="149">
        <v>0</v>
      </c>
      <c r="G2816" s="149">
        <v>48614</v>
      </c>
      <c r="H2816" s="150" t="str">
        <f t="shared" si="129"/>
        <v>4</v>
      </c>
      <c r="I2816" s="150" t="str">
        <f t="shared" si="130"/>
        <v>48</v>
      </c>
      <c r="J2816" s="150" t="str">
        <f t="shared" si="131"/>
        <v>486</v>
      </c>
      <c r="K2816" s="150" t="s">
        <v>9541</v>
      </c>
      <c r="L2816" s="149" t="s">
        <v>13</v>
      </c>
      <c r="M2816" s="151">
        <v>-57405</v>
      </c>
    </row>
    <row r="2817" spans="1:13" s="149" customFormat="1" x14ac:dyDescent="0.25">
      <c r="A2817" s="149" t="s">
        <v>7640</v>
      </c>
      <c r="B2817" s="149" t="s">
        <v>14</v>
      </c>
      <c r="C2817" s="149">
        <v>11</v>
      </c>
      <c r="D2817" s="149">
        <v>0</v>
      </c>
      <c r="E2817" s="149">
        <v>0</v>
      </c>
      <c r="F2817" s="149">
        <v>0</v>
      </c>
      <c r="G2817" s="149">
        <v>48616</v>
      </c>
      <c r="H2817" s="150" t="str">
        <f t="shared" si="129"/>
        <v>4</v>
      </c>
      <c r="I2817" s="150" t="str">
        <f t="shared" si="130"/>
        <v>48</v>
      </c>
      <c r="J2817" s="150" t="str">
        <f t="shared" si="131"/>
        <v>486</v>
      </c>
      <c r="K2817" s="150" t="s">
        <v>9542</v>
      </c>
      <c r="L2817" s="149" t="s">
        <v>15</v>
      </c>
      <c r="M2817" s="151">
        <v>-206857</v>
      </c>
    </row>
    <row r="2818" spans="1:13" s="149" customFormat="1" x14ac:dyDescent="0.25">
      <c r="A2818" s="149" t="s">
        <v>7640</v>
      </c>
      <c r="B2818" s="149" t="s">
        <v>16</v>
      </c>
      <c r="C2818" s="149">
        <v>11</v>
      </c>
      <c r="D2818" s="149">
        <v>0</v>
      </c>
      <c r="E2818" s="149">
        <v>0</v>
      </c>
      <c r="F2818" s="149">
        <v>0</v>
      </c>
      <c r="G2818" s="149">
        <v>48617</v>
      </c>
      <c r="H2818" s="150" t="str">
        <f t="shared" si="129"/>
        <v>4</v>
      </c>
      <c r="I2818" s="150" t="str">
        <f t="shared" si="130"/>
        <v>48</v>
      </c>
      <c r="J2818" s="150" t="str">
        <f t="shared" si="131"/>
        <v>486</v>
      </c>
      <c r="K2818" s="150" t="s">
        <v>9543</v>
      </c>
      <c r="L2818" s="149" t="s">
        <v>17</v>
      </c>
      <c r="M2818" s="151">
        <v>-547386</v>
      </c>
    </row>
    <row r="2819" spans="1:13" s="149" customFormat="1" x14ac:dyDescent="0.25">
      <c r="A2819" s="149" t="s">
        <v>7640</v>
      </c>
      <c r="B2819" s="149" t="s">
        <v>18</v>
      </c>
      <c r="C2819" s="149">
        <v>11</v>
      </c>
      <c r="D2819" s="149">
        <v>0</v>
      </c>
      <c r="E2819" s="149">
        <v>0</v>
      </c>
      <c r="F2819" s="149">
        <v>0</v>
      </c>
      <c r="G2819" s="149">
        <v>48630</v>
      </c>
      <c r="H2819" s="150" t="str">
        <f t="shared" ref="H2819:H2882" si="132">LEFT(G2819,1)</f>
        <v>4</v>
      </c>
      <c r="I2819" s="150" t="str">
        <f t="shared" ref="I2819:I2882" si="133">LEFT(G2819,2)</f>
        <v>48</v>
      </c>
      <c r="J2819" s="150" t="str">
        <f t="shared" ref="J2819:J2882" si="134">LEFT(G2819,3)</f>
        <v>486</v>
      </c>
      <c r="K2819" s="150" t="s">
        <v>9544</v>
      </c>
      <c r="L2819" s="149" t="s">
        <v>19</v>
      </c>
      <c r="M2819" s="151">
        <v>0</v>
      </c>
    </row>
    <row r="2820" spans="1:13" s="149" customFormat="1" x14ac:dyDescent="0.25">
      <c r="A2820" s="149" t="s">
        <v>7640</v>
      </c>
      <c r="B2820" s="149" t="s">
        <v>20</v>
      </c>
      <c r="C2820" s="149">
        <v>11</v>
      </c>
      <c r="D2820" s="149">
        <v>0</v>
      </c>
      <c r="E2820" s="149">
        <v>0</v>
      </c>
      <c r="F2820" s="149">
        <v>0</v>
      </c>
      <c r="G2820" s="149">
        <v>48668</v>
      </c>
      <c r="H2820" s="150" t="str">
        <f t="shared" si="132"/>
        <v>4</v>
      </c>
      <c r="I2820" s="150" t="str">
        <f t="shared" si="133"/>
        <v>48</v>
      </c>
      <c r="J2820" s="150" t="str">
        <f t="shared" si="134"/>
        <v>486</v>
      </c>
      <c r="K2820" s="150" t="s">
        <v>9545</v>
      </c>
      <c r="L2820" s="149" t="s">
        <v>21</v>
      </c>
      <c r="M2820" s="151">
        <v>-326873</v>
      </c>
    </row>
    <row r="2821" spans="1:13" s="149" customFormat="1" x14ac:dyDescent="0.25">
      <c r="A2821" s="149" t="s">
        <v>7640</v>
      </c>
      <c r="B2821" s="149" t="s">
        <v>22</v>
      </c>
      <c r="C2821" s="149">
        <v>11</v>
      </c>
      <c r="D2821" s="149">
        <v>0</v>
      </c>
      <c r="E2821" s="149">
        <v>0</v>
      </c>
      <c r="F2821" s="149">
        <v>0</v>
      </c>
      <c r="G2821" s="149">
        <v>48670</v>
      </c>
      <c r="H2821" s="150" t="str">
        <f t="shared" si="132"/>
        <v>4</v>
      </c>
      <c r="I2821" s="150" t="str">
        <f t="shared" si="133"/>
        <v>48</v>
      </c>
      <c r="J2821" s="150" t="str">
        <f t="shared" si="134"/>
        <v>486</v>
      </c>
      <c r="K2821" s="150" t="s">
        <v>9546</v>
      </c>
      <c r="L2821" s="149" t="s">
        <v>23</v>
      </c>
      <c r="M2821" s="151">
        <v>-52240.5</v>
      </c>
    </row>
    <row r="2822" spans="1:13" s="149" customFormat="1" x14ac:dyDescent="0.25">
      <c r="A2822" s="149" t="s">
        <v>7640</v>
      </c>
      <c r="B2822" s="149" t="s">
        <v>24</v>
      </c>
      <c r="C2822" s="149">
        <v>11</v>
      </c>
      <c r="D2822" s="149">
        <v>0</v>
      </c>
      <c r="E2822" s="149">
        <v>0</v>
      </c>
      <c r="F2822" s="149">
        <v>0</v>
      </c>
      <c r="G2822" s="149">
        <v>48681</v>
      </c>
      <c r="H2822" s="150" t="str">
        <f t="shared" si="132"/>
        <v>4</v>
      </c>
      <c r="I2822" s="150" t="str">
        <f t="shared" si="133"/>
        <v>48</v>
      </c>
      <c r="J2822" s="150" t="str">
        <f t="shared" si="134"/>
        <v>486</v>
      </c>
      <c r="K2822" s="150" t="s">
        <v>9547</v>
      </c>
      <c r="L2822" s="149" t="s">
        <v>25</v>
      </c>
      <c r="M2822" s="151">
        <v>-222046</v>
      </c>
    </row>
    <row r="2823" spans="1:13" s="149" customFormat="1" x14ac:dyDescent="0.25">
      <c r="A2823" s="149" t="s">
        <v>7640</v>
      </c>
      <c r="B2823" s="149" t="s">
        <v>26</v>
      </c>
      <c r="C2823" s="149">
        <v>11</v>
      </c>
      <c r="D2823" s="149">
        <v>0</v>
      </c>
      <c r="E2823" s="149">
        <v>0</v>
      </c>
      <c r="F2823" s="149">
        <v>0</v>
      </c>
      <c r="G2823" s="149">
        <v>48811</v>
      </c>
      <c r="H2823" s="150" t="str">
        <f t="shared" si="132"/>
        <v>4</v>
      </c>
      <c r="I2823" s="150" t="str">
        <f t="shared" si="133"/>
        <v>48</v>
      </c>
      <c r="J2823" s="150" t="str">
        <f t="shared" si="134"/>
        <v>488</v>
      </c>
      <c r="K2823" s="150" t="s">
        <v>9548</v>
      </c>
      <c r="L2823" s="149" t="s">
        <v>27</v>
      </c>
      <c r="M2823" s="151">
        <v>-15425207.970000001</v>
      </c>
    </row>
    <row r="2824" spans="1:13" s="149" customFormat="1" x14ac:dyDescent="0.25">
      <c r="A2824" s="149" t="s">
        <v>7640</v>
      </c>
      <c r="B2824" s="149" t="s">
        <v>28</v>
      </c>
      <c r="C2824" s="149">
        <v>11</v>
      </c>
      <c r="D2824" s="149">
        <v>0</v>
      </c>
      <c r="E2824" s="149">
        <v>0</v>
      </c>
      <c r="F2824" s="149">
        <v>0</v>
      </c>
      <c r="G2824" s="149">
        <v>48812</v>
      </c>
      <c r="H2824" s="150" t="str">
        <f t="shared" si="132"/>
        <v>4</v>
      </c>
      <c r="I2824" s="150" t="str">
        <f t="shared" si="133"/>
        <v>48</v>
      </c>
      <c r="J2824" s="150" t="str">
        <f t="shared" si="134"/>
        <v>488</v>
      </c>
      <c r="K2824" s="150" t="s">
        <v>9549</v>
      </c>
      <c r="L2824" s="149" t="s">
        <v>29</v>
      </c>
      <c r="M2824" s="151">
        <v>-845444.62</v>
      </c>
    </row>
    <row r="2825" spans="1:13" s="149" customFormat="1" x14ac:dyDescent="0.25">
      <c r="A2825" s="149" t="s">
        <v>7640</v>
      </c>
      <c r="B2825" s="149" t="s">
        <v>30</v>
      </c>
      <c r="C2825" s="149">
        <v>11</v>
      </c>
      <c r="D2825" s="149">
        <v>0</v>
      </c>
      <c r="E2825" s="149">
        <v>0</v>
      </c>
      <c r="F2825" s="149">
        <v>0</v>
      </c>
      <c r="G2825" s="149">
        <v>48813</v>
      </c>
      <c r="H2825" s="150" t="str">
        <f t="shared" si="132"/>
        <v>4</v>
      </c>
      <c r="I2825" s="150" t="str">
        <f t="shared" si="133"/>
        <v>48</v>
      </c>
      <c r="J2825" s="150" t="str">
        <f t="shared" si="134"/>
        <v>488</v>
      </c>
      <c r="K2825" s="150" t="s">
        <v>9550</v>
      </c>
      <c r="L2825" s="149" t="s">
        <v>31</v>
      </c>
      <c r="M2825" s="151">
        <v>-315071.8</v>
      </c>
    </row>
    <row r="2826" spans="1:13" s="149" customFormat="1" x14ac:dyDescent="0.25">
      <c r="A2826" s="149" t="s">
        <v>7640</v>
      </c>
      <c r="B2826" s="149" t="s">
        <v>32</v>
      </c>
      <c r="C2826" s="149">
        <v>11</v>
      </c>
      <c r="D2826" s="149">
        <v>0</v>
      </c>
      <c r="E2826" s="149">
        <v>0</v>
      </c>
      <c r="F2826" s="149">
        <v>0</v>
      </c>
      <c r="G2826" s="149">
        <v>48814</v>
      </c>
      <c r="H2826" s="150" t="str">
        <f t="shared" si="132"/>
        <v>4</v>
      </c>
      <c r="I2826" s="150" t="str">
        <f t="shared" si="133"/>
        <v>48</v>
      </c>
      <c r="J2826" s="150" t="str">
        <f t="shared" si="134"/>
        <v>488</v>
      </c>
      <c r="K2826" s="150" t="s">
        <v>9551</v>
      </c>
      <c r="L2826" s="149" t="s">
        <v>33</v>
      </c>
      <c r="M2826" s="151">
        <v>-160464.07999999999</v>
      </c>
    </row>
    <row r="2827" spans="1:13" s="149" customFormat="1" x14ac:dyDescent="0.25">
      <c r="A2827" s="149" t="s">
        <v>7640</v>
      </c>
      <c r="B2827" s="149" t="s">
        <v>34</v>
      </c>
      <c r="C2827" s="149">
        <v>11</v>
      </c>
      <c r="D2827" s="149">
        <v>0</v>
      </c>
      <c r="E2827" s="149">
        <v>0</v>
      </c>
      <c r="F2827" s="149">
        <v>0</v>
      </c>
      <c r="G2827" s="149">
        <v>48817</v>
      </c>
      <c r="H2827" s="150" t="str">
        <f t="shared" si="132"/>
        <v>4</v>
      </c>
      <c r="I2827" s="150" t="str">
        <f t="shared" si="133"/>
        <v>48</v>
      </c>
      <c r="J2827" s="150" t="str">
        <f t="shared" si="134"/>
        <v>488</v>
      </c>
      <c r="K2827" s="150" t="s">
        <v>9552</v>
      </c>
      <c r="L2827" s="149" t="s">
        <v>35</v>
      </c>
      <c r="M2827" s="151">
        <v>-1119.52</v>
      </c>
    </row>
    <row r="2828" spans="1:13" s="149" customFormat="1" x14ac:dyDescent="0.25">
      <c r="A2828" s="149" t="s">
        <v>7640</v>
      </c>
      <c r="B2828" s="149" t="s">
        <v>36</v>
      </c>
      <c r="C2828" s="149">
        <v>11</v>
      </c>
      <c r="D2828" s="149">
        <v>0</v>
      </c>
      <c r="E2828" s="149">
        <v>0</v>
      </c>
      <c r="F2828" s="149">
        <v>0</v>
      </c>
      <c r="G2828" s="149">
        <v>48818</v>
      </c>
      <c r="H2828" s="150" t="str">
        <f t="shared" si="132"/>
        <v>4</v>
      </c>
      <c r="I2828" s="150" t="str">
        <f t="shared" si="133"/>
        <v>48</v>
      </c>
      <c r="J2828" s="150" t="str">
        <f t="shared" si="134"/>
        <v>488</v>
      </c>
      <c r="K2828" s="150" t="s">
        <v>9553</v>
      </c>
      <c r="L2828" s="149" t="s">
        <v>37</v>
      </c>
      <c r="M2828" s="151">
        <v>-88849.38</v>
      </c>
    </row>
    <row r="2829" spans="1:13" s="149" customFormat="1" x14ac:dyDescent="0.25">
      <c r="A2829" s="149" t="s">
        <v>7640</v>
      </c>
      <c r="B2829" s="149" t="s">
        <v>38</v>
      </c>
      <c r="C2829" s="149">
        <v>11</v>
      </c>
      <c r="D2829" s="149">
        <v>0</v>
      </c>
      <c r="E2829" s="149">
        <v>0</v>
      </c>
      <c r="F2829" s="149">
        <v>0</v>
      </c>
      <c r="G2829" s="149">
        <v>48819</v>
      </c>
      <c r="H2829" s="150" t="str">
        <f t="shared" si="132"/>
        <v>4</v>
      </c>
      <c r="I2829" s="150" t="str">
        <f t="shared" si="133"/>
        <v>48</v>
      </c>
      <c r="J2829" s="150" t="str">
        <f t="shared" si="134"/>
        <v>488</v>
      </c>
      <c r="K2829" s="150" t="s">
        <v>9554</v>
      </c>
      <c r="L2829" s="149" t="s">
        <v>39</v>
      </c>
      <c r="M2829" s="151">
        <v>-619207.35</v>
      </c>
    </row>
    <row r="2830" spans="1:13" s="149" customFormat="1" x14ac:dyDescent="0.25">
      <c r="A2830" s="149" t="s">
        <v>7640</v>
      </c>
      <c r="B2830" s="149" t="s">
        <v>40</v>
      </c>
      <c r="C2830" s="149">
        <v>11</v>
      </c>
      <c r="D2830" s="149">
        <v>0</v>
      </c>
      <c r="E2830" s="149">
        <v>0</v>
      </c>
      <c r="F2830" s="149">
        <v>0</v>
      </c>
      <c r="G2830" s="149">
        <v>48860</v>
      </c>
      <c r="H2830" s="150" t="str">
        <f t="shared" si="132"/>
        <v>4</v>
      </c>
      <c r="I2830" s="150" t="str">
        <f t="shared" si="133"/>
        <v>48</v>
      </c>
      <c r="J2830" s="150" t="str">
        <f t="shared" si="134"/>
        <v>488</v>
      </c>
      <c r="K2830" s="150" t="s">
        <v>9555</v>
      </c>
      <c r="L2830" s="149" t="s">
        <v>41</v>
      </c>
      <c r="M2830" s="151">
        <v>-94640.03</v>
      </c>
    </row>
    <row r="2831" spans="1:13" s="149" customFormat="1" x14ac:dyDescent="0.25">
      <c r="A2831" s="149" t="s">
        <v>7640</v>
      </c>
      <c r="B2831" s="149" t="s">
        <v>42</v>
      </c>
      <c r="C2831" s="149">
        <v>11</v>
      </c>
      <c r="D2831" s="149">
        <v>0</v>
      </c>
      <c r="E2831" s="149">
        <v>0</v>
      </c>
      <c r="F2831" s="149">
        <v>0</v>
      </c>
      <c r="G2831" s="149">
        <v>48872</v>
      </c>
      <c r="H2831" s="150" t="str">
        <f t="shared" si="132"/>
        <v>4</v>
      </c>
      <c r="I2831" s="150" t="str">
        <f t="shared" si="133"/>
        <v>48</v>
      </c>
      <c r="J2831" s="150" t="str">
        <f t="shared" si="134"/>
        <v>488</v>
      </c>
      <c r="K2831" s="150" t="s">
        <v>9556</v>
      </c>
      <c r="L2831" s="149" t="s">
        <v>43</v>
      </c>
      <c r="M2831" s="151">
        <v>0</v>
      </c>
    </row>
    <row r="2832" spans="1:13" s="149" customFormat="1" x14ac:dyDescent="0.25">
      <c r="A2832" s="149" t="s">
        <v>7640</v>
      </c>
      <c r="B2832" s="149" t="s">
        <v>44</v>
      </c>
      <c r="C2832" s="149">
        <v>11</v>
      </c>
      <c r="D2832" s="149">
        <v>0</v>
      </c>
      <c r="E2832" s="149">
        <v>0</v>
      </c>
      <c r="F2832" s="149">
        <v>0</v>
      </c>
      <c r="G2832" s="149">
        <v>48874</v>
      </c>
      <c r="H2832" s="150" t="str">
        <f t="shared" si="132"/>
        <v>4</v>
      </c>
      <c r="I2832" s="150" t="str">
        <f t="shared" si="133"/>
        <v>48</v>
      </c>
      <c r="J2832" s="150" t="str">
        <f t="shared" si="134"/>
        <v>488</v>
      </c>
      <c r="K2832" s="150" t="s">
        <v>9557</v>
      </c>
      <c r="L2832" s="149" t="s">
        <v>45</v>
      </c>
      <c r="M2832" s="151">
        <v>-1966973.17</v>
      </c>
    </row>
    <row r="2833" spans="1:13" s="149" customFormat="1" x14ac:dyDescent="0.25">
      <c r="A2833" s="149" t="s">
        <v>7640</v>
      </c>
      <c r="B2833" s="149" t="s">
        <v>46</v>
      </c>
      <c r="C2833" s="149">
        <v>11</v>
      </c>
      <c r="D2833" s="149">
        <v>0</v>
      </c>
      <c r="E2833" s="149">
        <v>0</v>
      </c>
      <c r="F2833" s="149">
        <v>0</v>
      </c>
      <c r="G2833" s="149">
        <v>48879</v>
      </c>
      <c r="H2833" s="150" t="str">
        <f t="shared" si="132"/>
        <v>4</v>
      </c>
      <c r="I2833" s="150" t="str">
        <f t="shared" si="133"/>
        <v>48</v>
      </c>
      <c r="J2833" s="150" t="str">
        <f t="shared" si="134"/>
        <v>488</v>
      </c>
      <c r="K2833" s="150" t="s">
        <v>9558</v>
      </c>
      <c r="L2833" s="149" t="s">
        <v>47</v>
      </c>
      <c r="M2833" s="151">
        <v>-33353</v>
      </c>
    </row>
    <row r="2834" spans="1:13" s="149" customFormat="1" x14ac:dyDescent="0.25">
      <c r="A2834" s="149" t="s">
        <v>7640</v>
      </c>
      <c r="B2834" s="149" t="s">
        <v>48</v>
      </c>
      <c r="C2834" s="149">
        <v>11</v>
      </c>
      <c r="D2834" s="149">
        <v>0</v>
      </c>
      <c r="E2834" s="149">
        <v>0</v>
      </c>
      <c r="F2834" s="149">
        <v>0</v>
      </c>
      <c r="G2834" s="149">
        <v>48880</v>
      </c>
      <c r="H2834" s="150" t="str">
        <f t="shared" si="132"/>
        <v>4</v>
      </c>
      <c r="I2834" s="150" t="str">
        <f t="shared" si="133"/>
        <v>48</v>
      </c>
      <c r="J2834" s="150" t="str">
        <f t="shared" si="134"/>
        <v>488</v>
      </c>
      <c r="K2834" s="150" t="s">
        <v>9559</v>
      </c>
      <c r="L2834" s="149" t="s">
        <v>49</v>
      </c>
      <c r="M2834" s="151">
        <v>-205093</v>
      </c>
    </row>
    <row r="2835" spans="1:13" s="149" customFormat="1" x14ac:dyDescent="0.25">
      <c r="A2835" s="149" t="s">
        <v>7640</v>
      </c>
      <c r="B2835" s="149" t="s">
        <v>50</v>
      </c>
      <c r="C2835" s="149">
        <v>11</v>
      </c>
      <c r="D2835" s="149">
        <v>0</v>
      </c>
      <c r="E2835" s="149">
        <v>0</v>
      </c>
      <c r="F2835" s="149">
        <v>0</v>
      </c>
      <c r="G2835" s="149">
        <v>48890</v>
      </c>
      <c r="H2835" s="150" t="str">
        <f t="shared" si="132"/>
        <v>4</v>
      </c>
      <c r="I2835" s="150" t="str">
        <f t="shared" si="133"/>
        <v>48</v>
      </c>
      <c r="J2835" s="150" t="str">
        <f t="shared" si="134"/>
        <v>488</v>
      </c>
      <c r="K2835" s="150" t="s">
        <v>9560</v>
      </c>
      <c r="L2835" s="149" t="s">
        <v>51</v>
      </c>
      <c r="M2835" s="151">
        <v>-95132.79</v>
      </c>
    </row>
    <row r="2836" spans="1:13" s="149" customFormat="1" x14ac:dyDescent="0.25">
      <c r="A2836" s="149" t="s">
        <v>7640</v>
      </c>
      <c r="B2836" s="149" t="s">
        <v>52</v>
      </c>
      <c r="C2836" s="149">
        <v>11</v>
      </c>
      <c r="D2836" s="149">
        <v>0</v>
      </c>
      <c r="E2836" s="149">
        <v>0</v>
      </c>
      <c r="F2836" s="149">
        <v>0</v>
      </c>
      <c r="G2836" s="149">
        <v>48892</v>
      </c>
      <c r="H2836" s="150" t="str">
        <f t="shared" si="132"/>
        <v>4</v>
      </c>
      <c r="I2836" s="150" t="str">
        <f t="shared" si="133"/>
        <v>48</v>
      </c>
      <c r="J2836" s="150" t="str">
        <f t="shared" si="134"/>
        <v>488</v>
      </c>
      <c r="K2836" s="150" t="s">
        <v>9561</v>
      </c>
      <c r="L2836" s="149" t="s">
        <v>53</v>
      </c>
      <c r="M2836" s="151">
        <v>-41954.92</v>
      </c>
    </row>
    <row r="2837" spans="1:13" s="149" customFormat="1" x14ac:dyDescent="0.25">
      <c r="A2837" s="149" t="s">
        <v>7640</v>
      </c>
      <c r="B2837" s="149" t="s">
        <v>54</v>
      </c>
      <c r="C2837" s="149">
        <v>11</v>
      </c>
      <c r="D2837" s="149">
        <v>0</v>
      </c>
      <c r="E2837" s="149">
        <v>0</v>
      </c>
      <c r="F2837" s="149">
        <v>0</v>
      </c>
      <c r="G2837" s="149">
        <v>48980</v>
      </c>
      <c r="H2837" s="150" t="str">
        <f t="shared" si="132"/>
        <v>4</v>
      </c>
      <c r="I2837" s="150" t="str">
        <f t="shared" si="133"/>
        <v>48</v>
      </c>
      <c r="J2837" s="150" t="str">
        <f t="shared" si="134"/>
        <v>489</v>
      </c>
      <c r="K2837" s="150" t="s">
        <v>9562</v>
      </c>
      <c r="L2837" s="149" t="s">
        <v>55</v>
      </c>
      <c r="M2837" s="151">
        <v>0</v>
      </c>
    </row>
    <row r="2838" spans="1:13" s="149" customFormat="1" x14ac:dyDescent="0.25">
      <c r="A2838" s="149" t="s">
        <v>7640</v>
      </c>
      <c r="B2838" s="149" t="s">
        <v>56</v>
      </c>
      <c r="C2838" s="149">
        <v>11</v>
      </c>
      <c r="D2838" s="149">
        <v>0</v>
      </c>
      <c r="E2838" s="149">
        <v>0</v>
      </c>
      <c r="F2838" s="149">
        <v>677010</v>
      </c>
      <c r="G2838" s="149">
        <v>48887</v>
      </c>
      <c r="H2838" s="150" t="str">
        <f t="shared" si="132"/>
        <v>4</v>
      </c>
      <c r="I2838" s="150" t="str">
        <f t="shared" si="133"/>
        <v>48</v>
      </c>
      <c r="J2838" s="150" t="str">
        <f t="shared" si="134"/>
        <v>488</v>
      </c>
      <c r="K2838" s="150" t="s">
        <v>9563</v>
      </c>
      <c r="L2838" s="149" t="s">
        <v>57</v>
      </c>
      <c r="M2838" s="151">
        <v>0</v>
      </c>
    </row>
    <row r="2839" spans="1:13" s="149" customFormat="1" x14ac:dyDescent="0.25">
      <c r="A2839" s="149" t="s">
        <v>7640</v>
      </c>
      <c r="B2839" s="149" t="s">
        <v>58</v>
      </c>
      <c r="C2839" s="149">
        <v>11</v>
      </c>
      <c r="D2839" s="149">
        <v>100</v>
      </c>
      <c r="E2839" s="149">
        <v>0</v>
      </c>
      <c r="F2839" s="149">
        <v>661000</v>
      </c>
      <c r="G2839" s="149">
        <v>51205</v>
      </c>
      <c r="H2839" s="150" t="str">
        <f t="shared" si="132"/>
        <v>5</v>
      </c>
      <c r="I2839" s="150" t="str">
        <f t="shared" si="133"/>
        <v>51</v>
      </c>
      <c r="J2839" s="150" t="str">
        <f t="shared" si="134"/>
        <v>512</v>
      </c>
      <c r="K2839" s="150" t="s">
        <v>8401</v>
      </c>
      <c r="L2839" s="149" t="s">
        <v>59</v>
      </c>
      <c r="M2839" s="151">
        <v>173563.24</v>
      </c>
    </row>
    <row r="2840" spans="1:13" s="149" customFormat="1" x14ac:dyDescent="0.25">
      <c r="A2840" s="149" t="s">
        <v>7640</v>
      </c>
      <c r="B2840" s="149" t="s">
        <v>60</v>
      </c>
      <c r="C2840" s="149">
        <v>11</v>
      </c>
      <c r="D2840" s="149">
        <v>100</v>
      </c>
      <c r="E2840" s="149">
        <v>0</v>
      </c>
      <c r="F2840" s="149">
        <v>661000</v>
      </c>
      <c r="G2840" s="149">
        <v>52120</v>
      </c>
      <c r="H2840" s="150" t="str">
        <f t="shared" si="132"/>
        <v>5</v>
      </c>
      <c r="I2840" s="150" t="str">
        <f t="shared" si="133"/>
        <v>52</v>
      </c>
      <c r="J2840" s="150" t="str">
        <f t="shared" si="134"/>
        <v>521</v>
      </c>
      <c r="K2840" s="150" t="s">
        <v>8402</v>
      </c>
      <c r="L2840" s="149" t="s">
        <v>61</v>
      </c>
      <c r="M2840" s="151">
        <v>50679.15</v>
      </c>
    </row>
    <row r="2841" spans="1:13" s="149" customFormat="1" x14ac:dyDescent="0.25">
      <c r="A2841" s="149" t="s">
        <v>7640</v>
      </c>
      <c r="B2841" s="149" t="s">
        <v>62</v>
      </c>
      <c r="C2841" s="149">
        <v>11</v>
      </c>
      <c r="D2841" s="149">
        <v>100</v>
      </c>
      <c r="E2841" s="149">
        <v>0</v>
      </c>
      <c r="F2841" s="149">
        <v>661000</v>
      </c>
      <c r="G2841" s="149">
        <v>52300</v>
      </c>
      <c r="H2841" s="150" t="str">
        <f t="shared" si="132"/>
        <v>5</v>
      </c>
      <c r="I2841" s="150" t="str">
        <f t="shared" si="133"/>
        <v>52</v>
      </c>
      <c r="J2841" s="150" t="str">
        <f t="shared" si="134"/>
        <v>523</v>
      </c>
      <c r="K2841" s="150" t="s">
        <v>7806</v>
      </c>
      <c r="L2841" s="149" t="s">
        <v>63</v>
      </c>
      <c r="M2841" s="151">
        <v>1227.27</v>
      </c>
    </row>
    <row r="2842" spans="1:13" s="149" customFormat="1" x14ac:dyDescent="0.25">
      <c r="A2842" s="149" t="s">
        <v>7640</v>
      </c>
      <c r="B2842" s="149" t="s">
        <v>64</v>
      </c>
      <c r="C2842" s="149">
        <v>11</v>
      </c>
      <c r="D2842" s="149">
        <v>100</v>
      </c>
      <c r="E2842" s="149">
        <v>0</v>
      </c>
      <c r="F2842" s="149">
        <v>661000</v>
      </c>
      <c r="G2842" s="149">
        <v>53120</v>
      </c>
      <c r="H2842" s="150" t="str">
        <f t="shared" si="132"/>
        <v>5</v>
      </c>
      <c r="I2842" s="150" t="str">
        <f t="shared" si="133"/>
        <v>53</v>
      </c>
      <c r="J2842" s="150" t="str">
        <f t="shared" si="134"/>
        <v>531</v>
      </c>
      <c r="K2842" s="150" t="s">
        <v>8403</v>
      </c>
      <c r="L2842" s="149" t="s">
        <v>65</v>
      </c>
      <c r="M2842" s="151">
        <v>969</v>
      </c>
    </row>
    <row r="2843" spans="1:13" s="149" customFormat="1" x14ac:dyDescent="0.25">
      <c r="A2843" s="149" t="s">
        <v>7640</v>
      </c>
      <c r="B2843" s="149" t="s">
        <v>66</v>
      </c>
      <c r="C2843" s="149">
        <v>11</v>
      </c>
      <c r="D2843" s="149">
        <v>100</v>
      </c>
      <c r="E2843" s="149">
        <v>0</v>
      </c>
      <c r="F2843" s="149">
        <v>661000</v>
      </c>
      <c r="G2843" s="149">
        <v>53220</v>
      </c>
      <c r="H2843" s="150" t="str">
        <f t="shared" si="132"/>
        <v>5</v>
      </c>
      <c r="I2843" s="150" t="str">
        <f t="shared" si="133"/>
        <v>53</v>
      </c>
      <c r="J2843" s="150" t="str">
        <f t="shared" si="134"/>
        <v>532</v>
      </c>
      <c r="K2843" s="150" t="s">
        <v>8404</v>
      </c>
      <c r="L2843" s="149" t="s">
        <v>67</v>
      </c>
      <c r="M2843" s="151">
        <v>30358.29</v>
      </c>
    </row>
    <row r="2844" spans="1:13" s="149" customFormat="1" x14ac:dyDescent="0.25">
      <c r="A2844" s="149" t="s">
        <v>7640</v>
      </c>
      <c r="B2844" s="149" t="s">
        <v>68</v>
      </c>
      <c r="C2844" s="149">
        <v>11</v>
      </c>
      <c r="D2844" s="149">
        <v>100</v>
      </c>
      <c r="E2844" s="149">
        <v>0</v>
      </c>
      <c r="F2844" s="149">
        <v>661000</v>
      </c>
      <c r="G2844" s="149">
        <v>53320</v>
      </c>
      <c r="H2844" s="150" t="str">
        <f t="shared" si="132"/>
        <v>5</v>
      </c>
      <c r="I2844" s="150" t="str">
        <f t="shared" si="133"/>
        <v>53</v>
      </c>
      <c r="J2844" s="150" t="str">
        <f t="shared" si="134"/>
        <v>533</v>
      </c>
      <c r="K2844" s="150" t="s">
        <v>8405</v>
      </c>
      <c r="L2844" s="149" t="s">
        <v>69</v>
      </c>
      <c r="M2844" s="151">
        <v>9063.01</v>
      </c>
    </row>
    <row r="2845" spans="1:13" s="149" customFormat="1" x14ac:dyDescent="0.25">
      <c r="A2845" s="149" t="s">
        <v>7640</v>
      </c>
      <c r="B2845" s="149" t="s">
        <v>70</v>
      </c>
      <c r="C2845" s="149">
        <v>11</v>
      </c>
      <c r="D2845" s="149">
        <v>100</v>
      </c>
      <c r="E2845" s="149">
        <v>0</v>
      </c>
      <c r="F2845" s="149">
        <v>661000</v>
      </c>
      <c r="G2845" s="149">
        <v>53340</v>
      </c>
      <c r="H2845" s="150" t="str">
        <f t="shared" si="132"/>
        <v>5</v>
      </c>
      <c r="I2845" s="150" t="str">
        <f t="shared" si="133"/>
        <v>53</v>
      </c>
      <c r="J2845" s="150" t="str">
        <f t="shared" si="134"/>
        <v>533</v>
      </c>
      <c r="K2845" s="150" t="s">
        <v>8406</v>
      </c>
      <c r="L2845" s="149" t="s">
        <v>71</v>
      </c>
      <c r="M2845" s="151">
        <v>3256.59</v>
      </c>
    </row>
    <row r="2846" spans="1:13" s="149" customFormat="1" x14ac:dyDescent="0.25">
      <c r="A2846" s="149" t="s">
        <v>7640</v>
      </c>
      <c r="B2846" s="149" t="s">
        <v>72</v>
      </c>
      <c r="C2846" s="149">
        <v>11</v>
      </c>
      <c r="D2846" s="149">
        <v>100</v>
      </c>
      <c r="E2846" s="149">
        <v>0</v>
      </c>
      <c r="F2846" s="149">
        <v>661000</v>
      </c>
      <c r="G2846" s="149">
        <v>53420</v>
      </c>
      <c r="H2846" s="150" t="str">
        <f t="shared" si="132"/>
        <v>5</v>
      </c>
      <c r="I2846" s="150" t="str">
        <f t="shared" si="133"/>
        <v>53</v>
      </c>
      <c r="J2846" s="150" t="str">
        <f t="shared" si="134"/>
        <v>534</v>
      </c>
      <c r="K2846" s="150" t="s">
        <v>8407</v>
      </c>
      <c r="L2846" s="149" t="s">
        <v>73</v>
      </c>
      <c r="M2846" s="151">
        <v>34093.410000000003</v>
      </c>
    </row>
    <row r="2847" spans="1:13" s="149" customFormat="1" x14ac:dyDescent="0.25">
      <c r="A2847" s="149" t="s">
        <v>7640</v>
      </c>
      <c r="B2847" s="149" t="s">
        <v>74</v>
      </c>
      <c r="C2847" s="149">
        <v>11</v>
      </c>
      <c r="D2847" s="149">
        <v>100</v>
      </c>
      <c r="E2847" s="149">
        <v>0</v>
      </c>
      <c r="F2847" s="149">
        <v>661000</v>
      </c>
      <c r="G2847" s="149">
        <v>53520</v>
      </c>
      <c r="H2847" s="150" t="str">
        <f t="shared" si="132"/>
        <v>5</v>
      </c>
      <c r="I2847" s="150" t="str">
        <f t="shared" si="133"/>
        <v>53</v>
      </c>
      <c r="J2847" s="150" t="str">
        <f t="shared" si="134"/>
        <v>535</v>
      </c>
      <c r="K2847" s="150" t="s">
        <v>8408</v>
      </c>
      <c r="L2847" s="149" t="s">
        <v>75</v>
      </c>
      <c r="M2847" s="151">
        <v>112.68</v>
      </c>
    </row>
    <row r="2848" spans="1:13" s="149" customFormat="1" x14ac:dyDescent="0.25">
      <c r="A2848" s="149" t="s">
        <v>7640</v>
      </c>
      <c r="B2848" s="149" t="s">
        <v>76</v>
      </c>
      <c r="C2848" s="149">
        <v>11</v>
      </c>
      <c r="D2848" s="149">
        <v>100</v>
      </c>
      <c r="E2848" s="149">
        <v>0</v>
      </c>
      <c r="F2848" s="149">
        <v>661000</v>
      </c>
      <c r="G2848" s="149">
        <v>53620</v>
      </c>
      <c r="H2848" s="150" t="str">
        <f t="shared" si="132"/>
        <v>5</v>
      </c>
      <c r="I2848" s="150" t="str">
        <f t="shared" si="133"/>
        <v>53</v>
      </c>
      <c r="J2848" s="150" t="str">
        <f t="shared" si="134"/>
        <v>536</v>
      </c>
      <c r="K2848" s="150" t="s">
        <v>8409</v>
      </c>
      <c r="L2848" s="149" t="s">
        <v>77</v>
      </c>
      <c r="M2848" s="151">
        <v>4278.96</v>
      </c>
    </row>
    <row r="2849" spans="1:13" s="149" customFormat="1" x14ac:dyDescent="0.25">
      <c r="A2849" s="149" t="s">
        <v>7640</v>
      </c>
      <c r="B2849" s="149" t="s">
        <v>78</v>
      </c>
      <c r="C2849" s="149">
        <v>11</v>
      </c>
      <c r="D2849" s="149">
        <v>100</v>
      </c>
      <c r="E2849" s="149">
        <v>0</v>
      </c>
      <c r="F2849" s="149">
        <v>661000</v>
      </c>
      <c r="G2849" s="149">
        <v>53902</v>
      </c>
      <c r="H2849" s="150" t="str">
        <f t="shared" si="132"/>
        <v>5</v>
      </c>
      <c r="I2849" s="150" t="str">
        <f t="shared" si="133"/>
        <v>53</v>
      </c>
      <c r="J2849" s="150" t="str">
        <f t="shared" si="134"/>
        <v>539</v>
      </c>
      <c r="K2849" s="150" t="s">
        <v>7904</v>
      </c>
      <c r="L2849" s="149" t="s">
        <v>79</v>
      </c>
      <c r="M2849" s="151">
        <v>822.4</v>
      </c>
    </row>
    <row r="2850" spans="1:13" s="149" customFormat="1" x14ac:dyDescent="0.25">
      <c r="A2850" s="149" t="s">
        <v>7640</v>
      </c>
      <c r="B2850" s="149" t="s">
        <v>80</v>
      </c>
      <c r="C2850" s="149">
        <v>11</v>
      </c>
      <c r="D2850" s="149">
        <v>100</v>
      </c>
      <c r="E2850" s="149">
        <v>0</v>
      </c>
      <c r="F2850" s="149">
        <v>661000</v>
      </c>
      <c r="G2850" s="149">
        <v>53920</v>
      </c>
      <c r="H2850" s="150" t="str">
        <f t="shared" si="132"/>
        <v>5</v>
      </c>
      <c r="I2850" s="150" t="str">
        <f t="shared" si="133"/>
        <v>53</v>
      </c>
      <c r="J2850" s="150" t="str">
        <f t="shared" si="134"/>
        <v>539</v>
      </c>
      <c r="K2850" s="150" t="s">
        <v>8410</v>
      </c>
      <c r="L2850" s="149" t="s">
        <v>81</v>
      </c>
      <c r="M2850" s="151">
        <v>620.47</v>
      </c>
    </row>
    <row r="2851" spans="1:13" s="149" customFormat="1" x14ac:dyDescent="0.25">
      <c r="A2851" s="149" t="s">
        <v>7640</v>
      </c>
      <c r="B2851" s="149" t="s">
        <v>82</v>
      </c>
      <c r="C2851" s="149">
        <v>11</v>
      </c>
      <c r="D2851" s="149">
        <v>100</v>
      </c>
      <c r="E2851" s="149">
        <v>0</v>
      </c>
      <c r="F2851" s="149">
        <v>661000</v>
      </c>
      <c r="G2851" s="149">
        <v>54210</v>
      </c>
      <c r="H2851" s="150" t="str">
        <f t="shared" si="132"/>
        <v>5</v>
      </c>
      <c r="I2851" s="150" t="str">
        <f t="shared" si="133"/>
        <v>54</v>
      </c>
      <c r="J2851" s="150" t="str">
        <f t="shared" si="134"/>
        <v>542</v>
      </c>
      <c r="K2851" s="150" t="s">
        <v>7909</v>
      </c>
      <c r="L2851" s="149" t="s">
        <v>83</v>
      </c>
      <c r="M2851" s="151">
        <v>0</v>
      </c>
    </row>
    <row r="2852" spans="1:13" s="149" customFormat="1" x14ac:dyDescent="0.25">
      <c r="A2852" s="149" t="s">
        <v>7640</v>
      </c>
      <c r="B2852" s="149" t="s">
        <v>84</v>
      </c>
      <c r="C2852" s="149">
        <v>11</v>
      </c>
      <c r="D2852" s="149">
        <v>100</v>
      </c>
      <c r="E2852" s="149">
        <v>0</v>
      </c>
      <c r="F2852" s="149">
        <v>661000</v>
      </c>
      <c r="G2852" s="149">
        <v>54300</v>
      </c>
      <c r="H2852" s="150" t="str">
        <f t="shared" si="132"/>
        <v>5</v>
      </c>
      <c r="I2852" s="150" t="str">
        <f t="shared" si="133"/>
        <v>54</v>
      </c>
      <c r="J2852" s="150" t="str">
        <f t="shared" si="134"/>
        <v>543</v>
      </c>
      <c r="K2852" s="150" t="s">
        <v>7915</v>
      </c>
      <c r="L2852" s="149" t="s">
        <v>85</v>
      </c>
      <c r="M2852" s="151">
        <v>3441.92</v>
      </c>
    </row>
    <row r="2853" spans="1:13" s="149" customFormat="1" x14ac:dyDescent="0.25">
      <c r="A2853" s="149" t="s">
        <v>7640</v>
      </c>
      <c r="B2853" s="149" t="s">
        <v>86</v>
      </c>
      <c r="C2853" s="149">
        <v>11</v>
      </c>
      <c r="D2853" s="149">
        <v>100</v>
      </c>
      <c r="E2853" s="149">
        <v>0</v>
      </c>
      <c r="F2853" s="149">
        <v>661000</v>
      </c>
      <c r="G2853" s="149">
        <v>55100</v>
      </c>
      <c r="H2853" s="150" t="str">
        <f t="shared" si="132"/>
        <v>5</v>
      </c>
      <c r="I2853" s="150" t="str">
        <f t="shared" si="133"/>
        <v>55</v>
      </c>
      <c r="J2853" s="150" t="str">
        <f t="shared" si="134"/>
        <v>551</v>
      </c>
      <c r="K2853" s="150" t="s">
        <v>7995</v>
      </c>
      <c r="L2853" s="149" t="s">
        <v>87</v>
      </c>
      <c r="M2853" s="151">
        <v>12000</v>
      </c>
    </row>
    <row r="2854" spans="1:13" s="149" customFormat="1" x14ac:dyDescent="0.25">
      <c r="A2854" s="149" t="s">
        <v>7640</v>
      </c>
      <c r="B2854" s="149" t="s">
        <v>88</v>
      </c>
      <c r="C2854" s="149">
        <v>11</v>
      </c>
      <c r="D2854" s="149">
        <v>100</v>
      </c>
      <c r="E2854" s="149">
        <v>0</v>
      </c>
      <c r="F2854" s="149">
        <v>661000</v>
      </c>
      <c r="G2854" s="149">
        <v>55105</v>
      </c>
      <c r="H2854" s="150" t="str">
        <f t="shared" si="132"/>
        <v>5</v>
      </c>
      <c r="I2854" s="150" t="str">
        <f t="shared" si="133"/>
        <v>55</v>
      </c>
      <c r="J2854" s="150" t="str">
        <f t="shared" si="134"/>
        <v>551</v>
      </c>
      <c r="K2854" s="150" t="s">
        <v>8001</v>
      </c>
      <c r="L2854" s="149" t="s">
        <v>89</v>
      </c>
      <c r="M2854" s="151">
        <v>8000</v>
      </c>
    </row>
    <row r="2855" spans="1:13" s="149" customFormat="1" x14ac:dyDescent="0.25">
      <c r="A2855" s="149" t="s">
        <v>7640</v>
      </c>
      <c r="B2855" s="149" t="s">
        <v>90</v>
      </c>
      <c r="C2855" s="149">
        <v>11</v>
      </c>
      <c r="D2855" s="149">
        <v>100</v>
      </c>
      <c r="E2855" s="149">
        <v>0</v>
      </c>
      <c r="F2855" s="149">
        <v>661000</v>
      </c>
      <c r="G2855" s="149">
        <v>55200</v>
      </c>
      <c r="H2855" s="150" t="str">
        <f t="shared" si="132"/>
        <v>5</v>
      </c>
      <c r="I2855" s="150" t="str">
        <f t="shared" si="133"/>
        <v>55</v>
      </c>
      <c r="J2855" s="150" t="str">
        <f t="shared" si="134"/>
        <v>552</v>
      </c>
      <c r="K2855" s="150" t="s">
        <v>8036</v>
      </c>
      <c r="L2855" s="149" t="s">
        <v>91</v>
      </c>
      <c r="M2855" s="151">
        <v>441.6</v>
      </c>
    </row>
    <row r="2856" spans="1:13" s="149" customFormat="1" x14ac:dyDescent="0.25">
      <c r="A2856" s="149" t="s">
        <v>7640</v>
      </c>
      <c r="B2856" s="149" t="s">
        <v>92</v>
      </c>
      <c r="C2856" s="149">
        <v>11</v>
      </c>
      <c r="D2856" s="149">
        <v>100</v>
      </c>
      <c r="E2856" s="149">
        <v>0</v>
      </c>
      <c r="F2856" s="149">
        <v>661000</v>
      </c>
      <c r="G2856" s="149">
        <v>55300</v>
      </c>
      <c r="H2856" s="150" t="str">
        <f t="shared" si="132"/>
        <v>5</v>
      </c>
      <c r="I2856" s="150" t="str">
        <f t="shared" si="133"/>
        <v>55</v>
      </c>
      <c r="J2856" s="150" t="str">
        <f t="shared" si="134"/>
        <v>553</v>
      </c>
      <c r="K2856" s="150" t="s">
        <v>8077</v>
      </c>
      <c r="L2856" s="149" t="s">
        <v>93</v>
      </c>
      <c r="M2856" s="151">
        <v>79168.5</v>
      </c>
    </row>
    <row r="2857" spans="1:13" s="149" customFormat="1" x14ac:dyDescent="0.25">
      <c r="A2857" s="149" t="s">
        <v>7640</v>
      </c>
      <c r="B2857" s="149" t="s">
        <v>94</v>
      </c>
      <c r="C2857" s="149">
        <v>11</v>
      </c>
      <c r="D2857" s="149">
        <v>100</v>
      </c>
      <c r="E2857" s="149">
        <v>0</v>
      </c>
      <c r="F2857" s="149">
        <v>661000</v>
      </c>
      <c r="G2857" s="149">
        <v>55550</v>
      </c>
      <c r="H2857" s="150" t="str">
        <f t="shared" si="132"/>
        <v>5</v>
      </c>
      <c r="I2857" s="150" t="str">
        <f t="shared" si="133"/>
        <v>55</v>
      </c>
      <c r="J2857" s="150" t="str">
        <f t="shared" si="134"/>
        <v>555</v>
      </c>
      <c r="K2857" s="150" t="s">
        <v>8126</v>
      </c>
      <c r="L2857" s="149" t="s">
        <v>95</v>
      </c>
      <c r="M2857" s="151">
        <v>550</v>
      </c>
    </row>
    <row r="2858" spans="1:13" s="149" customFormat="1" x14ac:dyDescent="0.25">
      <c r="A2858" s="149" t="s">
        <v>7640</v>
      </c>
      <c r="B2858" s="149" t="s">
        <v>96</v>
      </c>
      <c r="C2858" s="149">
        <v>11</v>
      </c>
      <c r="D2858" s="149">
        <v>100</v>
      </c>
      <c r="E2858" s="149">
        <v>0</v>
      </c>
      <c r="F2858" s="149">
        <v>661000</v>
      </c>
      <c r="G2858" s="149">
        <v>55560</v>
      </c>
      <c r="H2858" s="150" t="str">
        <f t="shared" si="132"/>
        <v>5</v>
      </c>
      <c r="I2858" s="150" t="str">
        <f t="shared" si="133"/>
        <v>55</v>
      </c>
      <c r="J2858" s="150" t="str">
        <f t="shared" si="134"/>
        <v>555</v>
      </c>
      <c r="K2858" s="150" t="s">
        <v>8134</v>
      </c>
      <c r="L2858" s="149" t="s">
        <v>97</v>
      </c>
      <c r="M2858" s="151">
        <v>484.7</v>
      </c>
    </row>
    <row r="2859" spans="1:13" s="149" customFormat="1" x14ac:dyDescent="0.25">
      <c r="A2859" s="149" t="s">
        <v>7640</v>
      </c>
      <c r="B2859" s="149" t="s">
        <v>98</v>
      </c>
      <c r="C2859" s="149">
        <v>11</v>
      </c>
      <c r="D2859" s="149">
        <v>100</v>
      </c>
      <c r="E2859" s="149">
        <v>0</v>
      </c>
      <c r="F2859" s="149">
        <v>661000</v>
      </c>
      <c r="G2859" s="149">
        <v>55630</v>
      </c>
      <c r="H2859" s="150" t="str">
        <f t="shared" si="132"/>
        <v>5</v>
      </c>
      <c r="I2859" s="150" t="str">
        <f t="shared" si="133"/>
        <v>55</v>
      </c>
      <c r="J2859" s="150" t="str">
        <f t="shared" si="134"/>
        <v>556</v>
      </c>
      <c r="K2859" s="150" t="s">
        <v>8159</v>
      </c>
      <c r="L2859" s="149" t="s">
        <v>99</v>
      </c>
      <c r="M2859" s="151">
        <v>258.39</v>
      </c>
    </row>
    <row r="2860" spans="1:13" s="149" customFormat="1" x14ac:dyDescent="0.25">
      <c r="A2860" s="149" t="s">
        <v>7640</v>
      </c>
      <c r="B2860" s="149" t="s">
        <v>100</v>
      </c>
      <c r="C2860" s="149">
        <v>11</v>
      </c>
      <c r="D2860" s="149">
        <v>100</v>
      </c>
      <c r="E2860" s="149">
        <v>0</v>
      </c>
      <c r="F2860" s="149">
        <v>661000</v>
      </c>
      <c r="G2860" s="149">
        <v>55635</v>
      </c>
      <c r="H2860" s="150" t="str">
        <f t="shared" si="132"/>
        <v>5</v>
      </c>
      <c r="I2860" s="150" t="str">
        <f t="shared" si="133"/>
        <v>55</v>
      </c>
      <c r="J2860" s="150" t="str">
        <f t="shared" si="134"/>
        <v>556</v>
      </c>
      <c r="K2860" s="150" t="s">
        <v>8275</v>
      </c>
      <c r="L2860" s="149" t="s">
        <v>101</v>
      </c>
      <c r="M2860" s="151">
        <v>500</v>
      </c>
    </row>
    <row r="2861" spans="1:13" s="149" customFormat="1" x14ac:dyDescent="0.25">
      <c r="A2861" s="149" t="s">
        <v>7640</v>
      </c>
      <c r="B2861" s="149" t="s">
        <v>102</v>
      </c>
      <c r="C2861" s="149">
        <v>11</v>
      </c>
      <c r="D2861" s="149">
        <v>100</v>
      </c>
      <c r="E2861" s="149">
        <v>0</v>
      </c>
      <c r="F2861" s="149">
        <v>661000</v>
      </c>
      <c r="G2861" s="149">
        <v>55800</v>
      </c>
      <c r="H2861" s="150" t="str">
        <f t="shared" si="132"/>
        <v>5</v>
      </c>
      <c r="I2861" s="150" t="str">
        <f t="shared" si="133"/>
        <v>55</v>
      </c>
      <c r="J2861" s="150" t="str">
        <f t="shared" si="134"/>
        <v>558</v>
      </c>
      <c r="K2861" s="150" t="s">
        <v>8331</v>
      </c>
      <c r="L2861" s="149" t="s">
        <v>103</v>
      </c>
      <c r="M2861" s="151">
        <v>994.95</v>
      </c>
    </row>
    <row r="2862" spans="1:13" s="149" customFormat="1" x14ac:dyDescent="0.25">
      <c r="A2862" s="149" t="s">
        <v>7640</v>
      </c>
      <c r="B2862" s="149" t="s">
        <v>104</v>
      </c>
      <c r="C2862" s="149">
        <v>11</v>
      </c>
      <c r="D2862" s="149">
        <v>100</v>
      </c>
      <c r="E2862" s="149">
        <v>0</v>
      </c>
      <c r="F2862" s="149">
        <v>661100</v>
      </c>
      <c r="G2862" s="149">
        <v>55300</v>
      </c>
      <c r="H2862" s="150" t="str">
        <f t="shared" si="132"/>
        <v>5</v>
      </c>
      <c r="I2862" s="150" t="str">
        <f t="shared" si="133"/>
        <v>55</v>
      </c>
      <c r="J2862" s="150" t="str">
        <f t="shared" si="134"/>
        <v>553</v>
      </c>
      <c r="K2862" s="150" t="s">
        <v>8078</v>
      </c>
      <c r="L2862" s="149" t="s">
        <v>105</v>
      </c>
      <c r="M2862" s="151">
        <v>0</v>
      </c>
    </row>
    <row r="2863" spans="1:13" s="149" customFormat="1" x14ac:dyDescent="0.25">
      <c r="A2863" s="149" t="s">
        <v>7640</v>
      </c>
      <c r="B2863" s="149" t="s">
        <v>106</v>
      </c>
      <c r="C2863" s="149">
        <v>11</v>
      </c>
      <c r="D2863" s="149">
        <v>100</v>
      </c>
      <c r="E2863" s="149">
        <v>0</v>
      </c>
      <c r="F2863" s="149">
        <v>662000</v>
      </c>
      <c r="G2863" s="149">
        <v>52130</v>
      </c>
      <c r="H2863" s="150" t="str">
        <f t="shared" si="132"/>
        <v>5</v>
      </c>
      <c r="I2863" s="150" t="str">
        <f t="shared" si="133"/>
        <v>52</v>
      </c>
      <c r="J2863" s="150" t="str">
        <f t="shared" si="134"/>
        <v>521</v>
      </c>
      <c r="K2863" s="150" t="s">
        <v>8411</v>
      </c>
      <c r="L2863" s="149" t="s">
        <v>107</v>
      </c>
      <c r="M2863" s="151">
        <v>17040</v>
      </c>
    </row>
    <row r="2864" spans="1:13" s="149" customFormat="1" x14ac:dyDescent="0.25">
      <c r="A2864" s="149" t="s">
        <v>7640</v>
      </c>
      <c r="B2864" s="149" t="s">
        <v>108</v>
      </c>
      <c r="C2864" s="149">
        <v>11</v>
      </c>
      <c r="D2864" s="149">
        <v>100</v>
      </c>
      <c r="E2864" s="149">
        <v>0</v>
      </c>
      <c r="F2864" s="149">
        <v>662000</v>
      </c>
      <c r="G2864" s="149">
        <v>53220</v>
      </c>
      <c r="H2864" s="150" t="str">
        <f t="shared" si="132"/>
        <v>5</v>
      </c>
      <c r="I2864" s="150" t="str">
        <f t="shared" si="133"/>
        <v>53</v>
      </c>
      <c r="J2864" s="150" t="str">
        <f t="shared" si="134"/>
        <v>532</v>
      </c>
      <c r="K2864" s="150" t="s">
        <v>8412</v>
      </c>
      <c r="L2864" s="149" t="s">
        <v>109</v>
      </c>
      <c r="M2864" s="151">
        <v>99.36</v>
      </c>
    </row>
    <row r="2865" spans="1:13" s="149" customFormat="1" x14ac:dyDescent="0.25">
      <c r="A2865" s="149" t="s">
        <v>7640</v>
      </c>
      <c r="B2865" s="149" t="s">
        <v>110</v>
      </c>
      <c r="C2865" s="149">
        <v>11</v>
      </c>
      <c r="D2865" s="149">
        <v>100</v>
      </c>
      <c r="E2865" s="149">
        <v>0</v>
      </c>
      <c r="F2865" s="149">
        <v>662000</v>
      </c>
      <c r="G2865" s="149">
        <v>53320</v>
      </c>
      <c r="H2865" s="150" t="str">
        <f t="shared" si="132"/>
        <v>5</v>
      </c>
      <c r="I2865" s="150" t="str">
        <f t="shared" si="133"/>
        <v>53</v>
      </c>
      <c r="J2865" s="150" t="str">
        <f t="shared" si="134"/>
        <v>533</v>
      </c>
      <c r="K2865" s="150" t="s">
        <v>8413</v>
      </c>
      <c r="L2865" s="149" t="s">
        <v>111</v>
      </c>
      <c r="M2865" s="151">
        <v>805.36</v>
      </c>
    </row>
    <row r="2866" spans="1:13" s="149" customFormat="1" x14ac:dyDescent="0.25">
      <c r="A2866" s="149" t="s">
        <v>7640</v>
      </c>
      <c r="B2866" s="149" t="s">
        <v>112</v>
      </c>
      <c r="C2866" s="149">
        <v>11</v>
      </c>
      <c r="D2866" s="149">
        <v>100</v>
      </c>
      <c r="E2866" s="149">
        <v>0</v>
      </c>
      <c r="F2866" s="149">
        <v>662000</v>
      </c>
      <c r="G2866" s="149">
        <v>53340</v>
      </c>
      <c r="H2866" s="150" t="str">
        <f t="shared" si="132"/>
        <v>5</v>
      </c>
      <c r="I2866" s="150" t="str">
        <f t="shared" si="133"/>
        <v>53</v>
      </c>
      <c r="J2866" s="150" t="str">
        <f t="shared" si="134"/>
        <v>533</v>
      </c>
      <c r="K2866" s="150" t="s">
        <v>8414</v>
      </c>
      <c r="L2866" s="149" t="s">
        <v>113</v>
      </c>
      <c r="M2866" s="151">
        <v>188.36</v>
      </c>
    </row>
    <row r="2867" spans="1:13" s="149" customFormat="1" x14ac:dyDescent="0.25">
      <c r="A2867" s="149" t="s">
        <v>7640</v>
      </c>
      <c r="B2867" s="149" t="s">
        <v>114</v>
      </c>
      <c r="C2867" s="149">
        <v>11</v>
      </c>
      <c r="D2867" s="149">
        <v>100</v>
      </c>
      <c r="E2867" s="149">
        <v>0</v>
      </c>
      <c r="F2867" s="149">
        <v>662000</v>
      </c>
      <c r="G2867" s="149">
        <v>53420</v>
      </c>
      <c r="H2867" s="150" t="str">
        <f t="shared" si="132"/>
        <v>5</v>
      </c>
      <c r="I2867" s="150" t="str">
        <f t="shared" si="133"/>
        <v>53</v>
      </c>
      <c r="J2867" s="150" t="str">
        <f t="shared" si="134"/>
        <v>534</v>
      </c>
      <c r="K2867" s="150" t="s">
        <v>8415</v>
      </c>
      <c r="L2867" s="149" t="s">
        <v>115</v>
      </c>
      <c r="M2867" s="151">
        <v>111344.75</v>
      </c>
    </row>
    <row r="2868" spans="1:13" s="149" customFormat="1" x14ac:dyDescent="0.25">
      <c r="A2868" s="149" t="s">
        <v>7640</v>
      </c>
      <c r="B2868" s="149" t="s">
        <v>116</v>
      </c>
      <c r="C2868" s="149">
        <v>11</v>
      </c>
      <c r="D2868" s="149">
        <v>100</v>
      </c>
      <c r="E2868" s="149">
        <v>0</v>
      </c>
      <c r="F2868" s="149">
        <v>662000</v>
      </c>
      <c r="G2868" s="149">
        <v>53430</v>
      </c>
      <c r="H2868" s="150" t="str">
        <f t="shared" si="132"/>
        <v>5</v>
      </c>
      <c r="I2868" s="150" t="str">
        <f t="shared" si="133"/>
        <v>53</v>
      </c>
      <c r="J2868" s="150" t="str">
        <f t="shared" si="134"/>
        <v>534</v>
      </c>
      <c r="K2868" s="150" t="s">
        <v>8416</v>
      </c>
      <c r="L2868" s="149" t="s">
        <v>117</v>
      </c>
      <c r="M2868" s="151">
        <v>1647</v>
      </c>
    </row>
    <row r="2869" spans="1:13" s="149" customFormat="1" x14ac:dyDescent="0.25">
      <c r="A2869" s="149" t="s">
        <v>7640</v>
      </c>
      <c r="B2869" s="149" t="s">
        <v>118</v>
      </c>
      <c r="C2869" s="149">
        <v>11</v>
      </c>
      <c r="D2869" s="149">
        <v>100</v>
      </c>
      <c r="E2869" s="149">
        <v>0</v>
      </c>
      <c r="F2869" s="149">
        <v>662000</v>
      </c>
      <c r="G2869" s="149">
        <v>53520</v>
      </c>
      <c r="H2869" s="150" t="str">
        <f t="shared" si="132"/>
        <v>5</v>
      </c>
      <c r="I2869" s="150" t="str">
        <f t="shared" si="133"/>
        <v>53</v>
      </c>
      <c r="J2869" s="150" t="str">
        <f t="shared" si="134"/>
        <v>535</v>
      </c>
      <c r="K2869" s="150" t="s">
        <v>8417</v>
      </c>
      <c r="L2869" s="149" t="s">
        <v>119</v>
      </c>
      <c r="M2869" s="151">
        <v>7.74</v>
      </c>
    </row>
    <row r="2870" spans="1:13" s="149" customFormat="1" x14ac:dyDescent="0.25">
      <c r="A2870" s="149" t="s">
        <v>7640</v>
      </c>
      <c r="B2870" s="149" t="s">
        <v>120</v>
      </c>
      <c r="C2870" s="149">
        <v>11</v>
      </c>
      <c r="D2870" s="149">
        <v>100</v>
      </c>
      <c r="E2870" s="149">
        <v>0</v>
      </c>
      <c r="F2870" s="149">
        <v>662000</v>
      </c>
      <c r="G2870" s="149">
        <v>53620</v>
      </c>
      <c r="H2870" s="150" t="str">
        <f t="shared" si="132"/>
        <v>5</v>
      </c>
      <c r="I2870" s="150" t="str">
        <f t="shared" si="133"/>
        <v>53</v>
      </c>
      <c r="J2870" s="150" t="str">
        <f t="shared" si="134"/>
        <v>536</v>
      </c>
      <c r="K2870" s="150" t="s">
        <v>8418</v>
      </c>
      <c r="L2870" s="149" t="s">
        <v>121</v>
      </c>
      <c r="M2870" s="151">
        <v>322.33999999999997</v>
      </c>
    </row>
    <row r="2871" spans="1:13" s="149" customFormat="1" x14ac:dyDescent="0.25">
      <c r="A2871" s="149" t="s">
        <v>7640</v>
      </c>
      <c r="B2871" s="149" t="s">
        <v>122</v>
      </c>
      <c r="C2871" s="149">
        <v>11</v>
      </c>
      <c r="D2871" s="149">
        <v>100</v>
      </c>
      <c r="E2871" s="149">
        <v>0</v>
      </c>
      <c r="F2871" s="149">
        <v>662000</v>
      </c>
      <c r="G2871" s="149">
        <v>54210</v>
      </c>
      <c r="H2871" s="150" t="str">
        <f t="shared" si="132"/>
        <v>5</v>
      </c>
      <c r="I2871" s="150" t="str">
        <f t="shared" si="133"/>
        <v>54</v>
      </c>
      <c r="J2871" s="150" t="str">
        <f t="shared" si="134"/>
        <v>542</v>
      </c>
      <c r="K2871" s="150" t="s">
        <v>7910</v>
      </c>
      <c r="L2871" s="149" t="s">
        <v>123</v>
      </c>
      <c r="M2871" s="151">
        <v>1785</v>
      </c>
    </row>
    <row r="2872" spans="1:13" s="149" customFormat="1" x14ac:dyDescent="0.25">
      <c r="A2872" s="149" t="s">
        <v>7640</v>
      </c>
      <c r="B2872" s="149" t="s">
        <v>124</v>
      </c>
      <c r="C2872" s="149">
        <v>11</v>
      </c>
      <c r="D2872" s="149">
        <v>100</v>
      </c>
      <c r="E2872" s="149">
        <v>0</v>
      </c>
      <c r="F2872" s="149">
        <v>662000</v>
      </c>
      <c r="G2872" s="149">
        <v>54300</v>
      </c>
      <c r="H2872" s="150" t="str">
        <f t="shared" si="132"/>
        <v>5</v>
      </c>
      <c r="I2872" s="150" t="str">
        <f t="shared" si="133"/>
        <v>54</v>
      </c>
      <c r="J2872" s="150" t="str">
        <f t="shared" si="134"/>
        <v>543</v>
      </c>
      <c r="K2872" s="150" t="s">
        <v>7916</v>
      </c>
      <c r="L2872" s="149" t="s">
        <v>125</v>
      </c>
      <c r="M2872" s="151">
        <v>461.08</v>
      </c>
    </row>
    <row r="2873" spans="1:13" s="149" customFormat="1" x14ac:dyDescent="0.25">
      <c r="A2873" s="149" t="s">
        <v>7640</v>
      </c>
      <c r="B2873" s="149" t="s">
        <v>126</v>
      </c>
      <c r="C2873" s="149">
        <v>11</v>
      </c>
      <c r="D2873" s="149">
        <v>100</v>
      </c>
      <c r="E2873" s="149">
        <v>0</v>
      </c>
      <c r="F2873" s="149">
        <v>662000</v>
      </c>
      <c r="G2873" s="149">
        <v>55200</v>
      </c>
      <c r="H2873" s="150" t="str">
        <f t="shared" si="132"/>
        <v>5</v>
      </c>
      <c r="I2873" s="150" t="str">
        <f t="shared" si="133"/>
        <v>55</v>
      </c>
      <c r="J2873" s="150" t="str">
        <f t="shared" si="134"/>
        <v>552</v>
      </c>
      <c r="K2873" s="150" t="s">
        <v>8037</v>
      </c>
      <c r="L2873" s="149" t="s">
        <v>127</v>
      </c>
      <c r="M2873" s="151">
        <v>2045.66</v>
      </c>
    </row>
    <row r="2874" spans="1:13" s="149" customFormat="1" x14ac:dyDescent="0.25">
      <c r="A2874" s="149" t="s">
        <v>7640</v>
      </c>
      <c r="B2874" s="149" t="s">
        <v>128</v>
      </c>
      <c r="C2874" s="149">
        <v>11</v>
      </c>
      <c r="D2874" s="149">
        <v>100</v>
      </c>
      <c r="E2874" s="149">
        <v>0</v>
      </c>
      <c r="F2874" s="149">
        <v>662000</v>
      </c>
      <c r="G2874" s="149">
        <v>55300</v>
      </c>
      <c r="H2874" s="150" t="str">
        <f t="shared" si="132"/>
        <v>5</v>
      </c>
      <c r="I2874" s="150" t="str">
        <f t="shared" si="133"/>
        <v>55</v>
      </c>
      <c r="J2874" s="150" t="str">
        <f t="shared" si="134"/>
        <v>553</v>
      </c>
      <c r="K2874" s="150" t="s">
        <v>8079</v>
      </c>
      <c r="L2874" s="149" t="s">
        <v>129</v>
      </c>
      <c r="M2874" s="151">
        <v>150</v>
      </c>
    </row>
    <row r="2875" spans="1:13" s="149" customFormat="1" x14ac:dyDescent="0.25">
      <c r="A2875" s="149" t="s">
        <v>7640</v>
      </c>
      <c r="B2875" s="149" t="s">
        <v>130</v>
      </c>
      <c r="C2875" s="149">
        <v>11</v>
      </c>
      <c r="D2875" s="149">
        <v>100</v>
      </c>
      <c r="E2875" s="149">
        <v>0</v>
      </c>
      <c r="F2875" s="149">
        <v>662000</v>
      </c>
      <c r="G2875" s="149">
        <v>55710</v>
      </c>
      <c r="H2875" s="150" t="str">
        <f t="shared" si="132"/>
        <v>5</v>
      </c>
      <c r="I2875" s="150" t="str">
        <f t="shared" si="133"/>
        <v>55</v>
      </c>
      <c r="J2875" s="150" t="str">
        <f t="shared" si="134"/>
        <v>557</v>
      </c>
      <c r="K2875" s="150" t="s">
        <v>8330</v>
      </c>
      <c r="L2875" s="149" t="s">
        <v>131</v>
      </c>
      <c r="M2875" s="151">
        <v>320114.25</v>
      </c>
    </row>
    <row r="2876" spans="1:13" s="149" customFormat="1" x14ac:dyDescent="0.25">
      <c r="A2876" s="149" t="s">
        <v>7640</v>
      </c>
      <c r="B2876" s="149" t="s">
        <v>132</v>
      </c>
      <c r="C2876" s="149">
        <v>11</v>
      </c>
      <c r="D2876" s="149">
        <v>100</v>
      </c>
      <c r="E2876" s="149">
        <v>0</v>
      </c>
      <c r="F2876" s="149">
        <v>662000</v>
      </c>
      <c r="G2876" s="149">
        <v>55800</v>
      </c>
      <c r="H2876" s="150" t="str">
        <f t="shared" si="132"/>
        <v>5</v>
      </c>
      <c r="I2876" s="150" t="str">
        <f t="shared" si="133"/>
        <v>55</v>
      </c>
      <c r="J2876" s="150" t="str">
        <f t="shared" si="134"/>
        <v>558</v>
      </c>
      <c r="K2876" s="150" t="s">
        <v>8332</v>
      </c>
      <c r="L2876" s="149" t="s">
        <v>133</v>
      </c>
      <c r="M2876" s="151">
        <v>495.81</v>
      </c>
    </row>
    <row r="2877" spans="1:13" s="149" customFormat="1" x14ac:dyDescent="0.25">
      <c r="A2877" s="149" t="s">
        <v>7640</v>
      </c>
      <c r="B2877" s="149" t="s">
        <v>134</v>
      </c>
      <c r="C2877" s="149">
        <v>11</v>
      </c>
      <c r="D2877" s="149">
        <v>100</v>
      </c>
      <c r="E2877" s="149">
        <v>0</v>
      </c>
      <c r="F2877" s="149">
        <v>662000</v>
      </c>
      <c r="G2877" s="149">
        <v>57552</v>
      </c>
      <c r="H2877" s="150" t="str">
        <f t="shared" si="132"/>
        <v>5</v>
      </c>
      <c r="I2877" s="150" t="str">
        <f t="shared" si="133"/>
        <v>57</v>
      </c>
      <c r="J2877" s="150" t="str">
        <f t="shared" si="134"/>
        <v>575</v>
      </c>
      <c r="K2877" s="150" t="s">
        <v>8394</v>
      </c>
      <c r="L2877" s="149" t="s">
        <v>9564</v>
      </c>
      <c r="M2877" s="151">
        <v>0</v>
      </c>
    </row>
    <row r="2878" spans="1:13" s="149" customFormat="1" x14ac:dyDescent="0.25">
      <c r="A2878" s="149" t="s">
        <v>7640</v>
      </c>
      <c r="B2878" s="149" t="s">
        <v>136</v>
      </c>
      <c r="C2878" s="149">
        <v>11</v>
      </c>
      <c r="D2878" s="149">
        <v>100</v>
      </c>
      <c r="E2878" s="149">
        <v>0</v>
      </c>
      <c r="F2878" s="149">
        <v>671020</v>
      </c>
      <c r="G2878" s="149">
        <v>55105</v>
      </c>
      <c r="H2878" s="150" t="str">
        <f t="shared" si="132"/>
        <v>5</v>
      </c>
      <c r="I2878" s="150" t="str">
        <f t="shared" si="133"/>
        <v>55</v>
      </c>
      <c r="J2878" s="150" t="str">
        <f t="shared" si="134"/>
        <v>551</v>
      </c>
      <c r="K2878" s="150" t="s">
        <v>8002</v>
      </c>
      <c r="L2878" s="149" t="s">
        <v>137</v>
      </c>
      <c r="M2878" s="151">
        <v>22669.200000000001</v>
      </c>
    </row>
    <row r="2879" spans="1:13" s="149" customFormat="1" x14ac:dyDescent="0.25">
      <c r="A2879" s="149" t="s">
        <v>7640</v>
      </c>
      <c r="B2879" s="149" t="s">
        <v>138</v>
      </c>
      <c r="C2879" s="149">
        <v>11</v>
      </c>
      <c r="D2879" s="149">
        <v>100</v>
      </c>
      <c r="E2879" s="149">
        <v>0</v>
      </c>
      <c r="F2879" s="149">
        <v>675020</v>
      </c>
      <c r="G2879" s="149">
        <v>55200</v>
      </c>
      <c r="H2879" s="150" t="str">
        <f t="shared" si="132"/>
        <v>5</v>
      </c>
      <c r="I2879" s="150" t="str">
        <f t="shared" si="133"/>
        <v>55</v>
      </c>
      <c r="J2879" s="150" t="str">
        <f t="shared" si="134"/>
        <v>552</v>
      </c>
      <c r="K2879" s="150" t="s">
        <v>8038</v>
      </c>
      <c r="L2879" s="149" t="s">
        <v>139</v>
      </c>
      <c r="M2879" s="151">
        <v>5125</v>
      </c>
    </row>
    <row r="2880" spans="1:13" s="149" customFormat="1" x14ac:dyDescent="0.25">
      <c r="A2880" s="149" t="s">
        <v>7640</v>
      </c>
      <c r="B2880" s="149" t="s">
        <v>140</v>
      </c>
      <c r="C2880" s="149">
        <v>11</v>
      </c>
      <c r="D2880" s="149">
        <v>100</v>
      </c>
      <c r="E2880" s="149">
        <v>0</v>
      </c>
      <c r="F2880" s="149">
        <v>675020</v>
      </c>
      <c r="G2880" s="149">
        <v>55300</v>
      </c>
      <c r="H2880" s="150" t="str">
        <f t="shared" si="132"/>
        <v>5</v>
      </c>
      <c r="I2880" s="150" t="str">
        <f t="shared" si="133"/>
        <v>55</v>
      </c>
      <c r="J2880" s="150" t="str">
        <f t="shared" si="134"/>
        <v>553</v>
      </c>
      <c r="K2880" s="150" t="s">
        <v>8080</v>
      </c>
      <c r="L2880" s="149" t="s">
        <v>141</v>
      </c>
      <c r="M2880" s="151">
        <v>2865</v>
      </c>
    </row>
    <row r="2881" spans="1:13" s="149" customFormat="1" x14ac:dyDescent="0.25">
      <c r="A2881" s="149" t="s">
        <v>7640</v>
      </c>
      <c r="B2881" s="149" t="s">
        <v>142</v>
      </c>
      <c r="C2881" s="149">
        <v>11</v>
      </c>
      <c r="D2881" s="149">
        <v>100</v>
      </c>
      <c r="E2881" s="149">
        <v>0</v>
      </c>
      <c r="F2881" s="149">
        <v>675020</v>
      </c>
      <c r="G2881" s="149">
        <v>55630</v>
      </c>
      <c r="H2881" s="150" t="str">
        <f t="shared" si="132"/>
        <v>5</v>
      </c>
      <c r="I2881" s="150" t="str">
        <f t="shared" si="133"/>
        <v>55</v>
      </c>
      <c r="J2881" s="150" t="str">
        <f t="shared" si="134"/>
        <v>556</v>
      </c>
      <c r="K2881" s="150" t="s">
        <v>8160</v>
      </c>
      <c r="L2881" s="149" t="s">
        <v>143</v>
      </c>
      <c r="M2881" s="151">
        <v>0</v>
      </c>
    </row>
    <row r="2882" spans="1:13" s="149" customFormat="1" x14ac:dyDescent="0.25">
      <c r="A2882" s="149" t="s">
        <v>7640</v>
      </c>
      <c r="B2882" s="149" t="s">
        <v>144</v>
      </c>
      <c r="C2882" s="149">
        <v>11</v>
      </c>
      <c r="D2882" s="149">
        <v>100</v>
      </c>
      <c r="E2882" s="149">
        <v>0</v>
      </c>
      <c r="F2882" s="149">
        <v>680500</v>
      </c>
      <c r="G2882" s="149">
        <v>51205</v>
      </c>
      <c r="H2882" s="150" t="str">
        <f t="shared" si="132"/>
        <v>5</v>
      </c>
      <c r="I2882" s="150" t="str">
        <f t="shared" si="133"/>
        <v>51</v>
      </c>
      <c r="J2882" s="150" t="str">
        <f t="shared" si="134"/>
        <v>512</v>
      </c>
      <c r="K2882" s="150" t="s">
        <v>8419</v>
      </c>
      <c r="L2882" s="149" t="s">
        <v>145</v>
      </c>
      <c r="M2882" s="151">
        <v>130172.4</v>
      </c>
    </row>
    <row r="2883" spans="1:13" s="149" customFormat="1" x14ac:dyDescent="0.25">
      <c r="A2883" s="149" t="s">
        <v>7640</v>
      </c>
      <c r="B2883" s="149" t="s">
        <v>146</v>
      </c>
      <c r="C2883" s="149">
        <v>11</v>
      </c>
      <c r="D2883" s="149">
        <v>100</v>
      </c>
      <c r="E2883" s="149">
        <v>0</v>
      </c>
      <c r="F2883" s="149">
        <v>680500</v>
      </c>
      <c r="G2883" s="149">
        <v>52120</v>
      </c>
      <c r="H2883" s="150" t="str">
        <f t="shared" ref="H2883:H2946" si="135">LEFT(G2883,1)</f>
        <v>5</v>
      </c>
      <c r="I2883" s="150" t="str">
        <f t="shared" ref="I2883:I2946" si="136">LEFT(G2883,2)</f>
        <v>52</v>
      </c>
      <c r="J2883" s="150" t="str">
        <f t="shared" ref="J2883:J2946" si="137">LEFT(G2883,3)</f>
        <v>521</v>
      </c>
      <c r="K2883" s="150" t="s">
        <v>8420</v>
      </c>
      <c r="L2883" s="149" t="s">
        <v>147</v>
      </c>
      <c r="M2883" s="151">
        <v>38009.360000000001</v>
      </c>
    </row>
    <row r="2884" spans="1:13" s="149" customFormat="1" x14ac:dyDescent="0.25">
      <c r="A2884" s="149" t="s">
        <v>7640</v>
      </c>
      <c r="B2884" s="149" t="s">
        <v>148</v>
      </c>
      <c r="C2884" s="149">
        <v>11</v>
      </c>
      <c r="D2884" s="149">
        <v>100</v>
      </c>
      <c r="E2884" s="149">
        <v>0</v>
      </c>
      <c r="F2884" s="149">
        <v>680500</v>
      </c>
      <c r="G2884" s="149">
        <v>52300</v>
      </c>
      <c r="H2884" s="150" t="str">
        <f t="shared" si="135"/>
        <v>5</v>
      </c>
      <c r="I2884" s="150" t="str">
        <f t="shared" si="136"/>
        <v>52</v>
      </c>
      <c r="J2884" s="150" t="str">
        <f t="shared" si="137"/>
        <v>523</v>
      </c>
      <c r="K2884" s="150" t="s">
        <v>7807</v>
      </c>
      <c r="L2884" s="149" t="s">
        <v>149</v>
      </c>
      <c r="M2884" s="151">
        <v>920.68</v>
      </c>
    </row>
    <row r="2885" spans="1:13" s="149" customFormat="1" x14ac:dyDescent="0.25">
      <c r="A2885" s="149" t="s">
        <v>7640</v>
      </c>
      <c r="B2885" s="149" t="s">
        <v>150</v>
      </c>
      <c r="C2885" s="149">
        <v>11</v>
      </c>
      <c r="D2885" s="149">
        <v>100</v>
      </c>
      <c r="E2885" s="149">
        <v>0</v>
      </c>
      <c r="F2885" s="149">
        <v>680500</v>
      </c>
      <c r="G2885" s="149">
        <v>53120</v>
      </c>
      <c r="H2885" s="150" t="str">
        <f t="shared" si="135"/>
        <v>5</v>
      </c>
      <c r="I2885" s="150" t="str">
        <f t="shared" si="136"/>
        <v>53</v>
      </c>
      <c r="J2885" s="150" t="str">
        <f t="shared" si="137"/>
        <v>531</v>
      </c>
      <c r="K2885" s="150" t="s">
        <v>8421</v>
      </c>
      <c r="L2885" s="149" t="s">
        <v>151</v>
      </c>
      <c r="M2885" s="151">
        <v>726.75</v>
      </c>
    </row>
    <row r="2886" spans="1:13" s="149" customFormat="1" x14ac:dyDescent="0.25">
      <c r="A2886" s="149" t="s">
        <v>7640</v>
      </c>
      <c r="B2886" s="149" t="s">
        <v>152</v>
      </c>
      <c r="C2886" s="149">
        <v>11</v>
      </c>
      <c r="D2886" s="149">
        <v>100</v>
      </c>
      <c r="E2886" s="149">
        <v>0</v>
      </c>
      <c r="F2886" s="149">
        <v>680500</v>
      </c>
      <c r="G2886" s="149">
        <v>53220</v>
      </c>
      <c r="H2886" s="150" t="str">
        <f t="shared" si="135"/>
        <v>5</v>
      </c>
      <c r="I2886" s="150" t="str">
        <f t="shared" si="136"/>
        <v>53</v>
      </c>
      <c r="J2886" s="150" t="str">
        <f t="shared" si="137"/>
        <v>532</v>
      </c>
      <c r="K2886" s="150" t="s">
        <v>8422</v>
      </c>
      <c r="L2886" s="149" t="s">
        <v>153</v>
      </c>
      <c r="M2886" s="151">
        <v>22768.77</v>
      </c>
    </row>
    <row r="2887" spans="1:13" s="149" customFormat="1" x14ac:dyDescent="0.25">
      <c r="A2887" s="149" t="s">
        <v>7640</v>
      </c>
      <c r="B2887" s="149" t="s">
        <v>154</v>
      </c>
      <c r="C2887" s="149">
        <v>11</v>
      </c>
      <c r="D2887" s="149">
        <v>100</v>
      </c>
      <c r="E2887" s="149">
        <v>0</v>
      </c>
      <c r="F2887" s="149">
        <v>680500</v>
      </c>
      <c r="G2887" s="149">
        <v>53320</v>
      </c>
      <c r="H2887" s="150" t="str">
        <f t="shared" si="135"/>
        <v>5</v>
      </c>
      <c r="I2887" s="150" t="str">
        <f t="shared" si="136"/>
        <v>53</v>
      </c>
      <c r="J2887" s="150" t="str">
        <f t="shared" si="137"/>
        <v>533</v>
      </c>
      <c r="K2887" s="150" t="s">
        <v>8423</v>
      </c>
      <c r="L2887" s="149" t="s">
        <v>155</v>
      </c>
      <c r="M2887" s="151">
        <v>6797.25</v>
      </c>
    </row>
    <row r="2888" spans="1:13" s="149" customFormat="1" x14ac:dyDescent="0.25">
      <c r="A2888" s="149" t="s">
        <v>7640</v>
      </c>
      <c r="B2888" s="149" t="s">
        <v>156</v>
      </c>
      <c r="C2888" s="149">
        <v>11</v>
      </c>
      <c r="D2888" s="149">
        <v>100</v>
      </c>
      <c r="E2888" s="149">
        <v>0</v>
      </c>
      <c r="F2888" s="149">
        <v>680500</v>
      </c>
      <c r="G2888" s="149">
        <v>53340</v>
      </c>
      <c r="H2888" s="150" t="str">
        <f t="shared" si="135"/>
        <v>5</v>
      </c>
      <c r="I2888" s="150" t="str">
        <f t="shared" si="136"/>
        <v>53</v>
      </c>
      <c r="J2888" s="150" t="str">
        <f t="shared" si="137"/>
        <v>533</v>
      </c>
      <c r="K2888" s="150" t="s">
        <v>8424</v>
      </c>
      <c r="L2888" s="149" t="s">
        <v>157</v>
      </c>
      <c r="M2888" s="151">
        <v>2442.44</v>
      </c>
    </row>
    <row r="2889" spans="1:13" s="149" customFormat="1" x14ac:dyDescent="0.25">
      <c r="A2889" s="149" t="s">
        <v>7640</v>
      </c>
      <c r="B2889" s="149" t="s">
        <v>158</v>
      </c>
      <c r="C2889" s="149">
        <v>11</v>
      </c>
      <c r="D2889" s="149">
        <v>100</v>
      </c>
      <c r="E2889" s="149">
        <v>0</v>
      </c>
      <c r="F2889" s="149">
        <v>680500</v>
      </c>
      <c r="G2889" s="149">
        <v>53420</v>
      </c>
      <c r="H2889" s="150" t="str">
        <f t="shared" si="135"/>
        <v>5</v>
      </c>
      <c r="I2889" s="150" t="str">
        <f t="shared" si="136"/>
        <v>53</v>
      </c>
      <c r="J2889" s="150" t="str">
        <f t="shared" si="137"/>
        <v>534</v>
      </c>
      <c r="K2889" s="150" t="s">
        <v>8425</v>
      </c>
      <c r="L2889" s="149" t="s">
        <v>159</v>
      </c>
      <c r="M2889" s="151">
        <v>25595.919999999998</v>
      </c>
    </row>
    <row r="2890" spans="1:13" s="149" customFormat="1" x14ac:dyDescent="0.25">
      <c r="A2890" s="149" t="s">
        <v>7640</v>
      </c>
      <c r="B2890" s="149" t="s">
        <v>160</v>
      </c>
      <c r="C2890" s="149">
        <v>11</v>
      </c>
      <c r="D2890" s="149">
        <v>100</v>
      </c>
      <c r="E2890" s="149">
        <v>0</v>
      </c>
      <c r="F2890" s="149">
        <v>680500</v>
      </c>
      <c r="G2890" s="149">
        <v>53520</v>
      </c>
      <c r="H2890" s="150" t="str">
        <f t="shared" si="135"/>
        <v>5</v>
      </c>
      <c r="I2890" s="150" t="str">
        <f t="shared" si="136"/>
        <v>53</v>
      </c>
      <c r="J2890" s="150" t="str">
        <f t="shared" si="137"/>
        <v>535</v>
      </c>
      <c r="K2890" s="150" t="s">
        <v>8426</v>
      </c>
      <c r="L2890" s="149" t="s">
        <v>161</v>
      </c>
      <c r="M2890" s="151">
        <v>84.39</v>
      </c>
    </row>
    <row r="2891" spans="1:13" s="149" customFormat="1" x14ac:dyDescent="0.25">
      <c r="A2891" s="149" t="s">
        <v>7640</v>
      </c>
      <c r="B2891" s="149" t="s">
        <v>162</v>
      </c>
      <c r="C2891" s="149">
        <v>11</v>
      </c>
      <c r="D2891" s="149">
        <v>100</v>
      </c>
      <c r="E2891" s="149">
        <v>0</v>
      </c>
      <c r="F2891" s="149">
        <v>680500</v>
      </c>
      <c r="G2891" s="149">
        <v>53620</v>
      </c>
      <c r="H2891" s="150" t="str">
        <f t="shared" si="135"/>
        <v>5</v>
      </c>
      <c r="I2891" s="150" t="str">
        <f t="shared" si="136"/>
        <v>53</v>
      </c>
      <c r="J2891" s="150" t="str">
        <f t="shared" si="137"/>
        <v>536</v>
      </c>
      <c r="K2891" s="150" t="s">
        <v>8427</v>
      </c>
      <c r="L2891" s="149" t="s">
        <v>163</v>
      </c>
      <c r="M2891" s="151">
        <v>3209.2</v>
      </c>
    </row>
    <row r="2892" spans="1:13" s="149" customFormat="1" x14ac:dyDescent="0.25">
      <c r="A2892" s="149" t="s">
        <v>7640</v>
      </c>
      <c r="B2892" s="149" t="s">
        <v>164</v>
      </c>
      <c r="C2892" s="149">
        <v>11</v>
      </c>
      <c r="D2892" s="149">
        <v>100</v>
      </c>
      <c r="E2892" s="149">
        <v>0</v>
      </c>
      <c r="F2892" s="149">
        <v>680500</v>
      </c>
      <c r="G2892" s="149">
        <v>53902</v>
      </c>
      <c r="H2892" s="150" t="str">
        <f t="shared" si="135"/>
        <v>5</v>
      </c>
      <c r="I2892" s="150" t="str">
        <f t="shared" si="136"/>
        <v>53</v>
      </c>
      <c r="J2892" s="150" t="str">
        <f t="shared" si="137"/>
        <v>539</v>
      </c>
      <c r="K2892" s="150" t="s">
        <v>7905</v>
      </c>
      <c r="L2892" s="149" t="s">
        <v>165</v>
      </c>
      <c r="M2892" s="151">
        <v>616.79999999999995</v>
      </c>
    </row>
    <row r="2893" spans="1:13" s="149" customFormat="1" x14ac:dyDescent="0.25">
      <c r="A2893" s="149" t="s">
        <v>7640</v>
      </c>
      <c r="B2893" s="149" t="s">
        <v>166</v>
      </c>
      <c r="C2893" s="149">
        <v>11</v>
      </c>
      <c r="D2893" s="149">
        <v>100</v>
      </c>
      <c r="E2893" s="149">
        <v>0</v>
      </c>
      <c r="F2893" s="149">
        <v>680500</v>
      </c>
      <c r="G2893" s="149">
        <v>53920</v>
      </c>
      <c r="H2893" s="150" t="str">
        <f t="shared" si="135"/>
        <v>5</v>
      </c>
      <c r="I2893" s="150" t="str">
        <f t="shared" si="136"/>
        <v>53</v>
      </c>
      <c r="J2893" s="150" t="str">
        <f t="shared" si="137"/>
        <v>539</v>
      </c>
      <c r="K2893" s="150" t="s">
        <v>8428</v>
      </c>
      <c r="L2893" s="149" t="s">
        <v>167</v>
      </c>
      <c r="M2893" s="151">
        <v>465.35</v>
      </c>
    </row>
    <row r="2894" spans="1:13" s="149" customFormat="1" x14ac:dyDescent="0.25">
      <c r="A2894" s="149" t="s">
        <v>7640</v>
      </c>
      <c r="B2894" s="149" t="s">
        <v>168</v>
      </c>
      <c r="C2894" s="149">
        <v>11</v>
      </c>
      <c r="D2894" s="149">
        <v>100</v>
      </c>
      <c r="E2894" s="149">
        <v>0</v>
      </c>
      <c r="F2894" s="149">
        <v>680500</v>
      </c>
      <c r="G2894" s="149">
        <v>55550</v>
      </c>
      <c r="H2894" s="150" t="str">
        <f t="shared" si="135"/>
        <v>5</v>
      </c>
      <c r="I2894" s="150" t="str">
        <f t="shared" si="136"/>
        <v>55</v>
      </c>
      <c r="J2894" s="150" t="str">
        <f t="shared" si="137"/>
        <v>555</v>
      </c>
      <c r="K2894" s="150" t="s">
        <v>8127</v>
      </c>
      <c r="L2894" s="149" t="s">
        <v>169</v>
      </c>
      <c r="M2894" s="151">
        <v>192.5</v>
      </c>
    </row>
    <row r="2895" spans="1:13" s="149" customFormat="1" x14ac:dyDescent="0.25">
      <c r="A2895" s="149" t="s">
        <v>7640</v>
      </c>
      <c r="B2895" s="149" t="s">
        <v>170</v>
      </c>
      <c r="C2895" s="149">
        <v>11</v>
      </c>
      <c r="D2895" s="149">
        <v>100</v>
      </c>
      <c r="E2895" s="149">
        <v>0</v>
      </c>
      <c r="F2895" s="149">
        <v>680500</v>
      </c>
      <c r="G2895" s="149">
        <v>55630</v>
      </c>
      <c r="H2895" s="150" t="str">
        <f t="shared" si="135"/>
        <v>5</v>
      </c>
      <c r="I2895" s="150" t="str">
        <f t="shared" si="136"/>
        <v>55</v>
      </c>
      <c r="J2895" s="150" t="str">
        <f t="shared" si="137"/>
        <v>556</v>
      </c>
      <c r="K2895" s="150" t="s">
        <v>8161</v>
      </c>
      <c r="L2895" s="149" t="s">
        <v>171</v>
      </c>
      <c r="M2895" s="151">
        <v>193.8</v>
      </c>
    </row>
    <row r="2896" spans="1:13" s="149" customFormat="1" x14ac:dyDescent="0.25">
      <c r="A2896" s="149" t="s">
        <v>7640</v>
      </c>
      <c r="B2896" s="149" t="s">
        <v>172</v>
      </c>
      <c r="C2896" s="149">
        <v>11</v>
      </c>
      <c r="D2896" s="149">
        <v>100</v>
      </c>
      <c r="E2896" s="149">
        <v>0</v>
      </c>
      <c r="F2896" s="149">
        <v>682000</v>
      </c>
      <c r="G2896" s="149">
        <v>52120</v>
      </c>
      <c r="H2896" s="150" t="str">
        <f t="shared" si="135"/>
        <v>5</v>
      </c>
      <c r="I2896" s="150" t="str">
        <f t="shared" si="136"/>
        <v>52</v>
      </c>
      <c r="J2896" s="150" t="str">
        <f t="shared" si="137"/>
        <v>521</v>
      </c>
      <c r="K2896" s="150" t="s">
        <v>8429</v>
      </c>
      <c r="L2896" s="149" t="s">
        <v>173</v>
      </c>
      <c r="M2896" s="151">
        <v>14642.66</v>
      </c>
    </row>
    <row r="2897" spans="1:13" s="149" customFormat="1" x14ac:dyDescent="0.25">
      <c r="A2897" s="149" t="s">
        <v>7640</v>
      </c>
      <c r="B2897" s="149" t="s">
        <v>174</v>
      </c>
      <c r="C2897" s="149">
        <v>11</v>
      </c>
      <c r="D2897" s="149">
        <v>100</v>
      </c>
      <c r="E2897" s="149">
        <v>0</v>
      </c>
      <c r="F2897" s="149">
        <v>682000</v>
      </c>
      <c r="G2897" s="149">
        <v>52300</v>
      </c>
      <c r="H2897" s="150" t="str">
        <f t="shared" si="135"/>
        <v>5</v>
      </c>
      <c r="I2897" s="150" t="str">
        <f t="shared" si="136"/>
        <v>52</v>
      </c>
      <c r="J2897" s="150" t="str">
        <f t="shared" si="137"/>
        <v>523</v>
      </c>
      <c r="K2897" s="150" t="s">
        <v>7808</v>
      </c>
      <c r="L2897" s="149" t="s">
        <v>175</v>
      </c>
      <c r="M2897" s="151">
        <v>43.35</v>
      </c>
    </row>
    <row r="2898" spans="1:13" s="149" customFormat="1" x14ac:dyDescent="0.25">
      <c r="A2898" s="149" t="s">
        <v>7640</v>
      </c>
      <c r="B2898" s="149" t="s">
        <v>176</v>
      </c>
      <c r="C2898" s="149">
        <v>11</v>
      </c>
      <c r="D2898" s="149">
        <v>100</v>
      </c>
      <c r="E2898" s="149">
        <v>0</v>
      </c>
      <c r="F2898" s="149">
        <v>682000</v>
      </c>
      <c r="G2898" s="149">
        <v>53220</v>
      </c>
      <c r="H2898" s="150" t="str">
        <f t="shared" si="135"/>
        <v>5</v>
      </c>
      <c r="I2898" s="150" t="str">
        <f t="shared" si="136"/>
        <v>53</v>
      </c>
      <c r="J2898" s="150" t="str">
        <f t="shared" si="137"/>
        <v>532</v>
      </c>
      <c r="K2898" s="150" t="s">
        <v>8430</v>
      </c>
      <c r="L2898" s="149" t="s">
        <v>177</v>
      </c>
      <c r="M2898" s="151">
        <v>3031.03</v>
      </c>
    </row>
    <row r="2899" spans="1:13" s="149" customFormat="1" x14ac:dyDescent="0.25">
      <c r="A2899" s="149" t="s">
        <v>7640</v>
      </c>
      <c r="B2899" s="149" t="s">
        <v>178</v>
      </c>
      <c r="C2899" s="149">
        <v>11</v>
      </c>
      <c r="D2899" s="149">
        <v>100</v>
      </c>
      <c r="E2899" s="149">
        <v>0</v>
      </c>
      <c r="F2899" s="149">
        <v>682000</v>
      </c>
      <c r="G2899" s="149">
        <v>53320</v>
      </c>
      <c r="H2899" s="150" t="str">
        <f t="shared" si="135"/>
        <v>5</v>
      </c>
      <c r="I2899" s="150" t="str">
        <f t="shared" si="136"/>
        <v>53</v>
      </c>
      <c r="J2899" s="150" t="str">
        <f t="shared" si="137"/>
        <v>533</v>
      </c>
      <c r="K2899" s="150" t="s">
        <v>8431</v>
      </c>
      <c r="L2899" s="149" t="s">
        <v>179</v>
      </c>
      <c r="M2899" s="151">
        <v>894.62</v>
      </c>
    </row>
    <row r="2900" spans="1:13" s="149" customFormat="1" x14ac:dyDescent="0.25">
      <c r="A2900" s="149" t="s">
        <v>7640</v>
      </c>
      <c r="B2900" s="149" t="s">
        <v>180</v>
      </c>
      <c r="C2900" s="149">
        <v>11</v>
      </c>
      <c r="D2900" s="149">
        <v>100</v>
      </c>
      <c r="E2900" s="149">
        <v>0</v>
      </c>
      <c r="F2900" s="149">
        <v>682000</v>
      </c>
      <c r="G2900" s="149">
        <v>53340</v>
      </c>
      <c r="H2900" s="150" t="str">
        <f t="shared" si="135"/>
        <v>5</v>
      </c>
      <c r="I2900" s="150" t="str">
        <f t="shared" si="136"/>
        <v>53</v>
      </c>
      <c r="J2900" s="150" t="str">
        <f t="shared" si="137"/>
        <v>533</v>
      </c>
      <c r="K2900" s="150" t="s">
        <v>8432</v>
      </c>
      <c r="L2900" s="149" t="s">
        <v>181</v>
      </c>
      <c r="M2900" s="151">
        <v>209.26</v>
      </c>
    </row>
    <row r="2901" spans="1:13" s="149" customFormat="1" x14ac:dyDescent="0.25">
      <c r="A2901" s="149" t="s">
        <v>7640</v>
      </c>
      <c r="B2901" s="149" t="s">
        <v>182</v>
      </c>
      <c r="C2901" s="149">
        <v>11</v>
      </c>
      <c r="D2901" s="149">
        <v>100</v>
      </c>
      <c r="E2901" s="149">
        <v>0</v>
      </c>
      <c r="F2901" s="149">
        <v>682000</v>
      </c>
      <c r="G2901" s="149">
        <v>53420</v>
      </c>
      <c r="H2901" s="150" t="str">
        <f t="shared" si="135"/>
        <v>5</v>
      </c>
      <c r="I2901" s="150" t="str">
        <f t="shared" si="136"/>
        <v>53</v>
      </c>
      <c r="J2901" s="150" t="str">
        <f t="shared" si="137"/>
        <v>534</v>
      </c>
      <c r="K2901" s="150" t="s">
        <v>8433</v>
      </c>
      <c r="L2901" s="149" t="s">
        <v>183</v>
      </c>
      <c r="M2901" s="151">
        <v>4930.83</v>
      </c>
    </row>
    <row r="2902" spans="1:13" s="149" customFormat="1" x14ac:dyDescent="0.25">
      <c r="A2902" s="149" t="s">
        <v>7640</v>
      </c>
      <c r="B2902" s="149" t="s">
        <v>184</v>
      </c>
      <c r="C2902" s="149">
        <v>11</v>
      </c>
      <c r="D2902" s="149">
        <v>100</v>
      </c>
      <c r="E2902" s="149">
        <v>0</v>
      </c>
      <c r="F2902" s="149">
        <v>682000</v>
      </c>
      <c r="G2902" s="149">
        <v>53520</v>
      </c>
      <c r="H2902" s="150" t="str">
        <f t="shared" si="135"/>
        <v>5</v>
      </c>
      <c r="I2902" s="150" t="str">
        <f t="shared" si="136"/>
        <v>53</v>
      </c>
      <c r="J2902" s="150" t="str">
        <f t="shared" si="137"/>
        <v>535</v>
      </c>
      <c r="K2902" s="150" t="s">
        <v>8434</v>
      </c>
      <c r="L2902" s="149" t="s">
        <v>185</v>
      </c>
      <c r="M2902" s="151">
        <v>7.22</v>
      </c>
    </row>
    <row r="2903" spans="1:13" s="149" customFormat="1" x14ac:dyDescent="0.25">
      <c r="A2903" s="149" t="s">
        <v>7640</v>
      </c>
      <c r="B2903" s="149" t="s">
        <v>186</v>
      </c>
      <c r="C2903" s="149">
        <v>11</v>
      </c>
      <c r="D2903" s="149">
        <v>100</v>
      </c>
      <c r="E2903" s="149">
        <v>0</v>
      </c>
      <c r="F2903" s="149">
        <v>682000</v>
      </c>
      <c r="G2903" s="149">
        <v>53620</v>
      </c>
      <c r="H2903" s="150" t="str">
        <f t="shared" si="135"/>
        <v>5</v>
      </c>
      <c r="I2903" s="150" t="str">
        <f t="shared" si="136"/>
        <v>53</v>
      </c>
      <c r="J2903" s="150" t="str">
        <f t="shared" si="137"/>
        <v>536</v>
      </c>
      <c r="K2903" s="150" t="s">
        <v>8435</v>
      </c>
      <c r="L2903" s="149" t="s">
        <v>187</v>
      </c>
      <c r="M2903" s="151">
        <v>277.66000000000003</v>
      </c>
    </row>
    <row r="2904" spans="1:13" s="149" customFormat="1" x14ac:dyDescent="0.25">
      <c r="A2904" s="149" t="s">
        <v>7640</v>
      </c>
      <c r="B2904" s="149" t="s">
        <v>188</v>
      </c>
      <c r="C2904" s="149">
        <v>11</v>
      </c>
      <c r="D2904" s="149">
        <v>100</v>
      </c>
      <c r="E2904" s="149">
        <v>0</v>
      </c>
      <c r="F2904" s="149">
        <v>682000</v>
      </c>
      <c r="G2904" s="149">
        <v>53920</v>
      </c>
      <c r="H2904" s="150" t="str">
        <f t="shared" si="135"/>
        <v>5</v>
      </c>
      <c r="I2904" s="150" t="str">
        <f t="shared" si="136"/>
        <v>53</v>
      </c>
      <c r="J2904" s="150" t="str">
        <f t="shared" si="137"/>
        <v>539</v>
      </c>
      <c r="K2904" s="150" t="s">
        <v>8436</v>
      </c>
      <c r="L2904" s="149" t="s">
        <v>189</v>
      </c>
      <c r="M2904" s="151">
        <v>465.34</v>
      </c>
    </row>
    <row r="2905" spans="1:13" s="149" customFormat="1" x14ac:dyDescent="0.25">
      <c r="A2905" s="149" t="s">
        <v>7640</v>
      </c>
      <c r="B2905" s="149" t="s">
        <v>190</v>
      </c>
      <c r="C2905" s="149">
        <v>11</v>
      </c>
      <c r="D2905" s="149">
        <v>100</v>
      </c>
      <c r="E2905" s="149">
        <v>0</v>
      </c>
      <c r="F2905" s="149">
        <v>682000</v>
      </c>
      <c r="G2905" s="149">
        <v>55630</v>
      </c>
      <c r="H2905" s="150" t="str">
        <f t="shared" si="135"/>
        <v>5</v>
      </c>
      <c r="I2905" s="150" t="str">
        <f t="shared" si="136"/>
        <v>55</v>
      </c>
      <c r="J2905" s="150" t="str">
        <f t="shared" si="137"/>
        <v>556</v>
      </c>
      <c r="K2905" s="150" t="s">
        <v>8162</v>
      </c>
      <c r="L2905" s="149" t="s">
        <v>191</v>
      </c>
      <c r="M2905" s="151">
        <v>15.23</v>
      </c>
    </row>
    <row r="2906" spans="1:13" s="149" customFormat="1" x14ac:dyDescent="0.25">
      <c r="A2906" s="149" t="s">
        <v>7640</v>
      </c>
      <c r="B2906" s="149" t="s">
        <v>192</v>
      </c>
      <c r="C2906" s="149">
        <v>11</v>
      </c>
      <c r="D2906" s="149">
        <v>100</v>
      </c>
      <c r="E2906" s="149">
        <v>0</v>
      </c>
      <c r="F2906" s="149">
        <v>684000</v>
      </c>
      <c r="G2906" s="149">
        <v>51205</v>
      </c>
      <c r="H2906" s="150" t="str">
        <f t="shared" si="135"/>
        <v>5</v>
      </c>
      <c r="I2906" s="150" t="str">
        <f t="shared" si="136"/>
        <v>51</v>
      </c>
      <c r="J2906" s="150" t="str">
        <f t="shared" si="137"/>
        <v>512</v>
      </c>
      <c r="K2906" s="150" t="s">
        <v>8437</v>
      </c>
      <c r="L2906" s="149" t="s">
        <v>193</v>
      </c>
      <c r="M2906" s="151">
        <v>130172.39</v>
      </c>
    </row>
    <row r="2907" spans="1:13" s="149" customFormat="1" x14ac:dyDescent="0.25">
      <c r="A2907" s="149" t="s">
        <v>7640</v>
      </c>
      <c r="B2907" s="149" t="s">
        <v>194</v>
      </c>
      <c r="C2907" s="149">
        <v>11</v>
      </c>
      <c r="D2907" s="149">
        <v>100</v>
      </c>
      <c r="E2907" s="149">
        <v>0</v>
      </c>
      <c r="F2907" s="149">
        <v>684000</v>
      </c>
      <c r="G2907" s="149">
        <v>52300</v>
      </c>
      <c r="H2907" s="150" t="str">
        <f t="shared" si="135"/>
        <v>5</v>
      </c>
      <c r="I2907" s="150" t="str">
        <f t="shared" si="136"/>
        <v>52</v>
      </c>
      <c r="J2907" s="150" t="str">
        <f t="shared" si="137"/>
        <v>523</v>
      </c>
      <c r="K2907" s="150" t="s">
        <v>7809</v>
      </c>
      <c r="L2907" s="149" t="s">
        <v>195</v>
      </c>
      <c r="M2907" s="151">
        <v>876.9</v>
      </c>
    </row>
    <row r="2908" spans="1:13" s="149" customFormat="1" x14ac:dyDescent="0.25">
      <c r="A2908" s="149" t="s">
        <v>7640</v>
      </c>
      <c r="B2908" s="149" t="s">
        <v>196</v>
      </c>
      <c r="C2908" s="149">
        <v>11</v>
      </c>
      <c r="D2908" s="149">
        <v>100</v>
      </c>
      <c r="E2908" s="149">
        <v>0</v>
      </c>
      <c r="F2908" s="149">
        <v>684000</v>
      </c>
      <c r="G2908" s="149">
        <v>53120</v>
      </c>
      <c r="H2908" s="150" t="str">
        <f t="shared" si="135"/>
        <v>5</v>
      </c>
      <c r="I2908" s="150" t="str">
        <f t="shared" si="136"/>
        <v>53</v>
      </c>
      <c r="J2908" s="150" t="str">
        <f t="shared" si="137"/>
        <v>531</v>
      </c>
      <c r="K2908" s="150" t="s">
        <v>8438</v>
      </c>
      <c r="L2908" s="149" t="s">
        <v>197</v>
      </c>
      <c r="M2908" s="151">
        <v>726.75</v>
      </c>
    </row>
    <row r="2909" spans="1:13" s="149" customFormat="1" x14ac:dyDescent="0.25">
      <c r="A2909" s="149" t="s">
        <v>7640</v>
      </c>
      <c r="B2909" s="149" t="s">
        <v>198</v>
      </c>
      <c r="C2909" s="149">
        <v>11</v>
      </c>
      <c r="D2909" s="149">
        <v>100</v>
      </c>
      <c r="E2909" s="149">
        <v>0</v>
      </c>
      <c r="F2909" s="149">
        <v>684000</v>
      </c>
      <c r="G2909" s="149">
        <v>53220</v>
      </c>
      <c r="H2909" s="150" t="str">
        <f t="shared" si="135"/>
        <v>5</v>
      </c>
      <c r="I2909" s="150" t="str">
        <f t="shared" si="136"/>
        <v>53</v>
      </c>
      <c r="J2909" s="150" t="str">
        <f t="shared" si="137"/>
        <v>532</v>
      </c>
      <c r="K2909" s="150" t="s">
        <v>8439</v>
      </c>
      <c r="L2909" s="149" t="s">
        <v>199</v>
      </c>
      <c r="M2909" s="151">
        <v>14900.81</v>
      </c>
    </row>
    <row r="2910" spans="1:13" s="149" customFormat="1" x14ac:dyDescent="0.25">
      <c r="A2910" s="149" t="s">
        <v>7640</v>
      </c>
      <c r="B2910" s="149" t="s">
        <v>200</v>
      </c>
      <c r="C2910" s="149">
        <v>11</v>
      </c>
      <c r="D2910" s="149">
        <v>100</v>
      </c>
      <c r="E2910" s="149">
        <v>0</v>
      </c>
      <c r="F2910" s="149">
        <v>684000</v>
      </c>
      <c r="G2910" s="149">
        <v>53320</v>
      </c>
      <c r="H2910" s="150" t="str">
        <f t="shared" si="135"/>
        <v>5</v>
      </c>
      <c r="I2910" s="150" t="str">
        <f t="shared" si="136"/>
        <v>53</v>
      </c>
      <c r="J2910" s="150" t="str">
        <f t="shared" si="137"/>
        <v>533</v>
      </c>
      <c r="K2910" s="150" t="s">
        <v>8440</v>
      </c>
      <c r="L2910" s="149" t="s">
        <v>201</v>
      </c>
      <c r="M2910" s="151">
        <v>4501.5</v>
      </c>
    </row>
    <row r="2911" spans="1:13" s="149" customFormat="1" x14ac:dyDescent="0.25">
      <c r="A2911" s="149" t="s">
        <v>7640</v>
      </c>
      <c r="B2911" s="149" t="s">
        <v>202</v>
      </c>
      <c r="C2911" s="149">
        <v>11</v>
      </c>
      <c r="D2911" s="149">
        <v>100</v>
      </c>
      <c r="E2911" s="149">
        <v>0</v>
      </c>
      <c r="F2911" s="149">
        <v>684000</v>
      </c>
      <c r="G2911" s="149">
        <v>53340</v>
      </c>
      <c r="H2911" s="150" t="str">
        <f t="shared" si="135"/>
        <v>5</v>
      </c>
      <c r="I2911" s="150" t="str">
        <f t="shared" si="136"/>
        <v>53</v>
      </c>
      <c r="J2911" s="150" t="str">
        <f t="shared" si="137"/>
        <v>533</v>
      </c>
      <c r="K2911" s="150" t="s">
        <v>8441</v>
      </c>
      <c r="L2911" s="149" t="s">
        <v>203</v>
      </c>
      <c r="M2911" s="151">
        <v>1905.52</v>
      </c>
    </row>
    <row r="2912" spans="1:13" s="149" customFormat="1" x14ac:dyDescent="0.25">
      <c r="A2912" s="149" t="s">
        <v>7640</v>
      </c>
      <c r="B2912" s="149" t="s">
        <v>204</v>
      </c>
      <c r="C2912" s="149">
        <v>11</v>
      </c>
      <c r="D2912" s="149">
        <v>100</v>
      </c>
      <c r="E2912" s="149">
        <v>0</v>
      </c>
      <c r="F2912" s="149">
        <v>684000</v>
      </c>
      <c r="G2912" s="149">
        <v>53420</v>
      </c>
      <c r="H2912" s="150" t="str">
        <f t="shared" si="135"/>
        <v>5</v>
      </c>
      <c r="I2912" s="150" t="str">
        <f t="shared" si="136"/>
        <v>53</v>
      </c>
      <c r="J2912" s="150" t="str">
        <f t="shared" si="137"/>
        <v>534</v>
      </c>
      <c r="K2912" s="150" t="s">
        <v>8442</v>
      </c>
      <c r="L2912" s="149" t="s">
        <v>205</v>
      </c>
      <c r="M2912" s="151">
        <v>12548.31</v>
      </c>
    </row>
    <row r="2913" spans="1:13" s="149" customFormat="1" x14ac:dyDescent="0.25">
      <c r="A2913" s="149" t="s">
        <v>7640</v>
      </c>
      <c r="B2913" s="149" t="s">
        <v>206</v>
      </c>
      <c r="C2913" s="149">
        <v>11</v>
      </c>
      <c r="D2913" s="149">
        <v>100</v>
      </c>
      <c r="E2913" s="149">
        <v>0</v>
      </c>
      <c r="F2913" s="149">
        <v>684000</v>
      </c>
      <c r="G2913" s="149">
        <v>53520</v>
      </c>
      <c r="H2913" s="150" t="str">
        <f t="shared" si="135"/>
        <v>5</v>
      </c>
      <c r="I2913" s="150" t="str">
        <f t="shared" si="136"/>
        <v>53</v>
      </c>
      <c r="J2913" s="150" t="str">
        <f t="shared" si="137"/>
        <v>535</v>
      </c>
      <c r="K2913" s="150" t="s">
        <v>8443</v>
      </c>
      <c r="L2913" s="149" t="s">
        <v>207</v>
      </c>
      <c r="M2913" s="151">
        <v>65.900000000000006</v>
      </c>
    </row>
    <row r="2914" spans="1:13" s="149" customFormat="1" x14ac:dyDescent="0.25">
      <c r="A2914" s="149" t="s">
        <v>7640</v>
      </c>
      <c r="B2914" s="149" t="s">
        <v>208</v>
      </c>
      <c r="C2914" s="149">
        <v>11</v>
      </c>
      <c r="D2914" s="149">
        <v>100</v>
      </c>
      <c r="E2914" s="149">
        <v>0</v>
      </c>
      <c r="F2914" s="149">
        <v>684000</v>
      </c>
      <c r="G2914" s="149">
        <v>53620</v>
      </c>
      <c r="H2914" s="150" t="str">
        <f t="shared" si="135"/>
        <v>5</v>
      </c>
      <c r="I2914" s="150" t="str">
        <f t="shared" si="136"/>
        <v>53</v>
      </c>
      <c r="J2914" s="150" t="str">
        <f t="shared" si="137"/>
        <v>536</v>
      </c>
      <c r="K2914" s="150" t="s">
        <v>8444</v>
      </c>
      <c r="L2914" s="149" t="s">
        <v>209</v>
      </c>
      <c r="M2914" s="151">
        <v>2489.73</v>
      </c>
    </row>
    <row r="2915" spans="1:13" s="149" customFormat="1" x14ac:dyDescent="0.25">
      <c r="A2915" s="149" t="s">
        <v>7640</v>
      </c>
      <c r="B2915" s="149" t="s">
        <v>210</v>
      </c>
      <c r="C2915" s="149">
        <v>11</v>
      </c>
      <c r="D2915" s="149">
        <v>100</v>
      </c>
      <c r="E2915" s="149">
        <v>0</v>
      </c>
      <c r="F2915" s="149">
        <v>684000</v>
      </c>
      <c r="G2915" s="149">
        <v>53902</v>
      </c>
      <c r="H2915" s="150" t="str">
        <f t="shared" si="135"/>
        <v>5</v>
      </c>
      <c r="I2915" s="150" t="str">
        <f t="shared" si="136"/>
        <v>53</v>
      </c>
      <c r="J2915" s="150" t="str">
        <f t="shared" si="137"/>
        <v>539</v>
      </c>
      <c r="K2915" s="150" t="s">
        <v>7906</v>
      </c>
      <c r="L2915" s="149" t="s">
        <v>211</v>
      </c>
      <c r="M2915" s="151">
        <v>616.79999999999995</v>
      </c>
    </row>
    <row r="2916" spans="1:13" s="149" customFormat="1" x14ac:dyDescent="0.25">
      <c r="A2916" s="149" t="s">
        <v>7640</v>
      </c>
      <c r="B2916" s="149" t="s">
        <v>212</v>
      </c>
      <c r="C2916" s="149">
        <v>11</v>
      </c>
      <c r="D2916" s="149">
        <v>100</v>
      </c>
      <c r="E2916" s="149">
        <v>0</v>
      </c>
      <c r="F2916" s="149">
        <v>684000</v>
      </c>
      <c r="G2916" s="149">
        <v>55550</v>
      </c>
      <c r="H2916" s="150" t="str">
        <f t="shared" si="135"/>
        <v>5</v>
      </c>
      <c r="I2916" s="150" t="str">
        <f t="shared" si="136"/>
        <v>55</v>
      </c>
      <c r="J2916" s="150" t="str">
        <f t="shared" si="137"/>
        <v>555</v>
      </c>
      <c r="K2916" s="150" t="s">
        <v>8128</v>
      </c>
      <c r="L2916" s="149" t="s">
        <v>213</v>
      </c>
      <c r="M2916" s="151">
        <v>192.5</v>
      </c>
    </row>
    <row r="2917" spans="1:13" s="149" customFormat="1" x14ac:dyDescent="0.25">
      <c r="A2917" s="149" t="s">
        <v>7640</v>
      </c>
      <c r="B2917" s="149" t="s">
        <v>214</v>
      </c>
      <c r="C2917" s="149">
        <v>11</v>
      </c>
      <c r="D2917" s="149">
        <v>100</v>
      </c>
      <c r="E2917" s="149">
        <v>0</v>
      </c>
      <c r="F2917" s="149">
        <v>684000</v>
      </c>
      <c r="G2917" s="149">
        <v>55630</v>
      </c>
      <c r="H2917" s="150" t="str">
        <f t="shared" si="135"/>
        <v>5</v>
      </c>
      <c r="I2917" s="150" t="str">
        <f t="shared" si="136"/>
        <v>55</v>
      </c>
      <c r="J2917" s="150" t="str">
        <f t="shared" si="137"/>
        <v>556</v>
      </c>
      <c r="K2917" s="150" t="s">
        <v>8163</v>
      </c>
      <c r="L2917" s="149" t="s">
        <v>215</v>
      </c>
      <c r="M2917" s="151">
        <v>178.57</v>
      </c>
    </row>
    <row r="2918" spans="1:13" s="149" customFormat="1" x14ac:dyDescent="0.25">
      <c r="A2918" s="149" t="s">
        <v>7640</v>
      </c>
      <c r="B2918" s="149" t="s">
        <v>9565</v>
      </c>
      <c r="C2918" s="149">
        <v>11</v>
      </c>
      <c r="D2918" s="149">
        <v>120</v>
      </c>
      <c r="E2918" s="149">
        <v>2</v>
      </c>
      <c r="F2918" s="149">
        <v>10100</v>
      </c>
      <c r="G2918" s="149">
        <v>51311</v>
      </c>
      <c r="H2918" s="150" t="str">
        <f t="shared" si="135"/>
        <v>5</v>
      </c>
      <c r="I2918" s="150" t="str">
        <f t="shared" si="136"/>
        <v>51</v>
      </c>
      <c r="J2918" s="150" t="str">
        <f t="shared" si="137"/>
        <v>513</v>
      </c>
      <c r="K2918" s="150" t="s">
        <v>7693</v>
      </c>
      <c r="L2918" s="149" t="s">
        <v>2225</v>
      </c>
      <c r="M2918" s="151">
        <v>624.05999999999995</v>
      </c>
    </row>
    <row r="2919" spans="1:13" s="149" customFormat="1" x14ac:dyDescent="0.25">
      <c r="A2919" s="149" t="s">
        <v>7640</v>
      </c>
      <c r="B2919" s="149" t="s">
        <v>9566</v>
      </c>
      <c r="C2919" s="149">
        <v>11</v>
      </c>
      <c r="D2919" s="149">
        <v>120</v>
      </c>
      <c r="E2919" s="149">
        <v>2</v>
      </c>
      <c r="F2919" s="149">
        <v>10100</v>
      </c>
      <c r="G2919" s="149">
        <v>53310</v>
      </c>
      <c r="H2919" s="150" t="str">
        <f t="shared" si="135"/>
        <v>5</v>
      </c>
      <c r="I2919" s="150" t="str">
        <f t="shared" si="136"/>
        <v>53</v>
      </c>
      <c r="J2919" s="150" t="str">
        <f t="shared" si="137"/>
        <v>533</v>
      </c>
      <c r="K2919" s="150" t="s">
        <v>8445</v>
      </c>
      <c r="L2919" s="149" t="s">
        <v>2239</v>
      </c>
      <c r="M2919" s="151">
        <v>38.69</v>
      </c>
    </row>
    <row r="2920" spans="1:13" s="149" customFormat="1" x14ac:dyDescent="0.25">
      <c r="A2920" s="149" t="s">
        <v>7640</v>
      </c>
      <c r="B2920" s="149" t="s">
        <v>9567</v>
      </c>
      <c r="C2920" s="149">
        <v>11</v>
      </c>
      <c r="D2920" s="149">
        <v>120</v>
      </c>
      <c r="E2920" s="149">
        <v>2</v>
      </c>
      <c r="F2920" s="149">
        <v>10100</v>
      </c>
      <c r="G2920" s="149">
        <v>53330</v>
      </c>
      <c r="H2920" s="150" t="str">
        <f t="shared" si="135"/>
        <v>5</v>
      </c>
      <c r="I2920" s="150" t="str">
        <f t="shared" si="136"/>
        <v>53</v>
      </c>
      <c r="J2920" s="150" t="str">
        <f t="shared" si="137"/>
        <v>533</v>
      </c>
      <c r="K2920" s="150" t="s">
        <v>8446</v>
      </c>
      <c r="L2920" s="149" t="s">
        <v>2243</v>
      </c>
      <c r="M2920" s="151">
        <v>9.0500000000000007</v>
      </c>
    </row>
    <row r="2921" spans="1:13" s="149" customFormat="1" x14ac:dyDescent="0.25">
      <c r="A2921" s="149" t="s">
        <v>7640</v>
      </c>
      <c r="B2921" s="149" t="s">
        <v>9568</v>
      </c>
      <c r="C2921" s="149">
        <v>11</v>
      </c>
      <c r="D2921" s="149">
        <v>120</v>
      </c>
      <c r="E2921" s="149">
        <v>2</v>
      </c>
      <c r="F2921" s="149">
        <v>10100</v>
      </c>
      <c r="G2921" s="149">
        <v>53510</v>
      </c>
      <c r="H2921" s="150" t="str">
        <f t="shared" si="135"/>
        <v>5</v>
      </c>
      <c r="I2921" s="150" t="str">
        <f t="shared" si="136"/>
        <v>53</v>
      </c>
      <c r="J2921" s="150" t="str">
        <f t="shared" si="137"/>
        <v>535</v>
      </c>
      <c r="K2921" s="150" t="s">
        <v>8447</v>
      </c>
      <c r="L2921" s="149" t="s">
        <v>2249</v>
      </c>
      <c r="M2921" s="151">
        <v>0.31</v>
      </c>
    </row>
    <row r="2922" spans="1:13" s="149" customFormat="1" x14ac:dyDescent="0.25">
      <c r="A2922" s="149" t="s">
        <v>7640</v>
      </c>
      <c r="B2922" s="149" t="s">
        <v>9569</v>
      </c>
      <c r="C2922" s="149">
        <v>11</v>
      </c>
      <c r="D2922" s="149">
        <v>120</v>
      </c>
      <c r="E2922" s="149">
        <v>2</v>
      </c>
      <c r="F2922" s="149">
        <v>10100</v>
      </c>
      <c r="G2922" s="149">
        <v>53610</v>
      </c>
      <c r="H2922" s="150" t="str">
        <f t="shared" si="135"/>
        <v>5</v>
      </c>
      <c r="I2922" s="150" t="str">
        <f t="shared" si="136"/>
        <v>53</v>
      </c>
      <c r="J2922" s="150" t="str">
        <f t="shared" si="137"/>
        <v>536</v>
      </c>
      <c r="K2922" s="150" t="s">
        <v>8448</v>
      </c>
      <c r="L2922" s="149" t="s">
        <v>2253</v>
      </c>
      <c r="M2922" s="151">
        <v>11.8</v>
      </c>
    </row>
    <row r="2923" spans="1:13" s="149" customFormat="1" x14ac:dyDescent="0.25">
      <c r="A2923" s="149" t="s">
        <v>7640</v>
      </c>
      <c r="B2923" s="149" t="s">
        <v>216</v>
      </c>
      <c r="C2923" s="149">
        <v>11</v>
      </c>
      <c r="D2923" s="149">
        <v>120</v>
      </c>
      <c r="E2923" s="149">
        <v>2</v>
      </c>
      <c r="F2923" s="149">
        <v>40110</v>
      </c>
      <c r="G2923" s="149">
        <v>51311</v>
      </c>
      <c r="H2923" s="150" t="str">
        <f t="shared" si="135"/>
        <v>5</v>
      </c>
      <c r="I2923" s="150" t="str">
        <f t="shared" si="136"/>
        <v>51</v>
      </c>
      <c r="J2923" s="150" t="str">
        <f t="shared" si="137"/>
        <v>513</v>
      </c>
      <c r="K2923" s="150" t="s">
        <v>7694</v>
      </c>
      <c r="L2923" s="149" t="s">
        <v>217</v>
      </c>
      <c r="M2923" s="151">
        <v>19822.93</v>
      </c>
    </row>
    <row r="2924" spans="1:13" s="149" customFormat="1" x14ac:dyDescent="0.25">
      <c r="A2924" s="149" t="s">
        <v>7640</v>
      </c>
      <c r="B2924" s="149" t="s">
        <v>218</v>
      </c>
      <c r="C2924" s="149">
        <v>11</v>
      </c>
      <c r="D2924" s="149">
        <v>120</v>
      </c>
      <c r="E2924" s="149">
        <v>2</v>
      </c>
      <c r="F2924" s="149">
        <v>40110</v>
      </c>
      <c r="G2924" s="149">
        <v>53110</v>
      </c>
      <c r="H2924" s="150" t="str">
        <f t="shared" si="135"/>
        <v>5</v>
      </c>
      <c r="I2924" s="150" t="str">
        <f t="shared" si="136"/>
        <v>53</v>
      </c>
      <c r="J2924" s="150" t="str">
        <f t="shared" si="137"/>
        <v>531</v>
      </c>
      <c r="K2924" s="150" t="s">
        <v>8449</v>
      </c>
      <c r="L2924" s="149" t="s">
        <v>219</v>
      </c>
      <c r="M2924" s="151">
        <v>671.22</v>
      </c>
    </row>
    <row r="2925" spans="1:13" s="149" customFormat="1" x14ac:dyDescent="0.25">
      <c r="A2925" s="149" t="s">
        <v>7640</v>
      </c>
      <c r="B2925" s="149" t="s">
        <v>220</v>
      </c>
      <c r="C2925" s="149">
        <v>11</v>
      </c>
      <c r="D2925" s="149">
        <v>120</v>
      </c>
      <c r="E2925" s="149">
        <v>2</v>
      </c>
      <c r="F2925" s="149">
        <v>40110</v>
      </c>
      <c r="G2925" s="149">
        <v>53310</v>
      </c>
      <c r="H2925" s="150" t="str">
        <f t="shared" si="135"/>
        <v>5</v>
      </c>
      <c r="I2925" s="150" t="str">
        <f t="shared" si="136"/>
        <v>53</v>
      </c>
      <c r="J2925" s="150" t="str">
        <f t="shared" si="137"/>
        <v>533</v>
      </c>
      <c r="K2925" s="150" t="s">
        <v>8450</v>
      </c>
      <c r="L2925" s="149" t="s">
        <v>221</v>
      </c>
      <c r="M2925" s="151">
        <v>144.87</v>
      </c>
    </row>
    <row r="2926" spans="1:13" s="149" customFormat="1" x14ac:dyDescent="0.25">
      <c r="A2926" s="149" t="s">
        <v>7640</v>
      </c>
      <c r="B2926" s="149" t="s">
        <v>222</v>
      </c>
      <c r="C2926" s="149">
        <v>11</v>
      </c>
      <c r="D2926" s="149">
        <v>120</v>
      </c>
      <c r="E2926" s="149">
        <v>2</v>
      </c>
      <c r="F2926" s="149">
        <v>40110</v>
      </c>
      <c r="G2926" s="149">
        <v>53330</v>
      </c>
      <c r="H2926" s="150" t="str">
        <f t="shared" si="135"/>
        <v>5</v>
      </c>
      <c r="I2926" s="150" t="str">
        <f t="shared" si="136"/>
        <v>53</v>
      </c>
      <c r="J2926" s="150" t="str">
        <f t="shared" si="137"/>
        <v>533</v>
      </c>
      <c r="K2926" s="150" t="s">
        <v>8451</v>
      </c>
      <c r="L2926" s="149" t="s">
        <v>223</v>
      </c>
      <c r="M2926" s="151">
        <v>287.44</v>
      </c>
    </row>
    <row r="2927" spans="1:13" s="149" customFormat="1" x14ac:dyDescent="0.25">
      <c r="A2927" s="149" t="s">
        <v>7640</v>
      </c>
      <c r="B2927" s="149" t="s">
        <v>224</v>
      </c>
      <c r="C2927" s="149">
        <v>11</v>
      </c>
      <c r="D2927" s="149">
        <v>120</v>
      </c>
      <c r="E2927" s="149">
        <v>2</v>
      </c>
      <c r="F2927" s="149">
        <v>40110</v>
      </c>
      <c r="G2927" s="149">
        <v>53510</v>
      </c>
      <c r="H2927" s="150" t="str">
        <f t="shared" si="135"/>
        <v>5</v>
      </c>
      <c r="I2927" s="150" t="str">
        <f t="shared" si="136"/>
        <v>53</v>
      </c>
      <c r="J2927" s="150" t="str">
        <f t="shared" si="137"/>
        <v>535</v>
      </c>
      <c r="K2927" s="150" t="s">
        <v>8452</v>
      </c>
      <c r="L2927" s="149" t="s">
        <v>225</v>
      </c>
      <c r="M2927" s="151">
        <v>9.93</v>
      </c>
    </row>
    <row r="2928" spans="1:13" s="149" customFormat="1" x14ac:dyDescent="0.25">
      <c r="A2928" s="149" t="s">
        <v>7640</v>
      </c>
      <c r="B2928" s="149" t="s">
        <v>226</v>
      </c>
      <c r="C2928" s="149">
        <v>11</v>
      </c>
      <c r="D2928" s="149">
        <v>120</v>
      </c>
      <c r="E2928" s="149">
        <v>2</v>
      </c>
      <c r="F2928" s="149">
        <v>40110</v>
      </c>
      <c r="G2928" s="149">
        <v>53610</v>
      </c>
      <c r="H2928" s="150" t="str">
        <f t="shared" si="135"/>
        <v>5</v>
      </c>
      <c r="I2928" s="150" t="str">
        <f t="shared" si="136"/>
        <v>53</v>
      </c>
      <c r="J2928" s="150" t="str">
        <f t="shared" si="137"/>
        <v>536</v>
      </c>
      <c r="K2928" s="150" t="s">
        <v>8453</v>
      </c>
      <c r="L2928" s="149" t="s">
        <v>227</v>
      </c>
      <c r="M2928" s="151">
        <v>374.84</v>
      </c>
    </row>
    <row r="2929" spans="1:13" s="149" customFormat="1" x14ac:dyDescent="0.25">
      <c r="A2929" s="149" t="s">
        <v>7640</v>
      </c>
      <c r="B2929" s="149" t="s">
        <v>228</v>
      </c>
      <c r="C2929" s="149">
        <v>11</v>
      </c>
      <c r="D2929" s="149">
        <v>120</v>
      </c>
      <c r="E2929" s="149">
        <v>2</v>
      </c>
      <c r="F2929" s="149">
        <v>50000</v>
      </c>
      <c r="G2929" s="149">
        <v>51310</v>
      </c>
      <c r="H2929" s="150" t="str">
        <f t="shared" si="135"/>
        <v>5</v>
      </c>
      <c r="I2929" s="150" t="str">
        <f t="shared" si="136"/>
        <v>51</v>
      </c>
      <c r="J2929" s="150" t="str">
        <f t="shared" si="137"/>
        <v>513</v>
      </c>
      <c r="K2929" s="150" t="s">
        <v>7644</v>
      </c>
      <c r="L2929" s="149" t="s">
        <v>229</v>
      </c>
      <c r="M2929" s="151">
        <v>3580.74</v>
      </c>
    </row>
    <row r="2930" spans="1:13" s="149" customFormat="1" x14ac:dyDescent="0.25">
      <c r="A2930" s="149" t="s">
        <v>7640</v>
      </c>
      <c r="B2930" s="149" t="s">
        <v>230</v>
      </c>
      <c r="C2930" s="149">
        <v>11</v>
      </c>
      <c r="D2930" s="149">
        <v>120</v>
      </c>
      <c r="E2930" s="149">
        <v>2</v>
      </c>
      <c r="F2930" s="149">
        <v>50000</v>
      </c>
      <c r="G2930" s="149">
        <v>51311</v>
      </c>
      <c r="H2930" s="150" t="str">
        <f t="shared" si="135"/>
        <v>5</v>
      </c>
      <c r="I2930" s="150" t="str">
        <f t="shared" si="136"/>
        <v>51</v>
      </c>
      <c r="J2930" s="150" t="str">
        <f t="shared" si="137"/>
        <v>513</v>
      </c>
      <c r="K2930" s="150" t="s">
        <v>7695</v>
      </c>
      <c r="L2930" s="149" t="s">
        <v>231</v>
      </c>
      <c r="M2930" s="151">
        <v>20982.240000000002</v>
      </c>
    </row>
    <row r="2931" spans="1:13" s="149" customFormat="1" x14ac:dyDescent="0.25">
      <c r="A2931" s="149" t="s">
        <v>7640</v>
      </c>
      <c r="B2931" s="149" t="s">
        <v>232</v>
      </c>
      <c r="C2931" s="149">
        <v>11</v>
      </c>
      <c r="D2931" s="149">
        <v>120</v>
      </c>
      <c r="E2931" s="149">
        <v>2</v>
      </c>
      <c r="F2931" s="149">
        <v>50000</v>
      </c>
      <c r="G2931" s="149">
        <v>53110</v>
      </c>
      <c r="H2931" s="150" t="str">
        <f t="shared" si="135"/>
        <v>5</v>
      </c>
      <c r="I2931" s="150" t="str">
        <f t="shared" si="136"/>
        <v>53</v>
      </c>
      <c r="J2931" s="150" t="str">
        <f t="shared" si="137"/>
        <v>531</v>
      </c>
      <c r="K2931" s="150" t="s">
        <v>8454</v>
      </c>
      <c r="L2931" s="149" t="s">
        <v>233</v>
      </c>
      <c r="M2931" s="151">
        <v>3966.94</v>
      </c>
    </row>
    <row r="2932" spans="1:13" s="149" customFormat="1" x14ac:dyDescent="0.25">
      <c r="A2932" s="149" t="s">
        <v>7640</v>
      </c>
      <c r="B2932" s="149" t="s">
        <v>234</v>
      </c>
      <c r="C2932" s="149">
        <v>11</v>
      </c>
      <c r="D2932" s="149">
        <v>120</v>
      </c>
      <c r="E2932" s="149">
        <v>2</v>
      </c>
      <c r="F2932" s="149">
        <v>50000</v>
      </c>
      <c r="G2932" s="149">
        <v>53330</v>
      </c>
      <c r="H2932" s="150" t="str">
        <f t="shared" si="135"/>
        <v>5</v>
      </c>
      <c r="I2932" s="150" t="str">
        <f t="shared" si="136"/>
        <v>53</v>
      </c>
      <c r="J2932" s="150" t="str">
        <f t="shared" si="137"/>
        <v>533</v>
      </c>
      <c r="K2932" s="150" t="s">
        <v>8455</v>
      </c>
      <c r="L2932" s="149" t="s">
        <v>235</v>
      </c>
      <c r="M2932" s="151">
        <v>356.22</v>
      </c>
    </row>
    <row r="2933" spans="1:13" s="149" customFormat="1" x14ac:dyDescent="0.25">
      <c r="A2933" s="149" t="s">
        <v>7640</v>
      </c>
      <c r="B2933" s="149" t="s">
        <v>236</v>
      </c>
      <c r="C2933" s="149">
        <v>11</v>
      </c>
      <c r="D2933" s="149">
        <v>120</v>
      </c>
      <c r="E2933" s="149">
        <v>2</v>
      </c>
      <c r="F2933" s="149">
        <v>50000</v>
      </c>
      <c r="G2933" s="149">
        <v>53510</v>
      </c>
      <c r="H2933" s="150" t="str">
        <f t="shared" si="135"/>
        <v>5</v>
      </c>
      <c r="I2933" s="150" t="str">
        <f t="shared" si="136"/>
        <v>53</v>
      </c>
      <c r="J2933" s="150" t="str">
        <f t="shared" si="137"/>
        <v>535</v>
      </c>
      <c r="K2933" s="150" t="s">
        <v>8456</v>
      </c>
      <c r="L2933" s="149" t="s">
        <v>237</v>
      </c>
      <c r="M2933" s="151">
        <v>12.28</v>
      </c>
    </row>
    <row r="2934" spans="1:13" s="149" customFormat="1" x14ac:dyDescent="0.25">
      <c r="A2934" s="149" t="s">
        <v>7640</v>
      </c>
      <c r="B2934" s="149" t="s">
        <v>238</v>
      </c>
      <c r="C2934" s="149">
        <v>11</v>
      </c>
      <c r="D2934" s="149">
        <v>120</v>
      </c>
      <c r="E2934" s="149">
        <v>2</v>
      </c>
      <c r="F2934" s="149">
        <v>50000</v>
      </c>
      <c r="G2934" s="149">
        <v>53610</v>
      </c>
      <c r="H2934" s="150" t="str">
        <f t="shared" si="135"/>
        <v>5</v>
      </c>
      <c r="I2934" s="150" t="str">
        <f t="shared" si="136"/>
        <v>53</v>
      </c>
      <c r="J2934" s="150" t="str">
        <f t="shared" si="137"/>
        <v>536</v>
      </c>
      <c r="K2934" s="150" t="s">
        <v>8457</v>
      </c>
      <c r="L2934" s="149" t="s">
        <v>239</v>
      </c>
      <c r="M2934" s="151">
        <v>464.41</v>
      </c>
    </row>
    <row r="2935" spans="1:13" s="149" customFormat="1" x14ac:dyDescent="0.25">
      <c r="A2935" s="149" t="s">
        <v>7640</v>
      </c>
      <c r="B2935" s="149" t="s">
        <v>240</v>
      </c>
      <c r="C2935" s="149">
        <v>11</v>
      </c>
      <c r="D2935" s="149">
        <v>120</v>
      </c>
      <c r="E2935" s="149">
        <v>2</v>
      </c>
      <c r="F2935" s="149">
        <v>70100</v>
      </c>
      <c r="G2935" s="149">
        <v>51311</v>
      </c>
      <c r="H2935" s="150" t="str">
        <f t="shared" si="135"/>
        <v>5</v>
      </c>
      <c r="I2935" s="150" t="str">
        <f t="shared" si="136"/>
        <v>51</v>
      </c>
      <c r="J2935" s="150" t="str">
        <f t="shared" si="137"/>
        <v>513</v>
      </c>
      <c r="K2935" s="150" t="s">
        <v>7696</v>
      </c>
      <c r="L2935" s="149" t="s">
        <v>241</v>
      </c>
      <c r="M2935" s="151">
        <v>15583.3</v>
      </c>
    </row>
    <row r="2936" spans="1:13" s="149" customFormat="1" x14ac:dyDescent="0.25">
      <c r="A2936" s="149" t="s">
        <v>7640</v>
      </c>
      <c r="B2936" s="149" t="s">
        <v>242</v>
      </c>
      <c r="C2936" s="149">
        <v>11</v>
      </c>
      <c r="D2936" s="149">
        <v>120</v>
      </c>
      <c r="E2936" s="149">
        <v>2</v>
      </c>
      <c r="F2936" s="149">
        <v>70100</v>
      </c>
      <c r="G2936" s="149">
        <v>53110</v>
      </c>
      <c r="H2936" s="150" t="str">
        <f t="shared" si="135"/>
        <v>5</v>
      </c>
      <c r="I2936" s="150" t="str">
        <f t="shared" si="136"/>
        <v>53</v>
      </c>
      <c r="J2936" s="150" t="str">
        <f t="shared" si="137"/>
        <v>531</v>
      </c>
      <c r="K2936" s="150" t="s">
        <v>8458</v>
      </c>
      <c r="L2936" s="149" t="s">
        <v>243</v>
      </c>
      <c r="M2936" s="151">
        <v>2516.75</v>
      </c>
    </row>
    <row r="2937" spans="1:13" s="149" customFormat="1" x14ac:dyDescent="0.25">
      <c r="A2937" s="149" t="s">
        <v>7640</v>
      </c>
      <c r="B2937" s="149" t="s">
        <v>244</v>
      </c>
      <c r="C2937" s="149">
        <v>11</v>
      </c>
      <c r="D2937" s="149">
        <v>120</v>
      </c>
      <c r="E2937" s="149">
        <v>2</v>
      </c>
      <c r="F2937" s="149">
        <v>70100</v>
      </c>
      <c r="G2937" s="149">
        <v>53330</v>
      </c>
      <c r="H2937" s="150" t="str">
        <f t="shared" si="135"/>
        <v>5</v>
      </c>
      <c r="I2937" s="150" t="str">
        <f t="shared" si="136"/>
        <v>53</v>
      </c>
      <c r="J2937" s="150" t="str">
        <f t="shared" si="137"/>
        <v>533</v>
      </c>
      <c r="K2937" s="150" t="s">
        <v>8459</v>
      </c>
      <c r="L2937" s="149" t="s">
        <v>245</v>
      </c>
      <c r="M2937" s="151">
        <v>225.95</v>
      </c>
    </row>
    <row r="2938" spans="1:13" s="149" customFormat="1" x14ac:dyDescent="0.25">
      <c r="A2938" s="149" t="s">
        <v>7640</v>
      </c>
      <c r="B2938" s="149" t="s">
        <v>246</v>
      </c>
      <c r="C2938" s="149">
        <v>11</v>
      </c>
      <c r="D2938" s="149">
        <v>120</v>
      </c>
      <c r="E2938" s="149">
        <v>2</v>
      </c>
      <c r="F2938" s="149">
        <v>70100</v>
      </c>
      <c r="G2938" s="149">
        <v>53510</v>
      </c>
      <c r="H2938" s="150" t="str">
        <f t="shared" si="135"/>
        <v>5</v>
      </c>
      <c r="I2938" s="150" t="str">
        <f t="shared" si="136"/>
        <v>53</v>
      </c>
      <c r="J2938" s="150" t="str">
        <f t="shared" si="137"/>
        <v>535</v>
      </c>
      <c r="K2938" s="150" t="s">
        <v>8460</v>
      </c>
      <c r="L2938" s="149" t="s">
        <v>247</v>
      </c>
      <c r="M2938" s="151">
        <v>7.8</v>
      </c>
    </row>
    <row r="2939" spans="1:13" s="149" customFormat="1" x14ac:dyDescent="0.25">
      <c r="A2939" s="149" t="s">
        <v>7640</v>
      </c>
      <c r="B2939" s="149" t="s">
        <v>248</v>
      </c>
      <c r="C2939" s="149">
        <v>11</v>
      </c>
      <c r="D2939" s="149">
        <v>120</v>
      </c>
      <c r="E2939" s="149">
        <v>2</v>
      </c>
      <c r="F2939" s="149">
        <v>70100</v>
      </c>
      <c r="G2939" s="149">
        <v>53610</v>
      </c>
      <c r="H2939" s="150" t="str">
        <f t="shared" si="135"/>
        <v>5</v>
      </c>
      <c r="I2939" s="150" t="str">
        <f t="shared" si="136"/>
        <v>53</v>
      </c>
      <c r="J2939" s="150" t="str">
        <f t="shared" si="137"/>
        <v>536</v>
      </c>
      <c r="K2939" s="150" t="s">
        <v>8461</v>
      </c>
      <c r="L2939" s="149" t="s">
        <v>249</v>
      </c>
      <c r="M2939" s="151">
        <v>294.66000000000003</v>
      </c>
    </row>
    <row r="2940" spans="1:13" s="149" customFormat="1" x14ac:dyDescent="0.25">
      <c r="A2940" s="149" t="s">
        <v>7640</v>
      </c>
      <c r="B2940" s="149" t="s">
        <v>250</v>
      </c>
      <c r="C2940" s="149">
        <v>11</v>
      </c>
      <c r="D2940" s="149">
        <v>120</v>
      </c>
      <c r="E2940" s="149">
        <v>2</v>
      </c>
      <c r="F2940" s="149">
        <v>100200</v>
      </c>
      <c r="G2940" s="149">
        <v>51311</v>
      </c>
      <c r="H2940" s="150" t="str">
        <f t="shared" si="135"/>
        <v>5</v>
      </c>
      <c r="I2940" s="150" t="str">
        <f t="shared" si="136"/>
        <v>51</v>
      </c>
      <c r="J2940" s="150" t="str">
        <f t="shared" si="137"/>
        <v>513</v>
      </c>
      <c r="K2940" s="150" t="s">
        <v>7697</v>
      </c>
      <c r="L2940" s="149" t="s">
        <v>251</v>
      </c>
      <c r="M2940" s="151">
        <v>0</v>
      </c>
    </row>
    <row r="2941" spans="1:13" s="149" customFormat="1" x14ac:dyDescent="0.25">
      <c r="A2941" s="149" t="s">
        <v>7640</v>
      </c>
      <c r="B2941" s="149" t="s">
        <v>252</v>
      </c>
      <c r="C2941" s="149">
        <v>11</v>
      </c>
      <c r="D2941" s="149">
        <v>120</v>
      </c>
      <c r="E2941" s="149">
        <v>2</v>
      </c>
      <c r="F2941" s="149">
        <v>100200</v>
      </c>
      <c r="G2941" s="149">
        <v>53110</v>
      </c>
      <c r="H2941" s="150" t="str">
        <f t="shared" si="135"/>
        <v>5</v>
      </c>
      <c r="I2941" s="150" t="str">
        <f t="shared" si="136"/>
        <v>53</v>
      </c>
      <c r="J2941" s="150" t="str">
        <f t="shared" si="137"/>
        <v>531</v>
      </c>
      <c r="K2941" s="150" t="s">
        <v>8462</v>
      </c>
      <c r="L2941" s="149" t="s">
        <v>253</v>
      </c>
      <c r="M2941" s="151">
        <v>0</v>
      </c>
    </row>
    <row r="2942" spans="1:13" s="149" customFormat="1" x14ac:dyDescent="0.25">
      <c r="A2942" s="149" t="s">
        <v>7640</v>
      </c>
      <c r="B2942" s="149" t="s">
        <v>254</v>
      </c>
      <c r="C2942" s="149">
        <v>11</v>
      </c>
      <c r="D2942" s="149">
        <v>120</v>
      </c>
      <c r="E2942" s="149">
        <v>2</v>
      </c>
      <c r="F2942" s="149">
        <v>100200</v>
      </c>
      <c r="G2942" s="149">
        <v>53330</v>
      </c>
      <c r="H2942" s="150" t="str">
        <f t="shared" si="135"/>
        <v>5</v>
      </c>
      <c r="I2942" s="150" t="str">
        <f t="shared" si="136"/>
        <v>53</v>
      </c>
      <c r="J2942" s="150" t="str">
        <f t="shared" si="137"/>
        <v>533</v>
      </c>
      <c r="K2942" s="150" t="s">
        <v>8463</v>
      </c>
      <c r="L2942" s="149" t="s">
        <v>255</v>
      </c>
      <c r="M2942" s="151">
        <v>0</v>
      </c>
    </row>
    <row r="2943" spans="1:13" s="149" customFormat="1" x14ac:dyDescent="0.25">
      <c r="A2943" s="149" t="s">
        <v>7640</v>
      </c>
      <c r="B2943" s="149" t="s">
        <v>256</v>
      </c>
      <c r="C2943" s="149">
        <v>11</v>
      </c>
      <c r="D2943" s="149">
        <v>120</v>
      </c>
      <c r="E2943" s="149">
        <v>2</v>
      </c>
      <c r="F2943" s="149">
        <v>100200</v>
      </c>
      <c r="G2943" s="149">
        <v>53510</v>
      </c>
      <c r="H2943" s="150" t="str">
        <f t="shared" si="135"/>
        <v>5</v>
      </c>
      <c r="I2943" s="150" t="str">
        <f t="shared" si="136"/>
        <v>53</v>
      </c>
      <c r="J2943" s="150" t="str">
        <f t="shared" si="137"/>
        <v>535</v>
      </c>
      <c r="K2943" s="150" t="s">
        <v>8464</v>
      </c>
      <c r="L2943" s="149" t="s">
        <v>257</v>
      </c>
      <c r="M2943" s="151">
        <v>0</v>
      </c>
    </row>
    <row r="2944" spans="1:13" s="149" customFormat="1" x14ac:dyDescent="0.25">
      <c r="A2944" s="149" t="s">
        <v>7640</v>
      </c>
      <c r="B2944" s="149" t="s">
        <v>258</v>
      </c>
      <c r="C2944" s="149">
        <v>11</v>
      </c>
      <c r="D2944" s="149">
        <v>120</v>
      </c>
      <c r="E2944" s="149">
        <v>2</v>
      </c>
      <c r="F2944" s="149">
        <v>100200</v>
      </c>
      <c r="G2944" s="149">
        <v>53610</v>
      </c>
      <c r="H2944" s="150" t="str">
        <f t="shared" si="135"/>
        <v>5</v>
      </c>
      <c r="I2944" s="150" t="str">
        <f t="shared" si="136"/>
        <v>53</v>
      </c>
      <c r="J2944" s="150" t="str">
        <f t="shared" si="137"/>
        <v>536</v>
      </c>
      <c r="K2944" s="150" t="s">
        <v>8465</v>
      </c>
      <c r="L2944" s="149" t="s">
        <v>259</v>
      </c>
      <c r="M2944" s="151">
        <v>0</v>
      </c>
    </row>
    <row r="2945" spans="1:13" s="149" customFormat="1" x14ac:dyDescent="0.25">
      <c r="A2945" s="149" t="s">
        <v>7640</v>
      </c>
      <c r="B2945" s="149" t="s">
        <v>260</v>
      </c>
      <c r="C2945" s="149">
        <v>11</v>
      </c>
      <c r="D2945" s="149">
        <v>120</v>
      </c>
      <c r="E2945" s="149">
        <v>2</v>
      </c>
      <c r="F2945" s="149">
        <v>100400</v>
      </c>
      <c r="G2945" s="149">
        <v>51311</v>
      </c>
      <c r="H2945" s="150" t="str">
        <f t="shared" si="135"/>
        <v>5</v>
      </c>
      <c r="I2945" s="150" t="str">
        <f t="shared" si="136"/>
        <v>51</v>
      </c>
      <c r="J2945" s="150" t="str">
        <f t="shared" si="137"/>
        <v>513</v>
      </c>
      <c r="K2945" s="150" t="s">
        <v>7698</v>
      </c>
      <c r="L2945" s="149" t="s">
        <v>261</v>
      </c>
      <c r="M2945" s="151">
        <v>5216.3999999999996</v>
      </c>
    </row>
    <row r="2946" spans="1:13" s="149" customFormat="1" x14ac:dyDescent="0.25">
      <c r="A2946" s="149" t="s">
        <v>7640</v>
      </c>
      <c r="B2946" s="149" t="s">
        <v>262</v>
      </c>
      <c r="C2946" s="149">
        <v>11</v>
      </c>
      <c r="D2946" s="149">
        <v>120</v>
      </c>
      <c r="E2946" s="149">
        <v>2</v>
      </c>
      <c r="F2946" s="149">
        <v>100400</v>
      </c>
      <c r="G2946" s="149">
        <v>53110</v>
      </c>
      <c r="H2946" s="150" t="str">
        <f t="shared" si="135"/>
        <v>5</v>
      </c>
      <c r="I2946" s="150" t="str">
        <f t="shared" si="136"/>
        <v>53</v>
      </c>
      <c r="J2946" s="150" t="str">
        <f t="shared" si="137"/>
        <v>531</v>
      </c>
      <c r="K2946" s="150" t="s">
        <v>8466</v>
      </c>
      <c r="L2946" s="149" t="s">
        <v>263</v>
      </c>
      <c r="M2946" s="151">
        <v>842.46</v>
      </c>
    </row>
    <row r="2947" spans="1:13" s="149" customFormat="1" x14ac:dyDescent="0.25">
      <c r="A2947" s="149" t="s">
        <v>7640</v>
      </c>
      <c r="B2947" s="149" t="s">
        <v>264</v>
      </c>
      <c r="C2947" s="149">
        <v>11</v>
      </c>
      <c r="D2947" s="149">
        <v>120</v>
      </c>
      <c r="E2947" s="149">
        <v>2</v>
      </c>
      <c r="F2947" s="149">
        <v>100400</v>
      </c>
      <c r="G2947" s="149">
        <v>53330</v>
      </c>
      <c r="H2947" s="150" t="str">
        <f t="shared" ref="H2947:H3010" si="138">LEFT(G2947,1)</f>
        <v>5</v>
      </c>
      <c r="I2947" s="150" t="str">
        <f t="shared" ref="I2947:I3010" si="139">LEFT(G2947,2)</f>
        <v>53</v>
      </c>
      <c r="J2947" s="150" t="str">
        <f t="shared" ref="J2947:J3010" si="140">LEFT(G2947,3)</f>
        <v>533</v>
      </c>
      <c r="K2947" s="150" t="s">
        <v>8467</v>
      </c>
      <c r="L2947" s="149" t="s">
        <v>265</v>
      </c>
      <c r="M2947" s="151">
        <v>75.64</v>
      </c>
    </row>
    <row r="2948" spans="1:13" s="149" customFormat="1" x14ac:dyDescent="0.25">
      <c r="A2948" s="149" t="s">
        <v>7640</v>
      </c>
      <c r="B2948" s="149" t="s">
        <v>266</v>
      </c>
      <c r="C2948" s="149">
        <v>11</v>
      </c>
      <c r="D2948" s="149">
        <v>120</v>
      </c>
      <c r="E2948" s="149">
        <v>2</v>
      </c>
      <c r="F2948" s="149">
        <v>100400</v>
      </c>
      <c r="G2948" s="149">
        <v>53510</v>
      </c>
      <c r="H2948" s="150" t="str">
        <f t="shared" si="138"/>
        <v>5</v>
      </c>
      <c r="I2948" s="150" t="str">
        <f t="shared" si="139"/>
        <v>53</v>
      </c>
      <c r="J2948" s="150" t="str">
        <f t="shared" si="140"/>
        <v>535</v>
      </c>
      <c r="K2948" s="150" t="s">
        <v>8468</v>
      </c>
      <c r="L2948" s="149" t="s">
        <v>267</v>
      </c>
      <c r="M2948" s="151">
        <v>2.62</v>
      </c>
    </row>
    <row r="2949" spans="1:13" s="149" customFormat="1" x14ac:dyDescent="0.25">
      <c r="A2949" s="149" t="s">
        <v>7640</v>
      </c>
      <c r="B2949" s="149" t="s">
        <v>268</v>
      </c>
      <c r="C2949" s="149">
        <v>11</v>
      </c>
      <c r="D2949" s="149">
        <v>120</v>
      </c>
      <c r="E2949" s="149">
        <v>2</v>
      </c>
      <c r="F2949" s="149">
        <v>100400</v>
      </c>
      <c r="G2949" s="149">
        <v>53610</v>
      </c>
      <c r="H2949" s="150" t="str">
        <f t="shared" si="138"/>
        <v>5</v>
      </c>
      <c r="I2949" s="150" t="str">
        <f t="shared" si="139"/>
        <v>53</v>
      </c>
      <c r="J2949" s="150" t="str">
        <f t="shared" si="140"/>
        <v>536</v>
      </c>
      <c r="K2949" s="150" t="s">
        <v>8469</v>
      </c>
      <c r="L2949" s="149" t="s">
        <v>269</v>
      </c>
      <c r="M2949" s="151">
        <v>98.62</v>
      </c>
    </row>
    <row r="2950" spans="1:13" s="149" customFormat="1" x14ac:dyDescent="0.25">
      <c r="A2950" s="149" t="s">
        <v>7640</v>
      </c>
      <c r="B2950" s="149" t="s">
        <v>270</v>
      </c>
      <c r="C2950" s="149">
        <v>11</v>
      </c>
      <c r="D2950" s="149">
        <v>120</v>
      </c>
      <c r="E2950" s="149">
        <v>2</v>
      </c>
      <c r="F2950" s="149">
        <v>101100</v>
      </c>
      <c r="G2950" s="149">
        <v>51311</v>
      </c>
      <c r="H2950" s="150" t="str">
        <f t="shared" si="138"/>
        <v>5</v>
      </c>
      <c r="I2950" s="150" t="str">
        <f t="shared" si="139"/>
        <v>51</v>
      </c>
      <c r="J2950" s="150" t="str">
        <f t="shared" si="140"/>
        <v>513</v>
      </c>
      <c r="K2950" s="150" t="s">
        <v>7699</v>
      </c>
      <c r="L2950" s="149" t="s">
        <v>271</v>
      </c>
      <c r="M2950" s="151">
        <v>7921.54</v>
      </c>
    </row>
    <row r="2951" spans="1:13" s="149" customFormat="1" x14ac:dyDescent="0.25">
      <c r="A2951" s="149" t="s">
        <v>7640</v>
      </c>
      <c r="B2951" s="149" t="s">
        <v>272</v>
      </c>
      <c r="C2951" s="149">
        <v>11</v>
      </c>
      <c r="D2951" s="149">
        <v>120</v>
      </c>
      <c r="E2951" s="149">
        <v>2</v>
      </c>
      <c r="F2951" s="149">
        <v>101100</v>
      </c>
      <c r="G2951" s="149">
        <v>53110</v>
      </c>
      <c r="H2951" s="150" t="str">
        <f t="shared" si="138"/>
        <v>5</v>
      </c>
      <c r="I2951" s="150" t="str">
        <f t="shared" si="139"/>
        <v>53</v>
      </c>
      <c r="J2951" s="150" t="str">
        <f t="shared" si="140"/>
        <v>531</v>
      </c>
      <c r="K2951" s="150" t="s">
        <v>8470</v>
      </c>
      <c r="L2951" s="149" t="s">
        <v>273</v>
      </c>
      <c r="M2951" s="151">
        <v>1279.33</v>
      </c>
    </row>
    <row r="2952" spans="1:13" s="149" customFormat="1" x14ac:dyDescent="0.25">
      <c r="A2952" s="149" t="s">
        <v>7640</v>
      </c>
      <c r="B2952" s="149" t="s">
        <v>274</v>
      </c>
      <c r="C2952" s="149">
        <v>11</v>
      </c>
      <c r="D2952" s="149">
        <v>120</v>
      </c>
      <c r="E2952" s="149">
        <v>2</v>
      </c>
      <c r="F2952" s="149">
        <v>101100</v>
      </c>
      <c r="G2952" s="149">
        <v>53330</v>
      </c>
      <c r="H2952" s="150" t="str">
        <f t="shared" si="138"/>
        <v>5</v>
      </c>
      <c r="I2952" s="150" t="str">
        <f t="shared" si="139"/>
        <v>53</v>
      </c>
      <c r="J2952" s="150" t="str">
        <f t="shared" si="140"/>
        <v>533</v>
      </c>
      <c r="K2952" s="150" t="s">
        <v>8471</v>
      </c>
      <c r="L2952" s="149" t="s">
        <v>275</v>
      </c>
      <c r="M2952" s="151">
        <v>114.84</v>
      </c>
    </row>
    <row r="2953" spans="1:13" s="149" customFormat="1" x14ac:dyDescent="0.25">
      <c r="A2953" s="149" t="s">
        <v>7640</v>
      </c>
      <c r="B2953" s="149" t="s">
        <v>276</v>
      </c>
      <c r="C2953" s="149">
        <v>11</v>
      </c>
      <c r="D2953" s="149">
        <v>120</v>
      </c>
      <c r="E2953" s="149">
        <v>2</v>
      </c>
      <c r="F2953" s="149">
        <v>101100</v>
      </c>
      <c r="G2953" s="149">
        <v>53510</v>
      </c>
      <c r="H2953" s="150" t="str">
        <f t="shared" si="138"/>
        <v>5</v>
      </c>
      <c r="I2953" s="150" t="str">
        <f t="shared" si="139"/>
        <v>53</v>
      </c>
      <c r="J2953" s="150" t="str">
        <f t="shared" si="140"/>
        <v>535</v>
      </c>
      <c r="K2953" s="150" t="s">
        <v>8472</v>
      </c>
      <c r="L2953" s="149" t="s">
        <v>277</v>
      </c>
      <c r="M2953" s="151">
        <v>3.96</v>
      </c>
    </row>
    <row r="2954" spans="1:13" s="149" customFormat="1" x14ac:dyDescent="0.25">
      <c r="A2954" s="149" t="s">
        <v>7640</v>
      </c>
      <c r="B2954" s="149" t="s">
        <v>278</v>
      </c>
      <c r="C2954" s="149">
        <v>11</v>
      </c>
      <c r="D2954" s="149">
        <v>120</v>
      </c>
      <c r="E2954" s="149">
        <v>2</v>
      </c>
      <c r="F2954" s="149">
        <v>101100</v>
      </c>
      <c r="G2954" s="149">
        <v>53610</v>
      </c>
      <c r="H2954" s="150" t="str">
        <f t="shared" si="138"/>
        <v>5</v>
      </c>
      <c r="I2954" s="150" t="str">
        <f t="shared" si="139"/>
        <v>53</v>
      </c>
      <c r="J2954" s="150" t="str">
        <f t="shared" si="140"/>
        <v>536</v>
      </c>
      <c r="K2954" s="150" t="s">
        <v>8473</v>
      </c>
      <c r="L2954" s="149" t="s">
        <v>279</v>
      </c>
      <c r="M2954" s="151">
        <v>149.79</v>
      </c>
    </row>
    <row r="2955" spans="1:13" s="149" customFormat="1" x14ac:dyDescent="0.25">
      <c r="A2955" s="149" t="s">
        <v>7640</v>
      </c>
      <c r="B2955" s="149" t="s">
        <v>280</v>
      </c>
      <c r="C2955" s="149">
        <v>11</v>
      </c>
      <c r="D2955" s="149">
        <v>120</v>
      </c>
      <c r="E2955" s="149">
        <v>2</v>
      </c>
      <c r="F2955" s="149">
        <v>110500</v>
      </c>
      <c r="G2955" s="149">
        <v>51311</v>
      </c>
      <c r="H2955" s="150" t="str">
        <f t="shared" si="138"/>
        <v>5</v>
      </c>
      <c r="I2955" s="150" t="str">
        <f t="shared" si="139"/>
        <v>51</v>
      </c>
      <c r="J2955" s="150" t="str">
        <f t="shared" si="140"/>
        <v>513</v>
      </c>
      <c r="K2955" s="150" t="s">
        <v>7700</v>
      </c>
      <c r="L2955" s="149" t="s">
        <v>281</v>
      </c>
      <c r="M2955" s="151">
        <v>32758.560000000001</v>
      </c>
    </row>
    <row r="2956" spans="1:13" s="149" customFormat="1" x14ac:dyDescent="0.25">
      <c r="A2956" s="149" t="s">
        <v>7640</v>
      </c>
      <c r="B2956" s="149" t="s">
        <v>282</v>
      </c>
      <c r="C2956" s="149">
        <v>11</v>
      </c>
      <c r="D2956" s="149">
        <v>120</v>
      </c>
      <c r="E2956" s="149">
        <v>2</v>
      </c>
      <c r="F2956" s="149">
        <v>110500</v>
      </c>
      <c r="G2956" s="149">
        <v>53110</v>
      </c>
      <c r="H2956" s="150" t="str">
        <f t="shared" si="138"/>
        <v>5</v>
      </c>
      <c r="I2956" s="150" t="str">
        <f t="shared" si="139"/>
        <v>53</v>
      </c>
      <c r="J2956" s="150" t="str">
        <f t="shared" si="140"/>
        <v>531</v>
      </c>
      <c r="K2956" s="150" t="s">
        <v>8474</v>
      </c>
      <c r="L2956" s="149" t="s">
        <v>283</v>
      </c>
      <c r="M2956" s="151">
        <v>5290.5</v>
      </c>
    </row>
    <row r="2957" spans="1:13" s="149" customFormat="1" x14ac:dyDescent="0.25">
      <c r="A2957" s="149" t="s">
        <v>7640</v>
      </c>
      <c r="B2957" s="149" t="s">
        <v>284</v>
      </c>
      <c r="C2957" s="149">
        <v>11</v>
      </c>
      <c r="D2957" s="149">
        <v>120</v>
      </c>
      <c r="E2957" s="149">
        <v>2</v>
      </c>
      <c r="F2957" s="149">
        <v>110500</v>
      </c>
      <c r="G2957" s="149">
        <v>53330</v>
      </c>
      <c r="H2957" s="150" t="str">
        <f t="shared" si="138"/>
        <v>5</v>
      </c>
      <c r="I2957" s="150" t="str">
        <f t="shared" si="139"/>
        <v>53</v>
      </c>
      <c r="J2957" s="150" t="str">
        <f t="shared" si="140"/>
        <v>533</v>
      </c>
      <c r="K2957" s="150" t="s">
        <v>8475</v>
      </c>
      <c r="L2957" s="149" t="s">
        <v>285</v>
      </c>
      <c r="M2957" s="151">
        <v>474.96</v>
      </c>
    </row>
    <row r="2958" spans="1:13" s="149" customFormat="1" x14ac:dyDescent="0.25">
      <c r="A2958" s="149" t="s">
        <v>7640</v>
      </c>
      <c r="B2958" s="149" t="s">
        <v>286</v>
      </c>
      <c r="C2958" s="149">
        <v>11</v>
      </c>
      <c r="D2958" s="149">
        <v>120</v>
      </c>
      <c r="E2958" s="149">
        <v>2</v>
      </c>
      <c r="F2958" s="149">
        <v>110500</v>
      </c>
      <c r="G2958" s="149">
        <v>53510</v>
      </c>
      <c r="H2958" s="150" t="str">
        <f t="shared" si="138"/>
        <v>5</v>
      </c>
      <c r="I2958" s="150" t="str">
        <f t="shared" si="139"/>
        <v>53</v>
      </c>
      <c r="J2958" s="150" t="str">
        <f t="shared" si="140"/>
        <v>535</v>
      </c>
      <c r="K2958" s="150" t="s">
        <v>8476</v>
      </c>
      <c r="L2958" s="149" t="s">
        <v>287</v>
      </c>
      <c r="M2958" s="151">
        <v>16.37</v>
      </c>
    </row>
    <row r="2959" spans="1:13" s="149" customFormat="1" x14ac:dyDescent="0.25">
      <c r="A2959" s="149" t="s">
        <v>7640</v>
      </c>
      <c r="B2959" s="149" t="s">
        <v>288</v>
      </c>
      <c r="C2959" s="149">
        <v>11</v>
      </c>
      <c r="D2959" s="149">
        <v>120</v>
      </c>
      <c r="E2959" s="149">
        <v>2</v>
      </c>
      <c r="F2959" s="149">
        <v>110500</v>
      </c>
      <c r="G2959" s="149">
        <v>53610</v>
      </c>
      <c r="H2959" s="150" t="str">
        <f t="shared" si="138"/>
        <v>5</v>
      </c>
      <c r="I2959" s="150" t="str">
        <f t="shared" si="139"/>
        <v>53</v>
      </c>
      <c r="J2959" s="150" t="str">
        <f t="shared" si="140"/>
        <v>536</v>
      </c>
      <c r="K2959" s="150" t="s">
        <v>8477</v>
      </c>
      <c r="L2959" s="149" t="s">
        <v>289</v>
      </c>
      <c r="M2959" s="151">
        <v>619.4</v>
      </c>
    </row>
    <row r="2960" spans="1:13" s="149" customFormat="1" x14ac:dyDescent="0.25">
      <c r="A2960" s="149" t="s">
        <v>7640</v>
      </c>
      <c r="B2960" s="149" t="s">
        <v>290</v>
      </c>
      <c r="C2960" s="149">
        <v>11</v>
      </c>
      <c r="D2960" s="149">
        <v>120</v>
      </c>
      <c r="E2960" s="149">
        <v>2</v>
      </c>
      <c r="F2960" s="149">
        <v>130500</v>
      </c>
      <c r="G2960" s="149">
        <v>51311</v>
      </c>
      <c r="H2960" s="150" t="str">
        <f t="shared" si="138"/>
        <v>5</v>
      </c>
      <c r="I2960" s="150" t="str">
        <f t="shared" si="139"/>
        <v>51</v>
      </c>
      <c r="J2960" s="150" t="str">
        <f t="shared" si="140"/>
        <v>513</v>
      </c>
      <c r="K2960" s="150" t="s">
        <v>7701</v>
      </c>
      <c r="L2960" s="149" t="s">
        <v>291</v>
      </c>
      <c r="M2960" s="151">
        <v>5539.12</v>
      </c>
    </row>
    <row r="2961" spans="1:13" s="149" customFormat="1" x14ac:dyDescent="0.25">
      <c r="A2961" s="149" t="s">
        <v>7640</v>
      </c>
      <c r="B2961" s="149" t="s">
        <v>292</v>
      </c>
      <c r="C2961" s="149">
        <v>11</v>
      </c>
      <c r="D2961" s="149">
        <v>120</v>
      </c>
      <c r="E2961" s="149">
        <v>2</v>
      </c>
      <c r="F2961" s="149">
        <v>130500</v>
      </c>
      <c r="G2961" s="149">
        <v>53110</v>
      </c>
      <c r="H2961" s="150" t="str">
        <f t="shared" si="138"/>
        <v>5</v>
      </c>
      <c r="I2961" s="150" t="str">
        <f t="shared" si="139"/>
        <v>53</v>
      </c>
      <c r="J2961" s="150" t="str">
        <f t="shared" si="140"/>
        <v>531</v>
      </c>
      <c r="K2961" s="150" t="s">
        <v>8478</v>
      </c>
      <c r="L2961" s="149" t="s">
        <v>293</v>
      </c>
      <c r="M2961" s="151">
        <v>0</v>
      </c>
    </row>
    <row r="2962" spans="1:13" s="149" customFormat="1" x14ac:dyDescent="0.25">
      <c r="A2962" s="149" t="s">
        <v>7640</v>
      </c>
      <c r="B2962" s="149" t="s">
        <v>294</v>
      </c>
      <c r="C2962" s="149">
        <v>11</v>
      </c>
      <c r="D2962" s="149">
        <v>120</v>
      </c>
      <c r="E2962" s="149">
        <v>2</v>
      </c>
      <c r="F2962" s="149">
        <v>130500</v>
      </c>
      <c r="G2962" s="149">
        <v>53310</v>
      </c>
      <c r="H2962" s="150" t="str">
        <f t="shared" si="138"/>
        <v>5</v>
      </c>
      <c r="I2962" s="150" t="str">
        <f t="shared" si="139"/>
        <v>53</v>
      </c>
      <c r="J2962" s="150" t="str">
        <f t="shared" si="140"/>
        <v>533</v>
      </c>
      <c r="K2962" s="150" t="s">
        <v>8479</v>
      </c>
      <c r="L2962" s="149" t="s">
        <v>295</v>
      </c>
      <c r="M2962" s="151">
        <v>343.44</v>
      </c>
    </row>
    <row r="2963" spans="1:13" s="149" customFormat="1" x14ac:dyDescent="0.25">
      <c r="A2963" s="149" t="s">
        <v>7640</v>
      </c>
      <c r="B2963" s="149" t="s">
        <v>296</v>
      </c>
      <c r="C2963" s="149">
        <v>11</v>
      </c>
      <c r="D2963" s="149">
        <v>120</v>
      </c>
      <c r="E2963" s="149">
        <v>2</v>
      </c>
      <c r="F2963" s="149">
        <v>130500</v>
      </c>
      <c r="G2963" s="149">
        <v>53330</v>
      </c>
      <c r="H2963" s="150" t="str">
        <f t="shared" si="138"/>
        <v>5</v>
      </c>
      <c r="I2963" s="150" t="str">
        <f t="shared" si="139"/>
        <v>53</v>
      </c>
      <c r="J2963" s="150" t="str">
        <f t="shared" si="140"/>
        <v>533</v>
      </c>
      <c r="K2963" s="150" t="s">
        <v>8480</v>
      </c>
      <c r="L2963" s="149" t="s">
        <v>297</v>
      </c>
      <c r="M2963" s="151">
        <v>80.319999999999993</v>
      </c>
    </row>
    <row r="2964" spans="1:13" s="149" customFormat="1" x14ac:dyDescent="0.25">
      <c r="A2964" s="149" t="s">
        <v>7640</v>
      </c>
      <c r="B2964" s="149" t="s">
        <v>298</v>
      </c>
      <c r="C2964" s="149">
        <v>11</v>
      </c>
      <c r="D2964" s="149">
        <v>120</v>
      </c>
      <c r="E2964" s="149">
        <v>2</v>
      </c>
      <c r="F2964" s="149">
        <v>130500</v>
      </c>
      <c r="G2964" s="149">
        <v>53510</v>
      </c>
      <c r="H2964" s="150" t="str">
        <f t="shared" si="138"/>
        <v>5</v>
      </c>
      <c r="I2964" s="150" t="str">
        <f t="shared" si="139"/>
        <v>53</v>
      </c>
      <c r="J2964" s="150" t="str">
        <f t="shared" si="140"/>
        <v>535</v>
      </c>
      <c r="K2964" s="150" t="s">
        <v>8481</v>
      </c>
      <c r="L2964" s="149" t="s">
        <v>299</v>
      </c>
      <c r="M2964" s="151">
        <v>2.8</v>
      </c>
    </row>
    <row r="2965" spans="1:13" s="149" customFormat="1" x14ac:dyDescent="0.25">
      <c r="A2965" s="149" t="s">
        <v>7640</v>
      </c>
      <c r="B2965" s="149" t="s">
        <v>300</v>
      </c>
      <c r="C2965" s="149">
        <v>11</v>
      </c>
      <c r="D2965" s="149">
        <v>120</v>
      </c>
      <c r="E2965" s="149">
        <v>2</v>
      </c>
      <c r="F2965" s="149">
        <v>130500</v>
      </c>
      <c r="G2965" s="149">
        <v>53610</v>
      </c>
      <c r="H2965" s="150" t="str">
        <f t="shared" si="138"/>
        <v>5</v>
      </c>
      <c r="I2965" s="150" t="str">
        <f t="shared" si="139"/>
        <v>53</v>
      </c>
      <c r="J2965" s="150" t="str">
        <f t="shared" si="140"/>
        <v>536</v>
      </c>
      <c r="K2965" s="150" t="s">
        <v>8482</v>
      </c>
      <c r="L2965" s="149" t="s">
        <v>301</v>
      </c>
      <c r="M2965" s="151">
        <v>104.72</v>
      </c>
    </row>
    <row r="2966" spans="1:13" s="149" customFormat="1" x14ac:dyDescent="0.25">
      <c r="A2966" s="149" t="s">
        <v>7640</v>
      </c>
      <c r="B2966" s="149" t="s">
        <v>302</v>
      </c>
      <c r="C2966" s="149">
        <v>11</v>
      </c>
      <c r="D2966" s="149">
        <v>120</v>
      </c>
      <c r="E2966" s="149">
        <v>2</v>
      </c>
      <c r="F2966" s="149">
        <v>150100</v>
      </c>
      <c r="G2966" s="149">
        <v>51311</v>
      </c>
      <c r="H2966" s="150" t="str">
        <f t="shared" si="138"/>
        <v>5</v>
      </c>
      <c r="I2966" s="150" t="str">
        <f t="shared" si="139"/>
        <v>51</v>
      </c>
      <c r="J2966" s="150" t="str">
        <f t="shared" si="140"/>
        <v>513</v>
      </c>
      <c r="K2966" s="150" t="s">
        <v>7702</v>
      </c>
      <c r="L2966" s="149" t="s">
        <v>303</v>
      </c>
      <c r="M2966" s="151">
        <v>54276.62</v>
      </c>
    </row>
    <row r="2967" spans="1:13" s="149" customFormat="1" x14ac:dyDescent="0.25">
      <c r="A2967" s="149" t="s">
        <v>7640</v>
      </c>
      <c r="B2967" s="149" t="s">
        <v>304</v>
      </c>
      <c r="C2967" s="149">
        <v>11</v>
      </c>
      <c r="D2967" s="149">
        <v>120</v>
      </c>
      <c r="E2967" s="149">
        <v>2</v>
      </c>
      <c r="F2967" s="149">
        <v>150100</v>
      </c>
      <c r="G2967" s="149">
        <v>53110</v>
      </c>
      <c r="H2967" s="150" t="str">
        <f t="shared" si="138"/>
        <v>5</v>
      </c>
      <c r="I2967" s="150" t="str">
        <f t="shared" si="139"/>
        <v>53</v>
      </c>
      <c r="J2967" s="150" t="str">
        <f t="shared" si="140"/>
        <v>531</v>
      </c>
      <c r="K2967" s="150" t="s">
        <v>8483</v>
      </c>
      <c r="L2967" s="149" t="s">
        <v>305</v>
      </c>
      <c r="M2967" s="151">
        <v>8416.76</v>
      </c>
    </row>
    <row r="2968" spans="1:13" s="149" customFormat="1" x14ac:dyDescent="0.25">
      <c r="A2968" s="149" t="s">
        <v>7640</v>
      </c>
      <c r="B2968" s="149" t="s">
        <v>306</v>
      </c>
      <c r="C2968" s="149">
        <v>11</v>
      </c>
      <c r="D2968" s="149">
        <v>120</v>
      </c>
      <c r="E2968" s="149">
        <v>2</v>
      </c>
      <c r="F2968" s="149">
        <v>150100</v>
      </c>
      <c r="G2968" s="149">
        <v>53310</v>
      </c>
      <c r="H2968" s="150" t="str">
        <f t="shared" si="138"/>
        <v>5</v>
      </c>
      <c r="I2968" s="150" t="str">
        <f t="shared" si="139"/>
        <v>53</v>
      </c>
      <c r="J2968" s="150" t="str">
        <f t="shared" si="140"/>
        <v>533</v>
      </c>
      <c r="K2968" s="150" t="s">
        <v>8484</v>
      </c>
      <c r="L2968" s="149" t="s">
        <v>307</v>
      </c>
      <c r="M2968" s="151">
        <v>133.94999999999999</v>
      </c>
    </row>
    <row r="2969" spans="1:13" s="149" customFormat="1" x14ac:dyDescent="0.25">
      <c r="A2969" s="149" t="s">
        <v>7640</v>
      </c>
      <c r="B2969" s="149" t="s">
        <v>308</v>
      </c>
      <c r="C2969" s="149">
        <v>11</v>
      </c>
      <c r="D2969" s="149">
        <v>120</v>
      </c>
      <c r="E2969" s="149">
        <v>2</v>
      </c>
      <c r="F2969" s="149">
        <v>150100</v>
      </c>
      <c r="G2969" s="149">
        <v>53330</v>
      </c>
      <c r="H2969" s="150" t="str">
        <f t="shared" si="138"/>
        <v>5</v>
      </c>
      <c r="I2969" s="150" t="str">
        <f t="shared" si="139"/>
        <v>53</v>
      </c>
      <c r="J2969" s="150" t="str">
        <f t="shared" si="140"/>
        <v>533</v>
      </c>
      <c r="K2969" s="150" t="s">
        <v>8485</v>
      </c>
      <c r="L2969" s="149" t="s">
        <v>309</v>
      </c>
      <c r="M2969" s="151">
        <v>787.01</v>
      </c>
    </row>
    <row r="2970" spans="1:13" s="149" customFormat="1" x14ac:dyDescent="0.25">
      <c r="A2970" s="149" t="s">
        <v>7640</v>
      </c>
      <c r="B2970" s="149" t="s">
        <v>310</v>
      </c>
      <c r="C2970" s="149">
        <v>11</v>
      </c>
      <c r="D2970" s="149">
        <v>120</v>
      </c>
      <c r="E2970" s="149">
        <v>2</v>
      </c>
      <c r="F2970" s="149">
        <v>150100</v>
      </c>
      <c r="G2970" s="149">
        <v>53510</v>
      </c>
      <c r="H2970" s="150" t="str">
        <f t="shared" si="138"/>
        <v>5</v>
      </c>
      <c r="I2970" s="150" t="str">
        <f t="shared" si="139"/>
        <v>53</v>
      </c>
      <c r="J2970" s="150" t="str">
        <f t="shared" si="140"/>
        <v>535</v>
      </c>
      <c r="K2970" s="150" t="s">
        <v>8486</v>
      </c>
      <c r="L2970" s="149" t="s">
        <v>311</v>
      </c>
      <c r="M2970" s="151">
        <v>27.13</v>
      </c>
    </row>
    <row r="2971" spans="1:13" s="149" customFormat="1" x14ac:dyDescent="0.25">
      <c r="A2971" s="149" t="s">
        <v>7640</v>
      </c>
      <c r="B2971" s="149" t="s">
        <v>312</v>
      </c>
      <c r="C2971" s="149">
        <v>11</v>
      </c>
      <c r="D2971" s="149">
        <v>120</v>
      </c>
      <c r="E2971" s="149">
        <v>2</v>
      </c>
      <c r="F2971" s="149">
        <v>150100</v>
      </c>
      <c r="G2971" s="149">
        <v>53610</v>
      </c>
      <c r="H2971" s="150" t="str">
        <f t="shared" si="138"/>
        <v>5</v>
      </c>
      <c r="I2971" s="150" t="str">
        <f t="shared" si="139"/>
        <v>53</v>
      </c>
      <c r="J2971" s="150" t="str">
        <f t="shared" si="140"/>
        <v>536</v>
      </c>
      <c r="K2971" s="150" t="s">
        <v>8487</v>
      </c>
      <c r="L2971" s="149" t="s">
        <v>313</v>
      </c>
      <c r="M2971" s="151">
        <v>1026.31</v>
      </c>
    </row>
    <row r="2972" spans="1:13" s="149" customFormat="1" x14ac:dyDescent="0.25">
      <c r="A2972" s="149" t="s">
        <v>7640</v>
      </c>
      <c r="B2972" s="149" t="s">
        <v>314</v>
      </c>
      <c r="C2972" s="149">
        <v>11</v>
      </c>
      <c r="D2972" s="149">
        <v>120</v>
      </c>
      <c r="E2972" s="149">
        <v>2</v>
      </c>
      <c r="F2972" s="149">
        <v>150100</v>
      </c>
      <c r="G2972" s="149">
        <v>55630</v>
      </c>
      <c r="H2972" s="150" t="str">
        <f t="shared" si="138"/>
        <v>5</v>
      </c>
      <c r="I2972" s="150" t="str">
        <f t="shared" si="139"/>
        <v>55</v>
      </c>
      <c r="J2972" s="150" t="str">
        <f t="shared" si="140"/>
        <v>556</v>
      </c>
      <c r="K2972" s="150" t="s">
        <v>8164</v>
      </c>
      <c r="L2972" s="149" t="s">
        <v>315</v>
      </c>
      <c r="M2972" s="151">
        <v>0</v>
      </c>
    </row>
    <row r="2973" spans="1:13" s="149" customFormat="1" x14ac:dyDescent="0.25">
      <c r="A2973" s="149" t="s">
        <v>7640</v>
      </c>
      <c r="B2973" s="149" t="s">
        <v>316</v>
      </c>
      <c r="C2973" s="149">
        <v>11</v>
      </c>
      <c r="D2973" s="149">
        <v>120</v>
      </c>
      <c r="E2973" s="149">
        <v>2</v>
      </c>
      <c r="F2973" s="149">
        <v>150600</v>
      </c>
      <c r="G2973" s="149">
        <v>51311</v>
      </c>
      <c r="H2973" s="150" t="str">
        <f t="shared" si="138"/>
        <v>5</v>
      </c>
      <c r="I2973" s="150" t="str">
        <f t="shared" si="139"/>
        <v>51</v>
      </c>
      <c r="J2973" s="150" t="str">
        <f t="shared" si="140"/>
        <v>513</v>
      </c>
      <c r="K2973" s="150" t="s">
        <v>7703</v>
      </c>
      <c r="L2973" s="149" t="s">
        <v>317</v>
      </c>
      <c r="M2973" s="151">
        <v>33362.879999999997</v>
      </c>
    </row>
    <row r="2974" spans="1:13" s="149" customFormat="1" x14ac:dyDescent="0.25">
      <c r="A2974" s="149" t="s">
        <v>7640</v>
      </c>
      <c r="B2974" s="149" t="s">
        <v>318</v>
      </c>
      <c r="C2974" s="149">
        <v>11</v>
      </c>
      <c r="D2974" s="149">
        <v>120</v>
      </c>
      <c r="E2974" s="149">
        <v>2</v>
      </c>
      <c r="F2974" s="149">
        <v>150600</v>
      </c>
      <c r="G2974" s="149">
        <v>53110</v>
      </c>
      <c r="H2974" s="150" t="str">
        <f t="shared" si="138"/>
        <v>5</v>
      </c>
      <c r="I2974" s="150" t="str">
        <f t="shared" si="139"/>
        <v>53</v>
      </c>
      <c r="J2974" s="150" t="str">
        <f t="shared" si="140"/>
        <v>531</v>
      </c>
      <c r="K2974" s="150" t="s">
        <v>8488</v>
      </c>
      <c r="L2974" s="149" t="s">
        <v>319</v>
      </c>
      <c r="M2974" s="151">
        <v>5388.14</v>
      </c>
    </row>
    <row r="2975" spans="1:13" s="149" customFormat="1" x14ac:dyDescent="0.25">
      <c r="A2975" s="149" t="s">
        <v>7640</v>
      </c>
      <c r="B2975" s="149" t="s">
        <v>320</v>
      </c>
      <c r="C2975" s="149">
        <v>11</v>
      </c>
      <c r="D2975" s="149">
        <v>120</v>
      </c>
      <c r="E2975" s="149">
        <v>2</v>
      </c>
      <c r="F2975" s="149">
        <v>150600</v>
      </c>
      <c r="G2975" s="149">
        <v>53330</v>
      </c>
      <c r="H2975" s="150" t="str">
        <f t="shared" si="138"/>
        <v>5</v>
      </c>
      <c r="I2975" s="150" t="str">
        <f t="shared" si="139"/>
        <v>53</v>
      </c>
      <c r="J2975" s="150" t="str">
        <f t="shared" si="140"/>
        <v>533</v>
      </c>
      <c r="K2975" s="150" t="s">
        <v>8489</v>
      </c>
      <c r="L2975" s="149" t="s">
        <v>321</v>
      </c>
      <c r="M2975" s="151">
        <v>483.77</v>
      </c>
    </row>
    <row r="2976" spans="1:13" s="149" customFormat="1" x14ac:dyDescent="0.25">
      <c r="A2976" s="149" t="s">
        <v>7640</v>
      </c>
      <c r="B2976" s="149" t="s">
        <v>322</v>
      </c>
      <c r="C2976" s="149">
        <v>11</v>
      </c>
      <c r="D2976" s="149">
        <v>120</v>
      </c>
      <c r="E2976" s="149">
        <v>2</v>
      </c>
      <c r="F2976" s="149">
        <v>150600</v>
      </c>
      <c r="G2976" s="149">
        <v>53510</v>
      </c>
      <c r="H2976" s="150" t="str">
        <f t="shared" si="138"/>
        <v>5</v>
      </c>
      <c r="I2976" s="150" t="str">
        <f t="shared" si="139"/>
        <v>53</v>
      </c>
      <c r="J2976" s="150" t="str">
        <f t="shared" si="140"/>
        <v>535</v>
      </c>
      <c r="K2976" s="150" t="s">
        <v>8490</v>
      </c>
      <c r="L2976" s="149" t="s">
        <v>323</v>
      </c>
      <c r="M2976" s="151">
        <v>16.690000000000001</v>
      </c>
    </row>
    <row r="2977" spans="1:13" s="149" customFormat="1" x14ac:dyDescent="0.25">
      <c r="A2977" s="149" t="s">
        <v>7640</v>
      </c>
      <c r="B2977" s="149" t="s">
        <v>324</v>
      </c>
      <c r="C2977" s="149">
        <v>11</v>
      </c>
      <c r="D2977" s="149">
        <v>120</v>
      </c>
      <c r="E2977" s="149">
        <v>2</v>
      </c>
      <c r="F2977" s="149">
        <v>150600</v>
      </c>
      <c r="G2977" s="149">
        <v>53610</v>
      </c>
      <c r="H2977" s="150" t="str">
        <f t="shared" si="138"/>
        <v>5</v>
      </c>
      <c r="I2977" s="150" t="str">
        <f t="shared" si="139"/>
        <v>53</v>
      </c>
      <c r="J2977" s="150" t="str">
        <f t="shared" si="140"/>
        <v>536</v>
      </c>
      <c r="K2977" s="150" t="s">
        <v>8491</v>
      </c>
      <c r="L2977" s="149" t="s">
        <v>325</v>
      </c>
      <c r="M2977" s="151">
        <v>630.86</v>
      </c>
    </row>
    <row r="2978" spans="1:13" s="149" customFormat="1" x14ac:dyDescent="0.25">
      <c r="A2978" s="149" t="s">
        <v>7640</v>
      </c>
      <c r="B2978" s="149" t="s">
        <v>326</v>
      </c>
      <c r="C2978" s="149">
        <v>11</v>
      </c>
      <c r="D2978" s="149">
        <v>120</v>
      </c>
      <c r="E2978" s="149">
        <v>2</v>
      </c>
      <c r="F2978" s="149">
        <v>150600</v>
      </c>
      <c r="G2978" s="149">
        <v>55630</v>
      </c>
      <c r="H2978" s="150" t="str">
        <f t="shared" si="138"/>
        <v>5</v>
      </c>
      <c r="I2978" s="150" t="str">
        <f t="shared" si="139"/>
        <v>55</v>
      </c>
      <c r="J2978" s="150" t="str">
        <f t="shared" si="140"/>
        <v>556</v>
      </c>
      <c r="K2978" s="150" t="s">
        <v>8165</v>
      </c>
      <c r="L2978" s="149" t="s">
        <v>327</v>
      </c>
      <c r="M2978" s="151">
        <v>0</v>
      </c>
    </row>
    <row r="2979" spans="1:13" s="149" customFormat="1" x14ac:dyDescent="0.25">
      <c r="A2979" s="149" t="s">
        <v>7640</v>
      </c>
      <c r="B2979" s="149" t="s">
        <v>328</v>
      </c>
      <c r="C2979" s="149">
        <v>11</v>
      </c>
      <c r="D2979" s="149">
        <v>120</v>
      </c>
      <c r="E2979" s="149">
        <v>2</v>
      </c>
      <c r="F2979" s="149">
        <v>170100</v>
      </c>
      <c r="G2979" s="149">
        <v>51311</v>
      </c>
      <c r="H2979" s="150" t="str">
        <f t="shared" si="138"/>
        <v>5</v>
      </c>
      <c r="I2979" s="150" t="str">
        <f t="shared" si="139"/>
        <v>51</v>
      </c>
      <c r="J2979" s="150" t="str">
        <f t="shared" si="140"/>
        <v>513</v>
      </c>
      <c r="K2979" s="150" t="s">
        <v>7704</v>
      </c>
      <c r="L2979" s="149" t="s">
        <v>329</v>
      </c>
      <c r="M2979" s="151">
        <v>9229.92</v>
      </c>
    </row>
    <row r="2980" spans="1:13" s="149" customFormat="1" x14ac:dyDescent="0.25">
      <c r="A2980" s="149" t="s">
        <v>7640</v>
      </c>
      <c r="B2980" s="149" t="s">
        <v>330</v>
      </c>
      <c r="C2980" s="149">
        <v>11</v>
      </c>
      <c r="D2980" s="149">
        <v>120</v>
      </c>
      <c r="E2980" s="149">
        <v>2</v>
      </c>
      <c r="F2980" s="149">
        <v>170100</v>
      </c>
      <c r="G2980" s="149">
        <v>53110</v>
      </c>
      <c r="H2980" s="150" t="str">
        <f t="shared" si="138"/>
        <v>5</v>
      </c>
      <c r="I2980" s="150" t="str">
        <f t="shared" si="139"/>
        <v>53</v>
      </c>
      <c r="J2980" s="150" t="str">
        <f t="shared" si="140"/>
        <v>531</v>
      </c>
      <c r="K2980" s="150" t="s">
        <v>8492</v>
      </c>
      <c r="L2980" s="149" t="s">
        <v>331</v>
      </c>
      <c r="M2980" s="151">
        <v>1490.61</v>
      </c>
    </row>
    <row r="2981" spans="1:13" s="149" customFormat="1" x14ac:dyDescent="0.25">
      <c r="A2981" s="149" t="s">
        <v>7640</v>
      </c>
      <c r="B2981" s="149" t="s">
        <v>332</v>
      </c>
      <c r="C2981" s="149">
        <v>11</v>
      </c>
      <c r="D2981" s="149">
        <v>120</v>
      </c>
      <c r="E2981" s="149">
        <v>2</v>
      </c>
      <c r="F2981" s="149">
        <v>170100</v>
      </c>
      <c r="G2981" s="149">
        <v>53330</v>
      </c>
      <c r="H2981" s="150" t="str">
        <f t="shared" si="138"/>
        <v>5</v>
      </c>
      <c r="I2981" s="150" t="str">
        <f t="shared" si="139"/>
        <v>53</v>
      </c>
      <c r="J2981" s="150" t="str">
        <f t="shared" si="140"/>
        <v>533</v>
      </c>
      <c r="K2981" s="150" t="s">
        <v>8493</v>
      </c>
      <c r="L2981" s="149" t="s">
        <v>333</v>
      </c>
      <c r="M2981" s="151">
        <v>133.83000000000001</v>
      </c>
    </row>
    <row r="2982" spans="1:13" s="149" customFormat="1" x14ac:dyDescent="0.25">
      <c r="A2982" s="149" t="s">
        <v>7640</v>
      </c>
      <c r="B2982" s="149" t="s">
        <v>334</v>
      </c>
      <c r="C2982" s="149">
        <v>11</v>
      </c>
      <c r="D2982" s="149">
        <v>120</v>
      </c>
      <c r="E2982" s="149">
        <v>2</v>
      </c>
      <c r="F2982" s="149">
        <v>170100</v>
      </c>
      <c r="G2982" s="149">
        <v>53510</v>
      </c>
      <c r="H2982" s="150" t="str">
        <f t="shared" si="138"/>
        <v>5</v>
      </c>
      <c r="I2982" s="150" t="str">
        <f t="shared" si="139"/>
        <v>53</v>
      </c>
      <c r="J2982" s="150" t="str">
        <f t="shared" si="140"/>
        <v>535</v>
      </c>
      <c r="K2982" s="150" t="s">
        <v>8494</v>
      </c>
      <c r="L2982" s="149" t="s">
        <v>335</v>
      </c>
      <c r="M2982" s="151">
        <v>4.5999999999999996</v>
      </c>
    </row>
    <row r="2983" spans="1:13" s="149" customFormat="1" x14ac:dyDescent="0.25">
      <c r="A2983" s="149" t="s">
        <v>7640</v>
      </c>
      <c r="B2983" s="149" t="s">
        <v>336</v>
      </c>
      <c r="C2983" s="149">
        <v>11</v>
      </c>
      <c r="D2983" s="149">
        <v>120</v>
      </c>
      <c r="E2983" s="149">
        <v>2</v>
      </c>
      <c r="F2983" s="149">
        <v>170100</v>
      </c>
      <c r="G2983" s="149">
        <v>53610</v>
      </c>
      <c r="H2983" s="150" t="str">
        <f t="shared" si="138"/>
        <v>5</v>
      </c>
      <c r="I2983" s="150" t="str">
        <f t="shared" si="139"/>
        <v>53</v>
      </c>
      <c r="J2983" s="150" t="str">
        <f t="shared" si="140"/>
        <v>536</v>
      </c>
      <c r="K2983" s="150" t="s">
        <v>8495</v>
      </c>
      <c r="L2983" s="149" t="s">
        <v>337</v>
      </c>
      <c r="M2983" s="151">
        <v>174.52</v>
      </c>
    </row>
    <row r="2984" spans="1:13" s="149" customFormat="1" x14ac:dyDescent="0.25">
      <c r="A2984" s="149" t="s">
        <v>7640</v>
      </c>
      <c r="B2984" s="149" t="s">
        <v>338</v>
      </c>
      <c r="C2984" s="149">
        <v>11</v>
      </c>
      <c r="D2984" s="149">
        <v>120</v>
      </c>
      <c r="E2984" s="149">
        <v>2</v>
      </c>
      <c r="F2984" s="149">
        <v>170100</v>
      </c>
      <c r="G2984" s="149">
        <v>55630</v>
      </c>
      <c r="H2984" s="150" t="str">
        <f t="shared" si="138"/>
        <v>5</v>
      </c>
      <c r="I2984" s="150" t="str">
        <f t="shared" si="139"/>
        <v>55</v>
      </c>
      <c r="J2984" s="150" t="str">
        <f t="shared" si="140"/>
        <v>556</v>
      </c>
      <c r="K2984" s="150" t="s">
        <v>8166</v>
      </c>
      <c r="L2984" s="149" t="s">
        <v>339</v>
      </c>
      <c r="M2984" s="151">
        <v>0</v>
      </c>
    </row>
    <row r="2985" spans="1:13" s="149" customFormat="1" x14ac:dyDescent="0.25">
      <c r="A2985" s="149" t="s">
        <v>7640</v>
      </c>
      <c r="B2985" s="149" t="s">
        <v>340</v>
      </c>
      <c r="C2985" s="149">
        <v>11</v>
      </c>
      <c r="D2985" s="149">
        <v>120</v>
      </c>
      <c r="E2985" s="149">
        <v>2</v>
      </c>
      <c r="F2985" s="149">
        <v>190200</v>
      </c>
      <c r="G2985" s="149">
        <v>51311</v>
      </c>
      <c r="H2985" s="150" t="str">
        <f t="shared" si="138"/>
        <v>5</v>
      </c>
      <c r="I2985" s="150" t="str">
        <f t="shared" si="139"/>
        <v>51</v>
      </c>
      <c r="J2985" s="150" t="str">
        <f t="shared" si="140"/>
        <v>513</v>
      </c>
      <c r="K2985" s="150" t="s">
        <v>7705</v>
      </c>
      <c r="L2985" s="149" t="s">
        <v>341</v>
      </c>
      <c r="M2985" s="151">
        <v>4481.58</v>
      </c>
    </row>
    <row r="2986" spans="1:13" s="149" customFormat="1" x14ac:dyDescent="0.25">
      <c r="A2986" s="149" t="s">
        <v>7640</v>
      </c>
      <c r="B2986" s="149" t="s">
        <v>342</v>
      </c>
      <c r="C2986" s="149">
        <v>11</v>
      </c>
      <c r="D2986" s="149">
        <v>120</v>
      </c>
      <c r="E2986" s="149">
        <v>2</v>
      </c>
      <c r="F2986" s="149">
        <v>190200</v>
      </c>
      <c r="G2986" s="149">
        <v>53110</v>
      </c>
      <c r="H2986" s="150" t="str">
        <f t="shared" si="138"/>
        <v>5</v>
      </c>
      <c r="I2986" s="150" t="str">
        <f t="shared" si="139"/>
        <v>53</v>
      </c>
      <c r="J2986" s="150" t="str">
        <f t="shared" si="140"/>
        <v>531</v>
      </c>
      <c r="K2986" s="150" t="s">
        <v>8496</v>
      </c>
      <c r="L2986" s="149" t="s">
        <v>343</v>
      </c>
      <c r="M2986" s="151">
        <v>723.78</v>
      </c>
    </row>
    <row r="2987" spans="1:13" s="149" customFormat="1" x14ac:dyDescent="0.25">
      <c r="A2987" s="149" t="s">
        <v>7640</v>
      </c>
      <c r="B2987" s="149" t="s">
        <v>344</v>
      </c>
      <c r="C2987" s="149">
        <v>11</v>
      </c>
      <c r="D2987" s="149">
        <v>120</v>
      </c>
      <c r="E2987" s="149">
        <v>2</v>
      </c>
      <c r="F2987" s="149">
        <v>190200</v>
      </c>
      <c r="G2987" s="149">
        <v>53330</v>
      </c>
      <c r="H2987" s="150" t="str">
        <f t="shared" si="138"/>
        <v>5</v>
      </c>
      <c r="I2987" s="150" t="str">
        <f t="shared" si="139"/>
        <v>53</v>
      </c>
      <c r="J2987" s="150" t="str">
        <f t="shared" si="140"/>
        <v>533</v>
      </c>
      <c r="K2987" s="150" t="s">
        <v>8497</v>
      </c>
      <c r="L2987" s="149" t="s">
        <v>345</v>
      </c>
      <c r="M2987" s="151">
        <v>64.98</v>
      </c>
    </row>
    <row r="2988" spans="1:13" s="149" customFormat="1" x14ac:dyDescent="0.25">
      <c r="A2988" s="149" t="s">
        <v>7640</v>
      </c>
      <c r="B2988" s="149" t="s">
        <v>346</v>
      </c>
      <c r="C2988" s="149">
        <v>11</v>
      </c>
      <c r="D2988" s="149">
        <v>120</v>
      </c>
      <c r="E2988" s="149">
        <v>2</v>
      </c>
      <c r="F2988" s="149">
        <v>190200</v>
      </c>
      <c r="G2988" s="149">
        <v>53510</v>
      </c>
      <c r="H2988" s="150" t="str">
        <f t="shared" si="138"/>
        <v>5</v>
      </c>
      <c r="I2988" s="150" t="str">
        <f t="shared" si="139"/>
        <v>53</v>
      </c>
      <c r="J2988" s="150" t="str">
        <f t="shared" si="140"/>
        <v>535</v>
      </c>
      <c r="K2988" s="150" t="s">
        <v>8498</v>
      </c>
      <c r="L2988" s="149" t="s">
        <v>347</v>
      </c>
      <c r="M2988" s="151">
        <v>2.2200000000000002</v>
      </c>
    </row>
    <row r="2989" spans="1:13" s="149" customFormat="1" x14ac:dyDescent="0.25">
      <c r="A2989" s="149" t="s">
        <v>7640</v>
      </c>
      <c r="B2989" s="149" t="s">
        <v>348</v>
      </c>
      <c r="C2989" s="149">
        <v>11</v>
      </c>
      <c r="D2989" s="149">
        <v>120</v>
      </c>
      <c r="E2989" s="149">
        <v>2</v>
      </c>
      <c r="F2989" s="149">
        <v>190200</v>
      </c>
      <c r="G2989" s="149">
        <v>53610</v>
      </c>
      <c r="H2989" s="150" t="str">
        <f t="shared" si="138"/>
        <v>5</v>
      </c>
      <c r="I2989" s="150" t="str">
        <f t="shared" si="139"/>
        <v>53</v>
      </c>
      <c r="J2989" s="150" t="str">
        <f t="shared" si="140"/>
        <v>536</v>
      </c>
      <c r="K2989" s="150" t="s">
        <v>8499</v>
      </c>
      <c r="L2989" s="149" t="s">
        <v>349</v>
      </c>
      <c r="M2989" s="151">
        <v>84.75</v>
      </c>
    </row>
    <row r="2990" spans="1:13" s="149" customFormat="1" x14ac:dyDescent="0.25">
      <c r="A2990" s="149" t="s">
        <v>7640</v>
      </c>
      <c r="B2990" s="149" t="s">
        <v>350</v>
      </c>
      <c r="C2990" s="149">
        <v>11</v>
      </c>
      <c r="D2990" s="149">
        <v>120</v>
      </c>
      <c r="E2990" s="149">
        <v>2</v>
      </c>
      <c r="F2990" s="149">
        <v>190200</v>
      </c>
      <c r="G2990" s="149">
        <v>55630</v>
      </c>
      <c r="H2990" s="150" t="str">
        <f t="shared" si="138"/>
        <v>5</v>
      </c>
      <c r="I2990" s="150" t="str">
        <f t="shared" si="139"/>
        <v>55</v>
      </c>
      <c r="J2990" s="150" t="str">
        <f t="shared" si="140"/>
        <v>556</v>
      </c>
      <c r="K2990" s="150" t="s">
        <v>8167</v>
      </c>
      <c r="L2990" s="149" t="s">
        <v>351</v>
      </c>
      <c r="M2990" s="151">
        <v>0</v>
      </c>
    </row>
    <row r="2991" spans="1:13" s="149" customFormat="1" x14ac:dyDescent="0.25">
      <c r="A2991" s="149" t="s">
        <v>7640</v>
      </c>
      <c r="B2991" s="149" t="s">
        <v>352</v>
      </c>
      <c r="C2991" s="149">
        <v>11</v>
      </c>
      <c r="D2991" s="149">
        <v>120</v>
      </c>
      <c r="E2991" s="149">
        <v>2</v>
      </c>
      <c r="F2991" s="149">
        <v>191900</v>
      </c>
      <c r="G2991" s="149">
        <v>51311</v>
      </c>
      <c r="H2991" s="150" t="str">
        <f t="shared" si="138"/>
        <v>5</v>
      </c>
      <c r="I2991" s="150" t="str">
        <f t="shared" si="139"/>
        <v>51</v>
      </c>
      <c r="J2991" s="150" t="str">
        <f t="shared" si="140"/>
        <v>513</v>
      </c>
      <c r="K2991" s="150" t="s">
        <v>7706</v>
      </c>
      <c r="L2991" s="149" t="s">
        <v>353</v>
      </c>
      <c r="M2991" s="151">
        <v>0</v>
      </c>
    </row>
    <row r="2992" spans="1:13" s="149" customFormat="1" x14ac:dyDescent="0.25">
      <c r="A2992" s="149" t="s">
        <v>7640</v>
      </c>
      <c r="B2992" s="149" t="s">
        <v>354</v>
      </c>
      <c r="C2992" s="149">
        <v>11</v>
      </c>
      <c r="D2992" s="149">
        <v>120</v>
      </c>
      <c r="E2992" s="149">
        <v>2</v>
      </c>
      <c r="F2992" s="149">
        <v>191900</v>
      </c>
      <c r="G2992" s="149">
        <v>53110</v>
      </c>
      <c r="H2992" s="150" t="str">
        <f t="shared" si="138"/>
        <v>5</v>
      </c>
      <c r="I2992" s="150" t="str">
        <f t="shared" si="139"/>
        <v>53</v>
      </c>
      <c r="J2992" s="150" t="str">
        <f t="shared" si="140"/>
        <v>531</v>
      </c>
      <c r="K2992" s="150" t="s">
        <v>8500</v>
      </c>
      <c r="L2992" s="149" t="s">
        <v>355</v>
      </c>
      <c r="M2992" s="151">
        <v>0</v>
      </c>
    </row>
    <row r="2993" spans="1:13" s="149" customFormat="1" x14ac:dyDescent="0.25">
      <c r="A2993" s="149" t="s">
        <v>7640</v>
      </c>
      <c r="B2993" s="149" t="s">
        <v>356</v>
      </c>
      <c r="C2993" s="149">
        <v>11</v>
      </c>
      <c r="D2993" s="149">
        <v>120</v>
      </c>
      <c r="E2993" s="149">
        <v>2</v>
      </c>
      <c r="F2993" s="149">
        <v>191900</v>
      </c>
      <c r="G2993" s="149">
        <v>53330</v>
      </c>
      <c r="H2993" s="150" t="str">
        <f t="shared" si="138"/>
        <v>5</v>
      </c>
      <c r="I2993" s="150" t="str">
        <f t="shared" si="139"/>
        <v>53</v>
      </c>
      <c r="J2993" s="150" t="str">
        <f t="shared" si="140"/>
        <v>533</v>
      </c>
      <c r="K2993" s="150" t="s">
        <v>8501</v>
      </c>
      <c r="L2993" s="149" t="s">
        <v>357</v>
      </c>
      <c r="M2993" s="151">
        <v>0</v>
      </c>
    </row>
    <row r="2994" spans="1:13" s="149" customFormat="1" x14ac:dyDescent="0.25">
      <c r="A2994" s="149" t="s">
        <v>7640</v>
      </c>
      <c r="B2994" s="149" t="s">
        <v>358</v>
      </c>
      <c r="C2994" s="149">
        <v>11</v>
      </c>
      <c r="D2994" s="149">
        <v>120</v>
      </c>
      <c r="E2994" s="149">
        <v>2</v>
      </c>
      <c r="F2994" s="149">
        <v>191900</v>
      </c>
      <c r="G2994" s="149">
        <v>53510</v>
      </c>
      <c r="H2994" s="150" t="str">
        <f t="shared" si="138"/>
        <v>5</v>
      </c>
      <c r="I2994" s="150" t="str">
        <f t="shared" si="139"/>
        <v>53</v>
      </c>
      <c r="J2994" s="150" t="str">
        <f t="shared" si="140"/>
        <v>535</v>
      </c>
      <c r="K2994" s="150" t="s">
        <v>8502</v>
      </c>
      <c r="L2994" s="149" t="s">
        <v>359</v>
      </c>
      <c r="M2994" s="151">
        <v>0</v>
      </c>
    </row>
    <row r="2995" spans="1:13" s="149" customFormat="1" x14ac:dyDescent="0.25">
      <c r="A2995" s="149" t="s">
        <v>7640</v>
      </c>
      <c r="B2995" s="149" t="s">
        <v>360</v>
      </c>
      <c r="C2995" s="149">
        <v>11</v>
      </c>
      <c r="D2995" s="149">
        <v>120</v>
      </c>
      <c r="E2995" s="149">
        <v>2</v>
      </c>
      <c r="F2995" s="149">
        <v>191900</v>
      </c>
      <c r="G2995" s="149">
        <v>53610</v>
      </c>
      <c r="H2995" s="150" t="str">
        <f t="shared" si="138"/>
        <v>5</v>
      </c>
      <c r="I2995" s="150" t="str">
        <f t="shared" si="139"/>
        <v>53</v>
      </c>
      <c r="J2995" s="150" t="str">
        <f t="shared" si="140"/>
        <v>536</v>
      </c>
      <c r="K2995" s="150" t="s">
        <v>8503</v>
      </c>
      <c r="L2995" s="149" t="s">
        <v>361</v>
      </c>
      <c r="M2995" s="151">
        <v>0</v>
      </c>
    </row>
    <row r="2996" spans="1:13" s="149" customFormat="1" x14ac:dyDescent="0.25">
      <c r="A2996" s="149" t="s">
        <v>7640</v>
      </c>
      <c r="B2996" s="149" t="s">
        <v>362</v>
      </c>
      <c r="C2996" s="149">
        <v>11</v>
      </c>
      <c r="D2996" s="149">
        <v>120</v>
      </c>
      <c r="E2996" s="149">
        <v>2</v>
      </c>
      <c r="F2996" s="149">
        <v>200100</v>
      </c>
      <c r="G2996" s="149">
        <v>51311</v>
      </c>
      <c r="H2996" s="150" t="str">
        <f t="shared" si="138"/>
        <v>5</v>
      </c>
      <c r="I2996" s="150" t="str">
        <f t="shared" si="139"/>
        <v>51</v>
      </c>
      <c r="J2996" s="150" t="str">
        <f t="shared" si="140"/>
        <v>513</v>
      </c>
      <c r="K2996" s="150" t="s">
        <v>7707</v>
      </c>
      <c r="L2996" s="149" t="s">
        <v>363</v>
      </c>
      <c r="M2996" s="151">
        <v>30253.46</v>
      </c>
    </row>
    <row r="2997" spans="1:13" s="149" customFormat="1" x14ac:dyDescent="0.25">
      <c r="A2997" s="149" t="s">
        <v>7640</v>
      </c>
      <c r="B2997" s="149" t="s">
        <v>364</v>
      </c>
      <c r="C2997" s="149">
        <v>11</v>
      </c>
      <c r="D2997" s="149">
        <v>120</v>
      </c>
      <c r="E2997" s="149">
        <v>2</v>
      </c>
      <c r="F2997" s="149">
        <v>200100</v>
      </c>
      <c r="G2997" s="149">
        <v>53110</v>
      </c>
      <c r="H2997" s="150" t="str">
        <f t="shared" si="138"/>
        <v>5</v>
      </c>
      <c r="I2997" s="150" t="str">
        <f t="shared" si="139"/>
        <v>53</v>
      </c>
      <c r="J2997" s="150" t="str">
        <f t="shared" si="140"/>
        <v>531</v>
      </c>
      <c r="K2997" s="150" t="s">
        <v>8504</v>
      </c>
      <c r="L2997" s="149" t="s">
        <v>365</v>
      </c>
      <c r="M2997" s="151">
        <v>3423.76</v>
      </c>
    </row>
    <row r="2998" spans="1:13" s="149" customFormat="1" x14ac:dyDescent="0.25">
      <c r="A2998" s="149" t="s">
        <v>7640</v>
      </c>
      <c r="B2998" s="149" t="s">
        <v>366</v>
      </c>
      <c r="C2998" s="149">
        <v>11</v>
      </c>
      <c r="D2998" s="149">
        <v>120</v>
      </c>
      <c r="E2998" s="149">
        <v>2</v>
      </c>
      <c r="F2998" s="149">
        <v>200100</v>
      </c>
      <c r="G2998" s="149">
        <v>53310</v>
      </c>
      <c r="H2998" s="150" t="str">
        <f t="shared" si="138"/>
        <v>5</v>
      </c>
      <c r="I2998" s="150" t="str">
        <f t="shared" si="139"/>
        <v>53</v>
      </c>
      <c r="J2998" s="150" t="str">
        <f t="shared" si="140"/>
        <v>533</v>
      </c>
      <c r="K2998" s="150" t="s">
        <v>8505</v>
      </c>
      <c r="L2998" s="149" t="s">
        <v>367</v>
      </c>
      <c r="M2998" s="151">
        <v>561.34</v>
      </c>
    </row>
    <row r="2999" spans="1:13" s="149" customFormat="1" x14ac:dyDescent="0.25">
      <c r="A2999" s="149" t="s">
        <v>7640</v>
      </c>
      <c r="B2999" s="149" t="s">
        <v>368</v>
      </c>
      <c r="C2999" s="149">
        <v>11</v>
      </c>
      <c r="D2999" s="149">
        <v>120</v>
      </c>
      <c r="E2999" s="149">
        <v>2</v>
      </c>
      <c r="F2999" s="149">
        <v>200100</v>
      </c>
      <c r="G2999" s="149">
        <v>53330</v>
      </c>
      <c r="H2999" s="150" t="str">
        <f t="shared" si="138"/>
        <v>5</v>
      </c>
      <c r="I2999" s="150" t="str">
        <f t="shared" si="139"/>
        <v>53</v>
      </c>
      <c r="J2999" s="150" t="str">
        <f t="shared" si="140"/>
        <v>533</v>
      </c>
      <c r="K2999" s="150" t="s">
        <v>8506</v>
      </c>
      <c r="L2999" s="149" t="s">
        <v>369</v>
      </c>
      <c r="M2999" s="151">
        <v>438.61</v>
      </c>
    </row>
    <row r="3000" spans="1:13" s="149" customFormat="1" x14ac:dyDescent="0.25">
      <c r="A3000" s="149" t="s">
        <v>7640</v>
      </c>
      <c r="B3000" s="149" t="s">
        <v>370</v>
      </c>
      <c r="C3000" s="149">
        <v>11</v>
      </c>
      <c r="D3000" s="149">
        <v>120</v>
      </c>
      <c r="E3000" s="149">
        <v>2</v>
      </c>
      <c r="F3000" s="149">
        <v>200100</v>
      </c>
      <c r="G3000" s="149">
        <v>53510</v>
      </c>
      <c r="H3000" s="150" t="str">
        <f t="shared" si="138"/>
        <v>5</v>
      </c>
      <c r="I3000" s="150" t="str">
        <f t="shared" si="139"/>
        <v>53</v>
      </c>
      <c r="J3000" s="150" t="str">
        <f t="shared" si="140"/>
        <v>535</v>
      </c>
      <c r="K3000" s="150" t="s">
        <v>8507</v>
      </c>
      <c r="L3000" s="149" t="s">
        <v>371</v>
      </c>
      <c r="M3000" s="151">
        <v>15.16</v>
      </c>
    </row>
    <row r="3001" spans="1:13" s="149" customFormat="1" x14ac:dyDescent="0.25">
      <c r="A3001" s="149" t="s">
        <v>7640</v>
      </c>
      <c r="B3001" s="149" t="s">
        <v>372</v>
      </c>
      <c r="C3001" s="149">
        <v>11</v>
      </c>
      <c r="D3001" s="149">
        <v>120</v>
      </c>
      <c r="E3001" s="149">
        <v>2</v>
      </c>
      <c r="F3001" s="149">
        <v>200100</v>
      </c>
      <c r="G3001" s="149">
        <v>53610</v>
      </c>
      <c r="H3001" s="150" t="str">
        <f t="shared" si="138"/>
        <v>5</v>
      </c>
      <c r="I3001" s="150" t="str">
        <f t="shared" si="139"/>
        <v>53</v>
      </c>
      <c r="J3001" s="150" t="str">
        <f t="shared" si="140"/>
        <v>536</v>
      </c>
      <c r="K3001" s="150" t="s">
        <v>8508</v>
      </c>
      <c r="L3001" s="149" t="s">
        <v>373</v>
      </c>
      <c r="M3001" s="151">
        <v>572.09</v>
      </c>
    </row>
    <row r="3002" spans="1:13" s="149" customFormat="1" x14ac:dyDescent="0.25">
      <c r="A3002" s="149" t="s">
        <v>7640</v>
      </c>
      <c r="B3002" s="149" t="s">
        <v>374</v>
      </c>
      <c r="C3002" s="149">
        <v>11</v>
      </c>
      <c r="D3002" s="149">
        <v>120</v>
      </c>
      <c r="E3002" s="149">
        <v>2</v>
      </c>
      <c r="F3002" s="149">
        <v>210500</v>
      </c>
      <c r="G3002" s="149">
        <v>51311</v>
      </c>
      <c r="H3002" s="150" t="str">
        <f t="shared" si="138"/>
        <v>5</v>
      </c>
      <c r="I3002" s="150" t="str">
        <f t="shared" si="139"/>
        <v>51</v>
      </c>
      <c r="J3002" s="150" t="str">
        <f t="shared" si="140"/>
        <v>513</v>
      </c>
      <c r="K3002" s="150" t="s">
        <v>7708</v>
      </c>
      <c r="L3002" s="149" t="s">
        <v>375</v>
      </c>
      <c r="M3002" s="151">
        <v>15638.82</v>
      </c>
    </row>
    <row r="3003" spans="1:13" s="149" customFormat="1" x14ac:dyDescent="0.25">
      <c r="A3003" s="149" t="s">
        <v>7640</v>
      </c>
      <c r="B3003" s="149" t="s">
        <v>376</v>
      </c>
      <c r="C3003" s="149">
        <v>11</v>
      </c>
      <c r="D3003" s="149">
        <v>120</v>
      </c>
      <c r="E3003" s="149">
        <v>2</v>
      </c>
      <c r="F3003" s="149">
        <v>210500</v>
      </c>
      <c r="G3003" s="149">
        <v>53110</v>
      </c>
      <c r="H3003" s="150" t="str">
        <f t="shared" si="138"/>
        <v>5</v>
      </c>
      <c r="I3003" s="150" t="str">
        <f t="shared" si="139"/>
        <v>53</v>
      </c>
      <c r="J3003" s="150" t="str">
        <f t="shared" si="140"/>
        <v>531</v>
      </c>
      <c r="K3003" s="150" t="s">
        <v>8509</v>
      </c>
      <c r="L3003" s="149" t="s">
        <v>377</v>
      </c>
      <c r="M3003" s="151">
        <v>0</v>
      </c>
    </row>
    <row r="3004" spans="1:13" s="149" customFormat="1" x14ac:dyDescent="0.25">
      <c r="A3004" s="149" t="s">
        <v>7640</v>
      </c>
      <c r="B3004" s="149" t="s">
        <v>378</v>
      </c>
      <c r="C3004" s="149">
        <v>11</v>
      </c>
      <c r="D3004" s="149">
        <v>120</v>
      </c>
      <c r="E3004" s="149">
        <v>2</v>
      </c>
      <c r="F3004" s="149">
        <v>210500</v>
      </c>
      <c r="G3004" s="149">
        <v>53310</v>
      </c>
      <c r="H3004" s="150" t="str">
        <f t="shared" si="138"/>
        <v>5</v>
      </c>
      <c r="I3004" s="150" t="str">
        <f t="shared" si="139"/>
        <v>53</v>
      </c>
      <c r="J3004" s="150" t="str">
        <f t="shared" si="140"/>
        <v>533</v>
      </c>
      <c r="K3004" s="150" t="s">
        <v>8510</v>
      </c>
      <c r="L3004" s="149" t="s">
        <v>379</v>
      </c>
      <c r="M3004" s="151">
        <v>969.62</v>
      </c>
    </row>
    <row r="3005" spans="1:13" s="149" customFormat="1" x14ac:dyDescent="0.25">
      <c r="A3005" s="149" t="s">
        <v>7640</v>
      </c>
      <c r="B3005" s="149" t="s">
        <v>380</v>
      </c>
      <c r="C3005" s="149">
        <v>11</v>
      </c>
      <c r="D3005" s="149">
        <v>120</v>
      </c>
      <c r="E3005" s="149">
        <v>2</v>
      </c>
      <c r="F3005" s="149">
        <v>210500</v>
      </c>
      <c r="G3005" s="149">
        <v>53330</v>
      </c>
      <c r="H3005" s="150" t="str">
        <f t="shared" si="138"/>
        <v>5</v>
      </c>
      <c r="I3005" s="150" t="str">
        <f t="shared" si="139"/>
        <v>53</v>
      </c>
      <c r="J3005" s="150" t="str">
        <f t="shared" si="140"/>
        <v>533</v>
      </c>
      <c r="K3005" s="150" t="s">
        <v>8511</v>
      </c>
      <c r="L3005" s="149" t="s">
        <v>381</v>
      </c>
      <c r="M3005" s="151">
        <v>226.73</v>
      </c>
    </row>
    <row r="3006" spans="1:13" s="149" customFormat="1" x14ac:dyDescent="0.25">
      <c r="A3006" s="149" t="s">
        <v>7640</v>
      </c>
      <c r="B3006" s="149" t="s">
        <v>382</v>
      </c>
      <c r="C3006" s="149">
        <v>11</v>
      </c>
      <c r="D3006" s="149">
        <v>120</v>
      </c>
      <c r="E3006" s="149">
        <v>2</v>
      </c>
      <c r="F3006" s="149">
        <v>210500</v>
      </c>
      <c r="G3006" s="149">
        <v>53510</v>
      </c>
      <c r="H3006" s="150" t="str">
        <f t="shared" si="138"/>
        <v>5</v>
      </c>
      <c r="I3006" s="150" t="str">
        <f t="shared" si="139"/>
        <v>53</v>
      </c>
      <c r="J3006" s="150" t="str">
        <f t="shared" si="140"/>
        <v>535</v>
      </c>
      <c r="K3006" s="150" t="s">
        <v>8512</v>
      </c>
      <c r="L3006" s="149" t="s">
        <v>383</v>
      </c>
      <c r="M3006" s="151">
        <v>7.82</v>
      </c>
    </row>
    <row r="3007" spans="1:13" s="149" customFormat="1" x14ac:dyDescent="0.25">
      <c r="A3007" s="149" t="s">
        <v>7640</v>
      </c>
      <c r="B3007" s="149" t="s">
        <v>384</v>
      </c>
      <c r="C3007" s="149">
        <v>11</v>
      </c>
      <c r="D3007" s="149">
        <v>120</v>
      </c>
      <c r="E3007" s="149">
        <v>2</v>
      </c>
      <c r="F3007" s="149">
        <v>210500</v>
      </c>
      <c r="G3007" s="149">
        <v>53610</v>
      </c>
      <c r="H3007" s="150" t="str">
        <f t="shared" si="138"/>
        <v>5</v>
      </c>
      <c r="I3007" s="150" t="str">
        <f t="shared" si="139"/>
        <v>53</v>
      </c>
      <c r="J3007" s="150" t="str">
        <f t="shared" si="140"/>
        <v>536</v>
      </c>
      <c r="K3007" s="150" t="s">
        <v>8513</v>
      </c>
      <c r="L3007" s="149" t="s">
        <v>385</v>
      </c>
      <c r="M3007" s="151">
        <v>295.73</v>
      </c>
    </row>
    <row r="3008" spans="1:13" s="149" customFormat="1" x14ac:dyDescent="0.25">
      <c r="A3008" s="149" t="s">
        <v>7640</v>
      </c>
      <c r="B3008" s="149" t="s">
        <v>386</v>
      </c>
      <c r="C3008" s="149">
        <v>11</v>
      </c>
      <c r="D3008" s="149">
        <v>120</v>
      </c>
      <c r="E3008" s="149">
        <v>2</v>
      </c>
      <c r="F3008" s="149">
        <v>210500</v>
      </c>
      <c r="G3008" s="149">
        <v>55630</v>
      </c>
      <c r="H3008" s="150" t="str">
        <f t="shared" si="138"/>
        <v>5</v>
      </c>
      <c r="I3008" s="150" t="str">
        <f t="shared" si="139"/>
        <v>55</v>
      </c>
      <c r="J3008" s="150" t="str">
        <f t="shared" si="140"/>
        <v>556</v>
      </c>
      <c r="K3008" s="150" t="s">
        <v>8168</v>
      </c>
      <c r="L3008" s="149" t="s">
        <v>387</v>
      </c>
      <c r="M3008" s="151">
        <v>0</v>
      </c>
    </row>
    <row r="3009" spans="1:13" s="149" customFormat="1" x14ac:dyDescent="0.25">
      <c r="A3009" s="149" t="s">
        <v>7640</v>
      </c>
      <c r="B3009" s="149" t="s">
        <v>388</v>
      </c>
      <c r="C3009" s="149">
        <v>11</v>
      </c>
      <c r="D3009" s="149">
        <v>120</v>
      </c>
      <c r="E3009" s="149">
        <v>2</v>
      </c>
      <c r="F3009" s="149">
        <v>220200</v>
      </c>
      <c r="G3009" s="149">
        <v>51311</v>
      </c>
      <c r="H3009" s="150" t="str">
        <f t="shared" si="138"/>
        <v>5</v>
      </c>
      <c r="I3009" s="150" t="str">
        <f t="shared" si="139"/>
        <v>51</v>
      </c>
      <c r="J3009" s="150" t="str">
        <f t="shared" si="140"/>
        <v>513</v>
      </c>
      <c r="K3009" s="150" t="s">
        <v>7709</v>
      </c>
      <c r="L3009" s="149" t="s">
        <v>389</v>
      </c>
      <c r="M3009" s="151">
        <v>8424</v>
      </c>
    </row>
    <row r="3010" spans="1:13" s="149" customFormat="1" x14ac:dyDescent="0.25">
      <c r="A3010" s="149" t="s">
        <v>7640</v>
      </c>
      <c r="B3010" s="149" t="s">
        <v>390</v>
      </c>
      <c r="C3010" s="149">
        <v>11</v>
      </c>
      <c r="D3010" s="149">
        <v>120</v>
      </c>
      <c r="E3010" s="149">
        <v>2</v>
      </c>
      <c r="F3010" s="149">
        <v>220200</v>
      </c>
      <c r="G3010" s="149">
        <v>53110</v>
      </c>
      <c r="H3010" s="150" t="str">
        <f t="shared" si="138"/>
        <v>5</v>
      </c>
      <c r="I3010" s="150" t="str">
        <f t="shared" si="139"/>
        <v>53</v>
      </c>
      <c r="J3010" s="150" t="str">
        <f t="shared" si="140"/>
        <v>531</v>
      </c>
      <c r="K3010" s="150" t="s">
        <v>8514</v>
      </c>
      <c r="L3010" s="149" t="s">
        <v>391</v>
      </c>
      <c r="M3010" s="151">
        <v>0</v>
      </c>
    </row>
    <row r="3011" spans="1:13" s="149" customFormat="1" x14ac:dyDescent="0.25">
      <c r="A3011" s="149" t="s">
        <v>7640</v>
      </c>
      <c r="B3011" s="149" t="s">
        <v>392</v>
      </c>
      <c r="C3011" s="149">
        <v>11</v>
      </c>
      <c r="D3011" s="149">
        <v>120</v>
      </c>
      <c r="E3011" s="149">
        <v>2</v>
      </c>
      <c r="F3011" s="149">
        <v>220200</v>
      </c>
      <c r="G3011" s="149">
        <v>53330</v>
      </c>
      <c r="H3011" s="150" t="str">
        <f t="shared" ref="H3011:H3074" si="141">LEFT(G3011,1)</f>
        <v>5</v>
      </c>
      <c r="I3011" s="150" t="str">
        <f t="shared" ref="I3011:I3074" si="142">LEFT(G3011,2)</f>
        <v>53</v>
      </c>
      <c r="J3011" s="150" t="str">
        <f t="shared" ref="J3011:J3074" si="143">LEFT(G3011,3)</f>
        <v>533</v>
      </c>
      <c r="K3011" s="150" t="s">
        <v>8515</v>
      </c>
      <c r="L3011" s="149" t="s">
        <v>393</v>
      </c>
      <c r="M3011" s="151">
        <v>122.16</v>
      </c>
    </row>
    <row r="3012" spans="1:13" s="149" customFormat="1" x14ac:dyDescent="0.25">
      <c r="A3012" s="149" t="s">
        <v>7640</v>
      </c>
      <c r="B3012" s="149" t="s">
        <v>394</v>
      </c>
      <c r="C3012" s="149">
        <v>11</v>
      </c>
      <c r="D3012" s="149">
        <v>120</v>
      </c>
      <c r="E3012" s="149">
        <v>2</v>
      </c>
      <c r="F3012" s="149">
        <v>220200</v>
      </c>
      <c r="G3012" s="149">
        <v>53510</v>
      </c>
      <c r="H3012" s="150" t="str">
        <f t="shared" si="141"/>
        <v>5</v>
      </c>
      <c r="I3012" s="150" t="str">
        <f t="shared" si="142"/>
        <v>53</v>
      </c>
      <c r="J3012" s="150" t="str">
        <f t="shared" si="143"/>
        <v>535</v>
      </c>
      <c r="K3012" s="150" t="s">
        <v>8516</v>
      </c>
      <c r="L3012" s="149" t="s">
        <v>395</v>
      </c>
      <c r="M3012" s="151">
        <v>4.21</v>
      </c>
    </row>
    <row r="3013" spans="1:13" s="149" customFormat="1" x14ac:dyDescent="0.25">
      <c r="A3013" s="149" t="s">
        <v>7640</v>
      </c>
      <c r="B3013" s="149" t="s">
        <v>396</v>
      </c>
      <c r="C3013" s="149">
        <v>11</v>
      </c>
      <c r="D3013" s="149">
        <v>120</v>
      </c>
      <c r="E3013" s="149">
        <v>2</v>
      </c>
      <c r="F3013" s="149">
        <v>220200</v>
      </c>
      <c r="G3013" s="149">
        <v>53610</v>
      </c>
      <c r="H3013" s="150" t="str">
        <f t="shared" si="141"/>
        <v>5</v>
      </c>
      <c r="I3013" s="150" t="str">
        <f t="shared" si="142"/>
        <v>53</v>
      </c>
      <c r="J3013" s="150" t="str">
        <f t="shared" si="143"/>
        <v>536</v>
      </c>
      <c r="K3013" s="150" t="s">
        <v>8517</v>
      </c>
      <c r="L3013" s="149" t="s">
        <v>397</v>
      </c>
      <c r="M3013" s="151">
        <v>159.29</v>
      </c>
    </row>
    <row r="3014" spans="1:13" s="149" customFormat="1" x14ac:dyDescent="0.25">
      <c r="A3014" s="149" t="s">
        <v>7640</v>
      </c>
      <c r="B3014" s="149" t="s">
        <v>398</v>
      </c>
      <c r="C3014" s="149">
        <v>11</v>
      </c>
      <c r="D3014" s="149">
        <v>120</v>
      </c>
      <c r="E3014" s="149">
        <v>2</v>
      </c>
      <c r="F3014" s="149">
        <v>220200</v>
      </c>
      <c r="G3014" s="149">
        <v>55630</v>
      </c>
      <c r="H3014" s="150" t="str">
        <f t="shared" si="141"/>
        <v>5</v>
      </c>
      <c r="I3014" s="150" t="str">
        <f t="shared" si="142"/>
        <v>55</v>
      </c>
      <c r="J3014" s="150" t="str">
        <f t="shared" si="143"/>
        <v>556</v>
      </c>
      <c r="K3014" s="150" t="s">
        <v>8169</v>
      </c>
      <c r="L3014" s="149" t="s">
        <v>399</v>
      </c>
      <c r="M3014" s="151">
        <v>0</v>
      </c>
    </row>
    <row r="3015" spans="1:13" s="149" customFormat="1" x14ac:dyDescent="0.25">
      <c r="A3015" s="149" t="s">
        <v>7640</v>
      </c>
      <c r="B3015" s="149" t="s">
        <v>400</v>
      </c>
      <c r="C3015" s="149">
        <v>11</v>
      </c>
      <c r="D3015" s="149">
        <v>120</v>
      </c>
      <c r="E3015" s="149">
        <v>2</v>
      </c>
      <c r="F3015" s="149">
        <v>220210</v>
      </c>
      <c r="G3015" s="149">
        <v>51311</v>
      </c>
      <c r="H3015" s="150" t="str">
        <f t="shared" si="141"/>
        <v>5</v>
      </c>
      <c r="I3015" s="150" t="str">
        <f t="shared" si="142"/>
        <v>51</v>
      </c>
      <c r="J3015" s="150" t="str">
        <f t="shared" si="143"/>
        <v>513</v>
      </c>
      <c r="K3015" s="150" t="s">
        <v>7710</v>
      </c>
      <c r="L3015" s="149" t="s">
        <v>401</v>
      </c>
      <c r="M3015" s="151">
        <v>6922.44</v>
      </c>
    </row>
    <row r="3016" spans="1:13" s="149" customFormat="1" x14ac:dyDescent="0.25">
      <c r="A3016" s="149" t="s">
        <v>7640</v>
      </c>
      <c r="B3016" s="149" t="s">
        <v>402</v>
      </c>
      <c r="C3016" s="149">
        <v>11</v>
      </c>
      <c r="D3016" s="149">
        <v>120</v>
      </c>
      <c r="E3016" s="149">
        <v>2</v>
      </c>
      <c r="F3016" s="149">
        <v>220210</v>
      </c>
      <c r="G3016" s="149">
        <v>53110</v>
      </c>
      <c r="H3016" s="150" t="str">
        <f t="shared" si="141"/>
        <v>5</v>
      </c>
      <c r="I3016" s="150" t="str">
        <f t="shared" si="142"/>
        <v>53</v>
      </c>
      <c r="J3016" s="150" t="str">
        <f t="shared" si="143"/>
        <v>531</v>
      </c>
      <c r="K3016" s="150" t="s">
        <v>8518</v>
      </c>
      <c r="L3016" s="149" t="s">
        <v>403</v>
      </c>
      <c r="M3016" s="151">
        <v>1117.97</v>
      </c>
    </row>
    <row r="3017" spans="1:13" s="149" customFormat="1" x14ac:dyDescent="0.25">
      <c r="A3017" s="149" t="s">
        <v>7640</v>
      </c>
      <c r="B3017" s="149" t="s">
        <v>404</v>
      </c>
      <c r="C3017" s="149">
        <v>11</v>
      </c>
      <c r="D3017" s="149">
        <v>120</v>
      </c>
      <c r="E3017" s="149">
        <v>2</v>
      </c>
      <c r="F3017" s="149">
        <v>220210</v>
      </c>
      <c r="G3017" s="149">
        <v>53330</v>
      </c>
      <c r="H3017" s="150" t="str">
        <f t="shared" si="141"/>
        <v>5</v>
      </c>
      <c r="I3017" s="150" t="str">
        <f t="shared" si="142"/>
        <v>53</v>
      </c>
      <c r="J3017" s="150" t="str">
        <f t="shared" si="143"/>
        <v>533</v>
      </c>
      <c r="K3017" s="150" t="s">
        <v>8519</v>
      </c>
      <c r="L3017" s="149" t="s">
        <v>405</v>
      </c>
      <c r="M3017" s="151">
        <v>100.37</v>
      </c>
    </row>
    <row r="3018" spans="1:13" s="149" customFormat="1" x14ac:dyDescent="0.25">
      <c r="A3018" s="149" t="s">
        <v>7640</v>
      </c>
      <c r="B3018" s="149" t="s">
        <v>406</v>
      </c>
      <c r="C3018" s="149">
        <v>11</v>
      </c>
      <c r="D3018" s="149">
        <v>120</v>
      </c>
      <c r="E3018" s="149">
        <v>2</v>
      </c>
      <c r="F3018" s="149">
        <v>220210</v>
      </c>
      <c r="G3018" s="149">
        <v>53510</v>
      </c>
      <c r="H3018" s="150" t="str">
        <f t="shared" si="141"/>
        <v>5</v>
      </c>
      <c r="I3018" s="150" t="str">
        <f t="shared" si="142"/>
        <v>53</v>
      </c>
      <c r="J3018" s="150" t="str">
        <f t="shared" si="143"/>
        <v>535</v>
      </c>
      <c r="K3018" s="150" t="s">
        <v>8520</v>
      </c>
      <c r="L3018" s="149" t="s">
        <v>407</v>
      </c>
      <c r="M3018" s="151">
        <v>3.46</v>
      </c>
    </row>
    <row r="3019" spans="1:13" s="149" customFormat="1" x14ac:dyDescent="0.25">
      <c r="A3019" s="149" t="s">
        <v>7640</v>
      </c>
      <c r="B3019" s="149" t="s">
        <v>408</v>
      </c>
      <c r="C3019" s="149">
        <v>11</v>
      </c>
      <c r="D3019" s="149">
        <v>120</v>
      </c>
      <c r="E3019" s="149">
        <v>2</v>
      </c>
      <c r="F3019" s="149">
        <v>220210</v>
      </c>
      <c r="G3019" s="149">
        <v>53610</v>
      </c>
      <c r="H3019" s="150" t="str">
        <f t="shared" si="141"/>
        <v>5</v>
      </c>
      <c r="I3019" s="150" t="str">
        <f t="shared" si="142"/>
        <v>53</v>
      </c>
      <c r="J3019" s="150" t="str">
        <f t="shared" si="143"/>
        <v>536</v>
      </c>
      <c r="K3019" s="150" t="s">
        <v>8521</v>
      </c>
      <c r="L3019" s="149" t="s">
        <v>409</v>
      </c>
      <c r="M3019" s="151">
        <v>130.88</v>
      </c>
    </row>
    <row r="3020" spans="1:13" s="149" customFormat="1" x14ac:dyDescent="0.25">
      <c r="A3020" s="149" t="s">
        <v>7640</v>
      </c>
      <c r="B3020" s="149" t="s">
        <v>410</v>
      </c>
      <c r="C3020" s="149">
        <v>11</v>
      </c>
      <c r="D3020" s="149">
        <v>120</v>
      </c>
      <c r="E3020" s="149">
        <v>2</v>
      </c>
      <c r="F3020" s="149">
        <v>220500</v>
      </c>
      <c r="G3020" s="149">
        <v>51311</v>
      </c>
      <c r="H3020" s="150" t="str">
        <f t="shared" si="141"/>
        <v>5</v>
      </c>
      <c r="I3020" s="150" t="str">
        <f t="shared" si="142"/>
        <v>51</v>
      </c>
      <c r="J3020" s="150" t="str">
        <f t="shared" si="143"/>
        <v>513</v>
      </c>
      <c r="K3020" s="150" t="s">
        <v>7711</v>
      </c>
      <c r="L3020" s="149" t="s">
        <v>411</v>
      </c>
      <c r="M3020" s="151">
        <v>16800.88</v>
      </c>
    </row>
    <row r="3021" spans="1:13" s="149" customFormat="1" x14ac:dyDescent="0.25">
      <c r="A3021" s="149" t="s">
        <v>7640</v>
      </c>
      <c r="B3021" s="149" t="s">
        <v>412</v>
      </c>
      <c r="C3021" s="149">
        <v>11</v>
      </c>
      <c r="D3021" s="149">
        <v>120</v>
      </c>
      <c r="E3021" s="149">
        <v>2</v>
      </c>
      <c r="F3021" s="149">
        <v>220500</v>
      </c>
      <c r="G3021" s="149">
        <v>53110</v>
      </c>
      <c r="H3021" s="150" t="str">
        <f t="shared" si="141"/>
        <v>5</v>
      </c>
      <c r="I3021" s="150" t="str">
        <f t="shared" si="142"/>
        <v>53</v>
      </c>
      <c r="J3021" s="150" t="str">
        <f t="shared" si="143"/>
        <v>531</v>
      </c>
      <c r="K3021" s="150" t="s">
        <v>8522</v>
      </c>
      <c r="L3021" s="149" t="s">
        <v>413</v>
      </c>
      <c r="M3021" s="151">
        <v>2713.38</v>
      </c>
    </row>
    <row r="3022" spans="1:13" s="149" customFormat="1" x14ac:dyDescent="0.25">
      <c r="A3022" s="149" t="s">
        <v>7640</v>
      </c>
      <c r="B3022" s="149" t="s">
        <v>414</v>
      </c>
      <c r="C3022" s="149">
        <v>11</v>
      </c>
      <c r="D3022" s="149">
        <v>120</v>
      </c>
      <c r="E3022" s="149">
        <v>2</v>
      </c>
      <c r="F3022" s="149">
        <v>220500</v>
      </c>
      <c r="G3022" s="149">
        <v>53330</v>
      </c>
      <c r="H3022" s="150" t="str">
        <f t="shared" si="141"/>
        <v>5</v>
      </c>
      <c r="I3022" s="150" t="str">
        <f t="shared" si="142"/>
        <v>53</v>
      </c>
      <c r="J3022" s="150" t="str">
        <f t="shared" si="143"/>
        <v>533</v>
      </c>
      <c r="K3022" s="150" t="s">
        <v>8523</v>
      </c>
      <c r="L3022" s="149" t="s">
        <v>415</v>
      </c>
      <c r="M3022" s="151">
        <v>243.64</v>
      </c>
    </row>
    <row r="3023" spans="1:13" s="149" customFormat="1" x14ac:dyDescent="0.25">
      <c r="A3023" s="149" t="s">
        <v>7640</v>
      </c>
      <c r="B3023" s="149" t="s">
        <v>416</v>
      </c>
      <c r="C3023" s="149">
        <v>11</v>
      </c>
      <c r="D3023" s="149">
        <v>120</v>
      </c>
      <c r="E3023" s="149">
        <v>2</v>
      </c>
      <c r="F3023" s="149">
        <v>220500</v>
      </c>
      <c r="G3023" s="149">
        <v>53510</v>
      </c>
      <c r="H3023" s="150" t="str">
        <f t="shared" si="141"/>
        <v>5</v>
      </c>
      <c r="I3023" s="150" t="str">
        <f t="shared" si="142"/>
        <v>53</v>
      </c>
      <c r="J3023" s="150" t="str">
        <f t="shared" si="143"/>
        <v>535</v>
      </c>
      <c r="K3023" s="150" t="s">
        <v>8524</v>
      </c>
      <c r="L3023" s="149" t="s">
        <v>417</v>
      </c>
      <c r="M3023" s="151">
        <v>8.3699999999999992</v>
      </c>
    </row>
    <row r="3024" spans="1:13" s="149" customFormat="1" x14ac:dyDescent="0.25">
      <c r="A3024" s="149" t="s">
        <v>7640</v>
      </c>
      <c r="B3024" s="149" t="s">
        <v>418</v>
      </c>
      <c r="C3024" s="149">
        <v>11</v>
      </c>
      <c r="D3024" s="149">
        <v>120</v>
      </c>
      <c r="E3024" s="149">
        <v>2</v>
      </c>
      <c r="F3024" s="149">
        <v>220500</v>
      </c>
      <c r="G3024" s="149">
        <v>53610</v>
      </c>
      <c r="H3024" s="150" t="str">
        <f t="shared" si="141"/>
        <v>5</v>
      </c>
      <c r="I3024" s="150" t="str">
        <f t="shared" si="142"/>
        <v>53</v>
      </c>
      <c r="J3024" s="150" t="str">
        <f t="shared" si="143"/>
        <v>536</v>
      </c>
      <c r="K3024" s="150" t="s">
        <v>8525</v>
      </c>
      <c r="L3024" s="149" t="s">
        <v>419</v>
      </c>
      <c r="M3024" s="151">
        <v>317.66000000000003</v>
      </c>
    </row>
    <row r="3025" spans="1:13" s="149" customFormat="1" x14ac:dyDescent="0.25">
      <c r="A3025" s="149" t="s">
        <v>7640</v>
      </c>
      <c r="B3025" s="149" t="s">
        <v>420</v>
      </c>
      <c r="C3025" s="149">
        <v>11</v>
      </c>
      <c r="D3025" s="149">
        <v>120</v>
      </c>
      <c r="E3025" s="149">
        <v>2</v>
      </c>
      <c r="F3025" s="149">
        <v>220500</v>
      </c>
      <c r="G3025" s="149">
        <v>55630</v>
      </c>
      <c r="H3025" s="150" t="str">
        <f t="shared" si="141"/>
        <v>5</v>
      </c>
      <c r="I3025" s="150" t="str">
        <f t="shared" si="142"/>
        <v>55</v>
      </c>
      <c r="J3025" s="150" t="str">
        <f t="shared" si="143"/>
        <v>556</v>
      </c>
      <c r="K3025" s="150" t="s">
        <v>8170</v>
      </c>
      <c r="L3025" s="149" t="s">
        <v>421</v>
      </c>
      <c r="M3025" s="151">
        <v>0</v>
      </c>
    </row>
    <row r="3026" spans="1:13" s="149" customFormat="1" x14ac:dyDescent="0.25">
      <c r="A3026" s="149" t="s">
        <v>7640</v>
      </c>
      <c r="B3026" s="149" t="s">
        <v>422</v>
      </c>
      <c r="C3026" s="149">
        <v>11</v>
      </c>
      <c r="D3026" s="149">
        <v>120</v>
      </c>
      <c r="E3026" s="149">
        <v>2</v>
      </c>
      <c r="F3026" s="149">
        <v>220600</v>
      </c>
      <c r="G3026" s="149">
        <v>51311</v>
      </c>
      <c r="H3026" s="150" t="str">
        <f t="shared" si="141"/>
        <v>5</v>
      </c>
      <c r="I3026" s="150" t="str">
        <f t="shared" si="142"/>
        <v>51</v>
      </c>
      <c r="J3026" s="150" t="str">
        <f t="shared" si="143"/>
        <v>513</v>
      </c>
      <c r="K3026" s="150" t="s">
        <v>7712</v>
      </c>
      <c r="L3026" s="149" t="s">
        <v>423</v>
      </c>
      <c r="M3026" s="151">
        <v>0</v>
      </c>
    </row>
    <row r="3027" spans="1:13" s="149" customFormat="1" x14ac:dyDescent="0.25">
      <c r="A3027" s="149" t="s">
        <v>7640</v>
      </c>
      <c r="B3027" s="149" t="s">
        <v>424</v>
      </c>
      <c r="C3027" s="149">
        <v>11</v>
      </c>
      <c r="D3027" s="149">
        <v>120</v>
      </c>
      <c r="E3027" s="149">
        <v>2</v>
      </c>
      <c r="F3027" s="149">
        <v>220600</v>
      </c>
      <c r="G3027" s="149">
        <v>53110</v>
      </c>
      <c r="H3027" s="150" t="str">
        <f t="shared" si="141"/>
        <v>5</v>
      </c>
      <c r="I3027" s="150" t="str">
        <f t="shared" si="142"/>
        <v>53</v>
      </c>
      <c r="J3027" s="150" t="str">
        <f t="shared" si="143"/>
        <v>531</v>
      </c>
      <c r="K3027" s="150" t="s">
        <v>8526</v>
      </c>
      <c r="L3027" s="149" t="s">
        <v>425</v>
      </c>
      <c r="M3027" s="151">
        <v>0</v>
      </c>
    </row>
    <row r="3028" spans="1:13" s="149" customFormat="1" x14ac:dyDescent="0.25">
      <c r="A3028" s="149" t="s">
        <v>7640</v>
      </c>
      <c r="B3028" s="149" t="s">
        <v>426</v>
      </c>
      <c r="C3028" s="149">
        <v>11</v>
      </c>
      <c r="D3028" s="149">
        <v>120</v>
      </c>
      <c r="E3028" s="149">
        <v>2</v>
      </c>
      <c r="F3028" s="149">
        <v>220600</v>
      </c>
      <c r="G3028" s="149">
        <v>53330</v>
      </c>
      <c r="H3028" s="150" t="str">
        <f t="shared" si="141"/>
        <v>5</v>
      </c>
      <c r="I3028" s="150" t="str">
        <f t="shared" si="142"/>
        <v>53</v>
      </c>
      <c r="J3028" s="150" t="str">
        <f t="shared" si="143"/>
        <v>533</v>
      </c>
      <c r="K3028" s="150" t="s">
        <v>8527</v>
      </c>
      <c r="L3028" s="149" t="s">
        <v>427</v>
      </c>
      <c r="M3028" s="151">
        <v>0</v>
      </c>
    </row>
    <row r="3029" spans="1:13" s="149" customFormat="1" x14ac:dyDescent="0.25">
      <c r="A3029" s="149" t="s">
        <v>7640</v>
      </c>
      <c r="B3029" s="149" t="s">
        <v>428</v>
      </c>
      <c r="C3029" s="149">
        <v>11</v>
      </c>
      <c r="D3029" s="149">
        <v>120</v>
      </c>
      <c r="E3029" s="149">
        <v>2</v>
      </c>
      <c r="F3029" s="149">
        <v>220600</v>
      </c>
      <c r="G3029" s="149">
        <v>53510</v>
      </c>
      <c r="H3029" s="150" t="str">
        <f t="shared" si="141"/>
        <v>5</v>
      </c>
      <c r="I3029" s="150" t="str">
        <f t="shared" si="142"/>
        <v>53</v>
      </c>
      <c r="J3029" s="150" t="str">
        <f t="shared" si="143"/>
        <v>535</v>
      </c>
      <c r="K3029" s="150" t="s">
        <v>8528</v>
      </c>
      <c r="L3029" s="149" t="s">
        <v>429</v>
      </c>
      <c r="M3029" s="151">
        <v>0</v>
      </c>
    </row>
    <row r="3030" spans="1:13" s="149" customFormat="1" x14ac:dyDescent="0.25">
      <c r="A3030" s="149" t="s">
        <v>7640</v>
      </c>
      <c r="B3030" s="149" t="s">
        <v>430</v>
      </c>
      <c r="C3030" s="149">
        <v>11</v>
      </c>
      <c r="D3030" s="149">
        <v>120</v>
      </c>
      <c r="E3030" s="149">
        <v>2</v>
      </c>
      <c r="F3030" s="149">
        <v>220600</v>
      </c>
      <c r="G3030" s="149">
        <v>53610</v>
      </c>
      <c r="H3030" s="150" t="str">
        <f t="shared" si="141"/>
        <v>5</v>
      </c>
      <c r="I3030" s="150" t="str">
        <f t="shared" si="142"/>
        <v>53</v>
      </c>
      <c r="J3030" s="150" t="str">
        <f t="shared" si="143"/>
        <v>536</v>
      </c>
      <c r="K3030" s="150" t="s">
        <v>8529</v>
      </c>
      <c r="L3030" s="149" t="s">
        <v>431</v>
      </c>
      <c r="M3030" s="151">
        <v>0</v>
      </c>
    </row>
    <row r="3031" spans="1:13" s="149" customFormat="1" x14ac:dyDescent="0.25">
      <c r="A3031" s="149" t="s">
        <v>7640</v>
      </c>
      <c r="B3031" s="149" t="s">
        <v>432</v>
      </c>
      <c r="C3031" s="149">
        <v>11</v>
      </c>
      <c r="D3031" s="149">
        <v>120</v>
      </c>
      <c r="E3031" s="149">
        <v>2</v>
      </c>
      <c r="F3031" s="149">
        <v>220700</v>
      </c>
      <c r="G3031" s="149">
        <v>51311</v>
      </c>
      <c r="H3031" s="150" t="str">
        <f t="shared" si="141"/>
        <v>5</v>
      </c>
      <c r="I3031" s="150" t="str">
        <f t="shared" si="142"/>
        <v>51</v>
      </c>
      <c r="J3031" s="150" t="str">
        <f t="shared" si="143"/>
        <v>513</v>
      </c>
      <c r="K3031" s="150" t="s">
        <v>7713</v>
      </c>
      <c r="L3031" s="149" t="s">
        <v>433</v>
      </c>
      <c r="M3031" s="151">
        <v>5054.3999999999996</v>
      </c>
    </row>
    <row r="3032" spans="1:13" s="149" customFormat="1" x14ac:dyDescent="0.25">
      <c r="A3032" s="149" t="s">
        <v>7640</v>
      </c>
      <c r="B3032" s="149" t="s">
        <v>434</v>
      </c>
      <c r="C3032" s="149">
        <v>11</v>
      </c>
      <c r="D3032" s="149">
        <v>120</v>
      </c>
      <c r="E3032" s="149">
        <v>2</v>
      </c>
      <c r="F3032" s="149">
        <v>220700</v>
      </c>
      <c r="G3032" s="149">
        <v>53110</v>
      </c>
      <c r="H3032" s="150" t="str">
        <f t="shared" si="141"/>
        <v>5</v>
      </c>
      <c r="I3032" s="150" t="str">
        <f t="shared" si="142"/>
        <v>53</v>
      </c>
      <c r="J3032" s="150" t="str">
        <f t="shared" si="143"/>
        <v>531</v>
      </c>
      <c r="K3032" s="150" t="s">
        <v>8530</v>
      </c>
      <c r="L3032" s="149" t="s">
        <v>435</v>
      </c>
      <c r="M3032" s="151">
        <v>0</v>
      </c>
    </row>
    <row r="3033" spans="1:13" s="149" customFormat="1" x14ac:dyDescent="0.25">
      <c r="A3033" s="149" t="s">
        <v>7640</v>
      </c>
      <c r="B3033" s="149" t="s">
        <v>436</v>
      </c>
      <c r="C3033" s="149">
        <v>11</v>
      </c>
      <c r="D3033" s="149">
        <v>120</v>
      </c>
      <c r="E3033" s="149">
        <v>2</v>
      </c>
      <c r="F3033" s="149">
        <v>220700</v>
      </c>
      <c r="G3033" s="149">
        <v>53330</v>
      </c>
      <c r="H3033" s="150" t="str">
        <f t="shared" si="141"/>
        <v>5</v>
      </c>
      <c r="I3033" s="150" t="str">
        <f t="shared" si="142"/>
        <v>53</v>
      </c>
      <c r="J3033" s="150" t="str">
        <f t="shared" si="143"/>
        <v>533</v>
      </c>
      <c r="K3033" s="150" t="s">
        <v>8531</v>
      </c>
      <c r="L3033" s="149" t="s">
        <v>437</v>
      </c>
      <c r="M3033" s="151">
        <v>73.27</v>
      </c>
    </row>
    <row r="3034" spans="1:13" s="149" customFormat="1" x14ac:dyDescent="0.25">
      <c r="A3034" s="149" t="s">
        <v>7640</v>
      </c>
      <c r="B3034" s="149" t="s">
        <v>438</v>
      </c>
      <c r="C3034" s="149">
        <v>11</v>
      </c>
      <c r="D3034" s="149">
        <v>120</v>
      </c>
      <c r="E3034" s="149">
        <v>2</v>
      </c>
      <c r="F3034" s="149">
        <v>220700</v>
      </c>
      <c r="G3034" s="149">
        <v>53510</v>
      </c>
      <c r="H3034" s="150" t="str">
        <f t="shared" si="141"/>
        <v>5</v>
      </c>
      <c r="I3034" s="150" t="str">
        <f t="shared" si="142"/>
        <v>53</v>
      </c>
      <c r="J3034" s="150" t="str">
        <f t="shared" si="143"/>
        <v>535</v>
      </c>
      <c r="K3034" s="150" t="s">
        <v>8532</v>
      </c>
      <c r="L3034" s="149" t="s">
        <v>439</v>
      </c>
      <c r="M3034" s="151">
        <v>2.52</v>
      </c>
    </row>
    <row r="3035" spans="1:13" s="149" customFormat="1" x14ac:dyDescent="0.25">
      <c r="A3035" s="149" t="s">
        <v>7640</v>
      </c>
      <c r="B3035" s="149" t="s">
        <v>440</v>
      </c>
      <c r="C3035" s="149">
        <v>11</v>
      </c>
      <c r="D3035" s="149">
        <v>120</v>
      </c>
      <c r="E3035" s="149">
        <v>2</v>
      </c>
      <c r="F3035" s="149">
        <v>220700</v>
      </c>
      <c r="G3035" s="149">
        <v>53610</v>
      </c>
      <c r="H3035" s="150" t="str">
        <f t="shared" si="141"/>
        <v>5</v>
      </c>
      <c r="I3035" s="150" t="str">
        <f t="shared" si="142"/>
        <v>53</v>
      </c>
      <c r="J3035" s="150" t="str">
        <f t="shared" si="143"/>
        <v>536</v>
      </c>
      <c r="K3035" s="150" t="s">
        <v>8533</v>
      </c>
      <c r="L3035" s="149" t="s">
        <v>441</v>
      </c>
      <c r="M3035" s="151">
        <v>95.58</v>
      </c>
    </row>
    <row r="3036" spans="1:13" s="149" customFormat="1" x14ac:dyDescent="0.25">
      <c r="A3036" s="149" t="s">
        <v>7640</v>
      </c>
      <c r="B3036" s="149" t="s">
        <v>442</v>
      </c>
      <c r="C3036" s="149">
        <v>11</v>
      </c>
      <c r="D3036" s="149">
        <v>120</v>
      </c>
      <c r="E3036" s="149">
        <v>2</v>
      </c>
      <c r="F3036" s="149">
        <v>220700</v>
      </c>
      <c r="G3036" s="149">
        <v>55630</v>
      </c>
      <c r="H3036" s="150" t="str">
        <f t="shared" si="141"/>
        <v>5</v>
      </c>
      <c r="I3036" s="150" t="str">
        <f t="shared" si="142"/>
        <v>55</v>
      </c>
      <c r="J3036" s="150" t="str">
        <f t="shared" si="143"/>
        <v>556</v>
      </c>
      <c r="K3036" s="150" t="s">
        <v>8171</v>
      </c>
      <c r="L3036" s="149" t="s">
        <v>443</v>
      </c>
      <c r="M3036" s="151">
        <v>0</v>
      </c>
    </row>
    <row r="3037" spans="1:13" s="149" customFormat="1" x14ac:dyDescent="0.25">
      <c r="A3037" s="149" t="s">
        <v>7640</v>
      </c>
      <c r="B3037" s="149" t="s">
        <v>444</v>
      </c>
      <c r="C3037" s="149">
        <v>11</v>
      </c>
      <c r="D3037" s="149">
        <v>120</v>
      </c>
      <c r="E3037" s="149">
        <v>2</v>
      </c>
      <c r="F3037" s="149">
        <v>220800</v>
      </c>
      <c r="G3037" s="149">
        <v>51311</v>
      </c>
      <c r="H3037" s="150" t="str">
        <f t="shared" si="141"/>
        <v>5</v>
      </c>
      <c r="I3037" s="150" t="str">
        <f t="shared" si="142"/>
        <v>51</v>
      </c>
      <c r="J3037" s="150" t="str">
        <f t="shared" si="143"/>
        <v>513</v>
      </c>
      <c r="K3037" s="150" t="s">
        <v>7714</v>
      </c>
      <c r="L3037" s="149" t="s">
        <v>445</v>
      </c>
      <c r="M3037" s="151">
        <v>9735.31</v>
      </c>
    </row>
    <row r="3038" spans="1:13" s="149" customFormat="1" x14ac:dyDescent="0.25">
      <c r="A3038" s="149" t="s">
        <v>7640</v>
      </c>
      <c r="B3038" s="149" t="s">
        <v>446</v>
      </c>
      <c r="C3038" s="149">
        <v>11</v>
      </c>
      <c r="D3038" s="149">
        <v>120</v>
      </c>
      <c r="E3038" s="149">
        <v>2</v>
      </c>
      <c r="F3038" s="149">
        <v>220800</v>
      </c>
      <c r="G3038" s="149">
        <v>53110</v>
      </c>
      <c r="H3038" s="150" t="str">
        <f t="shared" si="141"/>
        <v>5</v>
      </c>
      <c r="I3038" s="150" t="str">
        <f t="shared" si="142"/>
        <v>53</v>
      </c>
      <c r="J3038" s="150" t="str">
        <f t="shared" si="143"/>
        <v>531</v>
      </c>
      <c r="K3038" s="150" t="s">
        <v>8534</v>
      </c>
      <c r="L3038" s="149" t="s">
        <v>447</v>
      </c>
      <c r="M3038" s="151">
        <v>1572.23</v>
      </c>
    </row>
    <row r="3039" spans="1:13" s="149" customFormat="1" x14ac:dyDescent="0.25">
      <c r="A3039" s="149" t="s">
        <v>7640</v>
      </c>
      <c r="B3039" s="149" t="s">
        <v>448</v>
      </c>
      <c r="C3039" s="149">
        <v>11</v>
      </c>
      <c r="D3039" s="149">
        <v>120</v>
      </c>
      <c r="E3039" s="149">
        <v>2</v>
      </c>
      <c r="F3039" s="149">
        <v>220800</v>
      </c>
      <c r="G3039" s="149">
        <v>53330</v>
      </c>
      <c r="H3039" s="150" t="str">
        <f t="shared" si="141"/>
        <v>5</v>
      </c>
      <c r="I3039" s="150" t="str">
        <f t="shared" si="142"/>
        <v>53</v>
      </c>
      <c r="J3039" s="150" t="str">
        <f t="shared" si="143"/>
        <v>533</v>
      </c>
      <c r="K3039" s="150" t="s">
        <v>8535</v>
      </c>
      <c r="L3039" s="149" t="s">
        <v>449</v>
      </c>
      <c r="M3039" s="151">
        <v>141.18</v>
      </c>
    </row>
    <row r="3040" spans="1:13" s="149" customFormat="1" x14ac:dyDescent="0.25">
      <c r="A3040" s="149" t="s">
        <v>7640</v>
      </c>
      <c r="B3040" s="149" t="s">
        <v>450</v>
      </c>
      <c r="C3040" s="149">
        <v>11</v>
      </c>
      <c r="D3040" s="149">
        <v>120</v>
      </c>
      <c r="E3040" s="149">
        <v>2</v>
      </c>
      <c r="F3040" s="149">
        <v>220800</v>
      </c>
      <c r="G3040" s="149">
        <v>53510</v>
      </c>
      <c r="H3040" s="150" t="str">
        <f t="shared" si="141"/>
        <v>5</v>
      </c>
      <c r="I3040" s="150" t="str">
        <f t="shared" si="142"/>
        <v>53</v>
      </c>
      <c r="J3040" s="150" t="str">
        <f t="shared" si="143"/>
        <v>535</v>
      </c>
      <c r="K3040" s="150" t="s">
        <v>8536</v>
      </c>
      <c r="L3040" s="149" t="s">
        <v>451</v>
      </c>
      <c r="M3040" s="151">
        <v>4.82</v>
      </c>
    </row>
    <row r="3041" spans="1:13" s="149" customFormat="1" x14ac:dyDescent="0.25">
      <c r="A3041" s="149" t="s">
        <v>7640</v>
      </c>
      <c r="B3041" s="149" t="s">
        <v>452</v>
      </c>
      <c r="C3041" s="149">
        <v>11</v>
      </c>
      <c r="D3041" s="149">
        <v>120</v>
      </c>
      <c r="E3041" s="149">
        <v>2</v>
      </c>
      <c r="F3041" s="149">
        <v>220800</v>
      </c>
      <c r="G3041" s="149">
        <v>53610</v>
      </c>
      <c r="H3041" s="150" t="str">
        <f t="shared" si="141"/>
        <v>5</v>
      </c>
      <c r="I3041" s="150" t="str">
        <f t="shared" si="142"/>
        <v>53</v>
      </c>
      <c r="J3041" s="150" t="str">
        <f t="shared" si="143"/>
        <v>536</v>
      </c>
      <c r="K3041" s="150" t="s">
        <v>8537</v>
      </c>
      <c r="L3041" s="149" t="s">
        <v>453</v>
      </c>
      <c r="M3041" s="151">
        <v>184.08</v>
      </c>
    </row>
    <row r="3042" spans="1:13" s="149" customFormat="1" x14ac:dyDescent="0.25">
      <c r="A3042" s="149" t="s">
        <v>7640</v>
      </c>
      <c r="B3042" s="149" t="s">
        <v>454</v>
      </c>
      <c r="C3042" s="149">
        <v>11</v>
      </c>
      <c r="D3042" s="149">
        <v>120</v>
      </c>
      <c r="E3042" s="149">
        <v>2</v>
      </c>
      <c r="F3042" s="149">
        <v>220800</v>
      </c>
      <c r="G3042" s="149">
        <v>55630</v>
      </c>
      <c r="H3042" s="150" t="str">
        <f t="shared" si="141"/>
        <v>5</v>
      </c>
      <c r="I3042" s="150" t="str">
        <f t="shared" si="142"/>
        <v>55</v>
      </c>
      <c r="J3042" s="150" t="str">
        <f t="shared" si="143"/>
        <v>556</v>
      </c>
      <c r="K3042" s="150" t="s">
        <v>8172</v>
      </c>
      <c r="L3042" s="149" t="s">
        <v>455</v>
      </c>
      <c r="M3042" s="151">
        <v>4.09</v>
      </c>
    </row>
    <row r="3043" spans="1:13" s="149" customFormat="1" x14ac:dyDescent="0.25">
      <c r="A3043" s="149" t="s">
        <v>7640</v>
      </c>
      <c r="B3043" s="149" t="s">
        <v>456</v>
      </c>
      <c r="C3043" s="149">
        <v>11</v>
      </c>
      <c r="D3043" s="149">
        <v>120</v>
      </c>
      <c r="E3043" s="149">
        <v>2</v>
      </c>
      <c r="F3043" s="149">
        <v>493010</v>
      </c>
      <c r="G3043" s="149">
        <v>51311</v>
      </c>
      <c r="H3043" s="150" t="str">
        <f t="shared" si="141"/>
        <v>5</v>
      </c>
      <c r="I3043" s="150" t="str">
        <f t="shared" si="142"/>
        <v>51</v>
      </c>
      <c r="J3043" s="150" t="str">
        <f t="shared" si="143"/>
        <v>513</v>
      </c>
      <c r="K3043" s="150" t="s">
        <v>7715</v>
      </c>
      <c r="L3043" s="149" t="s">
        <v>457</v>
      </c>
      <c r="M3043" s="151">
        <v>0</v>
      </c>
    </row>
    <row r="3044" spans="1:13" s="149" customFormat="1" x14ac:dyDescent="0.25">
      <c r="A3044" s="149" t="s">
        <v>7640</v>
      </c>
      <c r="B3044" s="149" t="s">
        <v>458</v>
      </c>
      <c r="C3044" s="149">
        <v>11</v>
      </c>
      <c r="D3044" s="149">
        <v>120</v>
      </c>
      <c r="E3044" s="149">
        <v>2</v>
      </c>
      <c r="F3044" s="149">
        <v>493010</v>
      </c>
      <c r="G3044" s="149">
        <v>53110</v>
      </c>
      <c r="H3044" s="150" t="str">
        <f t="shared" si="141"/>
        <v>5</v>
      </c>
      <c r="I3044" s="150" t="str">
        <f t="shared" si="142"/>
        <v>53</v>
      </c>
      <c r="J3044" s="150" t="str">
        <f t="shared" si="143"/>
        <v>531</v>
      </c>
      <c r="K3044" s="150" t="s">
        <v>8538</v>
      </c>
      <c r="L3044" s="149" t="s">
        <v>459</v>
      </c>
      <c r="M3044" s="151">
        <v>0</v>
      </c>
    </row>
    <row r="3045" spans="1:13" s="149" customFormat="1" x14ac:dyDescent="0.25">
      <c r="A3045" s="149" t="s">
        <v>7640</v>
      </c>
      <c r="B3045" s="149" t="s">
        <v>460</v>
      </c>
      <c r="C3045" s="149">
        <v>11</v>
      </c>
      <c r="D3045" s="149">
        <v>120</v>
      </c>
      <c r="E3045" s="149">
        <v>2</v>
      </c>
      <c r="F3045" s="149">
        <v>493010</v>
      </c>
      <c r="G3045" s="149">
        <v>53330</v>
      </c>
      <c r="H3045" s="150" t="str">
        <f t="shared" si="141"/>
        <v>5</v>
      </c>
      <c r="I3045" s="150" t="str">
        <f t="shared" si="142"/>
        <v>53</v>
      </c>
      <c r="J3045" s="150" t="str">
        <f t="shared" si="143"/>
        <v>533</v>
      </c>
      <c r="K3045" s="150" t="s">
        <v>8539</v>
      </c>
      <c r="L3045" s="149" t="s">
        <v>461</v>
      </c>
      <c r="M3045" s="151">
        <v>0</v>
      </c>
    </row>
    <row r="3046" spans="1:13" s="149" customFormat="1" x14ac:dyDescent="0.25">
      <c r="A3046" s="149" t="s">
        <v>7640</v>
      </c>
      <c r="B3046" s="149" t="s">
        <v>462</v>
      </c>
      <c r="C3046" s="149">
        <v>11</v>
      </c>
      <c r="D3046" s="149">
        <v>120</v>
      </c>
      <c r="E3046" s="149">
        <v>2</v>
      </c>
      <c r="F3046" s="149">
        <v>493010</v>
      </c>
      <c r="G3046" s="149">
        <v>53510</v>
      </c>
      <c r="H3046" s="150" t="str">
        <f t="shared" si="141"/>
        <v>5</v>
      </c>
      <c r="I3046" s="150" t="str">
        <f t="shared" si="142"/>
        <v>53</v>
      </c>
      <c r="J3046" s="150" t="str">
        <f t="shared" si="143"/>
        <v>535</v>
      </c>
      <c r="K3046" s="150" t="s">
        <v>8540</v>
      </c>
      <c r="L3046" s="149" t="s">
        <v>463</v>
      </c>
      <c r="M3046" s="151">
        <v>0</v>
      </c>
    </row>
    <row r="3047" spans="1:13" s="149" customFormat="1" x14ac:dyDescent="0.25">
      <c r="A3047" s="149" t="s">
        <v>7640</v>
      </c>
      <c r="B3047" s="149" t="s">
        <v>464</v>
      </c>
      <c r="C3047" s="149">
        <v>11</v>
      </c>
      <c r="D3047" s="149">
        <v>120</v>
      </c>
      <c r="E3047" s="149">
        <v>2</v>
      </c>
      <c r="F3047" s="149">
        <v>493010</v>
      </c>
      <c r="G3047" s="149">
        <v>53610</v>
      </c>
      <c r="H3047" s="150" t="str">
        <f t="shared" si="141"/>
        <v>5</v>
      </c>
      <c r="I3047" s="150" t="str">
        <f t="shared" si="142"/>
        <v>53</v>
      </c>
      <c r="J3047" s="150" t="str">
        <f t="shared" si="143"/>
        <v>536</v>
      </c>
      <c r="K3047" s="150" t="s">
        <v>8541</v>
      </c>
      <c r="L3047" s="149" t="s">
        <v>465</v>
      </c>
      <c r="M3047" s="151">
        <v>0</v>
      </c>
    </row>
    <row r="3048" spans="1:13" s="149" customFormat="1" x14ac:dyDescent="0.25">
      <c r="A3048" s="149" t="s">
        <v>7640</v>
      </c>
      <c r="B3048" s="149" t="s">
        <v>466</v>
      </c>
      <c r="C3048" s="149">
        <v>11</v>
      </c>
      <c r="D3048" s="149">
        <v>120</v>
      </c>
      <c r="E3048" s="149">
        <v>2</v>
      </c>
      <c r="F3048" s="149">
        <v>493080</v>
      </c>
      <c r="G3048" s="149">
        <v>51311</v>
      </c>
      <c r="H3048" s="150" t="str">
        <f t="shared" si="141"/>
        <v>5</v>
      </c>
      <c r="I3048" s="150" t="str">
        <f t="shared" si="142"/>
        <v>51</v>
      </c>
      <c r="J3048" s="150" t="str">
        <f t="shared" si="143"/>
        <v>513</v>
      </c>
      <c r="K3048" s="150" t="s">
        <v>7716</v>
      </c>
      <c r="L3048" s="149" t="s">
        <v>467</v>
      </c>
      <c r="M3048" s="151">
        <v>17022.8</v>
      </c>
    </row>
    <row r="3049" spans="1:13" s="149" customFormat="1" x14ac:dyDescent="0.25">
      <c r="A3049" s="149" t="s">
        <v>7640</v>
      </c>
      <c r="B3049" s="149" t="s">
        <v>468</v>
      </c>
      <c r="C3049" s="149">
        <v>11</v>
      </c>
      <c r="D3049" s="149">
        <v>120</v>
      </c>
      <c r="E3049" s="149">
        <v>2</v>
      </c>
      <c r="F3049" s="149">
        <v>493080</v>
      </c>
      <c r="G3049" s="149">
        <v>53110</v>
      </c>
      <c r="H3049" s="150" t="str">
        <f t="shared" si="141"/>
        <v>5</v>
      </c>
      <c r="I3049" s="150" t="str">
        <f t="shared" si="142"/>
        <v>53</v>
      </c>
      <c r="J3049" s="150" t="str">
        <f t="shared" si="143"/>
        <v>531</v>
      </c>
      <c r="K3049" s="150" t="s">
        <v>8542</v>
      </c>
      <c r="L3049" s="149" t="s">
        <v>469</v>
      </c>
      <c r="M3049" s="151">
        <v>2749.19</v>
      </c>
    </row>
    <row r="3050" spans="1:13" s="149" customFormat="1" x14ac:dyDescent="0.25">
      <c r="A3050" s="149" t="s">
        <v>7640</v>
      </c>
      <c r="B3050" s="149" t="s">
        <v>470</v>
      </c>
      <c r="C3050" s="149">
        <v>11</v>
      </c>
      <c r="D3050" s="149">
        <v>120</v>
      </c>
      <c r="E3050" s="149">
        <v>2</v>
      </c>
      <c r="F3050" s="149">
        <v>493080</v>
      </c>
      <c r="G3050" s="149">
        <v>53330</v>
      </c>
      <c r="H3050" s="150" t="str">
        <f t="shared" si="141"/>
        <v>5</v>
      </c>
      <c r="I3050" s="150" t="str">
        <f t="shared" si="142"/>
        <v>53</v>
      </c>
      <c r="J3050" s="150" t="str">
        <f t="shared" si="143"/>
        <v>533</v>
      </c>
      <c r="K3050" s="150" t="s">
        <v>8543</v>
      </c>
      <c r="L3050" s="149" t="s">
        <v>471</v>
      </c>
      <c r="M3050" s="151">
        <v>246.85</v>
      </c>
    </row>
    <row r="3051" spans="1:13" s="149" customFormat="1" x14ac:dyDescent="0.25">
      <c r="A3051" s="149" t="s">
        <v>7640</v>
      </c>
      <c r="B3051" s="149" t="s">
        <v>472</v>
      </c>
      <c r="C3051" s="149">
        <v>11</v>
      </c>
      <c r="D3051" s="149">
        <v>120</v>
      </c>
      <c r="E3051" s="149">
        <v>2</v>
      </c>
      <c r="F3051" s="149">
        <v>493080</v>
      </c>
      <c r="G3051" s="149">
        <v>53510</v>
      </c>
      <c r="H3051" s="150" t="str">
        <f t="shared" si="141"/>
        <v>5</v>
      </c>
      <c r="I3051" s="150" t="str">
        <f t="shared" si="142"/>
        <v>53</v>
      </c>
      <c r="J3051" s="150" t="str">
        <f t="shared" si="143"/>
        <v>535</v>
      </c>
      <c r="K3051" s="150" t="s">
        <v>8544</v>
      </c>
      <c r="L3051" s="149" t="s">
        <v>473</v>
      </c>
      <c r="M3051" s="151">
        <v>8.5299999999999994</v>
      </c>
    </row>
    <row r="3052" spans="1:13" s="149" customFormat="1" x14ac:dyDescent="0.25">
      <c r="A3052" s="149" t="s">
        <v>7640</v>
      </c>
      <c r="B3052" s="149" t="s">
        <v>474</v>
      </c>
      <c r="C3052" s="149">
        <v>11</v>
      </c>
      <c r="D3052" s="149">
        <v>120</v>
      </c>
      <c r="E3052" s="149">
        <v>2</v>
      </c>
      <c r="F3052" s="149">
        <v>493080</v>
      </c>
      <c r="G3052" s="149">
        <v>53610</v>
      </c>
      <c r="H3052" s="150" t="str">
        <f t="shared" si="141"/>
        <v>5</v>
      </c>
      <c r="I3052" s="150" t="str">
        <f t="shared" si="142"/>
        <v>53</v>
      </c>
      <c r="J3052" s="150" t="str">
        <f t="shared" si="143"/>
        <v>536</v>
      </c>
      <c r="K3052" s="150" t="s">
        <v>8545</v>
      </c>
      <c r="L3052" s="149" t="s">
        <v>475</v>
      </c>
      <c r="M3052" s="151">
        <v>321.85000000000002</v>
      </c>
    </row>
    <row r="3053" spans="1:13" s="149" customFormat="1" x14ac:dyDescent="0.25">
      <c r="A3053" s="149" t="s">
        <v>7640</v>
      </c>
      <c r="B3053" s="149" t="s">
        <v>476</v>
      </c>
      <c r="C3053" s="149">
        <v>11</v>
      </c>
      <c r="D3053" s="149">
        <v>120</v>
      </c>
      <c r="E3053" s="149">
        <v>2</v>
      </c>
      <c r="F3053" s="149">
        <v>601000</v>
      </c>
      <c r="G3053" s="149">
        <v>51210</v>
      </c>
      <c r="H3053" s="150" t="str">
        <f t="shared" si="141"/>
        <v>5</v>
      </c>
      <c r="I3053" s="150" t="str">
        <f t="shared" si="142"/>
        <v>51</v>
      </c>
      <c r="J3053" s="150" t="str">
        <f t="shared" si="143"/>
        <v>512</v>
      </c>
      <c r="K3053" s="150" t="s">
        <v>8546</v>
      </c>
      <c r="L3053" s="149" t="s">
        <v>477</v>
      </c>
      <c r="M3053" s="151">
        <v>119334.2</v>
      </c>
    </row>
    <row r="3054" spans="1:13" s="149" customFormat="1" x14ac:dyDescent="0.25">
      <c r="A3054" s="149" t="s">
        <v>7640</v>
      </c>
      <c r="B3054" s="149" t="s">
        <v>478</v>
      </c>
      <c r="C3054" s="149">
        <v>11</v>
      </c>
      <c r="D3054" s="149">
        <v>120</v>
      </c>
      <c r="E3054" s="149">
        <v>2</v>
      </c>
      <c r="F3054" s="149">
        <v>601000</v>
      </c>
      <c r="G3054" s="149">
        <v>51412</v>
      </c>
      <c r="H3054" s="150" t="str">
        <f t="shared" si="141"/>
        <v>5</v>
      </c>
      <c r="I3054" s="150" t="str">
        <f t="shared" si="142"/>
        <v>51</v>
      </c>
      <c r="J3054" s="150" t="str">
        <f t="shared" si="143"/>
        <v>514</v>
      </c>
      <c r="K3054" s="150" t="s">
        <v>7781</v>
      </c>
      <c r="L3054" s="149" t="s">
        <v>479</v>
      </c>
      <c r="M3054" s="151">
        <v>0</v>
      </c>
    </row>
    <row r="3055" spans="1:13" s="149" customFormat="1" x14ac:dyDescent="0.25">
      <c r="A3055" s="149" t="s">
        <v>7640</v>
      </c>
      <c r="B3055" s="149" t="s">
        <v>480</v>
      </c>
      <c r="C3055" s="149">
        <v>11</v>
      </c>
      <c r="D3055" s="149">
        <v>120</v>
      </c>
      <c r="E3055" s="149">
        <v>2</v>
      </c>
      <c r="F3055" s="149">
        <v>601000</v>
      </c>
      <c r="G3055" s="149">
        <v>52105</v>
      </c>
      <c r="H3055" s="150" t="str">
        <f t="shared" si="141"/>
        <v>5</v>
      </c>
      <c r="I3055" s="150" t="str">
        <f t="shared" si="142"/>
        <v>52</v>
      </c>
      <c r="J3055" s="150" t="str">
        <f t="shared" si="143"/>
        <v>521</v>
      </c>
      <c r="K3055" s="150" t="s">
        <v>8547</v>
      </c>
      <c r="L3055" s="149" t="s">
        <v>481</v>
      </c>
      <c r="M3055" s="151">
        <v>102285.75</v>
      </c>
    </row>
    <row r="3056" spans="1:13" s="149" customFormat="1" x14ac:dyDescent="0.25">
      <c r="A3056" s="149" t="s">
        <v>7640</v>
      </c>
      <c r="B3056" s="149" t="s">
        <v>482</v>
      </c>
      <c r="C3056" s="149">
        <v>11</v>
      </c>
      <c r="D3056" s="149">
        <v>120</v>
      </c>
      <c r="E3056" s="149">
        <v>2</v>
      </c>
      <c r="F3056" s="149">
        <v>601000</v>
      </c>
      <c r="G3056" s="149">
        <v>52300</v>
      </c>
      <c r="H3056" s="150" t="str">
        <f t="shared" si="141"/>
        <v>5</v>
      </c>
      <c r="I3056" s="150" t="str">
        <f t="shared" si="142"/>
        <v>52</v>
      </c>
      <c r="J3056" s="150" t="str">
        <f t="shared" si="143"/>
        <v>523</v>
      </c>
      <c r="K3056" s="150" t="s">
        <v>7810</v>
      </c>
      <c r="L3056" s="149" t="s">
        <v>483</v>
      </c>
      <c r="M3056" s="151">
        <v>429.97</v>
      </c>
    </row>
    <row r="3057" spans="1:13" s="149" customFormat="1" x14ac:dyDescent="0.25">
      <c r="A3057" s="149" t="s">
        <v>7640</v>
      </c>
      <c r="B3057" s="149" t="s">
        <v>484</v>
      </c>
      <c r="C3057" s="149">
        <v>11</v>
      </c>
      <c r="D3057" s="149">
        <v>120</v>
      </c>
      <c r="E3057" s="149">
        <v>2</v>
      </c>
      <c r="F3057" s="149">
        <v>601000</v>
      </c>
      <c r="G3057" s="149">
        <v>53120</v>
      </c>
      <c r="H3057" s="150" t="str">
        <f t="shared" si="141"/>
        <v>5</v>
      </c>
      <c r="I3057" s="150" t="str">
        <f t="shared" si="142"/>
        <v>53</v>
      </c>
      <c r="J3057" s="150" t="str">
        <f t="shared" si="143"/>
        <v>531</v>
      </c>
      <c r="K3057" s="150" t="s">
        <v>8548</v>
      </c>
      <c r="L3057" s="149" t="s">
        <v>485</v>
      </c>
      <c r="M3057" s="151">
        <v>0</v>
      </c>
    </row>
    <row r="3058" spans="1:13" s="149" customFormat="1" x14ac:dyDescent="0.25">
      <c r="A3058" s="149" t="s">
        <v>7640</v>
      </c>
      <c r="B3058" s="149" t="s">
        <v>486</v>
      </c>
      <c r="C3058" s="149">
        <v>11</v>
      </c>
      <c r="D3058" s="149">
        <v>120</v>
      </c>
      <c r="E3058" s="149">
        <v>2</v>
      </c>
      <c r="F3058" s="149">
        <v>601000</v>
      </c>
      <c r="G3058" s="149">
        <v>53220</v>
      </c>
      <c r="H3058" s="150" t="str">
        <f t="shared" si="141"/>
        <v>5</v>
      </c>
      <c r="I3058" s="150" t="str">
        <f t="shared" si="142"/>
        <v>53</v>
      </c>
      <c r="J3058" s="150" t="str">
        <f t="shared" si="143"/>
        <v>532</v>
      </c>
      <c r="K3058" s="150" t="s">
        <v>8549</v>
      </c>
      <c r="L3058" s="149" t="s">
        <v>487</v>
      </c>
      <c r="M3058" s="151">
        <v>45767.39</v>
      </c>
    </row>
    <row r="3059" spans="1:13" s="149" customFormat="1" x14ac:dyDescent="0.25">
      <c r="A3059" s="149" t="s">
        <v>7640</v>
      </c>
      <c r="B3059" s="149" t="s">
        <v>488</v>
      </c>
      <c r="C3059" s="149">
        <v>11</v>
      </c>
      <c r="D3059" s="149">
        <v>120</v>
      </c>
      <c r="E3059" s="149">
        <v>2</v>
      </c>
      <c r="F3059" s="149">
        <v>601000</v>
      </c>
      <c r="G3059" s="149">
        <v>53320</v>
      </c>
      <c r="H3059" s="150" t="str">
        <f t="shared" si="141"/>
        <v>5</v>
      </c>
      <c r="I3059" s="150" t="str">
        <f t="shared" si="142"/>
        <v>53</v>
      </c>
      <c r="J3059" s="150" t="str">
        <f t="shared" si="143"/>
        <v>533</v>
      </c>
      <c r="K3059" s="150" t="s">
        <v>8550</v>
      </c>
      <c r="L3059" s="149" t="s">
        <v>489</v>
      </c>
      <c r="M3059" s="151">
        <v>13345.44</v>
      </c>
    </row>
    <row r="3060" spans="1:13" s="149" customFormat="1" x14ac:dyDescent="0.25">
      <c r="A3060" s="149" t="s">
        <v>7640</v>
      </c>
      <c r="B3060" s="149" t="s">
        <v>490</v>
      </c>
      <c r="C3060" s="149">
        <v>11</v>
      </c>
      <c r="D3060" s="149">
        <v>120</v>
      </c>
      <c r="E3060" s="149">
        <v>2</v>
      </c>
      <c r="F3060" s="149">
        <v>601000</v>
      </c>
      <c r="G3060" s="149">
        <v>53340</v>
      </c>
      <c r="H3060" s="150" t="str">
        <f t="shared" si="141"/>
        <v>5</v>
      </c>
      <c r="I3060" s="150" t="str">
        <f t="shared" si="142"/>
        <v>53</v>
      </c>
      <c r="J3060" s="150" t="str">
        <f t="shared" si="143"/>
        <v>533</v>
      </c>
      <c r="K3060" s="150" t="s">
        <v>8551</v>
      </c>
      <c r="L3060" s="149" t="s">
        <v>491</v>
      </c>
      <c r="M3060" s="151">
        <v>3198.45</v>
      </c>
    </row>
    <row r="3061" spans="1:13" s="149" customFormat="1" x14ac:dyDescent="0.25">
      <c r="A3061" s="149" t="s">
        <v>7640</v>
      </c>
      <c r="B3061" s="149" t="s">
        <v>492</v>
      </c>
      <c r="C3061" s="149">
        <v>11</v>
      </c>
      <c r="D3061" s="149">
        <v>120</v>
      </c>
      <c r="E3061" s="149">
        <v>2</v>
      </c>
      <c r="F3061" s="149">
        <v>601000</v>
      </c>
      <c r="G3061" s="149">
        <v>53420</v>
      </c>
      <c r="H3061" s="150" t="str">
        <f t="shared" si="141"/>
        <v>5</v>
      </c>
      <c r="I3061" s="150" t="str">
        <f t="shared" si="142"/>
        <v>53</v>
      </c>
      <c r="J3061" s="150" t="str">
        <f t="shared" si="143"/>
        <v>534</v>
      </c>
      <c r="K3061" s="150" t="s">
        <v>8552</v>
      </c>
      <c r="L3061" s="149" t="s">
        <v>493</v>
      </c>
      <c r="M3061" s="151">
        <v>68467.33</v>
      </c>
    </row>
    <row r="3062" spans="1:13" s="149" customFormat="1" x14ac:dyDescent="0.25">
      <c r="A3062" s="149" t="s">
        <v>7640</v>
      </c>
      <c r="B3062" s="149" t="s">
        <v>494</v>
      </c>
      <c r="C3062" s="149">
        <v>11</v>
      </c>
      <c r="D3062" s="149">
        <v>120</v>
      </c>
      <c r="E3062" s="149">
        <v>2</v>
      </c>
      <c r="F3062" s="149">
        <v>601000</v>
      </c>
      <c r="G3062" s="149">
        <v>53520</v>
      </c>
      <c r="H3062" s="150" t="str">
        <f t="shared" si="141"/>
        <v>5</v>
      </c>
      <c r="I3062" s="150" t="str">
        <f t="shared" si="142"/>
        <v>53</v>
      </c>
      <c r="J3062" s="150" t="str">
        <f t="shared" si="143"/>
        <v>535</v>
      </c>
      <c r="K3062" s="150" t="s">
        <v>8553</v>
      </c>
      <c r="L3062" s="149" t="s">
        <v>495</v>
      </c>
      <c r="M3062" s="151">
        <v>111.06</v>
      </c>
    </row>
    <row r="3063" spans="1:13" s="149" customFormat="1" x14ac:dyDescent="0.25">
      <c r="A3063" s="149" t="s">
        <v>7640</v>
      </c>
      <c r="B3063" s="149" t="s">
        <v>496</v>
      </c>
      <c r="C3063" s="149">
        <v>11</v>
      </c>
      <c r="D3063" s="149">
        <v>120</v>
      </c>
      <c r="E3063" s="149">
        <v>2</v>
      </c>
      <c r="F3063" s="149">
        <v>601000</v>
      </c>
      <c r="G3063" s="149">
        <v>53620</v>
      </c>
      <c r="H3063" s="150" t="str">
        <f t="shared" si="141"/>
        <v>5</v>
      </c>
      <c r="I3063" s="150" t="str">
        <f t="shared" si="142"/>
        <v>53</v>
      </c>
      <c r="J3063" s="150" t="str">
        <f t="shared" si="143"/>
        <v>536</v>
      </c>
      <c r="K3063" s="150" t="s">
        <v>8554</v>
      </c>
      <c r="L3063" s="149" t="s">
        <v>497</v>
      </c>
      <c r="M3063" s="151">
        <v>4203.25</v>
      </c>
    </row>
    <row r="3064" spans="1:13" s="149" customFormat="1" x14ac:dyDescent="0.25">
      <c r="A3064" s="149" t="s">
        <v>7640</v>
      </c>
      <c r="B3064" s="149" t="s">
        <v>498</v>
      </c>
      <c r="C3064" s="149">
        <v>11</v>
      </c>
      <c r="D3064" s="149">
        <v>120</v>
      </c>
      <c r="E3064" s="149">
        <v>2</v>
      </c>
      <c r="F3064" s="149">
        <v>601000</v>
      </c>
      <c r="G3064" s="149">
        <v>53920</v>
      </c>
      <c r="H3064" s="150" t="str">
        <f t="shared" si="141"/>
        <v>5</v>
      </c>
      <c r="I3064" s="150" t="str">
        <f t="shared" si="142"/>
        <v>53</v>
      </c>
      <c r="J3064" s="150" t="str">
        <f t="shared" si="143"/>
        <v>539</v>
      </c>
      <c r="K3064" s="150" t="s">
        <v>8555</v>
      </c>
      <c r="L3064" s="149" t="s">
        <v>499</v>
      </c>
      <c r="M3064" s="151">
        <v>1800</v>
      </c>
    </row>
    <row r="3065" spans="1:13" s="149" customFormat="1" x14ac:dyDescent="0.25">
      <c r="A3065" s="149" t="s">
        <v>7640</v>
      </c>
      <c r="B3065" s="149" t="s">
        <v>500</v>
      </c>
      <c r="C3065" s="149">
        <v>11</v>
      </c>
      <c r="D3065" s="149">
        <v>120</v>
      </c>
      <c r="E3065" s="149">
        <v>2</v>
      </c>
      <c r="F3065" s="149">
        <v>601000</v>
      </c>
      <c r="G3065" s="149">
        <v>54300</v>
      </c>
      <c r="H3065" s="150" t="str">
        <f t="shared" si="141"/>
        <v>5</v>
      </c>
      <c r="I3065" s="150" t="str">
        <f t="shared" si="142"/>
        <v>54</v>
      </c>
      <c r="J3065" s="150" t="str">
        <f t="shared" si="143"/>
        <v>543</v>
      </c>
      <c r="K3065" s="150" t="s">
        <v>7917</v>
      </c>
      <c r="L3065" s="149" t="s">
        <v>501</v>
      </c>
      <c r="M3065" s="151">
        <v>9762.58</v>
      </c>
    </row>
    <row r="3066" spans="1:13" s="149" customFormat="1" x14ac:dyDescent="0.25">
      <c r="A3066" s="149" t="s">
        <v>7640</v>
      </c>
      <c r="B3066" s="149" t="s">
        <v>502</v>
      </c>
      <c r="C3066" s="149">
        <v>11</v>
      </c>
      <c r="D3066" s="149">
        <v>120</v>
      </c>
      <c r="E3066" s="149">
        <v>2</v>
      </c>
      <c r="F3066" s="149">
        <v>601000</v>
      </c>
      <c r="G3066" s="149">
        <v>55125</v>
      </c>
      <c r="H3066" s="150" t="str">
        <f t="shared" si="141"/>
        <v>5</v>
      </c>
      <c r="I3066" s="150" t="str">
        <f t="shared" si="142"/>
        <v>55</v>
      </c>
      <c r="J3066" s="150" t="str">
        <f t="shared" si="143"/>
        <v>551</v>
      </c>
      <c r="K3066" s="150" t="s">
        <v>8027</v>
      </c>
      <c r="L3066" s="149" t="s">
        <v>503</v>
      </c>
      <c r="M3066" s="151">
        <v>0</v>
      </c>
    </row>
    <row r="3067" spans="1:13" s="149" customFormat="1" x14ac:dyDescent="0.25">
      <c r="A3067" s="149" t="s">
        <v>7640</v>
      </c>
      <c r="B3067" s="149" t="s">
        <v>504</v>
      </c>
      <c r="C3067" s="149">
        <v>11</v>
      </c>
      <c r="D3067" s="149">
        <v>120</v>
      </c>
      <c r="E3067" s="149">
        <v>2</v>
      </c>
      <c r="F3067" s="149">
        <v>601000</v>
      </c>
      <c r="G3067" s="149">
        <v>55200</v>
      </c>
      <c r="H3067" s="150" t="str">
        <f t="shared" si="141"/>
        <v>5</v>
      </c>
      <c r="I3067" s="150" t="str">
        <f t="shared" si="142"/>
        <v>55</v>
      </c>
      <c r="J3067" s="150" t="str">
        <f t="shared" si="143"/>
        <v>552</v>
      </c>
      <c r="K3067" s="150" t="s">
        <v>8039</v>
      </c>
      <c r="L3067" s="149" t="s">
        <v>505</v>
      </c>
      <c r="M3067" s="151">
        <v>50</v>
      </c>
    </row>
    <row r="3068" spans="1:13" s="149" customFormat="1" x14ac:dyDescent="0.25">
      <c r="A3068" s="149" t="s">
        <v>7640</v>
      </c>
      <c r="B3068" s="149" t="s">
        <v>506</v>
      </c>
      <c r="C3068" s="149">
        <v>11</v>
      </c>
      <c r="D3068" s="149">
        <v>120</v>
      </c>
      <c r="E3068" s="149">
        <v>2</v>
      </c>
      <c r="F3068" s="149">
        <v>601000</v>
      </c>
      <c r="G3068" s="149">
        <v>55210</v>
      </c>
      <c r="H3068" s="150" t="str">
        <f t="shared" si="141"/>
        <v>5</v>
      </c>
      <c r="I3068" s="150" t="str">
        <f t="shared" si="142"/>
        <v>55</v>
      </c>
      <c r="J3068" s="150" t="str">
        <f t="shared" si="143"/>
        <v>552</v>
      </c>
      <c r="K3068" s="150" t="s">
        <v>8073</v>
      </c>
      <c r="L3068" s="149" t="s">
        <v>507</v>
      </c>
      <c r="M3068" s="151">
        <v>0</v>
      </c>
    </row>
    <row r="3069" spans="1:13" s="149" customFormat="1" x14ac:dyDescent="0.25">
      <c r="A3069" s="149" t="s">
        <v>7640</v>
      </c>
      <c r="B3069" s="149" t="s">
        <v>508</v>
      </c>
      <c r="C3069" s="149">
        <v>11</v>
      </c>
      <c r="D3069" s="149">
        <v>120</v>
      </c>
      <c r="E3069" s="149">
        <v>2</v>
      </c>
      <c r="F3069" s="149">
        <v>601000</v>
      </c>
      <c r="G3069" s="149">
        <v>55630</v>
      </c>
      <c r="H3069" s="150" t="str">
        <f t="shared" si="141"/>
        <v>5</v>
      </c>
      <c r="I3069" s="150" t="str">
        <f t="shared" si="142"/>
        <v>55</v>
      </c>
      <c r="J3069" s="150" t="str">
        <f t="shared" si="143"/>
        <v>556</v>
      </c>
      <c r="K3069" s="150" t="s">
        <v>8173</v>
      </c>
      <c r="L3069" s="149" t="s">
        <v>509</v>
      </c>
      <c r="M3069" s="151">
        <v>271.44</v>
      </c>
    </row>
    <row r="3070" spans="1:13" s="149" customFormat="1" x14ac:dyDescent="0.25">
      <c r="A3070" s="149" t="s">
        <v>7640</v>
      </c>
      <c r="B3070" s="149" t="s">
        <v>510</v>
      </c>
      <c r="C3070" s="149">
        <v>11</v>
      </c>
      <c r="D3070" s="149">
        <v>120</v>
      </c>
      <c r="E3070" s="149">
        <v>2</v>
      </c>
      <c r="F3070" s="149">
        <v>601000</v>
      </c>
      <c r="G3070" s="149">
        <v>55650</v>
      </c>
      <c r="H3070" s="150" t="str">
        <f t="shared" si="141"/>
        <v>5</v>
      </c>
      <c r="I3070" s="150" t="str">
        <f t="shared" si="142"/>
        <v>55</v>
      </c>
      <c r="J3070" s="150" t="str">
        <f t="shared" si="143"/>
        <v>556</v>
      </c>
      <c r="K3070" s="150" t="s">
        <v>8286</v>
      </c>
      <c r="L3070" s="149" t="s">
        <v>511</v>
      </c>
      <c r="M3070" s="151">
        <v>19903.080000000002</v>
      </c>
    </row>
    <row r="3071" spans="1:13" s="149" customFormat="1" x14ac:dyDescent="0.25">
      <c r="A3071" s="149" t="s">
        <v>7640</v>
      </c>
      <c r="B3071" s="149" t="s">
        <v>512</v>
      </c>
      <c r="C3071" s="149">
        <v>11</v>
      </c>
      <c r="D3071" s="149">
        <v>120</v>
      </c>
      <c r="E3071" s="149">
        <v>2</v>
      </c>
      <c r="F3071" s="149">
        <v>601000</v>
      </c>
      <c r="G3071" s="149">
        <v>55830</v>
      </c>
      <c r="H3071" s="150" t="str">
        <f t="shared" si="141"/>
        <v>5</v>
      </c>
      <c r="I3071" s="150" t="str">
        <f t="shared" si="142"/>
        <v>55</v>
      </c>
      <c r="J3071" s="150" t="str">
        <f t="shared" si="143"/>
        <v>558</v>
      </c>
      <c r="K3071" s="150" t="s">
        <v>8347</v>
      </c>
      <c r="L3071" s="149" t="s">
        <v>513</v>
      </c>
      <c r="M3071" s="151">
        <v>0</v>
      </c>
    </row>
    <row r="3072" spans="1:13" s="149" customFormat="1" x14ac:dyDescent="0.25">
      <c r="A3072" s="149" t="s">
        <v>7640</v>
      </c>
      <c r="B3072" s="149" t="s">
        <v>514</v>
      </c>
      <c r="C3072" s="149">
        <v>11</v>
      </c>
      <c r="D3072" s="149">
        <v>120</v>
      </c>
      <c r="E3072" s="149">
        <v>2</v>
      </c>
      <c r="F3072" s="149">
        <v>601000</v>
      </c>
      <c r="G3072" s="149">
        <v>56400</v>
      </c>
      <c r="H3072" s="150" t="str">
        <f t="shared" si="141"/>
        <v>5</v>
      </c>
      <c r="I3072" s="150" t="str">
        <f t="shared" si="142"/>
        <v>56</v>
      </c>
      <c r="J3072" s="150" t="str">
        <f t="shared" si="143"/>
        <v>564</v>
      </c>
      <c r="K3072" s="150" t="s">
        <v>8368</v>
      </c>
      <c r="L3072" s="149" t="s">
        <v>515</v>
      </c>
      <c r="M3072" s="151">
        <v>2977.87</v>
      </c>
    </row>
    <row r="3073" spans="1:13" s="149" customFormat="1" x14ac:dyDescent="0.25">
      <c r="A3073" s="149" t="s">
        <v>7640</v>
      </c>
      <c r="B3073" s="149" t="s">
        <v>516</v>
      </c>
      <c r="C3073" s="149">
        <v>11</v>
      </c>
      <c r="D3073" s="149">
        <v>120</v>
      </c>
      <c r="E3073" s="149">
        <v>2</v>
      </c>
      <c r="F3073" s="149">
        <v>612000</v>
      </c>
      <c r="G3073" s="149">
        <v>51411</v>
      </c>
      <c r="H3073" s="150" t="str">
        <f t="shared" si="141"/>
        <v>5</v>
      </c>
      <c r="I3073" s="150" t="str">
        <f t="shared" si="142"/>
        <v>51</v>
      </c>
      <c r="J3073" s="150" t="str">
        <f t="shared" si="143"/>
        <v>514</v>
      </c>
      <c r="K3073" s="150" t="s">
        <v>7775</v>
      </c>
      <c r="L3073" s="149" t="s">
        <v>517</v>
      </c>
      <c r="M3073" s="151">
        <v>0</v>
      </c>
    </row>
    <row r="3074" spans="1:13" s="149" customFormat="1" x14ac:dyDescent="0.25">
      <c r="A3074" s="149" t="s">
        <v>7640</v>
      </c>
      <c r="B3074" s="149" t="s">
        <v>518</v>
      </c>
      <c r="C3074" s="149">
        <v>11</v>
      </c>
      <c r="D3074" s="149">
        <v>120</v>
      </c>
      <c r="E3074" s="149">
        <v>2</v>
      </c>
      <c r="F3074" s="149">
        <v>612000</v>
      </c>
      <c r="G3074" s="149">
        <v>53120</v>
      </c>
      <c r="H3074" s="150" t="str">
        <f t="shared" si="141"/>
        <v>5</v>
      </c>
      <c r="I3074" s="150" t="str">
        <f t="shared" si="142"/>
        <v>53</v>
      </c>
      <c r="J3074" s="150" t="str">
        <f t="shared" si="143"/>
        <v>531</v>
      </c>
      <c r="K3074" s="150" t="s">
        <v>8556</v>
      </c>
      <c r="L3074" s="149" t="s">
        <v>519</v>
      </c>
      <c r="M3074" s="151">
        <v>0</v>
      </c>
    </row>
    <row r="3075" spans="1:13" s="149" customFormat="1" x14ac:dyDescent="0.25">
      <c r="A3075" s="149" t="s">
        <v>7640</v>
      </c>
      <c r="B3075" s="149" t="s">
        <v>520</v>
      </c>
      <c r="C3075" s="149">
        <v>11</v>
      </c>
      <c r="D3075" s="149">
        <v>120</v>
      </c>
      <c r="E3075" s="149">
        <v>2</v>
      </c>
      <c r="F3075" s="149">
        <v>612000</v>
      </c>
      <c r="G3075" s="149">
        <v>53340</v>
      </c>
      <c r="H3075" s="150" t="str">
        <f t="shared" ref="H3075:H3138" si="144">LEFT(G3075,1)</f>
        <v>5</v>
      </c>
      <c r="I3075" s="150" t="str">
        <f t="shared" ref="I3075:I3138" si="145">LEFT(G3075,2)</f>
        <v>53</v>
      </c>
      <c r="J3075" s="150" t="str">
        <f t="shared" ref="J3075:J3138" si="146">LEFT(G3075,3)</f>
        <v>533</v>
      </c>
      <c r="K3075" s="150" t="s">
        <v>8557</v>
      </c>
      <c r="L3075" s="149" t="s">
        <v>521</v>
      </c>
      <c r="M3075" s="151">
        <v>0</v>
      </c>
    </row>
    <row r="3076" spans="1:13" s="149" customFormat="1" x14ac:dyDescent="0.25">
      <c r="A3076" s="149" t="s">
        <v>7640</v>
      </c>
      <c r="B3076" s="149" t="s">
        <v>522</v>
      </c>
      <c r="C3076" s="149">
        <v>11</v>
      </c>
      <c r="D3076" s="149">
        <v>120</v>
      </c>
      <c r="E3076" s="149">
        <v>2</v>
      </c>
      <c r="F3076" s="149">
        <v>612000</v>
      </c>
      <c r="G3076" s="149">
        <v>53520</v>
      </c>
      <c r="H3076" s="150" t="str">
        <f t="shared" si="144"/>
        <v>5</v>
      </c>
      <c r="I3076" s="150" t="str">
        <f t="shared" si="145"/>
        <v>53</v>
      </c>
      <c r="J3076" s="150" t="str">
        <f t="shared" si="146"/>
        <v>535</v>
      </c>
      <c r="K3076" s="150" t="s">
        <v>8558</v>
      </c>
      <c r="L3076" s="149" t="s">
        <v>523</v>
      </c>
      <c r="M3076" s="151">
        <v>0</v>
      </c>
    </row>
    <row r="3077" spans="1:13" s="149" customFormat="1" x14ac:dyDescent="0.25">
      <c r="A3077" s="149" t="s">
        <v>7640</v>
      </c>
      <c r="B3077" s="149" t="s">
        <v>524</v>
      </c>
      <c r="C3077" s="149">
        <v>11</v>
      </c>
      <c r="D3077" s="149">
        <v>120</v>
      </c>
      <c r="E3077" s="149">
        <v>2</v>
      </c>
      <c r="F3077" s="149">
        <v>612000</v>
      </c>
      <c r="G3077" s="149">
        <v>53620</v>
      </c>
      <c r="H3077" s="150" t="str">
        <f t="shared" si="144"/>
        <v>5</v>
      </c>
      <c r="I3077" s="150" t="str">
        <f t="shared" si="145"/>
        <v>53</v>
      </c>
      <c r="J3077" s="150" t="str">
        <f t="shared" si="146"/>
        <v>536</v>
      </c>
      <c r="K3077" s="150" t="s">
        <v>8559</v>
      </c>
      <c r="L3077" s="149" t="s">
        <v>525</v>
      </c>
      <c r="M3077" s="151">
        <v>0</v>
      </c>
    </row>
    <row r="3078" spans="1:13" s="149" customFormat="1" x14ac:dyDescent="0.25">
      <c r="A3078" s="149" t="s">
        <v>7640</v>
      </c>
      <c r="B3078" s="149" t="s">
        <v>526</v>
      </c>
      <c r="C3078" s="149">
        <v>11</v>
      </c>
      <c r="D3078" s="149">
        <v>120</v>
      </c>
      <c r="E3078" s="149">
        <v>2</v>
      </c>
      <c r="F3078" s="149">
        <v>612000</v>
      </c>
      <c r="G3078" s="149">
        <v>55630</v>
      </c>
      <c r="H3078" s="150" t="str">
        <f t="shared" si="144"/>
        <v>5</v>
      </c>
      <c r="I3078" s="150" t="str">
        <f t="shared" si="145"/>
        <v>55</v>
      </c>
      <c r="J3078" s="150" t="str">
        <f t="shared" si="146"/>
        <v>556</v>
      </c>
      <c r="K3078" s="150" t="s">
        <v>8174</v>
      </c>
      <c r="L3078" s="149" t="s">
        <v>527</v>
      </c>
      <c r="M3078" s="151">
        <v>0</v>
      </c>
    </row>
    <row r="3079" spans="1:13" s="149" customFormat="1" x14ac:dyDescent="0.25">
      <c r="A3079" s="149" t="s">
        <v>7640</v>
      </c>
      <c r="B3079" s="149" t="s">
        <v>528</v>
      </c>
      <c r="C3079" s="149">
        <v>11</v>
      </c>
      <c r="D3079" s="149">
        <v>120</v>
      </c>
      <c r="E3079" s="149">
        <v>2</v>
      </c>
      <c r="F3079" s="149">
        <v>631000</v>
      </c>
      <c r="G3079" s="149">
        <v>51311</v>
      </c>
      <c r="H3079" s="150" t="str">
        <f t="shared" si="144"/>
        <v>5</v>
      </c>
      <c r="I3079" s="150" t="str">
        <f t="shared" si="145"/>
        <v>51</v>
      </c>
      <c r="J3079" s="150" t="str">
        <f t="shared" si="146"/>
        <v>513</v>
      </c>
      <c r="K3079" s="150" t="s">
        <v>7717</v>
      </c>
      <c r="L3079" s="149" t="s">
        <v>529</v>
      </c>
      <c r="M3079" s="151">
        <v>18135.75</v>
      </c>
    </row>
    <row r="3080" spans="1:13" s="149" customFormat="1" x14ac:dyDescent="0.25">
      <c r="A3080" s="149" t="s">
        <v>7640</v>
      </c>
      <c r="B3080" s="149" t="s">
        <v>530</v>
      </c>
      <c r="C3080" s="149">
        <v>11</v>
      </c>
      <c r="D3080" s="149">
        <v>120</v>
      </c>
      <c r="E3080" s="149">
        <v>2</v>
      </c>
      <c r="F3080" s="149">
        <v>631000</v>
      </c>
      <c r="G3080" s="149">
        <v>51411</v>
      </c>
      <c r="H3080" s="150" t="str">
        <f t="shared" si="144"/>
        <v>5</v>
      </c>
      <c r="I3080" s="150" t="str">
        <f t="shared" si="145"/>
        <v>51</v>
      </c>
      <c r="J3080" s="150" t="str">
        <f t="shared" si="146"/>
        <v>514</v>
      </c>
      <c r="K3080" s="150" t="s">
        <v>7776</v>
      </c>
      <c r="L3080" s="149" t="s">
        <v>531</v>
      </c>
      <c r="M3080" s="151">
        <v>1930.6</v>
      </c>
    </row>
    <row r="3081" spans="1:13" s="149" customFormat="1" x14ac:dyDescent="0.25">
      <c r="A3081" s="149" t="s">
        <v>7640</v>
      </c>
      <c r="B3081" s="149" t="s">
        <v>532</v>
      </c>
      <c r="C3081" s="149">
        <v>11</v>
      </c>
      <c r="D3081" s="149">
        <v>120</v>
      </c>
      <c r="E3081" s="149">
        <v>2</v>
      </c>
      <c r="F3081" s="149">
        <v>631000</v>
      </c>
      <c r="G3081" s="149">
        <v>53110</v>
      </c>
      <c r="H3081" s="150" t="str">
        <f t="shared" si="144"/>
        <v>5</v>
      </c>
      <c r="I3081" s="150" t="str">
        <f t="shared" si="145"/>
        <v>53</v>
      </c>
      <c r="J3081" s="150" t="str">
        <f t="shared" si="146"/>
        <v>531</v>
      </c>
      <c r="K3081" s="150" t="s">
        <v>8560</v>
      </c>
      <c r="L3081" s="149" t="s">
        <v>533</v>
      </c>
      <c r="M3081" s="151">
        <v>2928.95</v>
      </c>
    </row>
    <row r="3082" spans="1:13" s="149" customFormat="1" x14ac:dyDescent="0.25">
      <c r="A3082" s="149" t="s">
        <v>7640</v>
      </c>
      <c r="B3082" s="149" t="s">
        <v>534</v>
      </c>
      <c r="C3082" s="149">
        <v>11</v>
      </c>
      <c r="D3082" s="149">
        <v>120</v>
      </c>
      <c r="E3082" s="149">
        <v>2</v>
      </c>
      <c r="F3082" s="149">
        <v>631000</v>
      </c>
      <c r="G3082" s="149">
        <v>53120</v>
      </c>
      <c r="H3082" s="150" t="str">
        <f t="shared" si="144"/>
        <v>5</v>
      </c>
      <c r="I3082" s="150" t="str">
        <f t="shared" si="145"/>
        <v>53</v>
      </c>
      <c r="J3082" s="150" t="str">
        <f t="shared" si="146"/>
        <v>531</v>
      </c>
      <c r="K3082" s="150" t="s">
        <v>8561</v>
      </c>
      <c r="L3082" s="149" t="s">
        <v>535</v>
      </c>
      <c r="M3082" s="151">
        <v>311.79000000000002</v>
      </c>
    </row>
    <row r="3083" spans="1:13" s="149" customFormat="1" x14ac:dyDescent="0.25">
      <c r="A3083" s="149" t="s">
        <v>7640</v>
      </c>
      <c r="B3083" s="149" t="s">
        <v>536</v>
      </c>
      <c r="C3083" s="149">
        <v>11</v>
      </c>
      <c r="D3083" s="149">
        <v>120</v>
      </c>
      <c r="E3083" s="149">
        <v>2</v>
      </c>
      <c r="F3083" s="149">
        <v>631000</v>
      </c>
      <c r="G3083" s="149">
        <v>53330</v>
      </c>
      <c r="H3083" s="150" t="str">
        <f t="shared" si="144"/>
        <v>5</v>
      </c>
      <c r="I3083" s="150" t="str">
        <f t="shared" si="145"/>
        <v>53</v>
      </c>
      <c r="J3083" s="150" t="str">
        <f t="shared" si="146"/>
        <v>533</v>
      </c>
      <c r="K3083" s="150" t="s">
        <v>8562</v>
      </c>
      <c r="L3083" s="149" t="s">
        <v>537</v>
      </c>
      <c r="M3083" s="151">
        <v>263</v>
      </c>
    </row>
    <row r="3084" spans="1:13" s="149" customFormat="1" x14ac:dyDescent="0.25">
      <c r="A3084" s="149" t="s">
        <v>7640</v>
      </c>
      <c r="B3084" s="149" t="s">
        <v>538</v>
      </c>
      <c r="C3084" s="149">
        <v>11</v>
      </c>
      <c r="D3084" s="149">
        <v>120</v>
      </c>
      <c r="E3084" s="149">
        <v>2</v>
      </c>
      <c r="F3084" s="149">
        <v>631000</v>
      </c>
      <c r="G3084" s="149">
        <v>53340</v>
      </c>
      <c r="H3084" s="150" t="str">
        <f t="shared" si="144"/>
        <v>5</v>
      </c>
      <c r="I3084" s="150" t="str">
        <f t="shared" si="145"/>
        <v>53</v>
      </c>
      <c r="J3084" s="150" t="str">
        <f t="shared" si="146"/>
        <v>533</v>
      </c>
      <c r="K3084" s="150" t="s">
        <v>8563</v>
      </c>
      <c r="L3084" s="149" t="s">
        <v>539</v>
      </c>
      <c r="M3084" s="151">
        <v>28</v>
      </c>
    </row>
    <row r="3085" spans="1:13" s="149" customFormat="1" x14ac:dyDescent="0.25">
      <c r="A3085" s="149" t="s">
        <v>7640</v>
      </c>
      <c r="B3085" s="149" t="s">
        <v>540</v>
      </c>
      <c r="C3085" s="149">
        <v>11</v>
      </c>
      <c r="D3085" s="149">
        <v>120</v>
      </c>
      <c r="E3085" s="149">
        <v>2</v>
      </c>
      <c r="F3085" s="149">
        <v>631000</v>
      </c>
      <c r="G3085" s="149">
        <v>53510</v>
      </c>
      <c r="H3085" s="150" t="str">
        <f t="shared" si="144"/>
        <v>5</v>
      </c>
      <c r="I3085" s="150" t="str">
        <f t="shared" si="145"/>
        <v>53</v>
      </c>
      <c r="J3085" s="150" t="str">
        <f t="shared" si="146"/>
        <v>535</v>
      </c>
      <c r="K3085" s="150" t="s">
        <v>8564</v>
      </c>
      <c r="L3085" s="149" t="s">
        <v>541</v>
      </c>
      <c r="M3085" s="151">
        <v>9.02</v>
      </c>
    </row>
    <row r="3086" spans="1:13" s="149" customFormat="1" x14ac:dyDescent="0.25">
      <c r="A3086" s="149" t="s">
        <v>7640</v>
      </c>
      <c r="B3086" s="149" t="s">
        <v>542</v>
      </c>
      <c r="C3086" s="149">
        <v>11</v>
      </c>
      <c r="D3086" s="149">
        <v>120</v>
      </c>
      <c r="E3086" s="149">
        <v>2</v>
      </c>
      <c r="F3086" s="149">
        <v>631000</v>
      </c>
      <c r="G3086" s="149">
        <v>53520</v>
      </c>
      <c r="H3086" s="150" t="str">
        <f t="shared" si="144"/>
        <v>5</v>
      </c>
      <c r="I3086" s="150" t="str">
        <f t="shared" si="145"/>
        <v>53</v>
      </c>
      <c r="J3086" s="150" t="str">
        <f t="shared" si="146"/>
        <v>535</v>
      </c>
      <c r="K3086" s="150" t="s">
        <v>8565</v>
      </c>
      <c r="L3086" s="149" t="s">
        <v>543</v>
      </c>
      <c r="M3086" s="151">
        <v>0.97</v>
      </c>
    </row>
    <row r="3087" spans="1:13" s="149" customFormat="1" x14ac:dyDescent="0.25">
      <c r="A3087" s="149" t="s">
        <v>7640</v>
      </c>
      <c r="B3087" s="149" t="s">
        <v>544</v>
      </c>
      <c r="C3087" s="149">
        <v>11</v>
      </c>
      <c r="D3087" s="149">
        <v>120</v>
      </c>
      <c r="E3087" s="149">
        <v>2</v>
      </c>
      <c r="F3087" s="149">
        <v>631000</v>
      </c>
      <c r="G3087" s="149">
        <v>53610</v>
      </c>
      <c r="H3087" s="150" t="str">
        <f t="shared" si="144"/>
        <v>5</v>
      </c>
      <c r="I3087" s="150" t="str">
        <f t="shared" si="145"/>
        <v>53</v>
      </c>
      <c r="J3087" s="150" t="str">
        <f t="shared" si="146"/>
        <v>536</v>
      </c>
      <c r="K3087" s="150" t="s">
        <v>8566</v>
      </c>
      <c r="L3087" s="149" t="s">
        <v>545</v>
      </c>
      <c r="M3087" s="151">
        <v>342.92</v>
      </c>
    </row>
    <row r="3088" spans="1:13" s="149" customFormat="1" x14ac:dyDescent="0.25">
      <c r="A3088" s="149" t="s">
        <v>7640</v>
      </c>
      <c r="B3088" s="149" t="s">
        <v>546</v>
      </c>
      <c r="C3088" s="149">
        <v>11</v>
      </c>
      <c r="D3088" s="149">
        <v>120</v>
      </c>
      <c r="E3088" s="149">
        <v>2</v>
      </c>
      <c r="F3088" s="149">
        <v>631000</v>
      </c>
      <c r="G3088" s="149">
        <v>53620</v>
      </c>
      <c r="H3088" s="150" t="str">
        <f t="shared" si="144"/>
        <v>5</v>
      </c>
      <c r="I3088" s="150" t="str">
        <f t="shared" si="145"/>
        <v>53</v>
      </c>
      <c r="J3088" s="150" t="str">
        <f t="shared" si="146"/>
        <v>536</v>
      </c>
      <c r="K3088" s="150" t="s">
        <v>8567</v>
      </c>
      <c r="L3088" s="149" t="s">
        <v>547</v>
      </c>
      <c r="M3088" s="151">
        <v>36.5</v>
      </c>
    </row>
    <row r="3089" spans="1:13" s="149" customFormat="1" x14ac:dyDescent="0.25">
      <c r="A3089" s="149" t="s">
        <v>7640</v>
      </c>
      <c r="B3089" s="149" t="s">
        <v>548</v>
      </c>
      <c r="C3089" s="149">
        <v>11</v>
      </c>
      <c r="D3089" s="149">
        <v>120</v>
      </c>
      <c r="E3089" s="149">
        <v>2</v>
      </c>
      <c r="F3089" s="149">
        <v>631000</v>
      </c>
      <c r="G3089" s="149">
        <v>55630</v>
      </c>
      <c r="H3089" s="150" t="str">
        <f t="shared" si="144"/>
        <v>5</v>
      </c>
      <c r="I3089" s="150" t="str">
        <f t="shared" si="145"/>
        <v>55</v>
      </c>
      <c r="J3089" s="150" t="str">
        <f t="shared" si="146"/>
        <v>556</v>
      </c>
      <c r="K3089" s="150" t="s">
        <v>8175</v>
      </c>
      <c r="L3089" s="149" t="s">
        <v>549</v>
      </c>
      <c r="M3089" s="151">
        <v>159.51</v>
      </c>
    </row>
    <row r="3090" spans="1:13" s="149" customFormat="1" x14ac:dyDescent="0.25">
      <c r="A3090" s="149" t="s">
        <v>7640</v>
      </c>
      <c r="B3090" s="149" t="s">
        <v>550</v>
      </c>
      <c r="C3090" s="149">
        <v>11</v>
      </c>
      <c r="D3090" s="149">
        <v>120</v>
      </c>
      <c r="E3090" s="149">
        <v>2</v>
      </c>
      <c r="F3090" s="149">
        <v>657000</v>
      </c>
      <c r="G3090" s="149">
        <v>55530</v>
      </c>
      <c r="H3090" s="150" t="str">
        <f t="shared" si="144"/>
        <v>5</v>
      </c>
      <c r="I3090" s="150" t="str">
        <f t="shared" si="145"/>
        <v>55</v>
      </c>
      <c r="J3090" s="150" t="str">
        <f t="shared" si="146"/>
        <v>555</v>
      </c>
      <c r="K3090" s="150" t="s">
        <v>8116</v>
      </c>
      <c r="L3090" s="149" t="s">
        <v>551</v>
      </c>
      <c r="M3090" s="151">
        <v>15322.51</v>
      </c>
    </row>
    <row r="3091" spans="1:13" s="149" customFormat="1" x14ac:dyDescent="0.25">
      <c r="A3091" s="149" t="s">
        <v>7640</v>
      </c>
      <c r="B3091" s="149" t="s">
        <v>552</v>
      </c>
      <c r="C3091" s="149">
        <v>11</v>
      </c>
      <c r="D3091" s="149">
        <v>120</v>
      </c>
      <c r="E3091" s="149">
        <v>2</v>
      </c>
      <c r="F3091" s="149">
        <v>657000</v>
      </c>
      <c r="G3091" s="149">
        <v>55540</v>
      </c>
      <c r="H3091" s="150" t="str">
        <f t="shared" si="144"/>
        <v>5</v>
      </c>
      <c r="I3091" s="150" t="str">
        <f t="shared" si="145"/>
        <v>55</v>
      </c>
      <c r="J3091" s="150" t="str">
        <f t="shared" si="146"/>
        <v>555</v>
      </c>
      <c r="K3091" s="150" t="s">
        <v>8122</v>
      </c>
      <c r="L3091" s="149" t="s">
        <v>553</v>
      </c>
      <c r="M3091" s="151">
        <v>1542.55</v>
      </c>
    </row>
    <row r="3092" spans="1:13" s="149" customFormat="1" x14ac:dyDescent="0.25">
      <c r="A3092" s="149" t="s">
        <v>7640</v>
      </c>
      <c r="B3092" s="149" t="s">
        <v>554</v>
      </c>
      <c r="C3092" s="149">
        <v>11</v>
      </c>
      <c r="D3092" s="149">
        <v>120</v>
      </c>
      <c r="E3092" s="149">
        <v>2</v>
      </c>
      <c r="F3092" s="149">
        <v>657000</v>
      </c>
      <c r="G3092" s="149">
        <v>55560</v>
      </c>
      <c r="H3092" s="150" t="str">
        <f t="shared" si="144"/>
        <v>5</v>
      </c>
      <c r="I3092" s="150" t="str">
        <f t="shared" si="145"/>
        <v>55</v>
      </c>
      <c r="J3092" s="150" t="str">
        <f t="shared" si="146"/>
        <v>555</v>
      </c>
      <c r="K3092" s="150" t="s">
        <v>8135</v>
      </c>
      <c r="L3092" s="149" t="s">
        <v>555</v>
      </c>
      <c r="M3092" s="151">
        <v>6676.18</v>
      </c>
    </row>
    <row r="3093" spans="1:13" s="149" customFormat="1" x14ac:dyDescent="0.25">
      <c r="A3093" s="149" t="s">
        <v>7640</v>
      </c>
      <c r="B3093" s="149" t="s">
        <v>556</v>
      </c>
      <c r="C3093" s="149">
        <v>11</v>
      </c>
      <c r="D3093" s="149">
        <v>120</v>
      </c>
      <c r="E3093" s="149">
        <v>2</v>
      </c>
      <c r="F3093" s="149">
        <v>657000</v>
      </c>
      <c r="G3093" s="149">
        <v>55580</v>
      </c>
      <c r="H3093" s="150" t="str">
        <f t="shared" si="144"/>
        <v>5</v>
      </c>
      <c r="I3093" s="150" t="str">
        <f t="shared" si="145"/>
        <v>55</v>
      </c>
      <c r="J3093" s="150" t="str">
        <f t="shared" si="146"/>
        <v>555</v>
      </c>
      <c r="K3093" s="150" t="s">
        <v>8145</v>
      </c>
      <c r="L3093" s="149" t="s">
        <v>557</v>
      </c>
      <c r="M3093" s="151">
        <v>4562.04</v>
      </c>
    </row>
    <row r="3094" spans="1:13" s="149" customFormat="1" x14ac:dyDescent="0.25">
      <c r="A3094" s="149" t="s">
        <v>7640</v>
      </c>
      <c r="B3094" s="149" t="s">
        <v>558</v>
      </c>
      <c r="C3094" s="149">
        <v>11</v>
      </c>
      <c r="D3094" s="149">
        <v>120</v>
      </c>
      <c r="E3094" s="149">
        <v>2</v>
      </c>
      <c r="F3094" s="149">
        <v>700400</v>
      </c>
      <c r="G3094" s="149">
        <v>55630</v>
      </c>
      <c r="H3094" s="150" t="str">
        <f t="shared" si="144"/>
        <v>5</v>
      </c>
      <c r="I3094" s="150" t="str">
        <f t="shared" si="145"/>
        <v>55</v>
      </c>
      <c r="J3094" s="150" t="str">
        <f t="shared" si="146"/>
        <v>556</v>
      </c>
      <c r="K3094" s="150" t="s">
        <v>8176</v>
      </c>
      <c r="L3094" s="149" t="s">
        <v>559</v>
      </c>
      <c r="M3094" s="151">
        <v>159.51</v>
      </c>
    </row>
    <row r="3095" spans="1:13" s="149" customFormat="1" x14ac:dyDescent="0.25">
      <c r="A3095" s="149" t="s">
        <v>7640</v>
      </c>
      <c r="B3095" s="149" t="s">
        <v>9570</v>
      </c>
      <c r="C3095" s="149">
        <v>11</v>
      </c>
      <c r="D3095" s="149">
        <v>140</v>
      </c>
      <c r="E3095" s="149">
        <v>0</v>
      </c>
      <c r="F3095" s="149">
        <v>602003</v>
      </c>
      <c r="G3095" s="149">
        <v>51412</v>
      </c>
      <c r="H3095" s="150" t="str">
        <f t="shared" si="144"/>
        <v>5</v>
      </c>
      <c r="I3095" s="150" t="str">
        <f t="shared" si="145"/>
        <v>51</v>
      </c>
      <c r="J3095" s="150" t="str">
        <f t="shared" si="146"/>
        <v>514</v>
      </c>
      <c r="K3095" s="150" t="s">
        <v>7782</v>
      </c>
      <c r="L3095" s="149" t="s">
        <v>9571</v>
      </c>
      <c r="M3095" s="151">
        <v>0</v>
      </c>
    </row>
    <row r="3096" spans="1:13" s="149" customFormat="1" x14ac:dyDescent="0.25">
      <c r="A3096" s="149" t="s">
        <v>7640</v>
      </c>
      <c r="B3096" s="149" t="s">
        <v>9572</v>
      </c>
      <c r="C3096" s="149">
        <v>11</v>
      </c>
      <c r="D3096" s="149">
        <v>140</v>
      </c>
      <c r="E3096" s="149">
        <v>0</v>
      </c>
      <c r="F3096" s="149">
        <v>602003</v>
      </c>
      <c r="G3096" s="149">
        <v>53120</v>
      </c>
      <c r="H3096" s="150" t="str">
        <f t="shared" si="144"/>
        <v>5</v>
      </c>
      <c r="I3096" s="150" t="str">
        <f t="shared" si="145"/>
        <v>53</v>
      </c>
      <c r="J3096" s="150" t="str">
        <f t="shared" si="146"/>
        <v>531</v>
      </c>
      <c r="K3096" s="150" t="s">
        <v>8568</v>
      </c>
      <c r="L3096" s="149" t="s">
        <v>9573</v>
      </c>
      <c r="M3096" s="151">
        <v>0</v>
      </c>
    </row>
    <row r="3097" spans="1:13" s="149" customFormat="1" x14ac:dyDescent="0.25">
      <c r="A3097" s="149" t="s">
        <v>7640</v>
      </c>
      <c r="B3097" s="149" t="s">
        <v>9574</v>
      </c>
      <c r="C3097" s="149">
        <v>11</v>
      </c>
      <c r="D3097" s="149">
        <v>140</v>
      </c>
      <c r="E3097" s="149">
        <v>0</v>
      </c>
      <c r="F3097" s="149">
        <v>602003</v>
      </c>
      <c r="G3097" s="149">
        <v>53340</v>
      </c>
      <c r="H3097" s="150" t="str">
        <f t="shared" si="144"/>
        <v>5</v>
      </c>
      <c r="I3097" s="150" t="str">
        <f t="shared" si="145"/>
        <v>53</v>
      </c>
      <c r="J3097" s="150" t="str">
        <f t="shared" si="146"/>
        <v>533</v>
      </c>
      <c r="K3097" s="150" t="s">
        <v>8569</v>
      </c>
      <c r="L3097" s="149" t="s">
        <v>9575</v>
      </c>
      <c r="M3097" s="151">
        <v>0</v>
      </c>
    </row>
    <row r="3098" spans="1:13" s="149" customFormat="1" x14ac:dyDescent="0.25">
      <c r="A3098" s="149" t="s">
        <v>7640</v>
      </c>
      <c r="B3098" s="149" t="s">
        <v>9576</v>
      </c>
      <c r="C3098" s="149">
        <v>11</v>
      </c>
      <c r="D3098" s="149">
        <v>140</v>
      </c>
      <c r="E3098" s="149">
        <v>0</v>
      </c>
      <c r="F3098" s="149">
        <v>602003</v>
      </c>
      <c r="G3098" s="149">
        <v>53520</v>
      </c>
      <c r="H3098" s="150" t="str">
        <f t="shared" si="144"/>
        <v>5</v>
      </c>
      <c r="I3098" s="150" t="str">
        <f t="shared" si="145"/>
        <v>53</v>
      </c>
      <c r="J3098" s="150" t="str">
        <f t="shared" si="146"/>
        <v>535</v>
      </c>
      <c r="K3098" s="150" t="s">
        <v>8570</v>
      </c>
      <c r="L3098" s="149" t="s">
        <v>9577</v>
      </c>
      <c r="M3098" s="151">
        <v>0</v>
      </c>
    </row>
    <row r="3099" spans="1:13" s="149" customFormat="1" x14ac:dyDescent="0.25">
      <c r="A3099" s="149" t="s">
        <v>7640</v>
      </c>
      <c r="B3099" s="149" t="s">
        <v>9578</v>
      </c>
      <c r="C3099" s="149">
        <v>11</v>
      </c>
      <c r="D3099" s="149">
        <v>140</v>
      </c>
      <c r="E3099" s="149">
        <v>0</v>
      </c>
      <c r="F3099" s="149">
        <v>602003</v>
      </c>
      <c r="G3099" s="149">
        <v>53620</v>
      </c>
      <c r="H3099" s="150" t="str">
        <f t="shared" si="144"/>
        <v>5</v>
      </c>
      <c r="I3099" s="150" t="str">
        <f t="shared" si="145"/>
        <v>53</v>
      </c>
      <c r="J3099" s="150" t="str">
        <f t="shared" si="146"/>
        <v>536</v>
      </c>
      <c r="K3099" s="150" t="s">
        <v>8571</v>
      </c>
      <c r="L3099" s="149" t="s">
        <v>9579</v>
      </c>
      <c r="M3099" s="151">
        <v>0</v>
      </c>
    </row>
    <row r="3100" spans="1:13" s="149" customFormat="1" x14ac:dyDescent="0.25">
      <c r="A3100" s="149" t="s">
        <v>7640</v>
      </c>
      <c r="B3100" s="149" t="s">
        <v>9580</v>
      </c>
      <c r="C3100" s="149">
        <v>11</v>
      </c>
      <c r="D3100" s="149">
        <v>140</v>
      </c>
      <c r="E3100" s="149">
        <v>0</v>
      </c>
      <c r="F3100" s="149">
        <v>602003</v>
      </c>
      <c r="G3100" s="149">
        <v>55200</v>
      </c>
      <c r="H3100" s="150" t="str">
        <f t="shared" si="144"/>
        <v>5</v>
      </c>
      <c r="I3100" s="150" t="str">
        <f t="shared" si="145"/>
        <v>55</v>
      </c>
      <c r="J3100" s="150" t="str">
        <f t="shared" si="146"/>
        <v>552</v>
      </c>
      <c r="K3100" s="150" t="s">
        <v>8040</v>
      </c>
      <c r="L3100" s="149" t="s">
        <v>9581</v>
      </c>
      <c r="M3100" s="151">
        <v>0</v>
      </c>
    </row>
    <row r="3101" spans="1:13" s="149" customFormat="1" x14ac:dyDescent="0.25">
      <c r="A3101" s="149" t="s">
        <v>7640</v>
      </c>
      <c r="B3101" s="149" t="s">
        <v>560</v>
      </c>
      <c r="C3101" s="149">
        <v>11</v>
      </c>
      <c r="D3101" s="149">
        <v>140</v>
      </c>
      <c r="E3101" s="149">
        <v>0</v>
      </c>
      <c r="F3101" s="149">
        <v>671020</v>
      </c>
      <c r="G3101" s="149">
        <v>55630</v>
      </c>
      <c r="H3101" s="150" t="str">
        <f t="shared" si="144"/>
        <v>5</v>
      </c>
      <c r="I3101" s="150" t="str">
        <f t="shared" si="145"/>
        <v>55</v>
      </c>
      <c r="J3101" s="150" t="str">
        <f t="shared" si="146"/>
        <v>556</v>
      </c>
      <c r="K3101" s="150" t="s">
        <v>8177</v>
      </c>
      <c r="L3101" s="149" t="s">
        <v>561</v>
      </c>
      <c r="M3101" s="151">
        <v>18.78</v>
      </c>
    </row>
    <row r="3102" spans="1:13" s="149" customFormat="1" x14ac:dyDescent="0.25">
      <c r="A3102" s="149" t="s">
        <v>7640</v>
      </c>
      <c r="B3102" s="149" t="s">
        <v>562</v>
      </c>
      <c r="C3102" s="149">
        <v>11</v>
      </c>
      <c r="D3102" s="149">
        <v>140</v>
      </c>
      <c r="E3102" s="149">
        <v>0</v>
      </c>
      <c r="F3102" s="149">
        <v>684000</v>
      </c>
      <c r="G3102" s="149">
        <v>52120</v>
      </c>
      <c r="H3102" s="150" t="str">
        <f t="shared" si="144"/>
        <v>5</v>
      </c>
      <c r="I3102" s="150" t="str">
        <f t="shared" si="145"/>
        <v>52</v>
      </c>
      <c r="J3102" s="150" t="str">
        <f t="shared" si="146"/>
        <v>521</v>
      </c>
      <c r="K3102" s="150" t="s">
        <v>8572</v>
      </c>
      <c r="L3102" s="149" t="s">
        <v>563</v>
      </c>
      <c r="M3102" s="151">
        <v>83266.7</v>
      </c>
    </row>
    <row r="3103" spans="1:13" s="149" customFormat="1" x14ac:dyDescent="0.25">
      <c r="A3103" s="149" t="s">
        <v>7640</v>
      </c>
      <c r="B3103" s="149" t="s">
        <v>564</v>
      </c>
      <c r="C3103" s="149">
        <v>11</v>
      </c>
      <c r="D3103" s="149">
        <v>140</v>
      </c>
      <c r="E3103" s="149">
        <v>0</v>
      </c>
      <c r="F3103" s="149">
        <v>684000</v>
      </c>
      <c r="G3103" s="149">
        <v>52130</v>
      </c>
      <c r="H3103" s="150" t="str">
        <f t="shared" si="144"/>
        <v>5</v>
      </c>
      <c r="I3103" s="150" t="str">
        <f t="shared" si="145"/>
        <v>52</v>
      </c>
      <c r="J3103" s="150" t="str">
        <f t="shared" si="146"/>
        <v>521</v>
      </c>
      <c r="K3103" s="150" t="s">
        <v>8573</v>
      </c>
      <c r="L3103" s="149" t="s">
        <v>565</v>
      </c>
      <c r="M3103" s="151">
        <v>358801.1</v>
      </c>
    </row>
    <row r="3104" spans="1:13" s="149" customFormat="1" x14ac:dyDescent="0.25">
      <c r="A3104" s="149" t="s">
        <v>7640</v>
      </c>
      <c r="B3104" s="149" t="s">
        <v>566</v>
      </c>
      <c r="C3104" s="149">
        <v>11</v>
      </c>
      <c r="D3104" s="149">
        <v>140</v>
      </c>
      <c r="E3104" s="149">
        <v>0</v>
      </c>
      <c r="F3104" s="149">
        <v>684000</v>
      </c>
      <c r="G3104" s="149">
        <v>52350</v>
      </c>
      <c r="H3104" s="150" t="str">
        <f t="shared" si="144"/>
        <v>5</v>
      </c>
      <c r="I3104" s="150" t="str">
        <f t="shared" si="145"/>
        <v>52</v>
      </c>
      <c r="J3104" s="150" t="str">
        <f t="shared" si="146"/>
        <v>523</v>
      </c>
      <c r="K3104" s="150" t="s">
        <v>7850</v>
      </c>
      <c r="L3104" s="149" t="s">
        <v>567</v>
      </c>
      <c r="M3104" s="151">
        <v>0</v>
      </c>
    </row>
    <row r="3105" spans="1:13" s="149" customFormat="1" x14ac:dyDescent="0.25">
      <c r="A3105" s="149" t="s">
        <v>7640</v>
      </c>
      <c r="B3105" s="149" t="s">
        <v>568</v>
      </c>
      <c r="C3105" s="149">
        <v>11</v>
      </c>
      <c r="D3105" s="149">
        <v>140</v>
      </c>
      <c r="E3105" s="149">
        <v>0</v>
      </c>
      <c r="F3105" s="149">
        <v>684000</v>
      </c>
      <c r="G3105" s="149">
        <v>53220</v>
      </c>
      <c r="H3105" s="150" t="str">
        <f t="shared" si="144"/>
        <v>5</v>
      </c>
      <c r="I3105" s="150" t="str">
        <f t="shared" si="145"/>
        <v>53</v>
      </c>
      <c r="J3105" s="150" t="str">
        <f t="shared" si="146"/>
        <v>532</v>
      </c>
      <c r="K3105" s="150" t="s">
        <v>8574</v>
      </c>
      <c r="L3105" s="149" t="s">
        <v>199</v>
      </c>
      <c r="M3105" s="151">
        <v>89197.38</v>
      </c>
    </row>
    <row r="3106" spans="1:13" s="149" customFormat="1" x14ac:dyDescent="0.25">
      <c r="A3106" s="149" t="s">
        <v>7640</v>
      </c>
      <c r="B3106" s="149" t="s">
        <v>569</v>
      </c>
      <c r="C3106" s="149">
        <v>11</v>
      </c>
      <c r="D3106" s="149">
        <v>140</v>
      </c>
      <c r="E3106" s="149">
        <v>0</v>
      </c>
      <c r="F3106" s="149">
        <v>684000</v>
      </c>
      <c r="G3106" s="149">
        <v>53320</v>
      </c>
      <c r="H3106" s="150" t="str">
        <f t="shared" si="144"/>
        <v>5</v>
      </c>
      <c r="I3106" s="150" t="str">
        <f t="shared" si="145"/>
        <v>53</v>
      </c>
      <c r="J3106" s="150" t="str">
        <f t="shared" si="146"/>
        <v>533</v>
      </c>
      <c r="K3106" s="150" t="s">
        <v>8575</v>
      </c>
      <c r="L3106" s="149" t="s">
        <v>201</v>
      </c>
      <c r="M3106" s="151">
        <v>25038.32</v>
      </c>
    </row>
    <row r="3107" spans="1:13" s="149" customFormat="1" x14ac:dyDescent="0.25">
      <c r="A3107" s="149" t="s">
        <v>7640</v>
      </c>
      <c r="B3107" s="149" t="s">
        <v>570</v>
      </c>
      <c r="C3107" s="149">
        <v>11</v>
      </c>
      <c r="D3107" s="149">
        <v>140</v>
      </c>
      <c r="E3107" s="149">
        <v>0</v>
      </c>
      <c r="F3107" s="149">
        <v>684000</v>
      </c>
      <c r="G3107" s="149">
        <v>53340</v>
      </c>
      <c r="H3107" s="150" t="str">
        <f t="shared" si="144"/>
        <v>5</v>
      </c>
      <c r="I3107" s="150" t="str">
        <f t="shared" si="145"/>
        <v>53</v>
      </c>
      <c r="J3107" s="150" t="str">
        <f t="shared" si="146"/>
        <v>533</v>
      </c>
      <c r="K3107" s="150" t="s">
        <v>8576</v>
      </c>
      <c r="L3107" s="149" t="s">
        <v>203</v>
      </c>
      <c r="M3107" s="151">
        <v>6354.83</v>
      </c>
    </row>
    <row r="3108" spans="1:13" s="149" customFormat="1" x14ac:dyDescent="0.25">
      <c r="A3108" s="149" t="s">
        <v>7640</v>
      </c>
      <c r="B3108" s="149" t="s">
        <v>571</v>
      </c>
      <c r="C3108" s="149">
        <v>11</v>
      </c>
      <c r="D3108" s="149">
        <v>140</v>
      </c>
      <c r="E3108" s="149">
        <v>0</v>
      </c>
      <c r="F3108" s="149">
        <v>684000</v>
      </c>
      <c r="G3108" s="149">
        <v>53420</v>
      </c>
      <c r="H3108" s="150" t="str">
        <f t="shared" si="144"/>
        <v>5</v>
      </c>
      <c r="I3108" s="150" t="str">
        <f t="shared" si="145"/>
        <v>53</v>
      </c>
      <c r="J3108" s="150" t="str">
        <f t="shared" si="146"/>
        <v>534</v>
      </c>
      <c r="K3108" s="150" t="s">
        <v>8577</v>
      </c>
      <c r="L3108" s="149" t="s">
        <v>205</v>
      </c>
      <c r="M3108" s="151">
        <v>110720.62</v>
      </c>
    </row>
    <row r="3109" spans="1:13" s="149" customFormat="1" x14ac:dyDescent="0.25">
      <c r="A3109" s="149" t="s">
        <v>7640</v>
      </c>
      <c r="B3109" s="149" t="s">
        <v>572</v>
      </c>
      <c r="C3109" s="149">
        <v>11</v>
      </c>
      <c r="D3109" s="149">
        <v>140</v>
      </c>
      <c r="E3109" s="149">
        <v>0</v>
      </c>
      <c r="F3109" s="149">
        <v>684000</v>
      </c>
      <c r="G3109" s="149">
        <v>53520</v>
      </c>
      <c r="H3109" s="150" t="str">
        <f t="shared" si="144"/>
        <v>5</v>
      </c>
      <c r="I3109" s="150" t="str">
        <f t="shared" si="145"/>
        <v>53</v>
      </c>
      <c r="J3109" s="150" t="str">
        <f t="shared" si="146"/>
        <v>535</v>
      </c>
      <c r="K3109" s="150" t="s">
        <v>8578</v>
      </c>
      <c r="L3109" s="149" t="s">
        <v>207</v>
      </c>
      <c r="M3109" s="151">
        <v>220.81</v>
      </c>
    </row>
    <row r="3110" spans="1:13" s="149" customFormat="1" x14ac:dyDescent="0.25">
      <c r="A3110" s="149" t="s">
        <v>7640</v>
      </c>
      <c r="B3110" s="149" t="s">
        <v>573</v>
      </c>
      <c r="C3110" s="149">
        <v>11</v>
      </c>
      <c r="D3110" s="149">
        <v>140</v>
      </c>
      <c r="E3110" s="149">
        <v>0</v>
      </c>
      <c r="F3110" s="149">
        <v>684000</v>
      </c>
      <c r="G3110" s="149">
        <v>53620</v>
      </c>
      <c r="H3110" s="150" t="str">
        <f t="shared" si="144"/>
        <v>5</v>
      </c>
      <c r="I3110" s="150" t="str">
        <f t="shared" si="145"/>
        <v>53</v>
      </c>
      <c r="J3110" s="150" t="str">
        <f t="shared" si="146"/>
        <v>536</v>
      </c>
      <c r="K3110" s="150" t="s">
        <v>8579</v>
      </c>
      <c r="L3110" s="149" t="s">
        <v>209</v>
      </c>
      <c r="M3110" s="151">
        <v>8358.67</v>
      </c>
    </row>
    <row r="3111" spans="1:13" s="149" customFormat="1" x14ac:dyDescent="0.25">
      <c r="A3111" s="149" t="s">
        <v>7640</v>
      </c>
      <c r="B3111" s="149" t="s">
        <v>574</v>
      </c>
      <c r="C3111" s="149">
        <v>11</v>
      </c>
      <c r="D3111" s="149">
        <v>140</v>
      </c>
      <c r="E3111" s="149">
        <v>0</v>
      </c>
      <c r="F3111" s="149">
        <v>684000</v>
      </c>
      <c r="G3111" s="149">
        <v>54300</v>
      </c>
      <c r="H3111" s="150" t="str">
        <f t="shared" si="144"/>
        <v>5</v>
      </c>
      <c r="I3111" s="150" t="str">
        <f t="shared" si="145"/>
        <v>54</v>
      </c>
      <c r="J3111" s="150" t="str">
        <f t="shared" si="146"/>
        <v>543</v>
      </c>
      <c r="K3111" s="150" t="s">
        <v>7918</v>
      </c>
      <c r="L3111" s="149" t="s">
        <v>575</v>
      </c>
      <c r="M3111" s="151">
        <v>824.04000000000008</v>
      </c>
    </row>
    <row r="3112" spans="1:13" s="149" customFormat="1" x14ac:dyDescent="0.25">
      <c r="A3112" s="149" t="s">
        <v>7640</v>
      </c>
      <c r="B3112" s="149" t="s">
        <v>576</v>
      </c>
      <c r="C3112" s="149">
        <v>11</v>
      </c>
      <c r="D3112" s="149">
        <v>140</v>
      </c>
      <c r="E3112" s="149">
        <v>0</v>
      </c>
      <c r="F3112" s="149">
        <v>684000</v>
      </c>
      <c r="G3112" s="149">
        <v>55100</v>
      </c>
      <c r="H3112" s="150" t="str">
        <f t="shared" si="144"/>
        <v>5</v>
      </c>
      <c r="I3112" s="150" t="str">
        <f t="shared" si="145"/>
        <v>55</v>
      </c>
      <c r="J3112" s="150" t="str">
        <f t="shared" si="146"/>
        <v>551</v>
      </c>
      <c r="K3112" s="150" t="s">
        <v>7996</v>
      </c>
      <c r="L3112" s="149" t="s">
        <v>577</v>
      </c>
      <c r="M3112" s="151">
        <v>130</v>
      </c>
    </row>
    <row r="3113" spans="1:13" s="149" customFormat="1" x14ac:dyDescent="0.25">
      <c r="A3113" s="149" t="s">
        <v>7640</v>
      </c>
      <c r="B3113" s="149" t="s">
        <v>578</v>
      </c>
      <c r="C3113" s="149">
        <v>11</v>
      </c>
      <c r="D3113" s="149">
        <v>140</v>
      </c>
      <c r="E3113" s="149">
        <v>0</v>
      </c>
      <c r="F3113" s="149">
        <v>684000</v>
      </c>
      <c r="G3113" s="149">
        <v>55105</v>
      </c>
      <c r="H3113" s="150" t="str">
        <f t="shared" si="144"/>
        <v>5</v>
      </c>
      <c r="I3113" s="150" t="str">
        <f t="shared" si="145"/>
        <v>55</v>
      </c>
      <c r="J3113" s="150" t="str">
        <f t="shared" si="146"/>
        <v>551</v>
      </c>
      <c r="K3113" s="150" t="s">
        <v>8003</v>
      </c>
      <c r="L3113" s="149" t="s">
        <v>579</v>
      </c>
      <c r="M3113" s="151">
        <v>25839.1</v>
      </c>
    </row>
    <row r="3114" spans="1:13" s="149" customFormat="1" x14ac:dyDescent="0.25">
      <c r="A3114" s="149" t="s">
        <v>7640</v>
      </c>
      <c r="B3114" s="149" t="s">
        <v>580</v>
      </c>
      <c r="C3114" s="149">
        <v>11</v>
      </c>
      <c r="D3114" s="149">
        <v>140</v>
      </c>
      <c r="E3114" s="149">
        <v>0</v>
      </c>
      <c r="F3114" s="149">
        <v>684000</v>
      </c>
      <c r="G3114" s="149">
        <v>55200</v>
      </c>
      <c r="H3114" s="150" t="str">
        <f t="shared" si="144"/>
        <v>5</v>
      </c>
      <c r="I3114" s="150" t="str">
        <f t="shared" si="145"/>
        <v>55</v>
      </c>
      <c r="J3114" s="150" t="str">
        <f t="shared" si="146"/>
        <v>552</v>
      </c>
      <c r="K3114" s="150" t="s">
        <v>8041</v>
      </c>
      <c r="L3114" s="149" t="s">
        <v>581</v>
      </c>
      <c r="M3114" s="151">
        <v>421.55</v>
      </c>
    </row>
    <row r="3115" spans="1:13" s="149" customFormat="1" x14ac:dyDescent="0.25">
      <c r="A3115" s="149" t="s">
        <v>7640</v>
      </c>
      <c r="B3115" s="149" t="s">
        <v>582</v>
      </c>
      <c r="C3115" s="149">
        <v>11</v>
      </c>
      <c r="D3115" s="149">
        <v>140</v>
      </c>
      <c r="E3115" s="149">
        <v>0</v>
      </c>
      <c r="F3115" s="149">
        <v>684000</v>
      </c>
      <c r="G3115" s="149">
        <v>55300</v>
      </c>
      <c r="H3115" s="150" t="str">
        <f t="shared" si="144"/>
        <v>5</v>
      </c>
      <c r="I3115" s="150" t="str">
        <f t="shared" si="145"/>
        <v>55</v>
      </c>
      <c r="J3115" s="150" t="str">
        <f t="shared" si="146"/>
        <v>553</v>
      </c>
      <c r="K3115" s="150" t="s">
        <v>8081</v>
      </c>
      <c r="L3115" s="149" t="s">
        <v>583</v>
      </c>
      <c r="M3115" s="151">
        <v>395</v>
      </c>
    </row>
    <row r="3116" spans="1:13" s="149" customFormat="1" x14ac:dyDescent="0.25">
      <c r="A3116" s="149" t="s">
        <v>7640</v>
      </c>
      <c r="B3116" s="149" t="s">
        <v>584</v>
      </c>
      <c r="C3116" s="149">
        <v>11</v>
      </c>
      <c r="D3116" s="149">
        <v>140</v>
      </c>
      <c r="E3116" s="149">
        <v>0</v>
      </c>
      <c r="F3116" s="149">
        <v>684000</v>
      </c>
      <c r="G3116" s="149">
        <v>55630</v>
      </c>
      <c r="H3116" s="150" t="str">
        <f t="shared" si="144"/>
        <v>5</v>
      </c>
      <c r="I3116" s="150" t="str">
        <f t="shared" si="145"/>
        <v>55</v>
      </c>
      <c r="J3116" s="150" t="str">
        <f t="shared" si="146"/>
        <v>556</v>
      </c>
      <c r="K3116" s="150" t="s">
        <v>8178</v>
      </c>
      <c r="L3116" s="149" t="s">
        <v>215</v>
      </c>
      <c r="M3116" s="151">
        <v>1058.31</v>
      </c>
    </row>
    <row r="3117" spans="1:13" s="149" customFormat="1" x14ac:dyDescent="0.25">
      <c r="A3117" s="149" t="s">
        <v>7640</v>
      </c>
      <c r="B3117" s="149" t="s">
        <v>585</v>
      </c>
      <c r="C3117" s="149">
        <v>11</v>
      </c>
      <c r="D3117" s="149">
        <v>140</v>
      </c>
      <c r="E3117" s="149">
        <v>0</v>
      </c>
      <c r="F3117" s="149">
        <v>684000</v>
      </c>
      <c r="G3117" s="149">
        <v>55635</v>
      </c>
      <c r="H3117" s="150" t="str">
        <f t="shared" si="144"/>
        <v>5</v>
      </c>
      <c r="I3117" s="150" t="str">
        <f t="shared" si="145"/>
        <v>55</v>
      </c>
      <c r="J3117" s="150" t="str">
        <f t="shared" si="146"/>
        <v>556</v>
      </c>
      <c r="K3117" s="150" t="s">
        <v>8276</v>
      </c>
      <c r="L3117" s="149" t="s">
        <v>586</v>
      </c>
      <c r="M3117" s="151">
        <v>0</v>
      </c>
    </row>
    <row r="3118" spans="1:13" s="149" customFormat="1" x14ac:dyDescent="0.25">
      <c r="A3118" s="149" t="s">
        <v>7640</v>
      </c>
      <c r="B3118" s="149" t="s">
        <v>587</v>
      </c>
      <c r="C3118" s="149">
        <v>11</v>
      </c>
      <c r="D3118" s="149">
        <v>140</v>
      </c>
      <c r="E3118" s="149">
        <v>0</v>
      </c>
      <c r="F3118" s="149">
        <v>684000</v>
      </c>
      <c r="G3118" s="149">
        <v>55810</v>
      </c>
      <c r="H3118" s="150" t="str">
        <f t="shared" si="144"/>
        <v>5</v>
      </c>
      <c r="I3118" s="150" t="str">
        <f t="shared" si="145"/>
        <v>55</v>
      </c>
      <c r="J3118" s="150" t="str">
        <f t="shared" si="146"/>
        <v>558</v>
      </c>
      <c r="K3118" s="150" t="s">
        <v>8338</v>
      </c>
      <c r="L3118" s="149" t="s">
        <v>588</v>
      </c>
      <c r="M3118" s="151">
        <v>0</v>
      </c>
    </row>
    <row r="3119" spans="1:13" s="149" customFormat="1" x14ac:dyDescent="0.25">
      <c r="A3119" s="149" t="s">
        <v>7640</v>
      </c>
      <c r="B3119" s="149" t="s">
        <v>9582</v>
      </c>
      <c r="C3119" s="149">
        <v>11</v>
      </c>
      <c r="D3119" s="149">
        <v>140</v>
      </c>
      <c r="E3119" s="149">
        <v>0</v>
      </c>
      <c r="F3119" s="149">
        <v>684000</v>
      </c>
      <c r="G3119" s="149">
        <v>55820</v>
      </c>
      <c r="H3119" s="150" t="str">
        <f t="shared" si="144"/>
        <v>5</v>
      </c>
      <c r="I3119" s="150" t="str">
        <f t="shared" si="145"/>
        <v>55</v>
      </c>
      <c r="J3119" s="150" t="str">
        <f t="shared" si="146"/>
        <v>558</v>
      </c>
      <c r="K3119" s="150" t="s">
        <v>8340</v>
      </c>
      <c r="L3119" s="149" t="s">
        <v>9583</v>
      </c>
      <c r="M3119" s="151">
        <v>741.59</v>
      </c>
    </row>
    <row r="3120" spans="1:13" s="149" customFormat="1" x14ac:dyDescent="0.25">
      <c r="A3120" s="149" t="s">
        <v>7640</v>
      </c>
      <c r="B3120" s="149" t="s">
        <v>589</v>
      </c>
      <c r="C3120" s="149">
        <v>11</v>
      </c>
      <c r="D3120" s="149">
        <v>140</v>
      </c>
      <c r="E3120" s="149">
        <v>0</v>
      </c>
      <c r="F3120" s="149">
        <v>684000</v>
      </c>
      <c r="G3120" s="149">
        <v>55830</v>
      </c>
      <c r="H3120" s="150" t="str">
        <f t="shared" si="144"/>
        <v>5</v>
      </c>
      <c r="I3120" s="150" t="str">
        <f t="shared" si="145"/>
        <v>55</v>
      </c>
      <c r="J3120" s="150" t="str">
        <f t="shared" si="146"/>
        <v>558</v>
      </c>
      <c r="K3120" s="150" t="s">
        <v>8348</v>
      </c>
      <c r="L3120" s="149" t="s">
        <v>590</v>
      </c>
      <c r="M3120" s="151">
        <v>210717.68</v>
      </c>
    </row>
    <row r="3121" spans="1:13" s="149" customFormat="1" x14ac:dyDescent="0.25">
      <c r="A3121" s="149" t="s">
        <v>7640</v>
      </c>
      <c r="B3121" s="149" t="s">
        <v>591</v>
      </c>
      <c r="C3121" s="149">
        <v>11</v>
      </c>
      <c r="D3121" s="149">
        <v>140</v>
      </c>
      <c r="E3121" s="149">
        <v>0</v>
      </c>
      <c r="F3121" s="149">
        <v>684000</v>
      </c>
      <c r="G3121" s="149">
        <v>56400</v>
      </c>
      <c r="H3121" s="150" t="str">
        <f t="shared" si="144"/>
        <v>5</v>
      </c>
      <c r="I3121" s="150" t="str">
        <f t="shared" si="145"/>
        <v>56</v>
      </c>
      <c r="J3121" s="150" t="str">
        <f t="shared" si="146"/>
        <v>564</v>
      </c>
      <c r="K3121" s="150" t="s">
        <v>8369</v>
      </c>
      <c r="L3121" s="149" t="s">
        <v>592</v>
      </c>
      <c r="M3121" s="151">
        <v>0</v>
      </c>
    </row>
    <row r="3122" spans="1:13" s="149" customFormat="1" x14ac:dyDescent="0.25">
      <c r="A3122" s="149" t="s">
        <v>7640</v>
      </c>
      <c r="B3122" s="149" t="s">
        <v>593</v>
      </c>
      <c r="C3122" s="149">
        <v>11</v>
      </c>
      <c r="D3122" s="149">
        <v>150</v>
      </c>
      <c r="E3122" s="149">
        <v>0</v>
      </c>
      <c r="F3122" s="149">
        <v>663000</v>
      </c>
      <c r="G3122" s="149">
        <v>51210</v>
      </c>
      <c r="H3122" s="150" t="str">
        <f t="shared" si="144"/>
        <v>5</v>
      </c>
      <c r="I3122" s="150" t="str">
        <f t="shared" si="145"/>
        <v>51</v>
      </c>
      <c r="J3122" s="150" t="str">
        <f t="shared" si="146"/>
        <v>512</v>
      </c>
      <c r="K3122" s="150" t="s">
        <v>8580</v>
      </c>
      <c r="L3122" s="149" t="s">
        <v>594</v>
      </c>
      <c r="M3122" s="151">
        <v>123910.43</v>
      </c>
    </row>
    <row r="3123" spans="1:13" s="149" customFormat="1" x14ac:dyDescent="0.25">
      <c r="A3123" s="149" t="s">
        <v>7640</v>
      </c>
      <c r="B3123" s="149" t="s">
        <v>9584</v>
      </c>
      <c r="C3123" s="149">
        <v>11</v>
      </c>
      <c r="D3123" s="149">
        <v>150</v>
      </c>
      <c r="E3123" s="149">
        <v>0</v>
      </c>
      <c r="F3123" s="149">
        <v>663000</v>
      </c>
      <c r="G3123" s="149">
        <v>51412</v>
      </c>
      <c r="H3123" s="150" t="str">
        <f t="shared" si="144"/>
        <v>5</v>
      </c>
      <c r="I3123" s="150" t="str">
        <f t="shared" si="145"/>
        <v>51</v>
      </c>
      <c r="J3123" s="150" t="str">
        <f t="shared" si="146"/>
        <v>514</v>
      </c>
      <c r="K3123" s="150" t="s">
        <v>7783</v>
      </c>
      <c r="L3123" s="149" t="s">
        <v>9585</v>
      </c>
      <c r="M3123" s="151">
        <v>0</v>
      </c>
    </row>
    <row r="3124" spans="1:13" s="149" customFormat="1" x14ac:dyDescent="0.25">
      <c r="A3124" s="149" t="s">
        <v>7640</v>
      </c>
      <c r="B3124" s="149" t="s">
        <v>595</v>
      </c>
      <c r="C3124" s="149">
        <v>11</v>
      </c>
      <c r="D3124" s="149">
        <v>150</v>
      </c>
      <c r="E3124" s="149">
        <v>0</v>
      </c>
      <c r="F3124" s="149">
        <v>663000</v>
      </c>
      <c r="G3124" s="149">
        <v>52105</v>
      </c>
      <c r="H3124" s="150" t="str">
        <f t="shared" si="144"/>
        <v>5</v>
      </c>
      <c r="I3124" s="150" t="str">
        <f t="shared" si="145"/>
        <v>52</v>
      </c>
      <c r="J3124" s="150" t="str">
        <f t="shared" si="146"/>
        <v>521</v>
      </c>
      <c r="K3124" s="150" t="s">
        <v>8581</v>
      </c>
      <c r="L3124" s="149" t="s">
        <v>596</v>
      </c>
      <c r="M3124" s="151">
        <v>71979.92</v>
      </c>
    </row>
    <row r="3125" spans="1:13" s="149" customFormat="1" x14ac:dyDescent="0.25">
      <c r="A3125" s="149" t="s">
        <v>7640</v>
      </c>
      <c r="B3125" s="149" t="s">
        <v>597</v>
      </c>
      <c r="C3125" s="149">
        <v>11</v>
      </c>
      <c r="D3125" s="149">
        <v>150</v>
      </c>
      <c r="E3125" s="149">
        <v>0</v>
      </c>
      <c r="F3125" s="149">
        <v>663000</v>
      </c>
      <c r="G3125" s="149">
        <v>52130</v>
      </c>
      <c r="H3125" s="150" t="str">
        <f t="shared" si="144"/>
        <v>5</v>
      </c>
      <c r="I3125" s="150" t="str">
        <f t="shared" si="145"/>
        <v>52</v>
      </c>
      <c r="J3125" s="150" t="str">
        <f t="shared" si="146"/>
        <v>521</v>
      </c>
      <c r="K3125" s="150" t="s">
        <v>8582</v>
      </c>
      <c r="L3125" s="149" t="s">
        <v>598</v>
      </c>
      <c r="M3125" s="151">
        <v>66394.92</v>
      </c>
    </row>
    <row r="3126" spans="1:13" s="149" customFormat="1" x14ac:dyDescent="0.25">
      <c r="A3126" s="149" t="s">
        <v>7640</v>
      </c>
      <c r="B3126" s="149" t="s">
        <v>599</v>
      </c>
      <c r="C3126" s="149">
        <v>11</v>
      </c>
      <c r="D3126" s="149">
        <v>150</v>
      </c>
      <c r="E3126" s="149">
        <v>0</v>
      </c>
      <c r="F3126" s="149">
        <v>663000</v>
      </c>
      <c r="G3126" s="149">
        <v>53120</v>
      </c>
      <c r="H3126" s="150" t="str">
        <f t="shared" si="144"/>
        <v>5</v>
      </c>
      <c r="I3126" s="150" t="str">
        <f t="shared" si="145"/>
        <v>53</v>
      </c>
      <c r="J3126" s="150" t="str">
        <f t="shared" si="146"/>
        <v>531</v>
      </c>
      <c r="K3126" s="150" t="s">
        <v>8583</v>
      </c>
      <c r="L3126" s="149" t="s">
        <v>600</v>
      </c>
      <c r="M3126" s="151">
        <v>20040.400000000001</v>
      </c>
    </row>
    <row r="3127" spans="1:13" s="149" customFormat="1" x14ac:dyDescent="0.25">
      <c r="A3127" s="149" t="s">
        <v>7640</v>
      </c>
      <c r="B3127" s="149" t="s">
        <v>601</v>
      </c>
      <c r="C3127" s="149">
        <v>11</v>
      </c>
      <c r="D3127" s="149">
        <v>150</v>
      </c>
      <c r="E3127" s="149">
        <v>0</v>
      </c>
      <c r="F3127" s="149">
        <v>663000</v>
      </c>
      <c r="G3127" s="149">
        <v>53220</v>
      </c>
      <c r="H3127" s="150" t="str">
        <f t="shared" si="144"/>
        <v>5</v>
      </c>
      <c r="I3127" s="150" t="str">
        <f t="shared" si="145"/>
        <v>53</v>
      </c>
      <c r="J3127" s="150" t="str">
        <f t="shared" si="146"/>
        <v>532</v>
      </c>
      <c r="K3127" s="150" t="s">
        <v>8584</v>
      </c>
      <c r="L3127" s="149" t="s">
        <v>602</v>
      </c>
      <c r="M3127" s="151">
        <v>28499.97</v>
      </c>
    </row>
    <row r="3128" spans="1:13" s="149" customFormat="1" x14ac:dyDescent="0.25">
      <c r="A3128" s="149" t="s">
        <v>7640</v>
      </c>
      <c r="B3128" s="149" t="s">
        <v>603</v>
      </c>
      <c r="C3128" s="149">
        <v>11</v>
      </c>
      <c r="D3128" s="149">
        <v>150</v>
      </c>
      <c r="E3128" s="149">
        <v>0</v>
      </c>
      <c r="F3128" s="149">
        <v>663000</v>
      </c>
      <c r="G3128" s="149">
        <v>53320</v>
      </c>
      <c r="H3128" s="150" t="str">
        <f t="shared" si="144"/>
        <v>5</v>
      </c>
      <c r="I3128" s="150" t="str">
        <f t="shared" si="145"/>
        <v>53</v>
      </c>
      <c r="J3128" s="150" t="str">
        <f t="shared" si="146"/>
        <v>533</v>
      </c>
      <c r="K3128" s="150" t="s">
        <v>8585</v>
      </c>
      <c r="L3128" s="149" t="s">
        <v>604</v>
      </c>
      <c r="M3128" s="151">
        <v>8549.57</v>
      </c>
    </row>
    <row r="3129" spans="1:13" s="149" customFormat="1" x14ac:dyDescent="0.25">
      <c r="A3129" s="149" t="s">
        <v>7640</v>
      </c>
      <c r="B3129" s="149" t="s">
        <v>605</v>
      </c>
      <c r="C3129" s="149">
        <v>11</v>
      </c>
      <c r="D3129" s="149">
        <v>150</v>
      </c>
      <c r="E3129" s="149">
        <v>0</v>
      </c>
      <c r="F3129" s="149">
        <v>663000</v>
      </c>
      <c r="G3129" s="149">
        <v>53340</v>
      </c>
      <c r="H3129" s="150" t="str">
        <f t="shared" si="144"/>
        <v>5</v>
      </c>
      <c r="I3129" s="150" t="str">
        <f t="shared" si="145"/>
        <v>53</v>
      </c>
      <c r="J3129" s="150" t="str">
        <f t="shared" si="146"/>
        <v>533</v>
      </c>
      <c r="K3129" s="150" t="s">
        <v>8586</v>
      </c>
      <c r="L3129" s="149" t="s">
        <v>606</v>
      </c>
      <c r="M3129" s="151">
        <v>3796.22</v>
      </c>
    </row>
    <row r="3130" spans="1:13" s="149" customFormat="1" x14ac:dyDescent="0.25">
      <c r="A3130" s="149" t="s">
        <v>7640</v>
      </c>
      <c r="B3130" s="149" t="s">
        <v>607</v>
      </c>
      <c r="C3130" s="149">
        <v>11</v>
      </c>
      <c r="D3130" s="149">
        <v>150</v>
      </c>
      <c r="E3130" s="149">
        <v>0</v>
      </c>
      <c r="F3130" s="149">
        <v>663000</v>
      </c>
      <c r="G3130" s="149">
        <v>53420</v>
      </c>
      <c r="H3130" s="150" t="str">
        <f t="shared" si="144"/>
        <v>5</v>
      </c>
      <c r="I3130" s="150" t="str">
        <f t="shared" si="145"/>
        <v>53</v>
      </c>
      <c r="J3130" s="150" t="str">
        <f t="shared" si="146"/>
        <v>534</v>
      </c>
      <c r="K3130" s="150" t="s">
        <v>8587</v>
      </c>
      <c r="L3130" s="149" t="s">
        <v>608</v>
      </c>
      <c r="M3130" s="151">
        <v>37169.379999999997</v>
      </c>
    </row>
    <row r="3131" spans="1:13" s="149" customFormat="1" x14ac:dyDescent="0.25">
      <c r="A3131" s="149" t="s">
        <v>7640</v>
      </c>
      <c r="B3131" s="149" t="s">
        <v>609</v>
      </c>
      <c r="C3131" s="149">
        <v>11</v>
      </c>
      <c r="D3131" s="149">
        <v>150</v>
      </c>
      <c r="E3131" s="149">
        <v>0</v>
      </c>
      <c r="F3131" s="149">
        <v>663000</v>
      </c>
      <c r="G3131" s="149">
        <v>53520</v>
      </c>
      <c r="H3131" s="150" t="str">
        <f t="shared" si="144"/>
        <v>5</v>
      </c>
      <c r="I3131" s="150" t="str">
        <f t="shared" si="145"/>
        <v>53</v>
      </c>
      <c r="J3131" s="150" t="str">
        <f t="shared" si="146"/>
        <v>535</v>
      </c>
      <c r="K3131" s="150" t="s">
        <v>8588</v>
      </c>
      <c r="L3131" s="149" t="s">
        <v>610</v>
      </c>
      <c r="M3131" s="151">
        <v>131.07</v>
      </c>
    </row>
    <row r="3132" spans="1:13" s="149" customFormat="1" x14ac:dyDescent="0.25">
      <c r="A3132" s="149" t="s">
        <v>7640</v>
      </c>
      <c r="B3132" s="149" t="s">
        <v>611</v>
      </c>
      <c r="C3132" s="149">
        <v>11</v>
      </c>
      <c r="D3132" s="149">
        <v>150</v>
      </c>
      <c r="E3132" s="149">
        <v>0</v>
      </c>
      <c r="F3132" s="149">
        <v>663000</v>
      </c>
      <c r="G3132" s="149">
        <v>53620</v>
      </c>
      <c r="H3132" s="150" t="str">
        <f t="shared" si="144"/>
        <v>5</v>
      </c>
      <c r="I3132" s="150" t="str">
        <f t="shared" si="145"/>
        <v>53</v>
      </c>
      <c r="J3132" s="150" t="str">
        <f t="shared" si="146"/>
        <v>536</v>
      </c>
      <c r="K3132" s="150" t="s">
        <v>8589</v>
      </c>
      <c r="L3132" s="149" t="s">
        <v>612</v>
      </c>
      <c r="M3132" s="151">
        <v>4966.03</v>
      </c>
    </row>
    <row r="3133" spans="1:13" s="149" customFormat="1" x14ac:dyDescent="0.25">
      <c r="A3133" s="149" t="s">
        <v>7640</v>
      </c>
      <c r="B3133" s="149" t="s">
        <v>613</v>
      </c>
      <c r="C3133" s="149">
        <v>11</v>
      </c>
      <c r="D3133" s="149">
        <v>150</v>
      </c>
      <c r="E3133" s="149">
        <v>0</v>
      </c>
      <c r="F3133" s="149">
        <v>663000</v>
      </c>
      <c r="G3133" s="149">
        <v>53920</v>
      </c>
      <c r="H3133" s="150" t="str">
        <f t="shared" si="144"/>
        <v>5</v>
      </c>
      <c r="I3133" s="150" t="str">
        <f t="shared" si="145"/>
        <v>53</v>
      </c>
      <c r="J3133" s="150" t="str">
        <f t="shared" si="146"/>
        <v>539</v>
      </c>
      <c r="K3133" s="150" t="s">
        <v>8590</v>
      </c>
      <c r="L3133" s="149" t="s">
        <v>614</v>
      </c>
      <c r="M3133" s="151">
        <v>1800</v>
      </c>
    </row>
    <row r="3134" spans="1:13" s="149" customFormat="1" x14ac:dyDescent="0.25">
      <c r="A3134" s="149" t="s">
        <v>7640</v>
      </c>
      <c r="B3134" s="149" t="s">
        <v>615</v>
      </c>
      <c r="C3134" s="149">
        <v>11</v>
      </c>
      <c r="D3134" s="149">
        <v>150</v>
      </c>
      <c r="E3134" s="149">
        <v>0</v>
      </c>
      <c r="F3134" s="149">
        <v>663000</v>
      </c>
      <c r="G3134" s="149">
        <v>54300</v>
      </c>
      <c r="H3134" s="150" t="str">
        <f t="shared" si="144"/>
        <v>5</v>
      </c>
      <c r="I3134" s="150" t="str">
        <f t="shared" si="145"/>
        <v>54</v>
      </c>
      <c r="J3134" s="150" t="str">
        <f t="shared" si="146"/>
        <v>543</v>
      </c>
      <c r="K3134" s="150" t="s">
        <v>7919</v>
      </c>
      <c r="L3134" s="149" t="s">
        <v>616</v>
      </c>
      <c r="M3134" s="151">
        <v>0</v>
      </c>
    </row>
    <row r="3135" spans="1:13" s="149" customFormat="1" x14ac:dyDescent="0.25">
      <c r="A3135" s="149" t="s">
        <v>7640</v>
      </c>
      <c r="B3135" s="149" t="s">
        <v>617</v>
      </c>
      <c r="C3135" s="149">
        <v>11</v>
      </c>
      <c r="D3135" s="149">
        <v>150</v>
      </c>
      <c r="E3135" s="149">
        <v>0</v>
      </c>
      <c r="F3135" s="149">
        <v>663000</v>
      </c>
      <c r="G3135" s="149">
        <v>55200</v>
      </c>
      <c r="H3135" s="150" t="str">
        <f t="shared" si="144"/>
        <v>5</v>
      </c>
      <c r="I3135" s="150" t="str">
        <f t="shared" si="145"/>
        <v>55</v>
      </c>
      <c r="J3135" s="150" t="str">
        <f t="shared" si="146"/>
        <v>552</v>
      </c>
      <c r="K3135" s="150" t="s">
        <v>8042</v>
      </c>
      <c r="L3135" s="149" t="s">
        <v>618</v>
      </c>
      <c r="M3135" s="151">
        <v>0</v>
      </c>
    </row>
    <row r="3136" spans="1:13" s="149" customFormat="1" x14ac:dyDescent="0.25">
      <c r="A3136" s="149" t="s">
        <v>7640</v>
      </c>
      <c r="B3136" s="149" t="s">
        <v>619</v>
      </c>
      <c r="C3136" s="149">
        <v>11</v>
      </c>
      <c r="D3136" s="149">
        <v>150</v>
      </c>
      <c r="E3136" s="149">
        <v>0</v>
      </c>
      <c r="F3136" s="149">
        <v>663000</v>
      </c>
      <c r="G3136" s="149">
        <v>55300</v>
      </c>
      <c r="H3136" s="150" t="str">
        <f t="shared" si="144"/>
        <v>5</v>
      </c>
      <c r="I3136" s="150" t="str">
        <f t="shared" si="145"/>
        <v>55</v>
      </c>
      <c r="J3136" s="150" t="str">
        <f t="shared" si="146"/>
        <v>553</v>
      </c>
      <c r="K3136" s="150" t="s">
        <v>8082</v>
      </c>
      <c r="L3136" s="149" t="s">
        <v>620</v>
      </c>
      <c r="M3136" s="151">
        <v>0</v>
      </c>
    </row>
    <row r="3137" spans="1:13" s="149" customFormat="1" x14ac:dyDescent="0.25">
      <c r="A3137" s="149" t="s">
        <v>7640</v>
      </c>
      <c r="B3137" s="149" t="s">
        <v>621</v>
      </c>
      <c r="C3137" s="149">
        <v>11</v>
      </c>
      <c r="D3137" s="149">
        <v>150</v>
      </c>
      <c r="E3137" s="149">
        <v>0</v>
      </c>
      <c r="F3137" s="149">
        <v>663000</v>
      </c>
      <c r="G3137" s="149">
        <v>55309</v>
      </c>
      <c r="H3137" s="150" t="str">
        <f t="shared" si="144"/>
        <v>5</v>
      </c>
      <c r="I3137" s="150" t="str">
        <f t="shared" si="145"/>
        <v>55</v>
      </c>
      <c r="J3137" s="150" t="str">
        <f t="shared" si="146"/>
        <v>553</v>
      </c>
      <c r="K3137" s="150" t="s">
        <v>8103</v>
      </c>
      <c r="L3137" s="149" t="s">
        <v>622</v>
      </c>
      <c r="M3137" s="151">
        <v>10400</v>
      </c>
    </row>
    <row r="3138" spans="1:13" s="149" customFormat="1" x14ac:dyDescent="0.25">
      <c r="A3138" s="149" t="s">
        <v>7640</v>
      </c>
      <c r="B3138" s="149" t="s">
        <v>623</v>
      </c>
      <c r="C3138" s="149">
        <v>11</v>
      </c>
      <c r="D3138" s="149">
        <v>150</v>
      </c>
      <c r="E3138" s="149">
        <v>0</v>
      </c>
      <c r="F3138" s="149">
        <v>663000</v>
      </c>
      <c r="G3138" s="149">
        <v>55610</v>
      </c>
      <c r="H3138" s="150" t="str">
        <f t="shared" si="144"/>
        <v>5</v>
      </c>
      <c r="I3138" s="150" t="str">
        <f t="shared" si="145"/>
        <v>55</v>
      </c>
      <c r="J3138" s="150" t="str">
        <f t="shared" si="146"/>
        <v>556</v>
      </c>
      <c r="K3138" s="150" t="s">
        <v>8154</v>
      </c>
      <c r="L3138" s="149" t="s">
        <v>624</v>
      </c>
      <c r="M3138" s="151">
        <v>6717.17</v>
      </c>
    </row>
    <row r="3139" spans="1:13" s="149" customFormat="1" x14ac:dyDescent="0.25">
      <c r="A3139" s="149" t="s">
        <v>7640</v>
      </c>
      <c r="B3139" s="149" t="s">
        <v>625</v>
      </c>
      <c r="C3139" s="149">
        <v>11</v>
      </c>
      <c r="D3139" s="149">
        <v>150</v>
      </c>
      <c r="E3139" s="149">
        <v>0</v>
      </c>
      <c r="F3139" s="149">
        <v>663000</v>
      </c>
      <c r="G3139" s="149">
        <v>55630</v>
      </c>
      <c r="H3139" s="150" t="str">
        <f t="shared" ref="H3139:H3202" si="147">LEFT(G3139,1)</f>
        <v>5</v>
      </c>
      <c r="I3139" s="150" t="str">
        <f t="shared" ref="I3139:I3202" si="148">LEFT(G3139,2)</f>
        <v>55</v>
      </c>
      <c r="J3139" s="150" t="str">
        <f t="shared" ref="J3139:J3202" si="149">LEFT(G3139,3)</f>
        <v>556</v>
      </c>
      <c r="K3139" s="150" t="s">
        <v>8179</v>
      </c>
      <c r="L3139" s="149" t="s">
        <v>626</v>
      </c>
      <c r="M3139" s="151">
        <v>10.55</v>
      </c>
    </row>
    <row r="3140" spans="1:13" s="149" customFormat="1" x14ac:dyDescent="0.25">
      <c r="A3140" s="149" t="s">
        <v>7640</v>
      </c>
      <c r="B3140" s="149" t="s">
        <v>627</v>
      </c>
      <c r="C3140" s="149">
        <v>11</v>
      </c>
      <c r="D3140" s="149">
        <v>200</v>
      </c>
      <c r="E3140" s="149">
        <v>0</v>
      </c>
      <c r="F3140" s="149">
        <v>590000</v>
      </c>
      <c r="G3140" s="149">
        <v>53410</v>
      </c>
      <c r="H3140" s="150" t="str">
        <f t="shared" si="147"/>
        <v>5</v>
      </c>
      <c r="I3140" s="150" t="str">
        <f t="shared" si="148"/>
        <v>53</v>
      </c>
      <c r="J3140" s="150" t="str">
        <f t="shared" si="149"/>
        <v>534</v>
      </c>
      <c r="K3140" s="150" t="s">
        <v>8591</v>
      </c>
      <c r="L3140" s="149" t="s">
        <v>628</v>
      </c>
      <c r="M3140" s="151">
        <v>0</v>
      </c>
    </row>
    <row r="3141" spans="1:13" s="149" customFormat="1" x14ac:dyDescent="0.25">
      <c r="A3141" s="149" t="s">
        <v>7640</v>
      </c>
      <c r="B3141" s="149" t="s">
        <v>629</v>
      </c>
      <c r="C3141" s="149">
        <v>11</v>
      </c>
      <c r="D3141" s="149">
        <v>200</v>
      </c>
      <c r="E3141" s="149">
        <v>0</v>
      </c>
      <c r="F3141" s="149">
        <v>590000</v>
      </c>
      <c r="G3141" s="149">
        <v>53411</v>
      </c>
      <c r="H3141" s="150" t="str">
        <f t="shared" si="147"/>
        <v>5</v>
      </c>
      <c r="I3141" s="150" t="str">
        <f t="shared" si="148"/>
        <v>53</v>
      </c>
      <c r="J3141" s="150" t="str">
        <f t="shared" si="149"/>
        <v>534</v>
      </c>
      <c r="K3141" s="150" t="s">
        <v>7901</v>
      </c>
      <c r="L3141" s="149" t="s">
        <v>630</v>
      </c>
      <c r="M3141" s="151">
        <v>69849.759999999995</v>
      </c>
    </row>
    <row r="3142" spans="1:13" s="149" customFormat="1" x14ac:dyDescent="0.25">
      <c r="A3142" s="149" t="s">
        <v>7640</v>
      </c>
      <c r="B3142" s="149" t="s">
        <v>631</v>
      </c>
      <c r="C3142" s="149">
        <v>11</v>
      </c>
      <c r="D3142" s="149">
        <v>200</v>
      </c>
      <c r="E3142" s="149">
        <v>0</v>
      </c>
      <c r="F3142" s="149">
        <v>672020</v>
      </c>
      <c r="G3142" s="149">
        <v>53420</v>
      </c>
      <c r="H3142" s="150" t="str">
        <f t="shared" si="147"/>
        <v>5</v>
      </c>
      <c r="I3142" s="150" t="str">
        <f t="shared" si="148"/>
        <v>53</v>
      </c>
      <c r="J3142" s="150" t="str">
        <f t="shared" si="149"/>
        <v>534</v>
      </c>
      <c r="K3142" s="150" t="s">
        <v>8592</v>
      </c>
      <c r="L3142" s="149" t="s">
        <v>632</v>
      </c>
      <c r="M3142" s="151">
        <v>0</v>
      </c>
    </row>
    <row r="3143" spans="1:13" s="149" customFormat="1" x14ac:dyDescent="0.25">
      <c r="A3143" s="149" t="s">
        <v>7640</v>
      </c>
      <c r="B3143" s="149" t="s">
        <v>633</v>
      </c>
      <c r="C3143" s="149">
        <v>11</v>
      </c>
      <c r="D3143" s="149">
        <v>200</v>
      </c>
      <c r="E3143" s="149">
        <v>0</v>
      </c>
      <c r="F3143" s="149">
        <v>674000</v>
      </c>
      <c r="G3143" s="149">
        <v>53420</v>
      </c>
      <c r="H3143" s="150" t="str">
        <f t="shared" si="147"/>
        <v>5</v>
      </c>
      <c r="I3143" s="150" t="str">
        <f t="shared" si="148"/>
        <v>53</v>
      </c>
      <c r="J3143" s="150" t="str">
        <f t="shared" si="149"/>
        <v>534</v>
      </c>
      <c r="K3143" s="150" t="s">
        <v>8593</v>
      </c>
      <c r="L3143" s="149" t="s">
        <v>634</v>
      </c>
      <c r="M3143" s="151">
        <v>0</v>
      </c>
    </row>
    <row r="3144" spans="1:13" s="149" customFormat="1" x14ac:dyDescent="0.25">
      <c r="A3144" s="149" t="s">
        <v>7640</v>
      </c>
      <c r="B3144" s="149" t="s">
        <v>635</v>
      </c>
      <c r="C3144" s="149">
        <v>11</v>
      </c>
      <c r="D3144" s="149">
        <v>200</v>
      </c>
      <c r="E3144" s="149">
        <v>0</v>
      </c>
      <c r="F3144" s="149">
        <v>674000</v>
      </c>
      <c r="G3144" s="149">
        <v>53421</v>
      </c>
      <c r="H3144" s="150" t="str">
        <f t="shared" si="147"/>
        <v>5</v>
      </c>
      <c r="I3144" s="150" t="str">
        <f t="shared" si="148"/>
        <v>53</v>
      </c>
      <c r="J3144" s="150" t="str">
        <f t="shared" si="149"/>
        <v>534</v>
      </c>
      <c r="K3144" s="150" t="s">
        <v>7902</v>
      </c>
      <c r="L3144" s="149" t="s">
        <v>636</v>
      </c>
      <c r="M3144" s="151">
        <v>123393.23</v>
      </c>
    </row>
    <row r="3145" spans="1:13" s="149" customFormat="1" x14ac:dyDescent="0.25">
      <c r="A3145" s="149" t="s">
        <v>7640</v>
      </c>
      <c r="B3145" s="149" t="s">
        <v>637</v>
      </c>
      <c r="C3145" s="149">
        <v>11</v>
      </c>
      <c r="D3145" s="149">
        <v>200</v>
      </c>
      <c r="E3145" s="149">
        <v>0</v>
      </c>
      <c r="F3145" s="149">
        <v>675000</v>
      </c>
      <c r="G3145" s="149">
        <v>55125</v>
      </c>
      <c r="H3145" s="150" t="str">
        <f t="shared" si="147"/>
        <v>5</v>
      </c>
      <c r="I3145" s="150" t="str">
        <f t="shared" si="148"/>
        <v>55</v>
      </c>
      <c r="J3145" s="150" t="str">
        <f t="shared" si="149"/>
        <v>551</v>
      </c>
      <c r="K3145" s="150" t="s">
        <v>8028</v>
      </c>
      <c r="L3145" s="149" t="s">
        <v>638</v>
      </c>
      <c r="M3145" s="151">
        <v>9747.2900000000009</v>
      </c>
    </row>
    <row r="3146" spans="1:13" s="149" customFormat="1" x14ac:dyDescent="0.25">
      <c r="A3146" s="149" t="s">
        <v>7640</v>
      </c>
      <c r="B3146" s="149" t="s">
        <v>639</v>
      </c>
      <c r="C3146" s="149">
        <v>11</v>
      </c>
      <c r="D3146" s="149">
        <v>200</v>
      </c>
      <c r="E3146" s="149">
        <v>0</v>
      </c>
      <c r="F3146" s="149">
        <v>677000</v>
      </c>
      <c r="G3146" s="149">
        <v>55821</v>
      </c>
      <c r="H3146" s="150" t="str">
        <f t="shared" si="147"/>
        <v>5</v>
      </c>
      <c r="I3146" s="150" t="str">
        <f t="shared" si="148"/>
        <v>55</v>
      </c>
      <c r="J3146" s="150" t="str">
        <f t="shared" si="149"/>
        <v>558</v>
      </c>
      <c r="K3146" s="150" t="s">
        <v>8344</v>
      </c>
      <c r="L3146" s="149" t="s">
        <v>640</v>
      </c>
      <c r="M3146" s="151">
        <v>4598.68</v>
      </c>
    </row>
    <row r="3147" spans="1:13" s="149" customFormat="1" x14ac:dyDescent="0.25">
      <c r="A3147" s="149" t="s">
        <v>7640</v>
      </c>
      <c r="B3147" s="149" t="s">
        <v>641</v>
      </c>
      <c r="C3147" s="149">
        <v>11</v>
      </c>
      <c r="D3147" s="149">
        <v>200</v>
      </c>
      <c r="E3147" s="149">
        <v>0</v>
      </c>
      <c r="F3147" s="149">
        <v>677010</v>
      </c>
      <c r="G3147" s="149">
        <v>55555</v>
      </c>
      <c r="H3147" s="150" t="str">
        <f t="shared" si="147"/>
        <v>5</v>
      </c>
      <c r="I3147" s="150" t="str">
        <f t="shared" si="148"/>
        <v>55</v>
      </c>
      <c r="J3147" s="150" t="str">
        <f t="shared" si="149"/>
        <v>555</v>
      </c>
      <c r="K3147" s="150" t="s">
        <v>8133</v>
      </c>
      <c r="L3147" s="149" t="s">
        <v>642</v>
      </c>
      <c r="M3147" s="151">
        <v>55970.54</v>
      </c>
    </row>
    <row r="3148" spans="1:13" s="149" customFormat="1" x14ac:dyDescent="0.25">
      <c r="A3148" s="149" t="s">
        <v>7640</v>
      </c>
      <c r="B3148" s="149" t="s">
        <v>643</v>
      </c>
      <c r="C3148" s="149">
        <v>11</v>
      </c>
      <c r="D3148" s="149">
        <v>200</v>
      </c>
      <c r="E3148" s="149">
        <v>0</v>
      </c>
      <c r="F3148" s="149">
        <v>677100</v>
      </c>
      <c r="G3148" s="149">
        <v>54300</v>
      </c>
      <c r="H3148" s="150" t="str">
        <f t="shared" si="147"/>
        <v>5</v>
      </c>
      <c r="I3148" s="150" t="str">
        <f t="shared" si="148"/>
        <v>54</v>
      </c>
      <c r="J3148" s="150" t="str">
        <f t="shared" si="149"/>
        <v>543</v>
      </c>
      <c r="K3148" s="150" t="s">
        <v>7920</v>
      </c>
      <c r="L3148" s="149" t="s">
        <v>644</v>
      </c>
      <c r="M3148" s="151">
        <v>0</v>
      </c>
    </row>
    <row r="3149" spans="1:13" s="149" customFormat="1" x14ac:dyDescent="0.25">
      <c r="A3149" s="149" t="s">
        <v>7640</v>
      </c>
      <c r="B3149" s="149" t="s">
        <v>645</v>
      </c>
      <c r="C3149" s="149">
        <v>11</v>
      </c>
      <c r="D3149" s="149">
        <v>200</v>
      </c>
      <c r="E3149" s="149">
        <v>0</v>
      </c>
      <c r="F3149" s="149">
        <v>677100</v>
      </c>
      <c r="G3149" s="149">
        <v>55105</v>
      </c>
      <c r="H3149" s="150" t="str">
        <f t="shared" si="147"/>
        <v>5</v>
      </c>
      <c r="I3149" s="150" t="str">
        <f t="shared" si="148"/>
        <v>55</v>
      </c>
      <c r="J3149" s="150" t="str">
        <f t="shared" si="149"/>
        <v>551</v>
      </c>
      <c r="K3149" s="150" t="s">
        <v>8004</v>
      </c>
      <c r="L3149" s="149" t="s">
        <v>646</v>
      </c>
      <c r="M3149" s="151">
        <v>335178.78000000003</v>
      </c>
    </row>
    <row r="3150" spans="1:13" s="149" customFormat="1" x14ac:dyDescent="0.25">
      <c r="A3150" s="149" t="s">
        <v>7640</v>
      </c>
      <c r="B3150" s="149" t="s">
        <v>647</v>
      </c>
      <c r="C3150" s="149">
        <v>11</v>
      </c>
      <c r="D3150" s="149">
        <v>200</v>
      </c>
      <c r="E3150" s="149">
        <v>0</v>
      </c>
      <c r="F3150" s="149">
        <v>677100</v>
      </c>
      <c r="G3150" s="149">
        <v>55630</v>
      </c>
      <c r="H3150" s="150" t="str">
        <f t="shared" si="147"/>
        <v>5</v>
      </c>
      <c r="I3150" s="150" t="str">
        <f t="shared" si="148"/>
        <v>55</v>
      </c>
      <c r="J3150" s="150" t="str">
        <f t="shared" si="149"/>
        <v>556</v>
      </c>
      <c r="K3150" s="150" t="s">
        <v>8180</v>
      </c>
      <c r="L3150" s="149" t="s">
        <v>648</v>
      </c>
      <c r="M3150" s="151">
        <v>0</v>
      </c>
    </row>
    <row r="3151" spans="1:13" s="149" customFormat="1" x14ac:dyDescent="0.25">
      <c r="A3151" s="149" t="s">
        <v>7640</v>
      </c>
      <c r="B3151" s="149" t="s">
        <v>649</v>
      </c>
      <c r="C3151" s="149">
        <v>11</v>
      </c>
      <c r="D3151" s="149">
        <v>200</v>
      </c>
      <c r="E3151" s="149">
        <v>0</v>
      </c>
      <c r="F3151" s="149">
        <v>695000</v>
      </c>
      <c r="G3151" s="149">
        <v>55800</v>
      </c>
      <c r="H3151" s="150" t="str">
        <f t="shared" si="147"/>
        <v>5</v>
      </c>
      <c r="I3151" s="150" t="str">
        <f t="shared" si="148"/>
        <v>55</v>
      </c>
      <c r="J3151" s="150" t="str">
        <f t="shared" si="149"/>
        <v>558</v>
      </c>
      <c r="K3151" s="150" t="s">
        <v>8333</v>
      </c>
      <c r="L3151" s="149" t="s">
        <v>650</v>
      </c>
      <c r="M3151" s="151">
        <v>0</v>
      </c>
    </row>
    <row r="3152" spans="1:13" s="149" customFormat="1" x14ac:dyDescent="0.25">
      <c r="A3152" s="149" t="s">
        <v>7640</v>
      </c>
      <c r="B3152" s="149" t="s">
        <v>651</v>
      </c>
      <c r="C3152" s="149">
        <v>11</v>
      </c>
      <c r="D3152" s="149">
        <v>200</v>
      </c>
      <c r="E3152" s="149">
        <v>4</v>
      </c>
      <c r="F3152" s="149">
        <v>657000</v>
      </c>
      <c r="G3152" s="149">
        <v>55530</v>
      </c>
      <c r="H3152" s="150" t="str">
        <f t="shared" si="147"/>
        <v>5</v>
      </c>
      <c r="I3152" s="150" t="str">
        <f t="shared" si="148"/>
        <v>55</v>
      </c>
      <c r="J3152" s="150" t="str">
        <f t="shared" si="149"/>
        <v>555</v>
      </c>
      <c r="K3152" s="150" t="s">
        <v>8117</v>
      </c>
      <c r="L3152" s="149" t="s">
        <v>551</v>
      </c>
      <c r="M3152" s="151">
        <v>1444.98</v>
      </c>
    </row>
    <row r="3153" spans="1:13" s="149" customFormat="1" x14ac:dyDescent="0.25">
      <c r="A3153" s="149" t="s">
        <v>7640</v>
      </c>
      <c r="B3153" s="149" t="s">
        <v>652</v>
      </c>
      <c r="C3153" s="149">
        <v>11</v>
      </c>
      <c r="D3153" s="149">
        <v>200</v>
      </c>
      <c r="E3153" s="149">
        <v>4</v>
      </c>
      <c r="F3153" s="149">
        <v>657000</v>
      </c>
      <c r="G3153" s="149">
        <v>55540</v>
      </c>
      <c r="H3153" s="150" t="str">
        <f t="shared" si="147"/>
        <v>5</v>
      </c>
      <c r="I3153" s="150" t="str">
        <f t="shared" si="148"/>
        <v>55</v>
      </c>
      <c r="J3153" s="150" t="str">
        <f t="shared" si="149"/>
        <v>555</v>
      </c>
      <c r="K3153" s="150" t="s">
        <v>8123</v>
      </c>
      <c r="L3153" s="149" t="s">
        <v>553</v>
      </c>
      <c r="M3153" s="151">
        <v>0</v>
      </c>
    </row>
    <row r="3154" spans="1:13" s="149" customFormat="1" x14ac:dyDescent="0.25">
      <c r="A3154" s="149" t="s">
        <v>7640</v>
      </c>
      <c r="B3154" s="149" t="s">
        <v>653</v>
      </c>
      <c r="C3154" s="149">
        <v>11</v>
      </c>
      <c r="D3154" s="149">
        <v>210</v>
      </c>
      <c r="E3154" s="149">
        <v>0</v>
      </c>
      <c r="F3154" s="149">
        <v>657000</v>
      </c>
      <c r="G3154" s="149">
        <v>55530</v>
      </c>
      <c r="H3154" s="150" t="str">
        <f t="shared" si="147"/>
        <v>5</v>
      </c>
      <c r="I3154" s="150" t="str">
        <f t="shared" si="148"/>
        <v>55</v>
      </c>
      <c r="J3154" s="150" t="str">
        <f t="shared" si="149"/>
        <v>555</v>
      </c>
      <c r="K3154" s="150" t="s">
        <v>8118</v>
      </c>
      <c r="L3154" s="149" t="s">
        <v>551</v>
      </c>
      <c r="M3154" s="151">
        <v>313341.62</v>
      </c>
    </row>
    <row r="3155" spans="1:13" s="149" customFormat="1" x14ac:dyDescent="0.25">
      <c r="A3155" s="149" t="s">
        <v>7640</v>
      </c>
      <c r="B3155" s="149" t="s">
        <v>654</v>
      </c>
      <c r="C3155" s="149">
        <v>11</v>
      </c>
      <c r="D3155" s="149">
        <v>210</v>
      </c>
      <c r="E3155" s="149">
        <v>0</v>
      </c>
      <c r="F3155" s="149">
        <v>657000</v>
      </c>
      <c r="G3155" s="149">
        <v>55540</v>
      </c>
      <c r="H3155" s="150" t="str">
        <f t="shared" si="147"/>
        <v>5</v>
      </c>
      <c r="I3155" s="150" t="str">
        <f t="shared" si="148"/>
        <v>55</v>
      </c>
      <c r="J3155" s="150" t="str">
        <f t="shared" si="149"/>
        <v>555</v>
      </c>
      <c r="K3155" s="150" t="s">
        <v>8124</v>
      </c>
      <c r="L3155" s="149" t="s">
        <v>553</v>
      </c>
      <c r="M3155" s="151">
        <v>204158.39</v>
      </c>
    </row>
    <row r="3156" spans="1:13" s="149" customFormat="1" x14ac:dyDescent="0.25">
      <c r="A3156" s="149" t="s">
        <v>7640</v>
      </c>
      <c r="B3156" s="149" t="s">
        <v>655</v>
      </c>
      <c r="C3156" s="149">
        <v>11</v>
      </c>
      <c r="D3156" s="149">
        <v>210</v>
      </c>
      <c r="E3156" s="149">
        <v>0</v>
      </c>
      <c r="F3156" s="149">
        <v>657000</v>
      </c>
      <c r="G3156" s="149">
        <v>55560</v>
      </c>
      <c r="H3156" s="150" t="str">
        <f t="shared" si="147"/>
        <v>5</v>
      </c>
      <c r="I3156" s="150" t="str">
        <f t="shared" si="148"/>
        <v>55</v>
      </c>
      <c r="J3156" s="150" t="str">
        <f t="shared" si="149"/>
        <v>555</v>
      </c>
      <c r="K3156" s="150" t="s">
        <v>8136</v>
      </c>
      <c r="L3156" s="149" t="s">
        <v>555</v>
      </c>
      <c r="M3156" s="151">
        <v>39594.160000000003</v>
      </c>
    </row>
    <row r="3157" spans="1:13" s="149" customFormat="1" x14ac:dyDescent="0.25">
      <c r="A3157" s="149" t="s">
        <v>7640</v>
      </c>
      <c r="B3157" s="149" t="s">
        <v>656</v>
      </c>
      <c r="C3157" s="149">
        <v>11</v>
      </c>
      <c r="D3157" s="149">
        <v>210</v>
      </c>
      <c r="E3157" s="149">
        <v>0</v>
      </c>
      <c r="F3157" s="149">
        <v>657000</v>
      </c>
      <c r="G3157" s="149">
        <v>55570</v>
      </c>
      <c r="H3157" s="150" t="str">
        <f t="shared" si="147"/>
        <v>5</v>
      </c>
      <c r="I3157" s="150" t="str">
        <f t="shared" si="148"/>
        <v>55</v>
      </c>
      <c r="J3157" s="150" t="str">
        <f t="shared" si="149"/>
        <v>555</v>
      </c>
      <c r="K3157" s="150" t="s">
        <v>8139</v>
      </c>
      <c r="L3157" s="149" t="s">
        <v>657</v>
      </c>
      <c r="M3157" s="151">
        <v>26418.52</v>
      </c>
    </row>
    <row r="3158" spans="1:13" s="149" customFormat="1" x14ac:dyDescent="0.25">
      <c r="A3158" s="149" t="s">
        <v>7640</v>
      </c>
      <c r="B3158" s="149" t="s">
        <v>658</v>
      </c>
      <c r="C3158" s="149">
        <v>11</v>
      </c>
      <c r="D3158" s="149">
        <v>210</v>
      </c>
      <c r="E3158" s="149">
        <v>0</v>
      </c>
      <c r="F3158" s="149">
        <v>657000</v>
      </c>
      <c r="G3158" s="149">
        <v>55575</v>
      </c>
      <c r="H3158" s="150" t="str">
        <f t="shared" si="147"/>
        <v>5</v>
      </c>
      <c r="I3158" s="150" t="str">
        <f t="shared" si="148"/>
        <v>55</v>
      </c>
      <c r="J3158" s="150" t="str">
        <f t="shared" si="149"/>
        <v>555</v>
      </c>
      <c r="K3158" s="150" t="s">
        <v>8141</v>
      </c>
      <c r="L3158" s="149" t="s">
        <v>659</v>
      </c>
      <c r="M3158" s="151">
        <v>0</v>
      </c>
    </row>
    <row r="3159" spans="1:13" s="149" customFormat="1" x14ac:dyDescent="0.25">
      <c r="A3159" s="149" t="s">
        <v>7640</v>
      </c>
      <c r="B3159" s="149" t="s">
        <v>660</v>
      </c>
      <c r="C3159" s="149">
        <v>11</v>
      </c>
      <c r="D3159" s="149">
        <v>210</v>
      </c>
      <c r="E3159" s="149">
        <v>0</v>
      </c>
      <c r="F3159" s="149">
        <v>657000</v>
      </c>
      <c r="G3159" s="149">
        <v>55580</v>
      </c>
      <c r="H3159" s="150" t="str">
        <f t="shared" si="147"/>
        <v>5</v>
      </c>
      <c r="I3159" s="150" t="str">
        <f t="shared" si="148"/>
        <v>55</v>
      </c>
      <c r="J3159" s="150" t="str">
        <f t="shared" si="149"/>
        <v>555</v>
      </c>
      <c r="K3159" s="150" t="s">
        <v>8146</v>
      </c>
      <c r="L3159" s="149" t="s">
        <v>557</v>
      </c>
      <c r="M3159" s="151">
        <v>22479.200000000001</v>
      </c>
    </row>
    <row r="3160" spans="1:13" s="149" customFormat="1" x14ac:dyDescent="0.25">
      <c r="A3160" s="149" t="s">
        <v>7640</v>
      </c>
      <c r="B3160" s="149" t="s">
        <v>661</v>
      </c>
      <c r="C3160" s="149">
        <v>11</v>
      </c>
      <c r="D3160" s="149">
        <v>210</v>
      </c>
      <c r="E3160" s="149">
        <v>0</v>
      </c>
      <c r="F3160" s="149">
        <v>672010</v>
      </c>
      <c r="G3160" s="149">
        <v>52105</v>
      </c>
      <c r="H3160" s="150" t="str">
        <f t="shared" si="147"/>
        <v>5</v>
      </c>
      <c r="I3160" s="150" t="str">
        <f t="shared" si="148"/>
        <v>52</v>
      </c>
      <c r="J3160" s="150" t="str">
        <f t="shared" si="149"/>
        <v>521</v>
      </c>
      <c r="K3160" s="150" t="s">
        <v>8594</v>
      </c>
      <c r="L3160" s="149" t="s">
        <v>662</v>
      </c>
      <c r="M3160" s="151">
        <v>365651.08</v>
      </c>
    </row>
    <row r="3161" spans="1:13" s="149" customFormat="1" x14ac:dyDescent="0.25">
      <c r="A3161" s="149" t="s">
        <v>7640</v>
      </c>
      <c r="B3161" s="149" t="s">
        <v>663</v>
      </c>
      <c r="C3161" s="149">
        <v>11</v>
      </c>
      <c r="D3161" s="149">
        <v>210</v>
      </c>
      <c r="E3161" s="149">
        <v>0</v>
      </c>
      <c r="F3161" s="149">
        <v>672010</v>
      </c>
      <c r="G3161" s="149">
        <v>52115</v>
      </c>
      <c r="H3161" s="150" t="str">
        <f t="shared" si="147"/>
        <v>5</v>
      </c>
      <c r="I3161" s="150" t="str">
        <f t="shared" si="148"/>
        <v>52</v>
      </c>
      <c r="J3161" s="150" t="str">
        <f t="shared" si="149"/>
        <v>521</v>
      </c>
      <c r="K3161" s="150" t="s">
        <v>8595</v>
      </c>
      <c r="L3161" s="149" t="s">
        <v>664</v>
      </c>
      <c r="M3161" s="151">
        <v>79084.100000000006</v>
      </c>
    </row>
    <row r="3162" spans="1:13" s="149" customFormat="1" x14ac:dyDescent="0.25">
      <c r="A3162" s="149" t="s">
        <v>7640</v>
      </c>
      <c r="B3162" s="149" t="s">
        <v>665</v>
      </c>
      <c r="C3162" s="149">
        <v>11</v>
      </c>
      <c r="D3162" s="149">
        <v>210</v>
      </c>
      <c r="E3162" s="149">
        <v>0</v>
      </c>
      <c r="F3162" s="149">
        <v>672010</v>
      </c>
      <c r="G3162" s="149">
        <v>52120</v>
      </c>
      <c r="H3162" s="150" t="str">
        <f t="shared" si="147"/>
        <v>5</v>
      </c>
      <c r="I3162" s="150" t="str">
        <f t="shared" si="148"/>
        <v>52</v>
      </c>
      <c r="J3162" s="150" t="str">
        <f t="shared" si="149"/>
        <v>521</v>
      </c>
      <c r="K3162" s="150" t="s">
        <v>8596</v>
      </c>
      <c r="L3162" s="149" t="s">
        <v>666</v>
      </c>
      <c r="M3162" s="151">
        <v>113235.5</v>
      </c>
    </row>
    <row r="3163" spans="1:13" s="149" customFormat="1" x14ac:dyDescent="0.25">
      <c r="A3163" s="149" t="s">
        <v>7640</v>
      </c>
      <c r="B3163" s="149" t="s">
        <v>667</v>
      </c>
      <c r="C3163" s="149">
        <v>11</v>
      </c>
      <c r="D3163" s="149">
        <v>210</v>
      </c>
      <c r="E3163" s="149">
        <v>0</v>
      </c>
      <c r="F3163" s="149">
        <v>672010</v>
      </c>
      <c r="G3163" s="149">
        <v>52130</v>
      </c>
      <c r="H3163" s="150" t="str">
        <f t="shared" si="147"/>
        <v>5</v>
      </c>
      <c r="I3163" s="150" t="str">
        <f t="shared" si="148"/>
        <v>52</v>
      </c>
      <c r="J3163" s="150" t="str">
        <f t="shared" si="149"/>
        <v>521</v>
      </c>
      <c r="K3163" s="150" t="s">
        <v>8597</v>
      </c>
      <c r="L3163" s="149" t="s">
        <v>668</v>
      </c>
      <c r="M3163" s="151">
        <v>230570.64</v>
      </c>
    </row>
    <row r="3164" spans="1:13" s="149" customFormat="1" x14ac:dyDescent="0.25">
      <c r="A3164" s="149" t="s">
        <v>7640</v>
      </c>
      <c r="B3164" s="149" t="s">
        <v>669</v>
      </c>
      <c r="C3164" s="149">
        <v>11</v>
      </c>
      <c r="D3164" s="149">
        <v>210</v>
      </c>
      <c r="E3164" s="149">
        <v>0</v>
      </c>
      <c r="F3164" s="149">
        <v>672010</v>
      </c>
      <c r="G3164" s="149">
        <v>52300</v>
      </c>
      <c r="H3164" s="150" t="str">
        <f t="shared" si="147"/>
        <v>5</v>
      </c>
      <c r="I3164" s="150" t="str">
        <f t="shared" si="148"/>
        <v>52</v>
      </c>
      <c r="J3164" s="150" t="str">
        <f t="shared" si="149"/>
        <v>523</v>
      </c>
      <c r="K3164" s="150" t="s">
        <v>7811</v>
      </c>
      <c r="L3164" s="149" t="s">
        <v>670</v>
      </c>
      <c r="M3164" s="151">
        <v>5818.8</v>
      </c>
    </row>
    <row r="3165" spans="1:13" s="149" customFormat="1" x14ac:dyDescent="0.25">
      <c r="A3165" s="149" t="s">
        <v>7640</v>
      </c>
      <c r="B3165" s="149" t="s">
        <v>671</v>
      </c>
      <c r="C3165" s="149">
        <v>11</v>
      </c>
      <c r="D3165" s="149">
        <v>210</v>
      </c>
      <c r="E3165" s="149">
        <v>0</v>
      </c>
      <c r="F3165" s="149">
        <v>672010</v>
      </c>
      <c r="G3165" s="149">
        <v>52350</v>
      </c>
      <c r="H3165" s="150" t="str">
        <f t="shared" si="147"/>
        <v>5</v>
      </c>
      <c r="I3165" s="150" t="str">
        <f t="shared" si="148"/>
        <v>52</v>
      </c>
      <c r="J3165" s="150" t="str">
        <f t="shared" si="149"/>
        <v>523</v>
      </c>
      <c r="K3165" s="150" t="s">
        <v>7851</v>
      </c>
      <c r="L3165" s="149" t="s">
        <v>672</v>
      </c>
      <c r="M3165" s="151">
        <v>0</v>
      </c>
    </row>
    <row r="3166" spans="1:13" s="149" customFormat="1" x14ac:dyDescent="0.25">
      <c r="A3166" s="149" t="s">
        <v>7640</v>
      </c>
      <c r="B3166" s="149" t="s">
        <v>673</v>
      </c>
      <c r="C3166" s="149">
        <v>11</v>
      </c>
      <c r="D3166" s="149">
        <v>210</v>
      </c>
      <c r="E3166" s="149">
        <v>0</v>
      </c>
      <c r="F3166" s="149">
        <v>672010</v>
      </c>
      <c r="G3166" s="149">
        <v>52360</v>
      </c>
      <c r="H3166" s="150" t="str">
        <f t="shared" si="147"/>
        <v>5</v>
      </c>
      <c r="I3166" s="150" t="str">
        <f t="shared" si="148"/>
        <v>52</v>
      </c>
      <c r="J3166" s="150" t="str">
        <f t="shared" si="149"/>
        <v>523</v>
      </c>
      <c r="K3166" s="150" t="s">
        <v>7862</v>
      </c>
      <c r="L3166" s="149" t="s">
        <v>674</v>
      </c>
      <c r="M3166" s="151">
        <v>0</v>
      </c>
    </row>
    <row r="3167" spans="1:13" s="149" customFormat="1" x14ac:dyDescent="0.25">
      <c r="A3167" s="149" t="s">
        <v>7640</v>
      </c>
      <c r="B3167" s="149" t="s">
        <v>675</v>
      </c>
      <c r="C3167" s="149">
        <v>11</v>
      </c>
      <c r="D3167" s="149">
        <v>210</v>
      </c>
      <c r="E3167" s="149">
        <v>0</v>
      </c>
      <c r="F3167" s="149">
        <v>672010</v>
      </c>
      <c r="G3167" s="149">
        <v>53220</v>
      </c>
      <c r="H3167" s="150" t="str">
        <f t="shared" si="147"/>
        <v>5</v>
      </c>
      <c r="I3167" s="150" t="str">
        <f t="shared" si="148"/>
        <v>53</v>
      </c>
      <c r="J3167" s="150" t="str">
        <f t="shared" si="149"/>
        <v>532</v>
      </c>
      <c r="K3167" s="150" t="s">
        <v>8598</v>
      </c>
      <c r="L3167" s="149" t="s">
        <v>676</v>
      </c>
      <c r="M3167" s="151">
        <v>155365.09</v>
      </c>
    </row>
    <row r="3168" spans="1:13" s="149" customFormat="1" x14ac:dyDescent="0.25">
      <c r="A3168" s="149" t="s">
        <v>7640</v>
      </c>
      <c r="B3168" s="149" t="s">
        <v>677</v>
      </c>
      <c r="C3168" s="149">
        <v>11</v>
      </c>
      <c r="D3168" s="149">
        <v>210</v>
      </c>
      <c r="E3168" s="149">
        <v>0</v>
      </c>
      <c r="F3168" s="149">
        <v>672010</v>
      </c>
      <c r="G3168" s="149">
        <v>53320</v>
      </c>
      <c r="H3168" s="150" t="str">
        <f t="shared" si="147"/>
        <v>5</v>
      </c>
      <c r="I3168" s="150" t="str">
        <f t="shared" si="148"/>
        <v>53</v>
      </c>
      <c r="J3168" s="150" t="str">
        <f t="shared" si="149"/>
        <v>533</v>
      </c>
      <c r="K3168" s="150" t="s">
        <v>8599</v>
      </c>
      <c r="L3168" s="149" t="s">
        <v>678</v>
      </c>
      <c r="M3168" s="151">
        <v>47129.9</v>
      </c>
    </row>
    <row r="3169" spans="1:13" s="149" customFormat="1" x14ac:dyDescent="0.25">
      <c r="A3169" s="149" t="s">
        <v>7640</v>
      </c>
      <c r="B3169" s="149" t="s">
        <v>679</v>
      </c>
      <c r="C3169" s="149">
        <v>11</v>
      </c>
      <c r="D3169" s="149">
        <v>210</v>
      </c>
      <c r="E3169" s="149">
        <v>0</v>
      </c>
      <c r="F3169" s="149">
        <v>672010</v>
      </c>
      <c r="G3169" s="149">
        <v>53340</v>
      </c>
      <c r="H3169" s="150" t="str">
        <f t="shared" si="147"/>
        <v>5</v>
      </c>
      <c r="I3169" s="150" t="str">
        <f t="shared" si="148"/>
        <v>53</v>
      </c>
      <c r="J3169" s="150" t="str">
        <f t="shared" si="149"/>
        <v>533</v>
      </c>
      <c r="K3169" s="150" t="s">
        <v>8600</v>
      </c>
      <c r="L3169" s="149" t="s">
        <v>680</v>
      </c>
      <c r="M3169" s="151">
        <v>11356.49</v>
      </c>
    </row>
    <row r="3170" spans="1:13" s="149" customFormat="1" x14ac:dyDescent="0.25">
      <c r="A3170" s="149" t="s">
        <v>7640</v>
      </c>
      <c r="B3170" s="149" t="s">
        <v>681</v>
      </c>
      <c r="C3170" s="149">
        <v>11</v>
      </c>
      <c r="D3170" s="149">
        <v>210</v>
      </c>
      <c r="E3170" s="149">
        <v>0</v>
      </c>
      <c r="F3170" s="149">
        <v>672010</v>
      </c>
      <c r="G3170" s="149">
        <v>53420</v>
      </c>
      <c r="H3170" s="150" t="str">
        <f t="shared" si="147"/>
        <v>5</v>
      </c>
      <c r="I3170" s="150" t="str">
        <f t="shared" si="148"/>
        <v>53</v>
      </c>
      <c r="J3170" s="150" t="str">
        <f t="shared" si="149"/>
        <v>534</v>
      </c>
      <c r="K3170" s="150" t="s">
        <v>8601</v>
      </c>
      <c r="L3170" s="149" t="s">
        <v>682</v>
      </c>
      <c r="M3170" s="151">
        <v>264560.03000000003</v>
      </c>
    </row>
    <row r="3171" spans="1:13" s="149" customFormat="1" x14ac:dyDescent="0.25">
      <c r="A3171" s="149" t="s">
        <v>7640</v>
      </c>
      <c r="B3171" s="149" t="s">
        <v>683</v>
      </c>
      <c r="C3171" s="149">
        <v>11</v>
      </c>
      <c r="D3171" s="149">
        <v>210</v>
      </c>
      <c r="E3171" s="149">
        <v>0</v>
      </c>
      <c r="F3171" s="149">
        <v>672010</v>
      </c>
      <c r="G3171" s="149">
        <v>53520</v>
      </c>
      <c r="H3171" s="150" t="str">
        <f t="shared" si="147"/>
        <v>5</v>
      </c>
      <c r="I3171" s="150" t="str">
        <f t="shared" si="148"/>
        <v>53</v>
      </c>
      <c r="J3171" s="150" t="str">
        <f t="shared" si="149"/>
        <v>535</v>
      </c>
      <c r="K3171" s="150" t="s">
        <v>8602</v>
      </c>
      <c r="L3171" s="149" t="s">
        <v>684</v>
      </c>
      <c r="M3171" s="151">
        <v>394.75</v>
      </c>
    </row>
    <row r="3172" spans="1:13" s="149" customFormat="1" x14ac:dyDescent="0.25">
      <c r="A3172" s="149" t="s">
        <v>7640</v>
      </c>
      <c r="B3172" s="149" t="s">
        <v>685</v>
      </c>
      <c r="C3172" s="149">
        <v>11</v>
      </c>
      <c r="D3172" s="149">
        <v>210</v>
      </c>
      <c r="E3172" s="149">
        <v>0</v>
      </c>
      <c r="F3172" s="149">
        <v>672010</v>
      </c>
      <c r="G3172" s="149">
        <v>53620</v>
      </c>
      <c r="H3172" s="150" t="str">
        <f t="shared" si="147"/>
        <v>5</v>
      </c>
      <c r="I3172" s="150" t="str">
        <f t="shared" si="148"/>
        <v>53</v>
      </c>
      <c r="J3172" s="150" t="str">
        <f t="shared" si="149"/>
        <v>536</v>
      </c>
      <c r="K3172" s="150" t="s">
        <v>8603</v>
      </c>
      <c r="L3172" s="149" t="s">
        <v>686</v>
      </c>
      <c r="M3172" s="151">
        <v>15033.59</v>
      </c>
    </row>
    <row r="3173" spans="1:13" s="149" customFormat="1" x14ac:dyDescent="0.25">
      <c r="A3173" s="149" t="s">
        <v>7640</v>
      </c>
      <c r="B3173" s="149" t="s">
        <v>687</v>
      </c>
      <c r="C3173" s="149">
        <v>11</v>
      </c>
      <c r="D3173" s="149">
        <v>210</v>
      </c>
      <c r="E3173" s="149">
        <v>0</v>
      </c>
      <c r="F3173" s="149">
        <v>672010</v>
      </c>
      <c r="G3173" s="149">
        <v>53904</v>
      </c>
      <c r="H3173" s="150" t="str">
        <f t="shared" si="147"/>
        <v>5</v>
      </c>
      <c r="I3173" s="150" t="str">
        <f t="shared" si="148"/>
        <v>53</v>
      </c>
      <c r="J3173" s="150" t="str">
        <f t="shared" si="149"/>
        <v>539</v>
      </c>
      <c r="K3173" s="150" t="s">
        <v>8604</v>
      </c>
      <c r="L3173" s="149" t="s">
        <v>688</v>
      </c>
      <c r="M3173" s="151">
        <v>-9.7200000000000006</v>
      </c>
    </row>
    <row r="3174" spans="1:13" s="149" customFormat="1" x14ac:dyDescent="0.25">
      <c r="A3174" s="149" t="s">
        <v>7640</v>
      </c>
      <c r="B3174" s="149" t="s">
        <v>689</v>
      </c>
      <c r="C3174" s="149">
        <v>11</v>
      </c>
      <c r="D3174" s="149">
        <v>210</v>
      </c>
      <c r="E3174" s="149">
        <v>0</v>
      </c>
      <c r="F3174" s="149">
        <v>672010</v>
      </c>
      <c r="G3174" s="149">
        <v>53920</v>
      </c>
      <c r="H3174" s="150" t="str">
        <f t="shared" si="147"/>
        <v>5</v>
      </c>
      <c r="I3174" s="150" t="str">
        <f t="shared" si="148"/>
        <v>53</v>
      </c>
      <c r="J3174" s="150" t="str">
        <f t="shared" si="149"/>
        <v>539</v>
      </c>
      <c r="K3174" s="150" t="s">
        <v>8605</v>
      </c>
      <c r="L3174" s="149" t="s">
        <v>690</v>
      </c>
      <c r="M3174" s="151">
        <v>3546</v>
      </c>
    </row>
    <row r="3175" spans="1:13" s="149" customFormat="1" x14ac:dyDescent="0.25">
      <c r="A3175" s="149" t="s">
        <v>7640</v>
      </c>
      <c r="B3175" s="149" t="s">
        <v>691</v>
      </c>
      <c r="C3175" s="149">
        <v>11</v>
      </c>
      <c r="D3175" s="149">
        <v>210</v>
      </c>
      <c r="E3175" s="149">
        <v>0</v>
      </c>
      <c r="F3175" s="149">
        <v>672010</v>
      </c>
      <c r="G3175" s="149">
        <v>54300</v>
      </c>
      <c r="H3175" s="150" t="str">
        <f t="shared" si="147"/>
        <v>5</v>
      </c>
      <c r="I3175" s="150" t="str">
        <f t="shared" si="148"/>
        <v>54</v>
      </c>
      <c r="J3175" s="150" t="str">
        <f t="shared" si="149"/>
        <v>543</v>
      </c>
      <c r="K3175" s="150" t="s">
        <v>7921</v>
      </c>
      <c r="L3175" s="149" t="s">
        <v>692</v>
      </c>
      <c r="M3175" s="151">
        <v>6977.9</v>
      </c>
    </row>
    <row r="3176" spans="1:13" s="149" customFormat="1" x14ac:dyDescent="0.25">
      <c r="A3176" s="149" t="s">
        <v>7640</v>
      </c>
      <c r="B3176" s="149" t="s">
        <v>693</v>
      </c>
      <c r="C3176" s="149">
        <v>11</v>
      </c>
      <c r="D3176" s="149">
        <v>210</v>
      </c>
      <c r="E3176" s="149">
        <v>0</v>
      </c>
      <c r="F3176" s="149">
        <v>672010</v>
      </c>
      <c r="G3176" s="149">
        <v>55105</v>
      </c>
      <c r="H3176" s="150" t="str">
        <f t="shared" si="147"/>
        <v>5</v>
      </c>
      <c r="I3176" s="150" t="str">
        <f t="shared" si="148"/>
        <v>55</v>
      </c>
      <c r="J3176" s="150" t="str">
        <f t="shared" si="149"/>
        <v>551</v>
      </c>
      <c r="K3176" s="150" t="s">
        <v>8005</v>
      </c>
      <c r="L3176" s="149" t="s">
        <v>694</v>
      </c>
      <c r="M3176" s="151">
        <v>10774.6</v>
      </c>
    </row>
    <row r="3177" spans="1:13" s="149" customFormat="1" x14ac:dyDescent="0.25">
      <c r="A3177" s="149" t="s">
        <v>7640</v>
      </c>
      <c r="B3177" s="149" t="s">
        <v>695</v>
      </c>
      <c r="C3177" s="149">
        <v>11</v>
      </c>
      <c r="D3177" s="149">
        <v>210</v>
      </c>
      <c r="E3177" s="149">
        <v>0</v>
      </c>
      <c r="F3177" s="149">
        <v>672010</v>
      </c>
      <c r="G3177" s="149">
        <v>55200</v>
      </c>
      <c r="H3177" s="150" t="str">
        <f t="shared" si="147"/>
        <v>5</v>
      </c>
      <c r="I3177" s="150" t="str">
        <f t="shared" si="148"/>
        <v>55</v>
      </c>
      <c r="J3177" s="150" t="str">
        <f t="shared" si="149"/>
        <v>552</v>
      </c>
      <c r="K3177" s="150" t="s">
        <v>8043</v>
      </c>
      <c r="L3177" s="149" t="s">
        <v>696</v>
      </c>
      <c r="M3177" s="151">
        <v>906.33</v>
      </c>
    </row>
    <row r="3178" spans="1:13" s="149" customFormat="1" x14ac:dyDescent="0.25">
      <c r="A3178" s="149" t="s">
        <v>7640</v>
      </c>
      <c r="B3178" s="149" t="s">
        <v>697</v>
      </c>
      <c r="C3178" s="149">
        <v>11</v>
      </c>
      <c r="D3178" s="149">
        <v>210</v>
      </c>
      <c r="E3178" s="149">
        <v>0</v>
      </c>
      <c r="F3178" s="149">
        <v>672010</v>
      </c>
      <c r="G3178" s="149">
        <v>55309</v>
      </c>
      <c r="H3178" s="150" t="str">
        <f t="shared" si="147"/>
        <v>5</v>
      </c>
      <c r="I3178" s="150" t="str">
        <f t="shared" si="148"/>
        <v>55</v>
      </c>
      <c r="J3178" s="150" t="str">
        <f t="shared" si="149"/>
        <v>553</v>
      </c>
      <c r="K3178" s="150" t="s">
        <v>8104</v>
      </c>
      <c r="L3178" s="149" t="s">
        <v>698</v>
      </c>
      <c r="M3178" s="151">
        <v>199</v>
      </c>
    </row>
    <row r="3179" spans="1:13" s="149" customFormat="1" x14ac:dyDescent="0.25">
      <c r="A3179" s="149" t="s">
        <v>7640</v>
      </c>
      <c r="B3179" s="149" t="s">
        <v>699</v>
      </c>
      <c r="C3179" s="149">
        <v>11</v>
      </c>
      <c r="D3179" s="149">
        <v>210</v>
      </c>
      <c r="E3179" s="149">
        <v>0</v>
      </c>
      <c r="F3179" s="149">
        <v>672010</v>
      </c>
      <c r="G3179" s="149">
        <v>55630</v>
      </c>
      <c r="H3179" s="150" t="str">
        <f t="shared" si="147"/>
        <v>5</v>
      </c>
      <c r="I3179" s="150" t="str">
        <f t="shared" si="148"/>
        <v>55</v>
      </c>
      <c r="J3179" s="150" t="str">
        <f t="shared" si="149"/>
        <v>556</v>
      </c>
      <c r="K3179" s="150" t="s">
        <v>8181</v>
      </c>
      <c r="L3179" s="149" t="s">
        <v>700</v>
      </c>
      <c r="M3179" s="151">
        <v>4057.3</v>
      </c>
    </row>
    <row r="3180" spans="1:13" s="149" customFormat="1" x14ac:dyDescent="0.25">
      <c r="A3180" s="149" t="s">
        <v>7640</v>
      </c>
      <c r="B3180" s="149" t="s">
        <v>701</v>
      </c>
      <c r="C3180" s="149">
        <v>11</v>
      </c>
      <c r="D3180" s="149">
        <v>210</v>
      </c>
      <c r="E3180" s="149">
        <v>0</v>
      </c>
      <c r="F3180" s="149">
        <v>672010</v>
      </c>
      <c r="G3180" s="149">
        <v>55800</v>
      </c>
      <c r="H3180" s="150" t="str">
        <f t="shared" si="147"/>
        <v>5</v>
      </c>
      <c r="I3180" s="150" t="str">
        <f t="shared" si="148"/>
        <v>55</v>
      </c>
      <c r="J3180" s="150" t="str">
        <f t="shared" si="149"/>
        <v>558</v>
      </c>
      <c r="K3180" s="150" t="s">
        <v>8334</v>
      </c>
      <c r="L3180" s="149" t="s">
        <v>702</v>
      </c>
      <c r="M3180" s="151">
        <v>-5873.57</v>
      </c>
    </row>
    <row r="3181" spans="1:13" s="149" customFormat="1" x14ac:dyDescent="0.25">
      <c r="A3181" s="149" t="s">
        <v>7640</v>
      </c>
      <c r="B3181" s="149" t="s">
        <v>703</v>
      </c>
      <c r="C3181" s="149">
        <v>11</v>
      </c>
      <c r="D3181" s="149">
        <v>210</v>
      </c>
      <c r="E3181" s="149">
        <v>0</v>
      </c>
      <c r="F3181" s="149">
        <v>672010</v>
      </c>
      <c r="G3181" s="149">
        <v>56400</v>
      </c>
      <c r="H3181" s="150" t="str">
        <f t="shared" si="147"/>
        <v>5</v>
      </c>
      <c r="I3181" s="150" t="str">
        <f t="shared" si="148"/>
        <v>56</v>
      </c>
      <c r="J3181" s="150" t="str">
        <f t="shared" si="149"/>
        <v>564</v>
      </c>
      <c r="K3181" s="150" t="s">
        <v>8370</v>
      </c>
      <c r="L3181" s="149" t="s">
        <v>704</v>
      </c>
      <c r="M3181" s="151">
        <v>0</v>
      </c>
    </row>
    <row r="3182" spans="1:13" s="149" customFormat="1" x14ac:dyDescent="0.25">
      <c r="A3182" s="149" t="s">
        <v>7640</v>
      </c>
      <c r="B3182" s="149" t="s">
        <v>705</v>
      </c>
      <c r="C3182" s="149">
        <v>11</v>
      </c>
      <c r="D3182" s="149">
        <v>210</v>
      </c>
      <c r="E3182" s="149">
        <v>0</v>
      </c>
      <c r="F3182" s="149">
        <v>672020</v>
      </c>
      <c r="G3182" s="149">
        <v>52130</v>
      </c>
      <c r="H3182" s="150" t="str">
        <f t="shared" si="147"/>
        <v>5</v>
      </c>
      <c r="I3182" s="150" t="str">
        <f t="shared" si="148"/>
        <v>52</v>
      </c>
      <c r="J3182" s="150" t="str">
        <f t="shared" si="149"/>
        <v>521</v>
      </c>
      <c r="K3182" s="150" t="s">
        <v>8606</v>
      </c>
      <c r="L3182" s="149" t="s">
        <v>706</v>
      </c>
      <c r="M3182" s="151">
        <v>100184.75</v>
      </c>
    </row>
    <row r="3183" spans="1:13" s="149" customFormat="1" x14ac:dyDescent="0.25">
      <c r="A3183" s="149" t="s">
        <v>7640</v>
      </c>
      <c r="B3183" s="149" t="s">
        <v>707</v>
      </c>
      <c r="C3183" s="149">
        <v>11</v>
      </c>
      <c r="D3183" s="149">
        <v>210</v>
      </c>
      <c r="E3183" s="149">
        <v>0</v>
      </c>
      <c r="F3183" s="149">
        <v>672020</v>
      </c>
      <c r="G3183" s="149">
        <v>53220</v>
      </c>
      <c r="H3183" s="150" t="str">
        <f t="shared" si="147"/>
        <v>5</v>
      </c>
      <c r="I3183" s="150" t="str">
        <f t="shared" si="148"/>
        <v>53</v>
      </c>
      <c r="J3183" s="150" t="str">
        <f t="shared" si="149"/>
        <v>532</v>
      </c>
      <c r="K3183" s="150" t="s">
        <v>8607</v>
      </c>
      <c r="L3183" s="149" t="s">
        <v>708</v>
      </c>
      <c r="M3183" s="151">
        <v>20738.240000000002</v>
      </c>
    </row>
    <row r="3184" spans="1:13" s="149" customFormat="1" x14ac:dyDescent="0.25">
      <c r="A3184" s="149" t="s">
        <v>7640</v>
      </c>
      <c r="B3184" s="149" t="s">
        <v>709</v>
      </c>
      <c r="C3184" s="149">
        <v>11</v>
      </c>
      <c r="D3184" s="149">
        <v>210</v>
      </c>
      <c r="E3184" s="149">
        <v>0</v>
      </c>
      <c r="F3184" s="149">
        <v>672020</v>
      </c>
      <c r="G3184" s="149">
        <v>53320</v>
      </c>
      <c r="H3184" s="150" t="str">
        <f t="shared" si="147"/>
        <v>5</v>
      </c>
      <c r="I3184" s="150" t="str">
        <f t="shared" si="148"/>
        <v>53</v>
      </c>
      <c r="J3184" s="150" t="str">
        <f t="shared" si="149"/>
        <v>533</v>
      </c>
      <c r="K3184" s="150" t="s">
        <v>8608</v>
      </c>
      <c r="L3184" s="149" t="s">
        <v>710</v>
      </c>
      <c r="M3184" s="151">
        <v>6160.25</v>
      </c>
    </row>
    <row r="3185" spans="1:13" s="149" customFormat="1" x14ac:dyDescent="0.25">
      <c r="A3185" s="149" t="s">
        <v>7640</v>
      </c>
      <c r="B3185" s="149" t="s">
        <v>711</v>
      </c>
      <c r="C3185" s="149">
        <v>11</v>
      </c>
      <c r="D3185" s="149">
        <v>210</v>
      </c>
      <c r="E3185" s="149">
        <v>0</v>
      </c>
      <c r="F3185" s="149">
        <v>672020</v>
      </c>
      <c r="G3185" s="149">
        <v>53340</v>
      </c>
      <c r="H3185" s="150" t="str">
        <f t="shared" si="147"/>
        <v>5</v>
      </c>
      <c r="I3185" s="150" t="str">
        <f t="shared" si="148"/>
        <v>53</v>
      </c>
      <c r="J3185" s="150" t="str">
        <f t="shared" si="149"/>
        <v>533</v>
      </c>
      <c r="K3185" s="150" t="s">
        <v>8609</v>
      </c>
      <c r="L3185" s="149" t="s">
        <v>712</v>
      </c>
      <c r="M3185" s="151">
        <v>1440.72</v>
      </c>
    </row>
    <row r="3186" spans="1:13" s="149" customFormat="1" x14ac:dyDescent="0.25">
      <c r="A3186" s="149" t="s">
        <v>7640</v>
      </c>
      <c r="B3186" s="149" t="s">
        <v>713</v>
      </c>
      <c r="C3186" s="149">
        <v>11</v>
      </c>
      <c r="D3186" s="149">
        <v>210</v>
      </c>
      <c r="E3186" s="149">
        <v>0</v>
      </c>
      <c r="F3186" s="149">
        <v>672020</v>
      </c>
      <c r="G3186" s="149">
        <v>53420</v>
      </c>
      <c r="H3186" s="150" t="str">
        <f t="shared" si="147"/>
        <v>5</v>
      </c>
      <c r="I3186" s="150" t="str">
        <f t="shared" si="148"/>
        <v>53</v>
      </c>
      <c r="J3186" s="150" t="str">
        <f t="shared" si="149"/>
        <v>534</v>
      </c>
      <c r="K3186" s="150" t="s">
        <v>8610</v>
      </c>
      <c r="L3186" s="149" t="s">
        <v>632</v>
      </c>
      <c r="M3186" s="151">
        <v>27056.86</v>
      </c>
    </row>
    <row r="3187" spans="1:13" s="149" customFormat="1" x14ac:dyDescent="0.25">
      <c r="A3187" s="149" t="s">
        <v>7640</v>
      </c>
      <c r="B3187" s="149" t="s">
        <v>714</v>
      </c>
      <c r="C3187" s="149">
        <v>11</v>
      </c>
      <c r="D3187" s="149">
        <v>210</v>
      </c>
      <c r="E3187" s="149">
        <v>0</v>
      </c>
      <c r="F3187" s="149">
        <v>672020</v>
      </c>
      <c r="G3187" s="149">
        <v>53501</v>
      </c>
      <c r="H3187" s="150" t="str">
        <f t="shared" si="147"/>
        <v>5</v>
      </c>
      <c r="I3187" s="150" t="str">
        <f t="shared" si="148"/>
        <v>53</v>
      </c>
      <c r="J3187" s="150" t="str">
        <f t="shared" si="149"/>
        <v>535</v>
      </c>
      <c r="K3187" s="150" t="s">
        <v>8611</v>
      </c>
      <c r="L3187" s="149" t="s">
        <v>715</v>
      </c>
      <c r="M3187" s="151">
        <v>998.14</v>
      </c>
    </row>
    <row r="3188" spans="1:13" s="149" customFormat="1" x14ac:dyDescent="0.25">
      <c r="A3188" s="149" t="s">
        <v>7640</v>
      </c>
      <c r="B3188" s="149" t="s">
        <v>716</v>
      </c>
      <c r="C3188" s="149">
        <v>11</v>
      </c>
      <c r="D3188" s="149">
        <v>210</v>
      </c>
      <c r="E3188" s="149">
        <v>0</v>
      </c>
      <c r="F3188" s="149">
        <v>672020</v>
      </c>
      <c r="G3188" s="149">
        <v>53520</v>
      </c>
      <c r="H3188" s="150" t="str">
        <f t="shared" si="147"/>
        <v>5</v>
      </c>
      <c r="I3188" s="150" t="str">
        <f t="shared" si="148"/>
        <v>53</v>
      </c>
      <c r="J3188" s="150" t="str">
        <f t="shared" si="149"/>
        <v>535</v>
      </c>
      <c r="K3188" s="150" t="s">
        <v>8612</v>
      </c>
      <c r="L3188" s="149" t="s">
        <v>717</v>
      </c>
      <c r="M3188" s="151">
        <v>50.11</v>
      </c>
    </row>
    <row r="3189" spans="1:13" s="149" customFormat="1" x14ac:dyDescent="0.25">
      <c r="A3189" s="149" t="s">
        <v>7640</v>
      </c>
      <c r="B3189" s="149" t="s">
        <v>718</v>
      </c>
      <c r="C3189" s="149">
        <v>11</v>
      </c>
      <c r="D3189" s="149">
        <v>210</v>
      </c>
      <c r="E3189" s="149">
        <v>0</v>
      </c>
      <c r="F3189" s="149">
        <v>672020</v>
      </c>
      <c r="G3189" s="149">
        <v>53620</v>
      </c>
      <c r="H3189" s="150" t="str">
        <f t="shared" si="147"/>
        <v>5</v>
      </c>
      <c r="I3189" s="150" t="str">
        <f t="shared" si="148"/>
        <v>53</v>
      </c>
      <c r="J3189" s="150" t="str">
        <f t="shared" si="149"/>
        <v>536</v>
      </c>
      <c r="K3189" s="150" t="s">
        <v>8613</v>
      </c>
      <c r="L3189" s="149" t="s">
        <v>719</v>
      </c>
      <c r="M3189" s="151">
        <v>1894.3</v>
      </c>
    </row>
    <row r="3190" spans="1:13" s="149" customFormat="1" x14ac:dyDescent="0.25">
      <c r="A3190" s="149" t="s">
        <v>7640</v>
      </c>
      <c r="B3190" s="149" t="s">
        <v>720</v>
      </c>
      <c r="C3190" s="149">
        <v>11</v>
      </c>
      <c r="D3190" s="149">
        <v>210</v>
      </c>
      <c r="E3190" s="149">
        <v>0</v>
      </c>
      <c r="F3190" s="149">
        <v>672020</v>
      </c>
      <c r="G3190" s="149">
        <v>53900</v>
      </c>
      <c r="H3190" s="150" t="str">
        <f t="shared" si="147"/>
        <v>5</v>
      </c>
      <c r="I3190" s="150" t="str">
        <f t="shared" si="148"/>
        <v>53</v>
      </c>
      <c r="J3190" s="150" t="str">
        <f t="shared" si="149"/>
        <v>539</v>
      </c>
      <c r="K3190" s="150" t="s">
        <v>8614</v>
      </c>
      <c r="L3190" s="149" t="s">
        <v>721</v>
      </c>
      <c r="M3190" s="151">
        <v>0</v>
      </c>
    </row>
    <row r="3191" spans="1:13" s="149" customFormat="1" x14ac:dyDescent="0.25">
      <c r="A3191" s="149" t="s">
        <v>7640</v>
      </c>
      <c r="B3191" s="149" t="s">
        <v>722</v>
      </c>
      <c r="C3191" s="149">
        <v>11</v>
      </c>
      <c r="D3191" s="149">
        <v>210</v>
      </c>
      <c r="E3191" s="149">
        <v>0</v>
      </c>
      <c r="F3191" s="149">
        <v>672020</v>
      </c>
      <c r="G3191" s="149">
        <v>53904</v>
      </c>
      <c r="H3191" s="150" t="str">
        <f t="shared" si="147"/>
        <v>5</v>
      </c>
      <c r="I3191" s="150" t="str">
        <f t="shared" si="148"/>
        <v>53</v>
      </c>
      <c r="J3191" s="150" t="str">
        <f t="shared" si="149"/>
        <v>539</v>
      </c>
      <c r="K3191" s="150" t="s">
        <v>8615</v>
      </c>
      <c r="L3191" s="149" t="s">
        <v>723</v>
      </c>
      <c r="M3191" s="151">
        <v>-182214</v>
      </c>
    </row>
    <row r="3192" spans="1:13" s="149" customFormat="1" x14ac:dyDescent="0.25">
      <c r="A3192" s="149" t="s">
        <v>7640</v>
      </c>
      <c r="B3192" s="149" t="s">
        <v>724</v>
      </c>
      <c r="C3192" s="149">
        <v>11</v>
      </c>
      <c r="D3192" s="149">
        <v>210</v>
      </c>
      <c r="E3192" s="149">
        <v>0</v>
      </c>
      <c r="F3192" s="149">
        <v>672020</v>
      </c>
      <c r="G3192" s="149">
        <v>54300</v>
      </c>
      <c r="H3192" s="150" t="str">
        <f t="shared" si="147"/>
        <v>5</v>
      </c>
      <c r="I3192" s="150" t="str">
        <f t="shared" si="148"/>
        <v>54</v>
      </c>
      <c r="J3192" s="150" t="str">
        <f t="shared" si="149"/>
        <v>543</v>
      </c>
      <c r="K3192" s="150" t="s">
        <v>7922</v>
      </c>
      <c r="L3192" s="149" t="s">
        <v>725</v>
      </c>
      <c r="M3192" s="151">
        <v>124.53</v>
      </c>
    </row>
    <row r="3193" spans="1:13" s="149" customFormat="1" x14ac:dyDescent="0.25">
      <c r="A3193" s="149" t="s">
        <v>7640</v>
      </c>
      <c r="B3193" s="149" t="s">
        <v>726</v>
      </c>
      <c r="C3193" s="149">
        <v>11</v>
      </c>
      <c r="D3193" s="149">
        <v>210</v>
      </c>
      <c r="E3193" s="149">
        <v>0</v>
      </c>
      <c r="F3193" s="149">
        <v>672020</v>
      </c>
      <c r="G3193" s="149">
        <v>55105</v>
      </c>
      <c r="H3193" s="150" t="str">
        <f t="shared" si="147"/>
        <v>5</v>
      </c>
      <c r="I3193" s="150" t="str">
        <f t="shared" si="148"/>
        <v>55</v>
      </c>
      <c r="J3193" s="150" t="str">
        <f t="shared" si="149"/>
        <v>551</v>
      </c>
      <c r="K3193" s="150" t="s">
        <v>8006</v>
      </c>
      <c r="L3193" s="149" t="s">
        <v>727</v>
      </c>
      <c r="M3193" s="151">
        <v>4611</v>
      </c>
    </row>
    <row r="3194" spans="1:13" s="149" customFormat="1" x14ac:dyDescent="0.25">
      <c r="A3194" s="149" t="s">
        <v>7640</v>
      </c>
      <c r="B3194" s="149" t="s">
        <v>728</v>
      </c>
      <c r="C3194" s="149">
        <v>11</v>
      </c>
      <c r="D3194" s="149">
        <v>210</v>
      </c>
      <c r="E3194" s="149">
        <v>0</v>
      </c>
      <c r="F3194" s="149">
        <v>672020</v>
      </c>
      <c r="G3194" s="149">
        <v>55125</v>
      </c>
      <c r="H3194" s="150" t="str">
        <f t="shared" si="147"/>
        <v>5</v>
      </c>
      <c r="I3194" s="150" t="str">
        <f t="shared" si="148"/>
        <v>55</v>
      </c>
      <c r="J3194" s="150" t="str">
        <f t="shared" si="149"/>
        <v>551</v>
      </c>
      <c r="K3194" s="150" t="s">
        <v>8029</v>
      </c>
      <c r="L3194" s="149" t="s">
        <v>729</v>
      </c>
      <c r="M3194" s="151">
        <v>550</v>
      </c>
    </row>
    <row r="3195" spans="1:13" s="149" customFormat="1" x14ac:dyDescent="0.25">
      <c r="A3195" s="149" t="s">
        <v>7640</v>
      </c>
      <c r="B3195" s="149" t="s">
        <v>730</v>
      </c>
      <c r="C3195" s="149">
        <v>11</v>
      </c>
      <c r="D3195" s="149">
        <v>210</v>
      </c>
      <c r="E3195" s="149">
        <v>0</v>
      </c>
      <c r="F3195" s="149">
        <v>672020</v>
      </c>
      <c r="G3195" s="149">
        <v>55300</v>
      </c>
      <c r="H3195" s="150" t="str">
        <f t="shared" si="147"/>
        <v>5</v>
      </c>
      <c r="I3195" s="150" t="str">
        <f t="shared" si="148"/>
        <v>55</v>
      </c>
      <c r="J3195" s="150" t="str">
        <f t="shared" si="149"/>
        <v>553</v>
      </c>
      <c r="K3195" s="150" t="s">
        <v>8083</v>
      </c>
      <c r="L3195" s="149" t="s">
        <v>731</v>
      </c>
      <c r="M3195" s="151">
        <v>8542.67</v>
      </c>
    </row>
    <row r="3196" spans="1:13" s="149" customFormat="1" x14ac:dyDescent="0.25">
      <c r="A3196" s="149" t="s">
        <v>7640</v>
      </c>
      <c r="B3196" s="149" t="s">
        <v>732</v>
      </c>
      <c r="C3196" s="149">
        <v>11</v>
      </c>
      <c r="D3196" s="149">
        <v>210</v>
      </c>
      <c r="E3196" s="149">
        <v>0</v>
      </c>
      <c r="F3196" s="149">
        <v>672020</v>
      </c>
      <c r="G3196" s="149">
        <v>55400</v>
      </c>
      <c r="H3196" s="150" t="str">
        <f t="shared" si="147"/>
        <v>5</v>
      </c>
      <c r="I3196" s="150" t="str">
        <f t="shared" si="148"/>
        <v>55</v>
      </c>
      <c r="J3196" s="150" t="str">
        <f t="shared" si="149"/>
        <v>554</v>
      </c>
      <c r="K3196" s="150" t="s">
        <v>8113</v>
      </c>
      <c r="L3196" s="149" t="s">
        <v>733</v>
      </c>
      <c r="M3196" s="151">
        <v>341507.23</v>
      </c>
    </row>
    <row r="3197" spans="1:13" s="149" customFormat="1" x14ac:dyDescent="0.25">
      <c r="A3197" s="149" t="s">
        <v>7640</v>
      </c>
      <c r="B3197" s="149" t="s">
        <v>734</v>
      </c>
      <c r="C3197" s="149">
        <v>11</v>
      </c>
      <c r="D3197" s="149">
        <v>210</v>
      </c>
      <c r="E3197" s="149">
        <v>0</v>
      </c>
      <c r="F3197" s="149">
        <v>672020</v>
      </c>
      <c r="G3197" s="149">
        <v>55550</v>
      </c>
      <c r="H3197" s="150" t="str">
        <f t="shared" si="147"/>
        <v>5</v>
      </c>
      <c r="I3197" s="150" t="str">
        <f t="shared" si="148"/>
        <v>55</v>
      </c>
      <c r="J3197" s="150" t="str">
        <f t="shared" si="149"/>
        <v>555</v>
      </c>
      <c r="K3197" s="150" t="s">
        <v>8129</v>
      </c>
      <c r="L3197" s="149" t="s">
        <v>735</v>
      </c>
      <c r="M3197" s="151">
        <v>138.38999999999999</v>
      </c>
    </row>
    <row r="3198" spans="1:13" s="149" customFormat="1" x14ac:dyDescent="0.25">
      <c r="A3198" s="149" t="s">
        <v>7640</v>
      </c>
      <c r="B3198" s="149" t="s">
        <v>736</v>
      </c>
      <c r="C3198" s="149">
        <v>11</v>
      </c>
      <c r="D3198" s="149">
        <v>210</v>
      </c>
      <c r="E3198" s="149">
        <v>0</v>
      </c>
      <c r="F3198" s="149">
        <v>672020</v>
      </c>
      <c r="G3198" s="149">
        <v>55600</v>
      </c>
      <c r="H3198" s="150" t="str">
        <f t="shared" si="147"/>
        <v>5</v>
      </c>
      <c r="I3198" s="150" t="str">
        <f t="shared" si="148"/>
        <v>55</v>
      </c>
      <c r="J3198" s="150" t="str">
        <f t="shared" si="149"/>
        <v>556</v>
      </c>
      <c r="K3198" s="150" t="s">
        <v>8148</v>
      </c>
      <c r="L3198" s="149" t="s">
        <v>737</v>
      </c>
      <c r="M3198" s="151">
        <v>41396.97</v>
      </c>
    </row>
    <row r="3199" spans="1:13" s="149" customFormat="1" x14ac:dyDescent="0.25">
      <c r="A3199" s="149" t="s">
        <v>7640</v>
      </c>
      <c r="B3199" s="149" t="s">
        <v>738</v>
      </c>
      <c r="C3199" s="149">
        <v>11</v>
      </c>
      <c r="D3199" s="149">
        <v>210</v>
      </c>
      <c r="E3199" s="149">
        <v>0</v>
      </c>
      <c r="F3199" s="149">
        <v>672020</v>
      </c>
      <c r="G3199" s="149">
        <v>55635</v>
      </c>
      <c r="H3199" s="150" t="str">
        <f t="shared" si="147"/>
        <v>5</v>
      </c>
      <c r="I3199" s="150" t="str">
        <f t="shared" si="148"/>
        <v>55</v>
      </c>
      <c r="J3199" s="150" t="str">
        <f t="shared" si="149"/>
        <v>556</v>
      </c>
      <c r="K3199" s="150" t="s">
        <v>8277</v>
      </c>
      <c r="L3199" s="149" t="s">
        <v>739</v>
      </c>
      <c r="M3199" s="151">
        <v>30839.98</v>
      </c>
    </row>
    <row r="3200" spans="1:13" s="149" customFormat="1" x14ac:dyDescent="0.25">
      <c r="A3200" s="149" t="s">
        <v>7640</v>
      </c>
      <c r="B3200" s="149" t="s">
        <v>740</v>
      </c>
      <c r="C3200" s="149">
        <v>11</v>
      </c>
      <c r="D3200" s="149">
        <v>210</v>
      </c>
      <c r="E3200" s="149">
        <v>0</v>
      </c>
      <c r="F3200" s="149">
        <v>672020</v>
      </c>
      <c r="G3200" s="149">
        <v>55650</v>
      </c>
      <c r="H3200" s="150" t="str">
        <f t="shared" si="147"/>
        <v>5</v>
      </c>
      <c r="I3200" s="150" t="str">
        <f t="shared" si="148"/>
        <v>55</v>
      </c>
      <c r="J3200" s="150" t="str">
        <f t="shared" si="149"/>
        <v>556</v>
      </c>
      <c r="K3200" s="150" t="s">
        <v>8287</v>
      </c>
      <c r="L3200" s="149" t="s">
        <v>741</v>
      </c>
      <c r="M3200" s="151">
        <v>2847.73</v>
      </c>
    </row>
    <row r="3201" spans="1:13" s="149" customFormat="1" x14ac:dyDescent="0.25">
      <c r="A3201" s="149" t="s">
        <v>7640</v>
      </c>
      <c r="B3201" s="149" t="s">
        <v>742</v>
      </c>
      <c r="C3201" s="149">
        <v>11</v>
      </c>
      <c r="D3201" s="149">
        <v>210</v>
      </c>
      <c r="E3201" s="149">
        <v>0</v>
      </c>
      <c r="F3201" s="149">
        <v>672020</v>
      </c>
      <c r="G3201" s="149">
        <v>55663</v>
      </c>
      <c r="H3201" s="150" t="str">
        <f t="shared" si="147"/>
        <v>5</v>
      </c>
      <c r="I3201" s="150" t="str">
        <f t="shared" si="148"/>
        <v>55</v>
      </c>
      <c r="J3201" s="150" t="str">
        <f t="shared" si="149"/>
        <v>556</v>
      </c>
      <c r="K3201" s="150" t="s">
        <v>8327</v>
      </c>
      <c r="L3201" s="149" t="s">
        <v>743</v>
      </c>
      <c r="M3201" s="151">
        <v>10249.82</v>
      </c>
    </row>
    <row r="3202" spans="1:13" s="149" customFormat="1" x14ac:dyDescent="0.25">
      <c r="A3202" s="149" t="s">
        <v>7640</v>
      </c>
      <c r="B3202" s="149" t="s">
        <v>744</v>
      </c>
      <c r="C3202" s="149">
        <v>11</v>
      </c>
      <c r="D3202" s="149">
        <v>210</v>
      </c>
      <c r="E3202" s="149">
        <v>0</v>
      </c>
      <c r="F3202" s="149">
        <v>672020</v>
      </c>
      <c r="G3202" s="149">
        <v>55700</v>
      </c>
      <c r="H3202" s="150" t="str">
        <f t="shared" si="147"/>
        <v>5</v>
      </c>
      <c r="I3202" s="150" t="str">
        <f t="shared" si="148"/>
        <v>55</v>
      </c>
      <c r="J3202" s="150" t="str">
        <f t="shared" si="149"/>
        <v>557</v>
      </c>
      <c r="K3202" s="150" t="s">
        <v>8328</v>
      </c>
      <c r="L3202" s="149" t="s">
        <v>745</v>
      </c>
      <c r="M3202" s="151">
        <v>212666.25</v>
      </c>
    </row>
    <row r="3203" spans="1:13" s="149" customFormat="1" x14ac:dyDescent="0.25">
      <c r="A3203" s="149" t="s">
        <v>7640</v>
      </c>
      <c r="B3203" s="149" t="s">
        <v>746</v>
      </c>
      <c r="C3203" s="149">
        <v>11</v>
      </c>
      <c r="D3203" s="149">
        <v>210</v>
      </c>
      <c r="E3203" s="149">
        <v>0</v>
      </c>
      <c r="F3203" s="149">
        <v>672020</v>
      </c>
      <c r="G3203" s="149">
        <v>55800</v>
      </c>
      <c r="H3203" s="150" t="str">
        <f t="shared" ref="H3203:H3266" si="150">LEFT(G3203,1)</f>
        <v>5</v>
      </c>
      <c r="I3203" s="150" t="str">
        <f t="shared" ref="I3203:I3266" si="151">LEFT(G3203,2)</f>
        <v>55</v>
      </c>
      <c r="J3203" s="150" t="str">
        <f t="shared" ref="J3203:J3266" si="152">LEFT(G3203,3)</f>
        <v>558</v>
      </c>
      <c r="K3203" s="150" t="s">
        <v>8335</v>
      </c>
      <c r="L3203" s="149" t="s">
        <v>747</v>
      </c>
      <c r="M3203" s="151">
        <v>7443.49</v>
      </c>
    </row>
    <row r="3204" spans="1:13" s="149" customFormat="1" x14ac:dyDescent="0.25">
      <c r="A3204" s="149" t="s">
        <v>7640</v>
      </c>
      <c r="B3204" s="149" t="s">
        <v>748</v>
      </c>
      <c r="C3204" s="149">
        <v>11</v>
      </c>
      <c r="D3204" s="149">
        <v>210</v>
      </c>
      <c r="E3204" s="149">
        <v>0</v>
      </c>
      <c r="F3204" s="149">
        <v>672020</v>
      </c>
      <c r="G3204" s="149">
        <v>55820</v>
      </c>
      <c r="H3204" s="150" t="str">
        <f t="shared" si="150"/>
        <v>5</v>
      </c>
      <c r="I3204" s="150" t="str">
        <f t="shared" si="151"/>
        <v>55</v>
      </c>
      <c r="J3204" s="150" t="str">
        <f t="shared" si="152"/>
        <v>558</v>
      </c>
      <c r="K3204" s="150" t="s">
        <v>8341</v>
      </c>
      <c r="L3204" s="149" t="s">
        <v>749</v>
      </c>
      <c r="M3204" s="151">
        <v>18761.7</v>
      </c>
    </row>
    <row r="3205" spans="1:13" s="149" customFormat="1" x14ac:dyDescent="0.25">
      <c r="A3205" s="149" t="s">
        <v>7640</v>
      </c>
      <c r="B3205" s="149" t="s">
        <v>750</v>
      </c>
      <c r="C3205" s="149">
        <v>11</v>
      </c>
      <c r="D3205" s="149">
        <v>210</v>
      </c>
      <c r="E3205" s="149">
        <v>0</v>
      </c>
      <c r="F3205" s="149">
        <v>672020</v>
      </c>
      <c r="G3205" s="149">
        <v>55835</v>
      </c>
      <c r="H3205" s="150" t="str">
        <f t="shared" si="150"/>
        <v>5</v>
      </c>
      <c r="I3205" s="150" t="str">
        <f t="shared" si="151"/>
        <v>55</v>
      </c>
      <c r="J3205" s="150" t="str">
        <f t="shared" si="152"/>
        <v>558</v>
      </c>
      <c r="K3205" s="150" t="s">
        <v>8352</v>
      </c>
      <c r="L3205" s="149" t="s">
        <v>751</v>
      </c>
      <c r="M3205" s="151">
        <v>98.2</v>
      </c>
    </row>
    <row r="3206" spans="1:13" s="149" customFormat="1" x14ac:dyDescent="0.25">
      <c r="A3206" s="149" t="s">
        <v>7640</v>
      </c>
      <c r="B3206" s="149" t="s">
        <v>752</v>
      </c>
      <c r="C3206" s="149">
        <v>11</v>
      </c>
      <c r="D3206" s="149">
        <v>210</v>
      </c>
      <c r="E3206" s="149">
        <v>0</v>
      </c>
      <c r="F3206" s="149">
        <v>672020</v>
      </c>
      <c r="G3206" s="149">
        <v>55861</v>
      </c>
      <c r="H3206" s="150" t="str">
        <f t="shared" si="150"/>
        <v>5</v>
      </c>
      <c r="I3206" s="150" t="str">
        <f t="shared" si="151"/>
        <v>55</v>
      </c>
      <c r="J3206" s="150" t="str">
        <f t="shared" si="152"/>
        <v>558</v>
      </c>
      <c r="K3206" s="150" t="s">
        <v>8353</v>
      </c>
      <c r="L3206" s="149" t="s">
        <v>753</v>
      </c>
      <c r="M3206" s="151">
        <v>38209.199999999997</v>
      </c>
    </row>
    <row r="3207" spans="1:13" s="149" customFormat="1" x14ac:dyDescent="0.25">
      <c r="A3207" s="149" t="s">
        <v>7640</v>
      </c>
      <c r="B3207" s="149" t="s">
        <v>754</v>
      </c>
      <c r="C3207" s="149">
        <v>11</v>
      </c>
      <c r="D3207" s="149">
        <v>210</v>
      </c>
      <c r="E3207" s="149">
        <v>0</v>
      </c>
      <c r="F3207" s="149">
        <v>672020</v>
      </c>
      <c r="G3207" s="149">
        <v>55862</v>
      </c>
      <c r="H3207" s="150" t="str">
        <f t="shared" si="150"/>
        <v>5</v>
      </c>
      <c r="I3207" s="150" t="str">
        <f t="shared" si="151"/>
        <v>55</v>
      </c>
      <c r="J3207" s="150" t="str">
        <f t="shared" si="152"/>
        <v>558</v>
      </c>
      <c r="K3207" s="150" t="s">
        <v>8354</v>
      </c>
      <c r="L3207" s="149" t="s">
        <v>755</v>
      </c>
      <c r="M3207" s="151">
        <v>0</v>
      </c>
    </row>
    <row r="3208" spans="1:13" s="149" customFormat="1" x14ac:dyDescent="0.25">
      <c r="A3208" s="149" t="s">
        <v>7640</v>
      </c>
      <c r="B3208" s="149" t="s">
        <v>756</v>
      </c>
      <c r="C3208" s="149">
        <v>11</v>
      </c>
      <c r="D3208" s="149">
        <v>210</v>
      </c>
      <c r="E3208" s="149">
        <v>0</v>
      </c>
      <c r="F3208" s="149">
        <v>672020</v>
      </c>
      <c r="G3208" s="149">
        <v>57300</v>
      </c>
      <c r="H3208" s="150" t="str">
        <f t="shared" si="150"/>
        <v>5</v>
      </c>
      <c r="I3208" s="150" t="str">
        <f t="shared" si="151"/>
        <v>57</v>
      </c>
      <c r="J3208" s="150" t="str">
        <f t="shared" si="152"/>
        <v>573</v>
      </c>
      <c r="K3208" s="150" t="s">
        <v>8388</v>
      </c>
      <c r="L3208" s="149" t="s">
        <v>757</v>
      </c>
      <c r="M3208" s="151">
        <v>0</v>
      </c>
    </row>
    <row r="3209" spans="1:13" s="149" customFormat="1" x14ac:dyDescent="0.25">
      <c r="A3209" s="149" t="s">
        <v>7640</v>
      </c>
      <c r="B3209" s="149" t="s">
        <v>758</v>
      </c>
      <c r="C3209" s="149">
        <v>11</v>
      </c>
      <c r="D3209" s="149">
        <v>210</v>
      </c>
      <c r="E3209" s="149">
        <v>0</v>
      </c>
      <c r="F3209" s="149">
        <v>672020</v>
      </c>
      <c r="G3209" s="149">
        <v>57350</v>
      </c>
      <c r="H3209" s="150" t="str">
        <f t="shared" si="150"/>
        <v>5</v>
      </c>
      <c r="I3209" s="150" t="str">
        <f t="shared" si="151"/>
        <v>57</v>
      </c>
      <c r="J3209" s="150" t="str">
        <f t="shared" si="152"/>
        <v>573</v>
      </c>
      <c r="K3209" s="150" t="s">
        <v>8389</v>
      </c>
      <c r="L3209" s="149" t="s">
        <v>759</v>
      </c>
      <c r="M3209" s="151">
        <v>-311367.73</v>
      </c>
    </row>
    <row r="3210" spans="1:13" s="149" customFormat="1" x14ac:dyDescent="0.25">
      <c r="A3210" s="149" t="s">
        <v>7640</v>
      </c>
      <c r="B3210" s="149" t="s">
        <v>760</v>
      </c>
      <c r="C3210" s="149">
        <v>11</v>
      </c>
      <c r="D3210" s="149">
        <v>210</v>
      </c>
      <c r="E3210" s="149">
        <v>0</v>
      </c>
      <c r="F3210" s="149">
        <v>672020</v>
      </c>
      <c r="G3210" s="149">
        <v>57351</v>
      </c>
      <c r="H3210" s="150" t="str">
        <f t="shared" si="150"/>
        <v>5</v>
      </c>
      <c r="I3210" s="150" t="str">
        <f t="shared" si="151"/>
        <v>57</v>
      </c>
      <c r="J3210" s="150" t="str">
        <f t="shared" si="152"/>
        <v>573</v>
      </c>
      <c r="K3210" s="150" t="s">
        <v>8391</v>
      </c>
      <c r="L3210" s="149" t="s">
        <v>761</v>
      </c>
      <c r="M3210" s="151">
        <v>-1765</v>
      </c>
    </row>
    <row r="3211" spans="1:13" s="149" customFormat="1" x14ac:dyDescent="0.25">
      <c r="A3211" s="149" t="s">
        <v>7640</v>
      </c>
      <c r="B3211" s="149" t="s">
        <v>762</v>
      </c>
      <c r="C3211" s="149">
        <v>11</v>
      </c>
      <c r="D3211" s="149">
        <v>210</v>
      </c>
      <c r="E3211" s="149">
        <v>0</v>
      </c>
      <c r="F3211" s="149">
        <v>672040</v>
      </c>
      <c r="G3211" s="149">
        <v>52105</v>
      </c>
      <c r="H3211" s="150" t="str">
        <f t="shared" si="150"/>
        <v>5</v>
      </c>
      <c r="I3211" s="150" t="str">
        <f t="shared" si="151"/>
        <v>52</v>
      </c>
      <c r="J3211" s="150" t="str">
        <f t="shared" si="152"/>
        <v>521</v>
      </c>
      <c r="K3211" s="150" t="s">
        <v>8616</v>
      </c>
      <c r="L3211" s="149" t="s">
        <v>763</v>
      </c>
      <c r="M3211" s="151">
        <v>103906.2</v>
      </c>
    </row>
    <row r="3212" spans="1:13" s="149" customFormat="1" x14ac:dyDescent="0.25">
      <c r="A3212" s="149" t="s">
        <v>7640</v>
      </c>
      <c r="B3212" s="149" t="s">
        <v>764</v>
      </c>
      <c r="C3212" s="149">
        <v>11</v>
      </c>
      <c r="D3212" s="149">
        <v>210</v>
      </c>
      <c r="E3212" s="149">
        <v>0</v>
      </c>
      <c r="F3212" s="149">
        <v>672040</v>
      </c>
      <c r="G3212" s="149">
        <v>52130</v>
      </c>
      <c r="H3212" s="150" t="str">
        <f t="shared" si="150"/>
        <v>5</v>
      </c>
      <c r="I3212" s="150" t="str">
        <f t="shared" si="151"/>
        <v>52</v>
      </c>
      <c r="J3212" s="150" t="str">
        <f t="shared" si="152"/>
        <v>521</v>
      </c>
      <c r="K3212" s="150" t="s">
        <v>8617</v>
      </c>
      <c r="L3212" s="149" t="s">
        <v>765</v>
      </c>
      <c r="M3212" s="151">
        <v>10777.1</v>
      </c>
    </row>
    <row r="3213" spans="1:13" s="149" customFormat="1" x14ac:dyDescent="0.25">
      <c r="A3213" s="149" t="s">
        <v>7640</v>
      </c>
      <c r="B3213" s="149" t="s">
        <v>766</v>
      </c>
      <c r="C3213" s="149">
        <v>11</v>
      </c>
      <c r="D3213" s="149">
        <v>210</v>
      </c>
      <c r="E3213" s="149">
        <v>0</v>
      </c>
      <c r="F3213" s="149">
        <v>672040</v>
      </c>
      <c r="G3213" s="149">
        <v>52300</v>
      </c>
      <c r="H3213" s="150" t="str">
        <f t="shared" si="150"/>
        <v>5</v>
      </c>
      <c r="I3213" s="150" t="str">
        <f t="shared" si="151"/>
        <v>52</v>
      </c>
      <c r="J3213" s="150" t="str">
        <f t="shared" si="152"/>
        <v>523</v>
      </c>
      <c r="K3213" s="150" t="s">
        <v>7812</v>
      </c>
      <c r="L3213" s="149" t="s">
        <v>767</v>
      </c>
      <c r="M3213" s="151">
        <v>395.08</v>
      </c>
    </row>
    <row r="3214" spans="1:13" s="149" customFormat="1" x14ac:dyDescent="0.25">
      <c r="A3214" s="149" t="s">
        <v>7640</v>
      </c>
      <c r="B3214" s="149" t="s">
        <v>768</v>
      </c>
      <c r="C3214" s="149">
        <v>11</v>
      </c>
      <c r="D3214" s="149">
        <v>210</v>
      </c>
      <c r="E3214" s="149">
        <v>0</v>
      </c>
      <c r="F3214" s="149">
        <v>672040</v>
      </c>
      <c r="G3214" s="149">
        <v>53220</v>
      </c>
      <c r="H3214" s="150" t="str">
        <f t="shared" si="150"/>
        <v>5</v>
      </c>
      <c r="I3214" s="150" t="str">
        <f t="shared" si="151"/>
        <v>53</v>
      </c>
      <c r="J3214" s="150" t="str">
        <f t="shared" si="152"/>
        <v>532</v>
      </c>
      <c r="K3214" s="150" t="s">
        <v>8618</v>
      </c>
      <c r="L3214" s="149" t="s">
        <v>769</v>
      </c>
      <c r="M3214" s="151">
        <v>23650.17</v>
      </c>
    </row>
    <row r="3215" spans="1:13" s="149" customFormat="1" x14ac:dyDescent="0.25">
      <c r="A3215" s="149" t="s">
        <v>7640</v>
      </c>
      <c r="B3215" s="149" t="s">
        <v>770</v>
      </c>
      <c r="C3215" s="149">
        <v>11</v>
      </c>
      <c r="D3215" s="149">
        <v>210</v>
      </c>
      <c r="E3215" s="149">
        <v>0</v>
      </c>
      <c r="F3215" s="149">
        <v>672040</v>
      </c>
      <c r="G3215" s="149">
        <v>53320</v>
      </c>
      <c r="H3215" s="150" t="str">
        <f t="shared" si="150"/>
        <v>5</v>
      </c>
      <c r="I3215" s="150" t="str">
        <f t="shared" si="151"/>
        <v>53</v>
      </c>
      <c r="J3215" s="150" t="str">
        <f t="shared" si="152"/>
        <v>533</v>
      </c>
      <c r="K3215" s="150" t="s">
        <v>8619</v>
      </c>
      <c r="L3215" s="149" t="s">
        <v>771</v>
      </c>
      <c r="M3215" s="151">
        <v>7106.97</v>
      </c>
    </row>
    <row r="3216" spans="1:13" s="149" customFormat="1" x14ac:dyDescent="0.25">
      <c r="A3216" s="149" t="s">
        <v>7640</v>
      </c>
      <c r="B3216" s="149" t="s">
        <v>772</v>
      </c>
      <c r="C3216" s="149">
        <v>11</v>
      </c>
      <c r="D3216" s="149">
        <v>210</v>
      </c>
      <c r="E3216" s="149">
        <v>0</v>
      </c>
      <c r="F3216" s="149">
        <v>672040</v>
      </c>
      <c r="G3216" s="149">
        <v>53340</v>
      </c>
      <c r="H3216" s="150" t="str">
        <f t="shared" si="150"/>
        <v>5</v>
      </c>
      <c r="I3216" s="150" t="str">
        <f t="shared" si="151"/>
        <v>53</v>
      </c>
      <c r="J3216" s="150" t="str">
        <f t="shared" si="152"/>
        <v>533</v>
      </c>
      <c r="K3216" s="150" t="s">
        <v>8620</v>
      </c>
      <c r="L3216" s="149" t="s">
        <v>773</v>
      </c>
      <c r="M3216" s="151">
        <v>1662.17</v>
      </c>
    </row>
    <row r="3217" spans="1:13" s="149" customFormat="1" x14ac:dyDescent="0.25">
      <c r="A3217" s="149" t="s">
        <v>7640</v>
      </c>
      <c r="B3217" s="149" t="s">
        <v>774</v>
      </c>
      <c r="C3217" s="149">
        <v>11</v>
      </c>
      <c r="D3217" s="149">
        <v>210</v>
      </c>
      <c r="E3217" s="149">
        <v>0</v>
      </c>
      <c r="F3217" s="149">
        <v>672040</v>
      </c>
      <c r="G3217" s="149">
        <v>53420</v>
      </c>
      <c r="H3217" s="150" t="str">
        <f t="shared" si="150"/>
        <v>5</v>
      </c>
      <c r="I3217" s="150" t="str">
        <f t="shared" si="151"/>
        <v>53</v>
      </c>
      <c r="J3217" s="150" t="str">
        <f t="shared" si="152"/>
        <v>534</v>
      </c>
      <c r="K3217" s="150" t="s">
        <v>8621</v>
      </c>
      <c r="L3217" s="149" t="s">
        <v>775</v>
      </c>
      <c r="M3217" s="151">
        <v>38308.300000000003</v>
      </c>
    </row>
    <row r="3218" spans="1:13" s="149" customFormat="1" x14ac:dyDescent="0.25">
      <c r="A3218" s="149" t="s">
        <v>7640</v>
      </c>
      <c r="B3218" s="149" t="s">
        <v>776</v>
      </c>
      <c r="C3218" s="149">
        <v>11</v>
      </c>
      <c r="D3218" s="149">
        <v>210</v>
      </c>
      <c r="E3218" s="149">
        <v>0</v>
      </c>
      <c r="F3218" s="149">
        <v>672040</v>
      </c>
      <c r="G3218" s="149">
        <v>53520</v>
      </c>
      <c r="H3218" s="150" t="str">
        <f t="shared" si="150"/>
        <v>5</v>
      </c>
      <c r="I3218" s="150" t="str">
        <f t="shared" si="151"/>
        <v>53</v>
      </c>
      <c r="J3218" s="150" t="str">
        <f t="shared" si="152"/>
        <v>535</v>
      </c>
      <c r="K3218" s="150" t="s">
        <v>8622</v>
      </c>
      <c r="L3218" s="149" t="s">
        <v>777</v>
      </c>
      <c r="M3218" s="151">
        <v>57.5</v>
      </c>
    </row>
    <row r="3219" spans="1:13" s="149" customFormat="1" x14ac:dyDescent="0.25">
      <c r="A3219" s="149" t="s">
        <v>7640</v>
      </c>
      <c r="B3219" s="149" t="s">
        <v>778</v>
      </c>
      <c r="C3219" s="149">
        <v>11</v>
      </c>
      <c r="D3219" s="149">
        <v>210</v>
      </c>
      <c r="E3219" s="149">
        <v>0</v>
      </c>
      <c r="F3219" s="149">
        <v>672040</v>
      </c>
      <c r="G3219" s="149">
        <v>53620</v>
      </c>
      <c r="H3219" s="150" t="str">
        <f t="shared" si="150"/>
        <v>5</v>
      </c>
      <c r="I3219" s="150" t="str">
        <f t="shared" si="151"/>
        <v>53</v>
      </c>
      <c r="J3219" s="150" t="str">
        <f t="shared" si="152"/>
        <v>536</v>
      </c>
      <c r="K3219" s="150" t="s">
        <v>8623</v>
      </c>
      <c r="L3219" s="149" t="s">
        <v>779</v>
      </c>
      <c r="M3219" s="151">
        <v>2180.88</v>
      </c>
    </row>
    <row r="3220" spans="1:13" s="149" customFormat="1" x14ac:dyDescent="0.25">
      <c r="A3220" s="149" t="s">
        <v>7640</v>
      </c>
      <c r="B3220" s="149" t="s">
        <v>780</v>
      </c>
      <c r="C3220" s="149">
        <v>11</v>
      </c>
      <c r="D3220" s="149">
        <v>210</v>
      </c>
      <c r="E3220" s="149">
        <v>0</v>
      </c>
      <c r="F3220" s="149">
        <v>672040</v>
      </c>
      <c r="G3220" s="149">
        <v>53920</v>
      </c>
      <c r="H3220" s="150" t="str">
        <f t="shared" si="150"/>
        <v>5</v>
      </c>
      <c r="I3220" s="150" t="str">
        <f t="shared" si="151"/>
        <v>53</v>
      </c>
      <c r="J3220" s="150" t="str">
        <f t="shared" si="152"/>
        <v>539</v>
      </c>
      <c r="K3220" s="150" t="s">
        <v>8624</v>
      </c>
      <c r="L3220" s="149" t="s">
        <v>781</v>
      </c>
      <c r="M3220" s="151">
        <v>1800</v>
      </c>
    </row>
    <row r="3221" spans="1:13" s="149" customFormat="1" x14ac:dyDescent="0.25">
      <c r="A3221" s="149" t="s">
        <v>7640</v>
      </c>
      <c r="B3221" s="149" t="s">
        <v>782</v>
      </c>
      <c r="C3221" s="149">
        <v>11</v>
      </c>
      <c r="D3221" s="149">
        <v>210</v>
      </c>
      <c r="E3221" s="149">
        <v>0</v>
      </c>
      <c r="F3221" s="149">
        <v>672040</v>
      </c>
      <c r="G3221" s="149">
        <v>55630</v>
      </c>
      <c r="H3221" s="150" t="str">
        <f t="shared" si="150"/>
        <v>5</v>
      </c>
      <c r="I3221" s="150" t="str">
        <f t="shared" si="151"/>
        <v>55</v>
      </c>
      <c r="J3221" s="150" t="str">
        <f t="shared" si="152"/>
        <v>556</v>
      </c>
      <c r="K3221" s="150" t="s">
        <v>8182</v>
      </c>
      <c r="L3221" s="149" t="s">
        <v>783</v>
      </c>
      <c r="M3221" s="151">
        <v>305.66000000000003</v>
      </c>
    </row>
    <row r="3222" spans="1:13" s="149" customFormat="1" x14ac:dyDescent="0.25">
      <c r="A3222" s="149" t="s">
        <v>7640</v>
      </c>
      <c r="B3222" s="149" t="s">
        <v>784</v>
      </c>
      <c r="C3222" s="149">
        <v>11</v>
      </c>
      <c r="D3222" s="149">
        <v>210</v>
      </c>
      <c r="E3222" s="149">
        <v>0</v>
      </c>
      <c r="F3222" s="149">
        <v>677000</v>
      </c>
      <c r="G3222" s="149">
        <v>52105</v>
      </c>
      <c r="H3222" s="150" t="str">
        <f t="shared" si="150"/>
        <v>5</v>
      </c>
      <c r="I3222" s="150" t="str">
        <f t="shared" si="151"/>
        <v>52</v>
      </c>
      <c r="J3222" s="150" t="str">
        <f t="shared" si="152"/>
        <v>521</v>
      </c>
      <c r="K3222" s="150" t="s">
        <v>8625</v>
      </c>
      <c r="L3222" s="149" t="s">
        <v>785</v>
      </c>
      <c r="M3222" s="151">
        <v>49429.8</v>
      </c>
    </row>
    <row r="3223" spans="1:13" s="149" customFormat="1" x14ac:dyDescent="0.25">
      <c r="A3223" s="149" t="s">
        <v>7640</v>
      </c>
      <c r="B3223" s="149" t="s">
        <v>786</v>
      </c>
      <c r="C3223" s="149">
        <v>11</v>
      </c>
      <c r="D3223" s="149">
        <v>210</v>
      </c>
      <c r="E3223" s="149">
        <v>0</v>
      </c>
      <c r="F3223" s="149">
        <v>677000</v>
      </c>
      <c r="G3223" s="149">
        <v>53220</v>
      </c>
      <c r="H3223" s="150" t="str">
        <f t="shared" si="150"/>
        <v>5</v>
      </c>
      <c r="I3223" s="150" t="str">
        <f t="shared" si="151"/>
        <v>53</v>
      </c>
      <c r="J3223" s="150" t="str">
        <f t="shared" si="152"/>
        <v>532</v>
      </c>
      <c r="K3223" s="150" t="s">
        <v>8626</v>
      </c>
      <c r="L3223" s="149" t="s">
        <v>787</v>
      </c>
      <c r="M3223" s="151">
        <v>10232.5</v>
      </c>
    </row>
    <row r="3224" spans="1:13" s="149" customFormat="1" x14ac:dyDescent="0.25">
      <c r="A3224" s="149" t="s">
        <v>7640</v>
      </c>
      <c r="B3224" s="149" t="s">
        <v>788</v>
      </c>
      <c r="C3224" s="149">
        <v>11</v>
      </c>
      <c r="D3224" s="149">
        <v>210</v>
      </c>
      <c r="E3224" s="149">
        <v>0</v>
      </c>
      <c r="F3224" s="149">
        <v>677000</v>
      </c>
      <c r="G3224" s="149">
        <v>53320</v>
      </c>
      <c r="H3224" s="150" t="str">
        <f t="shared" si="150"/>
        <v>5</v>
      </c>
      <c r="I3224" s="150" t="str">
        <f t="shared" si="151"/>
        <v>53</v>
      </c>
      <c r="J3224" s="150" t="str">
        <f t="shared" si="152"/>
        <v>533</v>
      </c>
      <c r="K3224" s="150" t="s">
        <v>8627</v>
      </c>
      <c r="L3224" s="149" t="s">
        <v>789</v>
      </c>
      <c r="M3224" s="151">
        <v>3032.73</v>
      </c>
    </row>
    <row r="3225" spans="1:13" s="149" customFormat="1" x14ac:dyDescent="0.25">
      <c r="A3225" s="149" t="s">
        <v>7640</v>
      </c>
      <c r="B3225" s="149" t="s">
        <v>790</v>
      </c>
      <c r="C3225" s="149">
        <v>11</v>
      </c>
      <c r="D3225" s="149">
        <v>210</v>
      </c>
      <c r="E3225" s="149">
        <v>0</v>
      </c>
      <c r="F3225" s="149">
        <v>677000</v>
      </c>
      <c r="G3225" s="149">
        <v>53340</v>
      </c>
      <c r="H3225" s="150" t="str">
        <f t="shared" si="150"/>
        <v>5</v>
      </c>
      <c r="I3225" s="150" t="str">
        <f t="shared" si="151"/>
        <v>53</v>
      </c>
      <c r="J3225" s="150" t="str">
        <f t="shared" si="152"/>
        <v>533</v>
      </c>
      <c r="K3225" s="150" t="s">
        <v>8628</v>
      </c>
      <c r="L3225" s="149" t="s">
        <v>791</v>
      </c>
      <c r="M3225" s="151">
        <v>709.28</v>
      </c>
    </row>
    <row r="3226" spans="1:13" s="149" customFormat="1" x14ac:dyDescent="0.25">
      <c r="A3226" s="149" t="s">
        <v>7640</v>
      </c>
      <c r="B3226" s="149" t="s">
        <v>792</v>
      </c>
      <c r="C3226" s="149">
        <v>11</v>
      </c>
      <c r="D3226" s="149">
        <v>210</v>
      </c>
      <c r="E3226" s="149">
        <v>0</v>
      </c>
      <c r="F3226" s="149">
        <v>677000</v>
      </c>
      <c r="G3226" s="149">
        <v>53420</v>
      </c>
      <c r="H3226" s="150" t="str">
        <f t="shared" si="150"/>
        <v>5</v>
      </c>
      <c r="I3226" s="150" t="str">
        <f t="shared" si="151"/>
        <v>53</v>
      </c>
      <c r="J3226" s="150" t="str">
        <f t="shared" si="152"/>
        <v>534</v>
      </c>
      <c r="K3226" s="150" t="s">
        <v>8629</v>
      </c>
      <c r="L3226" s="149" t="s">
        <v>793</v>
      </c>
      <c r="M3226" s="151">
        <v>20615.86</v>
      </c>
    </row>
    <row r="3227" spans="1:13" s="149" customFormat="1" x14ac:dyDescent="0.25">
      <c r="A3227" s="149" t="s">
        <v>7640</v>
      </c>
      <c r="B3227" s="149" t="s">
        <v>794</v>
      </c>
      <c r="C3227" s="149">
        <v>11</v>
      </c>
      <c r="D3227" s="149">
        <v>210</v>
      </c>
      <c r="E3227" s="149">
        <v>0</v>
      </c>
      <c r="F3227" s="149">
        <v>677000</v>
      </c>
      <c r="G3227" s="149">
        <v>53520</v>
      </c>
      <c r="H3227" s="150" t="str">
        <f t="shared" si="150"/>
        <v>5</v>
      </c>
      <c r="I3227" s="150" t="str">
        <f t="shared" si="151"/>
        <v>53</v>
      </c>
      <c r="J3227" s="150" t="str">
        <f t="shared" si="152"/>
        <v>535</v>
      </c>
      <c r="K3227" s="150" t="s">
        <v>8630</v>
      </c>
      <c r="L3227" s="149" t="s">
        <v>795</v>
      </c>
      <c r="M3227" s="151">
        <v>24.71</v>
      </c>
    </row>
    <row r="3228" spans="1:13" s="149" customFormat="1" x14ac:dyDescent="0.25">
      <c r="A3228" s="149" t="s">
        <v>7640</v>
      </c>
      <c r="B3228" s="149" t="s">
        <v>796</v>
      </c>
      <c r="C3228" s="149">
        <v>11</v>
      </c>
      <c r="D3228" s="149">
        <v>210</v>
      </c>
      <c r="E3228" s="149">
        <v>0</v>
      </c>
      <c r="F3228" s="149">
        <v>677000</v>
      </c>
      <c r="G3228" s="149">
        <v>53620</v>
      </c>
      <c r="H3228" s="150" t="str">
        <f t="shared" si="150"/>
        <v>5</v>
      </c>
      <c r="I3228" s="150" t="str">
        <f t="shared" si="151"/>
        <v>53</v>
      </c>
      <c r="J3228" s="150" t="str">
        <f t="shared" si="152"/>
        <v>536</v>
      </c>
      <c r="K3228" s="150" t="s">
        <v>8631</v>
      </c>
      <c r="L3228" s="149" t="s">
        <v>797</v>
      </c>
      <c r="M3228" s="151">
        <v>936.96</v>
      </c>
    </row>
    <row r="3229" spans="1:13" s="149" customFormat="1" x14ac:dyDescent="0.25">
      <c r="A3229" s="149" t="s">
        <v>7640</v>
      </c>
      <c r="B3229" s="149" t="s">
        <v>798</v>
      </c>
      <c r="C3229" s="149">
        <v>11</v>
      </c>
      <c r="D3229" s="149">
        <v>210</v>
      </c>
      <c r="E3229" s="149">
        <v>0</v>
      </c>
      <c r="F3229" s="149">
        <v>677000</v>
      </c>
      <c r="G3229" s="149">
        <v>55650</v>
      </c>
      <c r="H3229" s="150" t="str">
        <f t="shared" si="150"/>
        <v>5</v>
      </c>
      <c r="I3229" s="150" t="str">
        <f t="shared" si="151"/>
        <v>55</v>
      </c>
      <c r="J3229" s="150" t="str">
        <f t="shared" si="152"/>
        <v>556</v>
      </c>
      <c r="K3229" s="150" t="s">
        <v>8288</v>
      </c>
      <c r="L3229" s="149" t="s">
        <v>799</v>
      </c>
      <c r="M3229" s="151">
        <v>36597.43</v>
      </c>
    </row>
    <row r="3230" spans="1:13" s="149" customFormat="1" x14ac:dyDescent="0.25">
      <c r="A3230" s="149" t="s">
        <v>7640</v>
      </c>
      <c r="B3230" s="149" t="s">
        <v>800</v>
      </c>
      <c r="C3230" s="149">
        <v>11</v>
      </c>
      <c r="D3230" s="149">
        <v>210</v>
      </c>
      <c r="E3230" s="149">
        <v>0</v>
      </c>
      <c r="F3230" s="149">
        <v>677020</v>
      </c>
      <c r="G3230" s="149">
        <v>54300</v>
      </c>
      <c r="H3230" s="150" t="str">
        <f t="shared" si="150"/>
        <v>5</v>
      </c>
      <c r="I3230" s="150" t="str">
        <f t="shared" si="151"/>
        <v>54</v>
      </c>
      <c r="J3230" s="150" t="str">
        <f t="shared" si="152"/>
        <v>543</v>
      </c>
      <c r="K3230" s="150" t="s">
        <v>7923</v>
      </c>
      <c r="L3230" s="149" t="s">
        <v>801</v>
      </c>
      <c r="M3230" s="151">
        <v>3404.27</v>
      </c>
    </row>
    <row r="3231" spans="1:13" s="149" customFormat="1" x14ac:dyDescent="0.25">
      <c r="A3231" s="149" t="s">
        <v>7640</v>
      </c>
      <c r="B3231" s="149" t="s">
        <v>802</v>
      </c>
      <c r="C3231" s="149">
        <v>11</v>
      </c>
      <c r="D3231" s="149">
        <v>210</v>
      </c>
      <c r="E3231" s="149">
        <v>0</v>
      </c>
      <c r="F3231" s="149">
        <v>677020</v>
      </c>
      <c r="G3231" s="149">
        <v>55200</v>
      </c>
      <c r="H3231" s="150" t="str">
        <f t="shared" si="150"/>
        <v>5</v>
      </c>
      <c r="I3231" s="150" t="str">
        <f t="shared" si="151"/>
        <v>55</v>
      </c>
      <c r="J3231" s="150" t="str">
        <f t="shared" si="152"/>
        <v>552</v>
      </c>
      <c r="K3231" s="150" t="s">
        <v>8044</v>
      </c>
      <c r="L3231" s="149" t="s">
        <v>803</v>
      </c>
      <c r="M3231" s="151">
        <v>269.5</v>
      </c>
    </row>
    <row r="3232" spans="1:13" s="149" customFormat="1" x14ac:dyDescent="0.25">
      <c r="A3232" s="149" t="s">
        <v>7640</v>
      </c>
      <c r="B3232" s="149" t="s">
        <v>804</v>
      </c>
      <c r="C3232" s="149">
        <v>11</v>
      </c>
      <c r="D3232" s="149">
        <v>210</v>
      </c>
      <c r="E3232" s="149">
        <v>0</v>
      </c>
      <c r="F3232" s="149">
        <v>677020</v>
      </c>
      <c r="G3232" s="149">
        <v>55300</v>
      </c>
      <c r="H3232" s="150" t="str">
        <f t="shared" si="150"/>
        <v>5</v>
      </c>
      <c r="I3232" s="150" t="str">
        <f t="shared" si="151"/>
        <v>55</v>
      </c>
      <c r="J3232" s="150" t="str">
        <f t="shared" si="152"/>
        <v>553</v>
      </c>
      <c r="K3232" s="150" t="s">
        <v>8084</v>
      </c>
      <c r="L3232" s="149" t="s">
        <v>805</v>
      </c>
      <c r="M3232" s="151">
        <v>245</v>
      </c>
    </row>
    <row r="3233" spans="1:13" s="149" customFormat="1" x14ac:dyDescent="0.25">
      <c r="A3233" s="149" t="s">
        <v>7640</v>
      </c>
      <c r="B3233" s="149" t="s">
        <v>806</v>
      </c>
      <c r="C3233" s="149">
        <v>11</v>
      </c>
      <c r="D3233" s="149">
        <v>210</v>
      </c>
      <c r="E3233" s="149">
        <v>0</v>
      </c>
      <c r="F3233" s="149">
        <v>677020</v>
      </c>
      <c r="G3233" s="149">
        <v>55550</v>
      </c>
      <c r="H3233" s="150" t="str">
        <f t="shared" si="150"/>
        <v>5</v>
      </c>
      <c r="I3233" s="150" t="str">
        <f t="shared" si="151"/>
        <v>55</v>
      </c>
      <c r="J3233" s="150" t="str">
        <f t="shared" si="152"/>
        <v>555</v>
      </c>
      <c r="K3233" s="150" t="s">
        <v>8130</v>
      </c>
      <c r="L3233" s="149" t="s">
        <v>807</v>
      </c>
      <c r="M3233" s="151">
        <v>748.75</v>
      </c>
    </row>
    <row r="3234" spans="1:13" s="149" customFormat="1" x14ac:dyDescent="0.25">
      <c r="A3234" s="149" t="s">
        <v>7640</v>
      </c>
      <c r="B3234" s="149" t="s">
        <v>808</v>
      </c>
      <c r="C3234" s="149">
        <v>11</v>
      </c>
      <c r="D3234" s="149">
        <v>210</v>
      </c>
      <c r="E3234" s="149">
        <v>0</v>
      </c>
      <c r="F3234" s="149">
        <v>677020</v>
      </c>
      <c r="G3234" s="149">
        <v>55650</v>
      </c>
      <c r="H3234" s="150" t="str">
        <f t="shared" si="150"/>
        <v>5</v>
      </c>
      <c r="I3234" s="150" t="str">
        <f t="shared" si="151"/>
        <v>55</v>
      </c>
      <c r="J3234" s="150" t="str">
        <f t="shared" si="152"/>
        <v>556</v>
      </c>
      <c r="K3234" s="150" t="s">
        <v>8289</v>
      </c>
      <c r="L3234" s="149" t="s">
        <v>809</v>
      </c>
      <c r="M3234" s="151">
        <v>1337</v>
      </c>
    </row>
    <row r="3235" spans="1:13" s="149" customFormat="1" x14ac:dyDescent="0.25">
      <c r="A3235" s="149" t="s">
        <v>7640</v>
      </c>
      <c r="B3235" s="149" t="s">
        <v>810</v>
      </c>
      <c r="C3235" s="149">
        <v>11</v>
      </c>
      <c r="D3235" s="149">
        <v>210</v>
      </c>
      <c r="E3235" s="149">
        <v>0</v>
      </c>
      <c r="F3235" s="149">
        <v>695000</v>
      </c>
      <c r="G3235" s="149">
        <v>55105</v>
      </c>
      <c r="H3235" s="150" t="str">
        <f t="shared" si="150"/>
        <v>5</v>
      </c>
      <c r="I3235" s="150" t="str">
        <f t="shared" si="151"/>
        <v>55</v>
      </c>
      <c r="J3235" s="150" t="str">
        <f t="shared" si="152"/>
        <v>551</v>
      </c>
      <c r="K3235" s="150" t="s">
        <v>8007</v>
      </c>
      <c r="L3235" s="149" t="s">
        <v>811</v>
      </c>
      <c r="M3235" s="151">
        <v>1994.5</v>
      </c>
    </row>
    <row r="3236" spans="1:13" s="149" customFormat="1" x14ac:dyDescent="0.25">
      <c r="A3236" s="149" t="s">
        <v>7640</v>
      </c>
      <c r="B3236" s="149" t="s">
        <v>812</v>
      </c>
      <c r="C3236" s="149">
        <v>11</v>
      </c>
      <c r="D3236" s="149">
        <v>210</v>
      </c>
      <c r="E3236" s="149">
        <v>0</v>
      </c>
      <c r="F3236" s="149">
        <v>732000</v>
      </c>
      <c r="G3236" s="149">
        <v>57510</v>
      </c>
      <c r="H3236" s="150" t="str">
        <f t="shared" si="150"/>
        <v>5</v>
      </c>
      <c r="I3236" s="150" t="str">
        <f t="shared" si="151"/>
        <v>57</v>
      </c>
      <c r="J3236" s="150" t="str">
        <f t="shared" si="152"/>
        <v>575</v>
      </c>
      <c r="K3236" s="150" t="s">
        <v>8392</v>
      </c>
      <c r="L3236" s="149" t="s">
        <v>813</v>
      </c>
      <c r="M3236" s="151">
        <v>1000</v>
      </c>
    </row>
    <row r="3237" spans="1:13" s="149" customFormat="1" x14ac:dyDescent="0.25">
      <c r="A3237" s="149" t="s">
        <v>7640</v>
      </c>
      <c r="B3237" s="149" t="s">
        <v>9586</v>
      </c>
      <c r="C3237" s="149">
        <v>11</v>
      </c>
      <c r="D3237" s="149">
        <v>210</v>
      </c>
      <c r="E3237" s="149">
        <v>5</v>
      </c>
      <c r="F3237" s="149">
        <v>657000</v>
      </c>
      <c r="G3237" s="149">
        <v>55530</v>
      </c>
      <c r="H3237" s="150" t="str">
        <f t="shared" si="150"/>
        <v>5</v>
      </c>
      <c r="I3237" s="150" t="str">
        <f t="shared" si="151"/>
        <v>55</v>
      </c>
      <c r="J3237" s="150" t="str">
        <f t="shared" si="152"/>
        <v>555</v>
      </c>
      <c r="K3237" s="150" t="s">
        <v>8119</v>
      </c>
      <c r="L3237" s="149" t="s">
        <v>551</v>
      </c>
      <c r="M3237" s="151">
        <v>0</v>
      </c>
    </row>
    <row r="3238" spans="1:13" s="149" customFormat="1" x14ac:dyDescent="0.25">
      <c r="A3238" s="149" t="s">
        <v>7640</v>
      </c>
      <c r="B3238" s="149" t="s">
        <v>814</v>
      </c>
      <c r="C3238" s="149">
        <v>11</v>
      </c>
      <c r="D3238" s="149">
        <v>215</v>
      </c>
      <c r="E3238" s="149">
        <v>0</v>
      </c>
      <c r="F3238" s="149">
        <v>677000</v>
      </c>
      <c r="G3238" s="149">
        <v>55630</v>
      </c>
      <c r="H3238" s="150" t="str">
        <f t="shared" si="150"/>
        <v>5</v>
      </c>
      <c r="I3238" s="150" t="str">
        <f t="shared" si="151"/>
        <v>55</v>
      </c>
      <c r="J3238" s="150" t="str">
        <f t="shared" si="152"/>
        <v>556</v>
      </c>
      <c r="K3238" s="150" t="s">
        <v>8183</v>
      </c>
      <c r="L3238" s="149" t="s">
        <v>815</v>
      </c>
      <c r="M3238" s="151">
        <v>209.55</v>
      </c>
    </row>
    <row r="3239" spans="1:13" s="149" customFormat="1" x14ac:dyDescent="0.25">
      <c r="A3239" s="149" t="s">
        <v>7640</v>
      </c>
      <c r="B3239" s="149" t="s">
        <v>816</v>
      </c>
      <c r="C3239" s="149">
        <v>11</v>
      </c>
      <c r="D3239" s="149">
        <v>220</v>
      </c>
      <c r="E3239" s="149">
        <v>0</v>
      </c>
      <c r="F3239" s="149">
        <v>651000</v>
      </c>
      <c r="G3239" s="149">
        <v>52125</v>
      </c>
      <c r="H3239" s="150" t="str">
        <f t="shared" si="150"/>
        <v>5</v>
      </c>
      <c r="I3239" s="150" t="str">
        <f t="shared" si="151"/>
        <v>52</v>
      </c>
      <c r="J3239" s="150" t="str">
        <f t="shared" si="152"/>
        <v>521</v>
      </c>
      <c r="K3239" s="150" t="s">
        <v>8632</v>
      </c>
      <c r="L3239" s="149" t="s">
        <v>817</v>
      </c>
      <c r="M3239" s="151">
        <v>380995.81</v>
      </c>
    </row>
    <row r="3240" spans="1:13" s="149" customFormat="1" x14ac:dyDescent="0.25">
      <c r="A3240" s="149" t="s">
        <v>7640</v>
      </c>
      <c r="B3240" s="149" t="s">
        <v>818</v>
      </c>
      <c r="C3240" s="149">
        <v>11</v>
      </c>
      <c r="D3240" s="149">
        <v>220</v>
      </c>
      <c r="E3240" s="149">
        <v>0</v>
      </c>
      <c r="F3240" s="149">
        <v>651000</v>
      </c>
      <c r="G3240" s="149">
        <v>52300</v>
      </c>
      <c r="H3240" s="150" t="str">
        <f t="shared" si="150"/>
        <v>5</v>
      </c>
      <c r="I3240" s="150" t="str">
        <f t="shared" si="151"/>
        <v>52</v>
      </c>
      <c r="J3240" s="150" t="str">
        <f t="shared" si="152"/>
        <v>523</v>
      </c>
      <c r="K3240" s="150" t="s">
        <v>7813</v>
      </c>
      <c r="L3240" s="149" t="s">
        <v>819</v>
      </c>
      <c r="M3240" s="151">
        <v>1533.45</v>
      </c>
    </row>
    <row r="3241" spans="1:13" s="149" customFormat="1" x14ac:dyDescent="0.25">
      <c r="A3241" s="149" t="s">
        <v>7640</v>
      </c>
      <c r="B3241" s="149" t="s">
        <v>820</v>
      </c>
      <c r="C3241" s="149">
        <v>11</v>
      </c>
      <c r="D3241" s="149">
        <v>220</v>
      </c>
      <c r="E3241" s="149">
        <v>0</v>
      </c>
      <c r="F3241" s="149">
        <v>651000</v>
      </c>
      <c r="G3241" s="149">
        <v>53220</v>
      </c>
      <c r="H3241" s="150" t="str">
        <f t="shared" si="150"/>
        <v>5</v>
      </c>
      <c r="I3241" s="150" t="str">
        <f t="shared" si="151"/>
        <v>53</v>
      </c>
      <c r="J3241" s="150" t="str">
        <f t="shared" si="152"/>
        <v>532</v>
      </c>
      <c r="K3241" s="150" t="s">
        <v>8633</v>
      </c>
      <c r="L3241" s="149" t="s">
        <v>821</v>
      </c>
      <c r="M3241" s="151">
        <v>79146.070000000007</v>
      </c>
    </row>
    <row r="3242" spans="1:13" s="149" customFormat="1" x14ac:dyDescent="0.25">
      <c r="A3242" s="149" t="s">
        <v>7640</v>
      </c>
      <c r="B3242" s="149" t="s">
        <v>822</v>
      </c>
      <c r="C3242" s="149">
        <v>11</v>
      </c>
      <c r="D3242" s="149">
        <v>220</v>
      </c>
      <c r="E3242" s="149">
        <v>0</v>
      </c>
      <c r="F3242" s="149">
        <v>651000</v>
      </c>
      <c r="G3242" s="149">
        <v>53320</v>
      </c>
      <c r="H3242" s="150" t="str">
        <f t="shared" si="150"/>
        <v>5</v>
      </c>
      <c r="I3242" s="150" t="str">
        <f t="shared" si="151"/>
        <v>53</v>
      </c>
      <c r="J3242" s="150" t="str">
        <f t="shared" si="152"/>
        <v>533</v>
      </c>
      <c r="K3242" s="150" t="s">
        <v>8634</v>
      </c>
      <c r="L3242" s="149" t="s">
        <v>823</v>
      </c>
      <c r="M3242" s="151">
        <v>23618.92</v>
      </c>
    </row>
    <row r="3243" spans="1:13" s="149" customFormat="1" x14ac:dyDescent="0.25">
      <c r="A3243" s="149" t="s">
        <v>7640</v>
      </c>
      <c r="B3243" s="149" t="s">
        <v>824</v>
      </c>
      <c r="C3243" s="149">
        <v>11</v>
      </c>
      <c r="D3243" s="149">
        <v>220</v>
      </c>
      <c r="E3243" s="149">
        <v>0</v>
      </c>
      <c r="F3243" s="149">
        <v>651000</v>
      </c>
      <c r="G3243" s="149">
        <v>53340</v>
      </c>
      <c r="H3243" s="150" t="str">
        <f t="shared" si="150"/>
        <v>5</v>
      </c>
      <c r="I3243" s="150" t="str">
        <f t="shared" si="151"/>
        <v>53</v>
      </c>
      <c r="J3243" s="150" t="str">
        <f t="shared" si="152"/>
        <v>533</v>
      </c>
      <c r="K3243" s="150" t="s">
        <v>8635</v>
      </c>
      <c r="L3243" s="149" t="s">
        <v>825</v>
      </c>
      <c r="M3243" s="151">
        <v>5523.85</v>
      </c>
    </row>
    <row r="3244" spans="1:13" s="149" customFormat="1" x14ac:dyDescent="0.25">
      <c r="A3244" s="149" t="s">
        <v>7640</v>
      </c>
      <c r="B3244" s="149" t="s">
        <v>826</v>
      </c>
      <c r="C3244" s="149">
        <v>11</v>
      </c>
      <c r="D3244" s="149">
        <v>220</v>
      </c>
      <c r="E3244" s="149">
        <v>0</v>
      </c>
      <c r="F3244" s="149">
        <v>651000</v>
      </c>
      <c r="G3244" s="149">
        <v>53420</v>
      </c>
      <c r="H3244" s="150" t="str">
        <f t="shared" si="150"/>
        <v>5</v>
      </c>
      <c r="I3244" s="150" t="str">
        <f t="shared" si="151"/>
        <v>53</v>
      </c>
      <c r="J3244" s="150" t="str">
        <f t="shared" si="152"/>
        <v>534</v>
      </c>
      <c r="K3244" s="150" t="s">
        <v>8636</v>
      </c>
      <c r="L3244" s="149" t="s">
        <v>827</v>
      </c>
      <c r="M3244" s="151">
        <v>148998.18</v>
      </c>
    </row>
    <row r="3245" spans="1:13" s="149" customFormat="1" x14ac:dyDescent="0.25">
      <c r="A3245" s="149" t="s">
        <v>7640</v>
      </c>
      <c r="B3245" s="149" t="s">
        <v>828</v>
      </c>
      <c r="C3245" s="149">
        <v>11</v>
      </c>
      <c r="D3245" s="149">
        <v>220</v>
      </c>
      <c r="E3245" s="149">
        <v>0</v>
      </c>
      <c r="F3245" s="149">
        <v>651000</v>
      </c>
      <c r="G3245" s="149">
        <v>53520</v>
      </c>
      <c r="H3245" s="150" t="str">
        <f t="shared" si="150"/>
        <v>5</v>
      </c>
      <c r="I3245" s="150" t="str">
        <f t="shared" si="151"/>
        <v>53</v>
      </c>
      <c r="J3245" s="150" t="str">
        <f t="shared" si="152"/>
        <v>535</v>
      </c>
      <c r="K3245" s="150" t="s">
        <v>8637</v>
      </c>
      <c r="L3245" s="149" t="s">
        <v>829</v>
      </c>
      <c r="M3245" s="151">
        <v>192.47</v>
      </c>
    </row>
    <row r="3246" spans="1:13" s="149" customFormat="1" x14ac:dyDescent="0.25">
      <c r="A3246" s="149" t="s">
        <v>7640</v>
      </c>
      <c r="B3246" s="149" t="s">
        <v>830</v>
      </c>
      <c r="C3246" s="149">
        <v>11</v>
      </c>
      <c r="D3246" s="149">
        <v>220</v>
      </c>
      <c r="E3246" s="149">
        <v>0</v>
      </c>
      <c r="F3246" s="149">
        <v>651000</v>
      </c>
      <c r="G3246" s="149">
        <v>53620</v>
      </c>
      <c r="H3246" s="150" t="str">
        <f t="shared" si="150"/>
        <v>5</v>
      </c>
      <c r="I3246" s="150" t="str">
        <f t="shared" si="151"/>
        <v>53</v>
      </c>
      <c r="J3246" s="150" t="str">
        <f t="shared" si="152"/>
        <v>536</v>
      </c>
      <c r="K3246" s="150" t="s">
        <v>8638</v>
      </c>
      <c r="L3246" s="149" t="s">
        <v>831</v>
      </c>
      <c r="M3246" s="151">
        <v>7277.39</v>
      </c>
    </row>
    <row r="3247" spans="1:13" s="149" customFormat="1" x14ac:dyDescent="0.25">
      <c r="A3247" s="149" t="s">
        <v>7640</v>
      </c>
      <c r="B3247" s="149" t="s">
        <v>832</v>
      </c>
      <c r="C3247" s="149">
        <v>11</v>
      </c>
      <c r="D3247" s="149">
        <v>220</v>
      </c>
      <c r="E3247" s="149">
        <v>0</v>
      </c>
      <c r="F3247" s="149">
        <v>651000</v>
      </c>
      <c r="G3247" s="149">
        <v>53920</v>
      </c>
      <c r="H3247" s="150" t="str">
        <f t="shared" si="150"/>
        <v>5</v>
      </c>
      <c r="I3247" s="150" t="str">
        <f t="shared" si="151"/>
        <v>53</v>
      </c>
      <c r="J3247" s="150" t="str">
        <f t="shared" si="152"/>
        <v>539</v>
      </c>
      <c r="K3247" s="150" t="s">
        <v>8639</v>
      </c>
      <c r="L3247" s="149" t="s">
        <v>833</v>
      </c>
      <c r="M3247" s="151">
        <v>3600</v>
      </c>
    </row>
    <row r="3248" spans="1:13" s="149" customFormat="1" x14ac:dyDescent="0.25">
      <c r="A3248" s="149" t="s">
        <v>7640</v>
      </c>
      <c r="B3248" s="149" t="s">
        <v>834</v>
      </c>
      <c r="C3248" s="149">
        <v>11</v>
      </c>
      <c r="D3248" s="149">
        <v>220</v>
      </c>
      <c r="E3248" s="149">
        <v>0</v>
      </c>
      <c r="F3248" s="149">
        <v>651000</v>
      </c>
      <c r="G3248" s="149">
        <v>54330</v>
      </c>
      <c r="H3248" s="150" t="str">
        <f t="shared" si="150"/>
        <v>5</v>
      </c>
      <c r="I3248" s="150" t="str">
        <f t="shared" si="151"/>
        <v>54</v>
      </c>
      <c r="J3248" s="150" t="str">
        <f t="shared" si="152"/>
        <v>543</v>
      </c>
      <c r="K3248" s="150" t="s">
        <v>7985</v>
      </c>
      <c r="L3248" s="149" t="s">
        <v>835</v>
      </c>
      <c r="M3248" s="151">
        <v>13934.5</v>
      </c>
    </row>
    <row r="3249" spans="1:13" s="149" customFormat="1" x14ac:dyDescent="0.25">
      <c r="A3249" s="149" t="s">
        <v>7640</v>
      </c>
      <c r="B3249" s="149" t="s">
        <v>836</v>
      </c>
      <c r="C3249" s="149">
        <v>11</v>
      </c>
      <c r="D3249" s="149">
        <v>220</v>
      </c>
      <c r="E3249" s="149">
        <v>0</v>
      </c>
      <c r="F3249" s="149">
        <v>651000</v>
      </c>
      <c r="G3249" s="149">
        <v>54335</v>
      </c>
      <c r="H3249" s="150" t="str">
        <f t="shared" si="150"/>
        <v>5</v>
      </c>
      <c r="I3249" s="150" t="str">
        <f t="shared" si="151"/>
        <v>54</v>
      </c>
      <c r="J3249" s="150" t="str">
        <f t="shared" si="152"/>
        <v>543</v>
      </c>
      <c r="K3249" s="150" t="s">
        <v>7987</v>
      </c>
      <c r="L3249" s="149" t="s">
        <v>837</v>
      </c>
      <c r="M3249" s="151">
        <v>13774.19</v>
      </c>
    </row>
    <row r="3250" spans="1:13" s="149" customFormat="1" x14ac:dyDescent="0.25">
      <c r="A3250" s="149" t="s">
        <v>7640</v>
      </c>
      <c r="B3250" s="149" t="s">
        <v>838</v>
      </c>
      <c r="C3250" s="149">
        <v>11</v>
      </c>
      <c r="D3250" s="149">
        <v>220</v>
      </c>
      <c r="E3250" s="149">
        <v>0</v>
      </c>
      <c r="F3250" s="149">
        <v>651000</v>
      </c>
      <c r="G3250" s="149">
        <v>54337</v>
      </c>
      <c r="H3250" s="150" t="str">
        <f t="shared" si="150"/>
        <v>5</v>
      </c>
      <c r="I3250" s="150" t="str">
        <f t="shared" si="151"/>
        <v>54</v>
      </c>
      <c r="J3250" s="150" t="str">
        <f t="shared" si="152"/>
        <v>543</v>
      </c>
      <c r="K3250" s="150" t="s">
        <v>7988</v>
      </c>
      <c r="L3250" s="149" t="s">
        <v>839</v>
      </c>
      <c r="M3250" s="151">
        <v>13187.84</v>
      </c>
    </row>
    <row r="3251" spans="1:13" s="149" customFormat="1" x14ac:dyDescent="0.25">
      <c r="A3251" s="149" t="s">
        <v>7640</v>
      </c>
      <c r="B3251" s="149" t="s">
        <v>840</v>
      </c>
      <c r="C3251" s="149">
        <v>11</v>
      </c>
      <c r="D3251" s="149">
        <v>220</v>
      </c>
      <c r="E3251" s="149">
        <v>0</v>
      </c>
      <c r="F3251" s="149">
        <v>651000</v>
      </c>
      <c r="G3251" s="149">
        <v>54338</v>
      </c>
      <c r="H3251" s="150" t="str">
        <f t="shared" si="150"/>
        <v>5</v>
      </c>
      <c r="I3251" s="150" t="str">
        <f t="shared" si="151"/>
        <v>54</v>
      </c>
      <c r="J3251" s="150" t="str">
        <f t="shared" si="152"/>
        <v>543</v>
      </c>
      <c r="K3251" s="150" t="s">
        <v>7989</v>
      </c>
      <c r="L3251" s="149" t="s">
        <v>841</v>
      </c>
      <c r="M3251" s="151">
        <v>6320.86</v>
      </c>
    </row>
    <row r="3252" spans="1:13" s="149" customFormat="1" x14ac:dyDescent="0.25">
      <c r="A3252" s="149" t="s">
        <v>7640</v>
      </c>
      <c r="B3252" s="149" t="s">
        <v>842</v>
      </c>
      <c r="C3252" s="149">
        <v>11</v>
      </c>
      <c r="D3252" s="149">
        <v>220</v>
      </c>
      <c r="E3252" s="149">
        <v>0</v>
      </c>
      <c r="F3252" s="149">
        <v>651000</v>
      </c>
      <c r="G3252" s="149">
        <v>55630</v>
      </c>
      <c r="H3252" s="150" t="str">
        <f t="shared" si="150"/>
        <v>5</v>
      </c>
      <c r="I3252" s="150" t="str">
        <f t="shared" si="151"/>
        <v>55</v>
      </c>
      <c r="J3252" s="150" t="str">
        <f t="shared" si="152"/>
        <v>556</v>
      </c>
      <c r="K3252" s="150" t="s">
        <v>8184</v>
      </c>
      <c r="L3252" s="149" t="s">
        <v>843</v>
      </c>
      <c r="M3252" s="151">
        <v>9.32</v>
      </c>
    </row>
    <row r="3253" spans="1:13" s="149" customFormat="1" x14ac:dyDescent="0.25">
      <c r="A3253" s="149" t="s">
        <v>7640</v>
      </c>
      <c r="B3253" s="149" t="s">
        <v>844</v>
      </c>
      <c r="C3253" s="149">
        <v>11</v>
      </c>
      <c r="D3253" s="149">
        <v>220</v>
      </c>
      <c r="E3253" s="149">
        <v>0</v>
      </c>
      <c r="F3253" s="149">
        <v>651000</v>
      </c>
      <c r="G3253" s="149">
        <v>55650</v>
      </c>
      <c r="H3253" s="150" t="str">
        <f t="shared" si="150"/>
        <v>5</v>
      </c>
      <c r="I3253" s="150" t="str">
        <f t="shared" si="151"/>
        <v>55</v>
      </c>
      <c r="J3253" s="150" t="str">
        <f t="shared" si="152"/>
        <v>556</v>
      </c>
      <c r="K3253" s="150" t="s">
        <v>8290</v>
      </c>
      <c r="L3253" s="149" t="s">
        <v>845</v>
      </c>
      <c r="M3253" s="151">
        <v>62375.829999999994</v>
      </c>
    </row>
    <row r="3254" spans="1:13" s="149" customFormat="1" x14ac:dyDescent="0.25">
      <c r="A3254" s="149" t="s">
        <v>7640</v>
      </c>
      <c r="B3254" s="149" t="s">
        <v>846</v>
      </c>
      <c r="C3254" s="149">
        <v>11</v>
      </c>
      <c r="D3254" s="149">
        <v>220</v>
      </c>
      <c r="E3254" s="149">
        <v>0</v>
      </c>
      <c r="F3254" s="149">
        <v>651000</v>
      </c>
      <c r="G3254" s="149">
        <v>55651</v>
      </c>
      <c r="H3254" s="150" t="str">
        <f t="shared" si="150"/>
        <v>5</v>
      </c>
      <c r="I3254" s="150" t="str">
        <f t="shared" si="151"/>
        <v>55</v>
      </c>
      <c r="J3254" s="150" t="str">
        <f t="shared" si="152"/>
        <v>556</v>
      </c>
      <c r="K3254" s="150" t="s">
        <v>8312</v>
      </c>
      <c r="L3254" s="149" t="s">
        <v>847</v>
      </c>
      <c r="M3254" s="151">
        <v>70126.59</v>
      </c>
    </row>
    <row r="3255" spans="1:13" s="149" customFormat="1" x14ac:dyDescent="0.25">
      <c r="A3255" s="149" t="s">
        <v>7640</v>
      </c>
      <c r="B3255" s="149" t="s">
        <v>848</v>
      </c>
      <c r="C3255" s="149">
        <v>11</v>
      </c>
      <c r="D3255" s="149">
        <v>220</v>
      </c>
      <c r="E3255" s="149">
        <v>0</v>
      </c>
      <c r="F3255" s="149">
        <v>651000</v>
      </c>
      <c r="G3255" s="149">
        <v>56400</v>
      </c>
      <c r="H3255" s="150" t="str">
        <f t="shared" si="150"/>
        <v>5</v>
      </c>
      <c r="I3255" s="150" t="str">
        <f t="shared" si="151"/>
        <v>56</v>
      </c>
      <c r="J3255" s="150" t="str">
        <f t="shared" si="152"/>
        <v>564</v>
      </c>
      <c r="K3255" s="150" t="s">
        <v>8371</v>
      </c>
      <c r="L3255" s="149" t="s">
        <v>849</v>
      </c>
      <c r="M3255" s="151">
        <v>0</v>
      </c>
    </row>
    <row r="3256" spans="1:13" s="149" customFormat="1" x14ac:dyDescent="0.25">
      <c r="A3256" s="149" t="s">
        <v>7640</v>
      </c>
      <c r="B3256" s="149" t="s">
        <v>850</v>
      </c>
      <c r="C3256" s="149">
        <v>11</v>
      </c>
      <c r="D3256" s="149">
        <v>220</v>
      </c>
      <c r="E3256" s="149">
        <v>0</v>
      </c>
      <c r="F3256" s="149">
        <v>651000</v>
      </c>
      <c r="G3256" s="149">
        <v>56405</v>
      </c>
      <c r="H3256" s="150" t="str">
        <f t="shared" si="150"/>
        <v>5</v>
      </c>
      <c r="I3256" s="150" t="str">
        <f t="shared" si="151"/>
        <v>56</v>
      </c>
      <c r="J3256" s="150" t="str">
        <f t="shared" si="152"/>
        <v>564</v>
      </c>
      <c r="K3256" s="150" t="s">
        <v>8385</v>
      </c>
      <c r="L3256" s="149" t="s">
        <v>851</v>
      </c>
      <c r="M3256" s="151">
        <v>5809.92</v>
      </c>
    </row>
    <row r="3257" spans="1:13" s="149" customFormat="1" x14ac:dyDescent="0.25">
      <c r="A3257" s="149" t="s">
        <v>7640</v>
      </c>
      <c r="B3257" s="149" t="s">
        <v>852</v>
      </c>
      <c r="C3257" s="149">
        <v>11</v>
      </c>
      <c r="D3257" s="149">
        <v>220</v>
      </c>
      <c r="E3257" s="149">
        <v>0</v>
      </c>
      <c r="F3257" s="149">
        <v>653000</v>
      </c>
      <c r="G3257" s="149">
        <v>52115</v>
      </c>
      <c r="H3257" s="150" t="str">
        <f t="shared" si="150"/>
        <v>5</v>
      </c>
      <c r="I3257" s="150" t="str">
        <f t="shared" si="151"/>
        <v>52</v>
      </c>
      <c r="J3257" s="150" t="str">
        <f t="shared" si="152"/>
        <v>521</v>
      </c>
      <c r="K3257" s="150" t="s">
        <v>8640</v>
      </c>
      <c r="L3257" s="149" t="s">
        <v>853</v>
      </c>
      <c r="M3257" s="151">
        <v>41761.5</v>
      </c>
    </row>
    <row r="3258" spans="1:13" s="149" customFormat="1" x14ac:dyDescent="0.25">
      <c r="A3258" s="149" t="s">
        <v>7640</v>
      </c>
      <c r="B3258" s="149" t="s">
        <v>854</v>
      </c>
      <c r="C3258" s="149">
        <v>11</v>
      </c>
      <c r="D3258" s="149">
        <v>220</v>
      </c>
      <c r="E3258" s="149">
        <v>0</v>
      </c>
      <c r="F3258" s="149">
        <v>653000</v>
      </c>
      <c r="G3258" s="149">
        <v>52125</v>
      </c>
      <c r="H3258" s="150" t="str">
        <f t="shared" si="150"/>
        <v>5</v>
      </c>
      <c r="I3258" s="150" t="str">
        <f t="shared" si="151"/>
        <v>52</v>
      </c>
      <c r="J3258" s="150" t="str">
        <f t="shared" si="152"/>
        <v>521</v>
      </c>
      <c r="K3258" s="150" t="s">
        <v>8641</v>
      </c>
      <c r="L3258" s="149" t="s">
        <v>855</v>
      </c>
      <c r="M3258" s="151">
        <v>685134.74</v>
      </c>
    </row>
    <row r="3259" spans="1:13" s="149" customFormat="1" x14ac:dyDescent="0.25">
      <c r="A3259" s="149" t="s">
        <v>7640</v>
      </c>
      <c r="B3259" s="149" t="s">
        <v>856</v>
      </c>
      <c r="C3259" s="149">
        <v>11</v>
      </c>
      <c r="D3259" s="149">
        <v>220</v>
      </c>
      <c r="E3259" s="149">
        <v>0</v>
      </c>
      <c r="F3259" s="149">
        <v>653000</v>
      </c>
      <c r="G3259" s="149">
        <v>52300</v>
      </c>
      <c r="H3259" s="150" t="str">
        <f t="shared" si="150"/>
        <v>5</v>
      </c>
      <c r="I3259" s="150" t="str">
        <f t="shared" si="151"/>
        <v>52</v>
      </c>
      <c r="J3259" s="150" t="str">
        <f t="shared" si="152"/>
        <v>523</v>
      </c>
      <c r="K3259" s="150" t="s">
        <v>7814</v>
      </c>
      <c r="L3259" s="149" t="s">
        <v>857</v>
      </c>
      <c r="M3259" s="151">
        <v>0</v>
      </c>
    </row>
    <row r="3260" spans="1:13" s="149" customFormat="1" x14ac:dyDescent="0.25">
      <c r="A3260" s="149" t="s">
        <v>7640</v>
      </c>
      <c r="B3260" s="149" t="s">
        <v>858</v>
      </c>
      <c r="C3260" s="149">
        <v>11</v>
      </c>
      <c r="D3260" s="149">
        <v>220</v>
      </c>
      <c r="E3260" s="149">
        <v>0</v>
      </c>
      <c r="F3260" s="149">
        <v>653000</v>
      </c>
      <c r="G3260" s="149">
        <v>53220</v>
      </c>
      <c r="H3260" s="150" t="str">
        <f t="shared" si="150"/>
        <v>5</v>
      </c>
      <c r="I3260" s="150" t="str">
        <f t="shared" si="151"/>
        <v>53</v>
      </c>
      <c r="J3260" s="150" t="str">
        <f t="shared" si="152"/>
        <v>532</v>
      </c>
      <c r="K3260" s="150" t="s">
        <v>8642</v>
      </c>
      <c r="L3260" s="149" t="s">
        <v>859</v>
      </c>
      <c r="M3260" s="151">
        <v>150075.38</v>
      </c>
    </row>
    <row r="3261" spans="1:13" s="149" customFormat="1" x14ac:dyDescent="0.25">
      <c r="A3261" s="149" t="s">
        <v>7640</v>
      </c>
      <c r="B3261" s="149" t="s">
        <v>860</v>
      </c>
      <c r="C3261" s="149">
        <v>11</v>
      </c>
      <c r="D3261" s="149">
        <v>220</v>
      </c>
      <c r="E3261" s="149">
        <v>0</v>
      </c>
      <c r="F3261" s="149">
        <v>653000</v>
      </c>
      <c r="G3261" s="149">
        <v>53320</v>
      </c>
      <c r="H3261" s="150" t="str">
        <f t="shared" si="150"/>
        <v>5</v>
      </c>
      <c r="I3261" s="150" t="str">
        <f t="shared" si="151"/>
        <v>53</v>
      </c>
      <c r="J3261" s="150" t="str">
        <f t="shared" si="152"/>
        <v>533</v>
      </c>
      <c r="K3261" s="150" t="s">
        <v>8643</v>
      </c>
      <c r="L3261" s="149" t="s">
        <v>861</v>
      </c>
      <c r="M3261" s="151">
        <v>44483.72</v>
      </c>
    </row>
    <row r="3262" spans="1:13" s="149" customFormat="1" x14ac:dyDescent="0.25">
      <c r="A3262" s="149" t="s">
        <v>7640</v>
      </c>
      <c r="B3262" s="149" t="s">
        <v>862</v>
      </c>
      <c r="C3262" s="149">
        <v>11</v>
      </c>
      <c r="D3262" s="149">
        <v>220</v>
      </c>
      <c r="E3262" s="149">
        <v>0</v>
      </c>
      <c r="F3262" s="149">
        <v>653000</v>
      </c>
      <c r="G3262" s="149">
        <v>53340</v>
      </c>
      <c r="H3262" s="150" t="str">
        <f t="shared" si="150"/>
        <v>5</v>
      </c>
      <c r="I3262" s="150" t="str">
        <f t="shared" si="151"/>
        <v>53</v>
      </c>
      <c r="J3262" s="150" t="str">
        <f t="shared" si="152"/>
        <v>533</v>
      </c>
      <c r="K3262" s="150" t="s">
        <v>8644</v>
      </c>
      <c r="L3262" s="149" t="s">
        <v>863</v>
      </c>
      <c r="M3262" s="151">
        <v>10403.4</v>
      </c>
    </row>
    <row r="3263" spans="1:13" s="149" customFormat="1" x14ac:dyDescent="0.25">
      <c r="A3263" s="149" t="s">
        <v>7640</v>
      </c>
      <c r="B3263" s="149" t="s">
        <v>864</v>
      </c>
      <c r="C3263" s="149">
        <v>11</v>
      </c>
      <c r="D3263" s="149">
        <v>220</v>
      </c>
      <c r="E3263" s="149">
        <v>0</v>
      </c>
      <c r="F3263" s="149">
        <v>653000</v>
      </c>
      <c r="G3263" s="149">
        <v>53420</v>
      </c>
      <c r="H3263" s="150" t="str">
        <f t="shared" si="150"/>
        <v>5</v>
      </c>
      <c r="I3263" s="150" t="str">
        <f t="shared" si="151"/>
        <v>53</v>
      </c>
      <c r="J3263" s="150" t="str">
        <f t="shared" si="152"/>
        <v>534</v>
      </c>
      <c r="K3263" s="150" t="s">
        <v>8645</v>
      </c>
      <c r="L3263" s="149" t="s">
        <v>865</v>
      </c>
      <c r="M3263" s="151">
        <v>353176.62</v>
      </c>
    </row>
    <row r="3264" spans="1:13" s="149" customFormat="1" x14ac:dyDescent="0.25">
      <c r="A3264" s="149" t="s">
        <v>7640</v>
      </c>
      <c r="B3264" s="149" t="s">
        <v>866</v>
      </c>
      <c r="C3264" s="149">
        <v>11</v>
      </c>
      <c r="D3264" s="149">
        <v>220</v>
      </c>
      <c r="E3264" s="149">
        <v>0</v>
      </c>
      <c r="F3264" s="149">
        <v>653000</v>
      </c>
      <c r="G3264" s="149">
        <v>53520</v>
      </c>
      <c r="H3264" s="150" t="str">
        <f t="shared" si="150"/>
        <v>5</v>
      </c>
      <c r="I3264" s="150" t="str">
        <f t="shared" si="151"/>
        <v>53</v>
      </c>
      <c r="J3264" s="150" t="str">
        <f t="shared" si="152"/>
        <v>535</v>
      </c>
      <c r="K3264" s="150" t="s">
        <v>8646</v>
      </c>
      <c r="L3264" s="149" t="s">
        <v>867</v>
      </c>
      <c r="M3264" s="151">
        <v>363.4</v>
      </c>
    </row>
    <row r="3265" spans="1:13" s="149" customFormat="1" x14ac:dyDescent="0.25">
      <c r="A3265" s="149" t="s">
        <v>7640</v>
      </c>
      <c r="B3265" s="149" t="s">
        <v>868</v>
      </c>
      <c r="C3265" s="149">
        <v>11</v>
      </c>
      <c r="D3265" s="149">
        <v>220</v>
      </c>
      <c r="E3265" s="149">
        <v>0</v>
      </c>
      <c r="F3265" s="149">
        <v>653000</v>
      </c>
      <c r="G3265" s="149">
        <v>53620</v>
      </c>
      <c r="H3265" s="150" t="str">
        <f t="shared" si="150"/>
        <v>5</v>
      </c>
      <c r="I3265" s="150" t="str">
        <f t="shared" si="151"/>
        <v>53</v>
      </c>
      <c r="J3265" s="150" t="str">
        <f t="shared" si="152"/>
        <v>536</v>
      </c>
      <c r="K3265" s="150" t="s">
        <v>8647</v>
      </c>
      <c r="L3265" s="149" t="s">
        <v>869</v>
      </c>
      <c r="M3265" s="151">
        <v>13735.97</v>
      </c>
    </row>
    <row r="3266" spans="1:13" s="149" customFormat="1" x14ac:dyDescent="0.25">
      <c r="A3266" s="149" t="s">
        <v>7640</v>
      </c>
      <c r="B3266" s="149" t="s">
        <v>870</v>
      </c>
      <c r="C3266" s="149">
        <v>11</v>
      </c>
      <c r="D3266" s="149">
        <v>220</v>
      </c>
      <c r="E3266" s="149">
        <v>0</v>
      </c>
      <c r="F3266" s="149">
        <v>653000</v>
      </c>
      <c r="G3266" s="149">
        <v>53920</v>
      </c>
      <c r="H3266" s="150" t="str">
        <f t="shared" si="150"/>
        <v>5</v>
      </c>
      <c r="I3266" s="150" t="str">
        <f t="shared" si="151"/>
        <v>53</v>
      </c>
      <c r="J3266" s="150" t="str">
        <f t="shared" si="152"/>
        <v>539</v>
      </c>
      <c r="K3266" s="150" t="s">
        <v>8648</v>
      </c>
      <c r="L3266" s="149" t="s">
        <v>871</v>
      </c>
      <c r="M3266" s="151">
        <v>3150</v>
      </c>
    </row>
    <row r="3267" spans="1:13" s="149" customFormat="1" x14ac:dyDescent="0.25">
      <c r="A3267" s="149" t="s">
        <v>7640</v>
      </c>
      <c r="B3267" s="149" t="s">
        <v>872</v>
      </c>
      <c r="C3267" s="149">
        <v>11</v>
      </c>
      <c r="D3267" s="149">
        <v>220</v>
      </c>
      <c r="E3267" s="149">
        <v>0</v>
      </c>
      <c r="F3267" s="149">
        <v>653000</v>
      </c>
      <c r="G3267" s="149">
        <v>54300</v>
      </c>
      <c r="H3267" s="150" t="str">
        <f t="shared" ref="H3267:H3330" si="153">LEFT(G3267,1)</f>
        <v>5</v>
      </c>
      <c r="I3267" s="150" t="str">
        <f t="shared" ref="I3267:I3330" si="154">LEFT(G3267,2)</f>
        <v>54</v>
      </c>
      <c r="J3267" s="150" t="str">
        <f t="shared" ref="J3267:J3330" si="155">LEFT(G3267,3)</f>
        <v>543</v>
      </c>
      <c r="K3267" s="150" t="s">
        <v>7924</v>
      </c>
      <c r="L3267" s="149" t="s">
        <v>873</v>
      </c>
      <c r="M3267" s="151">
        <v>46583.649999999994</v>
      </c>
    </row>
    <row r="3268" spans="1:13" s="149" customFormat="1" x14ac:dyDescent="0.25">
      <c r="A3268" s="149" t="s">
        <v>7640</v>
      </c>
      <c r="B3268" s="149" t="s">
        <v>874</v>
      </c>
      <c r="C3268" s="149">
        <v>11</v>
      </c>
      <c r="D3268" s="149">
        <v>220</v>
      </c>
      <c r="E3268" s="149">
        <v>0</v>
      </c>
      <c r="F3268" s="149">
        <v>653000</v>
      </c>
      <c r="G3268" s="149">
        <v>55630</v>
      </c>
      <c r="H3268" s="150" t="str">
        <f t="shared" si="153"/>
        <v>5</v>
      </c>
      <c r="I3268" s="150" t="str">
        <f t="shared" si="154"/>
        <v>55</v>
      </c>
      <c r="J3268" s="150" t="str">
        <f t="shared" si="155"/>
        <v>556</v>
      </c>
      <c r="K3268" s="150" t="s">
        <v>8185</v>
      </c>
      <c r="L3268" s="149" t="s">
        <v>875</v>
      </c>
      <c r="M3268" s="151">
        <v>335.86</v>
      </c>
    </row>
    <row r="3269" spans="1:13" s="149" customFormat="1" x14ac:dyDescent="0.25">
      <c r="A3269" s="149" t="s">
        <v>7640</v>
      </c>
      <c r="B3269" s="149" t="s">
        <v>876</v>
      </c>
      <c r="C3269" s="149">
        <v>11</v>
      </c>
      <c r="D3269" s="149">
        <v>220</v>
      </c>
      <c r="E3269" s="149">
        <v>0</v>
      </c>
      <c r="F3269" s="149">
        <v>653000</v>
      </c>
      <c r="G3269" s="149">
        <v>55650</v>
      </c>
      <c r="H3269" s="150" t="str">
        <f t="shared" si="153"/>
        <v>5</v>
      </c>
      <c r="I3269" s="150" t="str">
        <f t="shared" si="154"/>
        <v>55</v>
      </c>
      <c r="J3269" s="150" t="str">
        <f t="shared" si="155"/>
        <v>556</v>
      </c>
      <c r="K3269" s="150" t="s">
        <v>8291</v>
      </c>
      <c r="L3269" s="149" t="s">
        <v>877</v>
      </c>
      <c r="M3269" s="151">
        <v>11232.2</v>
      </c>
    </row>
    <row r="3270" spans="1:13" s="149" customFormat="1" x14ac:dyDescent="0.25">
      <c r="A3270" s="149" t="s">
        <v>7640</v>
      </c>
      <c r="B3270" s="149" t="s">
        <v>878</v>
      </c>
      <c r="C3270" s="149">
        <v>11</v>
      </c>
      <c r="D3270" s="149">
        <v>220</v>
      </c>
      <c r="E3270" s="149">
        <v>0</v>
      </c>
      <c r="F3270" s="149">
        <v>655000</v>
      </c>
      <c r="G3270" s="149">
        <v>52125</v>
      </c>
      <c r="H3270" s="150" t="str">
        <f t="shared" si="153"/>
        <v>5</v>
      </c>
      <c r="I3270" s="150" t="str">
        <f t="shared" si="154"/>
        <v>52</v>
      </c>
      <c r="J3270" s="150" t="str">
        <f t="shared" si="155"/>
        <v>521</v>
      </c>
      <c r="K3270" s="150" t="s">
        <v>8649</v>
      </c>
      <c r="L3270" s="149" t="s">
        <v>879</v>
      </c>
      <c r="M3270" s="151">
        <v>145450.87</v>
      </c>
    </row>
    <row r="3271" spans="1:13" s="149" customFormat="1" x14ac:dyDescent="0.25">
      <c r="A3271" s="149" t="s">
        <v>7640</v>
      </c>
      <c r="B3271" s="149" t="s">
        <v>880</v>
      </c>
      <c r="C3271" s="149">
        <v>11</v>
      </c>
      <c r="D3271" s="149">
        <v>220</v>
      </c>
      <c r="E3271" s="149">
        <v>0</v>
      </c>
      <c r="F3271" s="149">
        <v>655000</v>
      </c>
      <c r="G3271" s="149">
        <v>52300</v>
      </c>
      <c r="H3271" s="150" t="str">
        <f t="shared" si="153"/>
        <v>5</v>
      </c>
      <c r="I3271" s="150" t="str">
        <f t="shared" si="154"/>
        <v>52</v>
      </c>
      <c r="J3271" s="150" t="str">
        <f t="shared" si="155"/>
        <v>523</v>
      </c>
      <c r="K3271" s="150" t="s">
        <v>7815</v>
      </c>
      <c r="L3271" s="149" t="s">
        <v>881</v>
      </c>
      <c r="M3271" s="151">
        <v>0</v>
      </c>
    </row>
    <row r="3272" spans="1:13" s="149" customFormat="1" x14ac:dyDescent="0.25">
      <c r="A3272" s="149" t="s">
        <v>7640</v>
      </c>
      <c r="B3272" s="149" t="s">
        <v>882</v>
      </c>
      <c r="C3272" s="149">
        <v>11</v>
      </c>
      <c r="D3272" s="149">
        <v>220</v>
      </c>
      <c r="E3272" s="149">
        <v>0</v>
      </c>
      <c r="F3272" s="149">
        <v>655000</v>
      </c>
      <c r="G3272" s="149">
        <v>53220</v>
      </c>
      <c r="H3272" s="150" t="str">
        <f t="shared" si="153"/>
        <v>5</v>
      </c>
      <c r="I3272" s="150" t="str">
        <f t="shared" si="154"/>
        <v>53</v>
      </c>
      <c r="J3272" s="150" t="str">
        <f t="shared" si="155"/>
        <v>532</v>
      </c>
      <c r="K3272" s="150" t="s">
        <v>8650</v>
      </c>
      <c r="L3272" s="149" t="s">
        <v>883</v>
      </c>
      <c r="M3272" s="151">
        <v>29994.44</v>
      </c>
    </row>
    <row r="3273" spans="1:13" s="149" customFormat="1" x14ac:dyDescent="0.25">
      <c r="A3273" s="149" t="s">
        <v>7640</v>
      </c>
      <c r="B3273" s="149" t="s">
        <v>884</v>
      </c>
      <c r="C3273" s="149">
        <v>11</v>
      </c>
      <c r="D3273" s="149">
        <v>220</v>
      </c>
      <c r="E3273" s="149">
        <v>0</v>
      </c>
      <c r="F3273" s="149">
        <v>655000</v>
      </c>
      <c r="G3273" s="149">
        <v>53320</v>
      </c>
      <c r="H3273" s="150" t="str">
        <f t="shared" si="153"/>
        <v>5</v>
      </c>
      <c r="I3273" s="150" t="str">
        <f t="shared" si="154"/>
        <v>53</v>
      </c>
      <c r="J3273" s="150" t="str">
        <f t="shared" si="155"/>
        <v>533</v>
      </c>
      <c r="K3273" s="150" t="s">
        <v>8651</v>
      </c>
      <c r="L3273" s="149" t="s">
        <v>885</v>
      </c>
      <c r="M3273" s="151">
        <v>8971.16</v>
      </c>
    </row>
    <row r="3274" spans="1:13" s="149" customFormat="1" x14ac:dyDescent="0.25">
      <c r="A3274" s="149" t="s">
        <v>7640</v>
      </c>
      <c r="B3274" s="149" t="s">
        <v>886</v>
      </c>
      <c r="C3274" s="149">
        <v>11</v>
      </c>
      <c r="D3274" s="149">
        <v>220</v>
      </c>
      <c r="E3274" s="149">
        <v>0</v>
      </c>
      <c r="F3274" s="149">
        <v>655000</v>
      </c>
      <c r="G3274" s="149">
        <v>53340</v>
      </c>
      <c r="H3274" s="150" t="str">
        <f t="shared" si="153"/>
        <v>5</v>
      </c>
      <c r="I3274" s="150" t="str">
        <f t="shared" si="154"/>
        <v>53</v>
      </c>
      <c r="J3274" s="150" t="str">
        <f t="shared" si="155"/>
        <v>533</v>
      </c>
      <c r="K3274" s="150" t="s">
        <v>8652</v>
      </c>
      <c r="L3274" s="149" t="s">
        <v>887</v>
      </c>
      <c r="M3274" s="151">
        <v>2098.04</v>
      </c>
    </row>
    <row r="3275" spans="1:13" s="149" customFormat="1" x14ac:dyDescent="0.25">
      <c r="A3275" s="149" t="s">
        <v>7640</v>
      </c>
      <c r="B3275" s="149" t="s">
        <v>888</v>
      </c>
      <c r="C3275" s="149">
        <v>11</v>
      </c>
      <c r="D3275" s="149">
        <v>220</v>
      </c>
      <c r="E3275" s="149">
        <v>0</v>
      </c>
      <c r="F3275" s="149">
        <v>655000</v>
      </c>
      <c r="G3275" s="149">
        <v>53420</v>
      </c>
      <c r="H3275" s="150" t="str">
        <f t="shared" si="153"/>
        <v>5</v>
      </c>
      <c r="I3275" s="150" t="str">
        <f t="shared" si="154"/>
        <v>53</v>
      </c>
      <c r="J3275" s="150" t="str">
        <f t="shared" si="155"/>
        <v>534</v>
      </c>
      <c r="K3275" s="150" t="s">
        <v>8653</v>
      </c>
      <c r="L3275" s="149" t="s">
        <v>889</v>
      </c>
      <c r="M3275" s="151">
        <v>48896.35</v>
      </c>
    </row>
    <row r="3276" spans="1:13" s="149" customFormat="1" x14ac:dyDescent="0.25">
      <c r="A3276" s="149" t="s">
        <v>7640</v>
      </c>
      <c r="B3276" s="149" t="s">
        <v>890</v>
      </c>
      <c r="C3276" s="149">
        <v>11</v>
      </c>
      <c r="D3276" s="149">
        <v>220</v>
      </c>
      <c r="E3276" s="149">
        <v>0</v>
      </c>
      <c r="F3276" s="149">
        <v>655000</v>
      </c>
      <c r="G3276" s="149">
        <v>53520</v>
      </c>
      <c r="H3276" s="150" t="str">
        <f t="shared" si="153"/>
        <v>5</v>
      </c>
      <c r="I3276" s="150" t="str">
        <f t="shared" si="154"/>
        <v>53</v>
      </c>
      <c r="J3276" s="150" t="str">
        <f t="shared" si="155"/>
        <v>535</v>
      </c>
      <c r="K3276" s="150" t="s">
        <v>8654</v>
      </c>
      <c r="L3276" s="149" t="s">
        <v>891</v>
      </c>
      <c r="M3276" s="151">
        <v>72.680000000000007</v>
      </c>
    </row>
    <row r="3277" spans="1:13" s="149" customFormat="1" x14ac:dyDescent="0.25">
      <c r="A3277" s="149" t="s">
        <v>7640</v>
      </c>
      <c r="B3277" s="149" t="s">
        <v>892</v>
      </c>
      <c r="C3277" s="149">
        <v>11</v>
      </c>
      <c r="D3277" s="149">
        <v>220</v>
      </c>
      <c r="E3277" s="149">
        <v>0</v>
      </c>
      <c r="F3277" s="149">
        <v>655000</v>
      </c>
      <c r="G3277" s="149">
        <v>53620</v>
      </c>
      <c r="H3277" s="150" t="str">
        <f t="shared" si="153"/>
        <v>5</v>
      </c>
      <c r="I3277" s="150" t="str">
        <f t="shared" si="154"/>
        <v>53</v>
      </c>
      <c r="J3277" s="150" t="str">
        <f t="shared" si="155"/>
        <v>536</v>
      </c>
      <c r="K3277" s="150" t="s">
        <v>8655</v>
      </c>
      <c r="L3277" s="149" t="s">
        <v>893</v>
      </c>
      <c r="M3277" s="151">
        <v>2750.14</v>
      </c>
    </row>
    <row r="3278" spans="1:13" s="149" customFormat="1" x14ac:dyDescent="0.25">
      <c r="A3278" s="149" t="s">
        <v>7640</v>
      </c>
      <c r="B3278" s="149" t="s">
        <v>894</v>
      </c>
      <c r="C3278" s="149">
        <v>11</v>
      </c>
      <c r="D3278" s="149">
        <v>220</v>
      </c>
      <c r="E3278" s="149">
        <v>0</v>
      </c>
      <c r="F3278" s="149">
        <v>655000</v>
      </c>
      <c r="G3278" s="149">
        <v>53920</v>
      </c>
      <c r="H3278" s="150" t="str">
        <f t="shared" si="153"/>
        <v>5</v>
      </c>
      <c r="I3278" s="150" t="str">
        <f t="shared" si="154"/>
        <v>53</v>
      </c>
      <c r="J3278" s="150" t="str">
        <f t="shared" si="155"/>
        <v>539</v>
      </c>
      <c r="K3278" s="150" t="s">
        <v>8656</v>
      </c>
      <c r="L3278" s="149" t="s">
        <v>895</v>
      </c>
      <c r="M3278" s="151">
        <v>1800</v>
      </c>
    </row>
    <row r="3279" spans="1:13" s="149" customFormat="1" x14ac:dyDescent="0.25">
      <c r="A3279" s="149" t="s">
        <v>7640</v>
      </c>
      <c r="B3279" s="149" t="s">
        <v>896</v>
      </c>
      <c r="C3279" s="149">
        <v>11</v>
      </c>
      <c r="D3279" s="149">
        <v>220</v>
      </c>
      <c r="E3279" s="149">
        <v>0</v>
      </c>
      <c r="F3279" s="149">
        <v>655000</v>
      </c>
      <c r="G3279" s="149">
        <v>54300</v>
      </c>
      <c r="H3279" s="150" t="str">
        <f t="shared" si="153"/>
        <v>5</v>
      </c>
      <c r="I3279" s="150" t="str">
        <f t="shared" si="154"/>
        <v>54</v>
      </c>
      <c r="J3279" s="150" t="str">
        <f t="shared" si="155"/>
        <v>543</v>
      </c>
      <c r="K3279" s="150" t="s">
        <v>7925</v>
      </c>
      <c r="L3279" s="149" t="s">
        <v>897</v>
      </c>
      <c r="M3279" s="151">
        <v>1527.98</v>
      </c>
    </row>
    <row r="3280" spans="1:13" s="149" customFormat="1" x14ac:dyDescent="0.25">
      <c r="A3280" s="149" t="s">
        <v>7640</v>
      </c>
      <c r="B3280" s="149" t="s">
        <v>898</v>
      </c>
      <c r="C3280" s="149">
        <v>11</v>
      </c>
      <c r="D3280" s="149">
        <v>220</v>
      </c>
      <c r="E3280" s="149">
        <v>0</v>
      </c>
      <c r="F3280" s="149">
        <v>655000</v>
      </c>
      <c r="G3280" s="149">
        <v>54330</v>
      </c>
      <c r="H3280" s="150" t="str">
        <f t="shared" si="153"/>
        <v>5</v>
      </c>
      <c r="I3280" s="150" t="str">
        <f t="shared" si="154"/>
        <v>54</v>
      </c>
      <c r="J3280" s="150" t="str">
        <f t="shared" si="155"/>
        <v>543</v>
      </c>
      <c r="K3280" s="150" t="s">
        <v>7986</v>
      </c>
      <c r="L3280" s="149" t="s">
        <v>899</v>
      </c>
      <c r="M3280" s="151">
        <v>26607.059999999998</v>
      </c>
    </row>
    <row r="3281" spans="1:13" s="149" customFormat="1" x14ac:dyDescent="0.25">
      <c r="A3281" s="149" t="s">
        <v>7640</v>
      </c>
      <c r="B3281" s="149" t="s">
        <v>900</v>
      </c>
      <c r="C3281" s="149">
        <v>11</v>
      </c>
      <c r="D3281" s="149">
        <v>220</v>
      </c>
      <c r="E3281" s="149">
        <v>0</v>
      </c>
      <c r="F3281" s="149">
        <v>655000</v>
      </c>
      <c r="G3281" s="149">
        <v>55630</v>
      </c>
      <c r="H3281" s="150" t="str">
        <f t="shared" si="153"/>
        <v>5</v>
      </c>
      <c r="I3281" s="150" t="str">
        <f t="shared" si="154"/>
        <v>55</v>
      </c>
      <c r="J3281" s="150" t="str">
        <f t="shared" si="155"/>
        <v>556</v>
      </c>
      <c r="K3281" s="150" t="s">
        <v>8186</v>
      </c>
      <c r="L3281" s="149" t="s">
        <v>901</v>
      </c>
      <c r="M3281" s="151">
        <v>0.01</v>
      </c>
    </row>
    <row r="3282" spans="1:13" s="149" customFormat="1" x14ac:dyDescent="0.25">
      <c r="A3282" s="149" t="s">
        <v>7640</v>
      </c>
      <c r="B3282" s="149" t="s">
        <v>902</v>
      </c>
      <c r="C3282" s="149">
        <v>11</v>
      </c>
      <c r="D3282" s="149">
        <v>220</v>
      </c>
      <c r="E3282" s="149">
        <v>0</v>
      </c>
      <c r="F3282" s="149">
        <v>655000</v>
      </c>
      <c r="G3282" s="149">
        <v>55650</v>
      </c>
      <c r="H3282" s="150" t="str">
        <f t="shared" si="153"/>
        <v>5</v>
      </c>
      <c r="I3282" s="150" t="str">
        <f t="shared" si="154"/>
        <v>55</v>
      </c>
      <c r="J3282" s="150" t="str">
        <f t="shared" si="155"/>
        <v>556</v>
      </c>
      <c r="K3282" s="150" t="s">
        <v>8292</v>
      </c>
      <c r="L3282" s="149" t="s">
        <v>903</v>
      </c>
      <c r="M3282" s="151">
        <v>4770.3999999999996</v>
      </c>
    </row>
    <row r="3283" spans="1:13" s="149" customFormat="1" x14ac:dyDescent="0.25">
      <c r="A3283" s="149" t="s">
        <v>7640</v>
      </c>
      <c r="B3283" s="149" t="s">
        <v>904</v>
      </c>
      <c r="C3283" s="149">
        <v>11</v>
      </c>
      <c r="D3283" s="149">
        <v>220</v>
      </c>
      <c r="E3283" s="149">
        <v>0</v>
      </c>
      <c r="F3283" s="149">
        <v>655000</v>
      </c>
      <c r="G3283" s="149">
        <v>55651</v>
      </c>
      <c r="H3283" s="150" t="str">
        <f t="shared" si="153"/>
        <v>5</v>
      </c>
      <c r="I3283" s="150" t="str">
        <f t="shared" si="154"/>
        <v>55</v>
      </c>
      <c r="J3283" s="150" t="str">
        <f t="shared" si="155"/>
        <v>556</v>
      </c>
      <c r="K3283" s="150" t="s">
        <v>8313</v>
      </c>
      <c r="L3283" s="149" t="s">
        <v>905</v>
      </c>
      <c r="M3283" s="151">
        <v>12741.88</v>
      </c>
    </row>
    <row r="3284" spans="1:13" s="149" customFormat="1" x14ac:dyDescent="0.25">
      <c r="A3284" s="149" t="s">
        <v>7640</v>
      </c>
      <c r="B3284" s="149" t="s">
        <v>906</v>
      </c>
      <c r="C3284" s="149">
        <v>11</v>
      </c>
      <c r="D3284" s="149">
        <v>220</v>
      </c>
      <c r="E3284" s="149">
        <v>0</v>
      </c>
      <c r="F3284" s="149">
        <v>659010</v>
      </c>
      <c r="G3284" s="149">
        <v>52105</v>
      </c>
      <c r="H3284" s="150" t="str">
        <f t="shared" si="153"/>
        <v>5</v>
      </c>
      <c r="I3284" s="150" t="str">
        <f t="shared" si="154"/>
        <v>52</v>
      </c>
      <c r="J3284" s="150" t="str">
        <f t="shared" si="155"/>
        <v>521</v>
      </c>
      <c r="K3284" s="150" t="s">
        <v>8657</v>
      </c>
      <c r="L3284" s="149" t="s">
        <v>907</v>
      </c>
      <c r="M3284" s="151">
        <v>32953.24</v>
      </c>
    </row>
    <row r="3285" spans="1:13" s="149" customFormat="1" x14ac:dyDescent="0.25">
      <c r="A3285" s="149" t="s">
        <v>7640</v>
      </c>
      <c r="B3285" s="149" t="s">
        <v>908</v>
      </c>
      <c r="C3285" s="149">
        <v>11</v>
      </c>
      <c r="D3285" s="149">
        <v>220</v>
      </c>
      <c r="E3285" s="149">
        <v>0</v>
      </c>
      <c r="F3285" s="149">
        <v>659010</v>
      </c>
      <c r="G3285" s="149">
        <v>52125</v>
      </c>
      <c r="H3285" s="150" t="str">
        <f t="shared" si="153"/>
        <v>5</v>
      </c>
      <c r="I3285" s="150" t="str">
        <f t="shared" si="154"/>
        <v>52</v>
      </c>
      <c r="J3285" s="150" t="str">
        <f t="shared" si="155"/>
        <v>521</v>
      </c>
      <c r="K3285" s="150" t="s">
        <v>8658</v>
      </c>
      <c r="L3285" s="149" t="s">
        <v>909</v>
      </c>
      <c r="M3285" s="151">
        <v>9310.08</v>
      </c>
    </row>
    <row r="3286" spans="1:13" s="149" customFormat="1" x14ac:dyDescent="0.25">
      <c r="A3286" s="149" t="s">
        <v>7640</v>
      </c>
      <c r="B3286" s="149" t="s">
        <v>910</v>
      </c>
      <c r="C3286" s="149">
        <v>11</v>
      </c>
      <c r="D3286" s="149">
        <v>220</v>
      </c>
      <c r="E3286" s="149">
        <v>0</v>
      </c>
      <c r="F3286" s="149">
        <v>659010</v>
      </c>
      <c r="G3286" s="149">
        <v>52130</v>
      </c>
      <c r="H3286" s="150" t="str">
        <f t="shared" si="153"/>
        <v>5</v>
      </c>
      <c r="I3286" s="150" t="str">
        <f t="shared" si="154"/>
        <v>52</v>
      </c>
      <c r="J3286" s="150" t="str">
        <f t="shared" si="155"/>
        <v>521</v>
      </c>
      <c r="K3286" s="150" t="s">
        <v>8659</v>
      </c>
      <c r="L3286" s="149" t="s">
        <v>911</v>
      </c>
      <c r="M3286" s="151">
        <v>115292.8</v>
      </c>
    </row>
    <row r="3287" spans="1:13" s="149" customFormat="1" x14ac:dyDescent="0.25">
      <c r="A3287" s="149" t="s">
        <v>7640</v>
      </c>
      <c r="B3287" s="149" t="s">
        <v>912</v>
      </c>
      <c r="C3287" s="149">
        <v>11</v>
      </c>
      <c r="D3287" s="149">
        <v>220</v>
      </c>
      <c r="E3287" s="149">
        <v>0</v>
      </c>
      <c r="F3287" s="149">
        <v>659010</v>
      </c>
      <c r="G3287" s="149">
        <v>52360</v>
      </c>
      <c r="H3287" s="150" t="str">
        <f t="shared" si="153"/>
        <v>5</v>
      </c>
      <c r="I3287" s="150" t="str">
        <f t="shared" si="154"/>
        <v>52</v>
      </c>
      <c r="J3287" s="150" t="str">
        <f t="shared" si="155"/>
        <v>523</v>
      </c>
      <c r="K3287" s="150" t="s">
        <v>7863</v>
      </c>
      <c r="L3287" s="149" t="s">
        <v>913</v>
      </c>
      <c r="M3287" s="151">
        <v>0</v>
      </c>
    </row>
    <row r="3288" spans="1:13" s="149" customFormat="1" x14ac:dyDescent="0.25">
      <c r="A3288" s="149" t="s">
        <v>7640</v>
      </c>
      <c r="B3288" s="149" t="s">
        <v>914</v>
      </c>
      <c r="C3288" s="149">
        <v>11</v>
      </c>
      <c r="D3288" s="149">
        <v>220</v>
      </c>
      <c r="E3288" s="149">
        <v>0</v>
      </c>
      <c r="F3288" s="149">
        <v>659010</v>
      </c>
      <c r="G3288" s="149">
        <v>53220</v>
      </c>
      <c r="H3288" s="150" t="str">
        <f t="shared" si="153"/>
        <v>5</v>
      </c>
      <c r="I3288" s="150" t="str">
        <f t="shared" si="154"/>
        <v>53</v>
      </c>
      <c r="J3288" s="150" t="str">
        <f t="shared" si="155"/>
        <v>532</v>
      </c>
      <c r="K3288" s="150" t="s">
        <v>8660</v>
      </c>
      <c r="L3288" s="149" t="s">
        <v>915</v>
      </c>
      <c r="M3288" s="151">
        <v>32591.72</v>
      </c>
    </row>
    <row r="3289" spans="1:13" s="149" customFormat="1" x14ac:dyDescent="0.25">
      <c r="A3289" s="149" t="s">
        <v>7640</v>
      </c>
      <c r="B3289" s="149" t="s">
        <v>916</v>
      </c>
      <c r="C3289" s="149">
        <v>11</v>
      </c>
      <c r="D3289" s="149">
        <v>220</v>
      </c>
      <c r="E3289" s="149">
        <v>0</v>
      </c>
      <c r="F3289" s="149">
        <v>659010</v>
      </c>
      <c r="G3289" s="149">
        <v>53320</v>
      </c>
      <c r="H3289" s="150" t="str">
        <f t="shared" si="153"/>
        <v>5</v>
      </c>
      <c r="I3289" s="150" t="str">
        <f t="shared" si="154"/>
        <v>53</v>
      </c>
      <c r="J3289" s="150" t="str">
        <f t="shared" si="155"/>
        <v>533</v>
      </c>
      <c r="K3289" s="150" t="s">
        <v>8661</v>
      </c>
      <c r="L3289" s="149" t="s">
        <v>917</v>
      </c>
      <c r="M3289" s="151">
        <v>9623.27</v>
      </c>
    </row>
    <row r="3290" spans="1:13" s="149" customFormat="1" x14ac:dyDescent="0.25">
      <c r="A3290" s="149" t="s">
        <v>7640</v>
      </c>
      <c r="B3290" s="149" t="s">
        <v>918</v>
      </c>
      <c r="C3290" s="149">
        <v>11</v>
      </c>
      <c r="D3290" s="149">
        <v>220</v>
      </c>
      <c r="E3290" s="149">
        <v>0</v>
      </c>
      <c r="F3290" s="149">
        <v>659010</v>
      </c>
      <c r="G3290" s="149">
        <v>53340</v>
      </c>
      <c r="H3290" s="150" t="str">
        <f t="shared" si="153"/>
        <v>5</v>
      </c>
      <c r="I3290" s="150" t="str">
        <f t="shared" si="154"/>
        <v>53</v>
      </c>
      <c r="J3290" s="150" t="str">
        <f t="shared" si="155"/>
        <v>533</v>
      </c>
      <c r="K3290" s="150" t="s">
        <v>8662</v>
      </c>
      <c r="L3290" s="149" t="s">
        <v>919</v>
      </c>
      <c r="M3290" s="151">
        <v>2275.0500000000002</v>
      </c>
    </row>
    <row r="3291" spans="1:13" s="149" customFormat="1" x14ac:dyDescent="0.25">
      <c r="A3291" s="149" t="s">
        <v>7640</v>
      </c>
      <c r="B3291" s="149" t="s">
        <v>920</v>
      </c>
      <c r="C3291" s="149">
        <v>11</v>
      </c>
      <c r="D3291" s="149">
        <v>220</v>
      </c>
      <c r="E3291" s="149">
        <v>0</v>
      </c>
      <c r="F3291" s="149">
        <v>659010</v>
      </c>
      <c r="G3291" s="149">
        <v>53420</v>
      </c>
      <c r="H3291" s="150" t="str">
        <f t="shared" si="153"/>
        <v>5</v>
      </c>
      <c r="I3291" s="150" t="str">
        <f t="shared" si="154"/>
        <v>53</v>
      </c>
      <c r="J3291" s="150" t="str">
        <f t="shared" si="155"/>
        <v>534</v>
      </c>
      <c r="K3291" s="150" t="s">
        <v>8663</v>
      </c>
      <c r="L3291" s="149" t="s">
        <v>921</v>
      </c>
      <c r="M3291" s="151">
        <v>32055.05</v>
      </c>
    </row>
    <row r="3292" spans="1:13" s="149" customFormat="1" x14ac:dyDescent="0.25">
      <c r="A3292" s="149" t="s">
        <v>7640</v>
      </c>
      <c r="B3292" s="149" t="s">
        <v>922</v>
      </c>
      <c r="C3292" s="149">
        <v>11</v>
      </c>
      <c r="D3292" s="149">
        <v>220</v>
      </c>
      <c r="E3292" s="149">
        <v>0</v>
      </c>
      <c r="F3292" s="149">
        <v>659010</v>
      </c>
      <c r="G3292" s="149">
        <v>53520</v>
      </c>
      <c r="H3292" s="150" t="str">
        <f t="shared" si="153"/>
        <v>5</v>
      </c>
      <c r="I3292" s="150" t="str">
        <f t="shared" si="154"/>
        <v>53</v>
      </c>
      <c r="J3292" s="150" t="str">
        <f t="shared" si="155"/>
        <v>535</v>
      </c>
      <c r="K3292" s="150" t="s">
        <v>8664</v>
      </c>
      <c r="L3292" s="149" t="s">
        <v>923</v>
      </c>
      <c r="M3292" s="151">
        <v>78.819999999999993</v>
      </c>
    </row>
    <row r="3293" spans="1:13" s="149" customFormat="1" x14ac:dyDescent="0.25">
      <c r="A3293" s="149" t="s">
        <v>7640</v>
      </c>
      <c r="B3293" s="149" t="s">
        <v>924</v>
      </c>
      <c r="C3293" s="149">
        <v>11</v>
      </c>
      <c r="D3293" s="149">
        <v>220</v>
      </c>
      <c r="E3293" s="149">
        <v>0</v>
      </c>
      <c r="F3293" s="149">
        <v>659010</v>
      </c>
      <c r="G3293" s="149">
        <v>53620</v>
      </c>
      <c r="H3293" s="150" t="str">
        <f t="shared" si="153"/>
        <v>5</v>
      </c>
      <c r="I3293" s="150" t="str">
        <f t="shared" si="154"/>
        <v>53</v>
      </c>
      <c r="J3293" s="150" t="str">
        <f t="shared" si="155"/>
        <v>536</v>
      </c>
      <c r="K3293" s="150" t="s">
        <v>8665</v>
      </c>
      <c r="L3293" s="149" t="s">
        <v>925</v>
      </c>
      <c r="M3293" s="151">
        <v>2980.7</v>
      </c>
    </row>
    <row r="3294" spans="1:13" s="149" customFormat="1" x14ac:dyDescent="0.25">
      <c r="A3294" s="149" t="s">
        <v>7640</v>
      </c>
      <c r="B3294" s="149" t="s">
        <v>926</v>
      </c>
      <c r="C3294" s="149">
        <v>11</v>
      </c>
      <c r="D3294" s="149">
        <v>220</v>
      </c>
      <c r="E3294" s="149">
        <v>0</v>
      </c>
      <c r="F3294" s="149">
        <v>659010</v>
      </c>
      <c r="G3294" s="149">
        <v>53920</v>
      </c>
      <c r="H3294" s="150" t="str">
        <f t="shared" si="153"/>
        <v>5</v>
      </c>
      <c r="I3294" s="150" t="str">
        <f t="shared" si="154"/>
        <v>53</v>
      </c>
      <c r="J3294" s="150" t="str">
        <f t="shared" si="155"/>
        <v>539</v>
      </c>
      <c r="K3294" s="150" t="s">
        <v>8666</v>
      </c>
      <c r="L3294" s="149" t="s">
        <v>927</v>
      </c>
      <c r="M3294" s="151">
        <v>1440</v>
      </c>
    </row>
    <row r="3295" spans="1:13" s="149" customFormat="1" x14ac:dyDescent="0.25">
      <c r="A3295" s="149" t="s">
        <v>7640</v>
      </c>
      <c r="B3295" s="149" t="s">
        <v>928</v>
      </c>
      <c r="C3295" s="149">
        <v>11</v>
      </c>
      <c r="D3295" s="149">
        <v>220</v>
      </c>
      <c r="E3295" s="149">
        <v>0</v>
      </c>
      <c r="F3295" s="149">
        <v>659010</v>
      </c>
      <c r="G3295" s="149">
        <v>54300</v>
      </c>
      <c r="H3295" s="150" t="str">
        <f t="shared" si="153"/>
        <v>5</v>
      </c>
      <c r="I3295" s="150" t="str">
        <f t="shared" si="154"/>
        <v>54</v>
      </c>
      <c r="J3295" s="150" t="str">
        <f t="shared" si="155"/>
        <v>543</v>
      </c>
      <c r="K3295" s="150" t="s">
        <v>7926</v>
      </c>
      <c r="L3295" s="149" t="s">
        <v>929</v>
      </c>
      <c r="M3295" s="151">
        <v>29075.22</v>
      </c>
    </row>
    <row r="3296" spans="1:13" s="149" customFormat="1" x14ac:dyDescent="0.25">
      <c r="A3296" s="149" t="s">
        <v>7640</v>
      </c>
      <c r="B3296" s="149" t="s">
        <v>930</v>
      </c>
      <c r="C3296" s="149">
        <v>11</v>
      </c>
      <c r="D3296" s="149">
        <v>220</v>
      </c>
      <c r="E3296" s="149">
        <v>0</v>
      </c>
      <c r="F3296" s="149">
        <v>659010</v>
      </c>
      <c r="G3296" s="149">
        <v>55105</v>
      </c>
      <c r="H3296" s="150" t="str">
        <f t="shared" si="153"/>
        <v>5</v>
      </c>
      <c r="I3296" s="150" t="str">
        <f t="shared" si="154"/>
        <v>55</v>
      </c>
      <c r="J3296" s="150" t="str">
        <f t="shared" si="155"/>
        <v>551</v>
      </c>
      <c r="K3296" s="150" t="s">
        <v>8008</v>
      </c>
      <c r="L3296" s="149" t="s">
        <v>931</v>
      </c>
      <c r="M3296" s="151">
        <v>9388.35</v>
      </c>
    </row>
    <row r="3297" spans="1:13" s="149" customFormat="1" x14ac:dyDescent="0.25">
      <c r="A3297" s="149" t="s">
        <v>7640</v>
      </c>
      <c r="B3297" s="149" t="s">
        <v>932</v>
      </c>
      <c r="C3297" s="149">
        <v>11</v>
      </c>
      <c r="D3297" s="149">
        <v>220</v>
      </c>
      <c r="E3297" s="149">
        <v>0</v>
      </c>
      <c r="F3297" s="149">
        <v>659010</v>
      </c>
      <c r="G3297" s="149">
        <v>55550</v>
      </c>
      <c r="H3297" s="150" t="str">
        <f t="shared" si="153"/>
        <v>5</v>
      </c>
      <c r="I3297" s="150" t="str">
        <f t="shared" si="154"/>
        <v>55</v>
      </c>
      <c r="J3297" s="150" t="str">
        <f t="shared" si="155"/>
        <v>555</v>
      </c>
      <c r="K3297" s="150" t="s">
        <v>8131</v>
      </c>
      <c r="L3297" s="149" t="s">
        <v>933</v>
      </c>
      <c r="M3297" s="151">
        <v>436.99</v>
      </c>
    </row>
    <row r="3298" spans="1:13" s="149" customFormat="1" x14ac:dyDescent="0.25">
      <c r="A3298" s="149" t="s">
        <v>7640</v>
      </c>
      <c r="B3298" s="149" t="s">
        <v>934</v>
      </c>
      <c r="C3298" s="149">
        <v>11</v>
      </c>
      <c r="D3298" s="149">
        <v>220</v>
      </c>
      <c r="E3298" s="149">
        <v>0</v>
      </c>
      <c r="F3298" s="149">
        <v>659010</v>
      </c>
      <c r="G3298" s="149">
        <v>55600</v>
      </c>
      <c r="H3298" s="150" t="str">
        <f t="shared" si="153"/>
        <v>5</v>
      </c>
      <c r="I3298" s="150" t="str">
        <f t="shared" si="154"/>
        <v>55</v>
      </c>
      <c r="J3298" s="150" t="str">
        <f t="shared" si="155"/>
        <v>556</v>
      </c>
      <c r="K3298" s="150" t="s">
        <v>8149</v>
      </c>
      <c r="L3298" s="149" t="s">
        <v>935</v>
      </c>
      <c r="M3298" s="151">
        <v>0</v>
      </c>
    </row>
    <row r="3299" spans="1:13" s="149" customFormat="1" x14ac:dyDescent="0.25">
      <c r="A3299" s="149" t="s">
        <v>7640</v>
      </c>
      <c r="B3299" s="149" t="s">
        <v>936</v>
      </c>
      <c r="C3299" s="149">
        <v>11</v>
      </c>
      <c r="D3299" s="149">
        <v>220</v>
      </c>
      <c r="E3299" s="149">
        <v>0</v>
      </c>
      <c r="F3299" s="149">
        <v>659010</v>
      </c>
      <c r="G3299" s="149">
        <v>55630</v>
      </c>
      <c r="H3299" s="150" t="str">
        <f t="shared" si="153"/>
        <v>5</v>
      </c>
      <c r="I3299" s="150" t="str">
        <f t="shared" si="154"/>
        <v>55</v>
      </c>
      <c r="J3299" s="150" t="str">
        <f t="shared" si="155"/>
        <v>556</v>
      </c>
      <c r="K3299" s="150" t="s">
        <v>8187</v>
      </c>
      <c r="L3299" s="149" t="s">
        <v>937</v>
      </c>
      <c r="M3299" s="151">
        <v>286.27999999999997</v>
      </c>
    </row>
    <row r="3300" spans="1:13" s="149" customFormat="1" x14ac:dyDescent="0.25">
      <c r="A3300" s="149" t="s">
        <v>7640</v>
      </c>
      <c r="B3300" s="149" t="s">
        <v>938</v>
      </c>
      <c r="C3300" s="149">
        <v>11</v>
      </c>
      <c r="D3300" s="149">
        <v>220</v>
      </c>
      <c r="E3300" s="149">
        <v>0</v>
      </c>
      <c r="F3300" s="149">
        <v>659010</v>
      </c>
      <c r="G3300" s="149">
        <v>55650</v>
      </c>
      <c r="H3300" s="150" t="str">
        <f t="shared" si="153"/>
        <v>5</v>
      </c>
      <c r="I3300" s="150" t="str">
        <f t="shared" si="154"/>
        <v>55</v>
      </c>
      <c r="J3300" s="150" t="str">
        <f t="shared" si="155"/>
        <v>556</v>
      </c>
      <c r="K3300" s="150" t="s">
        <v>8293</v>
      </c>
      <c r="L3300" s="149" t="s">
        <v>939</v>
      </c>
      <c r="M3300" s="151">
        <v>19617.3</v>
      </c>
    </row>
    <row r="3301" spans="1:13" s="149" customFormat="1" x14ac:dyDescent="0.25">
      <c r="A3301" s="149" t="s">
        <v>7640</v>
      </c>
      <c r="B3301" s="149" t="s">
        <v>940</v>
      </c>
      <c r="C3301" s="149">
        <v>11</v>
      </c>
      <c r="D3301" s="149">
        <v>220</v>
      </c>
      <c r="E3301" s="149">
        <v>0</v>
      </c>
      <c r="F3301" s="149">
        <v>659010</v>
      </c>
      <c r="G3301" s="149">
        <v>55651</v>
      </c>
      <c r="H3301" s="150" t="str">
        <f t="shared" si="153"/>
        <v>5</v>
      </c>
      <c r="I3301" s="150" t="str">
        <f t="shared" si="154"/>
        <v>55</v>
      </c>
      <c r="J3301" s="150" t="str">
        <f t="shared" si="155"/>
        <v>556</v>
      </c>
      <c r="K3301" s="150" t="s">
        <v>8314</v>
      </c>
      <c r="L3301" s="149" t="s">
        <v>941</v>
      </c>
      <c r="M3301" s="151">
        <v>0</v>
      </c>
    </row>
    <row r="3302" spans="1:13" s="149" customFormat="1" x14ac:dyDescent="0.25">
      <c r="A3302" s="149" t="s">
        <v>7640</v>
      </c>
      <c r="B3302" s="149" t="s">
        <v>942</v>
      </c>
      <c r="C3302" s="149">
        <v>11</v>
      </c>
      <c r="D3302" s="149">
        <v>220</v>
      </c>
      <c r="E3302" s="149">
        <v>0</v>
      </c>
      <c r="F3302" s="149">
        <v>659010</v>
      </c>
      <c r="G3302" s="149">
        <v>55830</v>
      </c>
      <c r="H3302" s="150" t="str">
        <f t="shared" si="153"/>
        <v>5</v>
      </c>
      <c r="I3302" s="150" t="str">
        <f t="shared" si="154"/>
        <v>55</v>
      </c>
      <c r="J3302" s="150" t="str">
        <f t="shared" si="155"/>
        <v>558</v>
      </c>
      <c r="K3302" s="150" t="s">
        <v>8349</v>
      </c>
      <c r="L3302" s="149" t="s">
        <v>943</v>
      </c>
      <c r="M3302" s="151">
        <v>500</v>
      </c>
    </row>
    <row r="3303" spans="1:13" s="149" customFormat="1" x14ac:dyDescent="0.25">
      <c r="A3303" s="149" t="s">
        <v>7640</v>
      </c>
      <c r="B3303" s="149" t="s">
        <v>944</v>
      </c>
      <c r="C3303" s="149">
        <v>11</v>
      </c>
      <c r="D3303" s="149">
        <v>220</v>
      </c>
      <c r="E3303" s="149">
        <v>0</v>
      </c>
      <c r="F3303" s="149">
        <v>659010</v>
      </c>
      <c r="G3303" s="149">
        <v>56216</v>
      </c>
      <c r="H3303" s="150" t="str">
        <f t="shared" si="153"/>
        <v>5</v>
      </c>
      <c r="I3303" s="150" t="str">
        <f t="shared" si="154"/>
        <v>56</v>
      </c>
      <c r="J3303" s="150" t="str">
        <f t="shared" si="155"/>
        <v>562</v>
      </c>
      <c r="K3303" s="150" t="s">
        <v>8356</v>
      </c>
      <c r="L3303" s="149" t="s">
        <v>945</v>
      </c>
      <c r="M3303" s="151">
        <v>424.79</v>
      </c>
    </row>
    <row r="3304" spans="1:13" s="149" customFormat="1" x14ac:dyDescent="0.25">
      <c r="A3304" s="149" t="s">
        <v>7640</v>
      </c>
      <c r="B3304" s="149" t="s">
        <v>946</v>
      </c>
      <c r="C3304" s="149">
        <v>11</v>
      </c>
      <c r="D3304" s="149">
        <v>220</v>
      </c>
      <c r="E3304" s="149">
        <v>0</v>
      </c>
      <c r="F3304" s="149">
        <v>659020</v>
      </c>
      <c r="G3304" s="149">
        <v>54300</v>
      </c>
      <c r="H3304" s="150" t="str">
        <f t="shared" si="153"/>
        <v>5</v>
      </c>
      <c r="I3304" s="150" t="str">
        <f t="shared" si="154"/>
        <v>54</v>
      </c>
      <c r="J3304" s="150" t="str">
        <f t="shared" si="155"/>
        <v>543</v>
      </c>
      <c r="K3304" s="150" t="s">
        <v>7927</v>
      </c>
      <c r="L3304" s="149" t="s">
        <v>947</v>
      </c>
      <c r="M3304" s="151">
        <v>0</v>
      </c>
    </row>
    <row r="3305" spans="1:13" s="149" customFormat="1" x14ac:dyDescent="0.25">
      <c r="A3305" s="149" t="s">
        <v>7640</v>
      </c>
      <c r="B3305" s="149" t="s">
        <v>948</v>
      </c>
      <c r="C3305" s="149">
        <v>11</v>
      </c>
      <c r="D3305" s="149">
        <v>220</v>
      </c>
      <c r="E3305" s="149">
        <v>0</v>
      </c>
      <c r="F3305" s="149">
        <v>659020</v>
      </c>
      <c r="G3305" s="149">
        <v>55105</v>
      </c>
      <c r="H3305" s="150" t="str">
        <f t="shared" si="153"/>
        <v>5</v>
      </c>
      <c r="I3305" s="150" t="str">
        <f t="shared" si="154"/>
        <v>55</v>
      </c>
      <c r="J3305" s="150" t="str">
        <f t="shared" si="155"/>
        <v>551</v>
      </c>
      <c r="K3305" s="150" t="s">
        <v>8009</v>
      </c>
      <c r="L3305" s="149" t="s">
        <v>949</v>
      </c>
      <c r="M3305" s="151">
        <v>0</v>
      </c>
    </row>
    <row r="3306" spans="1:13" s="149" customFormat="1" x14ac:dyDescent="0.25">
      <c r="A3306" s="149" t="s">
        <v>7640</v>
      </c>
      <c r="B3306" s="149" t="s">
        <v>950</v>
      </c>
      <c r="C3306" s="149">
        <v>11</v>
      </c>
      <c r="D3306" s="149">
        <v>220</v>
      </c>
      <c r="E3306" s="149">
        <v>0</v>
      </c>
      <c r="F3306" s="149">
        <v>659020</v>
      </c>
      <c r="G3306" s="149">
        <v>55575</v>
      </c>
      <c r="H3306" s="150" t="str">
        <f t="shared" si="153"/>
        <v>5</v>
      </c>
      <c r="I3306" s="150" t="str">
        <f t="shared" si="154"/>
        <v>55</v>
      </c>
      <c r="J3306" s="150" t="str">
        <f t="shared" si="155"/>
        <v>555</v>
      </c>
      <c r="K3306" s="150" t="s">
        <v>8143</v>
      </c>
      <c r="L3306" s="149" t="s">
        <v>951</v>
      </c>
      <c r="M3306" s="151">
        <v>10659.9</v>
      </c>
    </row>
    <row r="3307" spans="1:13" s="149" customFormat="1" x14ac:dyDescent="0.25">
      <c r="A3307" s="149" t="s">
        <v>7640</v>
      </c>
      <c r="B3307" s="149" t="s">
        <v>952</v>
      </c>
      <c r="C3307" s="149">
        <v>11</v>
      </c>
      <c r="D3307" s="149">
        <v>220</v>
      </c>
      <c r="E3307" s="149">
        <v>0</v>
      </c>
      <c r="F3307" s="149">
        <v>659020</v>
      </c>
      <c r="G3307" s="149">
        <v>56217</v>
      </c>
      <c r="H3307" s="150" t="str">
        <f t="shared" si="153"/>
        <v>5</v>
      </c>
      <c r="I3307" s="150" t="str">
        <f t="shared" si="154"/>
        <v>56</v>
      </c>
      <c r="J3307" s="150" t="str">
        <f t="shared" si="155"/>
        <v>562</v>
      </c>
      <c r="K3307" s="150" t="s">
        <v>8357</v>
      </c>
      <c r="L3307" s="149" t="s">
        <v>953</v>
      </c>
      <c r="M3307" s="151">
        <v>3059</v>
      </c>
    </row>
    <row r="3308" spans="1:13" s="149" customFormat="1" x14ac:dyDescent="0.25">
      <c r="A3308" s="149" t="s">
        <v>7640</v>
      </c>
      <c r="B3308" s="149" t="s">
        <v>954</v>
      </c>
      <c r="C3308" s="149">
        <v>11</v>
      </c>
      <c r="D3308" s="149">
        <v>220</v>
      </c>
      <c r="E3308" s="149">
        <v>0</v>
      </c>
      <c r="F3308" s="149">
        <v>677000</v>
      </c>
      <c r="G3308" s="149">
        <v>52105</v>
      </c>
      <c r="H3308" s="150" t="str">
        <f t="shared" si="153"/>
        <v>5</v>
      </c>
      <c r="I3308" s="150" t="str">
        <f t="shared" si="154"/>
        <v>52</v>
      </c>
      <c r="J3308" s="150" t="str">
        <f t="shared" si="155"/>
        <v>521</v>
      </c>
      <c r="K3308" s="150" t="s">
        <v>8667</v>
      </c>
      <c r="L3308" s="149" t="s">
        <v>785</v>
      </c>
      <c r="M3308" s="151">
        <v>43455.040000000001</v>
      </c>
    </row>
    <row r="3309" spans="1:13" s="149" customFormat="1" x14ac:dyDescent="0.25">
      <c r="A3309" s="149" t="s">
        <v>7640</v>
      </c>
      <c r="B3309" s="149" t="s">
        <v>955</v>
      </c>
      <c r="C3309" s="149">
        <v>11</v>
      </c>
      <c r="D3309" s="149">
        <v>220</v>
      </c>
      <c r="E3309" s="149">
        <v>0</v>
      </c>
      <c r="F3309" s="149">
        <v>677000</v>
      </c>
      <c r="G3309" s="149">
        <v>52300</v>
      </c>
      <c r="H3309" s="150" t="str">
        <f t="shared" si="153"/>
        <v>5</v>
      </c>
      <c r="I3309" s="150" t="str">
        <f t="shared" si="154"/>
        <v>52</v>
      </c>
      <c r="J3309" s="150" t="str">
        <f t="shared" si="155"/>
        <v>523</v>
      </c>
      <c r="K3309" s="150" t="s">
        <v>7816</v>
      </c>
      <c r="L3309" s="149" t="s">
        <v>956</v>
      </c>
      <c r="M3309" s="151">
        <v>60.15</v>
      </c>
    </row>
    <row r="3310" spans="1:13" s="149" customFormat="1" x14ac:dyDescent="0.25">
      <c r="A3310" s="149" t="s">
        <v>7640</v>
      </c>
      <c r="B3310" s="149" t="s">
        <v>957</v>
      </c>
      <c r="C3310" s="149">
        <v>11</v>
      </c>
      <c r="D3310" s="149">
        <v>220</v>
      </c>
      <c r="E3310" s="149">
        <v>0</v>
      </c>
      <c r="F3310" s="149">
        <v>677000</v>
      </c>
      <c r="G3310" s="149">
        <v>53220</v>
      </c>
      <c r="H3310" s="150" t="str">
        <f t="shared" si="153"/>
        <v>5</v>
      </c>
      <c r="I3310" s="150" t="str">
        <f t="shared" si="154"/>
        <v>53</v>
      </c>
      <c r="J3310" s="150" t="str">
        <f t="shared" si="155"/>
        <v>532</v>
      </c>
      <c r="K3310" s="150" t="s">
        <v>8668</v>
      </c>
      <c r="L3310" s="149" t="s">
        <v>787</v>
      </c>
      <c r="M3310" s="151">
        <v>8892.83</v>
      </c>
    </row>
    <row r="3311" spans="1:13" s="149" customFormat="1" x14ac:dyDescent="0.25">
      <c r="A3311" s="149" t="s">
        <v>7640</v>
      </c>
      <c r="B3311" s="149" t="s">
        <v>958</v>
      </c>
      <c r="C3311" s="149">
        <v>11</v>
      </c>
      <c r="D3311" s="149">
        <v>220</v>
      </c>
      <c r="E3311" s="149">
        <v>0</v>
      </c>
      <c r="F3311" s="149">
        <v>677000</v>
      </c>
      <c r="G3311" s="149">
        <v>53320</v>
      </c>
      <c r="H3311" s="150" t="str">
        <f t="shared" si="153"/>
        <v>5</v>
      </c>
      <c r="I3311" s="150" t="str">
        <f t="shared" si="154"/>
        <v>53</v>
      </c>
      <c r="J3311" s="150" t="str">
        <f t="shared" si="155"/>
        <v>533</v>
      </c>
      <c r="K3311" s="150" t="s">
        <v>8669</v>
      </c>
      <c r="L3311" s="149" t="s">
        <v>789</v>
      </c>
      <c r="M3311" s="151">
        <v>2620.37</v>
      </c>
    </row>
    <row r="3312" spans="1:13" s="149" customFormat="1" x14ac:dyDescent="0.25">
      <c r="A3312" s="149" t="s">
        <v>7640</v>
      </c>
      <c r="B3312" s="149" t="s">
        <v>959</v>
      </c>
      <c r="C3312" s="149">
        <v>11</v>
      </c>
      <c r="D3312" s="149">
        <v>220</v>
      </c>
      <c r="E3312" s="149">
        <v>0</v>
      </c>
      <c r="F3312" s="149">
        <v>677000</v>
      </c>
      <c r="G3312" s="149">
        <v>53340</v>
      </c>
      <c r="H3312" s="150" t="str">
        <f t="shared" si="153"/>
        <v>5</v>
      </c>
      <c r="I3312" s="150" t="str">
        <f t="shared" si="154"/>
        <v>53</v>
      </c>
      <c r="J3312" s="150" t="str">
        <f t="shared" si="155"/>
        <v>533</v>
      </c>
      <c r="K3312" s="150" t="s">
        <v>8670</v>
      </c>
      <c r="L3312" s="149" t="s">
        <v>791</v>
      </c>
      <c r="M3312" s="151">
        <v>612.84</v>
      </c>
    </row>
    <row r="3313" spans="1:13" s="149" customFormat="1" x14ac:dyDescent="0.25">
      <c r="A3313" s="149" t="s">
        <v>7640</v>
      </c>
      <c r="B3313" s="149" t="s">
        <v>960</v>
      </c>
      <c r="C3313" s="149">
        <v>11</v>
      </c>
      <c r="D3313" s="149">
        <v>220</v>
      </c>
      <c r="E3313" s="149">
        <v>0</v>
      </c>
      <c r="F3313" s="149">
        <v>677000</v>
      </c>
      <c r="G3313" s="149">
        <v>53420</v>
      </c>
      <c r="H3313" s="150" t="str">
        <f t="shared" si="153"/>
        <v>5</v>
      </c>
      <c r="I3313" s="150" t="str">
        <f t="shared" si="154"/>
        <v>53</v>
      </c>
      <c r="J3313" s="150" t="str">
        <f t="shared" si="155"/>
        <v>534</v>
      </c>
      <c r="K3313" s="150" t="s">
        <v>8671</v>
      </c>
      <c r="L3313" s="149" t="s">
        <v>793</v>
      </c>
      <c r="M3313" s="151">
        <v>28432.36</v>
      </c>
    </row>
    <row r="3314" spans="1:13" s="149" customFormat="1" x14ac:dyDescent="0.25">
      <c r="A3314" s="149" t="s">
        <v>7640</v>
      </c>
      <c r="B3314" s="149" t="s">
        <v>961</v>
      </c>
      <c r="C3314" s="149">
        <v>11</v>
      </c>
      <c r="D3314" s="149">
        <v>220</v>
      </c>
      <c r="E3314" s="149">
        <v>0</v>
      </c>
      <c r="F3314" s="149">
        <v>677000</v>
      </c>
      <c r="G3314" s="149">
        <v>53520</v>
      </c>
      <c r="H3314" s="150" t="str">
        <f t="shared" si="153"/>
        <v>5</v>
      </c>
      <c r="I3314" s="150" t="str">
        <f t="shared" si="154"/>
        <v>53</v>
      </c>
      <c r="J3314" s="150" t="str">
        <f t="shared" si="155"/>
        <v>535</v>
      </c>
      <c r="K3314" s="150" t="s">
        <v>8672</v>
      </c>
      <c r="L3314" s="149" t="s">
        <v>795</v>
      </c>
      <c r="M3314" s="151">
        <v>21.54</v>
      </c>
    </row>
    <row r="3315" spans="1:13" s="149" customFormat="1" x14ac:dyDescent="0.25">
      <c r="A3315" s="149" t="s">
        <v>7640</v>
      </c>
      <c r="B3315" s="149" t="s">
        <v>962</v>
      </c>
      <c r="C3315" s="149">
        <v>11</v>
      </c>
      <c r="D3315" s="149">
        <v>220</v>
      </c>
      <c r="E3315" s="149">
        <v>0</v>
      </c>
      <c r="F3315" s="149">
        <v>677000</v>
      </c>
      <c r="G3315" s="149">
        <v>53620</v>
      </c>
      <c r="H3315" s="150" t="str">
        <f t="shared" si="153"/>
        <v>5</v>
      </c>
      <c r="I3315" s="150" t="str">
        <f t="shared" si="154"/>
        <v>53</v>
      </c>
      <c r="J3315" s="150" t="str">
        <f t="shared" si="155"/>
        <v>536</v>
      </c>
      <c r="K3315" s="150" t="s">
        <v>8673</v>
      </c>
      <c r="L3315" s="149" t="s">
        <v>797</v>
      </c>
      <c r="M3315" s="151">
        <v>824.83</v>
      </c>
    </row>
    <row r="3316" spans="1:13" s="149" customFormat="1" x14ac:dyDescent="0.25">
      <c r="A3316" s="149" t="s">
        <v>7640</v>
      </c>
      <c r="B3316" s="149" t="s">
        <v>963</v>
      </c>
      <c r="C3316" s="149">
        <v>11</v>
      </c>
      <c r="D3316" s="149">
        <v>220</v>
      </c>
      <c r="E3316" s="149">
        <v>0</v>
      </c>
      <c r="F3316" s="149">
        <v>677000</v>
      </c>
      <c r="G3316" s="149">
        <v>55630</v>
      </c>
      <c r="H3316" s="150" t="str">
        <f t="shared" si="153"/>
        <v>5</v>
      </c>
      <c r="I3316" s="150" t="str">
        <f t="shared" si="154"/>
        <v>55</v>
      </c>
      <c r="J3316" s="150" t="str">
        <f t="shared" si="155"/>
        <v>556</v>
      </c>
      <c r="K3316" s="150" t="s">
        <v>8188</v>
      </c>
      <c r="L3316" s="149" t="s">
        <v>815</v>
      </c>
      <c r="M3316" s="151">
        <v>55.85</v>
      </c>
    </row>
    <row r="3317" spans="1:13" s="149" customFormat="1" x14ac:dyDescent="0.25">
      <c r="A3317" s="149" t="s">
        <v>7640</v>
      </c>
      <c r="B3317" s="149" t="s">
        <v>964</v>
      </c>
      <c r="C3317" s="149">
        <v>11</v>
      </c>
      <c r="D3317" s="149">
        <v>220</v>
      </c>
      <c r="E3317" s="149">
        <v>0</v>
      </c>
      <c r="F3317" s="149">
        <v>677300</v>
      </c>
      <c r="G3317" s="149">
        <v>54349</v>
      </c>
      <c r="H3317" s="150" t="str">
        <f t="shared" si="153"/>
        <v>5</v>
      </c>
      <c r="I3317" s="150" t="str">
        <f t="shared" si="154"/>
        <v>54</v>
      </c>
      <c r="J3317" s="150" t="str">
        <f t="shared" si="155"/>
        <v>543</v>
      </c>
      <c r="K3317" s="150" t="s">
        <v>7991</v>
      </c>
      <c r="L3317" s="149" t="s">
        <v>965</v>
      </c>
      <c r="M3317" s="151">
        <v>6461.32</v>
      </c>
    </row>
    <row r="3318" spans="1:13" s="149" customFormat="1" x14ac:dyDescent="0.25">
      <c r="A3318" s="149" t="s">
        <v>7640</v>
      </c>
      <c r="B3318" s="149" t="s">
        <v>966</v>
      </c>
      <c r="C3318" s="149">
        <v>11</v>
      </c>
      <c r="D3318" s="149">
        <v>220</v>
      </c>
      <c r="E3318" s="149">
        <v>0</v>
      </c>
      <c r="F3318" s="149">
        <v>677300</v>
      </c>
      <c r="G3318" s="149">
        <v>55651</v>
      </c>
      <c r="H3318" s="150" t="str">
        <f t="shared" si="153"/>
        <v>5</v>
      </c>
      <c r="I3318" s="150" t="str">
        <f t="shared" si="154"/>
        <v>55</v>
      </c>
      <c r="J3318" s="150" t="str">
        <f t="shared" si="155"/>
        <v>556</v>
      </c>
      <c r="K3318" s="150" t="s">
        <v>8315</v>
      </c>
      <c r="L3318" s="149" t="s">
        <v>967</v>
      </c>
      <c r="M3318" s="151">
        <v>1755.6</v>
      </c>
    </row>
    <row r="3319" spans="1:13" s="149" customFormat="1" x14ac:dyDescent="0.25">
      <c r="A3319" s="149" t="s">
        <v>7640</v>
      </c>
      <c r="B3319" s="149" t="s">
        <v>968</v>
      </c>
      <c r="C3319" s="149">
        <v>11</v>
      </c>
      <c r="D3319" s="149">
        <v>220</v>
      </c>
      <c r="E3319" s="149">
        <v>0</v>
      </c>
      <c r="F3319" s="149">
        <v>683000</v>
      </c>
      <c r="G3319" s="149">
        <v>52105</v>
      </c>
      <c r="H3319" s="150" t="str">
        <f t="shared" si="153"/>
        <v>5</v>
      </c>
      <c r="I3319" s="150" t="str">
        <f t="shared" si="154"/>
        <v>52</v>
      </c>
      <c r="J3319" s="150" t="str">
        <f t="shared" si="155"/>
        <v>521</v>
      </c>
      <c r="K3319" s="150" t="s">
        <v>8674</v>
      </c>
      <c r="L3319" s="149" t="s">
        <v>969</v>
      </c>
      <c r="M3319" s="151">
        <v>62880.86</v>
      </c>
    </row>
    <row r="3320" spans="1:13" s="149" customFormat="1" x14ac:dyDescent="0.25">
      <c r="A3320" s="149" t="s">
        <v>7640</v>
      </c>
      <c r="B3320" s="149" t="s">
        <v>970</v>
      </c>
      <c r="C3320" s="149">
        <v>11</v>
      </c>
      <c r="D3320" s="149">
        <v>220</v>
      </c>
      <c r="E3320" s="149">
        <v>0</v>
      </c>
      <c r="F3320" s="149">
        <v>683000</v>
      </c>
      <c r="G3320" s="149">
        <v>52115</v>
      </c>
      <c r="H3320" s="150" t="str">
        <f t="shared" si="153"/>
        <v>5</v>
      </c>
      <c r="I3320" s="150" t="str">
        <f t="shared" si="154"/>
        <v>52</v>
      </c>
      <c r="J3320" s="150" t="str">
        <f t="shared" si="155"/>
        <v>521</v>
      </c>
      <c r="K3320" s="150" t="s">
        <v>8675</v>
      </c>
      <c r="L3320" s="149" t="s">
        <v>971</v>
      </c>
      <c r="M3320" s="151">
        <v>13920.5</v>
      </c>
    </row>
    <row r="3321" spans="1:13" s="149" customFormat="1" x14ac:dyDescent="0.25">
      <c r="A3321" s="149" t="s">
        <v>7640</v>
      </c>
      <c r="B3321" s="149" t="s">
        <v>972</v>
      </c>
      <c r="C3321" s="149">
        <v>11</v>
      </c>
      <c r="D3321" s="149">
        <v>220</v>
      </c>
      <c r="E3321" s="149">
        <v>0</v>
      </c>
      <c r="F3321" s="149">
        <v>683000</v>
      </c>
      <c r="G3321" s="149">
        <v>52125</v>
      </c>
      <c r="H3321" s="150" t="str">
        <f t="shared" si="153"/>
        <v>5</v>
      </c>
      <c r="I3321" s="150" t="str">
        <f t="shared" si="154"/>
        <v>52</v>
      </c>
      <c r="J3321" s="150" t="str">
        <f t="shared" si="155"/>
        <v>521</v>
      </c>
      <c r="K3321" s="150" t="s">
        <v>8676</v>
      </c>
      <c r="L3321" s="149" t="s">
        <v>973</v>
      </c>
      <c r="M3321" s="151">
        <v>34376.17</v>
      </c>
    </row>
    <row r="3322" spans="1:13" s="149" customFormat="1" x14ac:dyDescent="0.25">
      <c r="A3322" s="149" t="s">
        <v>7640</v>
      </c>
      <c r="B3322" s="149" t="s">
        <v>974</v>
      </c>
      <c r="C3322" s="149">
        <v>11</v>
      </c>
      <c r="D3322" s="149">
        <v>220</v>
      </c>
      <c r="E3322" s="149">
        <v>0</v>
      </c>
      <c r="F3322" s="149">
        <v>683000</v>
      </c>
      <c r="G3322" s="149">
        <v>52300</v>
      </c>
      <c r="H3322" s="150" t="str">
        <f t="shared" si="153"/>
        <v>5</v>
      </c>
      <c r="I3322" s="150" t="str">
        <f t="shared" si="154"/>
        <v>52</v>
      </c>
      <c r="J3322" s="150" t="str">
        <f t="shared" si="155"/>
        <v>523</v>
      </c>
      <c r="K3322" s="150" t="s">
        <v>7817</v>
      </c>
      <c r="L3322" s="149" t="s">
        <v>975</v>
      </c>
      <c r="M3322" s="151">
        <v>8.68</v>
      </c>
    </row>
    <row r="3323" spans="1:13" s="149" customFormat="1" x14ac:dyDescent="0.25">
      <c r="A3323" s="149" t="s">
        <v>7640</v>
      </c>
      <c r="B3323" s="149" t="s">
        <v>976</v>
      </c>
      <c r="C3323" s="149">
        <v>11</v>
      </c>
      <c r="D3323" s="149">
        <v>220</v>
      </c>
      <c r="E3323" s="149">
        <v>0</v>
      </c>
      <c r="F3323" s="149">
        <v>683000</v>
      </c>
      <c r="G3323" s="149">
        <v>53220</v>
      </c>
      <c r="H3323" s="150" t="str">
        <f t="shared" si="153"/>
        <v>5</v>
      </c>
      <c r="I3323" s="150" t="str">
        <f t="shared" si="154"/>
        <v>53</v>
      </c>
      <c r="J3323" s="150" t="str">
        <f t="shared" si="155"/>
        <v>532</v>
      </c>
      <c r="K3323" s="150" t="s">
        <v>8677</v>
      </c>
      <c r="L3323" s="149" t="s">
        <v>977</v>
      </c>
      <c r="M3323" s="151">
        <v>22910.38</v>
      </c>
    </row>
    <row r="3324" spans="1:13" s="149" customFormat="1" x14ac:dyDescent="0.25">
      <c r="A3324" s="149" t="s">
        <v>7640</v>
      </c>
      <c r="B3324" s="149" t="s">
        <v>978</v>
      </c>
      <c r="C3324" s="149">
        <v>11</v>
      </c>
      <c r="D3324" s="149">
        <v>220</v>
      </c>
      <c r="E3324" s="149">
        <v>0</v>
      </c>
      <c r="F3324" s="149">
        <v>683000</v>
      </c>
      <c r="G3324" s="149">
        <v>53320</v>
      </c>
      <c r="H3324" s="150" t="str">
        <f t="shared" si="153"/>
        <v>5</v>
      </c>
      <c r="I3324" s="150" t="str">
        <f t="shared" si="154"/>
        <v>53</v>
      </c>
      <c r="J3324" s="150" t="str">
        <f t="shared" si="155"/>
        <v>533</v>
      </c>
      <c r="K3324" s="150" t="s">
        <v>8678</v>
      </c>
      <c r="L3324" s="149" t="s">
        <v>979</v>
      </c>
      <c r="M3324" s="151">
        <v>6864.8</v>
      </c>
    </row>
    <row r="3325" spans="1:13" s="149" customFormat="1" x14ac:dyDescent="0.25">
      <c r="A3325" s="149" t="s">
        <v>7640</v>
      </c>
      <c r="B3325" s="149" t="s">
        <v>980</v>
      </c>
      <c r="C3325" s="149">
        <v>11</v>
      </c>
      <c r="D3325" s="149">
        <v>220</v>
      </c>
      <c r="E3325" s="149">
        <v>0</v>
      </c>
      <c r="F3325" s="149">
        <v>683000</v>
      </c>
      <c r="G3325" s="149">
        <v>53340</v>
      </c>
      <c r="H3325" s="150" t="str">
        <f t="shared" si="153"/>
        <v>5</v>
      </c>
      <c r="I3325" s="150" t="str">
        <f t="shared" si="154"/>
        <v>53</v>
      </c>
      <c r="J3325" s="150" t="str">
        <f t="shared" si="155"/>
        <v>533</v>
      </c>
      <c r="K3325" s="150" t="s">
        <v>8679</v>
      </c>
      <c r="L3325" s="149" t="s">
        <v>981</v>
      </c>
      <c r="M3325" s="151">
        <v>1605.51</v>
      </c>
    </row>
    <row r="3326" spans="1:13" s="149" customFormat="1" x14ac:dyDescent="0.25">
      <c r="A3326" s="149" t="s">
        <v>7640</v>
      </c>
      <c r="B3326" s="149" t="s">
        <v>982</v>
      </c>
      <c r="C3326" s="149">
        <v>11</v>
      </c>
      <c r="D3326" s="149">
        <v>220</v>
      </c>
      <c r="E3326" s="149">
        <v>0</v>
      </c>
      <c r="F3326" s="149">
        <v>683000</v>
      </c>
      <c r="G3326" s="149">
        <v>53420</v>
      </c>
      <c r="H3326" s="150" t="str">
        <f t="shared" si="153"/>
        <v>5</v>
      </c>
      <c r="I3326" s="150" t="str">
        <f t="shared" si="154"/>
        <v>53</v>
      </c>
      <c r="J3326" s="150" t="str">
        <f t="shared" si="155"/>
        <v>534</v>
      </c>
      <c r="K3326" s="150" t="s">
        <v>8680</v>
      </c>
      <c r="L3326" s="149" t="s">
        <v>983</v>
      </c>
      <c r="M3326" s="151">
        <v>32533.57</v>
      </c>
    </row>
    <row r="3327" spans="1:13" s="149" customFormat="1" x14ac:dyDescent="0.25">
      <c r="A3327" s="149" t="s">
        <v>7640</v>
      </c>
      <c r="B3327" s="149" t="s">
        <v>984</v>
      </c>
      <c r="C3327" s="149">
        <v>11</v>
      </c>
      <c r="D3327" s="149">
        <v>220</v>
      </c>
      <c r="E3327" s="149">
        <v>0</v>
      </c>
      <c r="F3327" s="149">
        <v>683000</v>
      </c>
      <c r="G3327" s="149">
        <v>53520</v>
      </c>
      <c r="H3327" s="150" t="str">
        <f t="shared" si="153"/>
        <v>5</v>
      </c>
      <c r="I3327" s="150" t="str">
        <f t="shared" si="154"/>
        <v>53</v>
      </c>
      <c r="J3327" s="150" t="str">
        <f t="shared" si="155"/>
        <v>535</v>
      </c>
      <c r="K3327" s="150" t="s">
        <v>8681</v>
      </c>
      <c r="L3327" s="149" t="s">
        <v>985</v>
      </c>
      <c r="M3327" s="151">
        <v>55.55</v>
      </c>
    </row>
    <row r="3328" spans="1:13" s="149" customFormat="1" x14ac:dyDescent="0.25">
      <c r="A3328" s="149" t="s">
        <v>7640</v>
      </c>
      <c r="B3328" s="149" t="s">
        <v>986</v>
      </c>
      <c r="C3328" s="149">
        <v>11</v>
      </c>
      <c r="D3328" s="149">
        <v>220</v>
      </c>
      <c r="E3328" s="149">
        <v>0</v>
      </c>
      <c r="F3328" s="149">
        <v>683000</v>
      </c>
      <c r="G3328" s="149">
        <v>53620</v>
      </c>
      <c r="H3328" s="150" t="str">
        <f t="shared" si="153"/>
        <v>5</v>
      </c>
      <c r="I3328" s="150" t="str">
        <f t="shared" si="154"/>
        <v>53</v>
      </c>
      <c r="J3328" s="150" t="str">
        <f t="shared" si="155"/>
        <v>536</v>
      </c>
      <c r="K3328" s="150" t="s">
        <v>8682</v>
      </c>
      <c r="L3328" s="149" t="s">
        <v>987</v>
      </c>
      <c r="M3328" s="151">
        <v>2105.16</v>
      </c>
    </row>
    <row r="3329" spans="1:13" s="149" customFormat="1" x14ac:dyDescent="0.25">
      <c r="A3329" s="149" t="s">
        <v>7640</v>
      </c>
      <c r="B3329" s="149" t="s">
        <v>988</v>
      </c>
      <c r="C3329" s="149">
        <v>11</v>
      </c>
      <c r="D3329" s="149">
        <v>220</v>
      </c>
      <c r="E3329" s="149">
        <v>0</v>
      </c>
      <c r="F3329" s="149">
        <v>683000</v>
      </c>
      <c r="G3329" s="149">
        <v>53920</v>
      </c>
      <c r="H3329" s="150" t="str">
        <f t="shared" si="153"/>
        <v>5</v>
      </c>
      <c r="I3329" s="150" t="str">
        <f t="shared" si="154"/>
        <v>53</v>
      </c>
      <c r="J3329" s="150" t="str">
        <f t="shared" si="155"/>
        <v>539</v>
      </c>
      <c r="K3329" s="150" t="s">
        <v>8683</v>
      </c>
      <c r="L3329" s="149" t="s">
        <v>989</v>
      </c>
      <c r="M3329" s="151">
        <v>2610</v>
      </c>
    </row>
    <row r="3330" spans="1:13" s="149" customFormat="1" x14ac:dyDescent="0.25">
      <c r="A3330" s="149" t="s">
        <v>7640</v>
      </c>
      <c r="B3330" s="149" t="s">
        <v>990</v>
      </c>
      <c r="C3330" s="149">
        <v>11</v>
      </c>
      <c r="D3330" s="149">
        <v>220</v>
      </c>
      <c r="E3330" s="149">
        <v>0</v>
      </c>
      <c r="F3330" s="149">
        <v>683000</v>
      </c>
      <c r="G3330" s="149">
        <v>54340</v>
      </c>
      <c r="H3330" s="150" t="str">
        <f t="shared" si="153"/>
        <v>5</v>
      </c>
      <c r="I3330" s="150" t="str">
        <f t="shared" si="154"/>
        <v>54</v>
      </c>
      <c r="J3330" s="150" t="str">
        <f t="shared" si="155"/>
        <v>543</v>
      </c>
      <c r="K3330" s="150" t="s">
        <v>7990</v>
      </c>
      <c r="L3330" s="149" t="s">
        <v>991</v>
      </c>
      <c r="M3330" s="151">
        <v>21890</v>
      </c>
    </row>
    <row r="3331" spans="1:13" s="149" customFormat="1" x14ac:dyDescent="0.25">
      <c r="A3331" s="149" t="s">
        <v>7640</v>
      </c>
      <c r="B3331" s="149" t="s">
        <v>992</v>
      </c>
      <c r="C3331" s="149">
        <v>11</v>
      </c>
      <c r="D3331" s="149">
        <v>220</v>
      </c>
      <c r="E3331" s="149">
        <v>0</v>
      </c>
      <c r="F3331" s="149">
        <v>683000</v>
      </c>
      <c r="G3331" s="149">
        <v>55630</v>
      </c>
      <c r="H3331" s="150" t="str">
        <f t="shared" ref="H3331:H3394" si="156">LEFT(G3331,1)</f>
        <v>5</v>
      </c>
      <c r="I3331" s="150" t="str">
        <f t="shared" ref="I3331:I3394" si="157">LEFT(G3331,2)</f>
        <v>55</v>
      </c>
      <c r="J3331" s="150" t="str">
        <f t="shared" ref="J3331:J3394" si="158">LEFT(G3331,3)</f>
        <v>556</v>
      </c>
      <c r="K3331" s="150" t="s">
        <v>8189</v>
      </c>
      <c r="L3331" s="149" t="s">
        <v>993</v>
      </c>
      <c r="M3331" s="151">
        <v>192.41</v>
      </c>
    </row>
    <row r="3332" spans="1:13" s="149" customFormat="1" x14ac:dyDescent="0.25">
      <c r="A3332" s="149" t="s">
        <v>7640</v>
      </c>
      <c r="B3332" s="149" t="s">
        <v>994</v>
      </c>
      <c r="C3332" s="149">
        <v>11</v>
      </c>
      <c r="D3332" s="149">
        <v>220</v>
      </c>
      <c r="E3332" s="149">
        <v>4</v>
      </c>
      <c r="F3332" s="149">
        <v>657000</v>
      </c>
      <c r="G3332" s="149">
        <v>55530</v>
      </c>
      <c r="H3332" s="150" t="str">
        <f t="shared" si="156"/>
        <v>5</v>
      </c>
      <c r="I3332" s="150" t="str">
        <f t="shared" si="157"/>
        <v>55</v>
      </c>
      <c r="J3332" s="150" t="str">
        <f t="shared" si="158"/>
        <v>555</v>
      </c>
      <c r="K3332" s="150" t="s">
        <v>8121</v>
      </c>
      <c r="L3332" s="149" t="s">
        <v>551</v>
      </c>
      <c r="M3332" s="151">
        <v>1331.78</v>
      </c>
    </row>
    <row r="3333" spans="1:13" s="149" customFormat="1" x14ac:dyDescent="0.25">
      <c r="A3333" s="149" t="s">
        <v>7640</v>
      </c>
      <c r="B3333" s="149" t="s">
        <v>9587</v>
      </c>
      <c r="C3333" s="149">
        <v>11</v>
      </c>
      <c r="D3333" s="149">
        <v>300</v>
      </c>
      <c r="E3333" s="149">
        <v>0</v>
      </c>
      <c r="F3333" s="149">
        <v>490000</v>
      </c>
      <c r="G3333" s="149">
        <v>54300</v>
      </c>
      <c r="H3333" s="150" t="str">
        <f t="shared" si="156"/>
        <v>5</v>
      </c>
      <c r="I3333" s="150" t="str">
        <f t="shared" si="157"/>
        <v>54</v>
      </c>
      <c r="J3333" s="150" t="str">
        <f t="shared" si="158"/>
        <v>543</v>
      </c>
      <c r="K3333" s="150" t="s">
        <v>7928</v>
      </c>
      <c r="L3333" s="149" t="s">
        <v>9588</v>
      </c>
      <c r="M3333" s="151">
        <v>0</v>
      </c>
    </row>
    <row r="3334" spans="1:13" s="149" customFormat="1" x14ac:dyDescent="0.25">
      <c r="A3334" s="149" t="s">
        <v>7640</v>
      </c>
      <c r="B3334" s="149" t="s">
        <v>9589</v>
      </c>
      <c r="C3334" s="149">
        <v>11</v>
      </c>
      <c r="D3334" s="149">
        <v>300</v>
      </c>
      <c r="E3334" s="149">
        <v>0</v>
      </c>
      <c r="F3334" s="149">
        <v>490000</v>
      </c>
      <c r="G3334" s="149">
        <v>55610</v>
      </c>
      <c r="H3334" s="150" t="str">
        <f t="shared" si="156"/>
        <v>5</v>
      </c>
      <c r="I3334" s="150" t="str">
        <f t="shared" si="157"/>
        <v>55</v>
      </c>
      <c r="J3334" s="150" t="str">
        <f t="shared" si="158"/>
        <v>556</v>
      </c>
      <c r="K3334" s="150" t="s">
        <v>8155</v>
      </c>
      <c r="L3334" s="149" t="s">
        <v>9590</v>
      </c>
      <c r="M3334" s="151">
        <v>0</v>
      </c>
    </row>
    <row r="3335" spans="1:13" s="149" customFormat="1" x14ac:dyDescent="0.25">
      <c r="A3335" s="149" t="s">
        <v>7640</v>
      </c>
      <c r="B3335" s="149" t="s">
        <v>995</v>
      </c>
      <c r="C3335" s="149">
        <v>11</v>
      </c>
      <c r="D3335" s="149">
        <v>300</v>
      </c>
      <c r="E3335" s="149">
        <v>0</v>
      </c>
      <c r="F3335" s="149">
        <v>490000</v>
      </c>
      <c r="G3335" s="149">
        <v>56400</v>
      </c>
      <c r="H3335" s="150" t="str">
        <f t="shared" si="156"/>
        <v>5</v>
      </c>
      <c r="I3335" s="150" t="str">
        <f t="shared" si="157"/>
        <v>56</v>
      </c>
      <c r="J3335" s="150" t="str">
        <f t="shared" si="158"/>
        <v>564</v>
      </c>
      <c r="K3335" s="150" t="s">
        <v>8372</v>
      </c>
      <c r="L3335" s="149" t="s">
        <v>996</v>
      </c>
      <c r="M3335" s="151">
        <v>1.1200000000000001</v>
      </c>
    </row>
    <row r="3336" spans="1:13" s="149" customFormat="1" x14ac:dyDescent="0.25">
      <c r="A3336" s="149" t="s">
        <v>7640</v>
      </c>
      <c r="B3336" s="149" t="s">
        <v>9591</v>
      </c>
      <c r="C3336" s="149">
        <v>11</v>
      </c>
      <c r="D3336" s="149">
        <v>300</v>
      </c>
      <c r="E3336" s="149">
        <v>0</v>
      </c>
      <c r="F3336" s="149">
        <v>490000</v>
      </c>
      <c r="G3336" s="149">
        <v>56405</v>
      </c>
      <c r="H3336" s="150" t="str">
        <f t="shared" si="156"/>
        <v>5</v>
      </c>
      <c r="I3336" s="150" t="str">
        <f t="shared" si="157"/>
        <v>56</v>
      </c>
      <c r="J3336" s="150" t="str">
        <f t="shared" si="158"/>
        <v>564</v>
      </c>
      <c r="K3336" s="150" t="s">
        <v>8386</v>
      </c>
      <c r="L3336" s="149" t="s">
        <v>9592</v>
      </c>
      <c r="M3336" s="151">
        <v>0</v>
      </c>
    </row>
    <row r="3337" spans="1:13" s="149" customFormat="1" x14ac:dyDescent="0.25">
      <c r="A3337" s="149" t="s">
        <v>7640</v>
      </c>
      <c r="B3337" s="149" t="s">
        <v>997</v>
      </c>
      <c r="C3337" s="149">
        <v>11</v>
      </c>
      <c r="D3337" s="149">
        <v>300</v>
      </c>
      <c r="E3337" s="149">
        <v>0</v>
      </c>
      <c r="F3337" s="149">
        <v>601000</v>
      </c>
      <c r="G3337" s="149">
        <v>51200</v>
      </c>
      <c r="H3337" s="150" t="str">
        <f t="shared" si="156"/>
        <v>5</v>
      </c>
      <c r="I3337" s="150" t="str">
        <f t="shared" si="157"/>
        <v>51</v>
      </c>
      <c r="J3337" s="150" t="str">
        <f t="shared" si="158"/>
        <v>512</v>
      </c>
      <c r="K3337" s="150" t="s">
        <v>8684</v>
      </c>
      <c r="L3337" s="149" t="s">
        <v>998</v>
      </c>
      <c r="M3337" s="151">
        <v>27328.05</v>
      </c>
    </row>
    <row r="3338" spans="1:13" s="149" customFormat="1" x14ac:dyDescent="0.25">
      <c r="A3338" s="149" t="s">
        <v>7640</v>
      </c>
      <c r="B3338" s="149" t="s">
        <v>999</v>
      </c>
      <c r="C3338" s="149">
        <v>11</v>
      </c>
      <c r="D3338" s="149">
        <v>300</v>
      </c>
      <c r="E3338" s="149">
        <v>0</v>
      </c>
      <c r="F3338" s="149">
        <v>601000</v>
      </c>
      <c r="G3338" s="149">
        <v>51210</v>
      </c>
      <c r="H3338" s="150" t="str">
        <f t="shared" si="156"/>
        <v>5</v>
      </c>
      <c r="I3338" s="150" t="str">
        <f t="shared" si="157"/>
        <v>51</v>
      </c>
      <c r="J3338" s="150" t="str">
        <f t="shared" si="158"/>
        <v>512</v>
      </c>
      <c r="K3338" s="150" t="s">
        <v>8685</v>
      </c>
      <c r="L3338" s="149" t="s">
        <v>477</v>
      </c>
      <c r="M3338" s="151">
        <v>154583.82999999999</v>
      </c>
    </row>
    <row r="3339" spans="1:13" s="149" customFormat="1" x14ac:dyDescent="0.25">
      <c r="A3339" s="149" t="s">
        <v>7640</v>
      </c>
      <c r="B3339" s="149" t="s">
        <v>1000</v>
      </c>
      <c r="C3339" s="149">
        <v>11</v>
      </c>
      <c r="D3339" s="149">
        <v>300</v>
      </c>
      <c r="E3339" s="149">
        <v>0</v>
      </c>
      <c r="F3339" s="149">
        <v>601000</v>
      </c>
      <c r="G3339" s="149">
        <v>51412</v>
      </c>
      <c r="H3339" s="150" t="str">
        <f t="shared" si="156"/>
        <v>5</v>
      </c>
      <c r="I3339" s="150" t="str">
        <f t="shared" si="157"/>
        <v>51</v>
      </c>
      <c r="J3339" s="150" t="str">
        <f t="shared" si="158"/>
        <v>514</v>
      </c>
      <c r="K3339" s="150" t="s">
        <v>7784</v>
      </c>
      <c r="L3339" s="149" t="s">
        <v>479</v>
      </c>
      <c r="M3339" s="151">
        <v>133341.46</v>
      </c>
    </row>
    <row r="3340" spans="1:13" s="149" customFormat="1" x14ac:dyDescent="0.25">
      <c r="A3340" s="149" t="s">
        <v>7640</v>
      </c>
      <c r="B3340" s="149" t="s">
        <v>1001</v>
      </c>
      <c r="C3340" s="149">
        <v>11</v>
      </c>
      <c r="D3340" s="149">
        <v>300</v>
      </c>
      <c r="E3340" s="149">
        <v>0</v>
      </c>
      <c r="F3340" s="149">
        <v>601000</v>
      </c>
      <c r="G3340" s="149">
        <v>52105</v>
      </c>
      <c r="H3340" s="150" t="str">
        <f t="shared" si="156"/>
        <v>5</v>
      </c>
      <c r="I3340" s="150" t="str">
        <f t="shared" si="157"/>
        <v>52</v>
      </c>
      <c r="J3340" s="150" t="str">
        <f t="shared" si="158"/>
        <v>521</v>
      </c>
      <c r="K3340" s="150" t="s">
        <v>8686</v>
      </c>
      <c r="L3340" s="149" t="s">
        <v>481</v>
      </c>
      <c r="M3340" s="151">
        <v>229971.82</v>
      </c>
    </row>
    <row r="3341" spans="1:13" s="149" customFormat="1" x14ac:dyDescent="0.25">
      <c r="A3341" s="149" t="s">
        <v>7640</v>
      </c>
      <c r="B3341" s="149" t="s">
        <v>1002</v>
      </c>
      <c r="C3341" s="149">
        <v>11</v>
      </c>
      <c r="D3341" s="149">
        <v>300</v>
      </c>
      <c r="E3341" s="149">
        <v>0</v>
      </c>
      <c r="F3341" s="149">
        <v>601000</v>
      </c>
      <c r="G3341" s="149">
        <v>52120</v>
      </c>
      <c r="H3341" s="150" t="str">
        <f t="shared" si="156"/>
        <v>5</v>
      </c>
      <c r="I3341" s="150" t="str">
        <f t="shared" si="157"/>
        <v>52</v>
      </c>
      <c r="J3341" s="150" t="str">
        <f t="shared" si="158"/>
        <v>521</v>
      </c>
      <c r="K3341" s="150" t="s">
        <v>8687</v>
      </c>
      <c r="L3341" s="149" t="s">
        <v>1003</v>
      </c>
      <c r="M3341" s="151">
        <v>59400</v>
      </c>
    </row>
    <row r="3342" spans="1:13" s="149" customFormat="1" x14ac:dyDescent="0.25">
      <c r="A3342" s="149" t="s">
        <v>7640</v>
      </c>
      <c r="B3342" s="149" t="s">
        <v>1004</v>
      </c>
      <c r="C3342" s="149">
        <v>11</v>
      </c>
      <c r="D3342" s="149">
        <v>300</v>
      </c>
      <c r="E3342" s="149">
        <v>0</v>
      </c>
      <c r="F3342" s="149">
        <v>601000</v>
      </c>
      <c r="G3342" s="149">
        <v>52300</v>
      </c>
      <c r="H3342" s="150" t="str">
        <f t="shared" si="156"/>
        <v>5</v>
      </c>
      <c r="I3342" s="150" t="str">
        <f t="shared" si="157"/>
        <v>52</v>
      </c>
      <c r="J3342" s="150" t="str">
        <f t="shared" si="158"/>
        <v>523</v>
      </c>
      <c r="K3342" s="150" t="s">
        <v>7818</v>
      </c>
      <c r="L3342" s="149" t="s">
        <v>483</v>
      </c>
      <c r="M3342" s="151">
        <v>174.59</v>
      </c>
    </row>
    <row r="3343" spans="1:13" s="149" customFormat="1" x14ac:dyDescent="0.25">
      <c r="A3343" s="149" t="s">
        <v>7640</v>
      </c>
      <c r="B3343" s="149" t="s">
        <v>1005</v>
      </c>
      <c r="C3343" s="149">
        <v>11</v>
      </c>
      <c r="D3343" s="149">
        <v>300</v>
      </c>
      <c r="E3343" s="149">
        <v>0</v>
      </c>
      <c r="F3343" s="149">
        <v>601000</v>
      </c>
      <c r="G3343" s="149">
        <v>52350</v>
      </c>
      <c r="H3343" s="150" t="str">
        <f t="shared" si="156"/>
        <v>5</v>
      </c>
      <c r="I3343" s="150" t="str">
        <f t="shared" si="157"/>
        <v>52</v>
      </c>
      <c r="J3343" s="150" t="str">
        <f t="shared" si="158"/>
        <v>523</v>
      </c>
      <c r="K3343" s="150" t="s">
        <v>7852</v>
      </c>
      <c r="L3343" s="149" t="s">
        <v>1006</v>
      </c>
      <c r="M3343" s="151">
        <v>5040.5</v>
      </c>
    </row>
    <row r="3344" spans="1:13" s="149" customFormat="1" x14ac:dyDescent="0.25">
      <c r="A3344" s="149" t="s">
        <v>7640</v>
      </c>
      <c r="B3344" s="149" t="s">
        <v>1007</v>
      </c>
      <c r="C3344" s="149">
        <v>11</v>
      </c>
      <c r="D3344" s="149">
        <v>300</v>
      </c>
      <c r="E3344" s="149">
        <v>0</v>
      </c>
      <c r="F3344" s="149">
        <v>601000</v>
      </c>
      <c r="G3344" s="149">
        <v>52360</v>
      </c>
      <c r="H3344" s="150" t="str">
        <f t="shared" si="156"/>
        <v>5</v>
      </c>
      <c r="I3344" s="150" t="str">
        <f t="shared" si="157"/>
        <v>52</v>
      </c>
      <c r="J3344" s="150" t="str">
        <f t="shared" si="158"/>
        <v>523</v>
      </c>
      <c r="K3344" s="150" t="s">
        <v>7864</v>
      </c>
      <c r="L3344" s="149" t="s">
        <v>1008</v>
      </c>
      <c r="M3344" s="151">
        <v>0</v>
      </c>
    </row>
    <row r="3345" spans="1:13" s="149" customFormat="1" x14ac:dyDescent="0.25">
      <c r="A3345" s="149" t="s">
        <v>7640</v>
      </c>
      <c r="B3345" s="149" t="s">
        <v>1009</v>
      </c>
      <c r="C3345" s="149">
        <v>11</v>
      </c>
      <c r="D3345" s="149">
        <v>300</v>
      </c>
      <c r="E3345" s="149">
        <v>0</v>
      </c>
      <c r="F3345" s="149">
        <v>601000</v>
      </c>
      <c r="G3345" s="149">
        <v>53120</v>
      </c>
      <c r="H3345" s="150" t="str">
        <f t="shared" si="156"/>
        <v>5</v>
      </c>
      <c r="I3345" s="150" t="str">
        <f t="shared" si="157"/>
        <v>53</v>
      </c>
      <c r="J3345" s="150" t="str">
        <f t="shared" si="158"/>
        <v>531</v>
      </c>
      <c r="K3345" s="150" t="s">
        <v>8688</v>
      </c>
      <c r="L3345" s="149" t="s">
        <v>485</v>
      </c>
      <c r="M3345" s="151">
        <v>43613.93</v>
      </c>
    </row>
    <row r="3346" spans="1:13" s="149" customFormat="1" x14ac:dyDescent="0.25">
      <c r="A3346" s="149" t="s">
        <v>7640</v>
      </c>
      <c r="B3346" s="149" t="s">
        <v>1010</v>
      </c>
      <c r="C3346" s="149">
        <v>11</v>
      </c>
      <c r="D3346" s="149">
        <v>300</v>
      </c>
      <c r="E3346" s="149">
        <v>0</v>
      </c>
      <c r="F3346" s="149">
        <v>601000</v>
      </c>
      <c r="G3346" s="149">
        <v>53220</v>
      </c>
      <c r="H3346" s="150" t="str">
        <f t="shared" si="156"/>
        <v>5</v>
      </c>
      <c r="I3346" s="150" t="str">
        <f t="shared" si="157"/>
        <v>53</v>
      </c>
      <c r="J3346" s="150" t="str">
        <f t="shared" si="158"/>
        <v>532</v>
      </c>
      <c r="K3346" s="150" t="s">
        <v>8689</v>
      </c>
      <c r="L3346" s="149" t="s">
        <v>487</v>
      </c>
      <c r="M3346" s="151">
        <v>59858.19</v>
      </c>
    </row>
    <row r="3347" spans="1:13" s="149" customFormat="1" x14ac:dyDescent="0.25">
      <c r="A3347" s="149" t="s">
        <v>7640</v>
      </c>
      <c r="B3347" s="149" t="s">
        <v>1011</v>
      </c>
      <c r="C3347" s="149">
        <v>11</v>
      </c>
      <c r="D3347" s="149">
        <v>300</v>
      </c>
      <c r="E3347" s="149">
        <v>0</v>
      </c>
      <c r="F3347" s="149">
        <v>601000</v>
      </c>
      <c r="G3347" s="149">
        <v>53320</v>
      </c>
      <c r="H3347" s="150" t="str">
        <f t="shared" si="156"/>
        <v>5</v>
      </c>
      <c r="I3347" s="150" t="str">
        <f t="shared" si="157"/>
        <v>53</v>
      </c>
      <c r="J3347" s="150" t="str">
        <f t="shared" si="158"/>
        <v>533</v>
      </c>
      <c r="K3347" s="150" t="s">
        <v>8690</v>
      </c>
      <c r="L3347" s="149" t="s">
        <v>489</v>
      </c>
      <c r="M3347" s="151">
        <v>19753.7</v>
      </c>
    </row>
    <row r="3348" spans="1:13" s="149" customFormat="1" x14ac:dyDescent="0.25">
      <c r="A3348" s="149" t="s">
        <v>7640</v>
      </c>
      <c r="B3348" s="149" t="s">
        <v>1012</v>
      </c>
      <c r="C3348" s="149">
        <v>11</v>
      </c>
      <c r="D3348" s="149">
        <v>300</v>
      </c>
      <c r="E3348" s="149">
        <v>0</v>
      </c>
      <c r="F3348" s="149">
        <v>601000</v>
      </c>
      <c r="G3348" s="149">
        <v>53340</v>
      </c>
      <c r="H3348" s="150" t="str">
        <f t="shared" si="156"/>
        <v>5</v>
      </c>
      <c r="I3348" s="150" t="str">
        <f t="shared" si="157"/>
        <v>53</v>
      </c>
      <c r="J3348" s="150" t="str">
        <f t="shared" si="158"/>
        <v>533</v>
      </c>
      <c r="K3348" s="150" t="s">
        <v>8691</v>
      </c>
      <c r="L3348" s="149" t="s">
        <v>491</v>
      </c>
      <c r="M3348" s="151">
        <v>8745.25</v>
      </c>
    </row>
    <row r="3349" spans="1:13" s="149" customFormat="1" x14ac:dyDescent="0.25">
      <c r="A3349" s="149" t="s">
        <v>7640</v>
      </c>
      <c r="B3349" s="149" t="s">
        <v>1013</v>
      </c>
      <c r="C3349" s="149">
        <v>11</v>
      </c>
      <c r="D3349" s="149">
        <v>300</v>
      </c>
      <c r="E3349" s="149">
        <v>0</v>
      </c>
      <c r="F3349" s="149">
        <v>601000</v>
      </c>
      <c r="G3349" s="149">
        <v>53420</v>
      </c>
      <c r="H3349" s="150" t="str">
        <f t="shared" si="156"/>
        <v>5</v>
      </c>
      <c r="I3349" s="150" t="str">
        <f t="shared" si="157"/>
        <v>53</v>
      </c>
      <c r="J3349" s="150" t="str">
        <f t="shared" si="158"/>
        <v>534</v>
      </c>
      <c r="K3349" s="150" t="s">
        <v>8692</v>
      </c>
      <c r="L3349" s="149" t="s">
        <v>493</v>
      </c>
      <c r="M3349" s="151">
        <v>110090.31</v>
      </c>
    </row>
    <row r="3350" spans="1:13" s="149" customFormat="1" x14ac:dyDescent="0.25">
      <c r="A3350" s="149" t="s">
        <v>7640</v>
      </c>
      <c r="B3350" s="149" t="s">
        <v>1014</v>
      </c>
      <c r="C3350" s="149">
        <v>11</v>
      </c>
      <c r="D3350" s="149">
        <v>300</v>
      </c>
      <c r="E3350" s="149">
        <v>0</v>
      </c>
      <c r="F3350" s="149">
        <v>601000</v>
      </c>
      <c r="G3350" s="149">
        <v>53520</v>
      </c>
      <c r="H3350" s="150" t="str">
        <f t="shared" si="156"/>
        <v>5</v>
      </c>
      <c r="I3350" s="150" t="str">
        <f t="shared" si="157"/>
        <v>53</v>
      </c>
      <c r="J3350" s="150" t="str">
        <f t="shared" si="158"/>
        <v>535</v>
      </c>
      <c r="K3350" s="150" t="s">
        <v>8693</v>
      </c>
      <c r="L3350" s="149" t="s">
        <v>495</v>
      </c>
      <c r="M3350" s="151">
        <v>302.5</v>
      </c>
    </row>
    <row r="3351" spans="1:13" s="149" customFormat="1" x14ac:dyDescent="0.25">
      <c r="A3351" s="149" t="s">
        <v>7640</v>
      </c>
      <c r="B3351" s="149" t="s">
        <v>1015</v>
      </c>
      <c r="C3351" s="149">
        <v>11</v>
      </c>
      <c r="D3351" s="149">
        <v>300</v>
      </c>
      <c r="E3351" s="149">
        <v>0</v>
      </c>
      <c r="F3351" s="149">
        <v>601000</v>
      </c>
      <c r="G3351" s="149">
        <v>53620</v>
      </c>
      <c r="H3351" s="150" t="str">
        <f t="shared" si="156"/>
        <v>5</v>
      </c>
      <c r="I3351" s="150" t="str">
        <f t="shared" si="157"/>
        <v>53</v>
      </c>
      <c r="J3351" s="150" t="str">
        <f t="shared" si="158"/>
        <v>536</v>
      </c>
      <c r="K3351" s="150" t="s">
        <v>8694</v>
      </c>
      <c r="L3351" s="149" t="s">
        <v>497</v>
      </c>
      <c r="M3351" s="151">
        <v>11541.05</v>
      </c>
    </row>
    <row r="3352" spans="1:13" s="149" customFormat="1" x14ac:dyDescent="0.25">
      <c r="A3352" s="149" t="s">
        <v>7640</v>
      </c>
      <c r="B3352" s="149" t="s">
        <v>1016</v>
      </c>
      <c r="C3352" s="149">
        <v>11</v>
      </c>
      <c r="D3352" s="149">
        <v>300</v>
      </c>
      <c r="E3352" s="149">
        <v>0</v>
      </c>
      <c r="F3352" s="149">
        <v>601000</v>
      </c>
      <c r="G3352" s="149">
        <v>53920</v>
      </c>
      <c r="H3352" s="150" t="str">
        <f t="shared" si="156"/>
        <v>5</v>
      </c>
      <c r="I3352" s="150" t="str">
        <f t="shared" si="157"/>
        <v>53</v>
      </c>
      <c r="J3352" s="150" t="str">
        <f t="shared" si="158"/>
        <v>539</v>
      </c>
      <c r="K3352" s="150" t="s">
        <v>8695</v>
      </c>
      <c r="L3352" s="149" t="s">
        <v>499</v>
      </c>
      <c r="M3352" s="151">
        <v>3378.26</v>
      </c>
    </row>
    <row r="3353" spans="1:13" s="149" customFormat="1" x14ac:dyDescent="0.25">
      <c r="A3353" s="149" t="s">
        <v>7640</v>
      </c>
      <c r="B3353" s="149" t="s">
        <v>1017</v>
      </c>
      <c r="C3353" s="149">
        <v>11</v>
      </c>
      <c r="D3353" s="149">
        <v>300</v>
      </c>
      <c r="E3353" s="149">
        <v>0</v>
      </c>
      <c r="F3353" s="149">
        <v>601000</v>
      </c>
      <c r="G3353" s="149">
        <v>54210</v>
      </c>
      <c r="H3353" s="150" t="str">
        <f t="shared" si="156"/>
        <v>5</v>
      </c>
      <c r="I3353" s="150" t="str">
        <f t="shared" si="157"/>
        <v>54</v>
      </c>
      <c r="J3353" s="150" t="str">
        <f t="shared" si="158"/>
        <v>542</v>
      </c>
      <c r="K3353" s="150" t="s">
        <v>7911</v>
      </c>
      <c r="L3353" s="149" t="s">
        <v>1018</v>
      </c>
      <c r="M3353" s="151">
        <v>0</v>
      </c>
    </row>
    <row r="3354" spans="1:13" s="149" customFormat="1" x14ac:dyDescent="0.25">
      <c r="A3354" s="149" t="s">
        <v>7640</v>
      </c>
      <c r="B3354" s="149" t="s">
        <v>1019</v>
      </c>
      <c r="C3354" s="149">
        <v>11</v>
      </c>
      <c r="D3354" s="149">
        <v>300</v>
      </c>
      <c r="E3354" s="149">
        <v>0</v>
      </c>
      <c r="F3354" s="149">
        <v>601000</v>
      </c>
      <c r="G3354" s="149">
        <v>54300</v>
      </c>
      <c r="H3354" s="150" t="str">
        <f t="shared" si="156"/>
        <v>5</v>
      </c>
      <c r="I3354" s="150" t="str">
        <f t="shared" si="157"/>
        <v>54</v>
      </c>
      <c r="J3354" s="150" t="str">
        <f t="shared" si="158"/>
        <v>543</v>
      </c>
      <c r="K3354" s="150" t="s">
        <v>7929</v>
      </c>
      <c r="L3354" s="149" t="s">
        <v>501</v>
      </c>
      <c r="M3354" s="151">
        <v>80.12</v>
      </c>
    </row>
    <row r="3355" spans="1:13" s="149" customFormat="1" x14ac:dyDescent="0.25">
      <c r="A3355" s="149" t="s">
        <v>7640</v>
      </c>
      <c r="B3355" s="149" t="s">
        <v>1020</v>
      </c>
      <c r="C3355" s="149">
        <v>11</v>
      </c>
      <c r="D3355" s="149">
        <v>300</v>
      </c>
      <c r="E3355" s="149">
        <v>0</v>
      </c>
      <c r="F3355" s="149">
        <v>601000</v>
      </c>
      <c r="G3355" s="149">
        <v>55105</v>
      </c>
      <c r="H3355" s="150" t="str">
        <f t="shared" si="156"/>
        <v>5</v>
      </c>
      <c r="I3355" s="150" t="str">
        <f t="shared" si="157"/>
        <v>55</v>
      </c>
      <c r="J3355" s="150" t="str">
        <f t="shared" si="158"/>
        <v>551</v>
      </c>
      <c r="K3355" s="150" t="s">
        <v>8010</v>
      </c>
      <c r="L3355" s="149" t="s">
        <v>1021</v>
      </c>
      <c r="M3355" s="151">
        <v>513152</v>
      </c>
    </row>
    <row r="3356" spans="1:13" s="149" customFormat="1" x14ac:dyDescent="0.25">
      <c r="A3356" s="149" t="s">
        <v>7640</v>
      </c>
      <c r="B3356" s="149" t="s">
        <v>1022</v>
      </c>
      <c r="C3356" s="149">
        <v>11</v>
      </c>
      <c r="D3356" s="149">
        <v>300</v>
      </c>
      <c r="E3356" s="149">
        <v>0</v>
      </c>
      <c r="F3356" s="149">
        <v>601000</v>
      </c>
      <c r="G3356" s="149">
        <v>55200</v>
      </c>
      <c r="H3356" s="150" t="str">
        <f t="shared" si="156"/>
        <v>5</v>
      </c>
      <c r="I3356" s="150" t="str">
        <f t="shared" si="157"/>
        <v>55</v>
      </c>
      <c r="J3356" s="150" t="str">
        <f t="shared" si="158"/>
        <v>552</v>
      </c>
      <c r="K3356" s="150" t="s">
        <v>8045</v>
      </c>
      <c r="L3356" s="149" t="s">
        <v>505</v>
      </c>
      <c r="M3356" s="151">
        <v>3250</v>
      </c>
    </row>
    <row r="3357" spans="1:13" s="149" customFormat="1" x14ac:dyDescent="0.25">
      <c r="A3357" s="149" t="s">
        <v>7640</v>
      </c>
      <c r="B3357" s="149" t="s">
        <v>1023</v>
      </c>
      <c r="C3357" s="149">
        <v>11</v>
      </c>
      <c r="D3357" s="149">
        <v>300</v>
      </c>
      <c r="E3357" s="149">
        <v>0</v>
      </c>
      <c r="F3357" s="149">
        <v>601000</v>
      </c>
      <c r="G3357" s="149">
        <v>55300</v>
      </c>
      <c r="H3357" s="150" t="str">
        <f t="shared" si="156"/>
        <v>5</v>
      </c>
      <c r="I3357" s="150" t="str">
        <f t="shared" si="157"/>
        <v>55</v>
      </c>
      <c r="J3357" s="150" t="str">
        <f t="shared" si="158"/>
        <v>553</v>
      </c>
      <c r="K3357" s="150" t="s">
        <v>8085</v>
      </c>
      <c r="L3357" s="149" t="s">
        <v>1024</v>
      </c>
      <c r="M3357" s="151">
        <v>300</v>
      </c>
    </row>
    <row r="3358" spans="1:13" s="149" customFormat="1" x14ac:dyDescent="0.25">
      <c r="A3358" s="149" t="s">
        <v>7640</v>
      </c>
      <c r="B3358" s="149" t="s">
        <v>1025</v>
      </c>
      <c r="C3358" s="149">
        <v>11</v>
      </c>
      <c r="D3358" s="149">
        <v>300</v>
      </c>
      <c r="E3358" s="149">
        <v>0</v>
      </c>
      <c r="F3358" s="149">
        <v>601000</v>
      </c>
      <c r="G3358" s="149">
        <v>55630</v>
      </c>
      <c r="H3358" s="150" t="str">
        <f t="shared" si="156"/>
        <v>5</v>
      </c>
      <c r="I3358" s="150" t="str">
        <f t="shared" si="157"/>
        <v>55</v>
      </c>
      <c r="J3358" s="150" t="str">
        <f t="shared" si="158"/>
        <v>556</v>
      </c>
      <c r="K3358" s="150" t="s">
        <v>8190</v>
      </c>
      <c r="L3358" s="149" t="s">
        <v>509</v>
      </c>
      <c r="M3358" s="151">
        <v>5.4</v>
      </c>
    </row>
    <row r="3359" spans="1:13" s="149" customFormat="1" x14ac:dyDescent="0.25">
      <c r="A3359" s="149" t="s">
        <v>7640</v>
      </c>
      <c r="B3359" s="149" t="s">
        <v>1026</v>
      </c>
      <c r="C3359" s="149">
        <v>11</v>
      </c>
      <c r="D3359" s="149">
        <v>300</v>
      </c>
      <c r="E3359" s="149">
        <v>0</v>
      </c>
      <c r="F3359" s="149">
        <v>601000</v>
      </c>
      <c r="G3359" s="149">
        <v>55635</v>
      </c>
      <c r="H3359" s="150" t="str">
        <f t="shared" si="156"/>
        <v>5</v>
      </c>
      <c r="I3359" s="150" t="str">
        <f t="shared" si="157"/>
        <v>55</v>
      </c>
      <c r="J3359" s="150" t="str">
        <f t="shared" si="158"/>
        <v>556</v>
      </c>
      <c r="K3359" s="150" t="s">
        <v>8278</v>
      </c>
      <c r="L3359" s="149" t="s">
        <v>1027</v>
      </c>
      <c r="M3359" s="151">
        <v>0</v>
      </c>
    </row>
    <row r="3360" spans="1:13" s="149" customFormat="1" x14ac:dyDescent="0.25">
      <c r="A3360" s="149" t="s">
        <v>7640</v>
      </c>
      <c r="B3360" s="149" t="s">
        <v>1028</v>
      </c>
      <c r="C3360" s="149">
        <v>11</v>
      </c>
      <c r="D3360" s="149">
        <v>300</v>
      </c>
      <c r="E3360" s="149">
        <v>0</v>
      </c>
      <c r="F3360" s="149">
        <v>601000</v>
      </c>
      <c r="G3360" s="149">
        <v>55650</v>
      </c>
      <c r="H3360" s="150" t="str">
        <f t="shared" si="156"/>
        <v>5</v>
      </c>
      <c r="I3360" s="150" t="str">
        <f t="shared" si="157"/>
        <v>55</v>
      </c>
      <c r="J3360" s="150" t="str">
        <f t="shared" si="158"/>
        <v>556</v>
      </c>
      <c r="K3360" s="150" t="s">
        <v>8294</v>
      </c>
      <c r="L3360" s="149" t="s">
        <v>511</v>
      </c>
      <c r="M3360" s="151">
        <v>0</v>
      </c>
    </row>
    <row r="3361" spans="1:13" s="149" customFormat="1" x14ac:dyDescent="0.25">
      <c r="A3361" s="149" t="s">
        <v>7640</v>
      </c>
      <c r="B3361" s="149" t="s">
        <v>1029</v>
      </c>
      <c r="C3361" s="149">
        <v>11</v>
      </c>
      <c r="D3361" s="149">
        <v>300</v>
      </c>
      <c r="E3361" s="149">
        <v>0</v>
      </c>
      <c r="F3361" s="149">
        <v>612000</v>
      </c>
      <c r="G3361" s="149">
        <v>56310</v>
      </c>
      <c r="H3361" s="150" t="str">
        <f t="shared" si="156"/>
        <v>5</v>
      </c>
      <c r="I3361" s="150" t="str">
        <f t="shared" si="157"/>
        <v>56</v>
      </c>
      <c r="J3361" s="150" t="str">
        <f t="shared" si="158"/>
        <v>563</v>
      </c>
      <c r="K3361" s="150" t="s">
        <v>8363</v>
      </c>
      <c r="L3361" s="149" t="s">
        <v>1030</v>
      </c>
      <c r="M3361" s="151">
        <v>129.47999999999999</v>
      </c>
    </row>
    <row r="3362" spans="1:13" s="149" customFormat="1" x14ac:dyDescent="0.25">
      <c r="A3362" s="149" t="s">
        <v>7640</v>
      </c>
      <c r="B3362" s="149" t="s">
        <v>1031</v>
      </c>
      <c r="C3362" s="149">
        <v>11</v>
      </c>
      <c r="D3362" s="149">
        <v>300</v>
      </c>
      <c r="E3362" s="149">
        <v>0</v>
      </c>
      <c r="F3362" s="149">
        <v>675020</v>
      </c>
      <c r="G3362" s="149">
        <v>51200</v>
      </c>
      <c r="H3362" s="150" t="str">
        <f t="shared" si="156"/>
        <v>5</v>
      </c>
      <c r="I3362" s="150" t="str">
        <f t="shared" si="157"/>
        <v>51</v>
      </c>
      <c r="J3362" s="150" t="str">
        <f t="shared" si="158"/>
        <v>512</v>
      </c>
      <c r="K3362" s="150" t="s">
        <v>8696</v>
      </c>
      <c r="L3362" s="149" t="s">
        <v>1032</v>
      </c>
      <c r="M3362" s="151">
        <v>109666.91</v>
      </c>
    </row>
    <row r="3363" spans="1:13" s="149" customFormat="1" x14ac:dyDescent="0.25">
      <c r="A3363" s="149" t="s">
        <v>7640</v>
      </c>
      <c r="B3363" s="149" t="s">
        <v>1033</v>
      </c>
      <c r="C3363" s="149">
        <v>11</v>
      </c>
      <c r="D3363" s="149">
        <v>300</v>
      </c>
      <c r="E3363" s="149">
        <v>0</v>
      </c>
      <c r="F3363" s="149">
        <v>675020</v>
      </c>
      <c r="G3363" s="149">
        <v>53120</v>
      </c>
      <c r="H3363" s="150" t="str">
        <f t="shared" si="156"/>
        <v>5</v>
      </c>
      <c r="I3363" s="150" t="str">
        <f t="shared" si="157"/>
        <v>53</v>
      </c>
      <c r="J3363" s="150" t="str">
        <f t="shared" si="158"/>
        <v>531</v>
      </c>
      <c r="K3363" s="150" t="s">
        <v>8697</v>
      </c>
      <c r="L3363" s="149" t="s">
        <v>1034</v>
      </c>
      <c r="M3363" s="151">
        <v>17711.22</v>
      </c>
    </row>
    <row r="3364" spans="1:13" s="149" customFormat="1" x14ac:dyDescent="0.25">
      <c r="A3364" s="149" t="s">
        <v>7640</v>
      </c>
      <c r="B3364" s="149" t="s">
        <v>1035</v>
      </c>
      <c r="C3364" s="149">
        <v>11</v>
      </c>
      <c r="D3364" s="149">
        <v>300</v>
      </c>
      <c r="E3364" s="149">
        <v>0</v>
      </c>
      <c r="F3364" s="149">
        <v>675020</v>
      </c>
      <c r="G3364" s="149">
        <v>53340</v>
      </c>
      <c r="H3364" s="150" t="str">
        <f t="shared" si="156"/>
        <v>5</v>
      </c>
      <c r="I3364" s="150" t="str">
        <f t="shared" si="157"/>
        <v>53</v>
      </c>
      <c r="J3364" s="150" t="str">
        <f t="shared" si="158"/>
        <v>533</v>
      </c>
      <c r="K3364" s="150" t="s">
        <v>8698</v>
      </c>
      <c r="L3364" s="149" t="s">
        <v>1036</v>
      </c>
      <c r="M3364" s="151">
        <v>1581.34</v>
      </c>
    </row>
    <row r="3365" spans="1:13" s="149" customFormat="1" x14ac:dyDescent="0.25">
      <c r="A3365" s="149" t="s">
        <v>7640</v>
      </c>
      <c r="B3365" s="149" t="s">
        <v>1037</v>
      </c>
      <c r="C3365" s="149">
        <v>11</v>
      </c>
      <c r="D3365" s="149">
        <v>300</v>
      </c>
      <c r="E3365" s="149">
        <v>0</v>
      </c>
      <c r="F3365" s="149">
        <v>675020</v>
      </c>
      <c r="G3365" s="149">
        <v>53420</v>
      </c>
      <c r="H3365" s="150" t="str">
        <f t="shared" si="156"/>
        <v>5</v>
      </c>
      <c r="I3365" s="150" t="str">
        <f t="shared" si="157"/>
        <v>53</v>
      </c>
      <c r="J3365" s="150" t="str">
        <f t="shared" si="158"/>
        <v>534</v>
      </c>
      <c r="K3365" s="150" t="s">
        <v>8699</v>
      </c>
      <c r="L3365" s="149" t="s">
        <v>1038</v>
      </c>
      <c r="M3365" s="151">
        <v>24103.23</v>
      </c>
    </row>
    <row r="3366" spans="1:13" s="149" customFormat="1" x14ac:dyDescent="0.25">
      <c r="A3366" s="149" t="s">
        <v>7640</v>
      </c>
      <c r="B3366" s="149" t="s">
        <v>1039</v>
      </c>
      <c r="C3366" s="149">
        <v>11</v>
      </c>
      <c r="D3366" s="149">
        <v>300</v>
      </c>
      <c r="E3366" s="149">
        <v>0</v>
      </c>
      <c r="F3366" s="149">
        <v>675020</v>
      </c>
      <c r="G3366" s="149">
        <v>53520</v>
      </c>
      <c r="H3366" s="150" t="str">
        <f t="shared" si="156"/>
        <v>5</v>
      </c>
      <c r="I3366" s="150" t="str">
        <f t="shared" si="157"/>
        <v>53</v>
      </c>
      <c r="J3366" s="150" t="str">
        <f t="shared" si="158"/>
        <v>535</v>
      </c>
      <c r="K3366" s="150" t="s">
        <v>8700</v>
      </c>
      <c r="L3366" s="149" t="s">
        <v>1040</v>
      </c>
      <c r="M3366" s="151">
        <v>54.85</v>
      </c>
    </row>
    <row r="3367" spans="1:13" s="149" customFormat="1" x14ac:dyDescent="0.25">
      <c r="A3367" s="149" t="s">
        <v>7640</v>
      </c>
      <c r="B3367" s="149" t="s">
        <v>1041</v>
      </c>
      <c r="C3367" s="149">
        <v>11</v>
      </c>
      <c r="D3367" s="149">
        <v>300</v>
      </c>
      <c r="E3367" s="149">
        <v>0</v>
      </c>
      <c r="F3367" s="149">
        <v>675020</v>
      </c>
      <c r="G3367" s="149">
        <v>53620</v>
      </c>
      <c r="H3367" s="150" t="str">
        <f t="shared" si="156"/>
        <v>5</v>
      </c>
      <c r="I3367" s="150" t="str">
        <f t="shared" si="157"/>
        <v>53</v>
      </c>
      <c r="J3367" s="150" t="str">
        <f t="shared" si="158"/>
        <v>536</v>
      </c>
      <c r="K3367" s="150" t="s">
        <v>8701</v>
      </c>
      <c r="L3367" s="149" t="s">
        <v>1042</v>
      </c>
      <c r="M3367" s="151">
        <v>2073.61</v>
      </c>
    </row>
    <row r="3368" spans="1:13" s="149" customFormat="1" x14ac:dyDescent="0.25">
      <c r="A3368" s="149" t="s">
        <v>7640</v>
      </c>
      <c r="B3368" s="149" t="s">
        <v>1043</v>
      </c>
      <c r="C3368" s="149">
        <v>11</v>
      </c>
      <c r="D3368" s="149">
        <v>300</v>
      </c>
      <c r="E3368" s="149">
        <v>0</v>
      </c>
      <c r="F3368" s="149">
        <v>675020</v>
      </c>
      <c r="G3368" s="149">
        <v>55630</v>
      </c>
      <c r="H3368" s="150" t="str">
        <f t="shared" si="156"/>
        <v>5</v>
      </c>
      <c r="I3368" s="150" t="str">
        <f t="shared" si="157"/>
        <v>55</v>
      </c>
      <c r="J3368" s="150" t="str">
        <f t="shared" si="158"/>
        <v>556</v>
      </c>
      <c r="K3368" s="150" t="s">
        <v>8191</v>
      </c>
      <c r="L3368" s="149" t="s">
        <v>143</v>
      </c>
      <c r="M3368" s="151">
        <v>1.63</v>
      </c>
    </row>
    <row r="3369" spans="1:13" s="149" customFormat="1" x14ac:dyDescent="0.25">
      <c r="A3369" s="149" t="s">
        <v>7640</v>
      </c>
      <c r="B3369" s="149" t="s">
        <v>1044</v>
      </c>
      <c r="C3369" s="149">
        <v>11</v>
      </c>
      <c r="D3369" s="149">
        <v>300</v>
      </c>
      <c r="E3369" s="149">
        <v>4</v>
      </c>
      <c r="F3369" s="149">
        <v>490000</v>
      </c>
      <c r="G3369" s="149">
        <v>51311</v>
      </c>
      <c r="H3369" s="150" t="str">
        <f t="shared" si="156"/>
        <v>5</v>
      </c>
      <c r="I3369" s="150" t="str">
        <f t="shared" si="157"/>
        <v>51</v>
      </c>
      <c r="J3369" s="150" t="str">
        <f t="shared" si="158"/>
        <v>513</v>
      </c>
      <c r="K3369" s="150" t="s">
        <v>7718</v>
      </c>
      <c r="L3369" s="149" t="s">
        <v>1045</v>
      </c>
      <c r="M3369" s="151">
        <v>0</v>
      </c>
    </row>
    <row r="3370" spans="1:13" s="149" customFormat="1" x14ac:dyDescent="0.25">
      <c r="A3370" s="149" t="s">
        <v>7640</v>
      </c>
      <c r="B3370" s="149" t="s">
        <v>1046</v>
      </c>
      <c r="C3370" s="149">
        <v>11</v>
      </c>
      <c r="D3370" s="149">
        <v>300</v>
      </c>
      <c r="E3370" s="149">
        <v>4</v>
      </c>
      <c r="F3370" s="149">
        <v>490000</v>
      </c>
      <c r="G3370" s="149">
        <v>53110</v>
      </c>
      <c r="H3370" s="150" t="str">
        <f t="shared" si="156"/>
        <v>5</v>
      </c>
      <c r="I3370" s="150" t="str">
        <f t="shared" si="157"/>
        <v>53</v>
      </c>
      <c r="J3370" s="150" t="str">
        <f t="shared" si="158"/>
        <v>531</v>
      </c>
      <c r="K3370" s="150" t="s">
        <v>8702</v>
      </c>
      <c r="L3370" s="149" t="s">
        <v>1047</v>
      </c>
      <c r="M3370" s="151">
        <v>0</v>
      </c>
    </row>
    <row r="3371" spans="1:13" s="149" customFormat="1" x14ac:dyDescent="0.25">
      <c r="A3371" s="149" t="s">
        <v>7640</v>
      </c>
      <c r="B3371" s="149" t="s">
        <v>1048</v>
      </c>
      <c r="C3371" s="149">
        <v>11</v>
      </c>
      <c r="D3371" s="149">
        <v>300</v>
      </c>
      <c r="E3371" s="149">
        <v>4</v>
      </c>
      <c r="F3371" s="149">
        <v>490000</v>
      </c>
      <c r="G3371" s="149">
        <v>53330</v>
      </c>
      <c r="H3371" s="150" t="str">
        <f t="shared" si="156"/>
        <v>5</v>
      </c>
      <c r="I3371" s="150" t="str">
        <f t="shared" si="157"/>
        <v>53</v>
      </c>
      <c r="J3371" s="150" t="str">
        <f t="shared" si="158"/>
        <v>533</v>
      </c>
      <c r="K3371" s="150" t="s">
        <v>8703</v>
      </c>
      <c r="L3371" s="149" t="s">
        <v>1049</v>
      </c>
      <c r="M3371" s="151">
        <v>0</v>
      </c>
    </row>
    <row r="3372" spans="1:13" s="149" customFormat="1" x14ac:dyDescent="0.25">
      <c r="A3372" s="149" t="s">
        <v>7640</v>
      </c>
      <c r="B3372" s="149" t="s">
        <v>1050</v>
      </c>
      <c r="C3372" s="149">
        <v>11</v>
      </c>
      <c r="D3372" s="149">
        <v>300</v>
      </c>
      <c r="E3372" s="149">
        <v>4</v>
      </c>
      <c r="F3372" s="149">
        <v>490000</v>
      </c>
      <c r="G3372" s="149">
        <v>53510</v>
      </c>
      <c r="H3372" s="150" t="str">
        <f t="shared" si="156"/>
        <v>5</v>
      </c>
      <c r="I3372" s="150" t="str">
        <f t="shared" si="157"/>
        <v>53</v>
      </c>
      <c r="J3372" s="150" t="str">
        <f t="shared" si="158"/>
        <v>535</v>
      </c>
      <c r="K3372" s="150" t="s">
        <v>8704</v>
      </c>
      <c r="L3372" s="149" t="s">
        <v>1051</v>
      </c>
      <c r="M3372" s="151">
        <v>0</v>
      </c>
    </row>
    <row r="3373" spans="1:13" s="149" customFormat="1" x14ac:dyDescent="0.25">
      <c r="A3373" s="149" t="s">
        <v>7640</v>
      </c>
      <c r="B3373" s="149" t="s">
        <v>1052</v>
      </c>
      <c r="C3373" s="149">
        <v>11</v>
      </c>
      <c r="D3373" s="149">
        <v>300</v>
      </c>
      <c r="E3373" s="149">
        <v>4</v>
      </c>
      <c r="F3373" s="149">
        <v>490000</v>
      </c>
      <c r="G3373" s="149">
        <v>53610</v>
      </c>
      <c r="H3373" s="150" t="str">
        <f t="shared" si="156"/>
        <v>5</v>
      </c>
      <c r="I3373" s="150" t="str">
        <f t="shared" si="157"/>
        <v>53</v>
      </c>
      <c r="J3373" s="150" t="str">
        <f t="shared" si="158"/>
        <v>536</v>
      </c>
      <c r="K3373" s="150" t="s">
        <v>8705</v>
      </c>
      <c r="L3373" s="149" t="s">
        <v>1053</v>
      </c>
      <c r="M3373" s="151">
        <v>0</v>
      </c>
    </row>
    <row r="3374" spans="1:13" s="149" customFormat="1" x14ac:dyDescent="0.25">
      <c r="A3374" s="149" t="s">
        <v>7640</v>
      </c>
      <c r="B3374" s="149" t="s">
        <v>1054</v>
      </c>
      <c r="C3374" s="149">
        <v>11</v>
      </c>
      <c r="D3374" s="149">
        <v>300</v>
      </c>
      <c r="E3374" s="149">
        <v>4</v>
      </c>
      <c r="F3374" s="149">
        <v>601000</v>
      </c>
      <c r="G3374" s="149">
        <v>55650</v>
      </c>
      <c r="H3374" s="150" t="str">
        <f t="shared" si="156"/>
        <v>5</v>
      </c>
      <c r="I3374" s="150" t="str">
        <f t="shared" si="157"/>
        <v>55</v>
      </c>
      <c r="J3374" s="150" t="str">
        <f t="shared" si="158"/>
        <v>556</v>
      </c>
      <c r="K3374" s="150" t="s">
        <v>8295</v>
      </c>
      <c r="L3374" s="149" t="s">
        <v>511</v>
      </c>
      <c r="M3374" s="151">
        <v>0</v>
      </c>
    </row>
    <row r="3375" spans="1:13" s="149" customFormat="1" x14ac:dyDescent="0.25">
      <c r="A3375" s="149" t="s">
        <v>7640</v>
      </c>
      <c r="B3375" s="149" t="s">
        <v>1055</v>
      </c>
      <c r="C3375" s="149">
        <v>11</v>
      </c>
      <c r="D3375" s="149">
        <v>301</v>
      </c>
      <c r="E3375" s="149">
        <v>0</v>
      </c>
      <c r="F3375" s="149">
        <v>601000</v>
      </c>
      <c r="G3375" s="149">
        <v>51210</v>
      </c>
      <c r="H3375" s="150" t="str">
        <f t="shared" si="156"/>
        <v>5</v>
      </c>
      <c r="I3375" s="150" t="str">
        <f t="shared" si="157"/>
        <v>51</v>
      </c>
      <c r="J3375" s="150" t="str">
        <f t="shared" si="158"/>
        <v>512</v>
      </c>
      <c r="K3375" s="150" t="s">
        <v>8706</v>
      </c>
      <c r="L3375" s="149" t="s">
        <v>477</v>
      </c>
      <c r="M3375" s="151">
        <v>109336.7</v>
      </c>
    </row>
    <row r="3376" spans="1:13" s="149" customFormat="1" x14ac:dyDescent="0.25">
      <c r="A3376" s="149" t="s">
        <v>7640</v>
      </c>
      <c r="B3376" s="149" t="s">
        <v>1056</v>
      </c>
      <c r="C3376" s="149">
        <v>11</v>
      </c>
      <c r="D3376" s="149">
        <v>301</v>
      </c>
      <c r="E3376" s="149">
        <v>0</v>
      </c>
      <c r="F3376" s="149">
        <v>601000</v>
      </c>
      <c r="G3376" s="149">
        <v>51412</v>
      </c>
      <c r="H3376" s="150" t="str">
        <f t="shared" si="156"/>
        <v>5</v>
      </c>
      <c r="I3376" s="150" t="str">
        <f t="shared" si="157"/>
        <v>51</v>
      </c>
      <c r="J3376" s="150" t="str">
        <f t="shared" si="158"/>
        <v>514</v>
      </c>
      <c r="K3376" s="150" t="s">
        <v>7785</v>
      </c>
      <c r="L3376" s="149" t="s">
        <v>479</v>
      </c>
      <c r="M3376" s="151">
        <v>0</v>
      </c>
    </row>
    <row r="3377" spans="1:13" s="149" customFormat="1" x14ac:dyDescent="0.25">
      <c r="A3377" s="149" t="s">
        <v>7640</v>
      </c>
      <c r="B3377" s="149" t="s">
        <v>1057</v>
      </c>
      <c r="C3377" s="149">
        <v>11</v>
      </c>
      <c r="D3377" s="149">
        <v>301</v>
      </c>
      <c r="E3377" s="149">
        <v>0</v>
      </c>
      <c r="F3377" s="149">
        <v>601000</v>
      </c>
      <c r="G3377" s="149">
        <v>52105</v>
      </c>
      <c r="H3377" s="150" t="str">
        <f t="shared" si="156"/>
        <v>5</v>
      </c>
      <c r="I3377" s="150" t="str">
        <f t="shared" si="157"/>
        <v>52</v>
      </c>
      <c r="J3377" s="150" t="str">
        <f t="shared" si="158"/>
        <v>521</v>
      </c>
      <c r="K3377" s="150" t="s">
        <v>8707</v>
      </c>
      <c r="L3377" s="149" t="s">
        <v>481</v>
      </c>
      <c r="M3377" s="151">
        <v>53079.19</v>
      </c>
    </row>
    <row r="3378" spans="1:13" s="149" customFormat="1" x14ac:dyDescent="0.25">
      <c r="A3378" s="149" t="s">
        <v>7640</v>
      </c>
      <c r="B3378" s="149" t="s">
        <v>1058</v>
      </c>
      <c r="C3378" s="149">
        <v>11</v>
      </c>
      <c r="D3378" s="149">
        <v>301</v>
      </c>
      <c r="E3378" s="149">
        <v>0</v>
      </c>
      <c r="F3378" s="149">
        <v>601000</v>
      </c>
      <c r="G3378" s="149">
        <v>52300</v>
      </c>
      <c r="H3378" s="150" t="str">
        <f t="shared" si="156"/>
        <v>5</v>
      </c>
      <c r="I3378" s="150" t="str">
        <f t="shared" si="157"/>
        <v>52</v>
      </c>
      <c r="J3378" s="150" t="str">
        <f t="shared" si="158"/>
        <v>523</v>
      </c>
      <c r="K3378" s="150" t="s">
        <v>7819</v>
      </c>
      <c r="L3378" s="149" t="s">
        <v>483</v>
      </c>
      <c r="M3378" s="151">
        <v>0</v>
      </c>
    </row>
    <row r="3379" spans="1:13" s="149" customFormat="1" x14ac:dyDescent="0.25">
      <c r="A3379" s="149" t="s">
        <v>7640</v>
      </c>
      <c r="B3379" s="149" t="s">
        <v>1059</v>
      </c>
      <c r="C3379" s="149">
        <v>11</v>
      </c>
      <c r="D3379" s="149">
        <v>301</v>
      </c>
      <c r="E3379" s="149">
        <v>0</v>
      </c>
      <c r="F3379" s="149">
        <v>601000</v>
      </c>
      <c r="G3379" s="149">
        <v>52360</v>
      </c>
      <c r="H3379" s="150" t="str">
        <f t="shared" si="156"/>
        <v>5</v>
      </c>
      <c r="I3379" s="150" t="str">
        <f t="shared" si="157"/>
        <v>52</v>
      </c>
      <c r="J3379" s="150" t="str">
        <f t="shared" si="158"/>
        <v>523</v>
      </c>
      <c r="K3379" s="150" t="s">
        <v>7865</v>
      </c>
      <c r="L3379" s="149" t="s">
        <v>1008</v>
      </c>
      <c r="M3379" s="151">
        <v>3551.39</v>
      </c>
    </row>
    <row r="3380" spans="1:13" s="149" customFormat="1" x14ac:dyDescent="0.25">
      <c r="A3380" s="149" t="s">
        <v>7640</v>
      </c>
      <c r="B3380" s="149" t="s">
        <v>1060</v>
      </c>
      <c r="C3380" s="149">
        <v>11</v>
      </c>
      <c r="D3380" s="149">
        <v>301</v>
      </c>
      <c r="E3380" s="149">
        <v>0</v>
      </c>
      <c r="F3380" s="149">
        <v>601000</v>
      </c>
      <c r="G3380" s="149">
        <v>53120</v>
      </c>
      <c r="H3380" s="150" t="str">
        <f t="shared" si="156"/>
        <v>5</v>
      </c>
      <c r="I3380" s="150" t="str">
        <f t="shared" si="157"/>
        <v>53</v>
      </c>
      <c r="J3380" s="150" t="str">
        <f t="shared" si="158"/>
        <v>531</v>
      </c>
      <c r="K3380" s="150" t="s">
        <v>8708</v>
      </c>
      <c r="L3380" s="149" t="s">
        <v>485</v>
      </c>
      <c r="M3380" s="151">
        <v>0</v>
      </c>
    </row>
    <row r="3381" spans="1:13" s="149" customFormat="1" x14ac:dyDescent="0.25">
      <c r="A3381" s="149" t="s">
        <v>7640</v>
      </c>
      <c r="B3381" s="149" t="s">
        <v>1061</v>
      </c>
      <c r="C3381" s="149">
        <v>11</v>
      </c>
      <c r="D3381" s="149">
        <v>301</v>
      </c>
      <c r="E3381" s="149">
        <v>0</v>
      </c>
      <c r="F3381" s="149">
        <v>601000</v>
      </c>
      <c r="G3381" s="149">
        <v>53220</v>
      </c>
      <c r="H3381" s="150" t="str">
        <f t="shared" si="156"/>
        <v>5</v>
      </c>
      <c r="I3381" s="150" t="str">
        <f t="shared" si="157"/>
        <v>53</v>
      </c>
      <c r="J3381" s="150" t="str">
        <f t="shared" si="158"/>
        <v>532</v>
      </c>
      <c r="K3381" s="150" t="s">
        <v>8709</v>
      </c>
      <c r="L3381" s="149" t="s">
        <v>487</v>
      </c>
      <c r="M3381" s="151">
        <v>34115.68</v>
      </c>
    </row>
    <row r="3382" spans="1:13" s="149" customFormat="1" x14ac:dyDescent="0.25">
      <c r="A3382" s="149" t="s">
        <v>7640</v>
      </c>
      <c r="B3382" s="149" t="s">
        <v>1062</v>
      </c>
      <c r="C3382" s="149">
        <v>11</v>
      </c>
      <c r="D3382" s="149">
        <v>301</v>
      </c>
      <c r="E3382" s="149">
        <v>0</v>
      </c>
      <c r="F3382" s="149">
        <v>601000</v>
      </c>
      <c r="G3382" s="149">
        <v>53320</v>
      </c>
      <c r="H3382" s="150" t="str">
        <f t="shared" si="156"/>
        <v>5</v>
      </c>
      <c r="I3382" s="150" t="str">
        <f t="shared" si="157"/>
        <v>53</v>
      </c>
      <c r="J3382" s="150" t="str">
        <f t="shared" si="158"/>
        <v>533</v>
      </c>
      <c r="K3382" s="150" t="s">
        <v>8710</v>
      </c>
      <c r="L3382" s="149" t="s">
        <v>489</v>
      </c>
      <c r="M3382" s="151">
        <v>10163.08</v>
      </c>
    </row>
    <row r="3383" spans="1:13" s="149" customFormat="1" x14ac:dyDescent="0.25">
      <c r="A3383" s="149" t="s">
        <v>7640</v>
      </c>
      <c r="B3383" s="149" t="s">
        <v>1063</v>
      </c>
      <c r="C3383" s="149">
        <v>11</v>
      </c>
      <c r="D3383" s="149">
        <v>301</v>
      </c>
      <c r="E3383" s="149">
        <v>0</v>
      </c>
      <c r="F3383" s="149">
        <v>601000</v>
      </c>
      <c r="G3383" s="149">
        <v>53340</v>
      </c>
      <c r="H3383" s="150" t="str">
        <f t="shared" si="156"/>
        <v>5</v>
      </c>
      <c r="I3383" s="150" t="str">
        <f t="shared" si="157"/>
        <v>53</v>
      </c>
      <c r="J3383" s="150" t="str">
        <f t="shared" si="158"/>
        <v>533</v>
      </c>
      <c r="K3383" s="150" t="s">
        <v>8711</v>
      </c>
      <c r="L3383" s="149" t="s">
        <v>491</v>
      </c>
      <c r="M3383" s="151">
        <v>2376.84</v>
      </c>
    </row>
    <row r="3384" spans="1:13" s="149" customFormat="1" x14ac:dyDescent="0.25">
      <c r="A3384" s="149" t="s">
        <v>7640</v>
      </c>
      <c r="B3384" s="149" t="s">
        <v>1064</v>
      </c>
      <c r="C3384" s="149">
        <v>11</v>
      </c>
      <c r="D3384" s="149">
        <v>301</v>
      </c>
      <c r="E3384" s="149">
        <v>0</v>
      </c>
      <c r="F3384" s="149">
        <v>601000</v>
      </c>
      <c r="G3384" s="149">
        <v>53420</v>
      </c>
      <c r="H3384" s="150" t="str">
        <f t="shared" si="156"/>
        <v>5</v>
      </c>
      <c r="I3384" s="150" t="str">
        <f t="shared" si="157"/>
        <v>53</v>
      </c>
      <c r="J3384" s="150" t="str">
        <f t="shared" si="158"/>
        <v>534</v>
      </c>
      <c r="K3384" s="150" t="s">
        <v>8712</v>
      </c>
      <c r="L3384" s="149" t="s">
        <v>493</v>
      </c>
      <c r="M3384" s="151">
        <v>45923.22</v>
      </c>
    </row>
    <row r="3385" spans="1:13" s="149" customFormat="1" x14ac:dyDescent="0.25">
      <c r="A3385" s="149" t="s">
        <v>7640</v>
      </c>
      <c r="B3385" s="149" t="s">
        <v>1065</v>
      </c>
      <c r="C3385" s="149">
        <v>11</v>
      </c>
      <c r="D3385" s="149">
        <v>301</v>
      </c>
      <c r="E3385" s="149">
        <v>0</v>
      </c>
      <c r="F3385" s="149">
        <v>601000</v>
      </c>
      <c r="G3385" s="149">
        <v>53520</v>
      </c>
      <c r="H3385" s="150" t="str">
        <f t="shared" si="156"/>
        <v>5</v>
      </c>
      <c r="I3385" s="150" t="str">
        <f t="shared" si="157"/>
        <v>53</v>
      </c>
      <c r="J3385" s="150" t="str">
        <f t="shared" si="158"/>
        <v>535</v>
      </c>
      <c r="K3385" s="150" t="s">
        <v>8713</v>
      </c>
      <c r="L3385" s="149" t="s">
        <v>495</v>
      </c>
      <c r="M3385" s="151">
        <v>82.46</v>
      </c>
    </row>
    <row r="3386" spans="1:13" s="149" customFormat="1" x14ac:dyDescent="0.25">
      <c r="A3386" s="149" t="s">
        <v>7640</v>
      </c>
      <c r="B3386" s="149" t="s">
        <v>1066</v>
      </c>
      <c r="C3386" s="149">
        <v>11</v>
      </c>
      <c r="D3386" s="149">
        <v>301</v>
      </c>
      <c r="E3386" s="149">
        <v>0</v>
      </c>
      <c r="F3386" s="149">
        <v>601000</v>
      </c>
      <c r="G3386" s="149">
        <v>53620</v>
      </c>
      <c r="H3386" s="150" t="str">
        <f t="shared" si="156"/>
        <v>5</v>
      </c>
      <c r="I3386" s="150" t="str">
        <f t="shared" si="157"/>
        <v>53</v>
      </c>
      <c r="J3386" s="150" t="str">
        <f t="shared" si="158"/>
        <v>536</v>
      </c>
      <c r="K3386" s="150" t="s">
        <v>8714</v>
      </c>
      <c r="L3386" s="149" t="s">
        <v>497</v>
      </c>
      <c r="M3386" s="151">
        <v>3140.49</v>
      </c>
    </row>
    <row r="3387" spans="1:13" s="149" customFormat="1" x14ac:dyDescent="0.25">
      <c r="A3387" s="149" t="s">
        <v>7640</v>
      </c>
      <c r="B3387" s="149" t="s">
        <v>1067</v>
      </c>
      <c r="C3387" s="149">
        <v>11</v>
      </c>
      <c r="D3387" s="149">
        <v>301</v>
      </c>
      <c r="E3387" s="149">
        <v>0</v>
      </c>
      <c r="F3387" s="149">
        <v>601000</v>
      </c>
      <c r="G3387" s="149">
        <v>53920</v>
      </c>
      <c r="H3387" s="150" t="str">
        <f t="shared" si="156"/>
        <v>5</v>
      </c>
      <c r="I3387" s="150" t="str">
        <f t="shared" si="157"/>
        <v>53</v>
      </c>
      <c r="J3387" s="150" t="str">
        <f t="shared" si="158"/>
        <v>539</v>
      </c>
      <c r="K3387" s="150" t="s">
        <v>8715</v>
      </c>
      <c r="L3387" s="149" t="s">
        <v>499</v>
      </c>
      <c r="M3387" s="151">
        <v>1800</v>
      </c>
    </row>
    <row r="3388" spans="1:13" s="149" customFormat="1" x14ac:dyDescent="0.25">
      <c r="A3388" s="149" t="s">
        <v>7640</v>
      </c>
      <c r="B3388" s="149" t="s">
        <v>1068</v>
      </c>
      <c r="C3388" s="149">
        <v>11</v>
      </c>
      <c r="D3388" s="149">
        <v>301</v>
      </c>
      <c r="E3388" s="149">
        <v>0</v>
      </c>
      <c r="F3388" s="149">
        <v>601000</v>
      </c>
      <c r="G3388" s="149">
        <v>54300</v>
      </c>
      <c r="H3388" s="150" t="str">
        <f t="shared" si="156"/>
        <v>5</v>
      </c>
      <c r="I3388" s="150" t="str">
        <f t="shared" si="157"/>
        <v>54</v>
      </c>
      <c r="J3388" s="150" t="str">
        <f t="shared" si="158"/>
        <v>543</v>
      </c>
      <c r="K3388" s="150" t="s">
        <v>7930</v>
      </c>
      <c r="L3388" s="149" t="s">
        <v>501</v>
      </c>
      <c r="M3388" s="151">
        <v>60.08</v>
      </c>
    </row>
    <row r="3389" spans="1:13" s="149" customFormat="1" x14ac:dyDescent="0.25">
      <c r="A3389" s="149" t="s">
        <v>7640</v>
      </c>
      <c r="B3389" s="149" t="s">
        <v>1069</v>
      </c>
      <c r="C3389" s="149">
        <v>11</v>
      </c>
      <c r="D3389" s="149">
        <v>301</v>
      </c>
      <c r="E3389" s="149">
        <v>0</v>
      </c>
      <c r="F3389" s="149">
        <v>601000</v>
      </c>
      <c r="G3389" s="149">
        <v>55200</v>
      </c>
      <c r="H3389" s="150" t="str">
        <f t="shared" si="156"/>
        <v>5</v>
      </c>
      <c r="I3389" s="150" t="str">
        <f t="shared" si="157"/>
        <v>55</v>
      </c>
      <c r="J3389" s="150" t="str">
        <f t="shared" si="158"/>
        <v>552</v>
      </c>
      <c r="K3389" s="150" t="s">
        <v>8046</v>
      </c>
      <c r="L3389" s="149" t="s">
        <v>505</v>
      </c>
      <c r="M3389" s="151">
        <v>950</v>
      </c>
    </row>
    <row r="3390" spans="1:13" s="149" customFormat="1" x14ac:dyDescent="0.25">
      <c r="A3390" s="149" t="s">
        <v>7640</v>
      </c>
      <c r="B3390" s="149" t="s">
        <v>1070</v>
      </c>
      <c r="C3390" s="149">
        <v>11</v>
      </c>
      <c r="D3390" s="149">
        <v>301</v>
      </c>
      <c r="E3390" s="149">
        <v>0</v>
      </c>
      <c r="F3390" s="149">
        <v>601000</v>
      </c>
      <c r="G3390" s="149">
        <v>55630</v>
      </c>
      <c r="H3390" s="150" t="str">
        <f t="shared" si="156"/>
        <v>5</v>
      </c>
      <c r="I3390" s="150" t="str">
        <f t="shared" si="157"/>
        <v>55</v>
      </c>
      <c r="J3390" s="150" t="str">
        <f t="shared" si="158"/>
        <v>556</v>
      </c>
      <c r="K3390" s="150" t="s">
        <v>8192</v>
      </c>
      <c r="L3390" s="149" t="s">
        <v>509</v>
      </c>
      <c r="M3390" s="151">
        <v>30.84</v>
      </c>
    </row>
    <row r="3391" spans="1:13" s="149" customFormat="1" x14ac:dyDescent="0.25">
      <c r="A3391" s="149" t="s">
        <v>7640</v>
      </c>
      <c r="B3391" s="149" t="s">
        <v>1071</v>
      </c>
      <c r="C3391" s="149">
        <v>11</v>
      </c>
      <c r="D3391" s="149">
        <v>304</v>
      </c>
      <c r="E3391" s="149">
        <v>0</v>
      </c>
      <c r="F3391" s="149">
        <v>601000</v>
      </c>
      <c r="G3391" s="149">
        <v>51210</v>
      </c>
      <c r="H3391" s="150" t="str">
        <f t="shared" si="156"/>
        <v>5</v>
      </c>
      <c r="I3391" s="150" t="str">
        <f t="shared" si="157"/>
        <v>51</v>
      </c>
      <c r="J3391" s="150" t="str">
        <f t="shared" si="158"/>
        <v>512</v>
      </c>
      <c r="K3391" s="150" t="s">
        <v>8716</v>
      </c>
      <c r="L3391" s="149" t="s">
        <v>477</v>
      </c>
      <c r="M3391" s="151">
        <v>129917.25</v>
      </c>
    </row>
    <row r="3392" spans="1:13" s="149" customFormat="1" x14ac:dyDescent="0.25">
      <c r="A3392" s="149" t="s">
        <v>7640</v>
      </c>
      <c r="B3392" s="149" t="s">
        <v>1072</v>
      </c>
      <c r="C3392" s="149">
        <v>11</v>
      </c>
      <c r="D3392" s="149">
        <v>304</v>
      </c>
      <c r="E3392" s="149">
        <v>0</v>
      </c>
      <c r="F3392" s="149">
        <v>601000</v>
      </c>
      <c r="G3392" s="149">
        <v>52105</v>
      </c>
      <c r="H3392" s="150" t="str">
        <f t="shared" si="156"/>
        <v>5</v>
      </c>
      <c r="I3392" s="150" t="str">
        <f t="shared" si="157"/>
        <v>52</v>
      </c>
      <c r="J3392" s="150" t="str">
        <f t="shared" si="158"/>
        <v>521</v>
      </c>
      <c r="K3392" s="150" t="s">
        <v>8717</v>
      </c>
      <c r="L3392" s="149" t="s">
        <v>481</v>
      </c>
      <c r="M3392" s="151">
        <v>50485.120000000003</v>
      </c>
    </row>
    <row r="3393" spans="1:13" s="149" customFormat="1" x14ac:dyDescent="0.25">
      <c r="A3393" s="149" t="s">
        <v>7640</v>
      </c>
      <c r="B3393" s="149" t="s">
        <v>1073</v>
      </c>
      <c r="C3393" s="149">
        <v>11</v>
      </c>
      <c r="D3393" s="149">
        <v>304</v>
      </c>
      <c r="E3393" s="149">
        <v>0</v>
      </c>
      <c r="F3393" s="149">
        <v>601000</v>
      </c>
      <c r="G3393" s="149">
        <v>53120</v>
      </c>
      <c r="H3393" s="150" t="str">
        <f t="shared" si="156"/>
        <v>5</v>
      </c>
      <c r="I3393" s="150" t="str">
        <f t="shared" si="157"/>
        <v>53</v>
      </c>
      <c r="J3393" s="150" t="str">
        <f t="shared" si="158"/>
        <v>531</v>
      </c>
      <c r="K3393" s="150" t="s">
        <v>8718</v>
      </c>
      <c r="L3393" s="149" t="s">
        <v>485</v>
      </c>
      <c r="M3393" s="151">
        <v>20386.46</v>
      </c>
    </row>
    <row r="3394" spans="1:13" s="149" customFormat="1" x14ac:dyDescent="0.25">
      <c r="A3394" s="149" t="s">
        <v>7640</v>
      </c>
      <c r="B3394" s="149" t="s">
        <v>1074</v>
      </c>
      <c r="C3394" s="149">
        <v>11</v>
      </c>
      <c r="D3394" s="149">
        <v>304</v>
      </c>
      <c r="E3394" s="149">
        <v>0</v>
      </c>
      <c r="F3394" s="149">
        <v>601000</v>
      </c>
      <c r="G3394" s="149">
        <v>53220</v>
      </c>
      <c r="H3394" s="150" t="str">
        <f t="shared" si="156"/>
        <v>5</v>
      </c>
      <c r="I3394" s="150" t="str">
        <f t="shared" si="157"/>
        <v>53</v>
      </c>
      <c r="J3394" s="150" t="str">
        <f t="shared" si="158"/>
        <v>532</v>
      </c>
      <c r="K3394" s="150" t="s">
        <v>8719</v>
      </c>
      <c r="L3394" s="149" t="s">
        <v>487</v>
      </c>
      <c r="M3394" s="151">
        <v>10449.74</v>
      </c>
    </row>
    <row r="3395" spans="1:13" s="149" customFormat="1" x14ac:dyDescent="0.25">
      <c r="A3395" s="149" t="s">
        <v>7640</v>
      </c>
      <c r="B3395" s="149" t="s">
        <v>1075</v>
      </c>
      <c r="C3395" s="149">
        <v>11</v>
      </c>
      <c r="D3395" s="149">
        <v>304</v>
      </c>
      <c r="E3395" s="149">
        <v>0</v>
      </c>
      <c r="F3395" s="149">
        <v>601000</v>
      </c>
      <c r="G3395" s="149">
        <v>53320</v>
      </c>
      <c r="H3395" s="150" t="str">
        <f t="shared" ref="H3395:H3458" si="159">LEFT(G3395,1)</f>
        <v>5</v>
      </c>
      <c r="I3395" s="150" t="str">
        <f t="shared" ref="I3395:I3458" si="160">LEFT(G3395,2)</f>
        <v>53</v>
      </c>
      <c r="J3395" s="150" t="str">
        <f t="shared" ref="J3395:J3458" si="161">LEFT(G3395,3)</f>
        <v>533</v>
      </c>
      <c r="K3395" s="150" t="s">
        <v>8720</v>
      </c>
      <c r="L3395" s="149" t="s">
        <v>489</v>
      </c>
      <c r="M3395" s="151">
        <v>3133.45</v>
      </c>
    </row>
    <row r="3396" spans="1:13" s="149" customFormat="1" x14ac:dyDescent="0.25">
      <c r="A3396" s="149" t="s">
        <v>7640</v>
      </c>
      <c r="B3396" s="149" t="s">
        <v>1076</v>
      </c>
      <c r="C3396" s="149">
        <v>11</v>
      </c>
      <c r="D3396" s="149">
        <v>304</v>
      </c>
      <c r="E3396" s="149">
        <v>0</v>
      </c>
      <c r="F3396" s="149">
        <v>601000</v>
      </c>
      <c r="G3396" s="149">
        <v>53340</v>
      </c>
      <c r="H3396" s="150" t="str">
        <f t="shared" si="159"/>
        <v>5</v>
      </c>
      <c r="I3396" s="150" t="str">
        <f t="shared" si="160"/>
        <v>53</v>
      </c>
      <c r="J3396" s="150" t="str">
        <f t="shared" si="161"/>
        <v>533</v>
      </c>
      <c r="K3396" s="150" t="s">
        <v>8721</v>
      </c>
      <c r="L3396" s="149" t="s">
        <v>491</v>
      </c>
      <c r="M3396" s="151">
        <v>2616.7800000000002</v>
      </c>
    </row>
    <row r="3397" spans="1:13" s="149" customFormat="1" x14ac:dyDescent="0.25">
      <c r="A3397" s="149" t="s">
        <v>7640</v>
      </c>
      <c r="B3397" s="149" t="s">
        <v>1077</v>
      </c>
      <c r="C3397" s="149">
        <v>11</v>
      </c>
      <c r="D3397" s="149">
        <v>304</v>
      </c>
      <c r="E3397" s="149">
        <v>0</v>
      </c>
      <c r="F3397" s="149">
        <v>601000</v>
      </c>
      <c r="G3397" s="149">
        <v>53420</v>
      </c>
      <c r="H3397" s="150" t="str">
        <f t="shared" si="159"/>
        <v>5</v>
      </c>
      <c r="I3397" s="150" t="str">
        <f t="shared" si="160"/>
        <v>53</v>
      </c>
      <c r="J3397" s="150" t="str">
        <f t="shared" si="161"/>
        <v>534</v>
      </c>
      <c r="K3397" s="150" t="s">
        <v>8722</v>
      </c>
      <c r="L3397" s="149" t="s">
        <v>493</v>
      </c>
      <c r="M3397" s="151">
        <v>16572.32</v>
      </c>
    </row>
    <row r="3398" spans="1:13" s="149" customFormat="1" x14ac:dyDescent="0.25">
      <c r="A3398" s="149" t="s">
        <v>7640</v>
      </c>
      <c r="B3398" s="149" t="s">
        <v>1078</v>
      </c>
      <c r="C3398" s="149">
        <v>11</v>
      </c>
      <c r="D3398" s="149">
        <v>304</v>
      </c>
      <c r="E3398" s="149">
        <v>0</v>
      </c>
      <c r="F3398" s="149">
        <v>601000</v>
      </c>
      <c r="G3398" s="149">
        <v>53520</v>
      </c>
      <c r="H3398" s="150" t="str">
        <f t="shared" si="159"/>
        <v>5</v>
      </c>
      <c r="I3398" s="150" t="str">
        <f t="shared" si="160"/>
        <v>53</v>
      </c>
      <c r="J3398" s="150" t="str">
        <f t="shared" si="161"/>
        <v>535</v>
      </c>
      <c r="K3398" s="150" t="s">
        <v>8723</v>
      </c>
      <c r="L3398" s="149" t="s">
        <v>495</v>
      </c>
      <c r="M3398" s="151">
        <v>90.19</v>
      </c>
    </row>
    <row r="3399" spans="1:13" s="149" customFormat="1" x14ac:dyDescent="0.25">
      <c r="A3399" s="149" t="s">
        <v>7640</v>
      </c>
      <c r="B3399" s="149" t="s">
        <v>1079</v>
      </c>
      <c r="C3399" s="149">
        <v>11</v>
      </c>
      <c r="D3399" s="149">
        <v>304</v>
      </c>
      <c r="E3399" s="149">
        <v>0</v>
      </c>
      <c r="F3399" s="149">
        <v>601000</v>
      </c>
      <c r="G3399" s="149">
        <v>53620</v>
      </c>
      <c r="H3399" s="150" t="str">
        <f t="shared" si="159"/>
        <v>5</v>
      </c>
      <c r="I3399" s="150" t="str">
        <f t="shared" si="160"/>
        <v>53</v>
      </c>
      <c r="J3399" s="150" t="str">
        <f t="shared" si="161"/>
        <v>536</v>
      </c>
      <c r="K3399" s="150" t="s">
        <v>8724</v>
      </c>
      <c r="L3399" s="149" t="s">
        <v>497</v>
      </c>
      <c r="M3399" s="151">
        <v>3413.27</v>
      </c>
    </row>
    <row r="3400" spans="1:13" s="149" customFormat="1" x14ac:dyDescent="0.25">
      <c r="A3400" s="149" t="s">
        <v>7640</v>
      </c>
      <c r="B3400" s="149" t="s">
        <v>1080</v>
      </c>
      <c r="C3400" s="149">
        <v>11</v>
      </c>
      <c r="D3400" s="149">
        <v>304</v>
      </c>
      <c r="E3400" s="149">
        <v>0</v>
      </c>
      <c r="F3400" s="149">
        <v>601000</v>
      </c>
      <c r="G3400" s="149">
        <v>53920</v>
      </c>
      <c r="H3400" s="150" t="str">
        <f t="shared" si="159"/>
        <v>5</v>
      </c>
      <c r="I3400" s="150" t="str">
        <f t="shared" si="160"/>
        <v>53</v>
      </c>
      <c r="J3400" s="150" t="str">
        <f t="shared" si="161"/>
        <v>539</v>
      </c>
      <c r="K3400" s="150" t="s">
        <v>8725</v>
      </c>
      <c r="L3400" s="149" t="s">
        <v>499</v>
      </c>
      <c r="M3400" s="151">
        <v>2145.44</v>
      </c>
    </row>
    <row r="3401" spans="1:13" s="149" customFormat="1" x14ac:dyDescent="0.25">
      <c r="A3401" s="149" t="s">
        <v>7640</v>
      </c>
      <c r="B3401" s="149" t="s">
        <v>1081</v>
      </c>
      <c r="C3401" s="149">
        <v>11</v>
      </c>
      <c r="D3401" s="149">
        <v>304</v>
      </c>
      <c r="E3401" s="149">
        <v>0</v>
      </c>
      <c r="F3401" s="149">
        <v>601000</v>
      </c>
      <c r="G3401" s="149">
        <v>54300</v>
      </c>
      <c r="H3401" s="150" t="str">
        <f t="shared" si="159"/>
        <v>5</v>
      </c>
      <c r="I3401" s="150" t="str">
        <f t="shared" si="160"/>
        <v>54</v>
      </c>
      <c r="J3401" s="150" t="str">
        <f t="shared" si="161"/>
        <v>543</v>
      </c>
      <c r="K3401" s="150" t="s">
        <v>7931</v>
      </c>
      <c r="L3401" s="149" t="s">
        <v>501</v>
      </c>
      <c r="M3401" s="151">
        <v>100.65</v>
      </c>
    </row>
    <row r="3402" spans="1:13" s="149" customFormat="1" x14ac:dyDescent="0.25">
      <c r="A3402" s="149" t="s">
        <v>7640</v>
      </c>
      <c r="B3402" s="149" t="s">
        <v>1082</v>
      </c>
      <c r="C3402" s="149">
        <v>11</v>
      </c>
      <c r="D3402" s="149">
        <v>304</v>
      </c>
      <c r="E3402" s="149">
        <v>0</v>
      </c>
      <c r="F3402" s="149">
        <v>601000</v>
      </c>
      <c r="G3402" s="149">
        <v>55200</v>
      </c>
      <c r="H3402" s="150" t="str">
        <f t="shared" si="159"/>
        <v>5</v>
      </c>
      <c r="I3402" s="150" t="str">
        <f t="shared" si="160"/>
        <v>55</v>
      </c>
      <c r="J3402" s="150" t="str">
        <f t="shared" si="161"/>
        <v>552</v>
      </c>
      <c r="K3402" s="150" t="s">
        <v>8047</v>
      </c>
      <c r="L3402" s="149" t="s">
        <v>505</v>
      </c>
      <c r="M3402" s="151">
        <v>0</v>
      </c>
    </row>
    <row r="3403" spans="1:13" s="149" customFormat="1" x14ac:dyDescent="0.25">
      <c r="A3403" s="149" t="s">
        <v>7640</v>
      </c>
      <c r="B3403" s="149" t="s">
        <v>1083</v>
      </c>
      <c r="C3403" s="149">
        <v>11</v>
      </c>
      <c r="D3403" s="149">
        <v>304</v>
      </c>
      <c r="E3403" s="149">
        <v>0</v>
      </c>
      <c r="F3403" s="149">
        <v>601000</v>
      </c>
      <c r="G3403" s="149">
        <v>55630</v>
      </c>
      <c r="H3403" s="150" t="str">
        <f t="shared" si="159"/>
        <v>5</v>
      </c>
      <c r="I3403" s="150" t="str">
        <f t="shared" si="160"/>
        <v>55</v>
      </c>
      <c r="J3403" s="150" t="str">
        <f t="shared" si="161"/>
        <v>556</v>
      </c>
      <c r="K3403" s="150" t="s">
        <v>8193</v>
      </c>
      <c r="L3403" s="149" t="s">
        <v>509</v>
      </c>
      <c r="M3403" s="151">
        <v>0</v>
      </c>
    </row>
    <row r="3404" spans="1:13" s="149" customFormat="1" x14ac:dyDescent="0.25">
      <c r="A3404" s="149" t="s">
        <v>7640</v>
      </c>
      <c r="B3404" s="149" t="s">
        <v>1084</v>
      </c>
      <c r="C3404" s="149">
        <v>11</v>
      </c>
      <c r="D3404" s="149">
        <v>304</v>
      </c>
      <c r="E3404" s="149">
        <v>0</v>
      </c>
      <c r="F3404" s="149">
        <v>601000</v>
      </c>
      <c r="G3404" s="149">
        <v>55650</v>
      </c>
      <c r="H3404" s="150" t="str">
        <f t="shared" si="159"/>
        <v>5</v>
      </c>
      <c r="I3404" s="150" t="str">
        <f t="shared" si="160"/>
        <v>55</v>
      </c>
      <c r="J3404" s="150" t="str">
        <f t="shared" si="161"/>
        <v>556</v>
      </c>
      <c r="K3404" s="150" t="s">
        <v>8296</v>
      </c>
      <c r="L3404" s="149" t="s">
        <v>511</v>
      </c>
      <c r="M3404" s="151">
        <v>684.15</v>
      </c>
    </row>
    <row r="3405" spans="1:13" s="149" customFormat="1" x14ac:dyDescent="0.25">
      <c r="A3405" s="149" t="s">
        <v>7640</v>
      </c>
      <c r="B3405" s="149" t="s">
        <v>1085</v>
      </c>
      <c r="C3405" s="149">
        <v>11</v>
      </c>
      <c r="D3405" s="149">
        <v>304</v>
      </c>
      <c r="E3405" s="149">
        <v>0</v>
      </c>
      <c r="F3405" s="149">
        <v>682100</v>
      </c>
      <c r="G3405" s="149">
        <v>53320</v>
      </c>
      <c r="H3405" s="150" t="str">
        <f t="shared" si="159"/>
        <v>5</v>
      </c>
      <c r="I3405" s="150" t="str">
        <f t="shared" si="160"/>
        <v>53</v>
      </c>
      <c r="J3405" s="150" t="str">
        <f t="shared" si="161"/>
        <v>533</v>
      </c>
      <c r="K3405" s="150" t="s">
        <v>8726</v>
      </c>
      <c r="L3405" s="149" t="s">
        <v>1086</v>
      </c>
      <c r="M3405" s="151">
        <v>1</v>
      </c>
    </row>
    <row r="3406" spans="1:13" s="149" customFormat="1" x14ac:dyDescent="0.25">
      <c r="A3406" s="149" t="s">
        <v>7640</v>
      </c>
      <c r="B3406" s="149" t="s">
        <v>1087</v>
      </c>
      <c r="C3406" s="149">
        <v>11</v>
      </c>
      <c r="D3406" s="149">
        <v>304</v>
      </c>
      <c r="E3406" s="149">
        <v>0</v>
      </c>
      <c r="F3406" s="149">
        <v>682100</v>
      </c>
      <c r="G3406" s="149">
        <v>53340</v>
      </c>
      <c r="H3406" s="150" t="str">
        <f t="shared" si="159"/>
        <v>5</v>
      </c>
      <c r="I3406" s="150" t="str">
        <f t="shared" si="160"/>
        <v>53</v>
      </c>
      <c r="J3406" s="150" t="str">
        <f t="shared" si="161"/>
        <v>533</v>
      </c>
      <c r="K3406" s="150" t="s">
        <v>8727</v>
      </c>
      <c r="L3406" s="149" t="s">
        <v>1088</v>
      </c>
      <c r="M3406" s="151">
        <v>0.23</v>
      </c>
    </row>
    <row r="3407" spans="1:13" s="149" customFormat="1" x14ac:dyDescent="0.25">
      <c r="A3407" s="149" t="s">
        <v>7640</v>
      </c>
      <c r="B3407" s="149" t="s">
        <v>1089</v>
      </c>
      <c r="C3407" s="149">
        <v>11</v>
      </c>
      <c r="D3407" s="149">
        <v>304</v>
      </c>
      <c r="E3407" s="149">
        <v>0</v>
      </c>
      <c r="F3407" s="149">
        <v>682100</v>
      </c>
      <c r="G3407" s="149">
        <v>53420</v>
      </c>
      <c r="H3407" s="150" t="str">
        <f t="shared" si="159"/>
        <v>5</v>
      </c>
      <c r="I3407" s="150" t="str">
        <f t="shared" si="160"/>
        <v>53</v>
      </c>
      <c r="J3407" s="150" t="str">
        <f t="shared" si="161"/>
        <v>534</v>
      </c>
      <c r="K3407" s="150" t="s">
        <v>8728</v>
      </c>
      <c r="L3407" s="149" t="s">
        <v>1090</v>
      </c>
      <c r="M3407" s="151">
        <v>-2038</v>
      </c>
    </row>
    <row r="3408" spans="1:13" s="149" customFormat="1" x14ac:dyDescent="0.25">
      <c r="A3408" s="149" t="s">
        <v>7640</v>
      </c>
      <c r="B3408" s="149" t="s">
        <v>1091</v>
      </c>
      <c r="C3408" s="149">
        <v>11</v>
      </c>
      <c r="D3408" s="149">
        <v>304</v>
      </c>
      <c r="E3408" s="149">
        <v>0</v>
      </c>
      <c r="F3408" s="149">
        <v>682100</v>
      </c>
      <c r="G3408" s="149">
        <v>54300</v>
      </c>
      <c r="H3408" s="150" t="str">
        <f t="shared" si="159"/>
        <v>5</v>
      </c>
      <c r="I3408" s="150" t="str">
        <f t="shared" si="160"/>
        <v>54</v>
      </c>
      <c r="J3408" s="150" t="str">
        <f t="shared" si="161"/>
        <v>543</v>
      </c>
      <c r="K3408" s="150" t="s">
        <v>7932</v>
      </c>
      <c r="L3408" s="149" t="s">
        <v>1092</v>
      </c>
      <c r="M3408" s="151">
        <v>0</v>
      </c>
    </row>
    <row r="3409" spans="1:13" s="149" customFormat="1" x14ac:dyDescent="0.25">
      <c r="A3409" s="149" t="s">
        <v>7640</v>
      </c>
      <c r="B3409" s="149" t="s">
        <v>1093</v>
      </c>
      <c r="C3409" s="149">
        <v>11</v>
      </c>
      <c r="D3409" s="149">
        <v>304</v>
      </c>
      <c r="E3409" s="149">
        <v>0</v>
      </c>
      <c r="F3409" s="149">
        <v>682100</v>
      </c>
      <c r="G3409" s="149">
        <v>55630</v>
      </c>
      <c r="H3409" s="150" t="str">
        <f t="shared" si="159"/>
        <v>5</v>
      </c>
      <c r="I3409" s="150" t="str">
        <f t="shared" si="160"/>
        <v>55</v>
      </c>
      <c r="J3409" s="150" t="str">
        <f t="shared" si="161"/>
        <v>556</v>
      </c>
      <c r="K3409" s="150" t="s">
        <v>8194</v>
      </c>
      <c r="L3409" s="149" t="s">
        <v>1094</v>
      </c>
      <c r="M3409" s="151">
        <v>0</v>
      </c>
    </row>
    <row r="3410" spans="1:13" s="149" customFormat="1" x14ac:dyDescent="0.25">
      <c r="A3410" s="149" t="s">
        <v>7640</v>
      </c>
      <c r="B3410" s="149" t="s">
        <v>1095</v>
      </c>
      <c r="C3410" s="149">
        <v>11</v>
      </c>
      <c r="D3410" s="149">
        <v>304</v>
      </c>
      <c r="E3410" s="149">
        <v>0</v>
      </c>
      <c r="F3410" s="149">
        <v>703800</v>
      </c>
      <c r="G3410" s="149">
        <v>52105</v>
      </c>
      <c r="H3410" s="150" t="str">
        <f t="shared" si="159"/>
        <v>5</v>
      </c>
      <c r="I3410" s="150" t="str">
        <f t="shared" si="160"/>
        <v>52</v>
      </c>
      <c r="J3410" s="150" t="str">
        <f t="shared" si="161"/>
        <v>521</v>
      </c>
      <c r="K3410" s="150" t="s">
        <v>8729</v>
      </c>
      <c r="L3410" s="149" t="s">
        <v>1096</v>
      </c>
      <c r="M3410" s="151">
        <v>1832</v>
      </c>
    </row>
    <row r="3411" spans="1:13" s="149" customFormat="1" x14ac:dyDescent="0.25">
      <c r="A3411" s="149" t="s">
        <v>7640</v>
      </c>
      <c r="B3411" s="149" t="s">
        <v>1097</v>
      </c>
      <c r="C3411" s="149">
        <v>11</v>
      </c>
      <c r="D3411" s="149">
        <v>304</v>
      </c>
      <c r="E3411" s="149">
        <v>0</v>
      </c>
      <c r="F3411" s="149">
        <v>703800</v>
      </c>
      <c r="G3411" s="149">
        <v>52130</v>
      </c>
      <c r="H3411" s="150" t="str">
        <f t="shared" si="159"/>
        <v>5</v>
      </c>
      <c r="I3411" s="150" t="str">
        <f t="shared" si="160"/>
        <v>52</v>
      </c>
      <c r="J3411" s="150" t="str">
        <f t="shared" si="161"/>
        <v>521</v>
      </c>
      <c r="K3411" s="150" t="s">
        <v>8730</v>
      </c>
      <c r="L3411" s="149" t="s">
        <v>1098</v>
      </c>
      <c r="M3411" s="151">
        <v>27858.15</v>
      </c>
    </row>
    <row r="3412" spans="1:13" s="149" customFormat="1" x14ac:dyDescent="0.25">
      <c r="A3412" s="149" t="s">
        <v>7640</v>
      </c>
      <c r="B3412" s="149" t="s">
        <v>1099</v>
      </c>
      <c r="C3412" s="149">
        <v>11</v>
      </c>
      <c r="D3412" s="149">
        <v>304</v>
      </c>
      <c r="E3412" s="149">
        <v>0</v>
      </c>
      <c r="F3412" s="149">
        <v>703800</v>
      </c>
      <c r="G3412" s="149">
        <v>52350</v>
      </c>
      <c r="H3412" s="150" t="str">
        <f t="shared" si="159"/>
        <v>5</v>
      </c>
      <c r="I3412" s="150" t="str">
        <f t="shared" si="160"/>
        <v>52</v>
      </c>
      <c r="J3412" s="150" t="str">
        <f t="shared" si="161"/>
        <v>523</v>
      </c>
      <c r="K3412" s="150" t="s">
        <v>7853</v>
      </c>
      <c r="L3412" s="149" t="s">
        <v>1100</v>
      </c>
      <c r="M3412" s="151">
        <v>1859.34</v>
      </c>
    </row>
    <row r="3413" spans="1:13" s="149" customFormat="1" x14ac:dyDescent="0.25">
      <c r="A3413" s="149" t="s">
        <v>7640</v>
      </c>
      <c r="B3413" s="149" t="s">
        <v>1101</v>
      </c>
      <c r="C3413" s="149">
        <v>11</v>
      </c>
      <c r="D3413" s="149">
        <v>304</v>
      </c>
      <c r="E3413" s="149">
        <v>0</v>
      </c>
      <c r="F3413" s="149">
        <v>703800</v>
      </c>
      <c r="G3413" s="149">
        <v>52360</v>
      </c>
      <c r="H3413" s="150" t="str">
        <f t="shared" si="159"/>
        <v>5</v>
      </c>
      <c r="I3413" s="150" t="str">
        <f t="shared" si="160"/>
        <v>52</v>
      </c>
      <c r="J3413" s="150" t="str">
        <f t="shared" si="161"/>
        <v>523</v>
      </c>
      <c r="K3413" s="150" t="s">
        <v>7866</v>
      </c>
      <c r="L3413" s="149" t="s">
        <v>1102</v>
      </c>
      <c r="M3413" s="151">
        <v>6550</v>
      </c>
    </row>
    <row r="3414" spans="1:13" s="149" customFormat="1" x14ac:dyDescent="0.25">
      <c r="A3414" s="149" t="s">
        <v>7640</v>
      </c>
      <c r="B3414" s="149" t="s">
        <v>1103</v>
      </c>
      <c r="C3414" s="149">
        <v>11</v>
      </c>
      <c r="D3414" s="149">
        <v>304</v>
      </c>
      <c r="E3414" s="149">
        <v>0</v>
      </c>
      <c r="F3414" s="149">
        <v>703800</v>
      </c>
      <c r="G3414" s="149">
        <v>53120</v>
      </c>
      <c r="H3414" s="150" t="str">
        <f t="shared" si="159"/>
        <v>5</v>
      </c>
      <c r="I3414" s="150" t="str">
        <f t="shared" si="160"/>
        <v>53</v>
      </c>
      <c r="J3414" s="150" t="str">
        <f t="shared" si="161"/>
        <v>531</v>
      </c>
      <c r="K3414" s="150" t="s">
        <v>8731</v>
      </c>
      <c r="L3414" s="149" t="s">
        <v>1104</v>
      </c>
      <c r="M3414" s="151">
        <v>323</v>
      </c>
    </row>
    <row r="3415" spans="1:13" s="149" customFormat="1" x14ac:dyDescent="0.25">
      <c r="A3415" s="149" t="s">
        <v>7640</v>
      </c>
      <c r="B3415" s="149" t="s">
        <v>1105</v>
      </c>
      <c r="C3415" s="149">
        <v>11</v>
      </c>
      <c r="D3415" s="149">
        <v>304</v>
      </c>
      <c r="E3415" s="149">
        <v>0</v>
      </c>
      <c r="F3415" s="149">
        <v>703800</v>
      </c>
      <c r="G3415" s="149">
        <v>53220</v>
      </c>
      <c r="H3415" s="150" t="str">
        <f t="shared" si="159"/>
        <v>5</v>
      </c>
      <c r="I3415" s="150" t="str">
        <f t="shared" si="160"/>
        <v>53</v>
      </c>
      <c r="J3415" s="150" t="str">
        <f t="shared" si="161"/>
        <v>532</v>
      </c>
      <c r="K3415" s="150" t="s">
        <v>8732</v>
      </c>
      <c r="L3415" s="149" t="s">
        <v>1106</v>
      </c>
      <c r="M3415" s="151">
        <v>6322.09</v>
      </c>
    </row>
    <row r="3416" spans="1:13" s="149" customFormat="1" x14ac:dyDescent="0.25">
      <c r="A3416" s="149" t="s">
        <v>7640</v>
      </c>
      <c r="B3416" s="149" t="s">
        <v>1107</v>
      </c>
      <c r="C3416" s="149">
        <v>11</v>
      </c>
      <c r="D3416" s="149">
        <v>304</v>
      </c>
      <c r="E3416" s="149">
        <v>0</v>
      </c>
      <c r="F3416" s="149">
        <v>703800</v>
      </c>
      <c r="G3416" s="149">
        <v>53320</v>
      </c>
      <c r="H3416" s="150" t="str">
        <f t="shared" si="159"/>
        <v>5</v>
      </c>
      <c r="I3416" s="150" t="str">
        <f t="shared" si="160"/>
        <v>53</v>
      </c>
      <c r="J3416" s="150" t="str">
        <f t="shared" si="161"/>
        <v>533</v>
      </c>
      <c r="K3416" s="150" t="s">
        <v>8733</v>
      </c>
      <c r="L3416" s="149" t="s">
        <v>1108</v>
      </c>
      <c r="M3416" s="151">
        <v>1829.31</v>
      </c>
    </row>
    <row r="3417" spans="1:13" s="149" customFormat="1" x14ac:dyDescent="0.25">
      <c r="A3417" s="149" t="s">
        <v>7640</v>
      </c>
      <c r="B3417" s="149" t="s">
        <v>1109</v>
      </c>
      <c r="C3417" s="149">
        <v>11</v>
      </c>
      <c r="D3417" s="149">
        <v>304</v>
      </c>
      <c r="E3417" s="149">
        <v>0</v>
      </c>
      <c r="F3417" s="149">
        <v>703800</v>
      </c>
      <c r="G3417" s="149">
        <v>53340</v>
      </c>
      <c r="H3417" s="150" t="str">
        <f t="shared" si="159"/>
        <v>5</v>
      </c>
      <c r="I3417" s="150" t="str">
        <f t="shared" si="160"/>
        <v>53</v>
      </c>
      <c r="J3417" s="150" t="str">
        <f t="shared" si="161"/>
        <v>533</v>
      </c>
      <c r="K3417" s="150" t="s">
        <v>8734</v>
      </c>
      <c r="L3417" s="149" t="s">
        <v>1110</v>
      </c>
      <c r="M3417" s="151">
        <v>522.80999999999995</v>
      </c>
    </row>
    <row r="3418" spans="1:13" s="149" customFormat="1" x14ac:dyDescent="0.25">
      <c r="A3418" s="149" t="s">
        <v>7640</v>
      </c>
      <c r="B3418" s="149" t="s">
        <v>1111</v>
      </c>
      <c r="C3418" s="149">
        <v>11</v>
      </c>
      <c r="D3418" s="149">
        <v>304</v>
      </c>
      <c r="E3418" s="149">
        <v>0</v>
      </c>
      <c r="F3418" s="149">
        <v>703800</v>
      </c>
      <c r="G3418" s="149">
        <v>53420</v>
      </c>
      <c r="H3418" s="150" t="str">
        <f t="shared" si="159"/>
        <v>5</v>
      </c>
      <c r="I3418" s="150" t="str">
        <f t="shared" si="160"/>
        <v>53</v>
      </c>
      <c r="J3418" s="150" t="str">
        <f t="shared" si="161"/>
        <v>534</v>
      </c>
      <c r="K3418" s="150" t="s">
        <v>8735</v>
      </c>
      <c r="L3418" s="149" t="s">
        <v>1112</v>
      </c>
      <c r="M3418" s="151">
        <v>12225.16</v>
      </c>
    </row>
    <row r="3419" spans="1:13" s="149" customFormat="1" x14ac:dyDescent="0.25">
      <c r="A3419" s="149" t="s">
        <v>7640</v>
      </c>
      <c r="B3419" s="149" t="s">
        <v>1113</v>
      </c>
      <c r="C3419" s="149">
        <v>11</v>
      </c>
      <c r="D3419" s="149">
        <v>304</v>
      </c>
      <c r="E3419" s="149">
        <v>0</v>
      </c>
      <c r="F3419" s="149">
        <v>703800</v>
      </c>
      <c r="G3419" s="149">
        <v>53520</v>
      </c>
      <c r="H3419" s="150" t="str">
        <f t="shared" si="159"/>
        <v>5</v>
      </c>
      <c r="I3419" s="150" t="str">
        <f t="shared" si="160"/>
        <v>53</v>
      </c>
      <c r="J3419" s="150" t="str">
        <f t="shared" si="161"/>
        <v>535</v>
      </c>
      <c r="K3419" s="150" t="s">
        <v>8736</v>
      </c>
      <c r="L3419" s="149" t="s">
        <v>1114</v>
      </c>
      <c r="M3419" s="151">
        <v>18.13</v>
      </c>
    </row>
    <row r="3420" spans="1:13" s="149" customFormat="1" x14ac:dyDescent="0.25">
      <c r="A3420" s="149" t="s">
        <v>7640</v>
      </c>
      <c r="B3420" s="149" t="s">
        <v>1115</v>
      </c>
      <c r="C3420" s="149">
        <v>11</v>
      </c>
      <c r="D3420" s="149">
        <v>304</v>
      </c>
      <c r="E3420" s="149">
        <v>0</v>
      </c>
      <c r="F3420" s="149">
        <v>703800</v>
      </c>
      <c r="G3420" s="149">
        <v>53620</v>
      </c>
      <c r="H3420" s="150" t="str">
        <f t="shared" si="159"/>
        <v>5</v>
      </c>
      <c r="I3420" s="150" t="str">
        <f t="shared" si="160"/>
        <v>53</v>
      </c>
      <c r="J3420" s="150" t="str">
        <f t="shared" si="161"/>
        <v>536</v>
      </c>
      <c r="K3420" s="150" t="s">
        <v>8737</v>
      </c>
      <c r="L3420" s="149" t="s">
        <v>1116</v>
      </c>
      <c r="M3420" s="151">
        <v>720.4</v>
      </c>
    </row>
    <row r="3421" spans="1:13" s="149" customFormat="1" x14ac:dyDescent="0.25">
      <c r="A3421" s="149" t="s">
        <v>7640</v>
      </c>
      <c r="B3421" s="149" t="s">
        <v>1117</v>
      </c>
      <c r="C3421" s="149">
        <v>11</v>
      </c>
      <c r="D3421" s="149">
        <v>304</v>
      </c>
      <c r="E3421" s="149">
        <v>0</v>
      </c>
      <c r="F3421" s="149">
        <v>703800</v>
      </c>
      <c r="G3421" s="149">
        <v>53920</v>
      </c>
      <c r="H3421" s="150" t="str">
        <f t="shared" si="159"/>
        <v>5</v>
      </c>
      <c r="I3421" s="150" t="str">
        <f t="shared" si="160"/>
        <v>53</v>
      </c>
      <c r="J3421" s="150" t="str">
        <f t="shared" si="161"/>
        <v>539</v>
      </c>
      <c r="K3421" s="150" t="s">
        <v>8738</v>
      </c>
      <c r="L3421" s="149" t="s">
        <v>1118</v>
      </c>
      <c r="M3421" s="151">
        <v>0</v>
      </c>
    </row>
    <row r="3422" spans="1:13" s="149" customFormat="1" x14ac:dyDescent="0.25">
      <c r="A3422" s="149" t="s">
        <v>7640</v>
      </c>
      <c r="B3422" s="149" t="s">
        <v>1119</v>
      </c>
      <c r="C3422" s="149">
        <v>11</v>
      </c>
      <c r="D3422" s="149">
        <v>304</v>
      </c>
      <c r="E3422" s="149">
        <v>0</v>
      </c>
      <c r="F3422" s="149">
        <v>703800</v>
      </c>
      <c r="G3422" s="149">
        <v>55630</v>
      </c>
      <c r="H3422" s="150" t="str">
        <f t="shared" si="159"/>
        <v>5</v>
      </c>
      <c r="I3422" s="150" t="str">
        <f t="shared" si="160"/>
        <v>55</v>
      </c>
      <c r="J3422" s="150" t="str">
        <f t="shared" si="161"/>
        <v>556</v>
      </c>
      <c r="K3422" s="150" t="s">
        <v>8195</v>
      </c>
      <c r="L3422" s="149" t="s">
        <v>1120</v>
      </c>
      <c r="M3422" s="151">
        <v>0</v>
      </c>
    </row>
    <row r="3423" spans="1:13" s="149" customFormat="1" x14ac:dyDescent="0.25">
      <c r="A3423" s="149" t="s">
        <v>7640</v>
      </c>
      <c r="B3423" s="149" t="s">
        <v>1121</v>
      </c>
      <c r="C3423" s="149">
        <v>11</v>
      </c>
      <c r="D3423" s="149">
        <v>310</v>
      </c>
      <c r="E3423" s="149">
        <v>0</v>
      </c>
      <c r="F3423" s="149">
        <v>50000</v>
      </c>
      <c r="G3423" s="149">
        <v>51310</v>
      </c>
      <c r="H3423" s="150" t="str">
        <f t="shared" si="159"/>
        <v>5</v>
      </c>
      <c r="I3423" s="150" t="str">
        <f t="shared" si="160"/>
        <v>51</v>
      </c>
      <c r="J3423" s="150" t="str">
        <f t="shared" si="161"/>
        <v>513</v>
      </c>
      <c r="K3423" s="150" t="s">
        <v>7645</v>
      </c>
      <c r="L3423" s="149" t="s">
        <v>229</v>
      </c>
      <c r="M3423" s="151">
        <v>14123.08</v>
      </c>
    </row>
    <row r="3424" spans="1:13" s="149" customFormat="1" x14ac:dyDescent="0.25">
      <c r="A3424" s="149" t="s">
        <v>7640</v>
      </c>
      <c r="B3424" s="149" t="s">
        <v>1122</v>
      </c>
      <c r="C3424" s="149">
        <v>11</v>
      </c>
      <c r="D3424" s="149">
        <v>310</v>
      </c>
      <c r="E3424" s="149">
        <v>0</v>
      </c>
      <c r="F3424" s="149">
        <v>50000</v>
      </c>
      <c r="G3424" s="149">
        <v>51311</v>
      </c>
      <c r="H3424" s="150" t="str">
        <f t="shared" si="159"/>
        <v>5</v>
      </c>
      <c r="I3424" s="150" t="str">
        <f t="shared" si="160"/>
        <v>51</v>
      </c>
      <c r="J3424" s="150" t="str">
        <f t="shared" si="161"/>
        <v>513</v>
      </c>
      <c r="K3424" s="150" t="s">
        <v>7719</v>
      </c>
      <c r="L3424" s="149" t="s">
        <v>231</v>
      </c>
      <c r="M3424" s="151">
        <v>26949.360000000001</v>
      </c>
    </row>
    <row r="3425" spans="1:13" s="149" customFormat="1" x14ac:dyDescent="0.25">
      <c r="A3425" s="149" t="s">
        <v>7640</v>
      </c>
      <c r="B3425" s="149" t="s">
        <v>1123</v>
      </c>
      <c r="C3425" s="149">
        <v>11</v>
      </c>
      <c r="D3425" s="149">
        <v>310</v>
      </c>
      <c r="E3425" s="149">
        <v>0</v>
      </c>
      <c r="F3425" s="149">
        <v>50000</v>
      </c>
      <c r="G3425" s="149">
        <v>53110</v>
      </c>
      <c r="H3425" s="150" t="str">
        <f t="shared" si="159"/>
        <v>5</v>
      </c>
      <c r="I3425" s="150" t="str">
        <f t="shared" si="160"/>
        <v>53</v>
      </c>
      <c r="J3425" s="150" t="str">
        <f t="shared" si="161"/>
        <v>531</v>
      </c>
      <c r="K3425" s="150" t="s">
        <v>8739</v>
      </c>
      <c r="L3425" s="149" t="s">
        <v>233</v>
      </c>
      <c r="M3425" s="151">
        <v>2280.84</v>
      </c>
    </row>
    <row r="3426" spans="1:13" s="149" customFormat="1" x14ac:dyDescent="0.25">
      <c r="A3426" s="149" t="s">
        <v>7640</v>
      </c>
      <c r="B3426" s="149" t="s">
        <v>1124</v>
      </c>
      <c r="C3426" s="149">
        <v>11</v>
      </c>
      <c r="D3426" s="149">
        <v>310</v>
      </c>
      <c r="E3426" s="149">
        <v>0</v>
      </c>
      <c r="F3426" s="149">
        <v>50000</v>
      </c>
      <c r="G3426" s="149">
        <v>53310</v>
      </c>
      <c r="H3426" s="150" t="str">
        <f t="shared" si="159"/>
        <v>5</v>
      </c>
      <c r="I3426" s="150" t="str">
        <f t="shared" si="160"/>
        <v>53</v>
      </c>
      <c r="J3426" s="150" t="str">
        <f t="shared" si="161"/>
        <v>533</v>
      </c>
      <c r="K3426" s="150" t="s">
        <v>8740</v>
      </c>
      <c r="L3426" s="149" t="s">
        <v>1125</v>
      </c>
      <c r="M3426" s="151">
        <v>807.33</v>
      </c>
    </row>
    <row r="3427" spans="1:13" s="149" customFormat="1" x14ac:dyDescent="0.25">
      <c r="A3427" s="149" t="s">
        <v>7640</v>
      </c>
      <c r="B3427" s="149" t="s">
        <v>1126</v>
      </c>
      <c r="C3427" s="149">
        <v>11</v>
      </c>
      <c r="D3427" s="149">
        <v>310</v>
      </c>
      <c r="E3427" s="149">
        <v>0</v>
      </c>
      <c r="F3427" s="149">
        <v>50000</v>
      </c>
      <c r="G3427" s="149">
        <v>53330</v>
      </c>
      <c r="H3427" s="150" t="str">
        <f t="shared" si="159"/>
        <v>5</v>
      </c>
      <c r="I3427" s="150" t="str">
        <f t="shared" si="160"/>
        <v>53</v>
      </c>
      <c r="J3427" s="150" t="str">
        <f t="shared" si="161"/>
        <v>533</v>
      </c>
      <c r="K3427" s="150" t="s">
        <v>8741</v>
      </c>
      <c r="L3427" s="149" t="s">
        <v>235</v>
      </c>
      <c r="M3427" s="151">
        <v>595.55999999999995</v>
      </c>
    </row>
    <row r="3428" spans="1:13" s="149" customFormat="1" x14ac:dyDescent="0.25">
      <c r="A3428" s="149" t="s">
        <v>7640</v>
      </c>
      <c r="B3428" s="149" t="s">
        <v>1127</v>
      </c>
      <c r="C3428" s="149">
        <v>11</v>
      </c>
      <c r="D3428" s="149">
        <v>310</v>
      </c>
      <c r="E3428" s="149">
        <v>0</v>
      </c>
      <c r="F3428" s="149">
        <v>50000</v>
      </c>
      <c r="G3428" s="149">
        <v>53510</v>
      </c>
      <c r="H3428" s="150" t="str">
        <f t="shared" si="159"/>
        <v>5</v>
      </c>
      <c r="I3428" s="150" t="str">
        <f t="shared" si="160"/>
        <v>53</v>
      </c>
      <c r="J3428" s="150" t="str">
        <f t="shared" si="161"/>
        <v>535</v>
      </c>
      <c r="K3428" s="150" t="s">
        <v>8742</v>
      </c>
      <c r="L3428" s="149" t="s">
        <v>237</v>
      </c>
      <c r="M3428" s="151">
        <v>20.53</v>
      </c>
    </row>
    <row r="3429" spans="1:13" s="149" customFormat="1" x14ac:dyDescent="0.25">
      <c r="A3429" s="149" t="s">
        <v>7640</v>
      </c>
      <c r="B3429" s="149" t="s">
        <v>1128</v>
      </c>
      <c r="C3429" s="149">
        <v>11</v>
      </c>
      <c r="D3429" s="149">
        <v>310</v>
      </c>
      <c r="E3429" s="149">
        <v>0</v>
      </c>
      <c r="F3429" s="149">
        <v>50000</v>
      </c>
      <c r="G3429" s="149">
        <v>53610</v>
      </c>
      <c r="H3429" s="150" t="str">
        <f t="shared" si="159"/>
        <v>5</v>
      </c>
      <c r="I3429" s="150" t="str">
        <f t="shared" si="160"/>
        <v>53</v>
      </c>
      <c r="J3429" s="150" t="str">
        <f t="shared" si="161"/>
        <v>536</v>
      </c>
      <c r="K3429" s="150" t="s">
        <v>8743</v>
      </c>
      <c r="L3429" s="149" t="s">
        <v>239</v>
      </c>
      <c r="M3429" s="151">
        <v>776.58</v>
      </c>
    </row>
    <row r="3430" spans="1:13" s="149" customFormat="1" x14ac:dyDescent="0.25">
      <c r="A3430" s="149" t="s">
        <v>7640</v>
      </c>
      <c r="B3430" s="149" t="s">
        <v>1129</v>
      </c>
      <c r="C3430" s="149">
        <v>11</v>
      </c>
      <c r="D3430" s="149">
        <v>310</v>
      </c>
      <c r="E3430" s="149">
        <v>0</v>
      </c>
      <c r="F3430" s="149">
        <v>80100</v>
      </c>
      <c r="G3430" s="149">
        <v>51311</v>
      </c>
      <c r="H3430" s="150" t="str">
        <f t="shared" si="159"/>
        <v>5</v>
      </c>
      <c r="I3430" s="150" t="str">
        <f t="shared" si="160"/>
        <v>51</v>
      </c>
      <c r="J3430" s="150" t="str">
        <f t="shared" si="161"/>
        <v>513</v>
      </c>
      <c r="K3430" s="150" t="s">
        <v>7720</v>
      </c>
      <c r="L3430" s="149" t="s">
        <v>1130</v>
      </c>
      <c r="M3430" s="151">
        <v>2160.42</v>
      </c>
    </row>
    <row r="3431" spans="1:13" s="149" customFormat="1" x14ac:dyDescent="0.25">
      <c r="A3431" s="149" t="s">
        <v>7640</v>
      </c>
      <c r="B3431" s="149" t="s">
        <v>1131</v>
      </c>
      <c r="C3431" s="149">
        <v>11</v>
      </c>
      <c r="D3431" s="149">
        <v>310</v>
      </c>
      <c r="E3431" s="149">
        <v>0</v>
      </c>
      <c r="F3431" s="149">
        <v>80100</v>
      </c>
      <c r="G3431" s="149">
        <v>53110</v>
      </c>
      <c r="H3431" s="150" t="str">
        <f t="shared" si="159"/>
        <v>5</v>
      </c>
      <c r="I3431" s="150" t="str">
        <f t="shared" si="160"/>
        <v>53</v>
      </c>
      <c r="J3431" s="150" t="str">
        <f t="shared" si="161"/>
        <v>531</v>
      </c>
      <c r="K3431" s="150" t="s">
        <v>8744</v>
      </c>
      <c r="L3431" s="149" t="s">
        <v>1132</v>
      </c>
      <c r="M3431" s="151">
        <v>348.9</v>
      </c>
    </row>
    <row r="3432" spans="1:13" s="149" customFormat="1" x14ac:dyDescent="0.25">
      <c r="A3432" s="149" t="s">
        <v>7640</v>
      </c>
      <c r="B3432" s="149" t="s">
        <v>1133</v>
      </c>
      <c r="C3432" s="149">
        <v>11</v>
      </c>
      <c r="D3432" s="149">
        <v>310</v>
      </c>
      <c r="E3432" s="149">
        <v>0</v>
      </c>
      <c r="F3432" s="149">
        <v>80100</v>
      </c>
      <c r="G3432" s="149">
        <v>53330</v>
      </c>
      <c r="H3432" s="150" t="str">
        <f t="shared" si="159"/>
        <v>5</v>
      </c>
      <c r="I3432" s="150" t="str">
        <f t="shared" si="160"/>
        <v>53</v>
      </c>
      <c r="J3432" s="150" t="str">
        <f t="shared" si="161"/>
        <v>533</v>
      </c>
      <c r="K3432" s="150" t="s">
        <v>8745</v>
      </c>
      <c r="L3432" s="149" t="s">
        <v>1134</v>
      </c>
      <c r="M3432" s="151">
        <v>31.32</v>
      </c>
    </row>
    <row r="3433" spans="1:13" s="149" customFormat="1" x14ac:dyDescent="0.25">
      <c r="A3433" s="149" t="s">
        <v>7640</v>
      </c>
      <c r="B3433" s="149" t="s">
        <v>1135</v>
      </c>
      <c r="C3433" s="149">
        <v>11</v>
      </c>
      <c r="D3433" s="149">
        <v>310</v>
      </c>
      <c r="E3433" s="149">
        <v>0</v>
      </c>
      <c r="F3433" s="149">
        <v>80100</v>
      </c>
      <c r="G3433" s="149">
        <v>53510</v>
      </c>
      <c r="H3433" s="150" t="str">
        <f t="shared" si="159"/>
        <v>5</v>
      </c>
      <c r="I3433" s="150" t="str">
        <f t="shared" si="160"/>
        <v>53</v>
      </c>
      <c r="J3433" s="150" t="str">
        <f t="shared" si="161"/>
        <v>535</v>
      </c>
      <c r="K3433" s="150" t="s">
        <v>8746</v>
      </c>
      <c r="L3433" s="149" t="s">
        <v>1136</v>
      </c>
      <c r="M3433" s="151">
        <v>1.08</v>
      </c>
    </row>
    <row r="3434" spans="1:13" s="149" customFormat="1" x14ac:dyDescent="0.25">
      <c r="A3434" s="149" t="s">
        <v>7640</v>
      </c>
      <c r="B3434" s="149" t="s">
        <v>1137</v>
      </c>
      <c r="C3434" s="149">
        <v>11</v>
      </c>
      <c r="D3434" s="149">
        <v>310</v>
      </c>
      <c r="E3434" s="149">
        <v>0</v>
      </c>
      <c r="F3434" s="149">
        <v>80100</v>
      </c>
      <c r="G3434" s="149">
        <v>53610</v>
      </c>
      <c r="H3434" s="150" t="str">
        <f t="shared" si="159"/>
        <v>5</v>
      </c>
      <c r="I3434" s="150" t="str">
        <f t="shared" si="160"/>
        <v>53</v>
      </c>
      <c r="J3434" s="150" t="str">
        <f t="shared" si="161"/>
        <v>536</v>
      </c>
      <c r="K3434" s="150" t="s">
        <v>8747</v>
      </c>
      <c r="L3434" s="149" t="s">
        <v>1138</v>
      </c>
      <c r="M3434" s="151">
        <v>40.86</v>
      </c>
    </row>
    <row r="3435" spans="1:13" s="149" customFormat="1" x14ac:dyDescent="0.25">
      <c r="A3435" s="149" t="s">
        <v>7640</v>
      </c>
      <c r="B3435" s="149" t="s">
        <v>1139</v>
      </c>
      <c r="C3435" s="149">
        <v>11</v>
      </c>
      <c r="D3435" s="149">
        <v>310</v>
      </c>
      <c r="E3435" s="149">
        <v>0</v>
      </c>
      <c r="F3435" s="149">
        <v>100200</v>
      </c>
      <c r="G3435" s="149">
        <v>51100</v>
      </c>
      <c r="H3435" s="150" t="str">
        <f t="shared" si="159"/>
        <v>5</v>
      </c>
      <c r="I3435" s="150" t="str">
        <f t="shared" si="160"/>
        <v>51</v>
      </c>
      <c r="J3435" s="150" t="str">
        <f t="shared" si="161"/>
        <v>511</v>
      </c>
      <c r="K3435" s="150" t="s">
        <v>8748</v>
      </c>
      <c r="L3435" s="149" t="s">
        <v>1140</v>
      </c>
      <c r="M3435" s="151">
        <v>71655.570000000007</v>
      </c>
    </row>
    <row r="3436" spans="1:13" s="149" customFormat="1" x14ac:dyDescent="0.25">
      <c r="A3436" s="149" t="s">
        <v>7640</v>
      </c>
      <c r="B3436" s="149" t="s">
        <v>1141</v>
      </c>
      <c r="C3436" s="149">
        <v>11</v>
      </c>
      <c r="D3436" s="149">
        <v>310</v>
      </c>
      <c r="E3436" s="149">
        <v>0</v>
      </c>
      <c r="F3436" s="149">
        <v>100200</v>
      </c>
      <c r="G3436" s="149">
        <v>51310</v>
      </c>
      <c r="H3436" s="150" t="str">
        <f t="shared" si="159"/>
        <v>5</v>
      </c>
      <c r="I3436" s="150" t="str">
        <f t="shared" si="160"/>
        <v>51</v>
      </c>
      <c r="J3436" s="150" t="str">
        <f t="shared" si="161"/>
        <v>513</v>
      </c>
      <c r="K3436" s="150" t="s">
        <v>7646</v>
      </c>
      <c r="L3436" s="149" t="s">
        <v>1142</v>
      </c>
      <c r="M3436" s="151">
        <v>2864.5</v>
      </c>
    </row>
    <row r="3437" spans="1:13" s="149" customFormat="1" x14ac:dyDescent="0.25">
      <c r="A3437" s="149" t="s">
        <v>7640</v>
      </c>
      <c r="B3437" s="149" t="s">
        <v>1143</v>
      </c>
      <c r="C3437" s="149">
        <v>11</v>
      </c>
      <c r="D3437" s="149">
        <v>310</v>
      </c>
      <c r="E3437" s="149">
        <v>0</v>
      </c>
      <c r="F3437" s="149">
        <v>100200</v>
      </c>
      <c r="G3437" s="149">
        <v>51311</v>
      </c>
      <c r="H3437" s="150" t="str">
        <f t="shared" si="159"/>
        <v>5</v>
      </c>
      <c r="I3437" s="150" t="str">
        <f t="shared" si="160"/>
        <v>51</v>
      </c>
      <c r="J3437" s="150" t="str">
        <f t="shared" si="161"/>
        <v>513</v>
      </c>
      <c r="K3437" s="150" t="s">
        <v>7721</v>
      </c>
      <c r="L3437" s="149" t="s">
        <v>251</v>
      </c>
      <c r="M3437" s="151">
        <v>132043.07999999999</v>
      </c>
    </row>
    <row r="3438" spans="1:13" s="149" customFormat="1" x14ac:dyDescent="0.25">
      <c r="A3438" s="149" t="s">
        <v>7640</v>
      </c>
      <c r="B3438" s="149" t="s">
        <v>1144</v>
      </c>
      <c r="C3438" s="149">
        <v>11</v>
      </c>
      <c r="D3438" s="149">
        <v>310</v>
      </c>
      <c r="E3438" s="149">
        <v>0</v>
      </c>
      <c r="F3438" s="149">
        <v>100200</v>
      </c>
      <c r="G3438" s="149">
        <v>52200</v>
      </c>
      <c r="H3438" s="150" t="str">
        <f t="shared" si="159"/>
        <v>5</v>
      </c>
      <c r="I3438" s="150" t="str">
        <f t="shared" si="160"/>
        <v>52</v>
      </c>
      <c r="J3438" s="150" t="str">
        <f t="shared" si="161"/>
        <v>522</v>
      </c>
      <c r="K3438" s="150" t="s">
        <v>8749</v>
      </c>
      <c r="L3438" s="149" t="s">
        <v>1145</v>
      </c>
      <c r="M3438" s="151">
        <v>23424.93</v>
      </c>
    </row>
    <row r="3439" spans="1:13" s="149" customFormat="1" x14ac:dyDescent="0.25">
      <c r="A3439" s="149" t="s">
        <v>7640</v>
      </c>
      <c r="B3439" s="149" t="s">
        <v>1146</v>
      </c>
      <c r="C3439" s="149">
        <v>11</v>
      </c>
      <c r="D3439" s="149">
        <v>310</v>
      </c>
      <c r="E3439" s="149">
        <v>0</v>
      </c>
      <c r="F3439" s="149">
        <v>100200</v>
      </c>
      <c r="G3439" s="149">
        <v>52360</v>
      </c>
      <c r="H3439" s="150" t="str">
        <f t="shared" si="159"/>
        <v>5</v>
      </c>
      <c r="I3439" s="150" t="str">
        <f t="shared" si="160"/>
        <v>52</v>
      </c>
      <c r="J3439" s="150" t="str">
        <f t="shared" si="161"/>
        <v>523</v>
      </c>
      <c r="K3439" s="150" t="s">
        <v>7867</v>
      </c>
      <c r="L3439" s="149" t="s">
        <v>1147</v>
      </c>
      <c r="M3439" s="151">
        <v>0</v>
      </c>
    </row>
    <row r="3440" spans="1:13" s="149" customFormat="1" x14ac:dyDescent="0.25">
      <c r="A3440" s="149" t="s">
        <v>7640</v>
      </c>
      <c r="B3440" s="149" t="s">
        <v>1148</v>
      </c>
      <c r="C3440" s="149">
        <v>11</v>
      </c>
      <c r="D3440" s="149">
        <v>310</v>
      </c>
      <c r="E3440" s="149">
        <v>0</v>
      </c>
      <c r="F3440" s="149">
        <v>100200</v>
      </c>
      <c r="G3440" s="149">
        <v>53110</v>
      </c>
      <c r="H3440" s="150" t="str">
        <f t="shared" si="159"/>
        <v>5</v>
      </c>
      <c r="I3440" s="150" t="str">
        <f t="shared" si="160"/>
        <v>53</v>
      </c>
      <c r="J3440" s="150" t="str">
        <f t="shared" si="161"/>
        <v>531</v>
      </c>
      <c r="K3440" s="150" t="s">
        <v>8750</v>
      </c>
      <c r="L3440" s="149" t="s">
        <v>253</v>
      </c>
      <c r="M3440" s="151">
        <v>28180.81</v>
      </c>
    </row>
    <row r="3441" spans="1:13" s="149" customFormat="1" x14ac:dyDescent="0.25">
      <c r="A3441" s="149" t="s">
        <v>7640</v>
      </c>
      <c r="B3441" s="149" t="s">
        <v>1149</v>
      </c>
      <c r="C3441" s="149">
        <v>11</v>
      </c>
      <c r="D3441" s="149">
        <v>310</v>
      </c>
      <c r="E3441" s="149">
        <v>0</v>
      </c>
      <c r="F3441" s="149">
        <v>100200</v>
      </c>
      <c r="G3441" s="149">
        <v>53210</v>
      </c>
      <c r="H3441" s="150" t="str">
        <f t="shared" si="159"/>
        <v>5</v>
      </c>
      <c r="I3441" s="150" t="str">
        <f t="shared" si="160"/>
        <v>53</v>
      </c>
      <c r="J3441" s="150" t="str">
        <f t="shared" si="161"/>
        <v>532</v>
      </c>
      <c r="K3441" s="150" t="s">
        <v>8751</v>
      </c>
      <c r="L3441" s="149" t="s">
        <v>1150</v>
      </c>
      <c r="M3441" s="151">
        <v>4797.29</v>
      </c>
    </row>
    <row r="3442" spans="1:13" s="149" customFormat="1" x14ac:dyDescent="0.25">
      <c r="A3442" s="149" t="s">
        <v>7640</v>
      </c>
      <c r="B3442" s="149" t="s">
        <v>1151</v>
      </c>
      <c r="C3442" s="149">
        <v>11</v>
      </c>
      <c r="D3442" s="149">
        <v>310</v>
      </c>
      <c r="E3442" s="149">
        <v>0</v>
      </c>
      <c r="F3442" s="149">
        <v>100200</v>
      </c>
      <c r="G3442" s="149">
        <v>53310</v>
      </c>
      <c r="H3442" s="150" t="str">
        <f t="shared" si="159"/>
        <v>5</v>
      </c>
      <c r="I3442" s="150" t="str">
        <f t="shared" si="160"/>
        <v>53</v>
      </c>
      <c r="J3442" s="150" t="str">
        <f t="shared" si="161"/>
        <v>533</v>
      </c>
      <c r="K3442" s="150" t="s">
        <v>8752</v>
      </c>
      <c r="L3442" s="149" t="s">
        <v>1152</v>
      </c>
      <c r="M3442" s="151">
        <v>3442.16</v>
      </c>
    </row>
    <row r="3443" spans="1:13" s="149" customFormat="1" x14ac:dyDescent="0.25">
      <c r="A3443" s="149" t="s">
        <v>7640</v>
      </c>
      <c r="B3443" s="149" t="s">
        <v>1153</v>
      </c>
      <c r="C3443" s="149">
        <v>11</v>
      </c>
      <c r="D3443" s="149">
        <v>310</v>
      </c>
      <c r="E3443" s="149">
        <v>0</v>
      </c>
      <c r="F3443" s="149">
        <v>100200</v>
      </c>
      <c r="G3443" s="149">
        <v>53320</v>
      </c>
      <c r="H3443" s="150" t="str">
        <f t="shared" si="159"/>
        <v>5</v>
      </c>
      <c r="I3443" s="150" t="str">
        <f t="shared" si="160"/>
        <v>53</v>
      </c>
      <c r="J3443" s="150" t="str">
        <f t="shared" si="161"/>
        <v>533</v>
      </c>
      <c r="K3443" s="150" t="s">
        <v>8753</v>
      </c>
      <c r="L3443" s="149" t="s">
        <v>1154</v>
      </c>
      <c r="M3443" s="151">
        <v>0</v>
      </c>
    </row>
    <row r="3444" spans="1:13" s="149" customFormat="1" x14ac:dyDescent="0.25">
      <c r="A3444" s="149" t="s">
        <v>7640</v>
      </c>
      <c r="B3444" s="149" t="s">
        <v>1155</v>
      </c>
      <c r="C3444" s="149">
        <v>11</v>
      </c>
      <c r="D3444" s="149">
        <v>310</v>
      </c>
      <c r="E3444" s="149">
        <v>0</v>
      </c>
      <c r="F3444" s="149">
        <v>100200</v>
      </c>
      <c r="G3444" s="149">
        <v>53330</v>
      </c>
      <c r="H3444" s="150" t="str">
        <f t="shared" si="159"/>
        <v>5</v>
      </c>
      <c r="I3444" s="150" t="str">
        <f t="shared" si="160"/>
        <v>53</v>
      </c>
      <c r="J3444" s="150" t="str">
        <f t="shared" si="161"/>
        <v>533</v>
      </c>
      <c r="K3444" s="150" t="s">
        <v>8754</v>
      </c>
      <c r="L3444" s="149" t="s">
        <v>255</v>
      </c>
      <c r="M3444" s="151">
        <v>3334.89</v>
      </c>
    </row>
    <row r="3445" spans="1:13" s="149" customFormat="1" x14ac:dyDescent="0.25">
      <c r="A3445" s="149" t="s">
        <v>7640</v>
      </c>
      <c r="B3445" s="149" t="s">
        <v>1156</v>
      </c>
      <c r="C3445" s="149">
        <v>11</v>
      </c>
      <c r="D3445" s="149">
        <v>310</v>
      </c>
      <c r="E3445" s="149">
        <v>0</v>
      </c>
      <c r="F3445" s="149">
        <v>100200</v>
      </c>
      <c r="G3445" s="149">
        <v>53340</v>
      </c>
      <c r="H3445" s="150" t="str">
        <f t="shared" si="159"/>
        <v>5</v>
      </c>
      <c r="I3445" s="150" t="str">
        <f t="shared" si="160"/>
        <v>53</v>
      </c>
      <c r="J3445" s="150" t="str">
        <f t="shared" si="161"/>
        <v>533</v>
      </c>
      <c r="K3445" s="150" t="s">
        <v>8755</v>
      </c>
      <c r="L3445" s="149" t="s">
        <v>1157</v>
      </c>
      <c r="M3445" s="151">
        <v>0</v>
      </c>
    </row>
    <row r="3446" spans="1:13" s="149" customFormat="1" x14ac:dyDescent="0.25">
      <c r="A3446" s="149" t="s">
        <v>7640</v>
      </c>
      <c r="B3446" s="149" t="s">
        <v>1158</v>
      </c>
      <c r="C3446" s="149">
        <v>11</v>
      </c>
      <c r="D3446" s="149">
        <v>310</v>
      </c>
      <c r="E3446" s="149">
        <v>0</v>
      </c>
      <c r="F3446" s="149">
        <v>100200</v>
      </c>
      <c r="G3446" s="149">
        <v>53410</v>
      </c>
      <c r="H3446" s="150" t="str">
        <f t="shared" si="159"/>
        <v>5</v>
      </c>
      <c r="I3446" s="150" t="str">
        <f t="shared" si="160"/>
        <v>53</v>
      </c>
      <c r="J3446" s="150" t="str">
        <f t="shared" si="161"/>
        <v>534</v>
      </c>
      <c r="K3446" s="150" t="s">
        <v>8756</v>
      </c>
      <c r="L3446" s="149" t="s">
        <v>1159</v>
      </c>
      <c r="M3446" s="151">
        <v>19305.849999999999</v>
      </c>
    </row>
    <row r="3447" spans="1:13" s="149" customFormat="1" x14ac:dyDescent="0.25">
      <c r="A3447" s="149" t="s">
        <v>7640</v>
      </c>
      <c r="B3447" s="149" t="s">
        <v>1160</v>
      </c>
      <c r="C3447" s="149">
        <v>11</v>
      </c>
      <c r="D3447" s="149">
        <v>310</v>
      </c>
      <c r="E3447" s="149">
        <v>0</v>
      </c>
      <c r="F3447" s="149">
        <v>100200</v>
      </c>
      <c r="G3447" s="149">
        <v>53510</v>
      </c>
      <c r="H3447" s="150" t="str">
        <f t="shared" si="159"/>
        <v>5</v>
      </c>
      <c r="I3447" s="150" t="str">
        <f t="shared" si="160"/>
        <v>53</v>
      </c>
      <c r="J3447" s="150" t="str">
        <f t="shared" si="161"/>
        <v>535</v>
      </c>
      <c r="K3447" s="150" t="s">
        <v>8757</v>
      </c>
      <c r="L3447" s="149" t="s">
        <v>257</v>
      </c>
      <c r="M3447" s="151">
        <v>115.01</v>
      </c>
    </row>
    <row r="3448" spans="1:13" s="149" customFormat="1" x14ac:dyDescent="0.25">
      <c r="A3448" s="149" t="s">
        <v>7640</v>
      </c>
      <c r="B3448" s="149" t="s">
        <v>1161</v>
      </c>
      <c r="C3448" s="149">
        <v>11</v>
      </c>
      <c r="D3448" s="149">
        <v>310</v>
      </c>
      <c r="E3448" s="149">
        <v>0</v>
      </c>
      <c r="F3448" s="149">
        <v>100200</v>
      </c>
      <c r="G3448" s="149">
        <v>53520</v>
      </c>
      <c r="H3448" s="150" t="str">
        <f t="shared" si="159"/>
        <v>5</v>
      </c>
      <c r="I3448" s="150" t="str">
        <f t="shared" si="160"/>
        <v>53</v>
      </c>
      <c r="J3448" s="150" t="str">
        <f t="shared" si="161"/>
        <v>535</v>
      </c>
      <c r="K3448" s="150" t="s">
        <v>8758</v>
      </c>
      <c r="L3448" s="149" t="s">
        <v>1162</v>
      </c>
      <c r="M3448" s="151">
        <v>0</v>
      </c>
    </row>
    <row r="3449" spans="1:13" s="149" customFormat="1" x14ac:dyDescent="0.25">
      <c r="A3449" s="149" t="s">
        <v>7640</v>
      </c>
      <c r="B3449" s="149" t="s">
        <v>1163</v>
      </c>
      <c r="C3449" s="149">
        <v>11</v>
      </c>
      <c r="D3449" s="149">
        <v>310</v>
      </c>
      <c r="E3449" s="149">
        <v>0</v>
      </c>
      <c r="F3449" s="149">
        <v>100200</v>
      </c>
      <c r="G3449" s="149">
        <v>53610</v>
      </c>
      <c r="H3449" s="150" t="str">
        <f t="shared" si="159"/>
        <v>5</v>
      </c>
      <c r="I3449" s="150" t="str">
        <f t="shared" si="160"/>
        <v>53</v>
      </c>
      <c r="J3449" s="150" t="str">
        <f t="shared" si="161"/>
        <v>536</v>
      </c>
      <c r="K3449" s="150" t="s">
        <v>8759</v>
      </c>
      <c r="L3449" s="149" t="s">
        <v>259</v>
      </c>
      <c r="M3449" s="151">
        <v>4349.78</v>
      </c>
    </row>
    <row r="3450" spans="1:13" s="149" customFormat="1" x14ac:dyDescent="0.25">
      <c r="A3450" s="149" t="s">
        <v>7640</v>
      </c>
      <c r="B3450" s="149" t="s">
        <v>1164</v>
      </c>
      <c r="C3450" s="149">
        <v>11</v>
      </c>
      <c r="D3450" s="149">
        <v>310</v>
      </c>
      <c r="E3450" s="149">
        <v>0</v>
      </c>
      <c r="F3450" s="149">
        <v>100200</v>
      </c>
      <c r="G3450" s="149">
        <v>53620</v>
      </c>
      <c r="H3450" s="150" t="str">
        <f t="shared" si="159"/>
        <v>5</v>
      </c>
      <c r="I3450" s="150" t="str">
        <f t="shared" si="160"/>
        <v>53</v>
      </c>
      <c r="J3450" s="150" t="str">
        <f t="shared" si="161"/>
        <v>536</v>
      </c>
      <c r="K3450" s="150" t="s">
        <v>8760</v>
      </c>
      <c r="L3450" s="149" t="s">
        <v>1165</v>
      </c>
      <c r="M3450" s="151">
        <v>0</v>
      </c>
    </row>
    <row r="3451" spans="1:13" s="149" customFormat="1" x14ac:dyDescent="0.25">
      <c r="A3451" s="149" t="s">
        <v>7640</v>
      </c>
      <c r="B3451" s="149" t="s">
        <v>1166</v>
      </c>
      <c r="C3451" s="149">
        <v>11</v>
      </c>
      <c r="D3451" s="149">
        <v>310</v>
      </c>
      <c r="E3451" s="149">
        <v>0</v>
      </c>
      <c r="F3451" s="149">
        <v>100200</v>
      </c>
      <c r="G3451" s="149">
        <v>53910</v>
      </c>
      <c r="H3451" s="150" t="str">
        <f t="shared" si="159"/>
        <v>5</v>
      </c>
      <c r="I3451" s="150" t="str">
        <f t="shared" si="160"/>
        <v>53</v>
      </c>
      <c r="J3451" s="150" t="str">
        <f t="shared" si="161"/>
        <v>539</v>
      </c>
      <c r="K3451" s="150" t="s">
        <v>8761</v>
      </c>
      <c r="L3451" s="149" t="s">
        <v>1167</v>
      </c>
      <c r="M3451" s="151">
        <v>1745.44</v>
      </c>
    </row>
    <row r="3452" spans="1:13" s="149" customFormat="1" x14ac:dyDescent="0.25">
      <c r="A3452" s="149" t="s">
        <v>7640</v>
      </c>
      <c r="B3452" s="149" t="s">
        <v>1168</v>
      </c>
      <c r="C3452" s="149">
        <v>11</v>
      </c>
      <c r="D3452" s="149">
        <v>310</v>
      </c>
      <c r="E3452" s="149">
        <v>0</v>
      </c>
      <c r="F3452" s="149">
        <v>100200</v>
      </c>
      <c r="G3452" s="149">
        <v>54300</v>
      </c>
      <c r="H3452" s="150" t="str">
        <f t="shared" si="159"/>
        <v>5</v>
      </c>
      <c r="I3452" s="150" t="str">
        <f t="shared" si="160"/>
        <v>54</v>
      </c>
      <c r="J3452" s="150" t="str">
        <f t="shared" si="161"/>
        <v>543</v>
      </c>
      <c r="K3452" s="150" t="s">
        <v>7933</v>
      </c>
      <c r="L3452" s="149" t="s">
        <v>1169</v>
      </c>
      <c r="M3452" s="151">
        <v>-1.49</v>
      </c>
    </row>
    <row r="3453" spans="1:13" s="149" customFormat="1" x14ac:dyDescent="0.25">
      <c r="A3453" s="149" t="s">
        <v>7640</v>
      </c>
      <c r="B3453" s="149" t="s">
        <v>1170</v>
      </c>
      <c r="C3453" s="149">
        <v>11</v>
      </c>
      <c r="D3453" s="149">
        <v>310</v>
      </c>
      <c r="E3453" s="149">
        <v>0</v>
      </c>
      <c r="F3453" s="149">
        <v>100200</v>
      </c>
      <c r="G3453" s="149">
        <v>55630</v>
      </c>
      <c r="H3453" s="150" t="str">
        <f t="shared" si="159"/>
        <v>5</v>
      </c>
      <c r="I3453" s="150" t="str">
        <f t="shared" si="160"/>
        <v>55</v>
      </c>
      <c r="J3453" s="150" t="str">
        <f t="shared" si="161"/>
        <v>556</v>
      </c>
      <c r="K3453" s="150" t="s">
        <v>8196</v>
      </c>
      <c r="L3453" s="149" t="s">
        <v>1171</v>
      </c>
      <c r="M3453" s="151">
        <v>0</v>
      </c>
    </row>
    <row r="3454" spans="1:13" s="149" customFormat="1" x14ac:dyDescent="0.25">
      <c r="A3454" s="149" t="s">
        <v>7640</v>
      </c>
      <c r="B3454" s="149" t="s">
        <v>1172</v>
      </c>
      <c r="C3454" s="149">
        <v>11</v>
      </c>
      <c r="D3454" s="149">
        <v>310</v>
      </c>
      <c r="E3454" s="149">
        <v>0</v>
      </c>
      <c r="F3454" s="149">
        <v>100200</v>
      </c>
      <c r="G3454" s="149">
        <v>55651</v>
      </c>
      <c r="H3454" s="150" t="str">
        <f t="shared" si="159"/>
        <v>5</v>
      </c>
      <c r="I3454" s="150" t="str">
        <f t="shared" si="160"/>
        <v>55</v>
      </c>
      <c r="J3454" s="150" t="str">
        <f t="shared" si="161"/>
        <v>556</v>
      </c>
      <c r="K3454" s="150" t="s">
        <v>8316</v>
      </c>
      <c r="L3454" s="149" t="s">
        <v>1173</v>
      </c>
      <c r="M3454" s="151">
        <v>0</v>
      </c>
    </row>
    <row r="3455" spans="1:13" s="149" customFormat="1" x14ac:dyDescent="0.25">
      <c r="A3455" s="149" t="s">
        <v>7640</v>
      </c>
      <c r="B3455" s="149" t="s">
        <v>1174</v>
      </c>
      <c r="C3455" s="149">
        <v>11</v>
      </c>
      <c r="D3455" s="149">
        <v>310</v>
      </c>
      <c r="E3455" s="149">
        <v>0</v>
      </c>
      <c r="F3455" s="149">
        <v>100200</v>
      </c>
      <c r="G3455" s="149">
        <v>56400</v>
      </c>
      <c r="H3455" s="150" t="str">
        <f t="shared" si="159"/>
        <v>5</v>
      </c>
      <c r="I3455" s="150" t="str">
        <f t="shared" si="160"/>
        <v>56</v>
      </c>
      <c r="J3455" s="150" t="str">
        <f t="shared" si="161"/>
        <v>564</v>
      </c>
      <c r="K3455" s="150" t="s">
        <v>8373</v>
      </c>
      <c r="L3455" s="149" t="s">
        <v>1175</v>
      </c>
      <c r="M3455" s="151">
        <v>0</v>
      </c>
    </row>
    <row r="3456" spans="1:13" s="149" customFormat="1" x14ac:dyDescent="0.25">
      <c r="A3456" s="149" t="s">
        <v>7640</v>
      </c>
      <c r="B3456" s="149" t="s">
        <v>1176</v>
      </c>
      <c r="C3456" s="149">
        <v>11</v>
      </c>
      <c r="D3456" s="149">
        <v>310</v>
      </c>
      <c r="E3456" s="149">
        <v>0</v>
      </c>
      <c r="F3456" s="149">
        <v>100400</v>
      </c>
      <c r="G3456" s="149">
        <v>51100</v>
      </c>
      <c r="H3456" s="150" t="str">
        <f t="shared" si="159"/>
        <v>5</v>
      </c>
      <c r="I3456" s="150" t="str">
        <f t="shared" si="160"/>
        <v>51</v>
      </c>
      <c r="J3456" s="150" t="str">
        <f t="shared" si="161"/>
        <v>511</v>
      </c>
      <c r="K3456" s="150" t="s">
        <v>8762</v>
      </c>
      <c r="L3456" s="149" t="s">
        <v>1177</v>
      </c>
      <c r="M3456" s="151">
        <v>86278.14</v>
      </c>
    </row>
    <row r="3457" spans="1:13" s="149" customFormat="1" x14ac:dyDescent="0.25">
      <c r="A3457" s="149" t="s">
        <v>7640</v>
      </c>
      <c r="B3457" s="149" t="s">
        <v>1178</v>
      </c>
      <c r="C3457" s="149">
        <v>11</v>
      </c>
      <c r="D3457" s="149">
        <v>310</v>
      </c>
      <c r="E3457" s="149">
        <v>0</v>
      </c>
      <c r="F3457" s="149">
        <v>100400</v>
      </c>
      <c r="G3457" s="149">
        <v>51310</v>
      </c>
      <c r="H3457" s="150" t="str">
        <f t="shared" si="159"/>
        <v>5</v>
      </c>
      <c r="I3457" s="150" t="str">
        <f t="shared" si="160"/>
        <v>51</v>
      </c>
      <c r="J3457" s="150" t="str">
        <f t="shared" si="161"/>
        <v>513</v>
      </c>
      <c r="K3457" s="150" t="s">
        <v>7647</v>
      </c>
      <c r="L3457" s="149" t="s">
        <v>1179</v>
      </c>
      <c r="M3457" s="151">
        <v>1289.04</v>
      </c>
    </row>
    <row r="3458" spans="1:13" s="149" customFormat="1" x14ac:dyDescent="0.25">
      <c r="A3458" s="149" t="s">
        <v>7640</v>
      </c>
      <c r="B3458" s="149" t="s">
        <v>1180</v>
      </c>
      <c r="C3458" s="149">
        <v>11</v>
      </c>
      <c r="D3458" s="149">
        <v>310</v>
      </c>
      <c r="E3458" s="149">
        <v>0</v>
      </c>
      <c r="F3458" s="149">
        <v>100400</v>
      </c>
      <c r="G3458" s="149">
        <v>51311</v>
      </c>
      <c r="H3458" s="150" t="str">
        <f t="shared" si="159"/>
        <v>5</v>
      </c>
      <c r="I3458" s="150" t="str">
        <f t="shared" si="160"/>
        <v>51</v>
      </c>
      <c r="J3458" s="150" t="str">
        <f t="shared" si="161"/>
        <v>513</v>
      </c>
      <c r="K3458" s="150" t="s">
        <v>7722</v>
      </c>
      <c r="L3458" s="149" t="s">
        <v>261</v>
      </c>
      <c r="M3458" s="151">
        <v>124742.43</v>
      </c>
    </row>
    <row r="3459" spans="1:13" s="149" customFormat="1" x14ac:dyDescent="0.25">
      <c r="A3459" s="149" t="s">
        <v>7640</v>
      </c>
      <c r="B3459" s="149" t="s">
        <v>1181</v>
      </c>
      <c r="C3459" s="149">
        <v>11</v>
      </c>
      <c r="D3459" s="149">
        <v>310</v>
      </c>
      <c r="E3459" s="149">
        <v>0</v>
      </c>
      <c r="F3459" s="149">
        <v>100400</v>
      </c>
      <c r="G3459" s="149">
        <v>52400</v>
      </c>
      <c r="H3459" s="150" t="str">
        <f t="shared" ref="H3459:H3522" si="162">LEFT(G3459,1)</f>
        <v>5</v>
      </c>
      <c r="I3459" s="150" t="str">
        <f t="shared" ref="I3459:I3522" si="163">LEFT(G3459,2)</f>
        <v>52</v>
      </c>
      <c r="J3459" s="150" t="str">
        <f t="shared" ref="J3459:J3522" si="164">LEFT(G3459,3)</f>
        <v>524</v>
      </c>
      <c r="K3459" s="150" t="s">
        <v>7887</v>
      </c>
      <c r="L3459" s="149" t="s">
        <v>1182</v>
      </c>
      <c r="M3459" s="151">
        <v>5009.13</v>
      </c>
    </row>
    <row r="3460" spans="1:13" s="149" customFormat="1" x14ac:dyDescent="0.25">
      <c r="A3460" s="149" t="s">
        <v>7640</v>
      </c>
      <c r="B3460" s="149" t="s">
        <v>1183</v>
      </c>
      <c r="C3460" s="149">
        <v>11</v>
      </c>
      <c r="D3460" s="149">
        <v>310</v>
      </c>
      <c r="E3460" s="149">
        <v>0</v>
      </c>
      <c r="F3460" s="149">
        <v>100400</v>
      </c>
      <c r="G3460" s="149">
        <v>53110</v>
      </c>
      <c r="H3460" s="150" t="str">
        <f t="shared" si="162"/>
        <v>5</v>
      </c>
      <c r="I3460" s="150" t="str">
        <f t="shared" si="163"/>
        <v>53</v>
      </c>
      <c r="J3460" s="150" t="str">
        <f t="shared" si="164"/>
        <v>531</v>
      </c>
      <c r="K3460" s="150" t="s">
        <v>8763</v>
      </c>
      <c r="L3460" s="149" t="s">
        <v>263</v>
      </c>
      <c r="M3460" s="151">
        <v>28165.57</v>
      </c>
    </row>
    <row r="3461" spans="1:13" s="149" customFormat="1" x14ac:dyDescent="0.25">
      <c r="A3461" s="149" t="s">
        <v>7640</v>
      </c>
      <c r="B3461" s="149" t="s">
        <v>1184</v>
      </c>
      <c r="C3461" s="149">
        <v>11</v>
      </c>
      <c r="D3461" s="149">
        <v>310</v>
      </c>
      <c r="E3461" s="149">
        <v>0</v>
      </c>
      <c r="F3461" s="149">
        <v>100400</v>
      </c>
      <c r="G3461" s="149">
        <v>53310</v>
      </c>
      <c r="H3461" s="150" t="str">
        <f t="shared" si="162"/>
        <v>5</v>
      </c>
      <c r="I3461" s="150" t="str">
        <f t="shared" si="163"/>
        <v>53</v>
      </c>
      <c r="J3461" s="150" t="str">
        <f t="shared" si="164"/>
        <v>533</v>
      </c>
      <c r="K3461" s="150" t="s">
        <v>8764</v>
      </c>
      <c r="L3461" s="149" t="s">
        <v>1185</v>
      </c>
      <c r="M3461" s="151">
        <v>2660.95</v>
      </c>
    </row>
    <row r="3462" spans="1:13" s="149" customFormat="1" x14ac:dyDescent="0.25">
      <c r="A3462" s="149" t="s">
        <v>7640</v>
      </c>
      <c r="B3462" s="149" t="s">
        <v>1186</v>
      </c>
      <c r="C3462" s="149">
        <v>11</v>
      </c>
      <c r="D3462" s="149">
        <v>310</v>
      </c>
      <c r="E3462" s="149">
        <v>0</v>
      </c>
      <c r="F3462" s="149">
        <v>100400</v>
      </c>
      <c r="G3462" s="149">
        <v>53330</v>
      </c>
      <c r="H3462" s="150" t="str">
        <f t="shared" si="162"/>
        <v>5</v>
      </c>
      <c r="I3462" s="150" t="str">
        <f t="shared" si="163"/>
        <v>53</v>
      </c>
      <c r="J3462" s="150" t="str">
        <f t="shared" si="164"/>
        <v>533</v>
      </c>
      <c r="K3462" s="150" t="s">
        <v>8765</v>
      </c>
      <c r="L3462" s="149" t="s">
        <v>265</v>
      </c>
      <c r="M3462" s="151">
        <v>3138.96</v>
      </c>
    </row>
    <row r="3463" spans="1:13" s="149" customFormat="1" x14ac:dyDescent="0.25">
      <c r="A3463" s="149" t="s">
        <v>7640</v>
      </c>
      <c r="B3463" s="149" t="s">
        <v>1187</v>
      </c>
      <c r="C3463" s="149">
        <v>11</v>
      </c>
      <c r="D3463" s="149">
        <v>310</v>
      </c>
      <c r="E3463" s="149">
        <v>0</v>
      </c>
      <c r="F3463" s="149">
        <v>100400</v>
      </c>
      <c r="G3463" s="149">
        <v>53410</v>
      </c>
      <c r="H3463" s="150" t="str">
        <f t="shared" si="162"/>
        <v>5</v>
      </c>
      <c r="I3463" s="150" t="str">
        <f t="shared" si="163"/>
        <v>53</v>
      </c>
      <c r="J3463" s="150" t="str">
        <f t="shared" si="164"/>
        <v>534</v>
      </c>
      <c r="K3463" s="150" t="s">
        <v>8766</v>
      </c>
      <c r="L3463" s="149" t="s">
        <v>1188</v>
      </c>
      <c r="M3463" s="151">
        <v>26666.240000000002</v>
      </c>
    </row>
    <row r="3464" spans="1:13" s="149" customFormat="1" x14ac:dyDescent="0.25">
      <c r="A3464" s="149" t="s">
        <v>7640</v>
      </c>
      <c r="B3464" s="149" t="s">
        <v>1189</v>
      </c>
      <c r="C3464" s="149">
        <v>11</v>
      </c>
      <c r="D3464" s="149">
        <v>310</v>
      </c>
      <c r="E3464" s="149">
        <v>0</v>
      </c>
      <c r="F3464" s="149">
        <v>100400</v>
      </c>
      <c r="G3464" s="149">
        <v>53510</v>
      </c>
      <c r="H3464" s="150" t="str">
        <f t="shared" si="162"/>
        <v>5</v>
      </c>
      <c r="I3464" s="150" t="str">
        <f t="shared" si="163"/>
        <v>53</v>
      </c>
      <c r="J3464" s="150" t="str">
        <f t="shared" si="164"/>
        <v>535</v>
      </c>
      <c r="K3464" s="150" t="s">
        <v>8767</v>
      </c>
      <c r="L3464" s="149" t="s">
        <v>267</v>
      </c>
      <c r="M3464" s="151">
        <v>108.69</v>
      </c>
    </row>
    <row r="3465" spans="1:13" s="149" customFormat="1" x14ac:dyDescent="0.25">
      <c r="A3465" s="149" t="s">
        <v>7640</v>
      </c>
      <c r="B3465" s="149" t="s">
        <v>1190</v>
      </c>
      <c r="C3465" s="149">
        <v>11</v>
      </c>
      <c r="D3465" s="149">
        <v>310</v>
      </c>
      <c r="E3465" s="149">
        <v>0</v>
      </c>
      <c r="F3465" s="149">
        <v>100400</v>
      </c>
      <c r="G3465" s="149">
        <v>53610</v>
      </c>
      <c r="H3465" s="150" t="str">
        <f t="shared" si="162"/>
        <v>5</v>
      </c>
      <c r="I3465" s="150" t="str">
        <f t="shared" si="163"/>
        <v>53</v>
      </c>
      <c r="J3465" s="150" t="str">
        <f t="shared" si="164"/>
        <v>536</v>
      </c>
      <c r="K3465" s="150" t="s">
        <v>8768</v>
      </c>
      <c r="L3465" s="149" t="s">
        <v>269</v>
      </c>
      <c r="M3465" s="151">
        <v>4109.08</v>
      </c>
    </row>
    <row r="3466" spans="1:13" s="149" customFormat="1" x14ac:dyDescent="0.25">
      <c r="A3466" s="149" t="s">
        <v>7640</v>
      </c>
      <c r="B3466" s="149" t="s">
        <v>1191</v>
      </c>
      <c r="C3466" s="149">
        <v>11</v>
      </c>
      <c r="D3466" s="149">
        <v>310</v>
      </c>
      <c r="E3466" s="149">
        <v>0</v>
      </c>
      <c r="F3466" s="149">
        <v>100400</v>
      </c>
      <c r="G3466" s="149">
        <v>54300</v>
      </c>
      <c r="H3466" s="150" t="str">
        <f t="shared" si="162"/>
        <v>5</v>
      </c>
      <c r="I3466" s="150" t="str">
        <f t="shared" si="163"/>
        <v>54</v>
      </c>
      <c r="J3466" s="150" t="str">
        <f t="shared" si="164"/>
        <v>543</v>
      </c>
      <c r="K3466" s="150" t="s">
        <v>7934</v>
      </c>
      <c r="L3466" s="149" t="s">
        <v>1192</v>
      </c>
      <c r="M3466" s="151">
        <v>1738.5900000000001</v>
      </c>
    </row>
    <row r="3467" spans="1:13" s="149" customFormat="1" x14ac:dyDescent="0.25">
      <c r="A3467" s="149" t="s">
        <v>7640</v>
      </c>
      <c r="B3467" s="149" t="s">
        <v>1193</v>
      </c>
      <c r="C3467" s="149">
        <v>11</v>
      </c>
      <c r="D3467" s="149">
        <v>310</v>
      </c>
      <c r="E3467" s="149">
        <v>0</v>
      </c>
      <c r="F3467" s="149">
        <v>100400</v>
      </c>
      <c r="G3467" s="149">
        <v>55630</v>
      </c>
      <c r="H3467" s="150" t="str">
        <f t="shared" si="162"/>
        <v>5</v>
      </c>
      <c r="I3467" s="150" t="str">
        <f t="shared" si="163"/>
        <v>55</v>
      </c>
      <c r="J3467" s="150" t="str">
        <f t="shared" si="164"/>
        <v>556</v>
      </c>
      <c r="K3467" s="150" t="s">
        <v>8197</v>
      </c>
      <c r="L3467" s="149" t="s">
        <v>1194</v>
      </c>
      <c r="M3467" s="151">
        <v>1.1599999999999999</v>
      </c>
    </row>
    <row r="3468" spans="1:13" s="149" customFormat="1" x14ac:dyDescent="0.25">
      <c r="A3468" s="149" t="s">
        <v>7640</v>
      </c>
      <c r="B3468" s="149" t="s">
        <v>1195</v>
      </c>
      <c r="C3468" s="149">
        <v>11</v>
      </c>
      <c r="D3468" s="149">
        <v>310</v>
      </c>
      <c r="E3468" s="149">
        <v>0</v>
      </c>
      <c r="F3468" s="149">
        <v>100400</v>
      </c>
      <c r="G3468" s="149">
        <v>55651</v>
      </c>
      <c r="H3468" s="150" t="str">
        <f t="shared" si="162"/>
        <v>5</v>
      </c>
      <c r="I3468" s="150" t="str">
        <f t="shared" si="163"/>
        <v>55</v>
      </c>
      <c r="J3468" s="150" t="str">
        <f t="shared" si="164"/>
        <v>556</v>
      </c>
      <c r="K3468" s="150" t="s">
        <v>8317</v>
      </c>
      <c r="L3468" s="149" t="s">
        <v>1196</v>
      </c>
      <c r="M3468" s="151">
        <v>0</v>
      </c>
    </row>
    <row r="3469" spans="1:13" s="149" customFormat="1" x14ac:dyDescent="0.25">
      <c r="A3469" s="149" t="s">
        <v>7640</v>
      </c>
      <c r="B3469" s="149" t="s">
        <v>1197</v>
      </c>
      <c r="C3469" s="149">
        <v>11</v>
      </c>
      <c r="D3469" s="149">
        <v>310</v>
      </c>
      <c r="E3469" s="149">
        <v>0</v>
      </c>
      <c r="F3469" s="149">
        <v>100700</v>
      </c>
      <c r="G3469" s="149">
        <v>51100</v>
      </c>
      <c r="H3469" s="150" t="str">
        <f t="shared" si="162"/>
        <v>5</v>
      </c>
      <c r="I3469" s="150" t="str">
        <f t="shared" si="163"/>
        <v>51</v>
      </c>
      <c r="J3469" s="150" t="str">
        <f t="shared" si="164"/>
        <v>511</v>
      </c>
      <c r="K3469" s="150" t="s">
        <v>8769</v>
      </c>
      <c r="L3469" s="149" t="s">
        <v>1198</v>
      </c>
      <c r="M3469" s="151">
        <v>9352.73</v>
      </c>
    </row>
    <row r="3470" spans="1:13" s="149" customFormat="1" x14ac:dyDescent="0.25">
      <c r="A3470" s="149" t="s">
        <v>7640</v>
      </c>
      <c r="B3470" s="149" t="s">
        <v>1199</v>
      </c>
      <c r="C3470" s="149">
        <v>11</v>
      </c>
      <c r="D3470" s="149">
        <v>310</v>
      </c>
      <c r="E3470" s="149">
        <v>0</v>
      </c>
      <c r="F3470" s="149">
        <v>100700</v>
      </c>
      <c r="G3470" s="149">
        <v>51310</v>
      </c>
      <c r="H3470" s="150" t="str">
        <f t="shared" si="162"/>
        <v>5</v>
      </c>
      <c r="I3470" s="150" t="str">
        <f t="shared" si="163"/>
        <v>51</v>
      </c>
      <c r="J3470" s="150" t="str">
        <f t="shared" si="164"/>
        <v>513</v>
      </c>
      <c r="K3470" s="150" t="s">
        <v>7648</v>
      </c>
      <c r="L3470" s="149" t="s">
        <v>1200</v>
      </c>
      <c r="M3470" s="151">
        <v>11574.27</v>
      </c>
    </row>
    <row r="3471" spans="1:13" s="149" customFormat="1" x14ac:dyDescent="0.25">
      <c r="A3471" s="149" t="s">
        <v>7640</v>
      </c>
      <c r="B3471" s="149" t="s">
        <v>1201</v>
      </c>
      <c r="C3471" s="149">
        <v>11</v>
      </c>
      <c r="D3471" s="149">
        <v>310</v>
      </c>
      <c r="E3471" s="149">
        <v>0</v>
      </c>
      <c r="F3471" s="149">
        <v>100700</v>
      </c>
      <c r="G3471" s="149">
        <v>51311</v>
      </c>
      <c r="H3471" s="150" t="str">
        <f t="shared" si="162"/>
        <v>5</v>
      </c>
      <c r="I3471" s="150" t="str">
        <f t="shared" si="163"/>
        <v>51</v>
      </c>
      <c r="J3471" s="150" t="str">
        <f t="shared" si="164"/>
        <v>513</v>
      </c>
      <c r="K3471" s="150" t="s">
        <v>7723</v>
      </c>
      <c r="L3471" s="149" t="s">
        <v>1202</v>
      </c>
      <c r="M3471" s="151">
        <v>70953.039999999994</v>
      </c>
    </row>
    <row r="3472" spans="1:13" s="149" customFormat="1" x14ac:dyDescent="0.25">
      <c r="A3472" s="149" t="s">
        <v>7640</v>
      </c>
      <c r="B3472" s="149" t="s">
        <v>1203</v>
      </c>
      <c r="C3472" s="149">
        <v>11</v>
      </c>
      <c r="D3472" s="149">
        <v>310</v>
      </c>
      <c r="E3472" s="149">
        <v>0</v>
      </c>
      <c r="F3472" s="149">
        <v>100700</v>
      </c>
      <c r="G3472" s="149">
        <v>52350</v>
      </c>
      <c r="H3472" s="150" t="str">
        <f t="shared" si="162"/>
        <v>5</v>
      </c>
      <c r="I3472" s="150" t="str">
        <f t="shared" si="163"/>
        <v>52</v>
      </c>
      <c r="J3472" s="150" t="str">
        <f t="shared" si="164"/>
        <v>523</v>
      </c>
      <c r="K3472" s="150" t="s">
        <v>7854</v>
      </c>
      <c r="L3472" s="149" t="s">
        <v>1204</v>
      </c>
      <c r="M3472" s="151">
        <v>0</v>
      </c>
    </row>
    <row r="3473" spans="1:13" s="149" customFormat="1" x14ac:dyDescent="0.25">
      <c r="A3473" s="149" t="s">
        <v>7640</v>
      </c>
      <c r="B3473" s="149" t="s">
        <v>1205</v>
      </c>
      <c r="C3473" s="149">
        <v>11</v>
      </c>
      <c r="D3473" s="149">
        <v>310</v>
      </c>
      <c r="E3473" s="149">
        <v>0</v>
      </c>
      <c r="F3473" s="149">
        <v>100700</v>
      </c>
      <c r="G3473" s="149">
        <v>52360</v>
      </c>
      <c r="H3473" s="150" t="str">
        <f t="shared" si="162"/>
        <v>5</v>
      </c>
      <c r="I3473" s="150" t="str">
        <f t="shared" si="163"/>
        <v>52</v>
      </c>
      <c r="J3473" s="150" t="str">
        <f t="shared" si="164"/>
        <v>523</v>
      </c>
      <c r="K3473" s="150" t="s">
        <v>7868</v>
      </c>
      <c r="L3473" s="149" t="s">
        <v>1206</v>
      </c>
      <c r="M3473" s="151">
        <v>0</v>
      </c>
    </row>
    <row r="3474" spans="1:13" s="149" customFormat="1" x14ac:dyDescent="0.25">
      <c r="A3474" s="149" t="s">
        <v>7640</v>
      </c>
      <c r="B3474" s="149" t="s">
        <v>1207</v>
      </c>
      <c r="C3474" s="149">
        <v>11</v>
      </c>
      <c r="D3474" s="149">
        <v>310</v>
      </c>
      <c r="E3474" s="149">
        <v>0</v>
      </c>
      <c r="F3474" s="149">
        <v>100700</v>
      </c>
      <c r="G3474" s="149">
        <v>53110</v>
      </c>
      <c r="H3474" s="150" t="str">
        <f t="shared" si="162"/>
        <v>5</v>
      </c>
      <c r="I3474" s="150" t="str">
        <f t="shared" si="163"/>
        <v>53</v>
      </c>
      <c r="J3474" s="150" t="str">
        <f t="shared" si="164"/>
        <v>531</v>
      </c>
      <c r="K3474" s="150" t="s">
        <v>8770</v>
      </c>
      <c r="L3474" s="149" t="s">
        <v>1208</v>
      </c>
      <c r="M3474" s="151">
        <v>13471.46</v>
      </c>
    </row>
    <row r="3475" spans="1:13" s="149" customFormat="1" x14ac:dyDescent="0.25">
      <c r="A3475" s="149" t="s">
        <v>7640</v>
      </c>
      <c r="B3475" s="149" t="s">
        <v>1209</v>
      </c>
      <c r="C3475" s="149">
        <v>11</v>
      </c>
      <c r="D3475" s="149">
        <v>310</v>
      </c>
      <c r="E3475" s="149">
        <v>0</v>
      </c>
      <c r="F3475" s="149">
        <v>100700</v>
      </c>
      <c r="G3475" s="149">
        <v>53310</v>
      </c>
      <c r="H3475" s="150" t="str">
        <f t="shared" si="162"/>
        <v>5</v>
      </c>
      <c r="I3475" s="150" t="str">
        <f t="shared" si="163"/>
        <v>53</v>
      </c>
      <c r="J3475" s="150" t="str">
        <f t="shared" si="164"/>
        <v>533</v>
      </c>
      <c r="K3475" s="150" t="s">
        <v>8771</v>
      </c>
      <c r="L3475" s="149" t="s">
        <v>1210</v>
      </c>
      <c r="M3475" s="151">
        <v>218.18</v>
      </c>
    </row>
    <row r="3476" spans="1:13" s="149" customFormat="1" x14ac:dyDescent="0.25">
      <c r="A3476" s="149" t="s">
        <v>7640</v>
      </c>
      <c r="B3476" s="149" t="s">
        <v>1211</v>
      </c>
      <c r="C3476" s="149">
        <v>11</v>
      </c>
      <c r="D3476" s="149">
        <v>310</v>
      </c>
      <c r="E3476" s="149">
        <v>0</v>
      </c>
      <c r="F3476" s="149">
        <v>100700</v>
      </c>
      <c r="G3476" s="149">
        <v>53320</v>
      </c>
      <c r="H3476" s="150" t="str">
        <f t="shared" si="162"/>
        <v>5</v>
      </c>
      <c r="I3476" s="150" t="str">
        <f t="shared" si="163"/>
        <v>53</v>
      </c>
      <c r="J3476" s="150" t="str">
        <f t="shared" si="164"/>
        <v>533</v>
      </c>
      <c r="K3476" s="150" t="s">
        <v>8772</v>
      </c>
      <c r="L3476" s="149" t="s">
        <v>1212</v>
      </c>
      <c r="M3476" s="151">
        <v>0</v>
      </c>
    </row>
    <row r="3477" spans="1:13" s="149" customFormat="1" x14ac:dyDescent="0.25">
      <c r="A3477" s="149" t="s">
        <v>7640</v>
      </c>
      <c r="B3477" s="149" t="s">
        <v>1213</v>
      </c>
      <c r="C3477" s="149">
        <v>11</v>
      </c>
      <c r="D3477" s="149">
        <v>310</v>
      </c>
      <c r="E3477" s="149">
        <v>0</v>
      </c>
      <c r="F3477" s="149">
        <v>100700</v>
      </c>
      <c r="G3477" s="149">
        <v>53330</v>
      </c>
      <c r="H3477" s="150" t="str">
        <f t="shared" si="162"/>
        <v>5</v>
      </c>
      <c r="I3477" s="150" t="str">
        <f t="shared" si="163"/>
        <v>53</v>
      </c>
      <c r="J3477" s="150" t="str">
        <f t="shared" si="164"/>
        <v>533</v>
      </c>
      <c r="K3477" s="150" t="s">
        <v>8773</v>
      </c>
      <c r="L3477" s="149" t="s">
        <v>1214</v>
      </c>
      <c r="M3477" s="151">
        <v>1330.84</v>
      </c>
    </row>
    <row r="3478" spans="1:13" s="149" customFormat="1" x14ac:dyDescent="0.25">
      <c r="A3478" s="149" t="s">
        <v>7640</v>
      </c>
      <c r="B3478" s="149" t="s">
        <v>1215</v>
      </c>
      <c r="C3478" s="149">
        <v>11</v>
      </c>
      <c r="D3478" s="149">
        <v>310</v>
      </c>
      <c r="E3478" s="149">
        <v>0</v>
      </c>
      <c r="F3478" s="149">
        <v>100700</v>
      </c>
      <c r="G3478" s="149">
        <v>53340</v>
      </c>
      <c r="H3478" s="150" t="str">
        <f t="shared" si="162"/>
        <v>5</v>
      </c>
      <c r="I3478" s="150" t="str">
        <f t="shared" si="163"/>
        <v>53</v>
      </c>
      <c r="J3478" s="150" t="str">
        <f t="shared" si="164"/>
        <v>533</v>
      </c>
      <c r="K3478" s="150" t="s">
        <v>8774</v>
      </c>
      <c r="L3478" s="149" t="s">
        <v>1216</v>
      </c>
      <c r="M3478" s="151">
        <v>0</v>
      </c>
    </row>
    <row r="3479" spans="1:13" s="149" customFormat="1" x14ac:dyDescent="0.25">
      <c r="A3479" s="149" t="s">
        <v>7640</v>
      </c>
      <c r="B3479" s="149" t="s">
        <v>1217</v>
      </c>
      <c r="C3479" s="149">
        <v>11</v>
      </c>
      <c r="D3479" s="149">
        <v>310</v>
      </c>
      <c r="E3479" s="149">
        <v>0</v>
      </c>
      <c r="F3479" s="149">
        <v>100700</v>
      </c>
      <c r="G3479" s="149">
        <v>53410</v>
      </c>
      <c r="H3479" s="150" t="str">
        <f t="shared" si="162"/>
        <v>5</v>
      </c>
      <c r="I3479" s="150" t="str">
        <f t="shared" si="163"/>
        <v>53</v>
      </c>
      <c r="J3479" s="150" t="str">
        <f t="shared" si="164"/>
        <v>534</v>
      </c>
      <c r="K3479" s="150" t="s">
        <v>8775</v>
      </c>
      <c r="L3479" s="149" t="s">
        <v>1218</v>
      </c>
      <c r="M3479" s="151">
        <v>3057.63</v>
      </c>
    </row>
    <row r="3480" spans="1:13" s="149" customFormat="1" x14ac:dyDescent="0.25">
      <c r="A3480" s="149" t="s">
        <v>7640</v>
      </c>
      <c r="B3480" s="149" t="s">
        <v>1219</v>
      </c>
      <c r="C3480" s="149">
        <v>11</v>
      </c>
      <c r="D3480" s="149">
        <v>310</v>
      </c>
      <c r="E3480" s="149">
        <v>0</v>
      </c>
      <c r="F3480" s="149">
        <v>100700</v>
      </c>
      <c r="G3480" s="149">
        <v>53510</v>
      </c>
      <c r="H3480" s="150" t="str">
        <f t="shared" si="162"/>
        <v>5</v>
      </c>
      <c r="I3480" s="150" t="str">
        <f t="shared" si="163"/>
        <v>53</v>
      </c>
      <c r="J3480" s="150" t="str">
        <f t="shared" si="164"/>
        <v>535</v>
      </c>
      <c r="K3480" s="150" t="s">
        <v>8776</v>
      </c>
      <c r="L3480" s="149" t="s">
        <v>1220</v>
      </c>
      <c r="M3480" s="151">
        <v>46</v>
      </c>
    </row>
    <row r="3481" spans="1:13" s="149" customFormat="1" x14ac:dyDescent="0.25">
      <c r="A3481" s="149" t="s">
        <v>7640</v>
      </c>
      <c r="B3481" s="149" t="s">
        <v>1221</v>
      </c>
      <c r="C3481" s="149">
        <v>11</v>
      </c>
      <c r="D3481" s="149">
        <v>310</v>
      </c>
      <c r="E3481" s="149">
        <v>0</v>
      </c>
      <c r="F3481" s="149">
        <v>100700</v>
      </c>
      <c r="G3481" s="149">
        <v>53520</v>
      </c>
      <c r="H3481" s="150" t="str">
        <f t="shared" si="162"/>
        <v>5</v>
      </c>
      <c r="I3481" s="150" t="str">
        <f t="shared" si="163"/>
        <v>53</v>
      </c>
      <c r="J3481" s="150" t="str">
        <f t="shared" si="164"/>
        <v>535</v>
      </c>
      <c r="K3481" s="150" t="s">
        <v>8777</v>
      </c>
      <c r="L3481" s="149" t="s">
        <v>1222</v>
      </c>
      <c r="M3481" s="151">
        <v>0</v>
      </c>
    </row>
    <row r="3482" spans="1:13" s="149" customFormat="1" x14ac:dyDescent="0.25">
      <c r="A3482" s="149" t="s">
        <v>7640</v>
      </c>
      <c r="B3482" s="149" t="s">
        <v>1223</v>
      </c>
      <c r="C3482" s="149">
        <v>11</v>
      </c>
      <c r="D3482" s="149">
        <v>310</v>
      </c>
      <c r="E3482" s="149">
        <v>0</v>
      </c>
      <c r="F3482" s="149">
        <v>100700</v>
      </c>
      <c r="G3482" s="149">
        <v>53610</v>
      </c>
      <c r="H3482" s="150" t="str">
        <f t="shared" si="162"/>
        <v>5</v>
      </c>
      <c r="I3482" s="150" t="str">
        <f t="shared" si="163"/>
        <v>53</v>
      </c>
      <c r="J3482" s="150" t="str">
        <f t="shared" si="164"/>
        <v>536</v>
      </c>
      <c r="K3482" s="150" t="s">
        <v>8778</v>
      </c>
      <c r="L3482" s="149" t="s">
        <v>1224</v>
      </c>
      <c r="M3482" s="151">
        <v>1737.31</v>
      </c>
    </row>
    <row r="3483" spans="1:13" s="149" customFormat="1" x14ac:dyDescent="0.25">
      <c r="A3483" s="149" t="s">
        <v>7640</v>
      </c>
      <c r="B3483" s="149" t="s">
        <v>1225</v>
      </c>
      <c r="C3483" s="149">
        <v>11</v>
      </c>
      <c r="D3483" s="149">
        <v>310</v>
      </c>
      <c r="E3483" s="149">
        <v>0</v>
      </c>
      <c r="F3483" s="149">
        <v>100700</v>
      </c>
      <c r="G3483" s="149">
        <v>53620</v>
      </c>
      <c r="H3483" s="150" t="str">
        <f t="shared" si="162"/>
        <v>5</v>
      </c>
      <c r="I3483" s="150" t="str">
        <f t="shared" si="163"/>
        <v>53</v>
      </c>
      <c r="J3483" s="150" t="str">
        <f t="shared" si="164"/>
        <v>536</v>
      </c>
      <c r="K3483" s="150" t="s">
        <v>8779</v>
      </c>
      <c r="L3483" s="149" t="s">
        <v>1226</v>
      </c>
      <c r="M3483" s="151">
        <v>0</v>
      </c>
    </row>
    <row r="3484" spans="1:13" s="149" customFormat="1" x14ac:dyDescent="0.25">
      <c r="A3484" s="149" t="s">
        <v>7640</v>
      </c>
      <c r="B3484" s="149" t="s">
        <v>1227</v>
      </c>
      <c r="C3484" s="149">
        <v>11</v>
      </c>
      <c r="D3484" s="149">
        <v>310</v>
      </c>
      <c r="E3484" s="149">
        <v>0</v>
      </c>
      <c r="F3484" s="149">
        <v>100700</v>
      </c>
      <c r="G3484" s="149">
        <v>55105</v>
      </c>
      <c r="H3484" s="150" t="str">
        <f t="shared" si="162"/>
        <v>5</v>
      </c>
      <c r="I3484" s="150" t="str">
        <f t="shared" si="163"/>
        <v>55</v>
      </c>
      <c r="J3484" s="150" t="str">
        <f t="shared" si="164"/>
        <v>551</v>
      </c>
      <c r="K3484" s="150" t="s">
        <v>8011</v>
      </c>
      <c r="L3484" s="149" t="s">
        <v>1228</v>
      </c>
      <c r="M3484" s="151">
        <v>1420</v>
      </c>
    </row>
    <row r="3485" spans="1:13" s="149" customFormat="1" x14ac:dyDescent="0.25">
      <c r="A3485" s="149" t="s">
        <v>7640</v>
      </c>
      <c r="B3485" s="149" t="s">
        <v>1229</v>
      </c>
      <c r="C3485" s="149">
        <v>11</v>
      </c>
      <c r="D3485" s="149">
        <v>310</v>
      </c>
      <c r="E3485" s="149">
        <v>0</v>
      </c>
      <c r="F3485" s="149">
        <v>100700</v>
      </c>
      <c r="G3485" s="149">
        <v>55200</v>
      </c>
      <c r="H3485" s="150" t="str">
        <f t="shared" si="162"/>
        <v>5</v>
      </c>
      <c r="I3485" s="150" t="str">
        <f t="shared" si="163"/>
        <v>55</v>
      </c>
      <c r="J3485" s="150" t="str">
        <f t="shared" si="164"/>
        <v>552</v>
      </c>
      <c r="K3485" s="150" t="s">
        <v>8048</v>
      </c>
      <c r="L3485" s="149" t="s">
        <v>1230</v>
      </c>
      <c r="M3485" s="151">
        <v>0</v>
      </c>
    </row>
    <row r="3486" spans="1:13" s="149" customFormat="1" x14ac:dyDescent="0.25">
      <c r="A3486" s="149" t="s">
        <v>7640</v>
      </c>
      <c r="B3486" s="149" t="s">
        <v>1231</v>
      </c>
      <c r="C3486" s="149">
        <v>11</v>
      </c>
      <c r="D3486" s="149">
        <v>310</v>
      </c>
      <c r="E3486" s="149">
        <v>0</v>
      </c>
      <c r="F3486" s="149">
        <v>100700</v>
      </c>
      <c r="G3486" s="149">
        <v>55300</v>
      </c>
      <c r="H3486" s="150" t="str">
        <f t="shared" si="162"/>
        <v>5</v>
      </c>
      <c r="I3486" s="150" t="str">
        <f t="shared" si="163"/>
        <v>55</v>
      </c>
      <c r="J3486" s="150" t="str">
        <f t="shared" si="164"/>
        <v>553</v>
      </c>
      <c r="K3486" s="150" t="s">
        <v>8086</v>
      </c>
      <c r="L3486" s="149" t="s">
        <v>1232</v>
      </c>
      <c r="M3486" s="151">
        <v>0</v>
      </c>
    </row>
    <row r="3487" spans="1:13" s="149" customFormat="1" x14ac:dyDescent="0.25">
      <c r="A3487" s="149" t="s">
        <v>7640</v>
      </c>
      <c r="B3487" s="149" t="s">
        <v>1233</v>
      </c>
      <c r="C3487" s="149">
        <v>11</v>
      </c>
      <c r="D3487" s="149">
        <v>310</v>
      </c>
      <c r="E3487" s="149">
        <v>0</v>
      </c>
      <c r="F3487" s="149">
        <v>100700</v>
      </c>
      <c r="G3487" s="149">
        <v>55630</v>
      </c>
      <c r="H3487" s="150" t="str">
        <f t="shared" si="162"/>
        <v>5</v>
      </c>
      <c r="I3487" s="150" t="str">
        <f t="shared" si="163"/>
        <v>55</v>
      </c>
      <c r="J3487" s="150" t="str">
        <f t="shared" si="164"/>
        <v>556</v>
      </c>
      <c r="K3487" s="150" t="s">
        <v>8198</v>
      </c>
      <c r="L3487" s="149" t="s">
        <v>1234</v>
      </c>
      <c r="M3487" s="151">
        <v>0</v>
      </c>
    </row>
    <row r="3488" spans="1:13" s="149" customFormat="1" x14ac:dyDescent="0.25">
      <c r="A3488" s="149" t="s">
        <v>7640</v>
      </c>
      <c r="B3488" s="149" t="s">
        <v>1235</v>
      </c>
      <c r="C3488" s="149">
        <v>11</v>
      </c>
      <c r="D3488" s="149">
        <v>310</v>
      </c>
      <c r="E3488" s="149">
        <v>0</v>
      </c>
      <c r="F3488" s="149">
        <v>100700</v>
      </c>
      <c r="G3488" s="149">
        <v>57552</v>
      </c>
      <c r="H3488" s="150" t="str">
        <f t="shared" si="162"/>
        <v>5</v>
      </c>
      <c r="I3488" s="150" t="str">
        <f t="shared" si="163"/>
        <v>57</v>
      </c>
      <c r="J3488" s="150" t="str">
        <f t="shared" si="164"/>
        <v>575</v>
      </c>
      <c r="K3488" s="150" t="s">
        <v>8396</v>
      </c>
      <c r="L3488" s="149" t="s">
        <v>9593</v>
      </c>
      <c r="M3488" s="151">
        <v>0</v>
      </c>
    </row>
    <row r="3489" spans="1:13" s="149" customFormat="1" x14ac:dyDescent="0.25">
      <c r="A3489" s="149" t="s">
        <v>7640</v>
      </c>
      <c r="B3489" s="149" t="s">
        <v>1237</v>
      </c>
      <c r="C3489" s="149">
        <v>11</v>
      </c>
      <c r="D3489" s="149">
        <v>310</v>
      </c>
      <c r="E3489" s="149">
        <v>0</v>
      </c>
      <c r="F3489" s="149">
        <v>101100</v>
      </c>
      <c r="G3489" s="149">
        <v>51310</v>
      </c>
      <c r="H3489" s="150" t="str">
        <f t="shared" si="162"/>
        <v>5</v>
      </c>
      <c r="I3489" s="150" t="str">
        <f t="shared" si="163"/>
        <v>51</v>
      </c>
      <c r="J3489" s="150" t="str">
        <f t="shared" si="164"/>
        <v>513</v>
      </c>
      <c r="K3489" s="150" t="s">
        <v>7649</v>
      </c>
      <c r="L3489" s="149" t="s">
        <v>1238</v>
      </c>
      <c r="M3489" s="151">
        <v>6546.65</v>
      </c>
    </row>
    <row r="3490" spans="1:13" s="149" customFormat="1" x14ac:dyDescent="0.25">
      <c r="A3490" s="149" t="s">
        <v>7640</v>
      </c>
      <c r="B3490" s="149" t="s">
        <v>1239</v>
      </c>
      <c r="C3490" s="149">
        <v>11</v>
      </c>
      <c r="D3490" s="149">
        <v>310</v>
      </c>
      <c r="E3490" s="149">
        <v>0</v>
      </c>
      <c r="F3490" s="149">
        <v>101100</v>
      </c>
      <c r="G3490" s="149">
        <v>51311</v>
      </c>
      <c r="H3490" s="150" t="str">
        <f t="shared" si="162"/>
        <v>5</v>
      </c>
      <c r="I3490" s="150" t="str">
        <f t="shared" si="163"/>
        <v>51</v>
      </c>
      <c r="J3490" s="150" t="str">
        <f t="shared" si="164"/>
        <v>513</v>
      </c>
      <c r="K3490" s="150" t="s">
        <v>7724</v>
      </c>
      <c r="L3490" s="149" t="s">
        <v>271</v>
      </c>
      <c r="M3490" s="151">
        <v>26648.06</v>
      </c>
    </row>
    <row r="3491" spans="1:13" s="149" customFormat="1" x14ac:dyDescent="0.25">
      <c r="A3491" s="149" t="s">
        <v>7640</v>
      </c>
      <c r="B3491" s="149" t="s">
        <v>1240</v>
      </c>
      <c r="C3491" s="149">
        <v>11</v>
      </c>
      <c r="D3491" s="149">
        <v>310</v>
      </c>
      <c r="E3491" s="149">
        <v>0</v>
      </c>
      <c r="F3491" s="149">
        <v>101100</v>
      </c>
      <c r="G3491" s="149">
        <v>52200</v>
      </c>
      <c r="H3491" s="150" t="str">
        <f t="shared" si="162"/>
        <v>5</v>
      </c>
      <c r="I3491" s="150" t="str">
        <f t="shared" si="163"/>
        <v>52</v>
      </c>
      <c r="J3491" s="150" t="str">
        <f t="shared" si="164"/>
        <v>522</v>
      </c>
      <c r="K3491" s="150" t="s">
        <v>8780</v>
      </c>
      <c r="L3491" s="149" t="s">
        <v>1241</v>
      </c>
      <c r="M3491" s="151">
        <v>23425.03</v>
      </c>
    </row>
    <row r="3492" spans="1:13" s="149" customFormat="1" x14ac:dyDescent="0.25">
      <c r="A3492" s="149" t="s">
        <v>7640</v>
      </c>
      <c r="B3492" s="149" t="s">
        <v>1242</v>
      </c>
      <c r="C3492" s="149">
        <v>11</v>
      </c>
      <c r="D3492" s="149">
        <v>310</v>
      </c>
      <c r="E3492" s="149">
        <v>0</v>
      </c>
      <c r="F3492" s="149">
        <v>101100</v>
      </c>
      <c r="G3492" s="149">
        <v>53110</v>
      </c>
      <c r="H3492" s="150" t="str">
        <f t="shared" si="162"/>
        <v>5</v>
      </c>
      <c r="I3492" s="150" t="str">
        <f t="shared" si="163"/>
        <v>53</v>
      </c>
      <c r="J3492" s="150" t="str">
        <f t="shared" si="164"/>
        <v>531</v>
      </c>
      <c r="K3492" s="150" t="s">
        <v>8781</v>
      </c>
      <c r="L3492" s="149" t="s">
        <v>273</v>
      </c>
      <c r="M3492" s="151">
        <v>5367.6</v>
      </c>
    </row>
    <row r="3493" spans="1:13" s="149" customFormat="1" x14ac:dyDescent="0.25">
      <c r="A3493" s="149" t="s">
        <v>7640</v>
      </c>
      <c r="B3493" s="149" t="s">
        <v>1243</v>
      </c>
      <c r="C3493" s="149">
        <v>11</v>
      </c>
      <c r="D3493" s="149">
        <v>310</v>
      </c>
      <c r="E3493" s="149">
        <v>0</v>
      </c>
      <c r="F3493" s="149">
        <v>101100</v>
      </c>
      <c r="G3493" s="149">
        <v>53210</v>
      </c>
      <c r="H3493" s="150" t="str">
        <f t="shared" si="162"/>
        <v>5</v>
      </c>
      <c r="I3493" s="150" t="str">
        <f t="shared" si="163"/>
        <v>53</v>
      </c>
      <c r="J3493" s="150" t="str">
        <f t="shared" si="164"/>
        <v>532</v>
      </c>
      <c r="K3493" s="150" t="s">
        <v>8782</v>
      </c>
      <c r="L3493" s="149" t="s">
        <v>1244</v>
      </c>
      <c r="M3493" s="151">
        <v>4797.2</v>
      </c>
    </row>
    <row r="3494" spans="1:13" s="149" customFormat="1" x14ac:dyDescent="0.25">
      <c r="A3494" s="149" t="s">
        <v>7640</v>
      </c>
      <c r="B3494" s="149" t="s">
        <v>1245</v>
      </c>
      <c r="C3494" s="149">
        <v>11</v>
      </c>
      <c r="D3494" s="149">
        <v>310</v>
      </c>
      <c r="E3494" s="149">
        <v>0</v>
      </c>
      <c r="F3494" s="149">
        <v>101100</v>
      </c>
      <c r="G3494" s="149">
        <v>53310</v>
      </c>
      <c r="H3494" s="150" t="str">
        <f t="shared" si="162"/>
        <v>5</v>
      </c>
      <c r="I3494" s="150" t="str">
        <f t="shared" si="163"/>
        <v>53</v>
      </c>
      <c r="J3494" s="150" t="str">
        <f t="shared" si="164"/>
        <v>533</v>
      </c>
      <c r="K3494" s="150" t="s">
        <v>8783</v>
      </c>
      <c r="L3494" s="149" t="s">
        <v>1246</v>
      </c>
      <c r="M3494" s="151">
        <v>1453.86</v>
      </c>
    </row>
    <row r="3495" spans="1:13" s="149" customFormat="1" x14ac:dyDescent="0.25">
      <c r="A3495" s="149" t="s">
        <v>7640</v>
      </c>
      <c r="B3495" s="149" t="s">
        <v>1247</v>
      </c>
      <c r="C3495" s="149">
        <v>11</v>
      </c>
      <c r="D3495" s="149">
        <v>310</v>
      </c>
      <c r="E3495" s="149">
        <v>0</v>
      </c>
      <c r="F3495" s="149">
        <v>101100</v>
      </c>
      <c r="G3495" s="149">
        <v>53330</v>
      </c>
      <c r="H3495" s="150" t="str">
        <f t="shared" si="162"/>
        <v>5</v>
      </c>
      <c r="I3495" s="150" t="str">
        <f t="shared" si="163"/>
        <v>53</v>
      </c>
      <c r="J3495" s="150" t="str">
        <f t="shared" si="164"/>
        <v>533</v>
      </c>
      <c r="K3495" s="150" t="s">
        <v>8784</v>
      </c>
      <c r="L3495" s="149" t="s">
        <v>275</v>
      </c>
      <c r="M3495" s="151">
        <v>821.34</v>
      </c>
    </row>
    <row r="3496" spans="1:13" s="149" customFormat="1" x14ac:dyDescent="0.25">
      <c r="A3496" s="149" t="s">
        <v>7640</v>
      </c>
      <c r="B3496" s="149" t="s">
        <v>1248</v>
      </c>
      <c r="C3496" s="149">
        <v>11</v>
      </c>
      <c r="D3496" s="149">
        <v>310</v>
      </c>
      <c r="E3496" s="149">
        <v>0</v>
      </c>
      <c r="F3496" s="149">
        <v>101100</v>
      </c>
      <c r="G3496" s="149">
        <v>53410</v>
      </c>
      <c r="H3496" s="150" t="str">
        <f t="shared" si="162"/>
        <v>5</v>
      </c>
      <c r="I3496" s="150" t="str">
        <f t="shared" si="163"/>
        <v>53</v>
      </c>
      <c r="J3496" s="150" t="str">
        <f t="shared" si="164"/>
        <v>534</v>
      </c>
      <c r="K3496" s="150" t="s">
        <v>8785</v>
      </c>
      <c r="L3496" s="149" t="s">
        <v>1249</v>
      </c>
      <c r="M3496" s="151">
        <v>5363.17</v>
      </c>
    </row>
    <row r="3497" spans="1:13" s="149" customFormat="1" x14ac:dyDescent="0.25">
      <c r="A3497" s="149" t="s">
        <v>7640</v>
      </c>
      <c r="B3497" s="149" t="s">
        <v>1250</v>
      </c>
      <c r="C3497" s="149">
        <v>11</v>
      </c>
      <c r="D3497" s="149">
        <v>310</v>
      </c>
      <c r="E3497" s="149">
        <v>0</v>
      </c>
      <c r="F3497" s="149">
        <v>101100</v>
      </c>
      <c r="G3497" s="149">
        <v>53510</v>
      </c>
      <c r="H3497" s="150" t="str">
        <f t="shared" si="162"/>
        <v>5</v>
      </c>
      <c r="I3497" s="150" t="str">
        <f t="shared" si="163"/>
        <v>53</v>
      </c>
      <c r="J3497" s="150" t="str">
        <f t="shared" si="164"/>
        <v>535</v>
      </c>
      <c r="K3497" s="150" t="s">
        <v>8786</v>
      </c>
      <c r="L3497" s="149" t="s">
        <v>277</v>
      </c>
      <c r="M3497" s="151">
        <v>28.33</v>
      </c>
    </row>
    <row r="3498" spans="1:13" s="149" customFormat="1" x14ac:dyDescent="0.25">
      <c r="A3498" s="149" t="s">
        <v>7640</v>
      </c>
      <c r="B3498" s="149" t="s">
        <v>1251</v>
      </c>
      <c r="C3498" s="149">
        <v>11</v>
      </c>
      <c r="D3498" s="149">
        <v>310</v>
      </c>
      <c r="E3498" s="149">
        <v>0</v>
      </c>
      <c r="F3498" s="149">
        <v>101100</v>
      </c>
      <c r="G3498" s="149">
        <v>53610</v>
      </c>
      <c r="H3498" s="150" t="str">
        <f t="shared" si="162"/>
        <v>5</v>
      </c>
      <c r="I3498" s="150" t="str">
        <f t="shared" si="163"/>
        <v>53</v>
      </c>
      <c r="J3498" s="150" t="str">
        <f t="shared" si="164"/>
        <v>536</v>
      </c>
      <c r="K3498" s="150" t="s">
        <v>8787</v>
      </c>
      <c r="L3498" s="149" t="s">
        <v>279</v>
      </c>
      <c r="M3498" s="151">
        <v>1071.68</v>
      </c>
    </row>
    <row r="3499" spans="1:13" s="149" customFormat="1" x14ac:dyDescent="0.25">
      <c r="A3499" s="149" t="s">
        <v>7640</v>
      </c>
      <c r="B3499" s="149" t="s">
        <v>1252</v>
      </c>
      <c r="C3499" s="149">
        <v>11</v>
      </c>
      <c r="D3499" s="149">
        <v>310</v>
      </c>
      <c r="E3499" s="149">
        <v>0</v>
      </c>
      <c r="F3499" s="149">
        <v>101100</v>
      </c>
      <c r="G3499" s="149">
        <v>54300</v>
      </c>
      <c r="H3499" s="150" t="str">
        <f t="shared" si="162"/>
        <v>5</v>
      </c>
      <c r="I3499" s="150" t="str">
        <f t="shared" si="163"/>
        <v>54</v>
      </c>
      <c r="J3499" s="150" t="str">
        <f t="shared" si="164"/>
        <v>543</v>
      </c>
      <c r="K3499" s="150" t="s">
        <v>7935</v>
      </c>
      <c r="L3499" s="149" t="s">
        <v>1253</v>
      </c>
      <c r="M3499" s="151">
        <v>0</v>
      </c>
    </row>
    <row r="3500" spans="1:13" s="149" customFormat="1" x14ac:dyDescent="0.25">
      <c r="A3500" s="149" t="s">
        <v>7640</v>
      </c>
      <c r="B3500" s="149" t="s">
        <v>1254</v>
      </c>
      <c r="C3500" s="149">
        <v>11</v>
      </c>
      <c r="D3500" s="149">
        <v>310</v>
      </c>
      <c r="E3500" s="149">
        <v>0</v>
      </c>
      <c r="F3500" s="149">
        <v>101100</v>
      </c>
      <c r="G3500" s="149">
        <v>55630</v>
      </c>
      <c r="H3500" s="150" t="str">
        <f t="shared" si="162"/>
        <v>5</v>
      </c>
      <c r="I3500" s="150" t="str">
        <f t="shared" si="163"/>
        <v>55</v>
      </c>
      <c r="J3500" s="150" t="str">
        <f t="shared" si="164"/>
        <v>556</v>
      </c>
      <c r="K3500" s="150" t="s">
        <v>8199</v>
      </c>
      <c r="L3500" s="149" t="s">
        <v>1255</v>
      </c>
      <c r="M3500" s="151">
        <v>0</v>
      </c>
    </row>
    <row r="3501" spans="1:13" s="149" customFormat="1" x14ac:dyDescent="0.25">
      <c r="A3501" s="149" t="s">
        <v>7640</v>
      </c>
      <c r="B3501" s="149" t="s">
        <v>1256</v>
      </c>
      <c r="C3501" s="149">
        <v>11</v>
      </c>
      <c r="D3501" s="149">
        <v>310</v>
      </c>
      <c r="E3501" s="149">
        <v>0</v>
      </c>
      <c r="F3501" s="149">
        <v>130500</v>
      </c>
      <c r="G3501" s="149">
        <v>51310</v>
      </c>
      <c r="H3501" s="150" t="str">
        <f t="shared" si="162"/>
        <v>5</v>
      </c>
      <c r="I3501" s="150" t="str">
        <f t="shared" si="163"/>
        <v>51</v>
      </c>
      <c r="J3501" s="150" t="str">
        <f t="shared" si="164"/>
        <v>513</v>
      </c>
      <c r="K3501" s="150" t="s">
        <v>7650</v>
      </c>
      <c r="L3501" s="149" t="s">
        <v>1257</v>
      </c>
      <c r="M3501" s="151">
        <v>7734.24</v>
      </c>
    </row>
    <row r="3502" spans="1:13" s="149" customFormat="1" x14ac:dyDescent="0.25">
      <c r="A3502" s="149" t="s">
        <v>7640</v>
      </c>
      <c r="B3502" s="149" t="s">
        <v>1258</v>
      </c>
      <c r="C3502" s="149">
        <v>11</v>
      </c>
      <c r="D3502" s="149">
        <v>310</v>
      </c>
      <c r="E3502" s="149">
        <v>0</v>
      </c>
      <c r="F3502" s="149">
        <v>130500</v>
      </c>
      <c r="G3502" s="149">
        <v>52200</v>
      </c>
      <c r="H3502" s="150" t="str">
        <f t="shared" si="162"/>
        <v>5</v>
      </c>
      <c r="I3502" s="150" t="str">
        <f t="shared" si="163"/>
        <v>52</v>
      </c>
      <c r="J3502" s="150" t="str">
        <f t="shared" si="164"/>
        <v>522</v>
      </c>
      <c r="K3502" s="150" t="s">
        <v>8788</v>
      </c>
      <c r="L3502" s="149" t="s">
        <v>1259</v>
      </c>
      <c r="M3502" s="151">
        <v>977.81</v>
      </c>
    </row>
    <row r="3503" spans="1:13" s="149" customFormat="1" x14ac:dyDescent="0.25">
      <c r="A3503" s="149" t="s">
        <v>7640</v>
      </c>
      <c r="B3503" s="149" t="s">
        <v>1260</v>
      </c>
      <c r="C3503" s="149">
        <v>11</v>
      </c>
      <c r="D3503" s="149">
        <v>310</v>
      </c>
      <c r="E3503" s="149">
        <v>0</v>
      </c>
      <c r="F3503" s="149">
        <v>130500</v>
      </c>
      <c r="G3503" s="149">
        <v>53110</v>
      </c>
      <c r="H3503" s="150" t="str">
        <f t="shared" si="162"/>
        <v>5</v>
      </c>
      <c r="I3503" s="150" t="str">
        <f t="shared" si="163"/>
        <v>53</v>
      </c>
      <c r="J3503" s="150" t="str">
        <f t="shared" si="164"/>
        <v>531</v>
      </c>
      <c r="K3503" s="150" t="s">
        <v>8789</v>
      </c>
      <c r="L3503" s="149" t="s">
        <v>293</v>
      </c>
      <c r="M3503" s="151">
        <v>1249.08</v>
      </c>
    </row>
    <row r="3504" spans="1:13" s="149" customFormat="1" x14ac:dyDescent="0.25">
      <c r="A3504" s="149" t="s">
        <v>7640</v>
      </c>
      <c r="B3504" s="149" t="s">
        <v>1261</v>
      </c>
      <c r="C3504" s="149">
        <v>11</v>
      </c>
      <c r="D3504" s="149">
        <v>310</v>
      </c>
      <c r="E3504" s="149">
        <v>0</v>
      </c>
      <c r="F3504" s="149">
        <v>130500</v>
      </c>
      <c r="G3504" s="149">
        <v>53210</v>
      </c>
      <c r="H3504" s="150" t="str">
        <f t="shared" si="162"/>
        <v>5</v>
      </c>
      <c r="I3504" s="150" t="str">
        <f t="shared" si="163"/>
        <v>53</v>
      </c>
      <c r="J3504" s="150" t="str">
        <f t="shared" si="164"/>
        <v>532</v>
      </c>
      <c r="K3504" s="150" t="s">
        <v>8790</v>
      </c>
      <c r="L3504" s="149" t="s">
        <v>1262</v>
      </c>
      <c r="M3504" s="151">
        <v>192.83</v>
      </c>
    </row>
    <row r="3505" spans="1:13" s="149" customFormat="1" x14ac:dyDescent="0.25">
      <c r="A3505" s="149" t="s">
        <v>7640</v>
      </c>
      <c r="B3505" s="149" t="s">
        <v>1263</v>
      </c>
      <c r="C3505" s="149">
        <v>11</v>
      </c>
      <c r="D3505" s="149">
        <v>310</v>
      </c>
      <c r="E3505" s="149">
        <v>0</v>
      </c>
      <c r="F3505" s="149">
        <v>130500</v>
      </c>
      <c r="G3505" s="149">
        <v>53310</v>
      </c>
      <c r="H3505" s="150" t="str">
        <f t="shared" si="162"/>
        <v>5</v>
      </c>
      <c r="I3505" s="150" t="str">
        <f t="shared" si="163"/>
        <v>53</v>
      </c>
      <c r="J3505" s="150" t="str">
        <f t="shared" si="164"/>
        <v>533</v>
      </c>
      <c r="K3505" s="150" t="s">
        <v>8791</v>
      </c>
      <c r="L3505" s="149" t="s">
        <v>295</v>
      </c>
      <c r="M3505" s="151">
        <v>60.63</v>
      </c>
    </row>
    <row r="3506" spans="1:13" s="149" customFormat="1" x14ac:dyDescent="0.25">
      <c r="A3506" s="149" t="s">
        <v>7640</v>
      </c>
      <c r="B3506" s="149" t="s">
        <v>1264</v>
      </c>
      <c r="C3506" s="149">
        <v>11</v>
      </c>
      <c r="D3506" s="149">
        <v>310</v>
      </c>
      <c r="E3506" s="149">
        <v>0</v>
      </c>
      <c r="F3506" s="149">
        <v>130500</v>
      </c>
      <c r="G3506" s="149">
        <v>53330</v>
      </c>
      <c r="H3506" s="150" t="str">
        <f t="shared" si="162"/>
        <v>5</v>
      </c>
      <c r="I3506" s="150" t="str">
        <f t="shared" si="163"/>
        <v>53</v>
      </c>
      <c r="J3506" s="150" t="str">
        <f t="shared" si="164"/>
        <v>533</v>
      </c>
      <c r="K3506" s="150" t="s">
        <v>8792</v>
      </c>
      <c r="L3506" s="149" t="s">
        <v>297</v>
      </c>
      <c r="M3506" s="151">
        <v>126.32</v>
      </c>
    </row>
    <row r="3507" spans="1:13" s="149" customFormat="1" x14ac:dyDescent="0.25">
      <c r="A3507" s="149" t="s">
        <v>7640</v>
      </c>
      <c r="B3507" s="149" t="s">
        <v>1265</v>
      </c>
      <c r="C3507" s="149">
        <v>11</v>
      </c>
      <c r="D3507" s="149">
        <v>310</v>
      </c>
      <c r="E3507" s="149">
        <v>0</v>
      </c>
      <c r="F3507" s="149">
        <v>130500</v>
      </c>
      <c r="G3507" s="149">
        <v>53510</v>
      </c>
      <c r="H3507" s="150" t="str">
        <f t="shared" si="162"/>
        <v>5</v>
      </c>
      <c r="I3507" s="150" t="str">
        <f t="shared" si="163"/>
        <v>53</v>
      </c>
      <c r="J3507" s="150" t="str">
        <f t="shared" si="164"/>
        <v>535</v>
      </c>
      <c r="K3507" s="150" t="s">
        <v>8793</v>
      </c>
      <c r="L3507" s="149" t="s">
        <v>299</v>
      </c>
      <c r="M3507" s="151">
        <v>4.3600000000000003</v>
      </c>
    </row>
    <row r="3508" spans="1:13" s="149" customFormat="1" x14ac:dyDescent="0.25">
      <c r="A3508" s="149" t="s">
        <v>7640</v>
      </c>
      <c r="B3508" s="149" t="s">
        <v>1266</v>
      </c>
      <c r="C3508" s="149">
        <v>11</v>
      </c>
      <c r="D3508" s="149">
        <v>310</v>
      </c>
      <c r="E3508" s="149">
        <v>0</v>
      </c>
      <c r="F3508" s="149">
        <v>130500</v>
      </c>
      <c r="G3508" s="149">
        <v>53610</v>
      </c>
      <c r="H3508" s="150" t="str">
        <f t="shared" si="162"/>
        <v>5</v>
      </c>
      <c r="I3508" s="150" t="str">
        <f t="shared" si="163"/>
        <v>53</v>
      </c>
      <c r="J3508" s="150" t="str">
        <f t="shared" si="164"/>
        <v>536</v>
      </c>
      <c r="K3508" s="150" t="s">
        <v>8794</v>
      </c>
      <c r="L3508" s="149" t="s">
        <v>301</v>
      </c>
      <c r="M3508" s="151">
        <v>164.74</v>
      </c>
    </row>
    <row r="3509" spans="1:13" s="149" customFormat="1" x14ac:dyDescent="0.25">
      <c r="A3509" s="149" t="s">
        <v>7640</v>
      </c>
      <c r="B3509" s="149" t="s">
        <v>1267</v>
      </c>
      <c r="C3509" s="149">
        <v>11</v>
      </c>
      <c r="D3509" s="149">
        <v>310</v>
      </c>
      <c r="E3509" s="149">
        <v>0</v>
      </c>
      <c r="F3509" s="149">
        <v>130500</v>
      </c>
      <c r="G3509" s="149">
        <v>55630</v>
      </c>
      <c r="H3509" s="150" t="str">
        <f t="shared" si="162"/>
        <v>5</v>
      </c>
      <c r="I3509" s="150" t="str">
        <f t="shared" si="163"/>
        <v>55</v>
      </c>
      <c r="J3509" s="150" t="str">
        <f t="shared" si="164"/>
        <v>556</v>
      </c>
      <c r="K3509" s="150" t="s">
        <v>8200</v>
      </c>
      <c r="L3509" s="149" t="s">
        <v>1268</v>
      </c>
      <c r="M3509" s="151">
        <v>62.74</v>
      </c>
    </row>
    <row r="3510" spans="1:13" s="149" customFormat="1" x14ac:dyDescent="0.25">
      <c r="A3510" s="149" t="s">
        <v>7640</v>
      </c>
      <c r="B3510" s="149" t="s">
        <v>1269</v>
      </c>
      <c r="C3510" s="149">
        <v>11</v>
      </c>
      <c r="D3510" s="149">
        <v>310</v>
      </c>
      <c r="E3510" s="149">
        <v>0</v>
      </c>
      <c r="F3510" s="149">
        <v>140100</v>
      </c>
      <c r="G3510" s="149">
        <v>55300</v>
      </c>
      <c r="H3510" s="150" t="str">
        <f t="shared" si="162"/>
        <v>5</v>
      </c>
      <c r="I3510" s="150" t="str">
        <f t="shared" si="163"/>
        <v>55</v>
      </c>
      <c r="J3510" s="150" t="str">
        <f t="shared" si="164"/>
        <v>553</v>
      </c>
      <c r="K3510" s="150" t="s">
        <v>8087</v>
      </c>
      <c r="L3510" s="149" t="s">
        <v>1270</v>
      </c>
      <c r="M3510" s="151">
        <v>0</v>
      </c>
    </row>
    <row r="3511" spans="1:13" s="149" customFormat="1" x14ac:dyDescent="0.25">
      <c r="A3511" s="149" t="s">
        <v>7640</v>
      </c>
      <c r="B3511" s="149" t="s">
        <v>1271</v>
      </c>
      <c r="C3511" s="149">
        <v>11</v>
      </c>
      <c r="D3511" s="149">
        <v>310</v>
      </c>
      <c r="E3511" s="149">
        <v>0</v>
      </c>
      <c r="F3511" s="149">
        <v>150900</v>
      </c>
      <c r="G3511" s="149">
        <v>51100</v>
      </c>
      <c r="H3511" s="150" t="str">
        <f t="shared" si="162"/>
        <v>5</v>
      </c>
      <c r="I3511" s="150" t="str">
        <f t="shared" si="163"/>
        <v>51</v>
      </c>
      <c r="J3511" s="150" t="str">
        <f t="shared" si="164"/>
        <v>511</v>
      </c>
      <c r="K3511" s="150" t="s">
        <v>8795</v>
      </c>
      <c r="L3511" s="149" t="s">
        <v>1272</v>
      </c>
      <c r="M3511" s="151">
        <v>69550.38</v>
      </c>
    </row>
    <row r="3512" spans="1:13" s="149" customFormat="1" x14ac:dyDescent="0.25">
      <c r="A3512" s="149" t="s">
        <v>7640</v>
      </c>
      <c r="B3512" s="149" t="s">
        <v>1273</v>
      </c>
      <c r="C3512" s="149">
        <v>11</v>
      </c>
      <c r="D3512" s="149">
        <v>310</v>
      </c>
      <c r="E3512" s="149">
        <v>0</v>
      </c>
      <c r="F3512" s="149">
        <v>150900</v>
      </c>
      <c r="G3512" s="149">
        <v>51310</v>
      </c>
      <c r="H3512" s="150" t="str">
        <f t="shared" si="162"/>
        <v>5</v>
      </c>
      <c r="I3512" s="150" t="str">
        <f t="shared" si="163"/>
        <v>51</v>
      </c>
      <c r="J3512" s="150" t="str">
        <f t="shared" si="164"/>
        <v>513</v>
      </c>
      <c r="K3512" s="150" t="s">
        <v>7651</v>
      </c>
      <c r="L3512" s="149" t="s">
        <v>1274</v>
      </c>
      <c r="M3512" s="151">
        <v>9858.7999999999993</v>
      </c>
    </row>
    <row r="3513" spans="1:13" s="149" customFormat="1" x14ac:dyDescent="0.25">
      <c r="A3513" s="149" t="s">
        <v>7640</v>
      </c>
      <c r="B3513" s="149" t="s">
        <v>1275</v>
      </c>
      <c r="C3513" s="149">
        <v>11</v>
      </c>
      <c r="D3513" s="149">
        <v>310</v>
      </c>
      <c r="E3513" s="149">
        <v>0</v>
      </c>
      <c r="F3513" s="149">
        <v>150900</v>
      </c>
      <c r="G3513" s="149">
        <v>51311</v>
      </c>
      <c r="H3513" s="150" t="str">
        <f t="shared" si="162"/>
        <v>5</v>
      </c>
      <c r="I3513" s="150" t="str">
        <f t="shared" si="163"/>
        <v>51</v>
      </c>
      <c r="J3513" s="150" t="str">
        <f t="shared" si="164"/>
        <v>513</v>
      </c>
      <c r="K3513" s="150" t="s">
        <v>7725</v>
      </c>
      <c r="L3513" s="149" t="s">
        <v>1276</v>
      </c>
      <c r="M3513" s="151">
        <v>0</v>
      </c>
    </row>
    <row r="3514" spans="1:13" s="149" customFormat="1" x14ac:dyDescent="0.25">
      <c r="A3514" s="149" t="s">
        <v>7640</v>
      </c>
      <c r="B3514" s="149" t="s">
        <v>1277</v>
      </c>
      <c r="C3514" s="149">
        <v>11</v>
      </c>
      <c r="D3514" s="149">
        <v>310</v>
      </c>
      <c r="E3514" s="149">
        <v>0</v>
      </c>
      <c r="F3514" s="149">
        <v>150900</v>
      </c>
      <c r="G3514" s="149">
        <v>51412</v>
      </c>
      <c r="H3514" s="150" t="str">
        <f t="shared" si="162"/>
        <v>5</v>
      </c>
      <c r="I3514" s="150" t="str">
        <f t="shared" si="163"/>
        <v>51</v>
      </c>
      <c r="J3514" s="150" t="str">
        <f t="shared" si="164"/>
        <v>514</v>
      </c>
      <c r="K3514" s="150" t="s">
        <v>7786</v>
      </c>
      <c r="L3514" s="149" t="s">
        <v>1278</v>
      </c>
      <c r="M3514" s="151">
        <v>0</v>
      </c>
    </row>
    <row r="3515" spans="1:13" s="149" customFormat="1" x14ac:dyDescent="0.25">
      <c r="A3515" s="149" t="s">
        <v>7640</v>
      </c>
      <c r="B3515" s="149" t="s">
        <v>1279</v>
      </c>
      <c r="C3515" s="149">
        <v>11</v>
      </c>
      <c r="D3515" s="149">
        <v>310</v>
      </c>
      <c r="E3515" s="149">
        <v>0</v>
      </c>
      <c r="F3515" s="149">
        <v>150900</v>
      </c>
      <c r="G3515" s="149">
        <v>53110</v>
      </c>
      <c r="H3515" s="150" t="str">
        <f t="shared" si="162"/>
        <v>5</v>
      </c>
      <c r="I3515" s="150" t="str">
        <f t="shared" si="163"/>
        <v>53</v>
      </c>
      <c r="J3515" s="150" t="str">
        <f t="shared" si="164"/>
        <v>531</v>
      </c>
      <c r="K3515" s="150" t="s">
        <v>8796</v>
      </c>
      <c r="L3515" s="149" t="s">
        <v>1280</v>
      </c>
      <c r="M3515" s="151">
        <v>12824.57</v>
      </c>
    </row>
    <row r="3516" spans="1:13" s="149" customFormat="1" x14ac:dyDescent="0.25">
      <c r="A3516" s="149" t="s">
        <v>7640</v>
      </c>
      <c r="B3516" s="149" t="s">
        <v>1281</v>
      </c>
      <c r="C3516" s="149">
        <v>11</v>
      </c>
      <c r="D3516" s="149">
        <v>310</v>
      </c>
      <c r="E3516" s="149">
        <v>0</v>
      </c>
      <c r="F3516" s="149">
        <v>150900</v>
      </c>
      <c r="G3516" s="149">
        <v>53120</v>
      </c>
      <c r="H3516" s="150" t="str">
        <f t="shared" si="162"/>
        <v>5</v>
      </c>
      <c r="I3516" s="150" t="str">
        <f t="shared" si="163"/>
        <v>53</v>
      </c>
      <c r="J3516" s="150" t="str">
        <f t="shared" si="164"/>
        <v>531</v>
      </c>
      <c r="K3516" s="150" t="s">
        <v>8797</v>
      </c>
      <c r="L3516" s="149" t="s">
        <v>1282</v>
      </c>
      <c r="M3516" s="151">
        <v>0</v>
      </c>
    </row>
    <row r="3517" spans="1:13" s="149" customFormat="1" x14ac:dyDescent="0.25">
      <c r="A3517" s="149" t="s">
        <v>7640</v>
      </c>
      <c r="B3517" s="149" t="s">
        <v>1283</v>
      </c>
      <c r="C3517" s="149">
        <v>11</v>
      </c>
      <c r="D3517" s="149">
        <v>310</v>
      </c>
      <c r="E3517" s="149">
        <v>0</v>
      </c>
      <c r="F3517" s="149">
        <v>150900</v>
      </c>
      <c r="G3517" s="149">
        <v>53330</v>
      </c>
      <c r="H3517" s="150" t="str">
        <f t="shared" si="162"/>
        <v>5</v>
      </c>
      <c r="I3517" s="150" t="str">
        <f t="shared" si="163"/>
        <v>53</v>
      </c>
      <c r="J3517" s="150" t="str">
        <f t="shared" si="164"/>
        <v>533</v>
      </c>
      <c r="K3517" s="150" t="s">
        <v>8798</v>
      </c>
      <c r="L3517" s="149" t="s">
        <v>1284</v>
      </c>
      <c r="M3517" s="151">
        <v>1144.68</v>
      </c>
    </row>
    <row r="3518" spans="1:13" s="149" customFormat="1" x14ac:dyDescent="0.25">
      <c r="A3518" s="149" t="s">
        <v>7640</v>
      </c>
      <c r="B3518" s="149" t="s">
        <v>1285</v>
      </c>
      <c r="C3518" s="149">
        <v>11</v>
      </c>
      <c r="D3518" s="149">
        <v>310</v>
      </c>
      <c r="E3518" s="149">
        <v>0</v>
      </c>
      <c r="F3518" s="149">
        <v>150900</v>
      </c>
      <c r="G3518" s="149">
        <v>53340</v>
      </c>
      <c r="H3518" s="150" t="str">
        <f t="shared" si="162"/>
        <v>5</v>
      </c>
      <c r="I3518" s="150" t="str">
        <f t="shared" si="163"/>
        <v>53</v>
      </c>
      <c r="J3518" s="150" t="str">
        <f t="shared" si="164"/>
        <v>533</v>
      </c>
      <c r="K3518" s="150" t="s">
        <v>8799</v>
      </c>
      <c r="L3518" s="149" t="s">
        <v>1286</v>
      </c>
      <c r="M3518" s="151">
        <v>0</v>
      </c>
    </row>
    <row r="3519" spans="1:13" s="149" customFormat="1" x14ac:dyDescent="0.25">
      <c r="A3519" s="149" t="s">
        <v>7640</v>
      </c>
      <c r="B3519" s="149" t="s">
        <v>1287</v>
      </c>
      <c r="C3519" s="149">
        <v>11</v>
      </c>
      <c r="D3519" s="149">
        <v>310</v>
      </c>
      <c r="E3519" s="149">
        <v>0</v>
      </c>
      <c r="F3519" s="149">
        <v>150900</v>
      </c>
      <c r="G3519" s="149">
        <v>53410</v>
      </c>
      <c r="H3519" s="150" t="str">
        <f t="shared" si="162"/>
        <v>5</v>
      </c>
      <c r="I3519" s="150" t="str">
        <f t="shared" si="163"/>
        <v>53</v>
      </c>
      <c r="J3519" s="150" t="str">
        <f t="shared" si="164"/>
        <v>534</v>
      </c>
      <c r="K3519" s="150" t="s">
        <v>8800</v>
      </c>
      <c r="L3519" s="149" t="s">
        <v>1288</v>
      </c>
      <c r="M3519" s="151">
        <v>20318.509999999998</v>
      </c>
    </row>
    <row r="3520" spans="1:13" s="149" customFormat="1" x14ac:dyDescent="0.25">
      <c r="A3520" s="149" t="s">
        <v>7640</v>
      </c>
      <c r="B3520" s="149" t="s">
        <v>1289</v>
      </c>
      <c r="C3520" s="149">
        <v>11</v>
      </c>
      <c r="D3520" s="149">
        <v>310</v>
      </c>
      <c r="E3520" s="149">
        <v>0</v>
      </c>
      <c r="F3520" s="149">
        <v>150900</v>
      </c>
      <c r="G3520" s="149">
        <v>53510</v>
      </c>
      <c r="H3520" s="150" t="str">
        <f t="shared" si="162"/>
        <v>5</v>
      </c>
      <c r="I3520" s="150" t="str">
        <f t="shared" si="163"/>
        <v>53</v>
      </c>
      <c r="J3520" s="150" t="str">
        <f t="shared" si="164"/>
        <v>535</v>
      </c>
      <c r="K3520" s="150" t="s">
        <v>8801</v>
      </c>
      <c r="L3520" s="149" t="s">
        <v>1290</v>
      </c>
      <c r="M3520" s="151">
        <v>39.67</v>
      </c>
    </row>
    <row r="3521" spans="1:13" s="149" customFormat="1" x14ac:dyDescent="0.25">
      <c r="A3521" s="149" t="s">
        <v>7640</v>
      </c>
      <c r="B3521" s="149" t="s">
        <v>1291</v>
      </c>
      <c r="C3521" s="149">
        <v>11</v>
      </c>
      <c r="D3521" s="149">
        <v>310</v>
      </c>
      <c r="E3521" s="149">
        <v>0</v>
      </c>
      <c r="F3521" s="149">
        <v>150900</v>
      </c>
      <c r="G3521" s="149">
        <v>53520</v>
      </c>
      <c r="H3521" s="150" t="str">
        <f t="shared" si="162"/>
        <v>5</v>
      </c>
      <c r="I3521" s="150" t="str">
        <f t="shared" si="163"/>
        <v>53</v>
      </c>
      <c r="J3521" s="150" t="str">
        <f t="shared" si="164"/>
        <v>535</v>
      </c>
      <c r="K3521" s="150" t="s">
        <v>8802</v>
      </c>
      <c r="L3521" s="149" t="s">
        <v>1292</v>
      </c>
      <c r="M3521" s="151">
        <v>0</v>
      </c>
    </row>
    <row r="3522" spans="1:13" s="149" customFormat="1" x14ac:dyDescent="0.25">
      <c r="A3522" s="149" t="s">
        <v>7640</v>
      </c>
      <c r="B3522" s="149" t="s">
        <v>1293</v>
      </c>
      <c r="C3522" s="149">
        <v>11</v>
      </c>
      <c r="D3522" s="149">
        <v>310</v>
      </c>
      <c r="E3522" s="149">
        <v>0</v>
      </c>
      <c r="F3522" s="149">
        <v>150900</v>
      </c>
      <c r="G3522" s="149">
        <v>53610</v>
      </c>
      <c r="H3522" s="150" t="str">
        <f t="shared" si="162"/>
        <v>5</v>
      </c>
      <c r="I3522" s="150" t="str">
        <f t="shared" si="163"/>
        <v>53</v>
      </c>
      <c r="J3522" s="150" t="str">
        <f t="shared" si="164"/>
        <v>536</v>
      </c>
      <c r="K3522" s="150" t="s">
        <v>8803</v>
      </c>
      <c r="L3522" s="149" t="s">
        <v>1294</v>
      </c>
      <c r="M3522" s="151">
        <v>1501.49</v>
      </c>
    </row>
    <row r="3523" spans="1:13" s="149" customFormat="1" x14ac:dyDescent="0.25">
      <c r="A3523" s="149" t="s">
        <v>7640</v>
      </c>
      <c r="B3523" s="149" t="s">
        <v>1295</v>
      </c>
      <c r="C3523" s="149">
        <v>11</v>
      </c>
      <c r="D3523" s="149">
        <v>310</v>
      </c>
      <c r="E3523" s="149">
        <v>0</v>
      </c>
      <c r="F3523" s="149">
        <v>150900</v>
      </c>
      <c r="G3523" s="149">
        <v>53620</v>
      </c>
      <c r="H3523" s="150" t="str">
        <f t="shared" ref="H3523:H3586" si="165">LEFT(G3523,1)</f>
        <v>5</v>
      </c>
      <c r="I3523" s="150" t="str">
        <f t="shared" ref="I3523:I3586" si="166">LEFT(G3523,2)</f>
        <v>53</v>
      </c>
      <c r="J3523" s="150" t="str">
        <f t="shared" ref="J3523:J3586" si="167">LEFT(G3523,3)</f>
        <v>536</v>
      </c>
      <c r="K3523" s="150" t="s">
        <v>8804</v>
      </c>
      <c r="L3523" s="149" t="s">
        <v>1296</v>
      </c>
      <c r="M3523" s="151">
        <v>0</v>
      </c>
    </row>
    <row r="3524" spans="1:13" s="149" customFormat="1" x14ac:dyDescent="0.25">
      <c r="A3524" s="149" t="s">
        <v>7640</v>
      </c>
      <c r="B3524" s="149" t="s">
        <v>1297</v>
      </c>
      <c r="C3524" s="149">
        <v>11</v>
      </c>
      <c r="D3524" s="149">
        <v>310</v>
      </c>
      <c r="E3524" s="149">
        <v>0</v>
      </c>
      <c r="F3524" s="149">
        <v>150900</v>
      </c>
      <c r="G3524" s="149">
        <v>55630</v>
      </c>
      <c r="H3524" s="150" t="str">
        <f t="shared" si="165"/>
        <v>5</v>
      </c>
      <c r="I3524" s="150" t="str">
        <f t="shared" si="166"/>
        <v>55</v>
      </c>
      <c r="J3524" s="150" t="str">
        <f t="shared" si="167"/>
        <v>556</v>
      </c>
      <c r="K3524" s="150" t="s">
        <v>8201</v>
      </c>
      <c r="L3524" s="149" t="s">
        <v>1298</v>
      </c>
      <c r="M3524" s="151">
        <v>0</v>
      </c>
    </row>
    <row r="3525" spans="1:13" s="149" customFormat="1" x14ac:dyDescent="0.25">
      <c r="A3525" s="149" t="s">
        <v>7640</v>
      </c>
      <c r="B3525" s="149" t="s">
        <v>1299</v>
      </c>
      <c r="C3525" s="149">
        <v>11</v>
      </c>
      <c r="D3525" s="149">
        <v>310</v>
      </c>
      <c r="E3525" s="149">
        <v>0</v>
      </c>
      <c r="F3525" s="149">
        <v>200100</v>
      </c>
      <c r="G3525" s="149">
        <v>51100</v>
      </c>
      <c r="H3525" s="150" t="str">
        <f t="shared" si="165"/>
        <v>5</v>
      </c>
      <c r="I3525" s="150" t="str">
        <f t="shared" si="166"/>
        <v>51</v>
      </c>
      <c r="J3525" s="150" t="str">
        <f t="shared" si="167"/>
        <v>511</v>
      </c>
      <c r="K3525" s="150" t="s">
        <v>8805</v>
      </c>
      <c r="L3525" s="149" t="s">
        <v>1300</v>
      </c>
      <c r="M3525" s="151">
        <v>126434.4</v>
      </c>
    </row>
    <row r="3526" spans="1:13" s="149" customFormat="1" x14ac:dyDescent="0.25">
      <c r="A3526" s="149" t="s">
        <v>7640</v>
      </c>
      <c r="B3526" s="149" t="s">
        <v>1301</v>
      </c>
      <c r="C3526" s="149">
        <v>11</v>
      </c>
      <c r="D3526" s="149">
        <v>310</v>
      </c>
      <c r="E3526" s="149">
        <v>0</v>
      </c>
      <c r="F3526" s="149">
        <v>200100</v>
      </c>
      <c r="G3526" s="149">
        <v>51310</v>
      </c>
      <c r="H3526" s="150" t="str">
        <f t="shared" si="165"/>
        <v>5</v>
      </c>
      <c r="I3526" s="150" t="str">
        <f t="shared" si="166"/>
        <v>51</v>
      </c>
      <c r="J3526" s="150" t="str">
        <f t="shared" si="167"/>
        <v>513</v>
      </c>
      <c r="K3526" s="150" t="s">
        <v>7652</v>
      </c>
      <c r="L3526" s="149" t="s">
        <v>1302</v>
      </c>
      <c r="M3526" s="151">
        <v>3819.95</v>
      </c>
    </row>
    <row r="3527" spans="1:13" s="149" customFormat="1" x14ac:dyDescent="0.25">
      <c r="A3527" s="149" t="s">
        <v>7640</v>
      </c>
      <c r="B3527" s="149" t="s">
        <v>1303</v>
      </c>
      <c r="C3527" s="149">
        <v>11</v>
      </c>
      <c r="D3527" s="149">
        <v>310</v>
      </c>
      <c r="E3527" s="149">
        <v>0</v>
      </c>
      <c r="F3527" s="149">
        <v>200100</v>
      </c>
      <c r="G3527" s="149">
        <v>51311</v>
      </c>
      <c r="H3527" s="150" t="str">
        <f t="shared" si="165"/>
        <v>5</v>
      </c>
      <c r="I3527" s="150" t="str">
        <f t="shared" si="166"/>
        <v>51</v>
      </c>
      <c r="J3527" s="150" t="str">
        <f t="shared" si="167"/>
        <v>513</v>
      </c>
      <c r="K3527" s="150" t="s">
        <v>7726</v>
      </c>
      <c r="L3527" s="149" t="s">
        <v>363</v>
      </c>
      <c r="M3527" s="151">
        <v>162220.4</v>
      </c>
    </row>
    <row r="3528" spans="1:13" s="149" customFormat="1" x14ac:dyDescent="0.25">
      <c r="A3528" s="149" t="s">
        <v>7640</v>
      </c>
      <c r="B3528" s="149" t="s">
        <v>1304</v>
      </c>
      <c r="C3528" s="149">
        <v>11</v>
      </c>
      <c r="D3528" s="149">
        <v>310</v>
      </c>
      <c r="E3528" s="149">
        <v>0</v>
      </c>
      <c r="F3528" s="149">
        <v>200100</v>
      </c>
      <c r="G3528" s="149">
        <v>51412</v>
      </c>
      <c r="H3528" s="150" t="str">
        <f t="shared" si="165"/>
        <v>5</v>
      </c>
      <c r="I3528" s="150" t="str">
        <f t="shared" si="166"/>
        <v>51</v>
      </c>
      <c r="J3528" s="150" t="str">
        <f t="shared" si="167"/>
        <v>514</v>
      </c>
      <c r="K3528" s="150" t="s">
        <v>7787</v>
      </c>
      <c r="L3528" s="149" t="s">
        <v>1305</v>
      </c>
      <c r="M3528" s="151">
        <v>0</v>
      </c>
    </row>
    <row r="3529" spans="1:13" s="149" customFormat="1" x14ac:dyDescent="0.25">
      <c r="A3529" s="149" t="s">
        <v>7640</v>
      </c>
      <c r="B3529" s="149" t="s">
        <v>1306</v>
      </c>
      <c r="C3529" s="149">
        <v>11</v>
      </c>
      <c r="D3529" s="149">
        <v>310</v>
      </c>
      <c r="E3529" s="149">
        <v>0</v>
      </c>
      <c r="F3529" s="149">
        <v>200100</v>
      </c>
      <c r="G3529" s="149">
        <v>53110</v>
      </c>
      <c r="H3529" s="150" t="str">
        <f t="shared" si="165"/>
        <v>5</v>
      </c>
      <c r="I3529" s="150" t="str">
        <f t="shared" si="166"/>
        <v>53</v>
      </c>
      <c r="J3529" s="150" t="str">
        <f t="shared" si="167"/>
        <v>531</v>
      </c>
      <c r="K3529" s="150" t="s">
        <v>8806</v>
      </c>
      <c r="L3529" s="149" t="s">
        <v>365</v>
      </c>
      <c r="M3529" s="151">
        <v>38538.78</v>
      </c>
    </row>
    <row r="3530" spans="1:13" s="149" customFormat="1" x14ac:dyDescent="0.25">
      <c r="A3530" s="149" t="s">
        <v>7640</v>
      </c>
      <c r="B3530" s="149" t="s">
        <v>1307</v>
      </c>
      <c r="C3530" s="149">
        <v>11</v>
      </c>
      <c r="D3530" s="149">
        <v>310</v>
      </c>
      <c r="E3530" s="149">
        <v>0</v>
      </c>
      <c r="F3530" s="149">
        <v>200100</v>
      </c>
      <c r="G3530" s="149">
        <v>53120</v>
      </c>
      <c r="H3530" s="150" t="str">
        <f t="shared" si="165"/>
        <v>5</v>
      </c>
      <c r="I3530" s="150" t="str">
        <f t="shared" si="166"/>
        <v>53</v>
      </c>
      <c r="J3530" s="150" t="str">
        <f t="shared" si="167"/>
        <v>531</v>
      </c>
      <c r="K3530" s="150" t="s">
        <v>8807</v>
      </c>
      <c r="L3530" s="149" t="s">
        <v>1308</v>
      </c>
      <c r="M3530" s="151">
        <v>0</v>
      </c>
    </row>
    <row r="3531" spans="1:13" s="149" customFormat="1" x14ac:dyDescent="0.25">
      <c r="A3531" s="149" t="s">
        <v>7640</v>
      </c>
      <c r="B3531" s="149" t="s">
        <v>1309</v>
      </c>
      <c r="C3531" s="149">
        <v>11</v>
      </c>
      <c r="D3531" s="149">
        <v>310</v>
      </c>
      <c r="E3531" s="149">
        <v>0</v>
      </c>
      <c r="F3531" s="149">
        <v>200100</v>
      </c>
      <c r="G3531" s="149">
        <v>53310</v>
      </c>
      <c r="H3531" s="150" t="str">
        <f t="shared" si="165"/>
        <v>5</v>
      </c>
      <c r="I3531" s="150" t="str">
        <f t="shared" si="166"/>
        <v>53</v>
      </c>
      <c r="J3531" s="150" t="str">
        <f t="shared" si="167"/>
        <v>533</v>
      </c>
      <c r="K3531" s="150" t="s">
        <v>8808</v>
      </c>
      <c r="L3531" s="149" t="s">
        <v>367</v>
      </c>
      <c r="M3531" s="151">
        <v>4156.72</v>
      </c>
    </row>
    <row r="3532" spans="1:13" s="149" customFormat="1" x14ac:dyDescent="0.25">
      <c r="A3532" s="149" t="s">
        <v>7640</v>
      </c>
      <c r="B3532" s="149" t="s">
        <v>1310</v>
      </c>
      <c r="C3532" s="149">
        <v>11</v>
      </c>
      <c r="D3532" s="149">
        <v>310</v>
      </c>
      <c r="E3532" s="149">
        <v>0</v>
      </c>
      <c r="F3532" s="149">
        <v>200100</v>
      </c>
      <c r="G3532" s="149">
        <v>53330</v>
      </c>
      <c r="H3532" s="150" t="str">
        <f t="shared" si="165"/>
        <v>5</v>
      </c>
      <c r="I3532" s="150" t="str">
        <f t="shared" si="166"/>
        <v>53</v>
      </c>
      <c r="J3532" s="150" t="str">
        <f t="shared" si="167"/>
        <v>533</v>
      </c>
      <c r="K3532" s="150" t="s">
        <v>8809</v>
      </c>
      <c r="L3532" s="149" t="s">
        <v>369</v>
      </c>
      <c r="M3532" s="151">
        <v>4196.59</v>
      </c>
    </row>
    <row r="3533" spans="1:13" s="149" customFormat="1" x14ac:dyDescent="0.25">
      <c r="A3533" s="149" t="s">
        <v>7640</v>
      </c>
      <c r="B3533" s="149" t="s">
        <v>1311</v>
      </c>
      <c r="C3533" s="149">
        <v>11</v>
      </c>
      <c r="D3533" s="149">
        <v>310</v>
      </c>
      <c r="E3533" s="149">
        <v>0</v>
      </c>
      <c r="F3533" s="149">
        <v>200100</v>
      </c>
      <c r="G3533" s="149">
        <v>53340</v>
      </c>
      <c r="H3533" s="150" t="str">
        <f t="shared" si="165"/>
        <v>5</v>
      </c>
      <c r="I3533" s="150" t="str">
        <f t="shared" si="166"/>
        <v>53</v>
      </c>
      <c r="J3533" s="150" t="str">
        <f t="shared" si="167"/>
        <v>533</v>
      </c>
      <c r="K3533" s="150" t="s">
        <v>8810</v>
      </c>
      <c r="L3533" s="149" t="s">
        <v>1312</v>
      </c>
      <c r="M3533" s="151">
        <v>0</v>
      </c>
    </row>
    <row r="3534" spans="1:13" s="149" customFormat="1" x14ac:dyDescent="0.25">
      <c r="A3534" s="149" t="s">
        <v>7640</v>
      </c>
      <c r="B3534" s="149" t="s">
        <v>1313</v>
      </c>
      <c r="C3534" s="149">
        <v>11</v>
      </c>
      <c r="D3534" s="149">
        <v>310</v>
      </c>
      <c r="E3534" s="149">
        <v>0</v>
      </c>
      <c r="F3534" s="149">
        <v>200100</v>
      </c>
      <c r="G3534" s="149">
        <v>53410</v>
      </c>
      <c r="H3534" s="150" t="str">
        <f t="shared" si="165"/>
        <v>5</v>
      </c>
      <c r="I3534" s="150" t="str">
        <f t="shared" si="166"/>
        <v>53</v>
      </c>
      <c r="J3534" s="150" t="str">
        <f t="shared" si="167"/>
        <v>534</v>
      </c>
      <c r="K3534" s="150" t="s">
        <v>8811</v>
      </c>
      <c r="L3534" s="149" t="s">
        <v>1314</v>
      </c>
      <c r="M3534" s="151">
        <v>32413.63</v>
      </c>
    </row>
    <row r="3535" spans="1:13" s="149" customFormat="1" x14ac:dyDescent="0.25">
      <c r="A3535" s="149" t="s">
        <v>7640</v>
      </c>
      <c r="B3535" s="149" t="s">
        <v>1315</v>
      </c>
      <c r="C3535" s="149">
        <v>11</v>
      </c>
      <c r="D3535" s="149">
        <v>310</v>
      </c>
      <c r="E3535" s="149">
        <v>0</v>
      </c>
      <c r="F3535" s="149">
        <v>200100</v>
      </c>
      <c r="G3535" s="149">
        <v>53510</v>
      </c>
      <c r="H3535" s="150" t="str">
        <f t="shared" si="165"/>
        <v>5</v>
      </c>
      <c r="I3535" s="150" t="str">
        <f t="shared" si="166"/>
        <v>53</v>
      </c>
      <c r="J3535" s="150" t="str">
        <f t="shared" si="167"/>
        <v>535</v>
      </c>
      <c r="K3535" s="150" t="s">
        <v>8812</v>
      </c>
      <c r="L3535" s="149" t="s">
        <v>371</v>
      </c>
      <c r="M3535" s="151">
        <v>145.04</v>
      </c>
    </row>
    <row r="3536" spans="1:13" s="149" customFormat="1" x14ac:dyDescent="0.25">
      <c r="A3536" s="149" t="s">
        <v>7640</v>
      </c>
      <c r="B3536" s="149" t="s">
        <v>1316</v>
      </c>
      <c r="C3536" s="149">
        <v>11</v>
      </c>
      <c r="D3536" s="149">
        <v>310</v>
      </c>
      <c r="E3536" s="149">
        <v>0</v>
      </c>
      <c r="F3536" s="149">
        <v>200100</v>
      </c>
      <c r="G3536" s="149">
        <v>53520</v>
      </c>
      <c r="H3536" s="150" t="str">
        <f t="shared" si="165"/>
        <v>5</v>
      </c>
      <c r="I3536" s="150" t="str">
        <f t="shared" si="166"/>
        <v>53</v>
      </c>
      <c r="J3536" s="150" t="str">
        <f t="shared" si="167"/>
        <v>535</v>
      </c>
      <c r="K3536" s="150" t="s">
        <v>8813</v>
      </c>
      <c r="L3536" s="149" t="s">
        <v>1317</v>
      </c>
      <c r="M3536" s="151">
        <v>0</v>
      </c>
    </row>
    <row r="3537" spans="1:13" s="149" customFormat="1" x14ac:dyDescent="0.25">
      <c r="A3537" s="149" t="s">
        <v>7640</v>
      </c>
      <c r="B3537" s="149" t="s">
        <v>1318</v>
      </c>
      <c r="C3537" s="149">
        <v>11</v>
      </c>
      <c r="D3537" s="149">
        <v>310</v>
      </c>
      <c r="E3537" s="149">
        <v>0</v>
      </c>
      <c r="F3537" s="149">
        <v>200100</v>
      </c>
      <c r="G3537" s="149">
        <v>53610</v>
      </c>
      <c r="H3537" s="150" t="str">
        <f t="shared" si="165"/>
        <v>5</v>
      </c>
      <c r="I3537" s="150" t="str">
        <f t="shared" si="166"/>
        <v>53</v>
      </c>
      <c r="J3537" s="150" t="str">
        <f t="shared" si="167"/>
        <v>536</v>
      </c>
      <c r="K3537" s="150" t="s">
        <v>8814</v>
      </c>
      <c r="L3537" s="149" t="s">
        <v>373</v>
      </c>
      <c r="M3537" s="151">
        <v>6165.32</v>
      </c>
    </row>
    <row r="3538" spans="1:13" s="149" customFormat="1" x14ac:dyDescent="0.25">
      <c r="A3538" s="149" t="s">
        <v>7640</v>
      </c>
      <c r="B3538" s="149" t="s">
        <v>1319</v>
      </c>
      <c r="C3538" s="149">
        <v>11</v>
      </c>
      <c r="D3538" s="149">
        <v>310</v>
      </c>
      <c r="E3538" s="149">
        <v>0</v>
      </c>
      <c r="F3538" s="149">
        <v>200100</v>
      </c>
      <c r="G3538" s="149">
        <v>53620</v>
      </c>
      <c r="H3538" s="150" t="str">
        <f t="shared" si="165"/>
        <v>5</v>
      </c>
      <c r="I3538" s="150" t="str">
        <f t="shared" si="166"/>
        <v>53</v>
      </c>
      <c r="J3538" s="150" t="str">
        <f t="shared" si="167"/>
        <v>536</v>
      </c>
      <c r="K3538" s="150" t="s">
        <v>8815</v>
      </c>
      <c r="L3538" s="149" t="s">
        <v>1320</v>
      </c>
      <c r="M3538" s="151">
        <v>0</v>
      </c>
    </row>
    <row r="3539" spans="1:13" s="149" customFormat="1" x14ac:dyDescent="0.25">
      <c r="A3539" s="149" t="s">
        <v>7640</v>
      </c>
      <c r="B3539" s="149" t="s">
        <v>1321</v>
      </c>
      <c r="C3539" s="149">
        <v>11</v>
      </c>
      <c r="D3539" s="149">
        <v>310</v>
      </c>
      <c r="E3539" s="149">
        <v>0</v>
      </c>
      <c r="F3539" s="149">
        <v>200100</v>
      </c>
      <c r="G3539" s="149">
        <v>53910</v>
      </c>
      <c r="H3539" s="150" t="str">
        <f t="shared" si="165"/>
        <v>5</v>
      </c>
      <c r="I3539" s="150" t="str">
        <f t="shared" si="166"/>
        <v>53</v>
      </c>
      <c r="J3539" s="150" t="str">
        <f t="shared" si="167"/>
        <v>539</v>
      </c>
      <c r="K3539" s="150" t="s">
        <v>8816</v>
      </c>
      <c r="L3539" s="149" t="s">
        <v>1322</v>
      </c>
      <c r="M3539" s="151">
        <v>1745.44</v>
      </c>
    </row>
    <row r="3540" spans="1:13" s="149" customFormat="1" x14ac:dyDescent="0.25">
      <c r="A3540" s="149" t="s">
        <v>7640</v>
      </c>
      <c r="B3540" s="149" t="s">
        <v>1323</v>
      </c>
      <c r="C3540" s="149">
        <v>11</v>
      </c>
      <c r="D3540" s="149">
        <v>310</v>
      </c>
      <c r="E3540" s="149">
        <v>0</v>
      </c>
      <c r="F3540" s="149">
        <v>200100</v>
      </c>
      <c r="G3540" s="149">
        <v>55630</v>
      </c>
      <c r="H3540" s="150" t="str">
        <f t="shared" si="165"/>
        <v>5</v>
      </c>
      <c r="I3540" s="150" t="str">
        <f t="shared" si="166"/>
        <v>55</v>
      </c>
      <c r="J3540" s="150" t="str">
        <f t="shared" si="167"/>
        <v>556</v>
      </c>
      <c r="K3540" s="150" t="s">
        <v>8202</v>
      </c>
      <c r="L3540" s="149" t="s">
        <v>1324</v>
      </c>
      <c r="M3540" s="151">
        <v>207.9</v>
      </c>
    </row>
    <row r="3541" spans="1:13" s="149" customFormat="1" x14ac:dyDescent="0.25">
      <c r="A3541" s="149" t="s">
        <v>7640</v>
      </c>
      <c r="B3541" s="149" t="s">
        <v>1325</v>
      </c>
      <c r="C3541" s="149">
        <v>11</v>
      </c>
      <c r="D3541" s="149">
        <v>310</v>
      </c>
      <c r="E3541" s="149">
        <v>0</v>
      </c>
      <c r="F3541" s="149">
        <v>210440</v>
      </c>
      <c r="G3541" s="149">
        <v>51100</v>
      </c>
      <c r="H3541" s="150" t="str">
        <f t="shared" si="165"/>
        <v>5</v>
      </c>
      <c r="I3541" s="150" t="str">
        <f t="shared" si="166"/>
        <v>51</v>
      </c>
      <c r="J3541" s="150" t="str">
        <f t="shared" si="167"/>
        <v>511</v>
      </c>
      <c r="K3541" s="150" t="s">
        <v>8817</v>
      </c>
      <c r="L3541" s="149" t="s">
        <v>1326</v>
      </c>
      <c r="M3541" s="151">
        <v>0</v>
      </c>
    </row>
    <row r="3542" spans="1:13" s="149" customFormat="1" x14ac:dyDescent="0.25">
      <c r="A3542" s="149" t="s">
        <v>7640</v>
      </c>
      <c r="B3542" s="149" t="s">
        <v>1327</v>
      </c>
      <c r="C3542" s="149">
        <v>11</v>
      </c>
      <c r="D3542" s="149">
        <v>310</v>
      </c>
      <c r="E3542" s="149">
        <v>0</v>
      </c>
      <c r="F3542" s="149">
        <v>210440</v>
      </c>
      <c r="G3542" s="149">
        <v>53110</v>
      </c>
      <c r="H3542" s="150" t="str">
        <f t="shared" si="165"/>
        <v>5</v>
      </c>
      <c r="I3542" s="150" t="str">
        <f t="shared" si="166"/>
        <v>53</v>
      </c>
      <c r="J3542" s="150" t="str">
        <f t="shared" si="167"/>
        <v>531</v>
      </c>
      <c r="K3542" s="150" t="s">
        <v>8818</v>
      </c>
      <c r="L3542" s="149" t="s">
        <v>1328</v>
      </c>
      <c r="M3542" s="151">
        <v>0</v>
      </c>
    </row>
    <row r="3543" spans="1:13" s="149" customFormat="1" x14ac:dyDescent="0.25">
      <c r="A3543" s="149" t="s">
        <v>7640</v>
      </c>
      <c r="B3543" s="149" t="s">
        <v>1329</v>
      </c>
      <c r="C3543" s="149">
        <v>11</v>
      </c>
      <c r="D3543" s="149">
        <v>310</v>
      </c>
      <c r="E3543" s="149">
        <v>0</v>
      </c>
      <c r="F3543" s="149">
        <v>210440</v>
      </c>
      <c r="G3543" s="149">
        <v>53330</v>
      </c>
      <c r="H3543" s="150" t="str">
        <f t="shared" si="165"/>
        <v>5</v>
      </c>
      <c r="I3543" s="150" t="str">
        <f t="shared" si="166"/>
        <v>53</v>
      </c>
      <c r="J3543" s="150" t="str">
        <f t="shared" si="167"/>
        <v>533</v>
      </c>
      <c r="K3543" s="150" t="s">
        <v>8819</v>
      </c>
      <c r="L3543" s="149" t="s">
        <v>1330</v>
      </c>
      <c r="M3543" s="151">
        <v>0</v>
      </c>
    </row>
    <row r="3544" spans="1:13" s="149" customFormat="1" x14ac:dyDescent="0.25">
      <c r="A3544" s="149" t="s">
        <v>7640</v>
      </c>
      <c r="B3544" s="149" t="s">
        <v>1331</v>
      </c>
      <c r="C3544" s="149">
        <v>11</v>
      </c>
      <c r="D3544" s="149">
        <v>310</v>
      </c>
      <c r="E3544" s="149">
        <v>0</v>
      </c>
      <c r="F3544" s="149">
        <v>210440</v>
      </c>
      <c r="G3544" s="149">
        <v>53410</v>
      </c>
      <c r="H3544" s="150" t="str">
        <f t="shared" si="165"/>
        <v>5</v>
      </c>
      <c r="I3544" s="150" t="str">
        <f t="shared" si="166"/>
        <v>53</v>
      </c>
      <c r="J3544" s="150" t="str">
        <f t="shared" si="167"/>
        <v>534</v>
      </c>
      <c r="K3544" s="150" t="s">
        <v>8820</v>
      </c>
      <c r="L3544" s="149" t="s">
        <v>1332</v>
      </c>
      <c r="M3544" s="151">
        <v>0</v>
      </c>
    </row>
    <row r="3545" spans="1:13" s="149" customFormat="1" x14ac:dyDescent="0.25">
      <c r="A3545" s="149" t="s">
        <v>7640</v>
      </c>
      <c r="B3545" s="149" t="s">
        <v>1333</v>
      </c>
      <c r="C3545" s="149">
        <v>11</v>
      </c>
      <c r="D3545" s="149">
        <v>310</v>
      </c>
      <c r="E3545" s="149">
        <v>0</v>
      </c>
      <c r="F3545" s="149">
        <v>210440</v>
      </c>
      <c r="G3545" s="149">
        <v>53510</v>
      </c>
      <c r="H3545" s="150" t="str">
        <f t="shared" si="165"/>
        <v>5</v>
      </c>
      <c r="I3545" s="150" t="str">
        <f t="shared" si="166"/>
        <v>53</v>
      </c>
      <c r="J3545" s="150" t="str">
        <f t="shared" si="167"/>
        <v>535</v>
      </c>
      <c r="K3545" s="150" t="s">
        <v>8821</v>
      </c>
      <c r="L3545" s="149" t="s">
        <v>1334</v>
      </c>
      <c r="M3545" s="151">
        <v>0</v>
      </c>
    </row>
    <row r="3546" spans="1:13" s="149" customFormat="1" x14ac:dyDescent="0.25">
      <c r="A3546" s="149" t="s">
        <v>7640</v>
      </c>
      <c r="B3546" s="149" t="s">
        <v>1335</v>
      </c>
      <c r="C3546" s="149">
        <v>11</v>
      </c>
      <c r="D3546" s="149">
        <v>310</v>
      </c>
      <c r="E3546" s="149">
        <v>0</v>
      </c>
      <c r="F3546" s="149">
        <v>210440</v>
      </c>
      <c r="G3546" s="149">
        <v>53610</v>
      </c>
      <c r="H3546" s="150" t="str">
        <f t="shared" si="165"/>
        <v>5</v>
      </c>
      <c r="I3546" s="150" t="str">
        <f t="shared" si="166"/>
        <v>53</v>
      </c>
      <c r="J3546" s="150" t="str">
        <f t="shared" si="167"/>
        <v>536</v>
      </c>
      <c r="K3546" s="150" t="s">
        <v>8822</v>
      </c>
      <c r="L3546" s="149" t="s">
        <v>1336</v>
      </c>
      <c r="M3546" s="151">
        <v>0</v>
      </c>
    </row>
    <row r="3547" spans="1:13" s="149" customFormat="1" x14ac:dyDescent="0.25">
      <c r="A3547" s="149" t="s">
        <v>7640</v>
      </c>
      <c r="B3547" s="149" t="s">
        <v>1337</v>
      </c>
      <c r="C3547" s="149">
        <v>11</v>
      </c>
      <c r="D3547" s="149">
        <v>310</v>
      </c>
      <c r="E3547" s="149">
        <v>0</v>
      </c>
      <c r="F3547" s="149">
        <v>210440</v>
      </c>
      <c r="G3547" s="149">
        <v>55630</v>
      </c>
      <c r="H3547" s="150" t="str">
        <f t="shared" si="165"/>
        <v>5</v>
      </c>
      <c r="I3547" s="150" t="str">
        <f t="shared" si="166"/>
        <v>55</v>
      </c>
      <c r="J3547" s="150" t="str">
        <f t="shared" si="167"/>
        <v>556</v>
      </c>
      <c r="K3547" s="150" t="s">
        <v>8203</v>
      </c>
      <c r="L3547" s="149" t="s">
        <v>1338</v>
      </c>
      <c r="M3547" s="151">
        <v>1.23</v>
      </c>
    </row>
    <row r="3548" spans="1:13" s="149" customFormat="1" x14ac:dyDescent="0.25">
      <c r="A3548" s="149" t="s">
        <v>7640</v>
      </c>
      <c r="B3548" s="149" t="s">
        <v>1339</v>
      </c>
      <c r="C3548" s="149">
        <v>11</v>
      </c>
      <c r="D3548" s="149">
        <v>310</v>
      </c>
      <c r="E3548" s="149">
        <v>0</v>
      </c>
      <c r="F3548" s="149">
        <v>210500</v>
      </c>
      <c r="G3548" s="149">
        <v>51310</v>
      </c>
      <c r="H3548" s="150" t="str">
        <f t="shared" si="165"/>
        <v>5</v>
      </c>
      <c r="I3548" s="150" t="str">
        <f t="shared" si="166"/>
        <v>51</v>
      </c>
      <c r="J3548" s="150" t="str">
        <f t="shared" si="167"/>
        <v>513</v>
      </c>
      <c r="K3548" s="150" t="s">
        <v>7653</v>
      </c>
      <c r="L3548" s="149" t="s">
        <v>1340</v>
      </c>
      <c r="M3548" s="151">
        <v>4296.8</v>
      </c>
    </row>
    <row r="3549" spans="1:13" s="149" customFormat="1" x14ac:dyDescent="0.25">
      <c r="A3549" s="149" t="s">
        <v>7640</v>
      </c>
      <c r="B3549" s="149" t="s">
        <v>1341</v>
      </c>
      <c r="C3549" s="149">
        <v>11</v>
      </c>
      <c r="D3549" s="149">
        <v>310</v>
      </c>
      <c r="E3549" s="149">
        <v>0</v>
      </c>
      <c r="F3549" s="149">
        <v>210500</v>
      </c>
      <c r="G3549" s="149">
        <v>51311</v>
      </c>
      <c r="H3549" s="150" t="str">
        <f t="shared" si="165"/>
        <v>5</v>
      </c>
      <c r="I3549" s="150" t="str">
        <f t="shared" si="166"/>
        <v>51</v>
      </c>
      <c r="J3549" s="150" t="str">
        <f t="shared" si="167"/>
        <v>513</v>
      </c>
      <c r="K3549" s="150" t="s">
        <v>7727</v>
      </c>
      <c r="L3549" s="149" t="s">
        <v>375</v>
      </c>
      <c r="M3549" s="151">
        <v>1032.75</v>
      </c>
    </row>
    <row r="3550" spans="1:13" s="149" customFormat="1" x14ac:dyDescent="0.25">
      <c r="A3550" s="149" t="s">
        <v>7640</v>
      </c>
      <c r="B3550" s="149" t="s">
        <v>1342</v>
      </c>
      <c r="C3550" s="149">
        <v>11</v>
      </c>
      <c r="D3550" s="149">
        <v>310</v>
      </c>
      <c r="E3550" s="149">
        <v>0</v>
      </c>
      <c r="F3550" s="149">
        <v>210500</v>
      </c>
      <c r="G3550" s="149">
        <v>53110</v>
      </c>
      <c r="H3550" s="150" t="str">
        <f t="shared" si="165"/>
        <v>5</v>
      </c>
      <c r="I3550" s="150" t="str">
        <f t="shared" si="166"/>
        <v>53</v>
      </c>
      <c r="J3550" s="150" t="str">
        <f t="shared" si="167"/>
        <v>531</v>
      </c>
      <c r="K3550" s="150" t="s">
        <v>8823</v>
      </c>
      <c r="L3550" s="149" t="s">
        <v>377</v>
      </c>
      <c r="M3550" s="151">
        <v>860.75</v>
      </c>
    </row>
    <row r="3551" spans="1:13" s="149" customFormat="1" x14ac:dyDescent="0.25">
      <c r="A3551" s="149" t="s">
        <v>7640</v>
      </c>
      <c r="B3551" s="149" t="s">
        <v>1343</v>
      </c>
      <c r="C3551" s="149">
        <v>11</v>
      </c>
      <c r="D3551" s="149">
        <v>310</v>
      </c>
      <c r="E3551" s="149">
        <v>0</v>
      </c>
      <c r="F3551" s="149">
        <v>210500</v>
      </c>
      <c r="G3551" s="149">
        <v>53330</v>
      </c>
      <c r="H3551" s="150" t="str">
        <f t="shared" si="165"/>
        <v>5</v>
      </c>
      <c r="I3551" s="150" t="str">
        <f t="shared" si="166"/>
        <v>53</v>
      </c>
      <c r="J3551" s="150" t="str">
        <f t="shared" si="167"/>
        <v>533</v>
      </c>
      <c r="K3551" s="150" t="s">
        <v>8824</v>
      </c>
      <c r="L3551" s="149" t="s">
        <v>381</v>
      </c>
      <c r="M3551" s="151">
        <v>77.3</v>
      </c>
    </row>
    <row r="3552" spans="1:13" s="149" customFormat="1" x14ac:dyDescent="0.25">
      <c r="A3552" s="149" t="s">
        <v>7640</v>
      </c>
      <c r="B3552" s="149" t="s">
        <v>1344</v>
      </c>
      <c r="C3552" s="149">
        <v>11</v>
      </c>
      <c r="D3552" s="149">
        <v>310</v>
      </c>
      <c r="E3552" s="149">
        <v>0</v>
      </c>
      <c r="F3552" s="149">
        <v>210500</v>
      </c>
      <c r="G3552" s="149">
        <v>53510</v>
      </c>
      <c r="H3552" s="150" t="str">
        <f t="shared" si="165"/>
        <v>5</v>
      </c>
      <c r="I3552" s="150" t="str">
        <f t="shared" si="166"/>
        <v>53</v>
      </c>
      <c r="J3552" s="150" t="str">
        <f t="shared" si="167"/>
        <v>535</v>
      </c>
      <c r="K3552" s="150" t="s">
        <v>8825</v>
      </c>
      <c r="L3552" s="149" t="s">
        <v>383</v>
      </c>
      <c r="M3552" s="151">
        <v>2.63</v>
      </c>
    </row>
    <row r="3553" spans="1:13" s="149" customFormat="1" x14ac:dyDescent="0.25">
      <c r="A3553" s="149" t="s">
        <v>7640</v>
      </c>
      <c r="B3553" s="149" t="s">
        <v>1345</v>
      </c>
      <c r="C3553" s="149">
        <v>11</v>
      </c>
      <c r="D3553" s="149">
        <v>310</v>
      </c>
      <c r="E3553" s="149">
        <v>0</v>
      </c>
      <c r="F3553" s="149">
        <v>210500</v>
      </c>
      <c r="G3553" s="149">
        <v>53610</v>
      </c>
      <c r="H3553" s="150" t="str">
        <f t="shared" si="165"/>
        <v>5</v>
      </c>
      <c r="I3553" s="150" t="str">
        <f t="shared" si="166"/>
        <v>53</v>
      </c>
      <c r="J3553" s="150" t="str">
        <f t="shared" si="167"/>
        <v>536</v>
      </c>
      <c r="K3553" s="150" t="s">
        <v>8826</v>
      </c>
      <c r="L3553" s="149" t="s">
        <v>385</v>
      </c>
      <c r="M3553" s="151">
        <v>100.75</v>
      </c>
    </row>
    <row r="3554" spans="1:13" s="149" customFormat="1" x14ac:dyDescent="0.25">
      <c r="A3554" s="149" t="s">
        <v>7640</v>
      </c>
      <c r="B3554" s="149" t="s">
        <v>1346</v>
      </c>
      <c r="C3554" s="149">
        <v>11</v>
      </c>
      <c r="D3554" s="149">
        <v>310</v>
      </c>
      <c r="E3554" s="149">
        <v>0</v>
      </c>
      <c r="F3554" s="149">
        <v>220200</v>
      </c>
      <c r="G3554" s="149">
        <v>51100</v>
      </c>
      <c r="H3554" s="150" t="str">
        <f t="shared" si="165"/>
        <v>5</v>
      </c>
      <c r="I3554" s="150" t="str">
        <f t="shared" si="166"/>
        <v>51</v>
      </c>
      <c r="J3554" s="150" t="str">
        <f t="shared" si="167"/>
        <v>511</v>
      </c>
      <c r="K3554" s="150" t="s">
        <v>8827</v>
      </c>
      <c r="L3554" s="149" t="s">
        <v>1347</v>
      </c>
      <c r="M3554" s="151">
        <v>96603.199999999997</v>
      </c>
    </row>
    <row r="3555" spans="1:13" s="149" customFormat="1" x14ac:dyDescent="0.25">
      <c r="A3555" s="149" t="s">
        <v>7640</v>
      </c>
      <c r="B3555" s="149" t="s">
        <v>1348</v>
      </c>
      <c r="C3555" s="149">
        <v>11</v>
      </c>
      <c r="D3555" s="149">
        <v>310</v>
      </c>
      <c r="E3555" s="149">
        <v>0</v>
      </c>
      <c r="F3555" s="149">
        <v>220200</v>
      </c>
      <c r="G3555" s="149">
        <v>51310</v>
      </c>
      <c r="H3555" s="150" t="str">
        <f t="shared" si="165"/>
        <v>5</v>
      </c>
      <c r="I3555" s="150" t="str">
        <f t="shared" si="166"/>
        <v>51</v>
      </c>
      <c r="J3555" s="150" t="str">
        <f t="shared" si="167"/>
        <v>513</v>
      </c>
      <c r="K3555" s="150" t="s">
        <v>7654</v>
      </c>
      <c r="L3555" s="149" t="s">
        <v>1349</v>
      </c>
      <c r="M3555" s="151">
        <v>4296.8</v>
      </c>
    </row>
    <row r="3556" spans="1:13" s="149" customFormat="1" x14ac:dyDescent="0.25">
      <c r="A3556" s="149" t="s">
        <v>7640</v>
      </c>
      <c r="B3556" s="149" t="s">
        <v>1350</v>
      </c>
      <c r="C3556" s="149">
        <v>11</v>
      </c>
      <c r="D3556" s="149">
        <v>310</v>
      </c>
      <c r="E3556" s="149">
        <v>0</v>
      </c>
      <c r="F3556" s="149">
        <v>220200</v>
      </c>
      <c r="G3556" s="149">
        <v>51311</v>
      </c>
      <c r="H3556" s="150" t="str">
        <f t="shared" si="165"/>
        <v>5</v>
      </c>
      <c r="I3556" s="150" t="str">
        <f t="shared" si="166"/>
        <v>51</v>
      </c>
      <c r="J3556" s="150" t="str">
        <f t="shared" si="167"/>
        <v>513</v>
      </c>
      <c r="K3556" s="150" t="s">
        <v>7728</v>
      </c>
      <c r="L3556" s="149" t="s">
        <v>389</v>
      </c>
      <c r="M3556" s="151">
        <v>36125.32</v>
      </c>
    </row>
    <row r="3557" spans="1:13" s="149" customFormat="1" x14ac:dyDescent="0.25">
      <c r="A3557" s="149" t="s">
        <v>7640</v>
      </c>
      <c r="B3557" s="149" t="s">
        <v>1351</v>
      </c>
      <c r="C3557" s="149">
        <v>11</v>
      </c>
      <c r="D3557" s="149">
        <v>310</v>
      </c>
      <c r="E3557" s="149">
        <v>0</v>
      </c>
      <c r="F3557" s="149">
        <v>220200</v>
      </c>
      <c r="G3557" s="149">
        <v>53110</v>
      </c>
      <c r="H3557" s="150" t="str">
        <f t="shared" si="165"/>
        <v>5</v>
      </c>
      <c r="I3557" s="150" t="str">
        <f t="shared" si="166"/>
        <v>53</v>
      </c>
      <c r="J3557" s="150" t="str">
        <f t="shared" si="167"/>
        <v>531</v>
      </c>
      <c r="K3557" s="150" t="s">
        <v>8828</v>
      </c>
      <c r="L3557" s="149" t="s">
        <v>391</v>
      </c>
      <c r="M3557" s="151">
        <v>16295.39</v>
      </c>
    </row>
    <row r="3558" spans="1:13" s="149" customFormat="1" x14ac:dyDescent="0.25">
      <c r="A3558" s="149" t="s">
        <v>7640</v>
      </c>
      <c r="B3558" s="149" t="s">
        <v>1352</v>
      </c>
      <c r="C3558" s="149">
        <v>11</v>
      </c>
      <c r="D3558" s="149">
        <v>310</v>
      </c>
      <c r="E3558" s="149">
        <v>0</v>
      </c>
      <c r="F3558" s="149">
        <v>220200</v>
      </c>
      <c r="G3558" s="149">
        <v>53310</v>
      </c>
      <c r="H3558" s="150" t="str">
        <f t="shared" si="165"/>
        <v>5</v>
      </c>
      <c r="I3558" s="150" t="str">
        <f t="shared" si="166"/>
        <v>53</v>
      </c>
      <c r="J3558" s="150" t="str">
        <f t="shared" si="167"/>
        <v>533</v>
      </c>
      <c r="K3558" s="150" t="s">
        <v>8829</v>
      </c>
      <c r="L3558" s="149" t="s">
        <v>1353</v>
      </c>
      <c r="M3558" s="151">
        <v>1150.5999999999999</v>
      </c>
    </row>
    <row r="3559" spans="1:13" s="149" customFormat="1" x14ac:dyDescent="0.25">
      <c r="A3559" s="149" t="s">
        <v>7640</v>
      </c>
      <c r="B3559" s="149" t="s">
        <v>1354</v>
      </c>
      <c r="C3559" s="149">
        <v>11</v>
      </c>
      <c r="D3559" s="149">
        <v>310</v>
      </c>
      <c r="E3559" s="149">
        <v>0</v>
      </c>
      <c r="F3559" s="149">
        <v>220200</v>
      </c>
      <c r="G3559" s="149">
        <v>53330</v>
      </c>
      <c r="H3559" s="150" t="str">
        <f t="shared" si="165"/>
        <v>5</v>
      </c>
      <c r="I3559" s="150" t="str">
        <f t="shared" si="166"/>
        <v>53</v>
      </c>
      <c r="J3559" s="150" t="str">
        <f t="shared" si="167"/>
        <v>533</v>
      </c>
      <c r="K3559" s="150" t="s">
        <v>8830</v>
      </c>
      <c r="L3559" s="149" t="s">
        <v>393</v>
      </c>
      <c r="M3559" s="151">
        <v>1974.75</v>
      </c>
    </row>
    <row r="3560" spans="1:13" s="149" customFormat="1" x14ac:dyDescent="0.25">
      <c r="A3560" s="149" t="s">
        <v>7640</v>
      </c>
      <c r="B3560" s="149" t="s">
        <v>1355</v>
      </c>
      <c r="C3560" s="149">
        <v>11</v>
      </c>
      <c r="D3560" s="149">
        <v>310</v>
      </c>
      <c r="E3560" s="149">
        <v>0</v>
      </c>
      <c r="F3560" s="149">
        <v>220200</v>
      </c>
      <c r="G3560" s="149">
        <v>53410</v>
      </c>
      <c r="H3560" s="150" t="str">
        <f t="shared" si="165"/>
        <v>5</v>
      </c>
      <c r="I3560" s="150" t="str">
        <f t="shared" si="166"/>
        <v>53</v>
      </c>
      <c r="J3560" s="150" t="str">
        <f t="shared" si="167"/>
        <v>534</v>
      </c>
      <c r="K3560" s="150" t="s">
        <v>8831</v>
      </c>
      <c r="L3560" s="149" t="s">
        <v>1356</v>
      </c>
      <c r="M3560" s="151">
        <v>26198.92</v>
      </c>
    </row>
    <row r="3561" spans="1:13" s="149" customFormat="1" x14ac:dyDescent="0.25">
      <c r="A3561" s="149" t="s">
        <v>7640</v>
      </c>
      <c r="B3561" s="149" t="s">
        <v>1357</v>
      </c>
      <c r="C3561" s="149">
        <v>11</v>
      </c>
      <c r="D3561" s="149">
        <v>310</v>
      </c>
      <c r="E3561" s="149">
        <v>0</v>
      </c>
      <c r="F3561" s="149">
        <v>220200</v>
      </c>
      <c r="G3561" s="149">
        <v>53510</v>
      </c>
      <c r="H3561" s="150" t="str">
        <f t="shared" si="165"/>
        <v>5</v>
      </c>
      <c r="I3561" s="150" t="str">
        <f t="shared" si="166"/>
        <v>53</v>
      </c>
      <c r="J3561" s="150" t="str">
        <f t="shared" si="167"/>
        <v>535</v>
      </c>
      <c r="K3561" s="150" t="s">
        <v>8832</v>
      </c>
      <c r="L3561" s="149" t="s">
        <v>395</v>
      </c>
      <c r="M3561" s="151">
        <v>68.5</v>
      </c>
    </row>
    <row r="3562" spans="1:13" s="149" customFormat="1" x14ac:dyDescent="0.25">
      <c r="A3562" s="149" t="s">
        <v>7640</v>
      </c>
      <c r="B3562" s="149" t="s">
        <v>1358</v>
      </c>
      <c r="C3562" s="149">
        <v>11</v>
      </c>
      <c r="D3562" s="149">
        <v>310</v>
      </c>
      <c r="E3562" s="149">
        <v>0</v>
      </c>
      <c r="F3562" s="149">
        <v>220200</v>
      </c>
      <c r="G3562" s="149">
        <v>53610</v>
      </c>
      <c r="H3562" s="150" t="str">
        <f t="shared" si="165"/>
        <v>5</v>
      </c>
      <c r="I3562" s="150" t="str">
        <f t="shared" si="166"/>
        <v>53</v>
      </c>
      <c r="J3562" s="150" t="str">
        <f t="shared" si="167"/>
        <v>536</v>
      </c>
      <c r="K3562" s="150" t="s">
        <v>8833</v>
      </c>
      <c r="L3562" s="149" t="s">
        <v>397</v>
      </c>
      <c r="M3562" s="151">
        <v>2590.87</v>
      </c>
    </row>
    <row r="3563" spans="1:13" s="149" customFormat="1" x14ac:dyDescent="0.25">
      <c r="A3563" s="149" t="s">
        <v>7640</v>
      </c>
      <c r="B3563" s="149" t="s">
        <v>1359</v>
      </c>
      <c r="C3563" s="149">
        <v>11</v>
      </c>
      <c r="D3563" s="149">
        <v>310</v>
      </c>
      <c r="E3563" s="149">
        <v>0</v>
      </c>
      <c r="F3563" s="149">
        <v>220200</v>
      </c>
      <c r="G3563" s="149">
        <v>55630</v>
      </c>
      <c r="H3563" s="150" t="str">
        <f t="shared" si="165"/>
        <v>5</v>
      </c>
      <c r="I3563" s="150" t="str">
        <f t="shared" si="166"/>
        <v>55</v>
      </c>
      <c r="J3563" s="150" t="str">
        <f t="shared" si="167"/>
        <v>556</v>
      </c>
      <c r="K3563" s="150" t="s">
        <v>8204</v>
      </c>
      <c r="L3563" s="149" t="s">
        <v>399</v>
      </c>
      <c r="M3563" s="151">
        <v>0</v>
      </c>
    </row>
    <row r="3564" spans="1:13" s="149" customFormat="1" x14ac:dyDescent="0.25">
      <c r="A3564" s="149" t="s">
        <v>7640</v>
      </c>
      <c r="B3564" s="149" t="s">
        <v>1360</v>
      </c>
      <c r="C3564" s="149">
        <v>11</v>
      </c>
      <c r="D3564" s="149">
        <v>310</v>
      </c>
      <c r="E3564" s="149">
        <v>0</v>
      </c>
      <c r="F3564" s="149">
        <v>220210</v>
      </c>
      <c r="G3564" s="149">
        <v>51100</v>
      </c>
      <c r="H3564" s="150" t="str">
        <f t="shared" si="165"/>
        <v>5</v>
      </c>
      <c r="I3564" s="150" t="str">
        <f t="shared" si="166"/>
        <v>51</v>
      </c>
      <c r="J3564" s="150" t="str">
        <f t="shared" si="167"/>
        <v>511</v>
      </c>
      <c r="K3564" s="150" t="s">
        <v>8834</v>
      </c>
      <c r="L3564" s="149" t="s">
        <v>1361</v>
      </c>
      <c r="M3564" s="151">
        <v>95511.96</v>
      </c>
    </row>
    <row r="3565" spans="1:13" s="149" customFormat="1" x14ac:dyDescent="0.25">
      <c r="A3565" s="149" t="s">
        <v>7640</v>
      </c>
      <c r="B3565" s="149" t="s">
        <v>1362</v>
      </c>
      <c r="C3565" s="149">
        <v>11</v>
      </c>
      <c r="D3565" s="149">
        <v>310</v>
      </c>
      <c r="E3565" s="149">
        <v>0</v>
      </c>
      <c r="F3565" s="149">
        <v>220210</v>
      </c>
      <c r="G3565" s="149">
        <v>51310</v>
      </c>
      <c r="H3565" s="150" t="str">
        <f t="shared" si="165"/>
        <v>5</v>
      </c>
      <c r="I3565" s="150" t="str">
        <f t="shared" si="166"/>
        <v>51</v>
      </c>
      <c r="J3565" s="150" t="str">
        <f t="shared" si="167"/>
        <v>513</v>
      </c>
      <c r="K3565" s="150" t="s">
        <v>7655</v>
      </c>
      <c r="L3565" s="149" t="s">
        <v>1363</v>
      </c>
      <c r="M3565" s="151">
        <v>2578.08</v>
      </c>
    </row>
    <row r="3566" spans="1:13" s="149" customFormat="1" x14ac:dyDescent="0.25">
      <c r="A3566" s="149" t="s">
        <v>7640</v>
      </c>
      <c r="B3566" s="149" t="s">
        <v>1364</v>
      </c>
      <c r="C3566" s="149">
        <v>11</v>
      </c>
      <c r="D3566" s="149">
        <v>310</v>
      </c>
      <c r="E3566" s="149">
        <v>0</v>
      </c>
      <c r="F3566" s="149">
        <v>220210</v>
      </c>
      <c r="G3566" s="149">
        <v>51311</v>
      </c>
      <c r="H3566" s="150" t="str">
        <f t="shared" si="165"/>
        <v>5</v>
      </c>
      <c r="I3566" s="150" t="str">
        <f t="shared" si="166"/>
        <v>51</v>
      </c>
      <c r="J3566" s="150" t="str">
        <f t="shared" si="167"/>
        <v>513</v>
      </c>
      <c r="K3566" s="150" t="s">
        <v>7729</v>
      </c>
      <c r="L3566" s="149" t="s">
        <v>401</v>
      </c>
      <c r="M3566" s="151">
        <v>30987.99</v>
      </c>
    </row>
    <row r="3567" spans="1:13" s="149" customFormat="1" x14ac:dyDescent="0.25">
      <c r="A3567" s="149" t="s">
        <v>7640</v>
      </c>
      <c r="B3567" s="149" t="s">
        <v>1365</v>
      </c>
      <c r="C3567" s="149">
        <v>11</v>
      </c>
      <c r="D3567" s="149">
        <v>310</v>
      </c>
      <c r="E3567" s="149">
        <v>0</v>
      </c>
      <c r="F3567" s="149">
        <v>220210</v>
      </c>
      <c r="G3567" s="149">
        <v>53110</v>
      </c>
      <c r="H3567" s="150" t="str">
        <f t="shared" si="165"/>
        <v>5</v>
      </c>
      <c r="I3567" s="150" t="str">
        <f t="shared" si="166"/>
        <v>53</v>
      </c>
      <c r="J3567" s="150" t="str">
        <f t="shared" si="167"/>
        <v>531</v>
      </c>
      <c r="K3567" s="150" t="s">
        <v>8835</v>
      </c>
      <c r="L3567" s="149" t="s">
        <v>403</v>
      </c>
      <c r="M3567" s="151">
        <v>20846.09</v>
      </c>
    </row>
    <row r="3568" spans="1:13" s="149" customFormat="1" x14ac:dyDescent="0.25">
      <c r="A3568" s="149" t="s">
        <v>7640</v>
      </c>
      <c r="B3568" s="149" t="s">
        <v>1366</v>
      </c>
      <c r="C3568" s="149">
        <v>11</v>
      </c>
      <c r="D3568" s="149">
        <v>310</v>
      </c>
      <c r="E3568" s="149">
        <v>0</v>
      </c>
      <c r="F3568" s="149">
        <v>220210</v>
      </c>
      <c r="G3568" s="149">
        <v>53330</v>
      </c>
      <c r="H3568" s="150" t="str">
        <f t="shared" si="165"/>
        <v>5</v>
      </c>
      <c r="I3568" s="150" t="str">
        <f t="shared" si="166"/>
        <v>53</v>
      </c>
      <c r="J3568" s="150" t="str">
        <f t="shared" si="167"/>
        <v>533</v>
      </c>
      <c r="K3568" s="150" t="s">
        <v>8836</v>
      </c>
      <c r="L3568" s="149" t="s">
        <v>405</v>
      </c>
      <c r="M3568" s="151">
        <v>1859.31</v>
      </c>
    </row>
    <row r="3569" spans="1:13" s="149" customFormat="1" x14ac:dyDescent="0.25">
      <c r="A3569" s="149" t="s">
        <v>7640</v>
      </c>
      <c r="B3569" s="149" t="s">
        <v>1367</v>
      </c>
      <c r="C3569" s="149">
        <v>11</v>
      </c>
      <c r="D3569" s="149">
        <v>310</v>
      </c>
      <c r="E3569" s="149">
        <v>0</v>
      </c>
      <c r="F3569" s="149">
        <v>220210</v>
      </c>
      <c r="G3569" s="149">
        <v>53410</v>
      </c>
      <c r="H3569" s="150" t="str">
        <f t="shared" si="165"/>
        <v>5</v>
      </c>
      <c r="I3569" s="150" t="str">
        <f t="shared" si="166"/>
        <v>53</v>
      </c>
      <c r="J3569" s="150" t="str">
        <f t="shared" si="167"/>
        <v>534</v>
      </c>
      <c r="K3569" s="150" t="s">
        <v>8837</v>
      </c>
      <c r="L3569" s="149" t="s">
        <v>1368</v>
      </c>
      <c r="M3569" s="151">
        <v>26666.240000000002</v>
      </c>
    </row>
    <row r="3570" spans="1:13" s="149" customFormat="1" x14ac:dyDescent="0.25">
      <c r="A3570" s="149" t="s">
        <v>7640</v>
      </c>
      <c r="B3570" s="149" t="s">
        <v>1369</v>
      </c>
      <c r="C3570" s="149">
        <v>11</v>
      </c>
      <c r="D3570" s="149">
        <v>310</v>
      </c>
      <c r="E3570" s="149">
        <v>0</v>
      </c>
      <c r="F3570" s="149">
        <v>220210</v>
      </c>
      <c r="G3570" s="149">
        <v>53510</v>
      </c>
      <c r="H3570" s="150" t="str">
        <f t="shared" si="165"/>
        <v>5</v>
      </c>
      <c r="I3570" s="150" t="str">
        <f t="shared" si="166"/>
        <v>53</v>
      </c>
      <c r="J3570" s="150" t="str">
        <f t="shared" si="167"/>
        <v>535</v>
      </c>
      <c r="K3570" s="150" t="s">
        <v>8838</v>
      </c>
      <c r="L3570" s="149" t="s">
        <v>407</v>
      </c>
      <c r="M3570" s="151">
        <v>64.53</v>
      </c>
    </row>
    <row r="3571" spans="1:13" s="149" customFormat="1" x14ac:dyDescent="0.25">
      <c r="A3571" s="149" t="s">
        <v>7640</v>
      </c>
      <c r="B3571" s="149" t="s">
        <v>1370</v>
      </c>
      <c r="C3571" s="149">
        <v>11</v>
      </c>
      <c r="D3571" s="149">
        <v>310</v>
      </c>
      <c r="E3571" s="149">
        <v>0</v>
      </c>
      <c r="F3571" s="149">
        <v>220210</v>
      </c>
      <c r="G3571" s="149">
        <v>53610</v>
      </c>
      <c r="H3571" s="150" t="str">
        <f t="shared" si="165"/>
        <v>5</v>
      </c>
      <c r="I3571" s="150" t="str">
        <f t="shared" si="166"/>
        <v>53</v>
      </c>
      <c r="J3571" s="150" t="str">
        <f t="shared" si="167"/>
        <v>536</v>
      </c>
      <c r="K3571" s="150" t="s">
        <v>8839</v>
      </c>
      <c r="L3571" s="149" t="s">
        <v>409</v>
      </c>
      <c r="M3571" s="151">
        <v>2440.56</v>
      </c>
    </row>
    <row r="3572" spans="1:13" s="149" customFormat="1" x14ac:dyDescent="0.25">
      <c r="A3572" s="149" t="s">
        <v>7640</v>
      </c>
      <c r="B3572" s="149" t="s">
        <v>1371</v>
      </c>
      <c r="C3572" s="149">
        <v>11</v>
      </c>
      <c r="D3572" s="149">
        <v>310</v>
      </c>
      <c r="E3572" s="149">
        <v>0</v>
      </c>
      <c r="F3572" s="149">
        <v>220210</v>
      </c>
      <c r="G3572" s="149">
        <v>55200</v>
      </c>
      <c r="H3572" s="150" t="str">
        <f t="shared" si="165"/>
        <v>5</v>
      </c>
      <c r="I3572" s="150" t="str">
        <f t="shared" si="166"/>
        <v>55</v>
      </c>
      <c r="J3572" s="150" t="str">
        <f t="shared" si="167"/>
        <v>552</v>
      </c>
      <c r="K3572" s="150" t="s">
        <v>8049</v>
      </c>
      <c r="L3572" s="149" t="s">
        <v>1372</v>
      </c>
      <c r="M3572" s="151">
        <v>0</v>
      </c>
    </row>
    <row r="3573" spans="1:13" s="149" customFormat="1" x14ac:dyDescent="0.25">
      <c r="A3573" s="149" t="s">
        <v>7640</v>
      </c>
      <c r="B3573" s="149" t="s">
        <v>1373</v>
      </c>
      <c r="C3573" s="149">
        <v>11</v>
      </c>
      <c r="D3573" s="149">
        <v>310</v>
      </c>
      <c r="E3573" s="149">
        <v>0</v>
      </c>
      <c r="F3573" s="149">
        <v>220210</v>
      </c>
      <c r="G3573" s="149">
        <v>55630</v>
      </c>
      <c r="H3573" s="150" t="str">
        <f t="shared" si="165"/>
        <v>5</v>
      </c>
      <c r="I3573" s="150" t="str">
        <f t="shared" si="166"/>
        <v>55</v>
      </c>
      <c r="J3573" s="150" t="str">
        <f t="shared" si="167"/>
        <v>556</v>
      </c>
      <c r="K3573" s="150" t="s">
        <v>8205</v>
      </c>
      <c r="L3573" s="149" t="s">
        <v>1374</v>
      </c>
      <c r="M3573" s="151">
        <v>0</v>
      </c>
    </row>
    <row r="3574" spans="1:13" s="149" customFormat="1" x14ac:dyDescent="0.25">
      <c r="A3574" s="149" t="s">
        <v>7640</v>
      </c>
      <c r="B3574" s="149" t="s">
        <v>1375</v>
      </c>
      <c r="C3574" s="149">
        <v>11</v>
      </c>
      <c r="D3574" s="149">
        <v>310</v>
      </c>
      <c r="E3574" s="149">
        <v>0</v>
      </c>
      <c r="F3574" s="149">
        <v>220400</v>
      </c>
      <c r="G3574" s="149">
        <v>51100</v>
      </c>
      <c r="H3574" s="150" t="str">
        <f t="shared" si="165"/>
        <v>5</v>
      </c>
      <c r="I3574" s="150" t="str">
        <f t="shared" si="166"/>
        <v>51</v>
      </c>
      <c r="J3574" s="150" t="str">
        <f t="shared" si="167"/>
        <v>511</v>
      </c>
      <c r="K3574" s="150" t="s">
        <v>8840</v>
      </c>
      <c r="L3574" s="149" t="s">
        <v>1376</v>
      </c>
      <c r="M3574" s="151">
        <v>85943.52</v>
      </c>
    </row>
    <row r="3575" spans="1:13" s="149" customFormat="1" x14ac:dyDescent="0.25">
      <c r="A3575" s="149" t="s">
        <v>7640</v>
      </c>
      <c r="B3575" s="149" t="s">
        <v>1377</v>
      </c>
      <c r="C3575" s="149">
        <v>11</v>
      </c>
      <c r="D3575" s="149">
        <v>310</v>
      </c>
      <c r="E3575" s="149">
        <v>0</v>
      </c>
      <c r="F3575" s="149">
        <v>220400</v>
      </c>
      <c r="G3575" s="149">
        <v>51310</v>
      </c>
      <c r="H3575" s="150" t="str">
        <f t="shared" si="165"/>
        <v>5</v>
      </c>
      <c r="I3575" s="150" t="str">
        <f t="shared" si="166"/>
        <v>51</v>
      </c>
      <c r="J3575" s="150" t="str">
        <f t="shared" si="167"/>
        <v>513</v>
      </c>
      <c r="K3575" s="150" t="s">
        <v>7656</v>
      </c>
      <c r="L3575" s="149" t="s">
        <v>1378</v>
      </c>
      <c r="M3575" s="151">
        <v>0</v>
      </c>
    </row>
    <row r="3576" spans="1:13" s="149" customFormat="1" x14ac:dyDescent="0.25">
      <c r="A3576" s="149" t="s">
        <v>7640</v>
      </c>
      <c r="B3576" s="149" t="s">
        <v>1379</v>
      </c>
      <c r="C3576" s="149">
        <v>11</v>
      </c>
      <c r="D3576" s="149">
        <v>310</v>
      </c>
      <c r="E3576" s="149">
        <v>0</v>
      </c>
      <c r="F3576" s="149">
        <v>220400</v>
      </c>
      <c r="G3576" s="149">
        <v>51311</v>
      </c>
      <c r="H3576" s="150" t="str">
        <f t="shared" si="165"/>
        <v>5</v>
      </c>
      <c r="I3576" s="150" t="str">
        <f t="shared" si="166"/>
        <v>51</v>
      </c>
      <c r="J3576" s="150" t="str">
        <f t="shared" si="167"/>
        <v>513</v>
      </c>
      <c r="K3576" s="150" t="s">
        <v>7730</v>
      </c>
      <c r="L3576" s="149" t="s">
        <v>1380</v>
      </c>
      <c r="M3576" s="151">
        <v>24451.919999999998</v>
      </c>
    </row>
    <row r="3577" spans="1:13" s="149" customFormat="1" x14ac:dyDescent="0.25">
      <c r="A3577" s="149" t="s">
        <v>7640</v>
      </c>
      <c r="B3577" s="149" t="s">
        <v>1381</v>
      </c>
      <c r="C3577" s="149">
        <v>11</v>
      </c>
      <c r="D3577" s="149">
        <v>310</v>
      </c>
      <c r="E3577" s="149">
        <v>0</v>
      </c>
      <c r="F3577" s="149">
        <v>220400</v>
      </c>
      <c r="G3577" s="149">
        <v>53110</v>
      </c>
      <c r="H3577" s="150" t="str">
        <f t="shared" si="165"/>
        <v>5</v>
      </c>
      <c r="I3577" s="150" t="str">
        <f t="shared" si="166"/>
        <v>53</v>
      </c>
      <c r="J3577" s="150" t="str">
        <f t="shared" si="167"/>
        <v>531</v>
      </c>
      <c r="K3577" s="150" t="s">
        <v>8841</v>
      </c>
      <c r="L3577" s="149" t="s">
        <v>1382</v>
      </c>
      <c r="M3577" s="151">
        <v>17828.91</v>
      </c>
    </row>
    <row r="3578" spans="1:13" s="149" customFormat="1" x14ac:dyDescent="0.25">
      <c r="A3578" s="149" t="s">
        <v>7640</v>
      </c>
      <c r="B3578" s="149" t="s">
        <v>1383</v>
      </c>
      <c r="C3578" s="149">
        <v>11</v>
      </c>
      <c r="D3578" s="149">
        <v>310</v>
      </c>
      <c r="E3578" s="149">
        <v>0</v>
      </c>
      <c r="F3578" s="149">
        <v>220400</v>
      </c>
      <c r="G3578" s="149">
        <v>53330</v>
      </c>
      <c r="H3578" s="150" t="str">
        <f t="shared" si="165"/>
        <v>5</v>
      </c>
      <c r="I3578" s="150" t="str">
        <f t="shared" si="166"/>
        <v>53</v>
      </c>
      <c r="J3578" s="150" t="str">
        <f t="shared" si="167"/>
        <v>533</v>
      </c>
      <c r="K3578" s="150" t="s">
        <v>8842</v>
      </c>
      <c r="L3578" s="149" t="s">
        <v>1384</v>
      </c>
      <c r="M3578" s="151">
        <v>1588.99</v>
      </c>
    </row>
    <row r="3579" spans="1:13" s="149" customFormat="1" x14ac:dyDescent="0.25">
      <c r="A3579" s="149" t="s">
        <v>7640</v>
      </c>
      <c r="B3579" s="149" t="s">
        <v>1385</v>
      </c>
      <c r="C3579" s="149">
        <v>11</v>
      </c>
      <c r="D3579" s="149">
        <v>310</v>
      </c>
      <c r="E3579" s="149">
        <v>0</v>
      </c>
      <c r="F3579" s="149">
        <v>220400</v>
      </c>
      <c r="G3579" s="149">
        <v>53410</v>
      </c>
      <c r="H3579" s="150" t="str">
        <f t="shared" si="165"/>
        <v>5</v>
      </c>
      <c r="I3579" s="150" t="str">
        <f t="shared" si="166"/>
        <v>53</v>
      </c>
      <c r="J3579" s="150" t="str">
        <f t="shared" si="167"/>
        <v>534</v>
      </c>
      <c r="K3579" s="150" t="s">
        <v>8843</v>
      </c>
      <c r="L3579" s="149" t="s">
        <v>1386</v>
      </c>
      <c r="M3579" s="151">
        <v>26666.240000000002</v>
      </c>
    </row>
    <row r="3580" spans="1:13" s="149" customFormat="1" x14ac:dyDescent="0.25">
      <c r="A3580" s="149" t="s">
        <v>7640</v>
      </c>
      <c r="B3580" s="149" t="s">
        <v>1387</v>
      </c>
      <c r="C3580" s="149">
        <v>11</v>
      </c>
      <c r="D3580" s="149">
        <v>310</v>
      </c>
      <c r="E3580" s="149">
        <v>0</v>
      </c>
      <c r="F3580" s="149">
        <v>220400</v>
      </c>
      <c r="G3580" s="149">
        <v>53510</v>
      </c>
      <c r="H3580" s="150" t="str">
        <f t="shared" si="165"/>
        <v>5</v>
      </c>
      <c r="I3580" s="150" t="str">
        <f t="shared" si="166"/>
        <v>53</v>
      </c>
      <c r="J3580" s="150" t="str">
        <f t="shared" si="167"/>
        <v>535</v>
      </c>
      <c r="K3580" s="150" t="s">
        <v>8844</v>
      </c>
      <c r="L3580" s="149" t="s">
        <v>1388</v>
      </c>
      <c r="M3580" s="151">
        <v>55.2</v>
      </c>
    </row>
    <row r="3581" spans="1:13" s="149" customFormat="1" x14ac:dyDescent="0.25">
      <c r="A3581" s="149" t="s">
        <v>7640</v>
      </c>
      <c r="B3581" s="149" t="s">
        <v>1389</v>
      </c>
      <c r="C3581" s="149">
        <v>11</v>
      </c>
      <c r="D3581" s="149">
        <v>310</v>
      </c>
      <c r="E3581" s="149">
        <v>0</v>
      </c>
      <c r="F3581" s="149">
        <v>220400</v>
      </c>
      <c r="G3581" s="149">
        <v>53610</v>
      </c>
      <c r="H3581" s="150" t="str">
        <f t="shared" si="165"/>
        <v>5</v>
      </c>
      <c r="I3581" s="150" t="str">
        <f t="shared" si="166"/>
        <v>53</v>
      </c>
      <c r="J3581" s="150" t="str">
        <f t="shared" si="167"/>
        <v>536</v>
      </c>
      <c r="K3581" s="150" t="s">
        <v>8845</v>
      </c>
      <c r="L3581" s="149" t="s">
        <v>1390</v>
      </c>
      <c r="M3581" s="151">
        <v>2087.42</v>
      </c>
    </row>
    <row r="3582" spans="1:13" s="149" customFormat="1" x14ac:dyDescent="0.25">
      <c r="A3582" s="149" t="s">
        <v>7640</v>
      </c>
      <c r="B3582" s="149" t="s">
        <v>1391</v>
      </c>
      <c r="C3582" s="149">
        <v>11</v>
      </c>
      <c r="D3582" s="149">
        <v>310</v>
      </c>
      <c r="E3582" s="149">
        <v>0</v>
      </c>
      <c r="F3582" s="149">
        <v>220400</v>
      </c>
      <c r="G3582" s="149">
        <v>55630</v>
      </c>
      <c r="H3582" s="150" t="str">
        <f t="shared" si="165"/>
        <v>5</v>
      </c>
      <c r="I3582" s="150" t="str">
        <f t="shared" si="166"/>
        <v>55</v>
      </c>
      <c r="J3582" s="150" t="str">
        <f t="shared" si="167"/>
        <v>556</v>
      </c>
      <c r="K3582" s="150" t="s">
        <v>8206</v>
      </c>
      <c r="L3582" s="149" t="s">
        <v>1392</v>
      </c>
      <c r="M3582" s="151">
        <v>0</v>
      </c>
    </row>
    <row r="3583" spans="1:13" s="149" customFormat="1" x14ac:dyDescent="0.25">
      <c r="A3583" s="149" t="s">
        <v>7640</v>
      </c>
      <c r="B3583" s="149" t="s">
        <v>1393</v>
      </c>
      <c r="C3583" s="149">
        <v>11</v>
      </c>
      <c r="D3583" s="149">
        <v>310</v>
      </c>
      <c r="E3583" s="149">
        <v>0</v>
      </c>
      <c r="F3583" s="149">
        <v>220500</v>
      </c>
      <c r="G3583" s="149">
        <v>51100</v>
      </c>
      <c r="H3583" s="150" t="str">
        <f t="shared" si="165"/>
        <v>5</v>
      </c>
      <c r="I3583" s="150" t="str">
        <f t="shared" si="166"/>
        <v>51</v>
      </c>
      <c r="J3583" s="150" t="str">
        <f t="shared" si="167"/>
        <v>511</v>
      </c>
      <c r="K3583" s="150" t="s">
        <v>8846</v>
      </c>
      <c r="L3583" s="149" t="s">
        <v>1394</v>
      </c>
      <c r="M3583" s="151">
        <v>166677.57</v>
      </c>
    </row>
    <row r="3584" spans="1:13" s="149" customFormat="1" x14ac:dyDescent="0.25">
      <c r="A3584" s="149" t="s">
        <v>7640</v>
      </c>
      <c r="B3584" s="149" t="s">
        <v>1395</v>
      </c>
      <c r="C3584" s="149">
        <v>11</v>
      </c>
      <c r="D3584" s="149">
        <v>310</v>
      </c>
      <c r="E3584" s="149">
        <v>0</v>
      </c>
      <c r="F3584" s="149">
        <v>220500</v>
      </c>
      <c r="G3584" s="149">
        <v>51310</v>
      </c>
      <c r="H3584" s="150" t="str">
        <f t="shared" si="165"/>
        <v>5</v>
      </c>
      <c r="I3584" s="150" t="str">
        <f t="shared" si="166"/>
        <v>51</v>
      </c>
      <c r="J3584" s="150" t="str">
        <f t="shared" si="167"/>
        <v>513</v>
      </c>
      <c r="K3584" s="150" t="s">
        <v>7657</v>
      </c>
      <c r="L3584" s="149" t="s">
        <v>1396</v>
      </c>
      <c r="M3584" s="151">
        <v>58622.2</v>
      </c>
    </row>
    <row r="3585" spans="1:13" s="149" customFormat="1" x14ac:dyDescent="0.25">
      <c r="A3585" s="149" t="s">
        <v>7640</v>
      </c>
      <c r="B3585" s="149" t="s">
        <v>1397</v>
      </c>
      <c r="C3585" s="149">
        <v>11</v>
      </c>
      <c r="D3585" s="149">
        <v>310</v>
      </c>
      <c r="E3585" s="149">
        <v>0</v>
      </c>
      <c r="F3585" s="149">
        <v>220500</v>
      </c>
      <c r="G3585" s="149">
        <v>51311</v>
      </c>
      <c r="H3585" s="150" t="str">
        <f t="shared" si="165"/>
        <v>5</v>
      </c>
      <c r="I3585" s="150" t="str">
        <f t="shared" si="166"/>
        <v>51</v>
      </c>
      <c r="J3585" s="150" t="str">
        <f t="shared" si="167"/>
        <v>513</v>
      </c>
      <c r="K3585" s="150" t="s">
        <v>7731</v>
      </c>
      <c r="L3585" s="149" t="s">
        <v>411</v>
      </c>
      <c r="M3585" s="151">
        <v>106801.73</v>
      </c>
    </row>
    <row r="3586" spans="1:13" s="149" customFormat="1" x14ac:dyDescent="0.25">
      <c r="A3586" s="149" t="s">
        <v>7640</v>
      </c>
      <c r="B3586" s="149" t="s">
        <v>1398</v>
      </c>
      <c r="C3586" s="149">
        <v>11</v>
      </c>
      <c r="D3586" s="149">
        <v>310</v>
      </c>
      <c r="E3586" s="149">
        <v>0</v>
      </c>
      <c r="F3586" s="149">
        <v>220500</v>
      </c>
      <c r="G3586" s="149">
        <v>53110</v>
      </c>
      <c r="H3586" s="150" t="str">
        <f t="shared" si="165"/>
        <v>5</v>
      </c>
      <c r="I3586" s="150" t="str">
        <f t="shared" si="166"/>
        <v>53</v>
      </c>
      <c r="J3586" s="150" t="str">
        <f t="shared" si="167"/>
        <v>531</v>
      </c>
      <c r="K3586" s="150" t="s">
        <v>8847</v>
      </c>
      <c r="L3586" s="149" t="s">
        <v>413</v>
      </c>
      <c r="M3586" s="151">
        <v>47321.26</v>
      </c>
    </row>
    <row r="3587" spans="1:13" s="149" customFormat="1" x14ac:dyDescent="0.25">
      <c r="A3587" s="149" t="s">
        <v>7640</v>
      </c>
      <c r="B3587" s="149" t="s">
        <v>1399</v>
      </c>
      <c r="C3587" s="149">
        <v>11</v>
      </c>
      <c r="D3587" s="149">
        <v>310</v>
      </c>
      <c r="E3587" s="149">
        <v>0</v>
      </c>
      <c r="F3587" s="149">
        <v>220500</v>
      </c>
      <c r="G3587" s="149">
        <v>53310</v>
      </c>
      <c r="H3587" s="150" t="str">
        <f t="shared" ref="H3587:H3650" si="168">LEFT(G3587,1)</f>
        <v>5</v>
      </c>
      <c r="I3587" s="150" t="str">
        <f t="shared" ref="I3587:I3650" si="169">LEFT(G3587,2)</f>
        <v>53</v>
      </c>
      <c r="J3587" s="150" t="str">
        <f t="shared" ref="J3587:J3650" si="170">LEFT(G3587,3)</f>
        <v>533</v>
      </c>
      <c r="K3587" s="150" t="s">
        <v>8848</v>
      </c>
      <c r="L3587" s="149" t="s">
        <v>1400</v>
      </c>
      <c r="M3587" s="151">
        <v>2438.8000000000002</v>
      </c>
    </row>
    <row r="3588" spans="1:13" s="149" customFormat="1" x14ac:dyDescent="0.25">
      <c r="A3588" s="149" t="s">
        <v>7640</v>
      </c>
      <c r="B3588" s="149" t="s">
        <v>1401</v>
      </c>
      <c r="C3588" s="149">
        <v>11</v>
      </c>
      <c r="D3588" s="149">
        <v>310</v>
      </c>
      <c r="E3588" s="149">
        <v>0</v>
      </c>
      <c r="F3588" s="149">
        <v>220500</v>
      </c>
      <c r="G3588" s="149">
        <v>53330</v>
      </c>
      <c r="H3588" s="150" t="str">
        <f t="shared" si="168"/>
        <v>5</v>
      </c>
      <c r="I3588" s="150" t="str">
        <f t="shared" si="169"/>
        <v>53</v>
      </c>
      <c r="J3588" s="150" t="str">
        <f t="shared" si="170"/>
        <v>533</v>
      </c>
      <c r="K3588" s="150" t="s">
        <v>8849</v>
      </c>
      <c r="L3588" s="149" t="s">
        <v>415</v>
      </c>
      <c r="M3588" s="151">
        <v>4803.12</v>
      </c>
    </row>
    <row r="3589" spans="1:13" s="149" customFormat="1" x14ac:dyDescent="0.25">
      <c r="A3589" s="149" t="s">
        <v>7640</v>
      </c>
      <c r="B3589" s="149" t="s">
        <v>1402</v>
      </c>
      <c r="C3589" s="149">
        <v>11</v>
      </c>
      <c r="D3589" s="149">
        <v>310</v>
      </c>
      <c r="E3589" s="149">
        <v>0</v>
      </c>
      <c r="F3589" s="149">
        <v>220500</v>
      </c>
      <c r="G3589" s="149">
        <v>53410</v>
      </c>
      <c r="H3589" s="150" t="str">
        <f t="shared" si="168"/>
        <v>5</v>
      </c>
      <c r="I3589" s="150" t="str">
        <f t="shared" si="169"/>
        <v>53</v>
      </c>
      <c r="J3589" s="150" t="str">
        <f t="shared" si="170"/>
        <v>534</v>
      </c>
      <c r="K3589" s="150" t="s">
        <v>8850</v>
      </c>
      <c r="L3589" s="149" t="s">
        <v>1403</v>
      </c>
      <c r="M3589" s="151">
        <v>37235.760000000002</v>
      </c>
    </row>
    <row r="3590" spans="1:13" s="149" customFormat="1" x14ac:dyDescent="0.25">
      <c r="A3590" s="149" t="s">
        <v>7640</v>
      </c>
      <c r="B3590" s="149" t="s">
        <v>1404</v>
      </c>
      <c r="C3590" s="149">
        <v>11</v>
      </c>
      <c r="D3590" s="149">
        <v>310</v>
      </c>
      <c r="E3590" s="149">
        <v>0</v>
      </c>
      <c r="F3590" s="149">
        <v>220500</v>
      </c>
      <c r="G3590" s="149">
        <v>53510</v>
      </c>
      <c r="H3590" s="150" t="str">
        <f t="shared" si="168"/>
        <v>5</v>
      </c>
      <c r="I3590" s="150" t="str">
        <f t="shared" si="169"/>
        <v>53</v>
      </c>
      <c r="J3590" s="150" t="str">
        <f t="shared" si="170"/>
        <v>535</v>
      </c>
      <c r="K3590" s="150" t="s">
        <v>8851</v>
      </c>
      <c r="L3590" s="149" t="s">
        <v>417</v>
      </c>
      <c r="M3590" s="151">
        <v>166</v>
      </c>
    </row>
    <row r="3591" spans="1:13" s="149" customFormat="1" x14ac:dyDescent="0.25">
      <c r="A3591" s="149" t="s">
        <v>7640</v>
      </c>
      <c r="B3591" s="149" t="s">
        <v>1405</v>
      </c>
      <c r="C3591" s="149">
        <v>11</v>
      </c>
      <c r="D3591" s="149">
        <v>310</v>
      </c>
      <c r="E3591" s="149">
        <v>0</v>
      </c>
      <c r="F3591" s="149">
        <v>220500</v>
      </c>
      <c r="G3591" s="149">
        <v>53610</v>
      </c>
      <c r="H3591" s="150" t="str">
        <f t="shared" si="168"/>
        <v>5</v>
      </c>
      <c r="I3591" s="150" t="str">
        <f t="shared" si="169"/>
        <v>53</v>
      </c>
      <c r="J3591" s="150" t="str">
        <f t="shared" si="170"/>
        <v>536</v>
      </c>
      <c r="K3591" s="150" t="s">
        <v>8852</v>
      </c>
      <c r="L3591" s="149" t="s">
        <v>419</v>
      </c>
      <c r="M3591" s="151">
        <v>6279.41</v>
      </c>
    </row>
    <row r="3592" spans="1:13" s="149" customFormat="1" x14ac:dyDescent="0.25">
      <c r="A3592" s="149" t="s">
        <v>7640</v>
      </c>
      <c r="B3592" s="149" t="s">
        <v>1406</v>
      </c>
      <c r="C3592" s="149">
        <v>11</v>
      </c>
      <c r="D3592" s="149">
        <v>310</v>
      </c>
      <c r="E3592" s="149">
        <v>0</v>
      </c>
      <c r="F3592" s="149">
        <v>220500</v>
      </c>
      <c r="G3592" s="149">
        <v>55630</v>
      </c>
      <c r="H3592" s="150" t="str">
        <f t="shared" si="168"/>
        <v>5</v>
      </c>
      <c r="I3592" s="150" t="str">
        <f t="shared" si="169"/>
        <v>55</v>
      </c>
      <c r="J3592" s="150" t="str">
        <f t="shared" si="170"/>
        <v>556</v>
      </c>
      <c r="K3592" s="150" t="s">
        <v>8207</v>
      </c>
      <c r="L3592" s="149" t="s">
        <v>421</v>
      </c>
      <c r="M3592" s="151">
        <v>0</v>
      </c>
    </row>
    <row r="3593" spans="1:13" s="149" customFormat="1" x14ac:dyDescent="0.25">
      <c r="A3593" s="149" t="s">
        <v>7640</v>
      </c>
      <c r="B3593" s="149" t="s">
        <v>1407</v>
      </c>
      <c r="C3593" s="149">
        <v>11</v>
      </c>
      <c r="D3593" s="149">
        <v>310</v>
      </c>
      <c r="E3593" s="149">
        <v>0</v>
      </c>
      <c r="F3593" s="149">
        <v>220700</v>
      </c>
      <c r="G3593" s="149">
        <v>51100</v>
      </c>
      <c r="H3593" s="150" t="str">
        <f t="shared" si="168"/>
        <v>5</v>
      </c>
      <c r="I3593" s="150" t="str">
        <f t="shared" si="169"/>
        <v>51</v>
      </c>
      <c r="J3593" s="150" t="str">
        <f t="shared" si="170"/>
        <v>511</v>
      </c>
      <c r="K3593" s="150" t="s">
        <v>8853</v>
      </c>
      <c r="L3593" s="149" t="s">
        <v>1408</v>
      </c>
      <c r="M3593" s="151">
        <v>85251.33</v>
      </c>
    </row>
    <row r="3594" spans="1:13" s="149" customFormat="1" x14ac:dyDescent="0.25">
      <c r="A3594" s="149" t="s">
        <v>7640</v>
      </c>
      <c r="B3594" s="149" t="s">
        <v>1409</v>
      </c>
      <c r="C3594" s="149">
        <v>11</v>
      </c>
      <c r="D3594" s="149">
        <v>310</v>
      </c>
      <c r="E3594" s="149">
        <v>0</v>
      </c>
      <c r="F3594" s="149">
        <v>220700</v>
      </c>
      <c r="G3594" s="149">
        <v>51310</v>
      </c>
      <c r="H3594" s="150" t="str">
        <f t="shared" si="168"/>
        <v>5</v>
      </c>
      <c r="I3594" s="150" t="str">
        <f t="shared" si="169"/>
        <v>51</v>
      </c>
      <c r="J3594" s="150" t="str">
        <f t="shared" si="170"/>
        <v>513</v>
      </c>
      <c r="K3594" s="150" t="s">
        <v>7658</v>
      </c>
      <c r="L3594" s="149" t="s">
        <v>1410</v>
      </c>
      <c r="M3594" s="151">
        <v>12233.96</v>
      </c>
    </row>
    <row r="3595" spans="1:13" s="149" customFormat="1" x14ac:dyDescent="0.25">
      <c r="A3595" s="149" t="s">
        <v>7640</v>
      </c>
      <c r="B3595" s="149" t="s">
        <v>1411</v>
      </c>
      <c r="C3595" s="149">
        <v>11</v>
      </c>
      <c r="D3595" s="149">
        <v>310</v>
      </c>
      <c r="E3595" s="149">
        <v>0</v>
      </c>
      <c r="F3595" s="149">
        <v>220700</v>
      </c>
      <c r="G3595" s="149">
        <v>51311</v>
      </c>
      <c r="H3595" s="150" t="str">
        <f t="shared" si="168"/>
        <v>5</v>
      </c>
      <c r="I3595" s="150" t="str">
        <f t="shared" si="169"/>
        <v>51</v>
      </c>
      <c r="J3595" s="150" t="str">
        <f t="shared" si="170"/>
        <v>513</v>
      </c>
      <c r="K3595" s="150" t="s">
        <v>7732</v>
      </c>
      <c r="L3595" s="149" t="s">
        <v>433</v>
      </c>
      <c r="M3595" s="151">
        <v>68214.05</v>
      </c>
    </row>
    <row r="3596" spans="1:13" s="149" customFormat="1" x14ac:dyDescent="0.25">
      <c r="A3596" s="149" t="s">
        <v>7640</v>
      </c>
      <c r="B3596" s="149" t="s">
        <v>1412</v>
      </c>
      <c r="C3596" s="149">
        <v>11</v>
      </c>
      <c r="D3596" s="149">
        <v>310</v>
      </c>
      <c r="E3596" s="149">
        <v>0</v>
      </c>
      <c r="F3596" s="149">
        <v>220700</v>
      </c>
      <c r="G3596" s="149">
        <v>53110</v>
      </c>
      <c r="H3596" s="150" t="str">
        <f t="shared" si="168"/>
        <v>5</v>
      </c>
      <c r="I3596" s="150" t="str">
        <f t="shared" si="169"/>
        <v>53</v>
      </c>
      <c r="J3596" s="150" t="str">
        <f t="shared" si="170"/>
        <v>531</v>
      </c>
      <c r="K3596" s="150" t="s">
        <v>8854</v>
      </c>
      <c r="L3596" s="149" t="s">
        <v>435</v>
      </c>
      <c r="M3596" s="151">
        <v>25413.22</v>
      </c>
    </row>
    <row r="3597" spans="1:13" s="149" customFormat="1" x14ac:dyDescent="0.25">
      <c r="A3597" s="149" t="s">
        <v>7640</v>
      </c>
      <c r="B3597" s="149" t="s">
        <v>1413</v>
      </c>
      <c r="C3597" s="149">
        <v>11</v>
      </c>
      <c r="D3597" s="149">
        <v>310</v>
      </c>
      <c r="E3597" s="149">
        <v>0</v>
      </c>
      <c r="F3597" s="149">
        <v>220700</v>
      </c>
      <c r="G3597" s="149">
        <v>53330</v>
      </c>
      <c r="H3597" s="150" t="str">
        <f t="shared" si="168"/>
        <v>5</v>
      </c>
      <c r="I3597" s="150" t="str">
        <f t="shared" si="169"/>
        <v>53</v>
      </c>
      <c r="J3597" s="150" t="str">
        <f t="shared" si="170"/>
        <v>533</v>
      </c>
      <c r="K3597" s="150" t="s">
        <v>8855</v>
      </c>
      <c r="L3597" s="149" t="s">
        <v>437</v>
      </c>
      <c r="M3597" s="151">
        <v>2390.29</v>
      </c>
    </row>
    <row r="3598" spans="1:13" s="149" customFormat="1" x14ac:dyDescent="0.25">
      <c r="A3598" s="149" t="s">
        <v>7640</v>
      </c>
      <c r="B3598" s="149" t="s">
        <v>1414</v>
      </c>
      <c r="C3598" s="149">
        <v>11</v>
      </c>
      <c r="D3598" s="149">
        <v>310</v>
      </c>
      <c r="E3598" s="149">
        <v>0</v>
      </c>
      <c r="F3598" s="149">
        <v>220700</v>
      </c>
      <c r="G3598" s="149">
        <v>53410</v>
      </c>
      <c r="H3598" s="150" t="str">
        <f t="shared" si="168"/>
        <v>5</v>
      </c>
      <c r="I3598" s="150" t="str">
        <f t="shared" si="169"/>
        <v>53</v>
      </c>
      <c r="J3598" s="150" t="str">
        <f t="shared" si="170"/>
        <v>534</v>
      </c>
      <c r="K3598" s="150" t="s">
        <v>8856</v>
      </c>
      <c r="L3598" s="149" t="s">
        <v>1415</v>
      </c>
      <c r="M3598" s="151">
        <v>26666.240000000002</v>
      </c>
    </row>
    <row r="3599" spans="1:13" s="149" customFormat="1" x14ac:dyDescent="0.25">
      <c r="A3599" s="149" t="s">
        <v>7640</v>
      </c>
      <c r="B3599" s="149" t="s">
        <v>1416</v>
      </c>
      <c r="C3599" s="149">
        <v>11</v>
      </c>
      <c r="D3599" s="149">
        <v>310</v>
      </c>
      <c r="E3599" s="149">
        <v>0</v>
      </c>
      <c r="F3599" s="149">
        <v>220700</v>
      </c>
      <c r="G3599" s="149">
        <v>53510</v>
      </c>
      <c r="H3599" s="150" t="str">
        <f t="shared" si="168"/>
        <v>5</v>
      </c>
      <c r="I3599" s="150" t="str">
        <f t="shared" si="169"/>
        <v>53</v>
      </c>
      <c r="J3599" s="150" t="str">
        <f t="shared" si="170"/>
        <v>535</v>
      </c>
      <c r="K3599" s="150" t="s">
        <v>8857</v>
      </c>
      <c r="L3599" s="149" t="s">
        <v>439</v>
      </c>
      <c r="M3599" s="151">
        <v>82.83</v>
      </c>
    </row>
    <row r="3600" spans="1:13" s="149" customFormat="1" x14ac:dyDescent="0.25">
      <c r="A3600" s="149" t="s">
        <v>7640</v>
      </c>
      <c r="B3600" s="149" t="s">
        <v>1417</v>
      </c>
      <c r="C3600" s="149">
        <v>11</v>
      </c>
      <c r="D3600" s="149">
        <v>310</v>
      </c>
      <c r="E3600" s="149">
        <v>0</v>
      </c>
      <c r="F3600" s="149">
        <v>220700</v>
      </c>
      <c r="G3600" s="149">
        <v>53610</v>
      </c>
      <c r="H3600" s="150" t="str">
        <f t="shared" si="168"/>
        <v>5</v>
      </c>
      <c r="I3600" s="150" t="str">
        <f t="shared" si="169"/>
        <v>53</v>
      </c>
      <c r="J3600" s="150" t="str">
        <f t="shared" si="170"/>
        <v>536</v>
      </c>
      <c r="K3600" s="150" t="s">
        <v>8858</v>
      </c>
      <c r="L3600" s="149" t="s">
        <v>441</v>
      </c>
      <c r="M3600" s="151">
        <v>3133.06</v>
      </c>
    </row>
    <row r="3601" spans="1:13" s="149" customFormat="1" x14ac:dyDescent="0.25">
      <c r="A3601" s="149" t="s">
        <v>7640</v>
      </c>
      <c r="B3601" s="149" t="s">
        <v>1418</v>
      </c>
      <c r="C3601" s="149">
        <v>11</v>
      </c>
      <c r="D3601" s="149">
        <v>310</v>
      </c>
      <c r="E3601" s="149">
        <v>0</v>
      </c>
      <c r="F3601" s="149">
        <v>220700</v>
      </c>
      <c r="G3601" s="149">
        <v>55630</v>
      </c>
      <c r="H3601" s="150" t="str">
        <f t="shared" si="168"/>
        <v>5</v>
      </c>
      <c r="I3601" s="150" t="str">
        <f t="shared" si="169"/>
        <v>55</v>
      </c>
      <c r="J3601" s="150" t="str">
        <f t="shared" si="170"/>
        <v>556</v>
      </c>
      <c r="K3601" s="150" t="s">
        <v>8208</v>
      </c>
      <c r="L3601" s="149" t="s">
        <v>443</v>
      </c>
      <c r="M3601" s="151">
        <v>0</v>
      </c>
    </row>
    <row r="3602" spans="1:13" s="149" customFormat="1" x14ac:dyDescent="0.25">
      <c r="A3602" s="149" t="s">
        <v>7640</v>
      </c>
      <c r="B3602" s="149" t="s">
        <v>1419</v>
      </c>
      <c r="C3602" s="149">
        <v>11</v>
      </c>
      <c r="D3602" s="149">
        <v>310</v>
      </c>
      <c r="E3602" s="149">
        <v>0</v>
      </c>
      <c r="F3602" s="149">
        <v>220800</v>
      </c>
      <c r="G3602" s="149">
        <v>51100</v>
      </c>
      <c r="H3602" s="150" t="str">
        <f t="shared" si="168"/>
        <v>5</v>
      </c>
      <c r="I3602" s="150" t="str">
        <f t="shared" si="169"/>
        <v>51</v>
      </c>
      <c r="J3602" s="150" t="str">
        <f t="shared" si="170"/>
        <v>511</v>
      </c>
      <c r="K3602" s="150" t="s">
        <v>8859</v>
      </c>
      <c r="L3602" s="149" t="s">
        <v>1420</v>
      </c>
      <c r="M3602" s="151">
        <v>81736.38</v>
      </c>
    </row>
    <row r="3603" spans="1:13" s="149" customFormat="1" x14ac:dyDescent="0.25">
      <c r="A3603" s="149" t="s">
        <v>7640</v>
      </c>
      <c r="B3603" s="149" t="s">
        <v>1421</v>
      </c>
      <c r="C3603" s="149">
        <v>11</v>
      </c>
      <c r="D3603" s="149">
        <v>310</v>
      </c>
      <c r="E3603" s="149">
        <v>0</v>
      </c>
      <c r="F3603" s="149">
        <v>220800</v>
      </c>
      <c r="G3603" s="149">
        <v>51310</v>
      </c>
      <c r="H3603" s="150" t="str">
        <f t="shared" si="168"/>
        <v>5</v>
      </c>
      <c r="I3603" s="150" t="str">
        <f t="shared" si="169"/>
        <v>51</v>
      </c>
      <c r="J3603" s="150" t="str">
        <f t="shared" si="170"/>
        <v>513</v>
      </c>
      <c r="K3603" s="150" t="s">
        <v>7659</v>
      </c>
      <c r="L3603" s="149" t="s">
        <v>1422</v>
      </c>
      <c r="M3603" s="151">
        <v>11046.38</v>
      </c>
    </row>
    <row r="3604" spans="1:13" s="149" customFormat="1" x14ac:dyDescent="0.25">
      <c r="A3604" s="149" t="s">
        <v>7640</v>
      </c>
      <c r="B3604" s="149" t="s">
        <v>1423</v>
      </c>
      <c r="C3604" s="149">
        <v>11</v>
      </c>
      <c r="D3604" s="149">
        <v>310</v>
      </c>
      <c r="E3604" s="149">
        <v>0</v>
      </c>
      <c r="F3604" s="149">
        <v>220800</v>
      </c>
      <c r="G3604" s="149">
        <v>51311</v>
      </c>
      <c r="H3604" s="150" t="str">
        <f t="shared" si="168"/>
        <v>5</v>
      </c>
      <c r="I3604" s="150" t="str">
        <f t="shared" si="169"/>
        <v>51</v>
      </c>
      <c r="J3604" s="150" t="str">
        <f t="shared" si="170"/>
        <v>513</v>
      </c>
      <c r="K3604" s="150" t="s">
        <v>7733</v>
      </c>
      <c r="L3604" s="149" t="s">
        <v>445</v>
      </c>
      <c r="M3604" s="151">
        <v>39974.29</v>
      </c>
    </row>
    <row r="3605" spans="1:13" s="149" customFormat="1" x14ac:dyDescent="0.25">
      <c r="A3605" s="149" t="s">
        <v>7640</v>
      </c>
      <c r="B3605" s="149" t="s">
        <v>1424</v>
      </c>
      <c r="C3605" s="149">
        <v>11</v>
      </c>
      <c r="D3605" s="149">
        <v>310</v>
      </c>
      <c r="E3605" s="149">
        <v>0</v>
      </c>
      <c r="F3605" s="149">
        <v>220800</v>
      </c>
      <c r="G3605" s="149">
        <v>53110</v>
      </c>
      <c r="H3605" s="150" t="str">
        <f t="shared" si="168"/>
        <v>5</v>
      </c>
      <c r="I3605" s="150" t="str">
        <f t="shared" si="169"/>
        <v>53</v>
      </c>
      <c r="J3605" s="150" t="str">
        <f t="shared" si="170"/>
        <v>531</v>
      </c>
      <c r="K3605" s="150" t="s">
        <v>8860</v>
      </c>
      <c r="L3605" s="149" t="s">
        <v>447</v>
      </c>
      <c r="M3605" s="151">
        <v>19887.8</v>
      </c>
    </row>
    <row r="3606" spans="1:13" s="149" customFormat="1" x14ac:dyDescent="0.25">
      <c r="A3606" s="149" t="s">
        <v>7640</v>
      </c>
      <c r="B3606" s="149" t="s">
        <v>1425</v>
      </c>
      <c r="C3606" s="149">
        <v>11</v>
      </c>
      <c r="D3606" s="149">
        <v>310</v>
      </c>
      <c r="E3606" s="149">
        <v>0</v>
      </c>
      <c r="F3606" s="149">
        <v>220800</v>
      </c>
      <c r="G3606" s="149">
        <v>53310</v>
      </c>
      <c r="H3606" s="150" t="str">
        <f t="shared" si="168"/>
        <v>5</v>
      </c>
      <c r="I3606" s="150" t="str">
        <f t="shared" si="169"/>
        <v>53</v>
      </c>
      <c r="J3606" s="150" t="str">
        <f t="shared" si="170"/>
        <v>533</v>
      </c>
      <c r="K3606" s="150" t="s">
        <v>8861</v>
      </c>
      <c r="L3606" s="149" t="s">
        <v>1426</v>
      </c>
      <c r="M3606" s="151">
        <v>603.59</v>
      </c>
    </row>
    <row r="3607" spans="1:13" s="149" customFormat="1" x14ac:dyDescent="0.25">
      <c r="A3607" s="149" t="s">
        <v>7640</v>
      </c>
      <c r="B3607" s="149" t="s">
        <v>1427</v>
      </c>
      <c r="C3607" s="149">
        <v>11</v>
      </c>
      <c r="D3607" s="149">
        <v>310</v>
      </c>
      <c r="E3607" s="149">
        <v>0</v>
      </c>
      <c r="F3607" s="149">
        <v>220800</v>
      </c>
      <c r="G3607" s="149">
        <v>53330</v>
      </c>
      <c r="H3607" s="150" t="str">
        <f t="shared" si="168"/>
        <v>5</v>
      </c>
      <c r="I3607" s="150" t="str">
        <f t="shared" si="169"/>
        <v>53</v>
      </c>
      <c r="J3607" s="150" t="str">
        <f t="shared" si="170"/>
        <v>533</v>
      </c>
      <c r="K3607" s="150" t="s">
        <v>8862</v>
      </c>
      <c r="L3607" s="149" t="s">
        <v>449</v>
      </c>
      <c r="M3607" s="151">
        <v>1913.2</v>
      </c>
    </row>
    <row r="3608" spans="1:13" s="149" customFormat="1" x14ac:dyDescent="0.25">
      <c r="A3608" s="149" t="s">
        <v>7640</v>
      </c>
      <c r="B3608" s="149" t="s">
        <v>1428</v>
      </c>
      <c r="C3608" s="149">
        <v>11</v>
      </c>
      <c r="D3608" s="149">
        <v>310</v>
      </c>
      <c r="E3608" s="149">
        <v>0</v>
      </c>
      <c r="F3608" s="149">
        <v>220800</v>
      </c>
      <c r="G3608" s="149">
        <v>53410</v>
      </c>
      <c r="H3608" s="150" t="str">
        <f t="shared" si="168"/>
        <v>5</v>
      </c>
      <c r="I3608" s="150" t="str">
        <f t="shared" si="169"/>
        <v>53</v>
      </c>
      <c r="J3608" s="150" t="str">
        <f t="shared" si="170"/>
        <v>534</v>
      </c>
      <c r="K3608" s="150" t="s">
        <v>8863</v>
      </c>
      <c r="L3608" s="149" t="s">
        <v>1429</v>
      </c>
      <c r="M3608" s="151">
        <v>26666.240000000002</v>
      </c>
    </row>
    <row r="3609" spans="1:13" s="149" customFormat="1" x14ac:dyDescent="0.25">
      <c r="A3609" s="149" t="s">
        <v>7640</v>
      </c>
      <c r="B3609" s="149" t="s">
        <v>1430</v>
      </c>
      <c r="C3609" s="149">
        <v>11</v>
      </c>
      <c r="D3609" s="149">
        <v>310</v>
      </c>
      <c r="E3609" s="149">
        <v>0</v>
      </c>
      <c r="F3609" s="149">
        <v>220800</v>
      </c>
      <c r="G3609" s="149">
        <v>53510</v>
      </c>
      <c r="H3609" s="150" t="str">
        <f t="shared" si="168"/>
        <v>5</v>
      </c>
      <c r="I3609" s="150" t="str">
        <f t="shared" si="169"/>
        <v>53</v>
      </c>
      <c r="J3609" s="150" t="str">
        <f t="shared" si="170"/>
        <v>535</v>
      </c>
      <c r="K3609" s="150" t="s">
        <v>8864</v>
      </c>
      <c r="L3609" s="149" t="s">
        <v>451</v>
      </c>
      <c r="M3609" s="151">
        <v>66.36</v>
      </c>
    </row>
    <row r="3610" spans="1:13" s="149" customFormat="1" x14ac:dyDescent="0.25">
      <c r="A3610" s="149" t="s">
        <v>7640</v>
      </c>
      <c r="B3610" s="149" t="s">
        <v>1431</v>
      </c>
      <c r="C3610" s="149">
        <v>11</v>
      </c>
      <c r="D3610" s="149">
        <v>310</v>
      </c>
      <c r="E3610" s="149">
        <v>0</v>
      </c>
      <c r="F3610" s="149">
        <v>220800</v>
      </c>
      <c r="G3610" s="149">
        <v>53610</v>
      </c>
      <c r="H3610" s="150" t="str">
        <f t="shared" si="168"/>
        <v>5</v>
      </c>
      <c r="I3610" s="150" t="str">
        <f t="shared" si="169"/>
        <v>53</v>
      </c>
      <c r="J3610" s="150" t="str">
        <f t="shared" si="170"/>
        <v>536</v>
      </c>
      <c r="K3610" s="150" t="s">
        <v>8865</v>
      </c>
      <c r="L3610" s="149" t="s">
        <v>453</v>
      </c>
      <c r="M3610" s="151">
        <v>2510.23</v>
      </c>
    </row>
    <row r="3611" spans="1:13" s="149" customFormat="1" x14ac:dyDescent="0.25">
      <c r="A3611" s="149" t="s">
        <v>7640</v>
      </c>
      <c r="B3611" s="149" t="s">
        <v>1432</v>
      </c>
      <c r="C3611" s="149">
        <v>11</v>
      </c>
      <c r="D3611" s="149">
        <v>310</v>
      </c>
      <c r="E3611" s="149">
        <v>0</v>
      </c>
      <c r="F3611" s="149">
        <v>220800</v>
      </c>
      <c r="G3611" s="149">
        <v>55630</v>
      </c>
      <c r="H3611" s="150" t="str">
        <f t="shared" si="168"/>
        <v>5</v>
      </c>
      <c r="I3611" s="150" t="str">
        <f t="shared" si="169"/>
        <v>55</v>
      </c>
      <c r="J3611" s="150" t="str">
        <f t="shared" si="170"/>
        <v>556</v>
      </c>
      <c r="K3611" s="150" t="s">
        <v>8209</v>
      </c>
      <c r="L3611" s="149" t="s">
        <v>455</v>
      </c>
      <c r="M3611" s="151">
        <v>2.04</v>
      </c>
    </row>
    <row r="3612" spans="1:13" s="149" customFormat="1" x14ac:dyDescent="0.25">
      <c r="A3612" s="149" t="s">
        <v>7640</v>
      </c>
      <c r="B3612" s="149" t="s">
        <v>1433</v>
      </c>
      <c r="C3612" s="149">
        <v>11</v>
      </c>
      <c r="D3612" s="149">
        <v>320</v>
      </c>
      <c r="E3612" s="149">
        <v>0</v>
      </c>
      <c r="F3612" s="149">
        <v>83500</v>
      </c>
      <c r="G3612" s="149">
        <v>51100</v>
      </c>
      <c r="H3612" s="150" t="str">
        <f t="shared" si="168"/>
        <v>5</v>
      </c>
      <c r="I3612" s="150" t="str">
        <f t="shared" si="169"/>
        <v>51</v>
      </c>
      <c r="J3612" s="150" t="str">
        <f t="shared" si="170"/>
        <v>511</v>
      </c>
      <c r="K3612" s="150" t="s">
        <v>8866</v>
      </c>
      <c r="L3612" s="149" t="s">
        <v>1434</v>
      </c>
      <c r="M3612" s="151">
        <v>222093.72</v>
      </c>
    </row>
    <row r="3613" spans="1:13" s="149" customFormat="1" x14ac:dyDescent="0.25">
      <c r="A3613" s="149" t="s">
        <v>7640</v>
      </c>
      <c r="B3613" s="149" t="s">
        <v>1435</v>
      </c>
      <c r="C3613" s="149">
        <v>11</v>
      </c>
      <c r="D3613" s="149">
        <v>320</v>
      </c>
      <c r="E3613" s="149">
        <v>0</v>
      </c>
      <c r="F3613" s="149">
        <v>83500</v>
      </c>
      <c r="G3613" s="149">
        <v>51310</v>
      </c>
      <c r="H3613" s="150" t="str">
        <f t="shared" si="168"/>
        <v>5</v>
      </c>
      <c r="I3613" s="150" t="str">
        <f t="shared" si="169"/>
        <v>51</v>
      </c>
      <c r="J3613" s="150" t="str">
        <f t="shared" si="170"/>
        <v>513</v>
      </c>
      <c r="K3613" s="150" t="s">
        <v>7660</v>
      </c>
      <c r="L3613" s="149" t="s">
        <v>1436</v>
      </c>
      <c r="M3613" s="151">
        <v>41662.660000000003</v>
      </c>
    </row>
    <row r="3614" spans="1:13" s="149" customFormat="1" x14ac:dyDescent="0.25">
      <c r="A3614" s="149" t="s">
        <v>7640</v>
      </c>
      <c r="B3614" s="149" t="s">
        <v>1437</v>
      </c>
      <c r="C3614" s="149">
        <v>11</v>
      </c>
      <c r="D3614" s="149">
        <v>320</v>
      </c>
      <c r="E3614" s="149">
        <v>0</v>
      </c>
      <c r="F3614" s="149">
        <v>83500</v>
      </c>
      <c r="G3614" s="149">
        <v>51311</v>
      </c>
      <c r="H3614" s="150" t="str">
        <f t="shared" si="168"/>
        <v>5</v>
      </c>
      <c r="I3614" s="150" t="str">
        <f t="shared" si="169"/>
        <v>51</v>
      </c>
      <c r="J3614" s="150" t="str">
        <f t="shared" si="170"/>
        <v>513</v>
      </c>
      <c r="K3614" s="150" t="s">
        <v>7734</v>
      </c>
      <c r="L3614" s="149" t="s">
        <v>1438</v>
      </c>
      <c r="M3614" s="151">
        <v>40113.5</v>
      </c>
    </row>
    <row r="3615" spans="1:13" s="149" customFormat="1" x14ac:dyDescent="0.25">
      <c r="A3615" s="149" t="s">
        <v>7640</v>
      </c>
      <c r="B3615" s="149" t="s">
        <v>1439</v>
      </c>
      <c r="C3615" s="149">
        <v>11</v>
      </c>
      <c r="D3615" s="149">
        <v>320</v>
      </c>
      <c r="E3615" s="149">
        <v>0</v>
      </c>
      <c r="F3615" s="149">
        <v>83500</v>
      </c>
      <c r="G3615" s="149">
        <v>51412</v>
      </c>
      <c r="H3615" s="150" t="str">
        <f t="shared" si="168"/>
        <v>5</v>
      </c>
      <c r="I3615" s="150" t="str">
        <f t="shared" si="169"/>
        <v>51</v>
      </c>
      <c r="J3615" s="150" t="str">
        <f t="shared" si="170"/>
        <v>514</v>
      </c>
      <c r="K3615" s="150" t="s">
        <v>7788</v>
      </c>
      <c r="L3615" s="149" t="s">
        <v>1440</v>
      </c>
      <c r="M3615" s="151">
        <v>0</v>
      </c>
    </row>
    <row r="3616" spans="1:13" s="149" customFormat="1" x14ac:dyDescent="0.25">
      <c r="A3616" s="149" t="s">
        <v>7640</v>
      </c>
      <c r="B3616" s="149" t="s">
        <v>1441</v>
      </c>
      <c r="C3616" s="149">
        <v>11</v>
      </c>
      <c r="D3616" s="149">
        <v>320</v>
      </c>
      <c r="E3616" s="149">
        <v>0</v>
      </c>
      <c r="F3616" s="149">
        <v>83500</v>
      </c>
      <c r="G3616" s="149">
        <v>52360</v>
      </c>
      <c r="H3616" s="150" t="str">
        <f t="shared" si="168"/>
        <v>5</v>
      </c>
      <c r="I3616" s="150" t="str">
        <f t="shared" si="169"/>
        <v>52</v>
      </c>
      <c r="J3616" s="150" t="str">
        <f t="shared" si="170"/>
        <v>523</v>
      </c>
      <c r="K3616" s="150" t="s">
        <v>7869</v>
      </c>
      <c r="L3616" s="149" t="s">
        <v>1442</v>
      </c>
      <c r="M3616" s="151">
        <v>0</v>
      </c>
    </row>
    <row r="3617" spans="1:13" s="149" customFormat="1" x14ac:dyDescent="0.25">
      <c r="A3617" s="149" t="s">
        <v>7640</v>
      </c>
      <c r="B3617" s="149" t="s">
        <v>1443</v>
      </c>
      <c r="C3617" s="149">
        <v>11</v>
      </c>
      <c r="D3617" s="149">
        <v>320</v>
      </c>
      <c r="E3617" s="149">
        <v>0</v>
      </c>
      <c r="F3617" s="149">
        <v>83500</v>
      </c>
      <c r="G3617" s="149">
        <v>52400</v>
      </c>
      <c r="H3617" s="150" t="str">
        <f t="shared" si="168"/>
        <v>5</v>
      </c>
      <c r="I3617" s="150" t="str">
        <f t="shared" si="169"/>
        <v>52</v>
      </c>
      <c r="J3617" s="150" t="str">
        <f t="shared" si="170"/>
        <v>524</v>
      </c>
      <c r="K3617" s="150" t="s">
        <v>7888</v>
      </c>
      <c r="L3617" s="149" t="s">
        <v>1444</v>
      </c>
      <c r="M3617" s="151">
        <v>0</v>
      </c>
    </row>
    <row r="3618" spans="1:13" s="149" customFormat="1" x14ac:dyDescent="0.25">
      <c r="A3618" s="149" t="s">
        <v>7640</v>
      </c>
      <c r="B3618" s="149" t="s">
        <v>1445</v>
      </c>
      <c r="C3618" s="149">
        <v>11</v>
      </c>
      <c r="D3618" s="149">
        <v>320</v>
      </c>
      <c r="E3618" s="149">
        <v>0</v>
      </c>
      <c r="F3618" s="149">
        <v>83500</v>
      </c>
      <c r="G3618" s="149">
        <v>53110</v>
      </c>
      <c r="H3618" s="150" t="str">
        <f t="shared" si="168"/>
        <v>5</v>
      </c>
      <c r="I3618" s="150" t="str">
        <f t="shared" si="169"/>
        <v>53</v>
      </c>
      <c r="J3618" s="150" t="str">
        <f t="shared" si="170"/>
        <v>531</v>
      </c>
      <c r="K3618" s="150" t="s">
        <v>8867</v>
      </c>
      <c r="L3618" s="149" t="s">
        <v>1446</v>
      </c>
      <c r="M3618" s="151">
        <v>49075.05</v>
      </c>
    </row>
    <row r="3619" spans="1:13" s="149" customFormat="1" x14ac:dyDescent="0.25">
      <c r="A3619" s="149" t="s">
        <v>7640</v>
      </c>
      <c r="B3619" s="149" t="s">
        <v>1447</v>
      </c>
      <c r="C3619" s="149">
        <v>11</v>
      </c>
      <c r="D3619" s="149">
        <v>320</v>
      </c>
      <c r="E3619" s="149">
        <v>0</v>
      </c>
      <c r="F3619" s="149">
        <v>83500</v>
      </c>
      <c r="G3619" s="149">
        <v>53120</v>
      </c>
      <c r="H3619" s="150" t="str">
        <f t="shared" si="168"/>
        <v>5</v>
      </c>
      <c r="I3619" s="150" t="str">
        <f t="shared" si="169"/>
        <v>53</v>
      </c>
      <c r="J3619" s="150" t="str">
        <f t="shared" si="170"/>
        <v>531</v>
      </c>
      <c r="K3619" s="150" t="s">
        <v>8868</v>
      </c>
      <c r="L3619" s="149" t="s">
        <v>1448</v>
      </c>
      <c r="M3619" s="151">
        <v>0</v>
      </c>
    </row>
    <row r="3620" spans="1:13" s="149" customFormat="1" x14ac:dyDescent="0.25">
      <c r="A3620" s="149" t="s">
        <v>7640</v>
      </c>
      <c r="B3620" s="149" t="s">
        <v>1449</v>
      </c>
      <c r="C3620" s="149">
        <v>11</v>
      </c>
      <c r="D3620" s="149">
        <v>320</v>
      </c>
      <c r="E3620" s="149">
        <v>0</v>
      </c>
      <c r="F3620" s="149">
        <v>83500</v>
      </c>
      <c r="G3620" s="149">
        <v>53310</v>
      </c>
      <c r="H3620" s="150" t="str">
        <f t="shared" si="168"/>
        <v>5</v>
      </c>
      <c r="I3620" s="150" t="str">
        <f t="shared" si="169"/>
        <v>53</v>
      </c>
      <c r="J3620" s="150" t="str">
        <f t="shared" si="170"/>
        <v>533</v>
      </c>
      <c r="K3620" s="150" t="s">
        <v>8869</v>
      </c>
      <c r="L3620" s="149" t="s">
        <v>1450</v>
      </c>
      <c r="M3620" s="151">
        <v>0</v>
      </c>
    </row>
    <row r="3621" spans="1:13" s="149" customFormat="1" x14ac:dyDescent="0.25">
      <c r="A3621" s="149" t="s">
        <v>7640</v>
      </c>
      <c r="B3621" s="149" t="s">
        <v>1451</v>
      </c>
      <c r="C3621" s="149">
        <v>11</v>
      </c>
      <c r="D3621" s="149">
        <v>320</v>
      </c>
      <c r="E3621" s="149">
        <v>0</v>
      </c>
      <c r="F3621" s="149">
        <v>83500</v>
      </c>
      <c r="G3621" s="149">
        <v>53320</v>
      </c>
      <c r="H3621" s="150" t="str">
        <f t="shared" si="168"/>
        <v>5</v>
      </c>
      <c r="I3621" s="150" t="str">
        <f t="shared" si="169"/>
        <v>53</v>
      </c>
      <c r="J3621" s="150" t="str">
        <f t="shared" si="170"/>
        <v>533</v>
      </c>
      <c r="K3621" s="150" t="s">
        <v>8870</v>
      </c>
      <c r="L3621" s="149" t="s">
        <v>1452</v>
      </c>
      <c r="M3621" s="151">
        <v>0</v>
      </c>
    </row>
    <row r="3622" spans="1:13" s="149" customFormat="1" x14ac:dyDescent="0.25">
      <c r="A3622" s="149" t="s">
        <v>7640</v>
      </c>
      <c r="B3622" s="149" t="s">
        <v>1453</v>
      </c>
      <c r="C3622" s="149">
        <v>11</v>
      </c>
      <c r="D3622" s="149">
        <v>320</v>
      </c>
      <c r="E3622" s="149">
        <v>0</v>
      </c>
      <c r="F3622" s="149">
        <v>83500</v>
      </c>
      <c r="G3622" s="149">
        <v>53330</v>
      </c>
      <c r="H3622" s="150" t="str">
        <f t="shared" si="168"/>
        <v>5</v>
      </c>
      <c r="I3622" s="150" t="str">
        <f t="shared" si="169"/>
        <v>53</v>
      </c>
      <c r="J3622" s="150" t="str">
        <f t="shared" si="170"/>
        <v>533</v>
      </c>
      <c r="K3622" s="150" t="s">
        <v>8871</v>
      </c>
      <c r="L3622" s="149" t="s">
        <v>1454</v>
      </c>
      <c r="M3622" s="151">
        <v>4386.88</v>
      </c>
    </row>
    <row r="3623" spans="1:13" s="149" customFormat="1" x14ac:dyDescent="0.25">
      <c r="A3623" s="149" t="s">
        <v>7640</v>
      </c>
      <c r="B3623" s="149" t="s">
        <v>1455</v>
      </c>
      <c r="C3623" s="149">
        <v>11</v>
      </c>
      <c r="D3623" s="149">
        <v>320</v>
      </c>
      <c r="E3623" s="149">
        <v>0</v>
      </c>
      <c r="F3623" s="149">
        <v>83500</v>
      </c>
      <c r="G3623" s="149">
        <v>53340</v>
      </c>
      <c r="H3623" s="150" t="str">
        <f t="shared" si="168"/>
        <v>5</v>
      </c>
      <c r="I3623" s="150" t="str">
        <f t="shared" si="169"/>
        <v>53</v>
      </c>
      <c r="J3623" s="150" t="str">
        <f t="shared" si="170"/>
        <v>533</v>
      </c>
      <c r="K3623" s="150" t="s">
        <v>8872</v>
      </c>
      <c r="L3623" s="149" t="s">
        <v>1456</v>
      </c>
      <c r="M3623" s="151">
        <v>0</v>
      </c>
    </row>
    <row r="3624" spans="1:13" s="149" customFormat="1" x14ac:dyDescent="0.25">
      <c r="A3624" s="149" t="s">
        <v>7640</v>
      </c>
      <c r="B3624" s="149" t="s">
        <v>1457</v>
      </c>
      <c r="C3624" s="149">
        <v>11</v>
      </c>
      <c r="D3624" s="149">
        <v>320</v>
      </c>
      <c r="E3624" s="149">
        <v>0</v>
      </c>
      <c r="F3624" s="149">
        <v>83500</v>
      </c>
      <c r="G3624" s="149">
        <v>53410</v>
      </c>
      <c r="H3624" s="150" t="str">
        <f t="shared" si="168"/>
        <v>5</v>
      </c>
      <c r="I3624" s="150" t="str">
        <f t="shared" si="169"/>
        <v>53</v>
      </c>
      <c r="J3624" s="150" t="str">
        <f t="shared" si="170"/>
        <v>534</v>
      </c>
      <c r="K3624" s="150" t="s">
        <v>8873</v>
      </c>
      <c r="L3624" s="149" t="s">
        <v>1458</v>
      </c>
      <c r="M3624" s="151">
        <v>57148.88</v>
      </c>
    </row>
    <row r="3625" spans="1:13" s="149" customFormat="1" x14ac:dyDescent="0.25">
      <c r="A3625" s="149" t="s">
        <v>7640</v>
      </c>
      <c r="B3625" s="149" t="s">
        <v>1459</v>
      </c>
      <c r="C3625" s="149">
        <v>11</v>
      </c>
      <c r="D3625" s="149">
        <v>320</v>
      </c>
      <c r="E3625" s="149">
        <v>0</v>
      </c>
      <c r="F3625" s="149">
        <v>83500</v>
      </c>
      <c r="G3625" s="149">
        <v>53510</v>
      </c>
      <c r="H3625" s="150" t="str">
        <f t="shared" si="168"/>
        <v>5</v>
      </c>
      <c r="I3625" s="150" t="str">
        <f t="shared" si="169"/>
        <v>53</v>
      </c>
      <c r="J3625" s="150" t="str">
        <f t="shared" si="170"/>
        <v>535</v>
      </c>
      <c r="K3625" s="150" t="s">
        <v>8874</v>
      </c>
      <c r="L3625" s="149" t="s">
        <v>1460</v>
      </c>
      <c r="M3625" s="151">
        <v>151.91</v>
      </c>
    </row>
    <row r="3626" spans="1:13" s="149" customFormat="1" x14ac:dyDescent="0.25">
      <c r="A3626" s="149" t="s">
        <v>7640</v>
      </c>
      <c r="B3626" s="149" t="s">
        <v>1461</v>
      </c>
      <c r="C3626" s="149">
        <v>11</v>
      </c>
      <c r="D3626" s="149">
        <v>320</v>
      </c>
      <c r="E3626" s="149">
        <v>0</v>
      </c>
      <c r="F3626" s="149">
        <v>83500</v>
      </c>
      <c r="G3626" s="149">
        <v>53520</v>
      </c>
      <c r="H3626" s="150" t="str">
        <f t="shared" si="168"/>
        <v>5</v>
      </c>
      <c r="I3626" s="150" t="str">
        <f t="shared" si="169"/>
        <v>53</v>
      </c>
      <c r="J3626" s="150" t="str">
        <f t="shared" si="170"/>
        <v>535</v>
      </c>
      <c r="K3626" s="150" t="s">
        <v>8875</v>
      </c>
      <c r="L3626" s="149" t="s">
        <v>1462</v>
      </c>
      <c r="M3626" s="151">
        <v>0</v>
      </c>
    </row>
    <row r="3627" spans="1:13" s="149" customFormat="1" x14ac:dyDescent="0.25">
      <c r="A3627" s="149" t="s">
        <v>7640</v>
      </c>
      <c r="B3627" s="149" t="s">
        <v>1463</v>
      </c>
      <c r="C3627" s="149">
        <v>11</v>
      </c>
      <c r="D3627" s="149">
        <v>320</v>
      </c>
      <c r="E3627" s="149">
        <v>0</v>
      </c>
      <c r="F3627" s="149">
        <v>83500</v>
      </c>
      <c r="G3627" s="149">
        <v>53610</v>
      </c>
      <c r="H3627" s="150" t="str">
        <f t="shared" si="168"/>
        <v>5</v>
      </c>
      <c r="I3627" s="150" t="str">
        <f t="shared" si="169"/>
        <v>53</v>
      </c>
      <c r="J3627" s="150" t="str">
        <f t="shared" si="170"/>
        <v>536</v>
      </c>
      <c r="K3627" s="150" t="s">
        <v>8876</v>
      </c>
      <c r="L3627" s="149" t="s">
        <v>1464</v>
      </c>
      <c r="M3627" s="151">
        <v>5745.44</v>
      </c>
    </row>
    <row r="3628" spans="1:13" s="149" customFormat="1" x14ac:dyDescent="0.25">
      <c r="A3628" s="149" t="s">
        <v>7640</v>
      </c>
      <c r="B3628" s="149" t="s">
        <v>1465</v>
      </c>
      <c r="C3628" s="149">
        <v>11</v>
      </c>
      <c r="D3628" s="149">
        <v>320</v>
      </c>
      <c r="E3628" s="149">
        <v>0</v>
      </c>
      <c r="F3628" s="149">
        <v>83500</v>
      </c>
      <c r="G3628" s="149">
        <v>53620</v>
      </c>
      <c r="H3628" s="150" t="str">
        <f t="shared" si="168"/>
        <v>5</v>
      </c>
      <c r="I3628" s="150" t="str">
        <f t="shared" si="169"/>
        <v>53</v>
      </c>
      <c r="J3628" s="150" t="str">
        <f t="shared" si="170"/>
        <v>536</v>
      </c>
      <c r="K3628" s="150" t="s">
        <v>8877</v>
      </c>
      <c r="L3628" s="149" t="s">
        <v>1466</v>
      </c>
      <c r="M3628" s="151">
        <v>0</v>
      </c>
    </row>
    <row r="3629" spans="1:13" s="149" customFormat="1" x14ac:dyDescent="0.25">
      <c r="A3629" s="149" t="s">
        <v>7640</v>
      </c>
      <c r="B3629" s="149" t="s">
        <v>1467</v>
      </c>
      <c r="C3629" s="149">
        <v>11</v>
      </c>
      <c r="D3629" s="149">
        <v>320</v>
      </c>
      <c r="E3629" s="149">
        <v>0</v>
      </c>
      <c r="F3629" s="149">
        <v>83500</v>
      </c>
      <c r="G3629" s="149">
        <v>54300</v>
      </c>
      <c r="H3629" s="150" t="str">
        <f t="shared" si="168"/>
        <v>5</v>
      </c>
      <c r="I3629" s="150" t="str">
        <f t="shared" si="169"/>
        <v>54</v>
      </c>
      <c r="J3629" s="150" t="str">
        <f t="shared" si="170"/>
        <v>543</v>
      </c>
      <c r="K3629" s="150" t="s">
        <v>7936</v>
      </c>
      <c r="L3629" s="149" t="s">
        <v>1468</v>
      </c>
      <c r="M3629" s="151">
        <v>0</v>
      </c>
    </row>
    <row r="3630" spans="1:13" s="149" customFormat="1" x14ac:dyDescent="0.25">
      <c r="A3630" s="149" t="s">
        <v>7640</v>
      </c>
      <c r="B3630" s="149" t="s">
        <v>1469</v>
      </c>
      <c r="C3630" s="149">
        <v>11</v>
      </c>
      <c r="D3630" s="149">
        <v>320</v>
      </c>
      <c r="E3630" s="149">
        <v>0</v>
      </c>
      <c r="F3630" s="149">
        <v>83500</v>
      </c>
      <c r="G3630" s="149">
        <v>55309</v>
      </c>
      <c r="H3630" s="150" t="str">
        <f t="shared" si="168"/>
        <v>5</v>
      </c>
      <c r="I3630" s="150" t="str">
        <f t="shared" si="169"/>
        <v>55</v>
      </c>
      <c r="J3630" s="150" t="str">
        <f t="shared" si="170"/>
        <v>553</v>
      </c>
      <c r="K3630" s="150" t="s">
        <v>8105</v>
      </c>
      <c r="L3630" s="149" t="s">
        <v>1470</v>
      </c>
      <c r="M3630" s="151">
        <v>528.23</v>
      </c>
    </row>
    <row r="3631" spans="1:13" s="149" customFormat="1" x14ac:dyDescent="0.25">
      <c r="A3631" s="149" t="s">
        <v>7640</v>
      </c>
      <c r="B3631" s="149" t="s">
        <v>1471</v>
      </c>
      <c r="C3631" s="149">
        <v>11</v>
      </c>
      <c r="D3631" s="149">
        <v>320</v>
      </c>
      <c r="E3631" s="149">
        <v>0</v>
      </c>
      <c r="F3631" s="149">
        <v>83500</v>
      </c>
      <c r="G3631" s="149">
        <v>55630</v>
      </c>
      <c r="H3631" s="150" t="str">
        <f t="shared" si="168"/>
        <v>5</v>
      </c>
      <c r="I3631" s="150" t="str">
        <f t="shared" si="169"/>
        <v>55</v>
      </c>
      <c r="J3631" s="150" t="str">
        <f t="shared" si="170"/>
        <v>556</v>
      </c>
      <c r="K3631" s="150" t="s">
        <v>8210</v>
      </c>
      <c r="L3631" s="149" t="s">
        <v>1472</v>
      </c>
      <c r="M3631" s="151">
        <v>248.03</v>
      </c>
    </row>
    <row r="3632" spans="1:13" s="149" customFormat="1" x14ac:dyDescent="0.25">
      <c r="A3632" s="149" t="s">
        <v>7640</v>
      </c>
      <c r="B3632" s="149" t="s">
        <v>1473</v>
      </c>
      <c r="C3632" s="149">
        <v>11</v>
      </c>
      <c r="D3632" s="149">
        <v>320</v>
      </c>
      <c r="E3632" s="149">
        <v>0</v>
      </c>
      <c r="F3632" s="149">
        <v>83500</v>
      </c>
      <c r="G3632" s="149">
        <v>55651</v>
      </c>
      <c r="H3632" s="150" t="str">
        <f t="shared" si="168"/>
        <v>5</v>
      </c>
      <c r="I3632" s="150" t="str">
        <f t="shared" si="169"/>
        <v>55</v>
      </c>
      <c r="J3632" s="150" t="str">
        <f t="shared" si="170"/>
        <v>556</v>
      </c>
      <c r="K3632" s="150" t="s">
        <v>8318</v>
      </c>
      <c r="L3632" s="149" t="s">
        <v>1474</v>
      </c>
      <c r="M3632" s="151">
        <v>2500</v>
      </c>
    </row>
    <row r="3633" spans="1:13" s="149" customFormat="1" x14ac:dyDescent="0.25">
      <c r="A3633" s="149" t="s">
        <v>7640</v>
      </c>
      <c r="B3633" s="149" t="s">
        <v>1475</v>
      </c>
      <c r="C3633" s="149">
        <v>11</v>
      </c>
      <c r="D3633" s="149">
        <v>320</v>
      </c>
      <c r="E3633" s="149">
        <v>0</v>
      </c>
      <c r="F3633" s="149">
        <v>83510</v>
      </c>
      <c r="G3633" s="149">
        <v>51100</v>
      </c>
      <c r="H3633" s="150" t="str">
        <f t="shared" si="168"/>
        <v>5</v>
      </c>
      <c r="I3633" s="150" t="str">
        <f t="shared" si="169"/>
        <v>51</v>
      </c>
      <c r="J3633" s="150" t="str">
        <f t="shared" si="170"/>
        <v>511</v>
      </c>
      <c r="K3633" s="150" t="s">
        <v>8878</v>
      </c>
      <c r="L3633" s="149" t="s">
        <v>1476</v>
      </c>
      <c r="M3633" s="151">
        <v>70983.899999999994</v>
      </c>
    </row>
    <row r="3634" spans="1:13" s="149" customFormat="1" x14ac:dyDescent="0.25">
      <c r="A3634" s="149" t="s">
        <v>7640</v>
      </c>
      <c r="B3634" s="149" t="s">
        <v>1477</v>
      </c>
      <c r="C3634" s="149">
        <v>11</v>
      </c>
      <c r="D3634" s="149">
        <v>320</v>
      </c>
      <c r="E3634" s="149">
        <v>0</v>
      </c>
      <c r="F3634" s="149">
        <v>83510</v>
      </c>
      <c r="G3634" s="149">
        <v>51310</v>
      </c>
      <c r="H3634" s="150" t="str">
        <f t="shared" si="168"/>
        <v>5</v>
      </c>
      <c r="I3634" s="150" t="str">
        <f t="shared" si="169"/>
        <v>51</v>
      </c>
      <c r="J3634" s="150" t="str">
        <f t="shared" si="170"/>
        <v>513</v>
      </c>
      <c r="K3634" s="150" t="s">
        <v>7661</v>
      </c>
      <c r="L3634" s="149" t="s">
        <v>1478</v>
      </c>
      <c r="M3634" s="151">
        <v>5133.32</v>
      </c>
    </row>
    <row r="3635" spans="1:13" s="149" customFormat="1" x14ac:dyDescent="0.25">
      <c r="A3635" s="149" t="s">
        <v>7640</v>
      </c>
      <c r="B3635" s="149" t="s">
        <v>1479</v>
      </c>
      <c r="C3635" s="149">
        <v>11</v>
      </c>
      <c r="D3635" s="149">
        <v>320</v>
      </c>
      <c r="E3635" s="149">
        <v>0</v>
      </c>
      <c r="F3635" s="149">
        <v>83510</v>
      </c>
      <c r="G3635" s="149">
        <v>51311</v>
      </c>
      <c r="H3635" s="150" t="str">
        <f t="shared" si="168"/>
        <v>5</v>
      </c>
      <c r="I3635" s="150" t="str">
        <f t="shared" si="169"/>
        <v>51</v>
      </c>
      <c r="J3635" s="150" t="str">
        <f t="shared" si="170"/>
        <v>513</v>
      </c>
      <c r="K3635" s="150" t="s">
        <v>7735</v>
      </c>
      <c r="L3635" s="149" t="s">
        <v>1480</v>
      </c>
      <c r="M3635" s="151">
        <v>0</v>
      </c>
    </row>
    <row r="3636" spans="1:13" s="149" customFormat="1" x14ac:dyDescent="0.25">
      <c r="A3636" s="149" t="s">
        <v>7640</v>
      </c>
      <c r="B3636" s="149" t="s">
        <v>1481</v>
      </c>
      <c r="C3636" s="149">
        <v>11</v>
      </c>
      <c r="D3636" s="149">
        <v>320</v>
      </c>
      <c r="E3636" s="149">
        <v>0</v>
      </c>
      <c r="F3636" s="149">
        <v>83510</v>
      </c>
      <c r="G3636" s="149">
        <v>51412</v>
      </c>
      <c r="H3636" s="150" t="str">
        <f t="shared" si="168"/>
        <v>5</v>
      </c>
      <c r="I3636" s="150" t="str">
        <f t="shared" si="169"/>
        <v>51</v>
      </c>
      <c r="J3636" s="150" t="str">
        <f t="shared" si="170"/>
        <v>514</v>
      </c>
      <c r="K3636" s="150" t="s">
        <v>7789</v>
      </c>
      <c r="L3636" s="149" t="s">
        <v>1482</v>
      </c>
      <c r="M3636" s="151">
        <v>0</v>
      </c>
    </row>
    <row r="3637" spans="1:13" s="149" customFormat="1" x14ac:dyDescent="0.25">
      <c r="A3637" s="149" t="s">
        <v>7640</v>
      </c>
      <c r="B3637" s="149" t="s">
        <v>1483</v>
      </c>
      <c r="C3637" s="149">
        <v>11</v>
      </c>
      <c r="D3637" s="149">
        <v>320</v>
      </c>
      <c r="E3637" s="149">
        <v>0</v>
      </c>
      <c r="F3637" s="149">
        <v>83510</v>
      </c>
      <c r="G3637" s="149">
        <v>53110</v>
      </c>
      <c r="H3637" s="150" t="str">
        <f t="shared" si="168"/>
        <v>5</v>
      </c>
      <c r="I3637" s="150" t="str">
        <f t="shared" si="169"/>
        <v>53</v>
      </c>
      <c r="J3637" s="150" t="str">
        <f t="shared" si="170"/>
        <v>531</v>
      </c>
      <c r="K3637" s="150" t="s">
        <v>8879</v>
      </c>
      <c r="L3637" s="149" t="s">
        <v>1484</v>
      </c>
      <c r="M3637" s="151">
        <v>12292.95</v>
      </c>
    </row>
    <row r="3638" spans="1:13" s="149" customFormat="1" x14ac:dyDescent="0.25">
      <c r="A3638" s="149" t="s">
        <v>7640</v>
      </c>
      <c r="B3638" s="149" t="s">
        <v>1485</v>
      </c>
      <c r="C3638" s="149">
        <v>11</v>
      </c>
      <c r="D3638" s="149">
        <v>320</v>
      </c>
      <c r="E3638" s="149">
        <v>0</v>
      </c>
      <c r="F3638" s="149">
        <v>83510</v>
      </c>
      <c r="G3638" s="149">
        <v>53120</v>
      </c>
      <c r="H3638" s="150" t="str">
        <f t="shared" si="168"/>
        <v>5</v>
      </c>
      <c r="I3638" s="150" t="str">
        <f t="shared" si="169"/>
        <v>53</v>
      </c>
      <c r="J3638" s="150" t="str">
        <f t="shared" si="170"/>
        <v>531</v>
      </c>
      <c r="K3638" s="150" t="s">
        <v>8880</v>
      </c>
      <c r="L3638" s="149" t="s">
        <v>1486</v>
      </c>
      <c r="M3638" s="151">
        <v>0</v>
      </c>
    </row>
    <row r="3639" spans="1:13" s="149" customFormat="1" x14ac:dyDescent="0.25">
      <c r="A3639" s="149" t="s">
        <v>7640</v>
      </c>
      <c r="B3639" s="149" t="s">
        <v>1487</v>
      </c>
      <c r="C3639" s="149">
        <v>11</v>
      </c>
      <c r="D3639" s="149">
        <v>320</v>
      </c>
      <c r="E3639" s="149">
        <v>0</v>
      </c>
      <c r="F3639" s="149">
        <v>83510</v>
      </c>
      <c r="G3639" s="149">
        <v>53330</v>
      </c>
      <c r="H3639" s="150" t="str">
        <f t="shared" si="168"/>
        <v>5</v>
      </c>
      <c r="I3639" s="150" t="str">
        <f t="shared" si="169"/>
        <v>53</v>
      </c>
      <c r="J3639" s="150" t="str">
        <f t="shared" si="170"/>
        <v>533</v>
      </c>
      <c r="K3639" s="150" t="s">
        <v>8881</v>
      </c>
      <c r="L3639" s="149" t="s">
        <v>1488</v>
      </c>
      <c r="M3639" s="151">
        <v>1092.1300000000001</v>
      </c>
    </row>
    <row r="3640" spans="1:13" s="149" customFormat="1" x14ac:dyDescent="0.25">
      <c r="A3640" s="149" t="s">
        <v>7640</v>
      </c>
      <c r="B3640" s="149" t="s">
        <v>1489</v>
      </c>
      <c r="C3640" s="149">
        <v>11</v>
      </c>
      <c r="D3640" s="149">
        <v>320</v>
      </c>
      <c r="E3640" s="149">
        <v>0</v>
      </c>
      <c r="F3640" s="149">
        <v>83510</v>
      </c>
      <c r="G3640" s="149">
        <v>53340</v>
      </c>
      <c r="H3640" s="150" t="str">
        <f t="shared" si="168"/>
        <v>5</v>
      </c>
      <c r="I3640" s="150" t="str">
        <f t="shared" si="169"/>
        <v>53</v>
      </c>
      <c r="J3640" s="150" t="str">
        <f t="shared" si="170"/>
        <v>533</v>
      </c>
      <c r="K3640" s="150" t="s">
        <v>8882</v>
      </c>
      <c r="L3640" s="149" t="s">
        <v>1490</v>
      </c>
      <c r="M3640" s="151">
        <v>0</v>
      </c>
    </row>
    <row r="3641" spans="1:13" s="149" customFormat="1" x14ac:dyDescent="0.25">
      <c r="A3641" s="149" t="s">
        <v>7640</v>
      </c>
      <c r="B3641" s="149" t="s">
        <v>1491</v>
      </c>
      <c r="C3641" s="149">
        <v>11</v>
      </c>
      <c r="D3641" s="149">
        <v>320</v>
      </c>
      <c r="E3641" s="149">
        <v>0</v>
      </c>
      <c r="F3641" s="149">
        <v>83510</v>
      </c>
      <c r="G3641" s="149">
        <v>53410</v>
      </c>
      <c r="H3641" s="150" t="str">
        <f t="shared" si="168"/>
        <v>5</v>
      </c>
      <c r="I3641" s="150" t="str">
        <f t="shared" si="169"/>
        <v>53</v>
      </c>
      <c r="J3641" s="150" t="str">
        <f t="shared" si="170"/>
        <v>534</v>
      </c>
      <c r="K3641" s="150" t="s">
        <v>8883</v>
      </c>
      <c r="L3641" s="149" t="s">
        <v>1492</v>
      </c>
      <c r="M3641" s="151">
        <v>26666.240000000002</v>
      </c>
    </row>
    <row r="3642" spans="1:13" s="149" customFormat="1" x14ac:dyDescent="0.25">
      <c r="A3642" s="149" t="s">
        <v>7640</v>
      </c>
      <c r="B3642" s="149" t="s">
        <v>1493</v>
      </c>
      <c r="C3642" s="149">
        <v>11</v>
      </c>
      <c r="D3642" s="149">
        <v>320</v>
      </c>
      <c r="E3642" s="149">
        <v>0</v>
      </c>
      <c r="F3642" s="149">
        <v>83510</v>
      </c>
      <c r="G3642" s="149">
        <v>53510</v>
      </c>
      <c r="H3642" s="150" t="str">
        <f t="shared" si="168"/>
        <v>5</v>
      </c>
      <c r="I3642" s="150" t="str">
        <f t="shared" si="169"/>
        <v>53</v>
      </c>
      <c r="J3642" s="150" t="str">
        <f t="shared" si="170"/>
        <v>535</v>
      </c>
      <c r="K3642" s="150" t="s">
        <v>8884</v>
      </c>
      <c r="L3642" s="149" t="s">
        <v>1494</v>
      </c>
      <c r="M3642" s="151">
        <v>38.06</v>
      </c>
    </row>
    <row r="3643" spans="1:13" s="149" customFormat="1" x14ac:dyDescent="0.25">
      <c r="A3643" s="149" t="s">
        <v>7640</v>
      </c>
      <c r="B3643" s="149" t="s">
        <v>1495</v>
      </c>
      <c r="C3643" s="149">
        <v>11</v>
      </c>
      <c r="D3643" s="149">
        <v>320</v>
      </c>
      <c r="E3643" s="149">
        <v>0</v>
      </c>
      <c r="F3643" s="149">
        <v>83510</v>
      </c>
      <c r="G3643" s="149">
        <v>53520</v>
      </c>
      <c r="H3643" s="150" t="str">
        <f t="shared" si="168"/>
        <v>5</v>
      </c>
      <c r="I3643" s="150" t="str">
        <f t="shared" si="169"/>
        <v>53</v>
      </c>
      <c r="J3643" s="150" t="str">
        <f t="shared" si="170"/>
        <v>535</v>
      </c>
      <c r="K3643" s="150" t="s">
        <v>8885</v>
      </c>
      <c r="L3643" s="149" t="s">
        <v>1496</v>
      </c>
      <c r="M3643" s="151">
        <v>0</v>
      </c>
    </row>
    <row r="3644" spans="1:13" s="149" customFormat="1" x14ac:dyDescent="0.25">
      <c r="A3644" s="149" t="s">
        <v>7640</v>
      </c>
      <c r="B3644" s="149" t="s">
        <v>1497</v>
      </c>
      <c r="C3644" s="149">
        <v>11</v>
      </c>
      <c r="D3644" s="149">
        <v>320</v>
      </c>
      <c r="E3644" s="149">
        <v>0</v>
      </c>
      <c r="F3644" s="149">
        <v>83510</v>
      </c>
      <c r="G3644" s="149">
        <v>53610</v>
      </c>
      <c r="H3644" s="150" t="str">
        <f t="shared" si="168"/>
        <v>5</v>
      </c>
      <c r="I3644" s="150" t="str">
        <f t="shared" si="169"/>
        <v>53</v>
      </c>
      <c r="J3644" s="150" t="str">
        <f t="shared" si="170"/>
        <v>536</v>
      </c>
      <c r="K3644" s="150" t="s">
        <v>8886</v>
      </c>
      <c r="L3644" s="149" t="s">
        <v>1498</v>
      </c>
      <c r="M3644" s="151">
        <v>1439.21</v>
      </c>
    </row>
    <row r="3645" spans="1:13" s="149" customFormat="1" x14ac:dyDescent="0.25">
      <c r="A3645" s="149" t="s">
        <v>7640</v>
      </c>
      <c r="B3645" s="149" t="s">
        <v>1499</v>
      </c>
      <c r="C3645" s="149">
        <v>11</v>
      </c>
      <c r="D3645" s="149">
        <v>320</v>
      </c>
      <c r="E3645" s="149">
        <v>0</v>
      </c>
      <c r="F3645" s="149">
        <v>83510</v>
      </c>
      <c r="G3645" s="149">
        <v>53620</v>
      </c>
      <c r="H3645" s="150" t="str">
        <f t="shared" si="168"/>
        <v>5</v>
      </c>
      <c r="I3645" s="150" t="str">
        <f t="shared" si="169"/>
        <v>53</v>
      </c>
      <c r="J3645" s="150" t="str">
        <f t="shared" si="170"/>
        <v>536</v>
      </c>
      <c r="K3645" s="150" t="s">
        <v>8887</v>
      </c>
      <c r="L3645" s="149" t="s">
        <v>1500</v>
      </c>
      <c r="M3645" s="151">
        <v>0</v>
      </c>
    </row>
    <row r="3646" spans="1:13" s="149" customFormat="1" x14ac:dyDescent="0.25">
      <c r="A3646" s="149" t="s">
        <v>7640</v>
      </c>
      <c r="B3646" s="149" t="s">
        <v>1501</v>
      </c>
      <c r="C3646" s="149">
        <v>11</v>
      </c>
      <c r="D3646" s="149">
        <v>320</v>
      </c>
      <c r="E3646" s="149">
        <v>0</v>
      </c>
      <c r="F3646" s="149">
        <v>83510</v>
      </c>
      <c r="G3646" s="149">
        <v>55630</v>
      </c>
      <c r="H3646" s="150" t="str">
        <f t="shared" si="168"/>
        <v>5</v>
      </c>
      <c r="I3646" s="150" t="str">
        <f t="shared" si="169"/>
        <v>55</v>
      </c>
      <c r="J3646" s="150" t="str">
        <f t="shared" si="170"/>
        <v>556</v>
      </c>
      <c r="K3646" s="150" t="s">
        <v>8211</v>
      </c>
      <c r="L3646" s="149" t="s">
        <v>1502</v>
      </c>
      <c r="M3646" s="151">
        <v>0</v>
      </c>
    </row>
    <row r="3647" spans="1:13" s="149" customFormat="1" x14ac:dyDescent="0.25">
      <c r="A3647" s="149" t="s">
        <v>7640</v>
      </c>
      <c r="B3647" s="149" t="s">
        <v>1503</v>
      </c>
      <c r="C3647" s="149">
        <v>11</v>
      </c>
      <c r="D3647" s="149">
        <v>320</v>
      </c>
      <c r="E3647" s="149">
        <v>0</v>
      </c>
      <c r="F3647" s="149">
        <v>83550</v>
      </c>
      <c r="G3647" s="149">
        <v>51100</v>
      </c>
      <c r="H3647" s="150" t="str">
        <f t="shared" si="168"/>
        <v>5</v>
      </c>
      <c r="I3647" s="150" t="str">
        <f t="shared" si="169"/>
        <v>51</v>
      </c>
      <c r="J3647" s="150" t="str">
        <f t="shared" si="170"/>
        <v>511</v>
      </c>
      <c r="K3647" s="150" t="s">
        <v>8888</v>
      </c>
      <c r="L3647" s="149" t="s">
        <v>1504</v>
      </c>
      <c r="M3647" s="151">
        <v>441391.5</v>
      </c>
    </row>
    <row r="3648" spans="1:13" s="149" customFormat="1" x14ac:dyDescent="0.25">
      <c r="A3648" s="149" t="s">
        <v>7640</v>
      </c>
      <c r="B3648" s="149" t="s">
        <v>1505</v>
      </c>
      <c r="C3648" s="149">
        <v>11</v>
      </c>
      <c r="D3648" s="149">
        <v>320</v>
      </c>
      <c r="E3648" s="149">
        <v>0</v>
      </c>
      <c r="F3648" s="149">
        <v>83550</v>
      </c>
      <c r="G3648" s="149">
        <v>51310</v>
      </c>
      <c r="H3648" s="150" t="str">
        <f t="shared" si="168"/>
        <v>5</v>
      </c>
      <c r="I3648" s="150" t="str">
        <f t="shared" si="169"/>
        <v>51</v>
      </c>
      <c r="J3648" s="150" t="str">
        <f t="shared" si="170"/>
        <v>513</v>
      </c>
      <c r="K3648" s="150" t="s">
        <v>7662</v>
      </c>
      <c r="L3648" s="149" t="s">
        <v>1506</v>
      </c>
      <c r="M3648" s="151">
        <v>60715.06</v>
      </c>
    </row>
    <row r="3649" spans="1:13" s="149" customFormat="1" x14ac:dyDescent="0.25">
      <c r="A3649" s="149" t="s">
        <v>7640</v>
      </c>
      <c r="B3649" s="149" t="s">
        <v>1507</v>
      </c>
      <c r="C3649" s="149">
        <v>11</v>
      </c>
      <c r="D3649" s="149">
        <v>320</v>
      </c>
      <c r="E3649" s="149">
        <v>0</v>
      </c>
      <c r="F3649" s="149">
        <v>83550</v>
      </c>
      <c r="G3649" s="149">
        <v>51311</v>
      </c>
      <c r="H3649" s="150" t="str">
        <f t="shared" si="168"/>
        <v>5</v>
      </c>
      <c r="I3649" s="150" t="str">
        <f t="shared" si="169"/>
        <v>51</v>
      </c>
      <c r="J3649" s="150" t="str">
        <f t="shared" si="170"/>
        <v>513</v>
      </c>
      <c r="K3649" s="150" t="s">
        <v>7736</v>
      </c>
      <c r="L3649" s="149" t="s">
        <v>1508</v>
      </c>
      <c r="M3649" s="151">
        <v>51253.7</v>
      </c>
    </row>
    <row r="3650" spans="1:13" s="149" customFormat="1" x14ac:dyDescent="0.25">
      <c r="A3650" s="149" t="s">
        <v>7640</v>
      </c>
      <c r="B3650" s="149" t="s">
        <v>1509</v>
      </c>
      <c r="C3650" s="149">
        <v>11</v>
      </c>
      <c r="D3650" s="149">
        <v>320</v>
      </c>
      <c r="E3650" s="149">
        <v>0</v>
      </c>
      <c r="F3650" s="149">
        <v>83550</v>
      </c>
      <c r="G3650" s="149">
        <v>52400</v>
      </c>
      <c r="H3650" s="150" t="str">
        <f t="shared" si="168"/>
        <v>5</v>
      </c>
      <c r="I3650" s="150" t="str">
        <f t="shared" si="169"/>
        <v>52</v>
      </c>
      <c r="J3650" s="150" t="str">
        <f t="shared" si="170"/>
        <v>524</v>
      </c>
      <c r="K3650" s="150" t="s">
        <v>7889</v>
      </c>
      <c r="L3650" s="149" t="s">
        <v>1510</v>
      </c>
      <c r="M3650" s="151">
        <v>2000</v>
      </c>
    </row>
    <row r="3651" spans="1:13" s="149" customFormat="1" x14ac:dyDescent="0.25">
      <c r="A3651" s="149" t="s">
        <v>7640</v>
      </c>
      <c r="B3651" s="149" t="s">
        <v>1511</v>
      </c>
      <c r="C3651" s="149">
        <v>11</v>
      </c>
      <c r="D3651" s="149">
        <v>320</v>
      </c>
      <c r="E3651" s="149">
        <v>0</v>
      </c>
      <c r="F3651" s="149">
        <v>83550</v>
      </c>
      <c r="G3651" s="149">
        <v>53110</v>
      </c>
      <c r="H3651" s="150" t="str">
        <f t="shared" ref="H3651:H3714" si="171">LEFT(G3651,1)</f>
        <v>5</v>
      </c>
      <c r="I3651" s="150" t="str">
        <f t="shared" ref="I3651:I3714" si="172">LEFT(G3651,2)</f>
        <v>53</v>
      </c>
      <c r="J3651" s="150" t="str">
        <f t="shared" ref="J3651:J3714" si="173">LEFT(G3651,3)</f>
        <v>531</v>
      </c>
      <c r="K3651" s="150" t="s">
        <v>8889</v>
      </c>
      <c r="L3651" s="149" t="s">
        <v>1512</v>
      </c>
      <c r="M3651" s="151">
        <v>87625.04</v>
      </c>
    </row>
    <row r="3652" spans="1:13" s="149" customFormat="1" x14ac:dyDescent="0.25">
      <c r="A3652" s="149" t="s">
        <v>7640</v>
      </c>
      <c r="B3652" s="149" t="s">
        <v>1513</v>
      </c>
      <c r="C3652" s="149">
        <v>11</v>
      </c>
      <c r="D3652" s="149">
        <v>320</v>
      </c>
      <c r="E3652" s="149">
        <v>0</v>
      </c>
      <c r="F3652" s="149">
        <v>83550</v>
      </c>
      <c r="G3652" s="149">
        <v>53310</v>
      </c>
      <c r="H3652" s="150" t="str">
        <f t="shared" si="171"/>
        <v>5</v>
      </c>
      <c r="I3652" s="150" t="str">
        <f t="shared" si="172"/>
        <v>53</v>
      </c>
      <c r="J3652" s="150" t="str">
        <f t="shared" si="173"/>
        <v>533</v>
      </c>
      <c r="K3652" s="150" t="s">
        <v>8890</v>
      </c>
      <c r="L3652" s="149" t="s">
        <v>1514</v>
      </c>
      <c r="M3652" s="151">
        <v>792.99</v>
      </c>
    </row>
    <row r="3653" spans="1:13" s="149" customFormat="1" x14ac:dyDescent="0.25">
      <c r="A3653" s="149" t="s">
        <v>7640</v>
      </c>
      <c r="B3653" s="149" t="s">
        <v>1515</v>
      </c>
      <c r="C3653" s="149">
        <v>11</v>
      </c>
      <c r="D3653" s="149">
        <v>320</v>
      </c>
      <c r="E3653" s="149">
        <v>0</v>
      </c>
      <c r="F3653" s="149">
        <v>83550</v>
      </c>
      <c r="G3653" s="149">
        <v>53330</v>
      </c>
      <c r="H3653" s="150" t="str">
        <f t="shared" si="171"/>
        <v>5</v>
      </c>
      <c r="I3653" s="150" t="str">
        <f t="shared" si="172"/>
        <v>53</v>
      </c>
      <c r="J3653" s="150" t="str">
        <f t="shared" si="173"/>
        <v>533</v>
      </c>
      <c r="K3653" s="150" t="s">
        <v>8891</v>
      </c>
      <c r="L3653" s="149" t="s">
        <v>1516</v>
      </c>
      <c r="M3653" s="151">
        <v>8009.01</v>
      </c>
    </row>
    <row r="3654" spans="1:13" s="149" customFormat="1" x14ac:dyDescent="0.25">
      <c r="A3654" s="149" t="s">
        <v>7640</v>
      </c>
      <c r="B3654" s="149" t="s">
        <v>1517</v>
      </c>
      <c r="C3654" s="149">
        <v>11</v>
      </c>
      <c r="D3654" s="149">
        <v>320</v>
      </c>
      <c r="E3654" s="149">
        <v>0</v>
      </c>
      <c r="F3654" s="149">
        <v>83550</v>
      </c>
      <c r="G3654" s="149">
        <v>53410</v>
      </c>
      <c r="H3654" s="150" t="str">
        <f t="shared" si="171"/>
        <v>5</v>
      </c>
      <c r="I3654" s="150" t="str">
        <f t="shared" si="172"/>
        <v>53</v>
      </c>
      <c r="J3654" s="150" t="str">
        <f t="shared" si="173"/>
        <v>534</v>
      </c>
      <c r="K3654" s="150" t="s">
        <v>8892</v>
      </c>
      <c r="L3654" s="149" t="s">
        <v>1518</v>
      </c>
      <c r="M3654" s="151">
        <v>114979.31</v>
      </c>
    </row>
    <row r="3655" spans="1:13" s="149" customFormat="1" x14ac:dyDescent="0.25">
      <c r="A3655" s="149" t="s">
        <v>7640</v>
      </c>
      <c r="B3655" s="149" t="s">
        <v>1519</v>
      </c>
      <c r="C3655" s="149">
        <v>11</v>
      </c>
      <c r="D3655" s="149">
        <v>320</v>
      </c>
      <c r="E3655" s="149">
        <v>0</v>
      </c>
      <c r="F3655" s="149">
        <v>83550</v>
      </c>
      <c r="G3655" s="149">
        <v>53510</v>
      </c>
      <c r="H3655" s="150" t="str">
        <f t="shared" si="171"/>
        <v>5</v>
      </c>
      <c r="I3655" s="150" t="str">
        <f t="shared" si="172"/>
        <v>53</v>
      </c>
      <c r="J3655" s="150" t="str">
        <f t="shared" si="173"/>
        <v>535</v>
      </c>
      <c r="K3655" s="150" t="s">
        <v>8893</v>
      </c>
      <c r="L3655" s="149" t="s">
        <v>1520</v>
      </c>
      <c r="M3655" s="151">
        <v>277.67</v>
      </c>
    </row>
    <row r="3656" spans="1:13" s="149" customFormat="1" x14ac:dyDescent="0.25">
      <c r="A3656" s="149" t="s">
        <v>7640</v>
      </c>
      <c r="B3656" s="149" t="s">
        <v>1521</v>
      </c>
      <c r="C3656" s="149">
        <v>11</v>
      </c>
      <c r="D3656" s="149">
        <v>320</v>
      </c>
      <c r="E3656" s="149">
        <v>0</v>
      </c>
      <c r="F3656" s="149">
        <v>83550</v>
      </c>
      <c r="G3656" s="149">
        <v>53610</v>
      </c>
      <c r="H3656" s="150" t="str">
        <f t="shared" si="171"/>
        <v>5</v>
      </c>
      <c r="I3656" s="150" t="str">
        <f t="shared" si="172"/>
        <v>53</v>
      </c>
      <c r="J3656" s="150" t="str">
        <f t="shared" si="173"/>
        <v>536</v>
      </c>
      <c r="K3656" s="150" t="s">
        <v>8894</v>
      </c>
      <c r="L3656" s="149" t="s">
        <v>1522</v>
      </c>
      <c r="M3656" s="151">
        <v>10500.88</v>
      </c>
    </row>
    <row r="3657" spans="1:13" s="149" customFormat="1" x14ac:dyDescent="0.25">
      <c r="A3657" s="149" t="s">
        <v>7640</v>
      </c>
      <c r="B3657" s="149" t="s">
        <v>1523</v>
      </c>
      <c r="C3657" s="149">
        <v>11</v>
      </c>
      <c r="D3657" s="149">
        <v>320</v>
      </c>
      <c r="E3657" s="149">
        <v>0</v>
      </c>
      <c r="F3657" s="149">
        <v>83550</v>
      </c>
      <c r="G3657" s="149">
        <v>55630</v>
      </c>
      <c r="H3657" s="150" t="str">
        <f t="shared" si="171"/>
        <v>5</v>
      </c>
      <c r="I3657" s="150" t="str">
        <f t="shared" si="172"/>
        <v>55</v>
      </c>
      <c r="J3657" s="150" t="str">
        <f t="shared" si="173"/>
        <v>556</v>
      </c>
      <c r="K3657" s="150" t="s">
        <v>8212</v>
      </c>
      <c r="L3657" s="149" t="s">
        <v>1524</v>
      </c>
      <c r="M3657" s="151">
        <v>64.44</v>
      </c>
    </row>
    <row r="3658" spans="1:13" s="149" customFormat="1" x14ac:dyDescent="0.25">
      <c r="A3658" s="149" t="s">
        <v>7640</v>
      </c>
      <c r="B3658" s="149" t="s">
        <v>1525</v>
      </c>
      <c r="C3658" s="149">
        <v>11</v>
      </c>
      <c r="D3658" s="149">
        <v>320</v>
      </c>
      <c r="E3658" s="149">
        <v>0</v>
      </c>
      <c r="F3658" s="149">
        <v>83700</v>
      </c>
      <c r="G3658" s="149">
        <v>51310</v>
      </c>
      <c r="H3658" s="150" t="str">
        <f t="shared" si="171"/>
        <v>5</v>
      </c>
      <c r="I3658" s="150" t="str">
        <f t="shared" si="172"/>
        <v>51</v>
      </c>
      <c r="J3658" s="150" t="str">
        <f t="shared" si="173"/>
        <v>513</v>
      </c>
      <c r="K3658" s="150" t="s">
        <v>7663</v>
      </c>
      <c r="L3658" s="149" t="s">
        <v>1526</v>
      </c>
      <c r="M3658" s="151">
        <v>0</v>
      </c>
    </row>
    <row r="3659" spans="1:13" s="149" customFormat="1" x14ac:dyDescent="0.25">
      <c r="A3659" s="149" t="s">
        <v>7640</v>
      </c>
      <c r="B3659" s="149" t="s">
        <v>1527</v>
      </c>
      <c r="C3659" s="149">
        <v>11</v>
      </c>
      <c r="D3659" s="149">
        <v>320</v>
      </c>
      <c r="E3659" s="149">
        <v>0</v>
      </c>
      <c r="F3659" s="149">
        <v>83700</v>
      </c>
      <c r="G3659" s="149">
        <v>51311</v>
      </c>
      <c r="H3659" s="150" t="str">
        <f t="shared" si="171"/>
        <v>5</v>
      </c>
      <c r="I3659" s="150" t="str">
        <f t="shared" si="172"/>
        <v>51</v>
      </c>
      <c r="J3659" s="150" t="str">
        <f t="shared" si="173"/>
        <v>513</v>
      </c>
      <c r="K3659" s="150" t="s">
        <v>7737</v>
      </c>
      <c r="L3659" s="149" t="s">
        <v>1528</v>
      </c>
      <c r="M3659" s="151">
        <v>10660.7</v>
      </c>
    </row>
    <row r="3660" spans="1:13" s="149" customFormat="1" x14ac:dyDescent="0.25">
      <c r="A3660" s="149" t="s">
        <v>7640</v>
      </c>
      <c r="B3660" s="149" t="s">
        <v>1529</v>
      </c>
      <c r="C3660" s="149">
        <v>11</v>
      </c>
      <c r="D3660" s="149">
        <v>320</v>
      </c>
      <c r="E3660" s="149">
        <v>0</v>
      </c>
      <c r="F3660" s="149">
        <v>83700</v>
      </c>
      <c r="G3660" s="149">
        <v>53110</v>
      </c>
      <c r="H3660" s="150" t="str">
        <f t="shared" si="171"/>
        <v>5</v>
      </c>
      <c r="I3660" s="150" t="str">
        <f t="shared" si="172"/>
        <v>53</v>
      </c>
      <c r="J3660" s="150" t="str">
        <f t="shared" si="173"/>
        <v>531</v>
      </c>
      <c r="K3660" s="150" t="s">
        <v>8895</v>
      </c>
      <c r="L3660" s="149" t="s">
        <v>1530</v>
      </c>
      <c r="M3660" s="151">
        <v>1721.69</v>
      </c>
    </row>
    <row r="3661" spans="1:13" s="149" customFormat="1" x14ac:dyDescent="0.25">
      <c r="A3661" s="149" t="s">
        <v>7640</v>
      </c>
      <c r="B3661" s="149" t="s">
        <v>1531</v>
      </c>
      <c r="C3661" s="149">
        <v>11</v>
      </c>
      <c r="D3661" s="149">
        <v>320</v>
      </c>
      <c r="E3661" s="149">
        <v>0</v>
      </c>
      <c r="F3661" s="149">
        <v>83700</v>
      </c>
      <c r="G3661" s="149">
        <v>53330</v>
      </c>
      <c r="H3661" s="150" t="str">
        <f t="shared" si="171"/>
        <v>5</v>
      </c>
      <c r="I3661" s="150" t="str">
        <f t="shared" si="172"/>
        <v>53</v>
      </c>
      <c r="J3661" s="150" t="str">
        <f t="shared" si="173"/>
        <v>533</v>
      </c>
      <c r="K3661" s="150" t="s">
        <v>8896</v>
      </c>
      <c r="L3661" s="149" t="s">
        <v>1532</v>
      </c>
      <c r="M3661" s="151">
        <v>154.56</v>
      </c>
    </row>
    <row r="3662" spans="1:13" s="149" customFormat="1" x14ac:dyDescent="0.25">
      <c r="A3662" s="149" t="s">
        <v>7640</v>
      </c>
      <c r="B3662" s="149" t="s">
        <v>1533</v>
      </c>
      <c r="C3662" s="149">
        <v>11</v>
      </c>
      <c r="D3662" s="149">
        <v>320</v>
      </c>
      <c r="E3662" s="149">
        <v>0</v>
      </c>
      <c r="F3662" s="149">
        <v>83700</v>
      </c>
      <c r="G3662" s="149">
        <v>53510</v>
      </c>
      <c r="H3662" s="150" t="str">
        <f t="shared" si="171"/>
        <v>5</v>
      </c>
      <c r="I3662" s="150" t="str">
        <f t="shared" si="172"/>
        <v>53</v>
      </c>
      <c r="J3662" s="150" t="str">
        <f t="shared" si="173"/>
        <v>535</v>
      </c>
      <c r="K3662" s="150" t="s">
        <v>8897</v>
      </c>
      <c r="L3662" s="149" t="s">
        <v>1534</v>
      </c>
      <c r="M3662" s="151">
        <v>5.33</v>
      </c>
    </row>
    <row r="3663" spans="1:13" s="149" customFormat="1" x14ac:dyDescent="0.25">
      <c r="A3663" s="149" t="s">
        <v>7640</v>
      </c>
      <c r="B3663" s="149" t="s">
        <v>1535</v>
      </c>
      <c r="C3663" s="149">
        <v>11</v>
      </c>
      <c r="D3663" s="149">
        <v>320</v>
      </c>
      <c r="E3663" s="149">
        <v>0</v>
      </c>
      <c r="F3663" s="149">
        <v>83700</v>
      </c>
      <c r="G3663" s="149">
        <v>53610</v>
      </c>
      <c r="H3663" s="150" t="str">
        <f t="shared" si="171"/>
        <v>5</v>
      </c>
      <c r="I3663" s="150" t="str">
        <f t="shared" si="172"/>
        <v>53</v>
      </c>
      <c r="J3663" s="150" t="str">
        <f t="shared" si="173"/>
        <v>536</v>
      </c>
      <c r="K3663" s="150" t="s">
        <v>8898</v>
      </c>
      <c r="L3663" s="149" t="s">
        <v>1536</v>
      </c>
      <c r="M3663" s="151">
        <v>201.58</v>
      </c>
    </row>
    <row r="3664" spans="1:13" s="149" customFormat="1" x14ac:dyDescent="0.25">
      <c r="A3664" s="149" t="s">
        <v>7640</v>
      </c>
      <c r="B3664" s="149" t="s">
        <v>1537</v>
      </c>
      <c r="C3664" s="149">
        <v>11</v>
      </c>
      <c r="D3664" s="149">
        <v>320</v>
      </c>
      <c r="E3664" s="149">
        <v>0</v>
      </c>
      <c r="F3664" s="149">
        <v>83700</v>
      </c>
      <c r="G3664" s="149">
        <v>55630</v>
      </c>
      <c r="H3664" s="150" t="str">
        <f t="shared" si="171"/>
        <v>5</v>
      </c>
      <c r="I3664" s="150" t="str">
        <f t="shared" si="172"/>
        <v>55</v>
      </c>
      <c r="J3664" s="150" t="str">
        <f t="shared" si="173"/>
        <v>556</v>
      </c>
      <c r="K3664" s="150" t="s">
        <v>8213</v>
      </c>
      <c r="L3664" s="149" t="s">
        <v>1538</v>
      </c>
      <c r="M3664" s="151">
        <v>0.52</v>
      </c>
    </row>
    <row r="3665" spans="1:13" s="149" customFormat="1" x14ac:dyDescent="0.25">
      <c r="A3665" s="149" t="s">
        <v>7640</v>
      </c>
      <c r="B3665" s="149" t="s">
        <v>1539</v>
      </c>
      <c r="C3665" s="149">
        <v>11</v>
      </c>
      <c r="D3665" s="149">
        <v>320</v>
      </c>
      <c r="E3665" s="149">
        <v>0</v>
      </c>
      <c r="F3665" s="149">
        <v>130600</v>
      </c>
      <c r="G3665" s="149">
        <v>51311</v>
      </c>
      <c r="H3665" s="150" t="str">
        <f t="shared" si="171"/>
        <v>5</v>
      </c>
      <c r="I3665" s="150" t="str">
        <f t="shared" si="172"/>
        <v>51</v>
      </c>
      <c r="J3665" s="150" t="str">
        <f t="shared" si="173"/>
        <v>513</v>
      </c>
      <c r="K3665" s="150" t="s">
        <v>7738</v>
      </c>
      <c r="L3665" s="149" t="s">
        <v>1540</v>
      </c>
      <c r="M3665" s="151">
        <v>29901.66</v>
      </c>
    </row>
    <row r="3666" spans="1:13" s="149" customFormat="1" x14ac:dyDescent="0.25">
      <c r="A3666" s="149" t="s">
        <v>7640</v>
      </c>
      <c r="B3666" s="149" t="s">
        <v>1541</v>
      </c>
      <c r="C3666" s="149">
        <v>11</v>
      </c>
      <c r="D3666" s="149">
        <v>320</v>
      </c>
      <c r="E3666" s="149">
        <v>0</v>
      </c>
      <c r="F3666" s="149">
        <v>130600</v>
      </c>
      <c r="G3666" s="149">
        <v>53110</v>
      </c>
      <c r="H3666" s="150" t="str">
        <f t="shared" si="171"/>
        <v>5</v>
      </c>
      <c r="I3666" s="150" t="str">
        <f t="shared" si="172"/>
        <v>53</v>
      </c>
      <c r="J3666" s="150" t="str">
        <f t="shared" si="173"/>
        <v>531</v>
      </c>
      <c r="K3666" s="150" t="s">
        <v>8899</v>
      </c>
      <c r="L3666" s="149" t="s">
        <v>1542</v>
      </c>
      <c r="M3666" s="151">
        <v>4829.17</v>
      </c>
    </row>
    <row r="3667" spans="1:13" s="149" customFormat="1" x14ac:dyDescent="0.25">
      <c r="A3667" s="149" t="s">
        <v>7640</v>
      </c>
      <c r="B3667" s="149" t="s">
        <v>1543</v>
      </c>
      <c r="C3667" s="149">
        <v>11</v>
      </c>
      <c r="D3667" s="149">
        <v>320</v>
      </c>
      <c r="E3667" s="149">
        <v>0</v>
      </c>
      <c r="F3667" s="149">
        <v>130600</v>
      </c>
      <c r="G3667" s="149">
        <v>53330</v>
      </c>
      <c r="H3667" s="150" t="str">
        <f t="shared" si="171"/>
        <v>5</v>
      </c>
      <c r="I3667" s="150" t="str">
        <f t="shared" si="172"/>
        <v>53</v>
      </c>
      <c r="J3667" s="150" t="str">
        <f t="shared" si="173"/>
        <v>533</v>
      </c>
      <c r="K3667" s="150" t="s">
        <v>8900</v>
      </c>
      <c r="L3667" s="149" t="s">
        <v>1544</v>
      </c>
      <c r="M3667" s="151">
        <v>433.6</v>
      </c>
    </row>
    <row r="3668" spans="1:13" s="149" customFormat="1" x14ac:dyDescent="0.25">
      <c r="A3668" s="149" t="s">
        <v>7640</v>
      </c>
      <c r="B3668" s="149" t="s">
        <v>1545</v>
      </c>
      <c r="C3668" s="149">
        <v>11</v>
      </c>
      <c r="D3668" s="149">
        <v>320</v>
      </c>
      <c r="E3668" s="149">
        <v>0</v>
      </c>
      <c r="F3668" s="149">
        <v>130600</v>
      </c>
      <c r="G3668" s="149">
        <v>53510</v>
      </c>
      <c r="H3668" s="150" t="str">
        <f t="shared" si="171"/>
        <v>5</v>
      </c>
      <c r="I3668" s="150" t="str">
        <f t="shared" si="172"/>
        <v>53</v>
      </c>
      <c r="J3668" s="150" t="str">
        <f t="shared" si="173"/>
        <v>535</v>
      </c>
      <c r="K3668" s="150" t="s">
        <v>8901</v>
      </c>
      <c r="L3668" s="149" t="s">
        <v>1546</v>
      </c>
      <c r="M3668" s="151">
        <v>14.88</v>
      </c>
    </row>
    <row r="3669" spans="1:13" s="149" customFormat="1" x14ac:dyDescent="0.25">
      <c r="A3669" s="149" t="s">
        <v>7640</v>
      </c>
      <c r="B3669" s="149" t="s">
        <v>1547</v>
      </c>
      <c r="C3669" s="149">
        <v>11</v>
      </c>
      <c r="D3669" s="149">
        <v>320</v>
      </c>
      <c r="E3669" s="149">
        <v>0</v>
      </c>
      <c r="F3669" s="149">
        <v>130600</v>
      </c>
      <c r="G3669" s="149">
        <v>53610</v>
      </c>
      <c r="H3669" s="150" t="str">
        <f t="shared" si="171"/>
        <v>5</v>
      </c>
      <c r="I3669" s="150" t="str">
        <f t="shared" si="172"/>
        <v>53</v>
      </c>
      <c r="J3669" s="150" t="str">
        <f t="shared" si="173"/>
        <v>536</v>
      </c>
      <c r="K3669" s="150" t="s">
        <v>8902</v>
      </c>
      <c r="L3669" s="149" t="s">
        <v>1548</v>
      </c>
      <c r="M3669" s="151">
        <v>565.42999999999995</v>
      </c>
    </row>
    <row r="3670" spans="1:13" s="149" customFormat="1" x14ac:dyDescent="0.25">
      <c r="A3670" s="149" t="s">
        <v>7640</v>
      </c>
      <c r="B3670" s="149" t="s">
        <v>1549</v>
      </c>
      <c r="C3670" s="149">
        <v>11</v>
      </c>
      <c r="D3670" s="149">
        <v>320</v>
      </c>
      <c r="E3670" s="149">
        <v>0</v>
      </c>
      <c r="F3670" s="149">
        <v>130600</v>
      </c>
      <c r="G3670" s="149">
        <v>55630</v>
      </c>
      <c r="H3670" s="150" t="str">
        <f t="shared" si="171"/>
        <v>5</v>
      </c>
      <c r="I3670" s="150" t="str">
        <f t="shared" si="172"/>
        <v>55</v>
      </c>
      <c r="J3670" s="150" t="str">
        <f t="shared" si="173"/>
        <v>556</v>
      </c>
      <c r="K3670" s="150" t="s">
        <v>8214</v>
      </c>
      <c r="L3670" s="149" t="s">
        <v>1550</v>
      </c>
      <c r="M3670" s="151">
        <v>0</v>
      </c>
    </row>
    <row r="3671" spans="1:13" s="149" customFormat="1" x14ac:dyDescent="0.25">
      <c r="A3671" s="149" t="s">
        <v>7640</v>
      </c>
      <c r="B3671" s="149" t="s">
        <v>1551</v>
      </c>
      <c r="C3671" s="149">
        <v>11</v>
      </c>
      <c r="D3671" s="149">
        <v>320</v>
      </c>
      <c r="E3671" s="149">
        <v>0</v>
      </c>
      <c r="F3671" s="149">
        <v>601000</v>
      </c>
      <c r="G3671" s="149">
        <v>51210</v>
      </c>
      <c r="H3671" s="150" t="str">
        <f t="shared" si="171"/>
        <v>5</v>
      </c>
      <c r="I3671" s="150" t="str">
        <f t="shared" si="172"/>
        <v>51</v>
      </c>
      <c r="J3671" s="150" t="str">
        <f t="shared" si="173"/>
        <v>512</v>
      </c>
      <c r="K3671" s="150" t="s">
        <v>8903</v>
      </c>
      <c r="L3671" s="149" t="s">
        <v>477</v>
      </c>
      <c r="M3671" s="151">
        <v>30709.8</v>
      </c>
    </row>
    <row r="3672" spans="1:13" s="149" customFormat="1" x14ac:dyDescent="0.25">
      <c r="A3672" s="149" t="s">
        <v>7640</v>
      </c>
      <c r="B3672" s="149" t="s">
        <v>1552</v>
      </c>
      <c r="C3672" s="149">
        <v>11</v>
      </c>
      <c r="D3672" s="149">
        <v>320</v>
      </c>
      <c r="E3672" s="149">
        <v>0</v>
      </c>
      <c r="F3672" s="149">
        <v>601000</v>
      </c>
      <c r="G3672" s="149">
        <v>52105</v>
      </c>
      <c r="H3672" s="150" t="str">
        <f t="shared" si="171"/>
        <v>5</v>
      </c>
      <c r="I3672" s="150" t="str">
        <f t="shared" si="172"/>
        <v>52</v>
      </c>
      <c r="J3672" s="150" t="str">
        <f t="shared" si="173"/>
        <v>521</v>
      </c>
      <c r="K3672" s="150" t="s">
        <v>8904</v>
      </c>
      <c r="L3672" s="149" t="s">
        <v>481</v>
      </c>
      <c r="M3672" s="151">
        <v>72898.86</v>
      </c>
    </row>
    <row r="3673" spans="1:13" s="149" customFormat="1" x14ac:dyDescent="0.25">
      <c r="A3673" s="149" t="s">
        <v>7640</v>
      </c>
      <c r="B3673" s="149" t="s">
        <v>1553</v>
      </c>
      <c r="C3673" s="149">
        <v>11</v>
      </c>
      <c r="D3673" s="149">
        <v>320</v>
      </c>
      <c r="E3673" s="149">
        <v>0</v>
      </c>
      <c r="F3673" s="149">
        <v>601000</v>
      </c>
      <c r="G3673" s="149">
        <v>52300</v>
      </c>
      <c r="H3673" s="150" t="str">
        <f t="shared" si="171"/>
        <v>5</v>
      </c>
      <c r="I3673" s="150" t="str">
        <f t="shared" si="172"/>
        <v>52</v>
      </c>
      <c r="J3673" s="150" t="str">
        <f t="shared" si="173"/>
        <v>523</v>
      </c>
      <c r="K3673" s="150" t="s">
        <v>7820</v>
      </c>
      <c r="L3673" s="149" t="s">
        <v>483</v>
      </c>
      <c r="M3673" s="151">
        <v>377.76</v>
      </c>
    </row>
    <row r="3674" spans="1:13" s="149" customFormat="1" x14ac:dyDescent="0.25">
      <c r="A3674" s="149" t="s">
        <v>7640</v>
      </c>
      <c r="B3674" s="149" t="s">
        <v>1554</v>
      </c>
      <c r="C3674" s="149">
        <v>11</v>
      </c>
      <c r="D3674" s="149">
        <v>320</v>
      </c>
      <c r="E3674" s="149">
        <v>0</v>
      </c>
      <c r="F3674" s="149">
        <v>601000</v>
      </c>
      <c r="G3674" s="149">
        <v>53120</v>
      </c>
      <c r="H3674" s="150" t="str">
        <f t="shared" si="171"/>
        <v>5</v>
      </c>
      <c r="I3674" s="150" t="str">
        <f t="shared" si="172"/>
        <v>53</v>
      </c>
      <c r="J3674" s="150" t="str">
        <f t="shared" si="173"/>
        <v>531</v>
      </c>
      <c r="K3674" s="150" t="s">
        <v>8905</v>
      </c>
      <c r="L3674" s="149" t="s">
        <v>485</v>
      </c>
      <c r="M3674" s="151">
        <v>4959.6000000000004</v>
      </c>
    </row>
    <row r="3675" spans="1:13" s="149" customFormat="1" x14ac:dyDescent="0.25">
      <c r="A3675" s="149" t="s">
        <v>7640</v>
      </c>
      <c r="B3675" s="149" t="s">
        <v>1555</v>
      </c>
      <c r="C3675" s="149">
        <v>11</v>
      </c>
      <c r="D3675" s="149">
        <v>320</v>
      </c>
      <c r="E3675" s="149">
        <v>0</v>
      </c>
      <c r="F3675" s="149">
        <v>601000</v>
      </c>
      <c r="G3675" s="149">
        <v>53220</v>
      </c>
      <c r="H3675" s="150" t="str">
        <f t="shared" si="171"/>
        <v>5</v>
      </c>
      <c r="I3675" s="150" t="str">
        <f t="shared" si="172"/>
        <v>53</v>
      </c>
      <c r="J3675" s="150" t="str">
        <f t="shared" si="173"/>
        <v>532</v>
      </c>
      <c r="K3675" s="150" t="s">
        <v>8906</v>
      </c>
      <c r="L3675" s="149" t="s">
        <v>487</v>
      </c>
      <c r="M3675" s="151">
        <v>15093.42</v>
      </c>
    </row>
    <row r="3676" spans="1:13" s="149" customFormat="1" x14ac:dyDescent="0.25">
      <c r="A3676" s="149" t="s">
        <v>7640</v>
      </c>
      <c r="B3676" s="149" t="s">
        <v>1556</v>
      </c>
      <c r="C3676" s="149">
        <v>11</v>
      </c>
      <c r="D3676" s="149">
        <v>320</v>
      </c>
      <c r="E3676" s="149">
        <v>0</v>
      </c>
      <c r="F3676" s="149">
        <v>601000</v>
      </c>
      <c r="G3676" s="149">
        <v>53320</v>
      </c>
      <c r="H3676" s="150" t="str">
        <f t="shared" si="171"/>
        <v>5</v>
      </c>
      <c r="I3676" s="150" t="str">
        <f t="shared" si="172"/>
        <v>53</v>
      </c>
      <c r="J3676" s="150" t="str">
        <f t="shared" si="173"/>
        <v>533</v>
      </c>
      <c r="K3676" s="150" t="s">
        <v>8907</v>
      </c>
      <c r="L3676" s="149" t="s">
        <v>489</v>
      </c>
      <c r="M3676" s="151">
        <v>4518.87</v>
      </c>
    </row>
    <row r="3677" spans="1:13" s="149" customFormat="1" x14ac:dyDescent="0.25">
      <c r="A3677" s="149" t="s">
        <v>7640</v>
      </c>
      <c r="B3677" s="149" t="s">
        <v>1557</v>
      </c>
      <c r="C3677" s="149">
        <v>11</v>
      </c>
      <c r="D3677" s="149">
        <v>320</v>
      </c>
      <c r="E3677" s="149">
        <v>0</v>
      </c>
      <c r="F3677" s="149">
        <v>601000</v>
      </c>
      <c r="G3677" s="149">
        <v>53340</v>
      </c>
      <c r="H3677" s="150" t="str">
        <f t="shared" si="171"/>
        <v>5</v>
      </c>
      <c r="I3677" s="150" t="str">
        <f t="shared" si="172"/>
        <v>53</v>
      </c>
      <c r="J3677" s="150" t="str">
        <f t="shared" si="173"/>
        <v>533</v>
      </c>
      <c r="K3677" s="150" t="s">
        <v>8908</v>
      </c>
      <c r="L3677" s="149" t="s">
        <v>491</v>
      </c>
      <c r="M3677" s="151">
        <v>1501.31</v>
      </c>
    </row>
    <row r="3678" spans="1:13" s="149" customFormat="1" x14ac:dyDescent="0.25">
      <c r="A3678" s="149" t="s">
        <v>7640</v>
      </c>
      <c r="B3678" s="149" t="s">
        <v>1558</v>
      </c>
      <c r="C3678" s="149">
        <v>11</v>
      </c>
      <c r="D3678" s="149">
        <v>320</v>
      </c>
      <c r="E3678" s="149">
        <v>0</v>
      </c>
      <c r="F3678" s="149">
        <v>601000</v>
      </c>
      <c r="G3678" s="149">
        <v>53420</v>
      </c>
      <c r="H3678" s="150" t="str">
        <f t="shared" si="171"/>
        <v>5</v>
      </c>
      <c r="I3678" s="150" t="str">
        <f t="shared" si="172"/>
        <v>53</v>
      </c>
      <c r="J3678" s="150" t="str">
        <f t="shared" si="173"/>
        <v>534</v>
      </c>
      <c r="K3678" s="150" t="s">
        <v>8909</v>
      </c>
      <c r="L3678" s="149" t="s">
        <v>493</v>
      </c>
      <c r="M3678" s="151">
        <v>33083.800000000003</v>
      </c>
    </row>
    <row r="3679" spans="1:13" s="149" customFormat="1" x14ac:dyDescent="0.25">
      <c r="A3679" s="149" t="s">
        <v>7640</v>
      </c>
      <c r="B3679" s="149" t="s">
        <v>1559</v>
      </c>
      <c r="C3679" s="149">
        <v>11</v>
      </c>
      <c r="D3679" s="149">
        <v>320</v>
      </c>
      <c r="E3679" s="149">
        <v>0</v>
      </c>
      <c r="F3679" s="149">
        <v>601000</v>
      </c>
      <c r="G3679" s="149">
        <v>53520</v>
      </c>
      <c r="H3679" s="150" t="str">
        <f t="shared" si="171"/>
        <v>5</v>
      </c>
      <c r="I3679" s="150" t="str">
        <f t="shared" si="172"/>
        <v>53</v>
      </c>
      <c r="J3679" s="150" t="str">
        <f t="shared" si="173"/>
        <v>535</v>
      </c>
      <c r="K3679" s="150" t="s">
        <v>8910</v>
      </c>
      <c r="L3679" s="149" t="s">
        <v>495</v>
      </c>
      <c r="M3679" s="151">
        <v>52.02</v>
      </c>
    </row>
    <row r="3680" spans="1:13" s="149" customFormat="1" x14ac:dyDescent="0.25">
      <c r="A3680" s="149" t="s">
        <v>7640</v>
      </c>
      <c r="B3680" s="149" t="s">
        <v>1560</v>
      </c>
      <c r="C3680" s="149">
        <v>11</v>
      </c>
      <c r="D3680" s="149">
        <v>320</v>
      </c>
      <c r="E3680" s="149">
        <v>0</v>
      </c>
      <c r="F3680" s="149">
        <v>601000</v>
      </c>
      <c r="G3680" s="149">
        <v>53620</v>
      </c>
      <c r="H3680" s="150" t="str">
        <f t="shared" si="171"/>
        <v>5</v>
      </c>
      <c r="I3680" s="150" t="str">
        <f t="shared" si="172"/>
        <v>53</v>
      </c>
      <c r="J3680" s="150" t="str">
        <f t="shared" si="173"/>
        <v>536</v>
      </c>
      <c r="K3680" s="150" t="s">
        <v>8911</v>
      </c>
      <c r="L3680" s="149" t="s">
        <v>497</v>
      </c>
      <c r="M3680" s="151">
        <v>1969.67</v>
      </c>
    </row>
    <row r="3681" spans="1:13" s="149" customFormat="1" x14ac:dyDescent="0.25">
      <c r="A3681" s="149" t="s">
        <v>7640</v>
      </c>
      <c r="B3681" s="149" t="s">
        <v>1561</v>
      </c>
      <c r="C3681" s="149">
        <v>11</v>
      </c>
      <c r="D3681" s="149">
        <v>320</v>
      </c>
      <c r="E3681" s="149">
        <v>0</v>
      </c>
      <c r="F3681" s="149">
        <v>601000</v>
      </c>
      <c r="G3681" s="149">
        <v>53920</v>
      </c>
      <c r="H3681" s="150" t="str">
        <f t="shared" si="171"/>
        <v>5</v>
      </c>
      <c r="I3681" s="150" t="str">
        <f t="shared" si="172"/>
        <v>53</v>
      </c>
      <c r="J3681" s="150" t="str">
        <f t="shared" si="173"/>
        <v>539</v>
      </c>
      <c r="K3681" s="150" t="s">
        <v>8912</v>
      </c>
      <c r="L3681" s="149" t="s">
        <v>499</v>
      </c>
      <c r="M3681" s="151">
        <v>1500</v>
      </c>
    </row>
    <row r="3682" spans="1:13" s="149" customFormat="1" x14ac:dyDescent="0.25">
      <c r="A3682" s="149" t="s">
        <v>7640</v>
      </c>
      <c r="B3682" s="149" t="s">
        <v>1562</v>
      </c>
      <c r="C3682" s="149">
        <v>11</v>
      </c>
      <c r="D3682" s="149">
        <v>320</v>
      </c>
      <c r="E3682" s="149">
        <v>0</v>
      </c>
      <c r="F3682" s="149">
        <v>601000</v>
      </c>
      <c r="G3682" s="149">
        <v>55630</v>
      </c>
      <c r="H3682" s="150" t="str">
        <f t="shared" si="171"/>
        <v>5</v>
      </c>
      <c r="I3682" s="150" t="str">
        <f t="shared" si="172"/>
        <v>55</v>
      </c>
      <c r="J3682" s="150" t="str">
        <f t="shared" si="173"/>
        <v>556</v>
      </c>
      <c r="K3682" s="150" t="s">
        <v>8215</v>
      </c>
      <c r="L3682" s="149" t="s">
        <v>509</v>
      </c>
      <c r="M3682" s="151">
        <v>664.83</v>
      </c>
    </row>
    <row r="3683" spans="1:13" s="149" customFormat="1" x14ac:dyDescent="0.25">
      <c r="A3683" s="149" t="s">
        <v>7640</v>
      </c>
      <c r="B3683" s="149" t="s">
        <v>1563</v>
      </c>
      <c r="C3683" s="149">
        <v>11</v>
      </c>
      <c r="D3683" s="149">
        <v>320</v>
      </c>
      <c r="E3683" s="149">
        <v>0</v>
      </c>
      <c r="F3683" s="149">
        <v>696500</v>
      </c>
      <c r="G3683" s="149">
        <v>51210</v>
      </c>
      <c r="H3683" s="150" t="str">
        <f t="shared" si="171"/>
        <v>5</v>
      </c>
      <c r="I3683" s="150" t="str">
        <f t="shared" si="172"/>
        <v>51</v>
      </c>
      <c r="J3683" s="150" t="str">
        <f t="shared" si="173"/>
        <v>512</v>
      </c>
      <c r="K3683" s="150" t="s">
        <v>8913</v>
      </c>
      <c r="L3683" s="149" t="s">
        <v>1564</v>
      </c>
      <c r="M3683" s="151">
        <v>92129.4</v>
      </c>
    </row>
    <row r="3684" spans="1:13" s="149" customFormat="1" x14ac:dyDescent="0.25">
      <c r="A3684" s="149" t="s">
        <v>7640</v>
      </c>
      <c r="B3684" s="149" t="s">
        <v>1565</v>
      </c>
      <c r="C3684" s="149">
        <v>11</v>
      </c>
      <c r="D3684" s="149">
        <v>320</v>
      </c>
      <c r="E3684" s="149">
        <v>0</v>
      </c>
      <c r="F3684" s="149">
        <v>696500</v>
      </c>
      <c r="G3684" s="149">
        <v>51412</v>
      </c>
      <c r="H3684" s="150" t="str">
        <f t="shared" si="171"/>
        <v>5</v>
      </c>
      <c r="I3684" s="150" t="str">
        <f t="shared" si="172"/>
        <v>51</v>
      </c>
      <c r="J3684" s="150" t="str">
        <f t="shared" si="173"/>
        <v>514</v>
      </c>
      <c r="K3684" s="150" t="s">
        <v>7790</v>
      </c>
      <c r="L3684" s="149" t="s">
        <v>1566</v>
      </c>
      <c r="M3684" s="151">
        <v>68315.039999999994</v>
      </c>
    </row>
    <row r="3685" spans="1:13" s="149" customFormat="1" x14ac:dyDescent="0.25">
      <c r="A3685" s="149" t="s">
        <v>7640</v>
      </c>
      <c r="B3685" s="149" t="s">
        <v>1567</v>
      </c>
      <c r="C3685" s="149">
        <v>11</v>
      </c>
      <c r="D3685" s="149">
        <v>320</v>
      </c>
      <c r="E3685" s="149">
        <v>0</v>
      </c>
      <c r="F3685" s="149">
        <v>696500</v>
      </c>
      <c r="G3685" s="149">
        <v>52105</v>
      </c>
      <c r="H3685" s="150" t="str">
        <f t="shared" si="171"/>
        <v>5</v>
      </c>
      <c r="I3685" s="150" t="str">
        <f t="shared" si="172"/>
        <v>52</v>
      </c>
      <c r="J3685" s="150" t="str">
        <f t="shared" si="173"/>
        <v>521</v>
      </c>
      <c r="K3685" s="150" t="s">
        <v>8914</v>
      </c>
      <c r="L3685" s="149" t="s">
        <v>1568</v>
      </c>
      <c r="M3685" s="151">
        <v>127443.46</v>
      </c>
    </row>
    <row r="3686" spans="1:13" s="149" customFormat="1" x14ac:dyDescent="0.25">
      <c r="A3686" s="149" t="s">
        <v>7640</v>
      </c>
      <c r="B3686" s="149" t="s">
        <v>1569</v>
      </c>
      <c r="C3686" s="149">
        <v>11</v>
      </c>
      <c r="D3686" s="149">
        <v>320</v>
      </c>
      <c r="E3686" s="149">
        <v>0</v>
      </c>
      <c r="F3686" s="149">
        <v>696500</v>
      </c>
      <c r="G3686" s="149">
        <v>52300</v>
      </c>
      <c r="H3686" s="150" t="str">
        <f t="shared" si="171"/>
        <v>5</v>
      </c>
      <c r="I3686" s="150" t="str">
        <f t="shared" si="172"/>
        <v>52</v>
      </c>
      <c r="J3686" s="150" t="str">
        <f t="shared" si="173"/>
        <v>523</v>
      </c>
      <c r="K3686" s="150" t="s">
        <v>7821</v>
      </c>
      <c r="L3686" s="149" t="s">
        <v>1570</v>
      </c>
      <c r="M3686" s="151">
        <v>152.16</v>
      </c>
    </row>
    <row r="3687" spans="1:13" s="149" customFormat="1" x14ac:dyDescent="0.25">
      <c r="A3687" s="149" t="s">
        <v>7640</v>
      </c>
      <c r="B3687" s="149" t="s">
        <v>1571</v>
      </c>
      <c r="C3687" s="149">
        <v>11</v>
      </c>
      <c r="D3687" s="149">
        <v>320</v>
      </c>
      <c r="E3687" s="149">
        <v>0</v>
      </c>
      <c r="F3687" s="149">
        <v>696500</v>
      </c>
      <c r="G3687" s="149">
        <v>52360</v>
      </c>
      <c r="H3687" s="150" t="str">
        <f t="shared" si="171"/>
        <v>5</v>
      </c>
      <c r="I3687" s="150" t="str">
        <f t="shared" si="172"/>
        <v>52</v>
      </c>
      <c r="J3687" s="150" t="str">
        <f t="shared" si="173"/>
        <v>523</v>
      </c>
      <c r="K3687" s="150" t="s">
        <v>7870</v>
      </c>
      <c r="L3687" s="149" t="s">
        <v>1572</v>
      </c>
      <c r="M3687" s="151">
        <v>15666.8</v>
      </c>
    </row>
    <row r="3688" spans="1:13" s="149" customFormat="1" x14ac:dyDescent="0.25">
      <c r="A3688" s="149" t="s">
        <v>7640</v>
      </c>
      <c r="B3688" s="149" t="s">
        <v>1573</v>
      </c>
      <c r="C3688" s="149">
        <v>11</v>
      </c>
      <c r="D3688" s="149">
        <v>320</v>
      </c>
      <c r="E3688" s="149">
        <v>0</v>
      </c>
      <c r="F3688" s="149">
        <v>696500</v>
      </c>
      <c r="G3688" s="149">
        <v>53120</v>
      </c>
      <c r="H3688" s="150" t="str">
        <f t="shared" si="171"/>
        <v>5</v>
      </c>
      <c r="I3688" s="150" t="str">
        <f t="shared" si="172"/>
        <v>53</v>
      </c>
      <c r="J3688" s="150" t="str">
        <f t="shared" si="173"/>
        <v>531</v>
      </c>
      <c r="K3688" s="150" t="s">
        <v>8915</v>
      </c>
      <c r="L3688" s="149" t="s">
        <v>1574</v>
      </c>
      <c r="M3688" s="151">
        <v>21247.71</v>
      </c>
    </row>
    <row r="3689" spans="1:13" s="149" customFormat="1" x14ac:dyDescent="0.25">
      <c r="A3689" s="149" t="s">
        <v>7640</v>
      </c>
      <c r="B3689" s="149" t="s">
        <v>1575</v>
      </c>
      <c r="C3689" s="149">
        <v>11</v>
      </c>
      <c r="D3689" s="149">
        <v>320</v>
      </c>
      <c r="E3689" s="149">
        <v>0</v>
      </c>
      <c r="F3689" s="149">
        <v>696500</v>
      </c>
      <c r="G3689" s="149">
        <v>53220</v>
      </c>
      <c r="H3689" s="150" t="str">
        <f t="shared" si="171"/>
        <v>5</v>
      </c>
      <c r="I3689" s="150" t="str">
        <f t="shared" si="172"/>
        <v>53</v>
      </c>
      <c r="J3689" s="150" t="str">
        <f t="shared" si="173"/>
        <v>532</v>
      </c>
      <c r="K3689" s="150" t="s">
        <v>8916</v>
      </c>
      <c r="L3689" s="149" t="s">
        <v>1576</v>
      </c>
      <c r="M3689" s="151">
        <v>26382.49</v>
      </c>
    </row>
    <row r="3690" spans="1:13" s="149" customFormat="1" x14ac:dyDescent="0.25">
      <c r="A3690" s="149" t="s">
        <v>7640</v>
      </c>
      <c r="B3690" s="149" t="s">
        <v>1577</v>
      </c>
      <c r="C3690" s="149">
        <v>11</v>
      </c>
      <c r="D3690" s="149">
        <v>320</v>
      </c>
      <c r="E3690" s="149">
        <v>0</v>
      </c>
      <c r="F3690" s="149">
        <v>696500</v>
      </c>
      <c r="G3690" s="149">
        <v>53320</v>
      </c>
      <c r="H3690" s="150" t="str">
        <f t="shared" si="171"/>
        <v>5</v>
      </c>
      <c r="I3690" s="150" t="str">
        <f t="shared" si="172"/>
        <v>53</v>
      </c>
      <c r="J3690" s="150" t="str">
        <f t="shared" si="173"/>
        <v>533</v>
      </c>
      <c r="K3690" s="150" t="s">
        <v>8917</v>
      </c>
      <c r="L3690" s="149" t="s">
        <v>1578</v>
      </c>
      <c r="M3690" s="151">
        <v>10295.120000000001</v>
      </c>
    </row>
    <row r="3691" spans="1:13" s="149" customFormat="1" x14ac:dyDescent="0.25">
      <c r="A3691" s="149" t="s">
        <v>7640</v>
      </c>
      <c r="B3691" s="149" t="s">
        <v>1579</v>
      </c>
      <c r="C3691" s="149">
        <v>11</v>
      </c>
      <c r="D3691" s="149">
        <v>320</v>
      </c>
      <c r="E3691" s="149">
        <v>0</v>
      </c>
      <c r="F3691" s="149">
        <v>696500</v>
      </c>
      <c r="G3691" s="149">
        <v>53340</v>
      </c>
      <c r="H3691" s="150" t="str">
        <f t="shared" si="171"/>
        <v>5</v>
      </c>
      <c r="I3691" s="150" t="str">
        <f t="shared" si="172"/>
        <v>53</v>
      </c>
      <c r="J3691" s="150" t="str">
        <f t="shared" si="173"/>
        <v>533</v>
      </c>
      <c r="K3691" s="150" t="s">
        <v>8918</v>
      </c>
      <c r="L3691" s="149" t="s">
        <v>1580</v>
      </c>
      <c r="M3691" s="151">
        <v>4394.83</v>
      </c>
    </row>
    <row r="3692" spans="1:13" s="149" customFormat="1" x14ac:dyDescent="0.25">
      <c r="A3692" s="149" t="s">
        <v>7640</v>
      </c>
      <c r="B3692" s="149" t="s">
        <v>1581</v>
      </c>
      <c r="C3692" s="149">
        <v>11</v>
      </c>
      <c r="D3692" s="149">
        <v>320</v>
      </c>
      <c r="E3692" s="149">
        <v>0</v>
      </c>
      <c r="F3692" s="149">
        <v>696500</v>
      </c>
      <c r="G3692" s="149">
        <v>53420</v>
      </c>
      <c r="H3692" s="150" t="str">
        <f t="shared" si="171"/>
        <v>5</v>
      </c>
      <c r="I3692" s="150" t="str">
        <f t="shared" si="172"/>
        <v>53</v>
      </c>
      <c r="J3692" s="150" t="str">
        <f t="shared" si="173"/>
        <v>534</v>
      </c>
      <c r="K3692" s="150" t="s">
        <v>8919</v>
      </c>
      <c r="L3692" s="149" t="s">
        <v>1582</v>
      </c>
      <c r="M3692" s="151">
        <v>49935</v>
      </c>
    </row>
    <row r="3693" spans="1:13" s="149" customFormat="1" x14ac:dyDescent="0.25">
      <c r="A3693" s="149" t="s">
        <v>7640</v>
      </c>
      <c r="B3693" s="149" t="s">
        <v>1583</v>
      </c>
      <c r="C3693" s="149">
        <v>11</v>
      </c>
      <c r="D3693" s="149">
        <v>320</v>
      </c>
      <c r="E3693" s="149">
        <v>0</v>
      </c>
      <c r="F3693" s="149">
        <v>696500</v>
      </c>
      <c r="G3693" s="149">
        <v>53520</v>
      </c>
      <c r="H3693" s="150" t="str">
        <f t="shared" si="171"/>
        <v>5</v>
      </c>
      <c r="I3693" s="150" t="str">
        <f t="shared" si="172"/>
        <v>53</v>
      </c>
      <c r="J3693" s="150" t="str">
        <f t="shared" si="173"/>
        <v>535</v>
      </c>
      <c r="K3693" s="150" t="s">
        <v>8920</v>
      </c>
      <c r="L3693" s="149" t="s">
        <v>1584</v>
      </c>
      <c r="M3693" s="151">
        <v>151.87</v>
      </c>
    </row>
    <row r="3694" spans="1:13" s="149" customFormat="1" x14ac:dyDescent="0.25">
      <c r="A3694" s="149" t="s">
        <v>7640</v>
      </c>
      <c r="B3694" s="149" t="s">
        <v>1585</v>
      </c>
      <c r="C3694" s="149">
        <v>11</v>
      </c>
      <c r="D3694" s="149">
        <v>320</v>
      </c>
      <c r="E3694" s="149">
        <v>0</v>
      </c>
      <c r="F3694" s="149">
        <v>696500</v>
      </c>
      <c r="G3694" s="149">
        <v>53620</v>
      </c>
      <c r="H3694" s="150" t="str">
        <f t="shared" si="171"/>
        <v>5</v>
      </c>
      <c r="I3694" s="150" t="str">
        <f t="shared" si="172"/>
        <v>53</v>
      </c>
      <c r="J3694" s="150" t="str">
        <f t="shared" si="173"/>
        <v>536</v>
      </c>
      <c r="K3694" s="150" t="s">
        <v>8921</v>
      </c>
      <c r="L3694" s="149" t="s">
        <v>1586</v>
      </c>
      <c r="M3694" s="151">
        <v>5748.32</v>
      </c>
    </row>
    <row r="3695" spans="1:13" s="149" customFormat="1" x14ac:dyDescent="0.25">
      <c r="A3695" s="149" t="s">
        <v>7640</v>
      </c>
      <c r="B3695" s="149" t="s">
        <v>1587</v>
      </c>
      <c r="C3695" s="149">
        <v>11</v>
      </c>
      <c r="D3695" s="149">
        <v>320</v>
      </c>
      <c r="E3695" s="149">
        <v>0</v>
      </c>
      <c r="F3695" s="149">
        <v>696500</v>
      </c>
      <c r="G3695" s="149">
        <v>53920</v>
      </c>
      <c r="H3695" s="150" t="str">
        <f t="shared" si="171"/>
        <v>5</v>
      </c>
      <c r="I3695" s="150" t="str">
        <f t="shared" si="172"/>
        <v>53</v>
      </c>
      <c r="J3695" s="150" t="str">
        <f t="shared" si="173"/>
        <v>539</v>
      </c>
      <c r="K3695" s="150" t="s">
        <v>8922</v>
      </c>
      <c r="L3695" s="149" t="s">
        <v>1588</v>
      </c>
      <c r="M3695" s="151">
        <v>900</v>
      </c>
    </row>
    <row r="3696" spans="1:13" s="149" customFormat="1" x14ac:dyDescent="0.25">
      <c r="A3696" s="149" t="s">
        <v>7640</v>
      </c>
      <c r="B3696" s="149" t="s">
        <v>1589</v>
      </c>
      <c r="C3696" s="149">
        <v>11</v>
      </c>
      <c r="D3696" s="149">
        <v>320</v>
      </c>
      <c r="E3696" s="149">
        <v>0</v>
      </c>
      <c r="F3696" s="149">
        <v>696500</v>
      </c>
      <c r="G3696" s="149">
        <v>54300</v>
      </c>
      <c r="H3696" s="150" t="str">
        <f t="shared" si="171"/>
        <v>5</v>
      </c>
      <c r="I3696" s="150" t="str">
        <f t="shared" si="172"/>
        <v>54</v>
      </c>
      <c r="J3696" s="150" t="str">
        <f t="shared" si="173"/>
        <v>543</v>
      </c>
      <c r="K3696" s="150" t="s">
        <v>7937</v>
      </c>
      <c r="L3696" s="149" t="s">
        <v>1590</v>
      </c>
      <c r="M3696" s="151">
        <v>59549.21</v>
      </c>
    </row>
    <row r="3697" spans="1:13" s="149" customFormat="1" x14ac:dyDescent="0.25">
      <c r="A3697" s="149" t="s">
        <v>7640</v>
      </c>
      <c r="B3697" s="149" t="s">
        <v>1591</v>
      </c>
      <c r="C3697" s="149">
        <v>11</v>
      </c>
      <c r="D3697" s="149">
        <v>320</v>
      </c>
      <c r="E3697" s="149">
        <v>0</v>
      </c>
      <c r="F3697" s="149">
        <v>696500</v>
      </c>
      <c r="G3697" s="149">
        <v>55100</v>
      </c>
      <c r="H3697" s="150" t="str">
        <f t="shared" si="171"/>
        <v>5</v>
      </c>
      <c r="I3697" s="150" t="str">
        <f t="shared" si="172"/>
        <v>55</v>
      </c>
      <c r="J3697" s="150" t="str">
        <f t="shared" si="173"/>
        <v>551</v>
      </c>
      <c r="K3697" s="150" t="s">
        <v>7997</v>
      </c>
      <c r="L3697" s="149" t="s">
        <v>1592</v>
      </c>
      <c r="M3697" s="151">
        <v>0</v>
      </c>
    </row>
    <row r="3698" spans="1:13" s="149" customFormat="1" x14ac:dyDescent="0.25">
      <c r="A3698" s="149" t="s">
        <v>7640</v>
      </c>
      <c r="B3698" s="149" t="s">
        <v>1593</v>
      </c>
      <c r="C3698" s="149">
        <v>11</v>
      </c>
      <c r="D3698" s="149">
        <v>320</v>
      </c>
      <c r="E3698" s="149">
        <v>0</v>
      </c>
      <c r="F3698" s="149">
        <v>696500</v>
      </c>
      <c r="G3698" s="149">
        <v>55105</v>
      </c>
      <c r="H3698" s="150" t="str">
        <f t="shared" si="171"/>
        <v>5</v>
      </c>
      <c r="I3698" s="150" t="str">
        <f t="shared" si="172"/>
        <v>55</v>
      </c>
      <c r="J3698" s="150" t="str">
        <f t="shared" si="173"/>
        <v>551</v>
      </c>
      <c r="K3698" s="150" t="s">
        <v>8012</v>
      </c>
      <c r="L3698" s="149" t="s">
        <v>1594</v>
      </c>
      <c r="M3698" s="151">
        <v>10050</v>
      </c>
    </row>
    <row r="3699" spans="1:13" s="149" customFormat="1" x14ac:dyDescent="0.25">
      <c r="A3699" s="149" t="s">
        <v>7640</v>
      </c>
      <c r="B3699" s="149" t="s">
        <v>1595</v>
      </c>
      <c r="C3699" s="149">
        <v>11</v>
      </c>
      <c r="D3699" s="149">
        <v>320</v>
      </c>
      <c r="E3699" s="149">
        <v>0</v>
      </c>
      <c r="F3699" s="149">
        <v>696500</v>
      </c>
      <c r="G3699" s="149">
        <v>55110</v>
      </c>
      <c r="H3699" s="150" t="str">
        <f t="shared" si="171"/>
        <v>5</v>
      </c>
      <c r="I3699" s="150" t="str">
        <f t="shared" si="172"/>
        <v>55</v>
      </c>
      <c r="J3699" s="150" t="str">
        <f t="shared" si="173"/>
        <v>551</v>
      </c>
      <c r="K3699" s="150" t="s">
        <v>8026</v>
      </c>
      <c r="L3699" s="149" t="s">
        <v>1596</v>
      </c>
      <c r="M3699" s="151">
        <v>167.11</v>
      </c>
    </row>
    <row r="3700" spans="1:13" s="149" customFormat="1" x14ac:dyDescent="0.25">
      <c r="A3700" s="149" t="s">
        <v>7640</v>
      </c>
      <c r="B3700" s="149" t="s">
        <v>9594</v>
      </c>
      <c r="C3700" s="149">
        <v>11</v>
      </c>
      <c r="D3700" s="149">
        <v>320</v>
      </c>
      <c r="E3700" s="149">
        <v>0</v>
      </c>
      <c r="F3700" s="149">
        <v>696500</v>
      </c>
      <c r="G3700" s="149">
        <v>55125</v>
      </c>
      <c r="H3700" s="150" t="str">
        <f t="shared" si="171"/>
        <v>5</v>
      </c>
      <c r="I3700" s="150" t="str">
        <f t="shared" si="172"/>
        <v>55</v>
      </c>
      <c r="J3700" s="150" t="str">
        <f t="shared" si="173"/>
        <v>551</v>
      </c>
      <c r="K3700" s="150" t="s">
        <v>8030</v>
      </c>
      <c r="L3700" s="149" t="s">
        <v>9595</v>
      </c>
      <c r="M3700" s="151">
        <v>290</v>
      </c>
    </row>
    <row r="3701" spans="1:13" s="149" customFormat="1" x14ac:dyDescent="0.25">
      <c r="A3701" s="149" t="s">
        <v>7640</v>
      </c>
      <c r="B3701" s="149" t="s">
        <v>1597</v>
      </c>
      <c r="C3701" s="149">
        <v>11</v>
      </c>
      <c r="D3701" s="149">
        <v>320</v>
      </c>
      <c r="E3701" s="149">
        <v>0</v>
      </c>
      <c r="F3701" s="149">
        <v>696500</v>
      </c>
      <c r="G3701" s="149">
        <v>55200</v>
      </c>
      <c r="H3701" s="150" t="str">
        <f t="shared" si="171"/>
        <v>5</v>
      </c>
      <c r="I3701" s="150" t="str">
        <f t="shared" si="172"/>
        <v>55</v>
      </c>
      <c r="J3701" s="150" t="str">
        <f t="shared" si="173"/>
        <v>552</v>
      </c>
      <c r="K3701" s="150" t="s">
        <v>8050</v>
      </c>
      <c r="L3701" s="149" t="s">
        <v>1598</v>
      </c>
      <c r="M3701" s="151">
        <v>0</v>
      </c>
    </row>
    <row r="3702" spans="1:13" s="149" customFormat="1" x14ac:dyDescent="0.25">
      <c r="A3702" s="149" t="s">
        <v>7640</v>
      </c>
      <c r="B3702" s="149" t="s">
        <v>1599</v>
      </c>
      <c r="C3702" s="149">
        <v>11</v>
      </c>
      <c r="D3702" s="149">
        <v>320</v>
      </c>
      <c r="E3702" s="149">
        <v>0</v>
      </c>
      <c r="F3702" s="149">
        <v>696500</v>
      </c>
      <c r="G3702" s="149">
        <v>55240</v>
      </c>
      <c r="H3702" s="150" t="str">
        <f t="shared" si="171"/>
        <v>5</v>
      </c>
      <c r="I3702" s="150" t="str">
        <f t="shared" si="172"/>
        <v>55</v>
      </c>
      <c r="J3702" s="150" t="str">
        <f t="shared" si="173"/>
        <v>552</v>
      </c>
      <c r="K3702" s="150" t="s">
        <v>8075</v>
      </c>
      <c r="L3702" s="149" t="s">
        <v>1600</v>
      </c>
      <c r="M3702" s="151">
        <v>86500</v>
      </c>
    </row>
    <row r="3703" spans="1:13" s="149" customFormat="1" x14ac:dyDescent="0.25">
      <c r="A3703" s="149" t="s">
        <v>7640</v>
      </c>
      <c r="B3703" s="149" t="s">
        <v>1601</v>
      </c>
      <c r="C3703" s="149">
        <v>11</v>
      </c>
      <c r="D3703" s="149">
        <v>320</v>
      </c>
      <c r="E3703" s="149">
        <v>0</v>
      </c>
      <c r="F3703" s="149">
        <v>696500</v>
      </c>
      <c r="G3703" s="149">
        <v>55264</v>
      </c>
      <c r="H3703" s="150" t="str">
        <f t="shared" si="171"/>
        <v>5</v>
      </c>
      <c r="I3703" s="150" t="str">
        <f t="shared" si="172"/>
        <v>55</v>
      </c>
      <c r="J3703" s="150" t="str">
        <f t="shared" si="173"/>
        <v>552</v>
      </c>
      <c r="K3703" s="150" t="s">
        <v>8076</v>
      </c>
      <c r="L3703" s="149" t="s">
        <v>1602</v>
      </c>
      <c r="M3703" s="151">
        <v>0</v>
      </c>
    </row>
    <row r="3704" spans="1:13" s="149" customFormat="1" x14ac:dyDescent="0.25">
      <c r="A3704" s="149" t="s">
        <v>7640</v>
      </c>
      <c r="B3704" s="149" t="s">
        <v>1603</v>
      </c>
      <c r="C3704" s="149">
        <v>11</v>
      </c>
      <c r="D3704" s="149">
        <v>320</v>
      </c>
      <c r="E3704" s="149">
        <v>0</v>
      </c>
      <c r="F3704" s="149">
        <v>696500</v>
      </c>
      <c r="G3704" s="149">
        <v>55300</v>
      </c>
      <c r="H3704" s="150" t="str">
        <f t="shared" si="171"/>
        <v>5</v>
      </c>
      <c r="I3704" s="150" t="str">
        <f t="shared" si="172"/>
        <v>55</v>
      </c>
      <c r="J3704" s="150" t="str">
        <f t="shared" si="173"/>
        <v>553</v>
      </c>
      <c r="K3704" s="150" t="s">
        <v>8088</v>
      </c>
      <c r="L3704" s="149" t="s">
        <v>1604</v>
      </c>
      <c r="M3704" s="151">
        <v>19170</v>
      </c>
    </row>
    <row r="3705" spans="1:13" s="149" customFormat="1" x14ac:dyDescent="0.25">
      <c r="A3705" s="149" t="s">
        <v>7640</v>
      </c>
      <c r="B3705" s="149" t="s">
        <v>1605</v>
      </c>
      <c r="C3705" s="149">
        <v>11</v>
      </c>
      <c r="D3705" s="149">
        <v>320</v>
      </c>
      <c r="E3705" s="149">
        <v>0</v>
      </c>
      <c r="F3705" s="149">
        <v>696500</v>
      </c>
      <c r="G3705" s="149">
        <v>55309</v>
      </c>
      <c r="H3705" s="150" t="str">
        <f t="shared" si="171"/>
        <v>5</v>
      </c>
      <c r="I3705" s="150" t="str">
        <f t="shared" si="172"/>
        <v>55</v>
      </c>
      <c r="J3705" s="150" t="str">
        <f t="shared" si="173"/>
        <v>553</v>
      </c>
      <c r="K3705" s="150" t="s">
        <v>8106</v>
      </c>
      <c r="L3705" s="149" t="s">
        <v>1606</v>
      </c>
      <c r="M3705" s="151">
        <v>800</v>
      </c>
    </row>
    <row r="3706" spans="1:13" s="149" customFormat="1" x14ac:dyDescent="0.25">
      <c r="A3706" s="149" t="s">
        <v>7640</v>
      </c>
      <c r="B3706" s="149" t="s">
        <v>1607</v>
      </c>
      <c r="C3706" s="149">
        <v>11</v>
      </c>
      <c r="D3706" s="149">
        <v>320</v>
      </c>
      <c r="E3706" s="149">
        <v>0</v>
      </c>
      <c r="F3706" s="149">
        <v>696500</v>
      </c>
      <c r="G3706" s="149">
        <v>55400</v>
      </c>
      <c r="H3706" s="150" t="str">
        <f t="shared" si="171"/>
        <v>5</v>
      </c>
      <c r="I3706" s="150" t="str">
        <f t="shared" si="172"/>
        <v>55</v>
      </c>
      <c r="J3706" s="150" t="str">
        <f t="shared" si="173"/>
        <v>554</v>
      </c>
      <c r="K3706" s="150" t="s">
        <v>8114</v>
      </c>
      <c r="L3706" s="149" t="s">
        <v>1608</v>
      </c>
      <c r="M3706" s="151">
        <v>0</v>
      </c>
    </row>
    <row r="3707" spans="1:13" s="149" customFormat="1" x14ac:dyDescent="0.25">
      <c r="A3707" s="149" t="s">
        <v>7640</v>
      </c>
      <c r="B3707" s="149" t="s">
        <v>1609</v>
      </c>
      <c r="C3707" s="149">
        <v>11</v>
      </c>
      <c r="D3707" s="149">
        <v>320</v>
      </c>
      <c r="E3707" s="149">
        <v>0</v>
      </c>
      <c r="F3707" s="149">
        <v>696500</v>
      </c>
      <c r="G3707" s="149">
        <v>55600</v>
      </c>
      <c r="H3707" s="150" t="str">
        <f t="shared" si="171"/>
        <v>5</v>
      </c>
      <c r="I3707" s="150" t="str">
        <f t="shared" si="172"/>
        <v>55</v>
      </c>
      <c r="J3707" s="150" t="str">
        <f t="shared" si="173"/>
        <v>556</v>
      </c>
      <c r="K3707" s="150" t="s">
        <v>8150</v>
      </c>
      <c r="L3707" s="149" t="s">
        <v>1610</v>
      </c>
      <c r="M3707" s="151">
        <v>0</v>
      </c>
    </row>
    <row r="3708" spans="1:13" s="149" customFormat="1" x14ac:dyDescent="0.25">
      <c r="A3708" s="149" t="s">
        <v>7640</v>
      </c>
      <c r="B3708" s="149" t="s">
        <v>1611</v>
      </c>
      <c r="C3708" s="149">
        <v>11</v>
      </c>
      <c r="D3708" s="149">
        <v>320</v>
      </c>
      <c r="E3708" s="149">
        <v>0</v>
      </c>
      <c r="F3708" s="149">
        <v>696500</v>
      </c>
      <c r="G3708" s="149">
        <v>55630</v>
      </c>
      <c r="H3708" s="150" t="str">
        <f t="shared" si="171"/>
        <v>5</v>
      </c>
      <c r="I3708" s="150" t="str">
        <f t="shared" si="172"/>
        <v>55</v>
      </c>
      <c r="J3708" s="150" t="str">
        <f t="shared" si="173"/>
        <v>556</v>
      </c>
      <c r="K3708" s="150" t="s">
        <v>8216</v>
      </c>
      <c r="L3708" s="149" t="s">
        <v>1612</v>
      </c>
      <c r="M3708" s="151">
        <v>163.79</v>
      </c>
    </row>
    <row r="3709" spans="1:13" s="149" customFormat="1" x14ac:dyDescent="0.25">
      <c r="A3709" s="149" t="s">
        <v>7640</v>
      </c>
      <c r="B3709" s="149" t="s">
        <v>1613</v>
      </c>
      <c r="C3709" s="149">
        <v>11</v>
      </c>
      <c r="D3709" s="149">
        <v>320</v>
      </c>
      <c r="E3709" s="149">
        <v>0</v>
      </c>
      <c r="F3709" s="149">
        <v>696500</v>
      </c>
      <c r="G3709" s="149">
        <v>55651</v>
      </c>
      <c r="H3709" s="150" t="str">
        <f t="shared" si="171"/>
        <v>5</v>
      </c>
      <c r="I3709" s="150" t="str">
        <f t="shared" si="172"/>
        <v>55</v>
      </c>
      <c r="J3709" s="150" t="str">
        <f t="shared" si="173"/>
        <v>556</v>
      </c>
      <c r="K3709" s="150" t="s">
        <v>8319</v>
      </c>
      <c r="L3709" s="149" t="s">
        <v>1614</v>
      </c>
      <c r="M3709" s="151">
        <v>4047.19</v>
      </c>
    </row>
    <row r="3710" spans="1:13" s="149" customFormat="1" x14ac:dyDescent="0.25">
      <c r="A3710" s="149" t="s">
        <v>7640</v>
      </c>
      <c r="B3710" s="149" t="s">
        <v>1615</v>
      </c>
      <c r="C3710" s="149">
        <v>11</v>
      </c>
      <c r="D3710" s="149">
        <v>320</v>
      </c>
      <c r="E3710" s="149">
        <v>0</v>
      </c>
      <c r="F3710" s="149">
        <v>696500</v>
      </c>
      <c r="G3710" s="149">
        <v>56400</v>
      </c>
      <c r="H3710" s="150" t="str">
        <f t="shared" si="171"/>
        <v>5</v>
      </c>
      <c r="I3710" s="150" t="str">
        <f t="shared" si="172"/>
        <v>56</v>
      </c>
      <c r="J3710" s="150" t="str">
        <f t="shared" si="173"/>
        <v>564</v>
      </c>
      <c r="K3710" s="150" t="s">
        <v>8374</v>
      </c>
      <c r="L3710" s="149" t="s">
        <v>1616</v>
      </c>
      <c r="M3710" s="151">
        <v>8917.3799999999992</v>
      </c>
    </row>
    <row r="3711" spans="1:13" s="149" customFormat="1" x14ac:dyDescent="0.25">
      <c r="A3711" s="149" t="s">
        <v>7640</v>
      </c>
      <c r="B3711" s="149" t="s">
        <v>1617</v>
      </c>
      <c r="C3711" s="149">
        <v>11</v>
      </c>
      <c r="D3711" s="149">
        <v>320</v>
      </c>
      <c r="E3711" s="149">
        <v>0</v>
      </c>
      <c r="F3711" s="149">
        <v>696500</v>
      </c>
      <c r="G3711" s="149">
        <v>57552</v>
      </c>
      <c r="H3711" s="150" t="str">
        <f t="shared" si="171"/>
        <v>5</v>
      </c>
      <c r="I3711" s="150" t="str">
        <f t="shared" si="172"/>
        <v>57</v>
      </c>
      <c r="J3711" s="150" t="str">
        <f t="shared" si="173"/>
        <v>575</v>
      </c>
      <c r="K3711" s="150" t="s">
        <v>8397</v>
      </c>
      <c r="L3711" s="149" t="s">
        <v>9596</v>
      </c>
      <c r="M3711" s="151">
        <v>9126.5</v>
      </c>
    </row>
    <row r="3712" spans="1:13" s="149" customFormat="1" x14ac:dyDescent="0.25">
      <c r="A3712" s="149" t="s">
        <v>7640</v>
      </c>
      <c r="B3712" s="149" t="s">
        <v>1619</v>
      </c>
      <c r="C3712" s="149">
        <v>11</v>
      </c>
      <c r="D3712" s="149">
        <v>330</v>
      </c>
      <c r="E3712" s="149">
        <v>0</v>
      </c>
      <c r="F3712" s="149">
        <v>40110</v>
      </c>
      <c r="G3712" s="149">
        <v>51100</v>
      </c>
      <c r="H3712" s="150" t="str">
        <f t="shared" si="171"/>
        <v>5</v>
      </c>
      <c r="I3712" s="150" t="str">
        <f t="shared" si="172"/>
        <v>51</v>
      </c>
      <c r="J3712" s="150" t="str">
        <f t="shared" si="173"/>
        <v>511</v>
      </c>
      <c r="K3712" s="150" t="s">
        <v>8924</v>
      </c>
      <c r="L3712" s="149" t="s">
        <v>1620</v>
      </c>
      <c r="M3712" s="151">
        <v>522272.6</v>
      </c>
    </row>
    <row r="3713" spans="1:13" s="149" customFormat="1" x14ac:dyDescent="0.25">
      <c r="A3713" s="149" t="s">
        <v>7640</v>
      </c>
      <c r="B3713" s="149" t="s">
        <v>1621</v>
      </c>
      <c r="C3713" s="149">
        <v>11</v>
      </c>
      <c r="D3713" s="149">
        <v>330</v>
      </c>
      <c r="E3713" s="149">
        <v>0</v>
      </c>
      <c r="F3713" s="149">
        <v>40110</v>
      </c>
      <c r="G3713" s="149">
        <v>51310</v>
      </c>
      <c r="H3713" s="150" t="str">
        <f t="shared" si="171"/>
        <v>5</v>
      </c>
      <c r="I3713" s="150" t="str">
        <f t="shared" si="172"/>
        <v>51</v>
      </c>
      <c r="J3713" s="150" t="str">
        <f t="shared" si="173"/>
        <v>513</v>
      </c>
      <c r="K3713" s="150" t="s">
        <v>7664</v>
      </c>
      <c r="L3713" s="149" t="s">
        <v>1622</v>
      </c>
      <c r="M3713" s="151">
        <v>43958.01</v>
      </c>
    </row>
    <row r="3714" spans="1:13" s="149" customFormat="1" x14ac:dyDescent="0.25">
      <c r="A3714" s="149" t="s">
        <v>7640</v>
      </c>
      <c r="B3714" s="149" t="s">
        <v>1623</v>
      </c>
      <c r="C3714" s="149">
        <v>11</v>
      </c>
      <c r="D3714" s="149">
        <v>330</v>
      </c>
      <c r="E3714" s="149">
        <v>0</v>
      </c>
      <c r="F3714" s="149">
        <v>40110</v>
      </c>
      <c r="G3714" s="149">
        <v>51311</v>
      </c>
      <c r="H3714" s="150" t="str">
        <f t="shared" si="171"/>
        <v>5</v>
      </c>
      <c r="I3714" s="150" t="str">
        <f t="shared" si="172"/>
        <v>51</v>
      </c>
      <c r="J3714" s="150" t="str">
        <f t="shared" si="173"/>
        <v>513</v>
      </c>
      <c r="K3714" s="150" t="s">
        <v>7739</v>
      </c>
      <c r="L3714" s="149" t="s">
        <v>217</v>
      </c>
      <c r="M3714" s="151">
        <v>193029.25</v>
      </c>
    </row>
    <row r="3715" spans="1:13" s="149" customFormat="1" x14ac:dyDescent="0.25">
      <c r="A3715" s="149" t="s">
        <v>7640</v>
      </c>
      <c r="B3715" s="149" t="s">
        <v>1624</v>
      </c>
      <c r="C3715" s="149">
        <v>11</v>
      </c>
      <c r="D3715" s="149">
        <v>330</v>
      </c>
      <c r="E3715" s="149">
        <v>0</v>
      </c>
      <c r="F3715" s="149">
        <v>40110</v>
      </c>
      <c r="G3715" s="149">
        <v>52200</v>
      </c>
      <c r="H3715" s="150" t="str">
        <f t="shared" ref="H3715:H3778" si="174">LEFT(G3715,1)</f>
        <v>5</v>
      </c>
      <c r="I3715" s="150" t="str">
        <f t="shared" ref="I3715:I3778" si="175">LEFT(G3715,2)</f>
        <v>52</v>
      </c>
      <c r="J3715" s="150" t="str">
        <f t="shared" ref="J3715:J3778" si="176">LEFT(G3715,3)</f>
        <v>522</v>
      </c>
      <c r="K3715" s="150" t="s">
        <v>8925</v>
      </c>
      <c r="L3715" s="149" t="s">
        <v>1625</v>
      </c>
      <c r="M3715" s="151">
        <v>110550.64</v>
      </c>
    </row>
    <row r="3716" spans="1:13" s="149" customFormat="1" x14ac:dyDescent="0.25">
      <c r="A3716" s="149" t="s">
        <v>7640</v>
      </c>
      <c r="B3716" s="149" t="s">
        <v>1626</v>
      </c>
      <c r="C3716" s="149">
        <v>11</v>
      </c>
      <c r="D3716" s="149">
        <v>330</v>
      </c>
      <c r="E3716" s="149">
        <v>0</v>
      </c>
      <c r="F3716" s="149">
        <v>40110</v>
      </c>
      <c r="G3716" s="149">
        <v>52300</v>
      </c>
      <c r="H3716" s="150" t="str">
        <f t="shared" si="174"/>
        <v>5</v>
      </c>
      <c r="I3716" s="150" t="str">
        <f t="shared" si="175"/>
        <v>52</v>
      </c>
      <c r="J3716" s="150" t="str">
        <f t="shared" si="176"/>
        <v>523</v>
      </c>
      <c r="K3716" s="150" t="s">
        <v>7822</v>
      </c>
      <c r="L3716" s="149" t="s">
        <v>1627</v>
      </c>
      <c r="M3716" s="151">
        <v>17.899999999999999</v>
      </c>
    </row>
    <row r="3717" spans="1:13" s="149" customFormat="1" x14ac:dyDescent="0.25">
      <c r="A3717" s="149" t="s">
        <v>7640</v>
      </c>
      <c r="B3717" s="149" t="s">
        <v>1628</v>
      </c>
      <c r="C3717" s="149">
        <v>11</v>
      </c>
      <c r="D3717" s="149">
        <v>330</v>
      </c>
      <c r="E3717" s="149">
        <v>0</v>
      </c>
      <c r="F3717" s="149">
        <v>40110</v>
      </c>
      <c r="G3717" s="149">
        <v>53110</v>
      </c>
      <c r="H3717" s="150" t="str">
        <f t="shared" si="174"/>
        <v>5</v>
      </c>
      <c r="I3717" s="150" t="str">
        <f t="shared" si="175"/>
        <v>53</v>
      </c>
      <c r="J3717" s="150" t="str">
        <f t="shared" si="176"/>
        <v>531</v>
      </c>
      <c r="K3717" s="150" t="s">
        <v>8926</v>
      </c>
      <c r="L3717" s="149" t="s">
        <v>219</v>
      </c>
      <c r="M3717" s="151">
        <v>107536.62</v>
      </c>
    </row>
    <row r="3718" spans="1:13" s="149" customFormat="1" x14ac:dyDescent="0.25">
      <c r="A3718" s="149" t="s">
        <v>7640</v>
      </c>
      <c r="B3718" s="149" t="s">
        <v>1629</v>
      </c>
      <c r="C3718" s="149">
        <v>11</v>
      </c>
      <c r="D3718" s="149">
        <v>330</v>
      </c>
      <c r="E3718" s="149">
        <v>0</v>
      </c>
      <c r="F3718" s="149">
        <v>40110</v>
      </c>
      <c r="G3718" s="149">
        <v>53210</v>
      </c>
      <c r="H3718" s="150" t="str">
        <f t="shared" si="174"/>
        <v>5</v>
      </c>
      <c r="I3718" s="150" t="str">
        <f t="shared" si="175"/>
        <v>53</v>
      </c>
      <c r="J3718" s="150" t="str">
        <f t="shared" si="176"/>
        <v>532</v>
      </c>
      <c r="K3718" s="150" t="s">
        <v>8927</v>
      </c>
      <c r="L3718" s="149" t="s">
        <v>1630</v>
      </c>
      <c r="M3718" s="151">
        <v>22894.97</v>
      </c>
    </row>
    <row r="3719" spans="1:13" s="149" customFormat="1" x14ac:dyDescent="0.25">
      <c r="A3719" s="149" t="s">
        <v>7640</v>
      </c>
      <c r="B3719" s="149" t="s">
        <v>1631</v>
      </c>
      <c r="C3719" s="149">
        <v>11</v>
      </c>
      <c r="D3719" s="149">
        <v>330</v>
      </c>
      <c r="E3719" s="149">
        <v>0</v>
      </c>
      <c r="F3719" s="149">
        <v>40110</v>
      </c>
      <c r="G3719" s="149">
        <v>53310</v>
      </c>
      <c r="H3719" s="150" t="str">
        <f t="shared" si="174"/>
        <v>5</v>
      </c>
      <c r="I3719" s="150" t="str">
        <f t="shared" si="175"/>
        <v>53</v>
      </c>
      <c r="J3719" s="150" t="str">
        <f t="shared" si="176"/>
        <v>533</v>
      </c>
      <c r="K3719" s="150" t="s">
        <v>8928</v>
      </c>
      <c r="L3719" s="149" t="s">
        <v>221</v>
      </c>
      <c r="M3719" s="151">
        <v>12823.06</v>
      </c>
    </row>
    <row r="3720" spans="1:13" s="149" customFormat="1" x14ac:dyDescent="0.25">
      <c r="A3720" s="149" t="s">
        <v>7640</v>
      </c>
      <c r="B3720" s="149" t="s">
        <v>1632</v>
      </c>
      <c r="C3720" s="149">
        <v>11</v>
      </c>
      <c r="D3720" s="149">
        <v>330</v>
      </c>
      <c r="E3720" s="149">
        <v>0</v>
      </c>
      <c r="F3720" s="149">
        <v>40110</v>
      </c>
      <c r="G3720" s="149">
        <v>53320</v>
      </c>
      <c r="H3720" s="150" t="str">
        <f t="shared" si="174"/>
        <v>5</v>
      </c>
      <c r="I3720" s="150" t="str">
        <f t="shared" si="175"/>
        <v>53</v>
      </c>
      <c r="J3720" s="150" t="str">
        <f t="shared" si="176"/>
        <v>533</v>
      </c>
      <c r="K3720" s="150" t="s">
        <v>8929</v>
      </c>
      <c r="L3720" s="149" t="s">
        <v>1633</v>
      </c>
      <c r="M3720" s="151">
        <v>1.1100000000000001</v>
      </c>
    </row>
    <row r="3721" spans="1:13" s="149" customFormat="1" x14ac:dyDescent="0.25">
      <c r="A3721" s="149" t="s">
        <v>7640</v>
      </c>
      <c r="B3721" s="149" t="s">
        <v>1634</v>
      </c>
      <c r="C3721" s="149">
        <v>11</v>
      </c>
      <c r="D3721" s="149">
        <v>330</v>
      </c>
      <c r="E3721" s="149">
        <v>0</v>
      </c>
      <c r="F3721" s="149">
        <v>40110</v>
      </c>
      <c r="G3721" s="149">
        <v>53330</v>
      </c>
      <c r="H3721" s="150" t="str">
        <f t="shared" si="174"/>
        <v>5</v>
      </c>
      <c r="I3721" s="150" t="str">
        <f t="shared" si="175"/>
        <v>53</v>
      </c>
      <c r="J3721" s="150" t="str">
        <f t="shared" si="176"/>
        <v>533</v>
      </c>
      <c r="K3721" s="150" t="s">
        <v>8930</v>
      </c>
      <c r="L3721" s="149" t="s">
        <v>223</v>
      </c>
      <c r="M3721" s="151">
        <v>12582.14</v>
      </c>
    </row>
    <row r="3722" spans="1:13" s="149" customFormat="1" x14ac:dyDescent="0.25">
      <c r="A3722" s="149" t="s">
        <v>7640</v>
      </c>
      <c r="B3722" s="149" t="s">
        <v>1635</v>
      </c>
      <c r="C3722" s="149">
        <v>11</v>
      </c>
      <c r="D3722" s="149">
        <v>330</v>
      </c>
      <c r="E3722" s="149">
        <v>0</v>
      </c>
      <c r="F3722" s="149">
        <v>40110</v>
      </c>
      <c r="G3722" s="149">
        <v>53340</v>
      </c>
      <c r="H3722" s="150" t="str">
        <f t="shared" si="174"/>
        <v>5</v>
      </c>
      <c r="I3722" s="150" t="str">
        <f t="shared" si="175"/>
        <v>53</v>
      </c>
      <c r="J3722" s="150" t="str">
        <f t="shared" si="176"/>
        <v>533</v>
      </c>
      <c r="K3722" s="150" t="s">
        <v>8931</v>
      </c>
      <c r="L3722" s="149" t="s">
        <v>1636</v>
      </c>
      <c r="M3722" s="151">
        <v>0.26</v>
      </c>
    </row>
    <row r="3723" spans="1:13" s="149" customFormat="1" x14ac:dyDescent="0.25">
      <c r="A3723" s="149" t="s">
        <v>7640</v>
      </c>
      <c r="B3723" s="149" t="s">
        <v>1637</v>
      </c>
      <c r="C3723" s="149">
        <v>11</v>
      </c>
      <c r="D3723" s="149">
        <v>330</v>
      </c>
      <c r="E3723" s="149">
        <v>0</v>
      </c>
      <c r="F3723" s="149">
        <v>40110</v>
      </c>
      <c r="G3723" s="149">
        <v>53410</v>
      </c>
      <c r="H3723" s="150" t="str">
        <f t="shared" si="174"/>
        <v>5</v>
      </c>
      <c r="I3723" s="150" t="str">
        <f t="shared" si="175"/>
        <v>53</v>
      </c>
      <c r="J3723" s="150" t="str">
        <f t="shared" si="176"/>
        <v>534</v>
      </c>
      <c r="K3723" s="150" t="s">
        <v>8932</v>
      </c>
      <c r="L3723" s="149" t="s">
        <v>1638</v>
      </c>
      <c r="M3723" s="151">
        <v>145593.53</v>
      </c>
    </row>
    <row r="3724" spans="1:13" s="149" customFormat="1" x14ac:dyDescent="0.25">
      <c r="A3724" s="149" t="s">
        <v>7640</v>
      </c>
      <c r="B3724" s="149" t="s">
        <v>1639</v>
      </c>
      <c r="C3724" s="149">
        <v>11</v>
      </c>
      <c r="D3724" s="149">
        <v>330</v>
      </c>
      <c r="E3724" s="149">
        <v>0</v>
      </c>
      <c r="F3724" s="149">
        <v>40110</v>
      </c>
      <c r="G3724" s="149">
        <v>53510</v>
      </c>
      <c r="H3724" s="150" t="str">
        <f t="shared" si="174"/>
        <v>5</v>
      </c>
      <c r="I3724" s="150" t="str">
        <f t="shared" si="175"/>
        <v>53</v>
      </c>
      <c r="J3724" s="150" t="str">
        <f t="shared" si="176"/>
        <v>535</v>
      </c>
      <c r="K3724" s="150" t="s">
        <v>8933</v>
      </c>
      <c r="L3724" s="149" t="s">
        <v>225</v>
      </c>
      <c r="M3724" s="151">
        <v>434.84</v>
      </c>
    </row>
    <row r="3725" spans="1:13" s="149" customFormat="1" x14ac:dyDescent="0.25">
      <c r="A3725" s="149" t="s">
        <v>7640</v>
      </c>
      <c r="B3725" s="149" t="s">
        <v>1640</v>
      </c>
      <c r="C3725" s="149">
        <v>11</v>
      </c>
      <c r="D3725" s="149">
        <v>330</v>
      </c>
      <c r="E3725" s="149">
        <v>0</v>
      </c>
      <c r="F3725" s="149">
        <v>40110</v>
      </c>
      <c r="G3725" s="149">
        <v>53610</v>
      </c>
      <c r="H3725" s="150" t="str">
        <f t="shared" si="174"/>
        <v>5</v>
      </c>
      <c r="I3725" s="150" t="str">
        <f t="shared" si="175"/>
        <v>53</v>
      </c>
      <c r="J3725" s="150" t="str">
        <f t="shared" si="176"/>
        <v>536</v>
      </c>
      <c r="K3725" s="150" t="s">
        <v>8934</v>
      </c>
      <c r="L3725" s="149" t="s">
        <v>227</v>
      </c>
      <c r="M3725" s="151">
        <v>16451.830000000002</v>
      </c>
    </row>
    <row r="3726" spans="1:13" s="149" customFormat="1" x14ac:dyDescent="0.25">
      <c r="A3726" s="149" t="s">
        <v>7640</v>
      </c>
      <c r="B3726" s="149" t="s">
        <v>1641</v>
      </c>
      <c r="C3726" s="149">
        <v>11</v>
      </c>
      <c r="D3726" s="149">
        <v>330</v>
      </c>
      <c r="E3726" s="149">
        <v>0</v>
      </c>
      <c r="F3726" s="149">
        <v>40110</v>
      </c>
      <c r="G3726" s="149">
        <v>53620</v>
      </c>
      <c r="H3726" s="150" t="str">
        <f t="shared" si="174"/>
        <v>5</v>
      </c>
      <c r="I3726" s="150" t="str">
        <f t="shared" si="175"/>
        <v>53</v>
      </c>
      <c r="J3726" s="150" t="str">
        <f t="shared" si="176"/>
        <v>536</v>
      </c>
      <c r="K3726" s="150" t="s">
        <v>8935</v>
      </c>
      <c r="L3726" s="149" t="s">
        <v>1642</v>
      </c>
      <c r="M3726" s="151">
        <v>0.35</v>
      </c>
    </row>
    <row r="3727" spans="1:13" s="149" customFormat="1" x14ac:dyDescent="0.25">
      <c r="A3727" s="149" t="s">
        <v>7640</v>
      </c>
      <c r="B3727" s="149" t="s">
        <v>1643</v>
      </c>
      <c r="C3727" s="149">
        <v>11</v>
      </c>
      <c r="D3727" s="149">
        <v>330</v>
      </c>
      <c r="E3727" s="149">
        <v>0</v>
      </c>
      <c r="F3727" s="149">
        <v>40110</v>
      </c>
      <c r="G3727" s="149">
        <v>53910</v>
      </c>
      <c r="H3727" s="150" t="str">
        <f t="shared" si="174"/>
        <v>5</v>
      </c>
      <c r="I3727" s="150" t="str">
        <f t="shared" si="175"/>
        <v>53</v>
      </c>
      <c r="J3727" s="150" t="str">
        <f t="shared" si="176"/>
        <v>539</v>
      </c>
      <c r="K3727" s="150" t="s">
        <v>8936</v>
      </c>
      <c r="L3727" s="149" t="s">
        <v>1644</v>
      </c>
      <c r="M3727" s="151">
        <v>5740.88</v>
      </c>
    </row>
    <row r="3728" spans="1:13" s="149" customFormat="1" x14ac:dyDescent="0.25">
      <c r="A3728" s="149" t="s">
        <v>7640</v>
      </c>
      <c r="B3728" s="149" t="s">
        <v>1645</v>
      </c>
      <c r="C3728" s="149">
        <v>11</v>
      </c>
      <c r="D3728" s="149">
        <v>330</v>
      </c>
      <c r="E3728" s="149">
        <v>0</v>
      </c>
      <c r="F3728" s="149">
        <v>40110</v>
      </c>
      <c r="G3728" s="149">
        <v>54300</v>
      </c>
      <c r="H3728" s="150" t="str">
        <f t="shared" si="174"/>
        <v>5</v>
      </c>
      <c r="I3728" s="150" t="str">
        <f t="shared" si="175"/>
        <v>54</v>
      </c>
      <c r="J3728" s="150" t="str">
        <f t="shared" si="176"/>
        <v>543</v>
      </c>
      <c r="K3728" s="150" t="s">
        <v>7938</v>
      </c>
      <c r="L3728" s="149" t="s">
        <v>1646</v>
      </c>
      <c r="M3728" s="151">
        <v>18474.169999999998</v>
      </c>
    </row>
    <row r="3729" spans="1:13" s="149" customFormat="1" x14ac:dyDescent="0.25">
      <c r="A3729" s="149" t="s">
        <v>7640</v>
      </c>
      <c r="B3729" s="149" t="s">
        <v>1647</v>
      </c>
      <c r="C3729" s="149">
        <v>11</v>
      </c>
      <c r="D3729" s="149">
        <v>330</v>
      </c>
      <c r="E3729" s="149">
        <v>0</v>
      </c>
      <c r="F3729" s="149">
        <v>40110</v>
      </c>
      <c r="G3729" s="149">
        <v>55630</v>
      </c>
      <c r="H3729" s="150" t="str">
        <f t="shared" si="174"/>
        <v>5</v>
      </c>
      <c r="I3729" s="150" t="str">
        <f t="shared" si="175"/>
        <v>55</v>
      </c>
      <c r="J3729" s="150" t="str">
        <f t="shared" si="176"/>
        <v>556</v>
      </c>
      <c r="K3729" s="150" t="s">
        <v>8217</v>
      </c>
      <c r="L3729" s="149" t="s">
        <v>1648</v>
      </c>
      <c r="M3729" s="151">
        <v>35.92</v>
      </c>
    </row>
    <row r="3730" spans="1:13" s="149" customFormat="1" x14ac:dyDescent="0.25">
      <c r="A3730" s="149" t="s">
        <v>7640</v>
      </c>
      <c r="B3730" s="149" t="s">
        <v>1649</v>
      </c>
      <c r="C3730" s="149">
        <v>11</v>
      </c>
      <c r="D3730" s="149">
        <v>330</v>
      </c>
      <c r="E3730" s="149">
        <v>0</v>
      </c>
      <c r="F3730" s="149">
        <v>40110</v>
      </c>
      <c r="G3730" s="149">
        <v>55650</v>
      </c>
      <c r="H3730" s="150" t="str">
        <f t="shared" si="174"/>
        <v>5</v>
      </c>
      <c r="I3730" s="150" t="str">
        <f t="shared" si="175"/>
        <v>55</v>
      </c>
      <c r="J3730" s="150" t="str">
        <f t="shared" si="176"/>
        <v>556</v>
      </c>
      <c r="K3730" s="150" t="s">
        <v>8297</v>
      </c>
      <c r="L3730" s="149" t="s">
        <v>1650</v>
      </c>
      <c r="M3730" s="151">
        <v>4000</v>
      </c>
    </row>
    <row r="3731" spans="1:13" s="149" customFormat="1" x14ac:dyDescent="0.25">
      <c r="A3731" s="149" t="s">
        <v>7640</v>
      </c>
      <c r="B3731" s="149" t="s">
        <v>1651</v>
      </c>
      <c r="C3731" s="149">
        <v>11</v>
      </c>
      <c r="D3731" s="149">
        <v>330</v>
      </c>
      <c r="E3731" s="149">
        <v>0</v>
      </c>
      <c r="F3731" s="149">
        <v>70710</v>
      </c>
      <c r="G3731" s="149">
        <v>54300</v>
      </c>
      <c r="H3731" s="150" t="str">
        <f t="shared" si="174"/>
        <v>5</v>
      </c>
      <c r="I3731" s="150" t="str">
        <f t="shared" si="175"/>
        <v>54</v>
      </c>
      <c r="J3731" s="150" t="str">
        <f t="shared" si="176"/>
        <v>543</v>
      </c>
      <c r="K3731" s="150" t="s">
        <v>7939</v>
      </c>
      <c r="L3731" s="149" t="s">
        <v>1652</v>
      </c>
      <c r="M3731" s="151">
        <v>0</v>
      </c>
    </row>
    <row r="3732" spans="1:13" s="149" customFormat="1" x14ac:dyDescent="0.25">
      <c r="A3732" s="149" t="s">
        <v>7640</v>
      </c>
      <c r="B3732" s="149" t="s">
        <v>1653</v>
      </c>
      <c r="C3732" s="149">
        <v>11</v>
      </c>
      <c r="D3732" s="149">
        <v>330</v>
      </c>
      <c r="E3732" s="149">
        <v>0</v>
      </c>
      <c r="F3732" s="149">
        <v>70710</v>
      </c>
      <c r="G3732" s="149">
        <v>55630</v>
      </c>
      <c r="H3732" s="150" t="str">
        <f t="shared" si="174"/>
        <v>5</v>
      </c>
      <c r="I3732" s="150" t="str">
        <f t="shared" si="175"/>
        <v>55</v>
      </c>
      <c r="J3732" s="150" t="str">
        <f t="shared" si="176"/>
        <v>556</v>
      </c>
      <c r="K3732" s="150" t="s">
        <v>8218</v>
      </c>
      <c r="L3732" s="149" t="s">
        <v>1654</v>
      </c>
      <c r="M3732" s="151">
        <v>0</v>
      </c>
    </row>
    <row r="3733" spans="1:13" s="149" customFormat="1" x14ac:dyDescent="0.25">
      <c r="A3733" s="149" t="s">
        <v>7640</v>
      </c>
      <c r="B3733" s="149" t="s">
        <v>1655</v>
      </c>
      <c r="C3733" s="149">
        <v>11</v>
      </c>
      <c r="D3733" s="149">
        <v>330</v>
      </c>
      <c r="E3733" s="149">
        <v>0</v>
      </c>
      <c r="F3733" s="149">
        <v>90100</v>
      </c>
      <c r="G3733" s="149">
        <v>51100</v>
      </c>
      <c r="H3733" s="150" t="str">
        <f t="shared" si="174"/>
        <v>5</v>
      </c>
      <c r="I3733" s="150" t="str">
        <f t="shared" si="175"/>
        <v>51</v>
      </c>
      <c r="J3733" s="150" t="str">
        <f t="shared" si="176"/>
        <v>511</v>
      </c>
      <c r="K3733" s="150" t="s">
        <v>8937</v>
      </c>
      <c r="L3733" s="149" t="s">
        <v>1656</v>
      </c>
      <c r="M3733" s="151">
        <v>98798.76</v>
      </c>
    </row>
    <row r="3734" spans="1:13" s="149" customFormat="1" x14ac:dyDescent="0.25">
      <c r="A3734" s="149" t="s">
        <v>7640</v>
      </c>
      <c r="B3734" s="149" t="s">
        <v>1657</v>
      </c>
      <c r="C3734" s="149">
        <v>11</v>
      </c>
      <c r="D3734" s="149">
        <v>330</v>
      </c>
      <c r="E3734" s="149">
        <v>0</v>
      </c>
      <c r="F3734" s="149">
        <v>90100</v>
      </c>
      <c r="G3734" s="149">
        <v>51310</v>
      </c>
      <c r="H3734" s="150" t="str">
        <f t="shared" si="174"/>
        <v>5</v>
      </c>
      <c r="I3734" s="150" t="str">
        <f t="shared" si="175"/>
        <v>51</v>
      </c>
      <c r="J3734" s="150" t="str">
        <f t="shared" si="176"/>
        <v>513</v>
      </c>
      <c r="K3734" s="150" t="s">
        <v>7665</v>
      </c>
      <c r="L3734" s="149" t="s">
        <v>1658</v>
      </c>
      <c r="M3734" s="151">
        <v>5729.98</v>
      </c>
    </row>
    <row r="3735" spans="1:13" s="149" customFormat="1" x14ac:dyDescent="0.25">
      <c r="A3735" s="149" t="s">
        <v>7640</v>
      </c>
      <c r="B3735" s="149" t="s">
        <v>1659</v>
      </c>
      <c r="C3735" s="149">
        <v>11</v>
      </c>
      <c r="D3735" s="149">
        <v>330</v>
      </c>
      <c r="E3735" s="149">
        <v>0</v>
      </c>
      <c r="F3735" s="149">
        <v>90100</v>
      </c>
      <c r="G3735" s="149">
        <v>51311</v>
      </c>
      <c r="H3735" s="150" t="str">
        <f t="shared" si="174"/>
        <v>5</v>
      </c>
      <c r="I3735" s="150" t="str">
        <f t="shared" si="175"/>
        <v>51</v>
      </c>
      <c r="J3735" s="150" t="str">
        <f t="shared" si="176"/>
        <v>513</v>
      </c>
      <c r="K3735" s="150" t="s">
        <v>7740</v>
      </c>
      <c r="L3735" s="149" t="s">
        <v>1660</v>
      </c>
      <c r="M3735" s="151">
        <v>0</v>
      </c>
    </row>
    <row r="3736" spans="1:13" s="149" customFormat="1" x14ac:dyDescent="0.25">
      <c r="A3736" s="149" t="s">
        <v>7640</v>
      </c>
      <c r="B3736" s="149" t="s">
        <v>1661</v>
      </c>
      <c r="C3736" s="149">
        <v>11</v>
      </c>
      <c r="D3736" s="149">
        <v>330</v>
      </c>
      <c r="E3736" s="149">
        <v>0</v>
      </c>
      <c r="F3736" s="149">
        <v>90100</v>
      </c>
      <c r="G3736" s="149">
        <v>51412</v>
      </c>
      <c r="H3736" s="150" t="str">
        <f t="shared" si="174"/>
        <v>5</v>
      </c>
      <c r="I3736" s="150" t="str">
        <f t="shared" si="175"/>
        <v>51</v>
      </c>
      <c r="J3736" s="150" t="str">
        <f t="shared" si="176"/>
        <v>514</v>
      </c>
      <c r="K3736" s="150" t="s">
        <v>7791</v>
      </c>
      <c r="L3736" s="149" t="s">
        <v>1662</v>
      </c>
      <c r="M3736" s="151">
        <v>300</v>
      </c>
    </row>
    <row r="3737" spans="1:13" s="149" customFormat="1" x14ac:dyDescent="0.25">
      <c r="A3737" s="149" t="s">
        <v>7640</v>
      </c>
      <c r="B3737" s="149" t="s">
        <v>1663</v>
      </c>
      <c r="C3737" s="149">
        <v>11</v>
      </c>
      <c r="D3737" s="149">
        <v>330</v>
      </c>
      <c r="E3737" s="149">
        <v>0</v>
      </c>
      <c r="F3737" s="149">
        <v>90100</v>
      </c>
      <c r="G3737" s="149">
        <v>52200</v>
      </c>
      <c r="H3737" s="150" t="str">
        <f t="shared" si="174"/>
        <v>5</v>
      </c>
      <c r="I3737" s="150" t="str">
        <f t="shared" si="175"/>
        <v>52</v>
      </c>
      <c r="J3737" s="150" t="str">
        <f t="shared" si="176"/>
        <v>522</v>
      </c>
      <c r="K3737" s="150" t="s">
        <v>8938</v>
      </c>
      <c r="L3737" s="149" t="s">
        <v>1664</v>
      </c>
      <c r="M3737" s="151">
        <v>10843.59</v>
      </c>
    </row>
    <row r="3738" spans="1:13" s="149" customFormat="1" x14ac:dyDescent="0.25">
      <c r="A3738" s="149" t="s">
        <v>7640</v>
      </c>
      <c r="B3738" s="149" t="s">
        <v>1665</v>
      </c>
      <c r="C3738" s="149">
        <v>11</v>
      </c>
      <c r="D3738" s="149">
        <v>330</v>
      </c>
      <c r="E3738" s="149">
        <v>0</v>
      </c>
      <c r="F3738" s="149">
        <v>90100</v>
      </c>
      <c r="G3738" s="149">
        <v>52300</v>
      </c>
      <c r="H3738" s="150" t="str">
        <f t="shared" si="174"/>
        <v>5</v>
      </c>
      <c r="I3738" s="150" t="str">
        <f t="shared" si="175"/>
        <v>52</v>
      </c>
      <c r="J3738" s="150" t="str">
        <f t="shared" si="176"/>
        <v>523</v>
      </c>
      <c r="K3738" s="150" t="s">
        <v>7823</v>
      </c>
      <c r="L3738" s="149" t="s">
        <v>1666</v>
      </c>
      <c r="M3738" s="151">
        <v>430.75</v>
      </c>
    </row>
    <row r="3739" spans="1:13" s="149" customFormat="1" x14ac:dyDescent="0.25">
      <c r="A3739" s="149" t="s">
        <v>7640</v>
      </c>
      <c r="B3739" s="149" t="s">
        <v>1667</v>
      </c>
      <c r="C3739" s="149">
        <v>11</v>
      </c>
      <c r="D3739" s="149">
        <v>330</v>
      </c>
      <c r="E3739" s="149">
        <v>0</v>
      </c>
      <c r="F3739" s="149">
        <v>90100</v>
      </c>
      <c r="G3739" s="149">
        <v>53110</v>
      </c>
      <c r="H3739" s="150" t="str">
        <f t="shared" si="174"/>
        <v>5</v>
      </c>
      <c r="I3739" s="150" t="str">
        <f t="shared" si="175"/>
        <v>53</v>
      </c>
      <c r="J3739" s="150" t="str">
        <f t="shared" si="176"/>
        <v>531</v>
      </c>
      <c r="K3739" s="150" t="s">
        <v>8939</v>
      </c>
      <c r="L3739" s="149" t="s">
        <v>1668</v>
      </c>
      <c r="M3739" s="151">
        <v>16881.419999999998</v>
      </c>
    </row>
    <row r="3740" spans="1:13" s="149" customFormat="1" x14ac:dyDescent="0.25">
      <c r="A3740" s="149" t="s">
        <v>7640</v>
      </c>
      <c r="B3740" s="149" t="s">
        <v>1669</v>
      </c>
      <c r="C3740" s="149">
        <v>11</v>
      </c>
      <c r="D3740" s="149">
        <v>330</v>
      </c>
      <c r="E3740" s="149">
        <v>0</v>
      </c>
      <c r="F3740" s="149">
        <v>90100</v>
      </c>
      <c r="G3740" s="149">
        <v>53120</v>
      </c>
      <c r="H3740" s="150" t="str">
        <f t="shared" si="174"/>
        <v>5</v>
      </c>
      <c r="I3740" s="150" t="str">
        <f t="shared" si="175"/>
        <v>53</v>
      </c>
      <c r="J3740" s="150" t="str">
        <f t="shared" si="176"/>
        <v>531</v>
      </c>
      <c r="K3740" s="150" t="s">
        <v>8940</v>
      </c>
      <c r="L3740" s="149" t="s">
        <v>1670</v>
      </c>
      <c r="M3740" s="151">
        <v>48.45</v>
      </c>
    </row>
    <row r="3741" spans="1:13" s="149" customFormat="1" x14ac:dyDescent="0.25">
      <c r="A3741" s="149" t="s">
        <v>7640</v>
      </c>
      <c r="B3741" s="149" t="s">
        <v>1671</v>
      </c>
      <c r="C3741" s="149">
        <v>11</v>
      </c>
      <c r="D3741" s="149">
        <v>330</v>
      </c>
      <c r="E3741" s="149">
        <v>0</v>
      </c>
      <c r="F3741" s="149">
        <v>90100</v>
      </c>
      <c r="G3741" s="149">
        <v>53210</v>
      </c>
      <c r="H3741" s="150" t="str">
        <f t="shared" si="174"/>
        <v>5</v>
      </c>
      <c r="I3741" s="150" t="str">
        <f t="shared" si="175"/>
        <v>53</v>
      </c>
      <c r="J3741" s="150" t="str">
        <f t="shared" si="176"/>
        <v>532</v>
      </c>
      <c r="K3741" s="150" t="s">
        <v>8941</v>
      </c>
      <c r="L3741" s="149" t="s">
        <v>1672</v>
      </c>
      <c r="M3741" s="151">
        <v>2244.6</v>
      </c>
    </row>
    <row r="3742" spans="1:13" s="149" customFormat="1" x14ac:dyDescent="0.25">
      <c r="A3742" s="149" t="s">
        <v>7640</v>
      </c>
      <c r="B3742" s="149" t="s">
        <v>1673</v>
      </c>
      <c r="C3742" s="149">
        <v>11</v>
      </c>
      <c r="D3742" s="149">
        <v>330</v>
      </c>
      <c r="E3742" s="149">
        <v>0</v>
      </c>
      <c r="F3742" s="149">
        <v>90100</v>
      </c>
      <c r="G3742" s="149">
        <v>53310</v>
      </c>
      <c r="H3742" s="150" t="str">
        <f t="shared" si="174"/>
        <v>5</v>
      </c>
      <c r="I3742" s="150" t="str">
        <f t="shared" si="175"/>
        <v>53</v>
      </c>
      <c r="J3742" s="150" t="str">
        <f t="shared" si="176"/>
        <v>533</v>
      </c>
      <c r="K3742" s="150" t="s">
        <v>8942</v>
      </c>
      <c r="L3742" s="149" t="s">
        <v>1674</v>
      </c>
      <c r="M3742" s="151">
        <v>672.25</v>
      </c>
    </row>
    <row r="3743" spans="1:13" s="149" customFormat="1" x14ac:dyDescent="0.25">
      <c r="A3743" s="149" t="s">
        <v>7640</v>
      </c>
      <c r="B3743" s="149" t="s">
        <v>1675</v>
      </c>
      <c r="C3743" s="149">
        <v>11</v>
      </c>
      <c r="D3743" s="149">
        <v>330</v>
      </c>
      <c r="E3743" s="149">
        <v>0</v>
      </c>
      <c r="F3743" s="149">
        <v>90100</v>
      </c>
      <c r="G3743" s="149">
        <v>53320</v>
      </c>
      <c r="H3743" s="150" t="str">
        <f t="shared" si="174"/>
        <v>5</v>
      </c>
      <c r="I3743" s="150" t="str">
        <f t="shared" si="175"/>
        <v>53</v>
      </c>
      <c r="J3743" s="150" t="str">
        <f t="shared" si="176"/>
        <v>533</v>
      </c>
      <c r="K3743" s="150" t="s">
        <v>8943</v>
      </c>
      <c r="L3743" s="149" t="s">
        <v>1676</v>
      </c>
      <c r="M3743" s="151">
        <v>26.7</v>
      </c>
    </row>
    <row r="3744" spans="1:13" s="149" customFormat="1" x14ac:dyDescent="0.25">
      <c r="A3744" s="149" t="s">
        <v>7640</v>
      </c>
      <c r="B3744" s="149" t="s">
        <v>1677</v>
      </c>
      <c r="C3744" s="149">
        <v>11</v>
      </c>
      <c r="D3744" s="149">
        <v>330</v>
      </c>
      <c r="E3744" s="149">
        <v>0</v>
      </c>
      <c r="F3744" s="149">
        <v>90100</v>
      </c>
      <c r="G3744" s="149">
        <v>53330</v>
      </c>
      <c r="H3744" s="150" t="str">
        <f t="shared" si="174"/>
        <v>5</v>
      </c>
      <c r="I3744" s="150" t="str">
        <f t="shared" si="175"/>
        <v>53</v>
      </c>
      <c r="J3744" s="150" t="str">
        <f t="shared" si="176"/>
        <v>533</v>
      </c>
      <c r="K3744" s="150" t="s">
        <v>8944</v>
      </c>
      <c r="L3744" s="149" t="s">
        <v>1678</v>
      </c>
      <c r="M3744" s="151">
        <v>1661.06</v>
      </c>
    </row>
    <row r="3745" spans="1:13" s="149" customFormat="1" x14ac:dyDescent="0.25">
      <c r="A3745" s="149" t="s">
        <v>7640</v>
      </c>
      <c r="B3745" s="149" t="s">
        <v>1679</v>
      </c>
      <c r="C3745" s="149">
        <v>11</v>
      </c>
      <c r="D3745" s="149">
        <v>330</v>
      </c>
      <c r="E3745" s="149">
        <v>0</v>
      </c>
      <c r="F3745" s="149">
        <v>90100</v>
      </c>
      <c r="G3745" s="149">
        <v>53340</v>
      </c>
      <c r="H3745" s="150" t="str">
        <f t="shared" si="174"/>
        <v>5</v>
      </c>
      <c r="I3745" s="150" t="str">
        <f t="shared" si="175"/>
        <v>53</v>
      </c>
      <c r="J3745" s="150" t="str">
        <f t="shared" si="176"/>
        <v>533</v>
      </c>
      <c r="K3745" s="150" t="s">
        <v>8945</v>
      </c>
      <c r="L3745" s="149" t="s">
        <v>1680</v>
      </c>
      <c r="M3745" s="151">
        <v>10.59</v>
      </c>
    </row>
    <row r="3746" spans="1:13" s="149" customFormat="1" x14ac:dyDescent="0.25">
      <c r="A3746" s="149" t="s">
        <v>7640</v>
      </c>
      <c r="B3746" s="149" t="s">
        <v>1681</v>
      </c>
      <c r="C3746" s="149">
        <v>11</v>
      </c>
      <c r="D3746" s="149">
        <v>330</v>
      </c>
      <c r="E3746" s="149">
        <v>0</v>
      </c>
      <c r="F3746" s="149">
        <v>90100</v>
      </c>
      <c r="G3746" s="149">
        <v>53410</v>
      </c>
      <c r="H3746" s="150" t="str">
        <f t="shared" si="174"/>
        <v>5</v>
      </c>
      <c r="I3746" s="150" t="str">
        <f t="shared" si="175"/>
        <v>53</v>
      </c>
      <c r="J3746" s="150" t="str">
        <f t="shared" si="176"/>
        <v>534</v>
      </c>
      <c r="K3746" s="150" t="s">
        <v>8946</v>
      </c>
      <c r="L3746" s="149" t="s">
        <v>1682</v>
      </c>
      <c r="M3746" s="151">
        <v>30439.48</v>
      </c>
    </row>
    <row r="3747" spans="1:13" s="149" customFormat="1" x14ac:dyDescent="0.25">
      <c r="A3747" s="149" t="s">
        <v>7640</v>
      </c>
      <c r="B3747" s="149" t="s">
        <v>1683</v>
      </c>
      <c r="C3747" s="149">
        <v>11</v>
      </c>
      <c r="D3747" s="149">
        <v>330</v>
      </c>
      <c r="E3747" s="149">
        <v>0</v>
      </c>
      <c r="F3747" s="149">
        <v>90100</v>
      </c>
      <c r="G3747" s="149">
        <v>53510</v>
      </c>
      <c r="H3747" s="150" t="str">
        <f t="shared" si="174"/>
        <v>5</v>
      </c>
      <c r="I3747" s="150" t="str">
        <f t="shared" si="175"/>
        <v>53</v>
      </c>
      <c r="J3747" s="150" t="str">
        <f t="shared" si="176"/>
        <v>535</v>
      </c>
      <c r="K3747" s="150" t="s">
        <v>8947</v>
      </c>
      <c r="L3747" s="149" t="s">
        <v>1684</v>
      </c>
      <c r="M3747" s="151">
        <v>57.72</v>
      </c>
    </row>
    <row r="3748" spans="1:13" s="149" customFormat="1" x14ac:dyDescent="0.25">
      <c r="A3748" s="149" t="s">
        <v>7640</v>
      </c>
      <c r="B3748" s="149" t="s">
        <v>1685</v>
      </c>
      <c r="C3748" s="149">
        <v>11</v>
      </c>
      <c r="D3748" s="149">
        <v>330</v>
      </c>
      <c r="E3748" s="149">
        <v>0</v>
      </c>
      <c r="F3748" s="149">
        <v>90100</v>
      </c>
      <c r="G3748" s="149">
        <v>53520</v>
      </c>
      <c r="H3748" s="150" t="str">
        <f t="shared" si="174"/>
        <v>5</v>
      </c>
      <c r="I3748" s="150" t="str">
        <f t="shared" si="175"/>
        <v>53</v>
      </c>
      <c r="J3748" s="150" t="str">
        <f t="shared" si="176"/>
        <v>535</v>
      </c>
      <c r="K3748" s="150" t="s">
        <v>8948</v>
      </c>
      <c r="L3748" s="149" t="s">
        <v>1686</v>
      </c>
      <c r="M3748" s="151">
        <v>0.37</v>
      </c>
    </row>
    <row r="3749" spans="1:13" s="149" customFormat="1" x14ac:dyDescent="0.25">
      <c r="A3749" s="149" t="s">
        <v>7640</v>
      </c>
      <c r="B3749" s="149" t="s">
        <v>1687</v>
      </c>
      <c r="C3749" s="149">
        <v>11</v>
      </c>
      <c r="D3749" s="149">
        <v>330</v>
      </c>
      <c r="E3749" s="149">
        <v>0</v>
      </c>
      <c r="F3749" s="149">
        <v>90100</v>
      </c>
      <c r="G3749" s="149">
        <v>53610</v>
      </c>
      <c r="H3749" s="150" t="str">
        <f t="shared" si="174"/>
        <v>5</v>
      </c>
      <c r="I3749" s="150" t="str">
        <f t="shared" si="175"/>
        <v>53</v>
      </c>
      <c r="J3749" s="150" t="str">
        <f t="shared" si="176"/>
        <v>536</v>
      </c>
      <c r="K3749" s="150" t="s">
        <v>8949</v>
      </c>
      <c r="L3749" s="149" t="s">
        <v>1688</v>
      </c>
      <c r="M3749" s="151">
        <v>2181.96</v>
      </c>
    </row>
    <row r="3750" spans="1:13" s="149" customFormat="1" x14ac:dyDescent="0.25">
      <c r="A3750" s="149" t="s">
        <v>7640</v>
      </c>
      <c r="B3750" s="149" t="s">
        <v>1689</v>
      </c>
      <c r="C3750" s="149">
        <v>11</v>
      </c>
      <c r="D3750" s="149">
        <v>330</v>
      </c>
      <c r="E3750" s="149">
        <v>0</v>
      </c>
      <c r="F3750" s="149">
        <v>90100</v>
      </c>
      <c r="G3750" s="149">
        <v>53620</v>
      </c>
      <c r="H3750" s="150" t="str">
        <f t="shared" si="174"/>
        <v>5</v>
      </c>
      <c r="I3750" s="150" t="str">
        <f t="shared" si="175"/>
        <v>53</v>
      </c>
      <c r="J3750" s="150" t="str">
        <f t="shared" si="176"/>
        <v>536</v>
      </c>
      <c r="K3750" s="150" t="s">
        <v>8950</v>
      </c>
      <c r="L3750" s="149" t="s">
        <v>1690</v>
      </c>
      <c r="M3750" s="151">
        <v>13.81</v>
      </c>
    </row>
    <row r="3751" spans="1:13" s="149" customFormat="1" x14ac:dyDescent="0.25">
      <c r="A3751" s="149" t="s">
        <v>7640</v>
      </c>
      <c r="B3751" s="149" t="s">
        <v>1691</v>
      </c>
      <c r="C3751" s="149">
        <v>11</v>
      </c>
      <c r="D3751" s="149">
        <v>330</v>
      </c>
      <c r="E3751" s="149">
        <v>0</v>
      </c>
      <c r="F3751" s="149">
        <v>90100</v>
      </c>
      <c r="G3751" s="149">
        <v>53910</v>
      </c>
      <c r="H3751" s="150" t="str">
        <f t="shared" si="174"/>
        <v>5</v>
      </c>
      <c r="I3751" s="150" t="str">
        <f t="shared" si="175"/>
        <v>53</v>
      </c>
      <c r="J3751" s="150" t="str">
        <f t="shared" si="176"/>
        <v>539</v>
      </c>
      <c r="K3751" s="150" t="s">
        <v>8951</v>
      </c>
      <c r="L3751" s="149" t="s">
        <v>1692</v>
      </c>
      <c r="M3751" s="151">
        <v>360</v>
      </c>
    </row>
    <row r="3752" spans="1:13" s="149" customFormat="1" x14ac:dyDescent="0.25">
      <c r="A3752" s="149" t="s">
        <v>7640</v>
      </c>
      <c r="B3752" s="149" t="s">
        <v>1693</v>
      </c>
      <c r="C3752" s="149">
        <v>11</v>
      </c>
      <c r="D3752" s="149">
        <v>330</v>
      </c>
      <c r="E3752" s="149">
        <v>0</v>
      </c>
      <c r="F3752" s="149">
        <v>90100</v>
      </c>
      <c r="G3752" s="149">
        <v>54300</v>
      </c>
      <c r="H3752" s="150" t="str">
        <f t="shared" si="174"/>
        <v>5</v>
      </c>
      <c r="I3752" s="150" t="str">
        <f t="shared" si="175"/>
        <v>54</v>
      </c>
      <c r="J3752" s="150" t="str">
        <f t="shared" si="176"/>
        <v>543</v>
      </c>
      <c r="K3752" s="150" t="s">
        <v>7940</v>
      </c>
      <c r="L3752" s="149" t="s">
        <v>1694</v>
      </c>
      <c r="M3752" s="151">
        <v>1072.99</v>
      </c>
    </row>
    <row r="3753" spans="1:13" s="149" customFormat="1" x14ac:dyDescent="0.25">
      <c r="A3753" s="149" t="s">
        <v>7640</v>
      </c>
      <c r="B3753" s="149" t="s">
        <v>1695</v>
      </c>
      <c r="C3753" s="149">
        <v>11</v>
      </c>
      <c r="D3753" s="149">
        <v>330</v>
      </c>
      <c r="E3753" s="149">
        <v>0</v>
      </c>
      <c r="F3753" s="149">
        <v>90100</v>
      </c>
      <c r="G3753" s="149">
        <v>55630</v>
      </c>
      <c r="H3753" s="150" t="str">
        <f t="shared" si="174"/>
        <v>5</v>
      </c>
      <c r="I3753" s="150" t="str">
        <f t="shared" si="175"/>
        <v>55</v>
      </c>
      <c r="J3753" s="150" t="str">
        <f t="shared" si="176"/>
        <v>556</v>
      </c>
      <c r="K3753" s="150" t="s">
        <v>8219</v>
      </c>
      <c r="L3753" s="149" t="s">
        <v>1696</v>
      </c>
      <c r="M3753" s="151">
        <v>0</v>
      </c>
    </row>
    <row r="3754" spans="1:13" s="149" customFormat="1" x14ac:dyDescent="0.25">
      <c r="A3754" s="149" t="s">
        <v>7640</v>
      </c>
      <c r="B3754" s="149" t="s">
        <v>1697</v>
      </c>
      <c r="C3754" s="149">
        <v>11</v>
      </c>
      <c r="D3754" s="149">
        <v>330</v>
      </c>
      <c r="E3754" s="149">
        <v>0</v>
      </c>
      <c r="F3754" s="149">
        <v>170100</v>
      </c>
      <c r="G3754" s="149">
        <v>51100</v>
      </c>
      <c r="H3754" s="150" t="str">
        <f t="shared" si="174"/>
        <v>5</v>
      </c>
      <c r="I3754" s="150" t="str">
        <f t="shared" si="175"/>
        <v>51</v>
      </c>
      <c r="J3754" s="150" t="str">
        <f t="shared" si="176"/>
        <v>511</v>
      </c>
      <c r="K3754" s="150" t="s">
        <v>8952</v>
      </c>
      <c r="L3754" s="149" t="s">
        <v>1698</v>
      </c>
      <c r="M3754" s="151">
        <v>1224889.49</v>
      </c>
    </row>
    <row r="3755" spans="1:13" s="149" customFormat="1" x14ac:dyDescent="0.25">
      <c r="A3755" s="149" t="s">
        <v>7640</v>
      </c>
      <c r="B3755" s="149" t="s">
        <v>1699</v>
      </c>
      <c r="C3755" s="149">
        <v>11</v>
      </c>
      <c r="D3755" s="149">
        <v>330</v>
      </c>
      <c r="E3755" s="149">
        <v>0</v>
      </c>
      <c r="F3755" s="149">
        <v>170100</v>
      </c>
      <c r="G3755" s="149">
        <v>51310</v>
      </c>
      <c r="H3755" s="150" t="str">
        <f t="shared" si="174"/>
        <v>5</v>
      </c>
      <c r="I3755" s="150" t="str">
        <f t="shared" si="175"/>
        <v>51</v>
      </c>
      <c r="J3755" s="150" t="str">
        <f t="shared" si="176"/>
        <v>513</v>
      </c>
      <c r="K3755" s="150" t="s">
        <v>7666</v>
      </c>
      <c r="L3755" s="149" t="s">
        <v>1700</v>
      </c>
      <c r="M3755" s="151">
        <v>165308.10999999999</v>
      </c>
    </row>
    <row r="3756" spans="1:13" s="149" customFormat="1" x14ac:dyDescent="0.25">
      <c r="A3756" s="149" t="s">
        <v>7640</v>
      </c>
      <c r="B3756" s="149" t="s">
        <v>1701</v>
      </c>
      <c r="C3756" s="149">
        <v>11</v>
      </c>
      <c r="D3756" s="149">
        <v>330</v>
      </c>
      <c r="E3756" s="149">
        <v>0</v>
      </c>
      <c r="F3756" s="149">
        <v>170100</v>
      </c>
      <c r="G3756" s="149">
        <v>51311</v>
      </c>
      <c r="H3756" s="150" t="str">
        <f t="shared" si="174"/>
        <v>5</v>
      </c>
      <c r="I3756" s="150" t="str">
        <f t="shared" si="175"/>
        <v>51</v>
      </c>
      <c r="J3756" s="150" t="str">
        <f t="shared" si="176"/>
        <v>513</v>
      </c>
      <c r="K3756" s="150" t="s">
        <v>7741</v>
      </c>
      <c r="L3756" s="149" t="s">
        <v>329</v>
      </c>
      <c r="M3756" s="151">
        <v>77003.59</v>
      </c>
    </row>
    <row r="3757" spans="1:13" s="149" customFormat="1" x14ac:dyDescent="0.25">
      <c r="A3757" s="149" t="s">
        <v>7640</v>
      </c>
      <c r="B3757" s="149" t="s">
        <v>1702</v>
      </c>
      <c r="C3757" s="149">
        <v>11</v>
      </c>
      <c r="D3757" s="149">
        <v>330</v>
      </c>
      <c r="E3757" s="149">
        <v>0</v>
      </c>
      <c r="F3757" s="149">
        <v>170100</v>
      </c>
      <c r="G3757" s="149">
        <v>51412</v>
      </c>
      <c r="H3757" s="150" t="str">
        <f t="shared" si="174"/>
        <v>5</v>
      </c>
      <c r="I3757" s="150" t="str">
        <f t="shared" si="175"/>
        <v>51</v>
      </c>
      <c r="J3757" s="150" t="str">
        <f t="shared" si="176"/>
        <v>514</v>
      </c>
      <c r="K3757" s="150" t="s">
        <v>7792</v>
      </c>
      <c r="L3757" s="149" t="s">
        <v>1703</v>
      </c>
      <c r="M3757" s="151">
        <v>300</v>
      </c>
    </row>
    <row r="3758" spans="1:13" s="149" customFormat="1" x14ac:dyDescent="0.25">
      <c r="A3758" s="149" t="s">
        <v>7640</v>
      </c>
      <c r="B3758" s="149" t="s">
        <v>1704</v>
      </c>
      <c r="C3758" s="149">
        <v>11</v>
      </c>
      <c r="D3758" s="149">
        <v>330</v>
      </c>
      <c r="E3758" s="149">
        <v>0</v>
      </c>
      <c r="F3758" s="149">
        <v>170100</v>
      </c>
      <c r="G3758" s="149">
        <v>53110</v>
      </c>
      <c r="H3758" s="150" t="str">
        <f t="shared" si="174"/>
        <v>5</v>
      </c>
      <c r="I3758" s="150" t="str">
        <f t="shared" si="175"/>
        <v>53</v>
      </c>
      <c r="J3758" s="150" t="str">
        <f t="shared" si="176"/>
        <v>531</v>
      </c>
      <c r="K3758" s="150" t="s">
        <v>8953</v>
      </c>
      <c r="L3758" s="149" t="s">
        <v>331</v>
      </c>
      <c r="M3758" s="151">
        <v>238031.44</v>
      </c>
    </row>
    <row r="3759" spans="1:13" s="149" customFormat="1" x14ac:dyDescent="0.25">
      <c r="A3759" s="149" t="s">
        <v>7640</v>
      </c>
      <c r="B3759" s="149" t="s">
        <v>1705</v>
      </c>
      <c r="C3759" s="149">
        <v>11</v>
      </c>
      <c r="D3759" s="149">
        <v>330</v>
      </c>
      <c r="E3759" s="149">
        <v>0</v>
      </c>
      <c r="F3759" s="149">
        <v>170100</v>
      </c>
      <c r="G3759" s="149">
        <v>53120</v>
      </c>
      <c r="H3759" s="150" t="str">
        <f t="shared" si="174"/>
        <v>5</v>
      </c>
      <c r="I3759" s="150" t="str">
        <f t="shared" si="175"/>
        <v>53</v>
      </c>
      <c r="J3759" s="150" t="str">
        <f t="shared" si="176"/>
        <v>531</v>
      </c>
      <c r="K3759" s="150" t="s">
        <v>8954</v>
      </c>
      <c r="L3759" s="149" t="s">
        <v>1706</v>
      </c>
      <c r="M3759" s="151">
        <v>48.45</v>
      </c>
    </row>
    <row r="3760" spans="1:13" s="149" customFormat="1" x14ac:dyDescent="0.25">
      <c r="A3760" s="149" t="s">
        <v>7640</v>
      </c>
      <c r="B3760" s="149" t="s">
        <v>1707</v>
      </c>
      <c r="C3760" s="149">
        <v>11</v>
      </c>
      <c r="D3760" s="149">
        <v>330</v>
      </c>
      <c r="E3760" s="149">
        <v>0</v>
      </c>
      <c r="F3760" s="149">
        <v>170100</v>
      </c>
      <c r="G3760" s="149">
        <v>53310</v>
      </c>
      <c r="H3760" s="150" t="str">
        <f t="shared" si="174"/>
        <v>5</v>
      </c>
      <c r="I3760" s="150" t="str">
        <f t="shared" si="175"/>
        <v>53</v>
      </c>
      <c r="J3760" s="150" t="str">
        <f t="shared" si="176"/>
        <v>533</v>
      </c>
      <c r="K3760" s="150" t="s">
        <v>8955</v>
      </c>
      <c r="L3760" s="149" t="s">
        <v>1708</v>
      </c>
      <c r="M3760" s="151">
        <v>1536.68</v>
      </c>
    </row>
    <row r="3761" spans="1:13" s="149" customFormat="1" x14ac:dyDescent="0.25">
      <c r="A3761" s="149" t="s">
        <v>7640</v>
      </c>
      <c r="B3761" s="149" t="s">
        <v>1709</v>
      </c>
      <c r="C3761" s="149">
        <v>11</v>
      </c>
      <c r="D3761" s="149">
        <v>330</v>
      </c>
      <c r="E3761" s="149">
        <v>0</v>
      </c>
      <c r="F3761" s="149">
        <v>170100</v>
      </c>
      <c r="G3761" s="149">
        <v>53330</v>
      </c>
      <c r="H3761" s="150" t="str">
        <f t="shared" si="174"/>
        <v>5</v>
      </c>
      <c r="I3761" s="150" t="str">
        <f t="shared" si="175"/>
        <v>53</v>
      </c>
      <c r="J3761" s="150" t="str">
        <f t="shared" si="176"/>
        <v>533</v>
      </c>
      <c r="K3761" s="150" t="s">
        <v>8956</v>
      </c>
      <c r="L3761" s="149" t="s">
        <v>333</v>
      </c>
      <c r="M3761" s="151">
        <v>20887.990000000002</v>
      </c>
    </row>
    <row r="3762" spans="1:13" s="149" customFormat="1" x14ac:dyDescent="0.25">
      <c r="A3762" s="149" t="s">
        <v>7640</v>
      </c>
      <c r="B3762" s="149" t="s">
        <v>1710</v>
      </c>
      <c r="C3762" s="149">
        <v>11</v>
      </c>
      <c r="D3762" s="149">
        <v>330</v>
      </c>
      <c r="E3762" s="149">
        <v>0</v>
      </c>
      <c r="F3762" s="149">
        <v>170100</v>
      </c>
      <c r="G3762" s="149">
        <v>53340</v>
      </c>
      <c r="H3762" s="150" t="str">
        <f t="shared" si="174"/>
        <v>5</v>
      </c>
      <c r="I3762" s="150" t="str">
        <f t="shared" si="175"/>
        <v>53</v>
      </c>
      <c r="J3762" s="150" t="str">
        <f t="shared" si="176"/>
        <v>533</v>
      </c>
      <c r="K3762" s="150" t="s">
        <v>8957</v>
      </c>
      <c r="L3762" s="149" t="s">
        <v>1711</v>
      </c>
      <c r="M3762" s="151">
        <v>4.3499999999999996</v>
      </c>
    </row>
    <row r="3763" spans="1:13" s="149" customFormat="1" x14ac:dyDescent="0.25">
      <c r="A3763" s="149" t="s">
        <v>7640</v>
      </c>
      <c r="B3763" s="149" t="s">
        <v>1712</v>
      </c>
      <c r="C3763" s="149">
        <v>11</v>
      </c>
      <c r="D3763" s="149">
        <v>330</v>
      </c>
      <c r="E3763" s="149">
        <v>0</v>
      </c>
      <c r="F3763" s="149">
        <v>170100</v>
      </c>
      <c r="G3763" s="149">
        <v>53410</v>
      </c>
      <c r="H3763" s="150" t="str">
        <f t="shared" si="174"/>
        <v>5</v>
      </c>
      <c r="I3763" s="150" t="str">
        <f t="shared" si="175"/>
        <v>53</v>
      </c>
      <c r="J3763" s="150" t="str">
        <f t="shared" si="176"/>
        <v>534</v>
      </c>
      <c r="K3763" s="150" t="s">
        <v>8958</v>
      </c>
      <c r="L3763" s="149" t="s">
        <v>1713</v>
      </c>
      <c r="M3763" s="151">
        <v>311311.71999999997</v>
      </c>
    </row>
    <row r="3764" spans="1:13" s="149" customFormat="1" x14ac:dyDescent="0.25">
      <c r="A3764" s="149" t="s">
        <v>7640</v>
      </c>
      <c r="B3764" s="149" t="s">
        <v>1714</v>
      </c>
      <c r="C3764" s="149">
        <v>11</v>
      </c>
      <c r="D3764" s="149">
        <v>330</v>
      </c>
      <c r="E3764" s="149">
        <v>0</v>
      </c>
      <c r="F3764" s="149">
        <v>170100</v>
      </c>
      <c r="G3764" s="149">
        <v>53510</v>
      </c>
      <c r="H3764" s="150" t="str">
        <f t="shared" si="174"/>
        <v>5</v>
      </c>
      <c r="I3764" s="150" t="str">
        <f t="shared" si="175"/>
        <v>53</v>
      </c>
      <c r="J3764" s="150" t="str">
        <f t="shared" si="176"/>
        <v>535</v>
      </c>
      <c r="K3764" s="150" t="s">
        <v>8959</v>
      </c>
      <c r="L3764" s="149" t="s">
        <v>335</v>
      </c>
      <c r="M3764" s="151">
        <v>723.99</v>
      </c>
    </row>
    <row r="3765" spans="1:13" s="149" customFormat="1" x14ac:dyDescent="0.25">
      <c r="A3765" s="149" t="s">
        <v>7640</v>
      </c>
      <c r="B3765" s="149" t="s">
        <v>1715</v>
      </c>
      <c r="C3765" s="149">
        <v>11</v>
      </c>
      <c r="D3765" s="149">
        <v>330</v>
      </c>
      <c r="E3765" s="149">
        <v>0</v>
      </c>
      <c r="F3765" s="149">
        <v>170100</v>
      </c>
      <c r="G3765" s="149">
        <v>53520</v>
      </c>
      <c r="H3765" s="150" t="str">
        <f t="shared" si="174"/>
        <v>5</v>
      </c>
      <c r="I3765" s="150" t="str">
        <f t="shared" si="175"/>
        <v>53</v>
      </c>
      <c r="J3765" s="150" t="str">
        <f t="shared" si="176"/>
        <v>535</v>
      </c>
      <c r="K3765" s="150" t="s">
        <v>8960</v>
      </c>
      <c r="L3765" s="149" t="s">
        <v>1716</v>
      </c>
      <c r="M3765" s="151">
        <v>0.15</v>
      </c>
    </row>
    <row r="3766" spans="1:13" s="149" customFormat="1" x14ac:dyDescent="0.25">
      <c r="A3766" s="149" t="s">
        <v>7640</v>
      </c>
      <c r="B3766" s="149" t="s">
        <v>1717</v>
      </c>
      <c r="C3766" s="149">
        <v>11</v>
      </c>
      <c r="D3766" s="149">
        <v>330</v>
      </c>
      <c r="E3766" s="149">
        <v>0</v>
      </c>
      <c r="F3766" s="149">
        <v>170100</v>
      </c>
      <c r="G3766" s="149">
        <v>53610</v>
      </c>
      <c r="H3766" s="150" t="str">
        <f t="shared" si="174"/>
        <v>5</v>
      </c>
      <c r="I3766" s="150" t="str">
        <f t="shared" si="175"/>
        <v>53</v>
      </c>
      <c r="J3766" s="150" t="str">
        <f t="shared" si="176"/>
        <v>536</v>
      </c>
      <c r="K3766" s="150" t="s">
        <v>8961</v>
      </c>
      <c r="L3766" s="149" t="s">
        <v>337</v>
      </c>
      <c r="M3766" s="151">
        <v>27741.71</v>
      </c>
    </row>
    <row r="3767" spans="1:13" s="149" customFormat="1" x14ac:dyDescent="0.25">
      <c r="A3767" s="149" t="s">
        <v>7640</v>
      </c>
      <c r="B3767" s="149" t="s">
        <v>1718</v>
      </c>
      <c r="C3767" s="149">
        <v>11</v>
      </c>
      <c r="D3767" s="149">
        <v>330</v>
      </c>
      <c r="E3767" s="149">
        <v>0</v>
      </c>
      <c r="F3767" s="149">
        <v>170100</v>
      </c>
      <c r="G3767" s="149">
        <v>53620</v>
      </c>
      <c r="H3767" s="150" t="str">
        <f t="shared" si="174"/>
        <v>5</v>
      </c>
      <c r="I3767" s="150" t="str">
        <f t="shared" si="175"/>
        <v>53</v>
      </c>
      <c r="J3767" s="150" t="str">
        <f t="shared" si="176"/>
        <v>536</v>
      </c>
      <c r="K3767" s="150" t="s">
        <v>8962</v>
      </c>
      <c r="L3767" s="149" t="s">
        <v>1719</v>
      </c>
      <c r="M3767" s="151">
        <v>5.67</v>
      </c>
    </row>
    <row r="3768" spans="1:13" s="149" customFormat="1" x14ac:dyDescent="0.25">
      <c r="A3768" s="149" t="s">
        <v>7640</v>
      </c>
      <c r="B3768" s="149" t="s">
        <v>1720</v>
      </c>
      <c r="C3768" s="149">
        <v>11</v>
      </c>
      <c r="D3768" s="149">
        <v>330</v>
      </c>
      <c r="E3768" s="149">
        <v>0</v>
      </c>
      <c r="F3768" s="149">
        <v>170100</v>
      </c>
      <c r="G3768" s="149">
        <v>53910</v>
      </c>
      <c r="H3768" s="150" t="str">
        <f t="shared" si="174"/>
        <v>5</v>
      </c>
      <c r="I3768" s="150" t="str">
        <f t="shared" si="175"/>
        <v>53</v>
      </c>
      <c r="J3768" s="150" t="str">
        <f t="shared" si="176"/>
        <v>539</v>
      </c>
      <c r="K3768" s="150" t="s">
        <v>8963</v>
      </c>
      <c r="L3768" s="149" t="s">
        <v>1721</v>
      </c>
      <c r="M3768" s="151">
        <v>5236.32</v>
      </c>
    </row>
    <row r="3769" spans="1:13" s="149" customFormat="1" x14ac:dyDescent="0.25">
      <c r="A3769" s="149" t="s">
        <v>7640</v>
      </c>
      <c r="B3769" s="149" t="s">
        <v>1722</v>
      </c>
      <c r="C3769" s="149">
        <v>11</v>
      </c>
      <c r="D3769" s="149">
        <v>330</v>
      </c>
      <c r="E3769" s="149">
        <v>0</v>
      </c>
      <c r="F3769" s="149">
        <v>170100</v>
      </c>
      <c r="G3769" s="149">
        <v>54300</v>
      </c>
      <c r="H3769" s="150" t="str">
        <f t="shared" si="174"/>
        <v>5</v>
      </c>
      <c r="I3769" s="150" t="str">
        <f t="shared" si="175"/>
        <v>54</v>
      </c>
      <c r="J3769" s="150" t="str">
        <f t="shared" si="176"/>
        <v>543</v>
      </c>
      <c r="K3769" s="150" t="s">
        <v>7941</v>
      </c>
      <c r="L3769" s="149" t="s">
        <v>1723</v>
      </c>
      <c r="M3769" s="151">
        <v>0</v>
      </c>
    </row>
    <row r="3770" spans="1:13" s="149" customFormat="1" x14ac:dyDescent="0.25">
      <c r="A3770" s="149" t="s">
        <v>7640</v>
      </c>
      <c r="B3770" s="149" t="s">
        <v>1724</v>
      </c>
      <c r="C3770" s="149">
        <v>11</v>
      </c>
      <c r="D3770" s="149">
        <v>330</v>
      </c>
      <c r="E3770" s="149">
        <v>0</v>
      </c>
      <c r="F3770" s="149">
        <v>170100</v>
      </c>
      <c r="G3770" s="149">
        <v>55630</v>
      </c>
      <c r="H3770" s="150" t="str">
        <f t="shared" si="174"/>
        <v>5</v>
      </c>
      <c r="I3770" s="150" t="str">
        <f t="shared" si="175"/>
        <v>55</v>
      </c>
      <c r="J3770" s="150" t="str">
        <f t="shared" si="176"/>
        <v>556</v>
      </c>
      <c r="K3770" s="150" t="s">
        <v>8220</v>
      </c>
      <c r="L3770" s="149" t="s">
        <v>339</v>
      </c>
      <c r="M3770" s="151">
        <v>0</v>
      </c>
    </row>
    <row r="3771" spans="1:13" s="149" customFormat="1" x14ac:dyDescent="0.25">
      <c r="A3771" s="149" t="s">
        <v>7640</v>
      </c>
      <c r="B3771" s="149" t="s">
        <v>1725</v>
      </c>
      <c r="C3771" s="149">
        <v>11</v>
      </c>
      <c r="D3771" s="149">
        <v>330</v>
      </c>
      <c r="E3771" s="149">
        <v>0</v>
      </c>
      <c r="F3771" s="149">
        <v>170100</v>
      </c>
      <c r="G3771" s="149">
        <v>55650</v>
      </c>
      <c r="H3771" s="150" t="str">
        <f t="shared" si="174"/>
        <v>5</v>
      </c>
      <c r="I3771" s="150" t="str">
        <f t="shared" si="175"/>
        <v>55</v>
      </c>
      <c r="J3771" s="150" t="str">
        <f t="shared" si="176"/>
        <v>556</v>
      </c>
      <c r="K3771" s="150" t="s">
        <v>8298</v>
      </c>
      <c r="L3771" s="149" t="s">
        <v>1726</v>
      </c>
      <c r="M3771" s="151">
        <v>0</v>
      </c>
    </row>
    <row r="3772" spans="1:13" s="149" customFormat="1" x14ac:dyDescent="0.25">
      <c r="A3772" s="149" t="s">
        <v>7640</v>
      </c>
      <c r="B3772" s="149" t="s">
        <v>1727</v>
      </c>
      <c r="C3772" s="149">
        <v>11</v>
      </c>
      <c r="D3772" s="149">
        <v>330</v>
      </c>
      <c r="E3772" s="149">
        <v>0</v>
      </c>
      <c r="F3772" s="149">
        <v>190200</v>
      </c>
      <c r="G3772" s="149">
        <v>51100</v>
      </c>
      <c r="H3772" s="150" t="str">
        <f t="shared" si="174"/>
        <v>5</v>
      </c>
      <c r="I3772" s="150" t="str">
        <f t="shared" si="175"/>
        <v>51</v>
      </c>
      <c r="J3772" s="150" t="str">
        <f t="shared" si="176"/>
        <v>511</v>
      </c>
      <c r="K3772" s="150" t="s">
        <v>8964</v>
      </c>
      <c r="L3772" s="149" t="s">
        <v>1728</v>
      </c>
      <c r="M3772" s="151">
        <v>78296.759999999995</v>
      </c>
    </row>
    <row r="3773" spans="1:13" s="149" customFormat="1" x14ac:dyDescent="0.25">
      <c r="A3773" s="149" t="s">
        <v>7640</v>
      </c>
      <c r="B3773" s="149" t="s">
        <v>1729</v>
      </c>
      <c r="C3773" s="149">
        <v>11</v>
      </c>
      <c r="D3773" s="149">
        <v>330</v>
      </c>
      <c r="E3773" s="149">
        <v>0</v>
      </c>
      <c r="F3773" s="149">
        <v>190200</v>
      </c>
      <c r="G3773" s="149">
        <v>51310</v>
      </c>
      <c r="H3773" s="150" t="str">
        <f t="shared" si="174"/>
        <v>5</v>
      </c>
      <c r="I3773" s="150" t="str">
        <f t="shared" si="175"/>
        <v>51</v>
      </c>
      <c r="J3773" s="150" t="str">
        <f t="shared" si="176"/>
        <v>513</v>
      </c>
      <c r="K3773" s="150" t="s">
        <v>7667</v>
      </c>
      <c r="L3773" s="149" t="s">
        <v>1730</v>
      </c>
      <c r="M3773" s="151">
        <v>8785.91</v>
      </c>
    </row>
    <row r="3774" spans="1:13" s="149" customFormat="1" x14ac:dyDescent="0.25">
      <c r="A3774" s="149" t="s">
        <v>7640</v>
      </c>
      <c r="B3774" s="149" t="s">
        <v>1731</v>
      </c>
      <c r="C3774" s="149">
        <v>11</v>
      </c>
      <c r="D3774" s="149">
        <v>330</v>
      </c>
      <c r="E3774" s="149">
        <v>0</v>
      </c>
      <c r="F3774" s="149">
        <v>190200</v>
      </c>
      <c r="G3774" s="149">
        <v>51311</v>
      </c>
      <c r="H3774" s="150" t="str">
        <f t="shared" si="174"/>
        <v>5</v>
      </c>
      <c r="I3774" s="150" t="str">
        <f t="shared" si="175"/>
        <v>51</v>
      </c>
      <c r="J3774" s="150" t="str">
        <f t="shared" si="176"/>
        <v>513</v>
      </c>
      <c r="K3774" s="150" t="s">
        <v>7742</v>
      </c>
      <c r="L3774" s="149" t="s">
        <v>341</v>
      </c>
      <c r="M3774" s="151">
        <v>46242.34</v>
      </c>
    </row>
    <row r="3775" spans="1:13" s="149" customFormat="1" x14ac:dyDescent="0.25">
      <c r="A3775" s="149" t="s">
        <v>7640</v>
      </c>
      <c r="B3775" s="149" t="s">
        <v>1732</v>
      </c>
      <c r="C3775" s="149">
        <v>11</v>
      </c>
      <c r="D3775" s="149">
        <v>330</v>
      </c>
      <c r="E3775" s="149">
        <v>0</v>
      </c>
      <c r="F3775" s="149">
        <v>190200</v>
      </c>
      <c r="G3775" s="149">
        <v>52200</v>
      </c>
      <c r="H3775" s="150" t="str">
        <f t="shared" si="174"/>
        <v>5</v>
      </c>
      <c r="I3775" s="150" t="str">
        <f t="shared" si="175"/>
        <v>52</v>
      </c>
      <c r="J3775" s="150" t="str">
        <f t="shared" si="176"/>
        <v>522</v>
      </c>
      <c r="K3775" s="150" t="s">
        <v>8965</v>
      </c>
      <c r="L3775" s="149" t="s">
        <v>1733</v>
      </c>
      <c r="M3775" s="151">
        <v>40663.47</v>
      </c>
    </row>
    <row r="3776" spans="1:13" s="149" customFormat="1" x14ac:dyDescent="0.25">
      <c r="A3776" s="149" t="s">
        <v>7640</v>
      </c>
      <c r="B3776" s="149" t="s">
        <v>1734</v>
      </c>
      <c r="C3776" s="149">
        <v>11</v>
      </c>
      <c r="D3776" s="149">
        <v>330</v>
      </c>
      <c r="E3776" s="149">
        <v>0</v>
      </c>
      <c r="F3776" s="149">
        <v>190200</v>
      </c>
      <c r="G3776" s="149">
        <v>52300</v>
      </c>
      <c r="H3776" s="150" t="str">
        <f t="shared" si="174"/>
        <v>5</v>
      </c>
      <c r="I3776" s="150" t="str">
        <f t="shared" si="175"/>
        <v>52</v>
      </c>
      <c r="J3776" s="150" t="str">
        <f t="shared" si="176"/>
        <v>523</v>
      </c>
      <c r="K3776" s="150" t="s">
        <v>7824</v>
      </c>
      <c r="L3776" s="149" t="s">
        <v>1735</v>
      </c>
      <c r="M3776" s="151">
        <v>1615.3</v>
      </c>
    </row>
    <row r="3777" spans="1:13" s="149" customFormat="1" x14ac:dyDescent="0.25">
      <c r="A3777" s="149" t="s">
        <v>7640</v>
      </c>
      <c r="B3777" s="149" t="s">
        <v>1736</v>
      </c>
      <c r="C3777" s="149">
        <v>11</v>
      </c>
      <c r="D3777" s="149">
        <v>330</v>
      </c>
      <c r="E3777" s="149">
        <v>0</v>
      </c>
      <c r="F3777" s="149">
        <v>190200</v>
      </c>
      <c r="G3777" s="149">
        <v>53110</v>
      </c>
      <c r="H3777" s="150" t="str">
        <f t="shared" si="174"/>
        <v>5</v>
      </c>
      <c r="I3777" s="150" t="str">
        <f t="shared" si="175"/>
        <v>53</v>
      </c>
      <c r="J3777" s="150" t="str">
        <f t="shared" si="176"/>
        <v>531</v>
      </c>
      <c r="K3777" s="150" t="s">
        <v>8966</v>
      </c>
      <c r="L3777" s="149" t="s">
        <v>343</v>
      </c>
      <c r="M3777" s="151">
        <v>21532.01</v>
      </c>
    </row>
    <row r="3778" spans="1:13" s="149" customFormat="1" x14ac:dyDescent="0.25">
      <c r="A3778" s="149" t="s">
        <v>7640</v>
      </c>
      <c r="B3778" s="149" t="s">
        <v>1737</v>
      </c>
      <c r="C3778" s="149">
        <v>11</v>
      </c>
      <c r="D3778" s="149">
        <v>330</v>
      </c>
      <c r="E3778" s="149">
        <v>0</v>
      </c>
      <c r="F3778" s="149">
        <v>190200</v>
      </c>
      <c r="G3778" s="149">
        <v>53210</v>
      </c>
      <c r="H3778" s="150" t="str">
        <f t="shared" si="174"/>
        <v>5</v>
      </c>
      <c r="I3778" s="150" t="str">
        <f t="shared" si="175"/>
        <v>53</v>
      </c>
      <c r="J3778" s="150" t="str">
        <f t="shared" si="176"/>
        <v>532</v>
      </c>
      <c r="K3778" s="150" t="s">
        <v>8967</v>
      </c>
      <c r="L3778" s="149" t="s">
        <v>1738</v>
      </c>
      <c r="M3778" s="151">
        <v>8417.2900000000009</v>
      </c>
    </row>
    <row r="3779" spans="1:13" s="149" customFormat="1" x14ac:dyDescent="0.25">
      <c r="A3779" s="149" t="s">
        <v>7640</v>
      </c>
      <c r="B3779" s="149" t="s">
        <v>1739</v>
      </c>
      <c r="C3779" s="149">
        <v>11</v>
      </c>
      <c r="D3779" s="149">
        <v>330</v>
      </c>
      <c r="E3779" s="149">
        <v>0</v>
      </c>
      <c r="F3779" s="149">
        <v>190200</v>
      </c>
      <c r="G3779" s="149">
        <v>53310</v>
      </c>
      <c r="H3779" s="150" t="str">
        <f t="shared" ref="H3779:H3842" si="177">LEFT(G3779,1)</f>
        <v>5</v>
      </c>
      <c r="I3779" s="150" t="str">
        <f t="shared" ref="I3779:I3842" si="178">LEFT(G3779,2)</f>
        <v>53</v>
      </c>
      <c r="J3779" s="150" t="str">
        <f t="shared" ref="J3779:J3842" si="179">LEFT(G3779,3)</f>
        <v>533</v>
      </c>
      <c r="K3779" s="150" t="s">
        <v>8968</v>
      </c>
      <c r="L3779" s="149" t="s">
        <v>1740</v>
      </c>
      <c r="M3779" s="151">
        <v>2521.15</v>
      </c>
    </row>
    <row r="3780" spans="1:13" s="149" customFormat="1" x14ac:dyDescent="0.25">
      <c r="A3780" s="149" t="s">
        <v>7640</v>
      </c>
      <c r="B3780" s="149" t="s">
        <v>1741</v>
      </c>
      <c r="C3780" s="149">
        <v>11</v>
      </c>
      <c r="D3780" s="149">
        <v>330</v>
      </c>
      <c r="E3780" s="149">
        <v>0</v>
      </c>
      <c r="F3780" s="149">
        <v>190200</v>
      </c>
      <c r="G3780" s="149">
        <v>53320</v>
      </c>
      <c r="H3780" s="150" t="str">
        <f t="shared" si="177"/>
        <v>5</v>
      </c>
      <c r="I3780" s="150" t="str">
        <f t="shared" si="178"/>
        <v>53</v>
      </c>
      <c r="J3780" s="150" t="str">
        <f t="shared" si="179"/>
        <v>533</v>
      </c>
      <c r="K3780" s="150" t="s">
        <v>8969</v>
      </c>
      <c r="L3780" s="149" t="s">
        <v>1742</v>
      </c>
      <c r="M3780" s="151">
        <v>100.16</v>
      </c>
    </row>
    <row r="3781" spans="1:13" s="149" customFormat="1" x14ac:dyDescent="0.25">
      <c r="A3781" s="149" t="s">
        <v>7640</v>
      </c>
      <c r="B3781" s="149" t="s">
        <v>1743</v>
      </c>
      <c r="C3781" s="149">
        <v>11</v>
      </c>
      <c r="D3781" s="149">
        <v>330</v>
      </c>
      <c r="E3781" s="149">
        <v>0</v>
      </c>
      <c r="F3781" s="149">
        <v>190200</v>
      </c>
      <c r="G3781" s="149">
        <v>53330</v>
      </c>
      <c r="H3781" s="150" t="str">
        <f t="shared" si="177"/>
        <v>5</v>
      </c>
      <c r="I3781" s="150" t="str">
        <f t="shared" si="178"/>
        <v>53</v>
      </c>
      <c r="J3781" s="150" t="str">
        <f t="shared" si="179"/>
        <v>533</v>
      </c>
      <c r="K3781" s="150" t="s">
        <v>8970</v>
      </c>
      <c r="L3781" s="149" t="s">
        <v>345</v>
      </c>
      <c r="M3781" s="151">
        <v>2522.7800000000002</v>
      </c>
    </row>
    <row r="3782" spans="1:13" s="149" customFormat="1" x14ac:dyDescent="0.25">
      <c r="A3782" s="149" t="s">
        <v>7640</v>
      </c>
      <c r="B3782" s="149" t="s">
        <v>1744</v>
      </c>
      <c r="C3782" s="149">
        <v>11</v>
      </c>
      <c r="D3782" s="149">
        <v>330</v>
      </c>
      <c r="E3782" s="149">
        <v>0</v>
      </c>
      <c r="F3782" s="149">
        <v>190200</v>
      </c>
      <c r="G3782" s="149">
        <v>53340</v>
      </c>
      <c r="H3782" s="150" t="str">
        <f t="shared" si="177"/>
        <v>5</v>
      </c>
      <c r="I3782" s="150" t="str">
        <f t="shared" si="178"/>
        <v>53</v>
      </c>
      <c r="J3782" s="150" t="str">
        <f t="shared" si="179"/>
        <v>533</v>
      </c>
      <c r="K3782" s="150" t="s">
        <v>8971</v>
      </c>
      <c r="L3782" s="149" t="s">
        <v>1745</v>
      </c>
      <c r="M3782" s="151">
        <v>23.42</v>
      </c>
    </row>
    <row r="3783" spans="1:13" s="149" customFormat="1" x14ac:dyDescent="0.25">
      <c r="A3783" s="149" t="s">
        <v>7640</v>
      </c>
      <c r="B3783" s="149" t="s">
        <v>1746</v>
      </c>
      <c r="C3783" s="149">
        <v>11</v>
      </c>
      <c r="D3783" s="149">
        <v>330</v>
      </c>
      <c r="E3783" s="149">
        <v>0</v>
      </c>
      <c r="F3783" s="149">
        <v>190200</v>
      </c>
      <c r="G3783" s="149">
        <v>53410</v>
      </c>
      <c r="H3783" s="150" t="str">
        <f t="shared" si="177"/>
        <v>5</v>
      </c>
      <c r="I3783" s="150" t="str">
        <f t="shared" si="178"/>
        <v>53</v>
      </c>
      <c r="J3783" s="150" t="str">
        <f t="shared" si="179"/>
        <v>534</v>
      </c>
      <c r="K3783" s="150" t="s">
        <v>8972</v>
      </c>
      <c r="L3783" s="149" t="s">
        <v>1747</v>
      </c>
      <c r="M3783" s="151">
        <v>15452.99</v>
      </c>
    </row>
    <row r="3784" spans="1:13" s="149" customFormat="1" x14ac:dyDescent="0.25">
      <c r="A3784" s="149" t="s">
        <v>7640</v>
      </c>
      <c r="B3784" s="149" t="s">
        <v>1748</v>
      </c>
      <c r="C3784" s="149">
        <v>11</v>
      </c>
      <c r="D3784" s="149">
        <v>330</v>
      </c>
      <c r="E3784" s="149">
        <v>0</v>
      </c>
      <c r="F3784" s="149">
        <v>190200</v>
      </c>
      <c r="G3784" s="149">
        <v>53510</v>
      </c>
      <c r="H3784" s="150" t="str">
        <f t="shared" si="177"/>
        <v>5</v>
      </c>
      <c r="I3784" s="150" t="str">
        <f t="shared" si="178"/>
        <v>53</v>
      </c>
      <c r="J3784" s="150" t="str">
        <f t="shared" si="179"/>
        <v>535</v>
      </c>
      <c r="K3784" s="150" t="s">
        <v>8973</v>
      </c>
      <c r="L3784" s="149" t="s">
        <v>347</v>
      </c>
      <c r="M3784" s="151">
        <v>87.12</v>
      </c>
    </row>
    <row r="3785" spans="1:13" s="149" customFormat="1" x14ac:dyDescent="0.25">
      <c r="A3785" s="149" t="s">
        <v>7640</v>
      </c>
      <c r="B3785" s="149" t="s">
        <v>1749</v>
      </c>
      <c r="C3785" s="149">
        <v>11</v>
      </c>
      <c r="D3785" s="149">
        <v>330</v>
      </c>
      <c r="E3785" s="149">
        <v>0</v>
      </c>
      <c r="F3785" s="149">
        <v>190200</v>
      </c>
      <c r="G3785" s="149">
        <v>53520</v>
      </c>
      <c r="H3785" s="150" t="str">
        <f t="shared" si="177"/>
        <v>5</v>
      </c>
      <c r="I3785" s="150" t="str">
        <f t="shared" si="178"/>
        <v>53</v>
      </c>
      <c r="J3785" s="150" t="str">
        <f t="shared" si="179"/>
        <v>535</v>
      </c>
      <c r="K3785" s="150" t="s">
        <v>8974</v>
      </c>
      <c r="L3785" s="149" t="s">
        <v>1750</v>
      </c>
      <c r="M3785" s="151">
        <v>0.8</v>
      </c>
    </row>
    <row r="3786" spans="1:13" s="149" customFormat="1" x14ac:dyDescent="0.25">
      <c r="A3786" s="149" t="s">
        <v>7640</v>
      </c>
      <c r="B3786" s="149" t="s">
        <v>1751</v>
      </c>
      <c r="C3786" s="149">
        <v>11</v>
      </c>
      <c r="D3786" s="149">
        <v>330</v>
      </c>
      <c r="E3786" s="149">
        <v>0</v>
      </c>
      <c r="F3786" s="149">
        <v>190200</v>
      </c>
      <c r="G3786" s="149">
        <v>53610</v>
      </c>
      <c r="H3786" s="150" t="str">
        <f t="shared" si="177"/>
        <v>5</v>
      </c>
      <c r="I3786" s="150" t="str">
        <f t="shared" si="178"/>
        <v>53</v>
      </c>
      <c r="J3786" s="150" t="str">
        <f t="shared" si="179"/>
        <v>536</v>
      </c>
      <c r="K3786" s="150" t="s">
        <v>8975</v>
      </c>
      <c r="L3786" s="149" t="s">
        <v>349</v>
      </c>
      <c r="M3786" s="151">
        <v>3291.7</v>
      </c>
    </row>
    <row r="3787" spans="1:13" s="149" customFormat="1" x14ac:dyDescent="0.25">
      <c r="A3787" s="149" t="s">
        <v>7640</v>
      </c>
      <c r="B3787" s="149" t="s">
        <v>1752</v>
      </c>
      <c r="C3787" s="149">
        <v>11</v>
      </c>
      <c r="D3787" s="149">
        <v>330</v>
      </c>
      <c r="E3787" s="149">
        <v>0</v>
      </c>
      <c r="F3787" s="149">
        <v>190200</v>
      </c>
      <c r="G3787" s="149">
        <v>53620</v>
      </c>
      <c r="H3787" s="150" t="str">
        <f t="shared" si="177"/>
        <v>5</v>
      </c>
      <c r="I3787" s="150" t="str">
        <f t="shared" si="178"/>
        <v>53</v>
      </c>
      <c r="J3787" s="150" t="str">
        <f t="shared" si="179"/>
        <v>536</v>
      </c>
      <c r="K3787" s="150" t="s">
        <v>8976</v>
      </c>
      <c r="L3787" s="149" t="s">
        <v>1753</v>
      </c>
      <c r="M3787" s="151">
        <v>30.54</v>
      </c>
    </row>
    <row r="3788" spans="1:13" s="149" customFormat="1" x14ac:dyDescent="0.25">
      <c r="A3788" s="149" t="s">
        <v>7640</v>
      </c>
      <c r="B3788" s="149" t="s">
        <v>1754</v>
      </c>
      <c r="C3788" s="149">
        <v>11</v>
      </c>
      <c r="D3788" s="149">
        <v>330</v>
      </c>
      <c r="E3788" s="149">
        <v>0</v>
      </c>
      <c r="F3788" s="149">
        <v>190200</v>
      </c>
      <c r="G3788" s="149">
        <v>53910</v>
      </c>
      <c r="H3788" s="150" t="str">
        <f t="shared" si="177"/>
        <v>5</v>
      </c>
      <c r="I3788" s="150" t="str">
        <f t="shared" si="178"/>
        <v>53</v>
      </c>
      <c r="J3788" s="150" t="str">
        <f t="shared" si="179"/>
        <v>539</v>
      </c>
      <c r="K3788" s="150" t="s">
        <v>8977</v>
      </c>
      <c r="L3788" s="149" t="s">
        <v>1755</v>
      </c>
      <c r="M3788" s="151">
        <v>3313.62</v>
      </c>
    </row>
    <row r="3789" spans="1:13" s="149" customFormat="1" x14ac:dyDescent="0.25">
      <c r="A3789" s="149" t="s">
        <v>7640</v>
      </c>
      <c r="B3789" s="149" t="s">
        <v>1756</v>
      </c>
      <c r="C3789" s="149">
        <v>11</v>
      </c>
      <c r="D3789" s="149">
        <v>330</v>
      </c>
      <c r="E3789" s="149">
        <v>0</v>
      </c>
      <c r="F3789" s="149">
        <v>190200</v>
      </c>
      <c r="G3789" s="149">
        <v>54300</v>
      </c>
      <c r="H3789" s="150" t="str">
        <f t="shared" si="177"/>
        <v>5</v>
      </c>
      <c r="I3789" s="150" t="str">
        <f t="shared" si="178"/>
        <v>54</v>
      </c>
      <c r="J3789" s="150" t="str">
        <f t="shared" si="179"/>
        <v>543</v>
      </c>
      <c r="K3789" s="150" t="s">
        <v>7942</v>
      </c>
      <c r="L3789" s="149" t="s">
        <v>1757</v>
      </c>
      <c r="M3789" s="151">
        <v>1666.06</v>
      </c>
    </row>
    <row r="3790" spans="1:13" s="149" customFormat="1" x14ac:dyDescent="0.25">
      <c r="A3790" s="149" t="s">
        <v>7640</v>
      </c>
      <c r="B3790" s="149" t="s">
        <v>1758</v>
      </c>
      <c r="C3790" s="149">
        <v>11</v>
      </c>
      <c r="D3790" s="149">
        <v>330</v>
      </c>
      <c r="E3790" s="149">
        <v>0</v>
      </c>
      <c r="F3790" s="149">
        <v>190200</v>
      </c>
      <c r="G3790" s="149">
        <v>55630</v>
      </c>
      <c r="H3790" s="150" t="str">
        <f t="shared" si="177"/>
        <v>5</v>
      </c>
      <c r="I3790" s="150" t="str">
        <f t="shared" si="178"/>
        <v>55</v>
      </c>
      <c r="J3790" s="150" t="str">
        <f t="shared" si="179"/>
        <v>556</v>
      </c>
      <c r="K3790" s="150" t="s">
        <v>8221</v>
      </c>
      <c r="L3790" s="149" t="s">
        <v>351</v>
      </c>
      <c r="M3790" s="151">
        <v>0</v>
      </c>
    </row>
    <row r="3791" spans="1:13" s="149" customFormat="1" x14ac:dyDescent="0.25">
      <c r="A3791" s="149" t="s">
        <v>7640</v>
      </c>
      <c r="B3791" s="149" t="s">
        <v>1759</v>
      </c>
      <c r="C3791" s="149">
        <v>11</v>
      </c>
      <c r="D3791" s="149">
        <v>330</v>
      </c>
      <c r="E3791" s="149">
        <v>0</v>
      </c>
      <c r="F3791" s="149">
        <v>190500</v>
      </c>
      <c r="G3791" s="149">
        <v>51100</v>
      </c>
      <c r="H3791" s="150" t="str">
        <f t="shared" si="177"/>
        <v>5</v>
      </c>
      <c r="I3791" s="150" t="str">
        <f t="shared" si="178"/>
        <v>51</v>
      </c>
      <c r="J3791" s="150" t="str">
        <f t="shared" si="179"/>
        <v>511</v>
      </c>
      <c r="K3791" s="150" t="s">
        <v>8978</v>
      </c>
      <c r="L3791" s="149" t="s">
        <v>1760</v>
      </c>
      <c r="M3791" s="151">
        <v>234794.52</v>
      </c>
    </row>
    <row r="3792" spans="1:13" s="149" customFormat="1" x14ac:dyDescent="0.25">
      <c r="A3792" s="149" t="s">
        <v>7640</v>
      </c>
      <c r="B3792" s="149" t="s">
        <v>1761</v>
      </c>
      <c r="C3792" s="149">
        <v>11</v>
      </c>
      <c r="D3792" s="149">
        <v>330</v>
      </c>
      <c r="E3792" s="149">
        <v>0</v>
      </c>
      <c r="F3792" s="149">
        <v>190500</v>
      </c>
      <c r="G3792" s="149">
        <v>51310</v>
      </c>
      <c r="H3792" s="150" t="str">
        <f t="shared" si="177"/>
        <v>5</v>
      </c>
      <c r="I3792" s="150" t="str">
        <f t="shared" si="178"/>
        <v>51</v>
      </c>
      <c r="J3792" s="150" t="str">
        <f t="shared" si="179"/>
        <v>513</v>
      </c>
      <c r="K3792" s="150" t="s">
        <v>7668</v>
      </c>
      <c r="L3792" s="149" t="s">
        <v>1762</v>
      </c>
      <c r="M3792" s="151">
        <v>48175.55</v>
      </c>
    </row>
    <row r="3793" spans="1:13" s="149" customFormat="1" x14ac:dyDescent="0.25">
      <c r="A3793" s="149" t="s">
        <v>7640</v>
      </c>
      <c r="B3793" s="149" t="s">
        <v>1763</v>
      </c>
      <c r="C3793" s="149">
        <v>11</v>
      </c>
      <c r="D3793" s="149">
        <v>330</v>
      </c>
      <c r="E3793" s="149">
        <v>0</v>
      </c>
      <c r="F3793" s="149">
        <v>190500</v>
      </c>
      <c r="G3793" s="149">
        <v>51311</v>
      </c>
      <c r="H3793" s="150" t="str">
        <f t="shared" si="177"/>
        <v>5</v>
      </c>
      <c r="I3793" s="150" t="str">
        <f t="shared" si="178"/>
        <v>51</v>
      </c>
      <c r="J3793" s="150" t="str">
        <f t="shared" si="179"/>
        <v>513</v>
      </c>
      <c r="K3793" s="150" t="s">
        <v>7743</v>
      </c>
      <c r="L3793" s="149" t="s">
        <v>1764</v>
      </c>
      <c r="M3793" s="151">
        <v>51212.27</v>
      </c>
    </row>
    <row r="3794" spans="1:13" s="149" customFormat="1" x14ac:dyDescent="0.25">
      <c r="A3794" s="149" t="s">
        <v>7640</v>
      </c>
      <c r="B3794" s="149" t="s">
        <v>1765</v>
      </c>
      <c r="C3794" s="149">
        <v>11</v>
      </c>
      <c r="D3794" s="149">
        <v>330</v>
      </c>
      <c r="E3794" s="149">
        <v>0</v>
      </c>
      <c r="F3794" s="149">
        <v>190500</v>
      </c>
      <c r="G3794" s="149">
        <v>52200</v>
      </c>
      <c r="H3794" s="150" t="str">
        <f t="shared" si="177"/>
        <v>5</v>
      </c>
      <c r="I3794" s="150" t="str">
        <f t="shared" si="178"/>
        <v>52</v>
      </c>
      <c r="J3794" s="150" t="str">
        <f t="shared" si="179"/>
        <v>522</v>
      </c>
      <c r="K3794" s="150" t="s">
        <v>8979</v>
      </c>
      <c r="L3794" s="149" t="s">
        <v>1766</v>
      </c>
      <c r="M3794" s="151">
        <v>99369.05</v>
      </c>
    </row>
    <row r="3795" spans="1:13" s="149" customFormat="1" x14ac:dyDescent="0.25">
      <c r="A3795" s="149" t="s">
        <v>7640</v>
      </c>
      <c r="B3795" s="149" t="s">
        <v>1767</v>
      </c>
      <c r="C3795" s="149">
        <v>11</v>
      </c>
      <c r="D3795" s="149">
        <v>330</v>
      </c>
      <c r="E3795" s="149">
        <v>0</v>
      </c>
      <c r="F3795" s="149">
        <v>190500</v>
      </c>
      <c r="G3795" s="149">
        <v>52300</v>
      </c>
      <c r="H3795" s="150" t="str">
        <f t="shared" si="177"/>
        <v>5</v>
      </c>
      <c r="I3795" s="150" t="str">
        <f t="shared" si="178"/>
        <v>52</v>
      </c>
      <c r="J3795" s="150" t="str">
        <f t="shared" si="179"/>
        <v>523</v>
      </c>
      <c r="K3795" s="150" t="s">
        <v>7825</v>
      </c>
      <c r="L3795" s="149" t="s">
        <v>1768</v>
      </c>
      <c r="M3795" s="151">
        <v>1466.27</v>
      </c>
    </row>
    <row r="3796" spans="1:13" s="149" customFormat="1" x14ac:dyDescent="0.25">
      <c r="A3796" s="149" t="s">
        <v>7640</v>
      </c>
      <c r="B3796" s="149" t="s">
        <v>1769</v>
      </c>
      <c r="C3796" s="149">
        <v>11</v>
      </c>
      <c r="D3796" s="149">
        <v>330</v>
      </c>
      <c r="E3796" s="149">
        <v>0</v>
      </c>
      <c r="F3796" s="149">
        <v>190500</v>
      </c>
      <c r="G3796" s="149">
        <v>53110</v>
      </c>
      <c r="H3796" s="150" t="str">
        <f t="shared" si="177"/>
        <v>5</v>
      </c>
      <c r="I3796" s="150" t="str">
        <f t="shared" si="178"/>
        <v>53</v>
      </c>
      <c r="J3796" s="150" t="str">
        <f t="shared" si="179"/>
        <v>531</v>
      </c>
      <c r="K3796" s="150" t="s">
        <v>8980</v>
      </c>
      <c r="L3796" s="149" t="s">
        <v>1770</v>
      </c>
      <c r="M3796" s="151">
        <v>53970.47</v>
      </c>
    </row>
    <row r="3797" spans="1:13" s="149" customFormat="1" x14ac:dyDescent="0.25">
      <c r="A3797" s="149" t="s">
        <v>7640</v>
      </c>
      <c r="B3797" s="149" t="s">
        <v>1771</v>
      </c>
      <c r="C3797" s="149">
        <v>11</v>
      </c>
      <c r="D3797" s="149">
        <v>330</v>
      </c>
      <c r="E3797" s="149">
        <v>0</v>
      </c>
      <c r="F3797" s="149">
        <v>190500</v>
      </c>
      <c r="G3797" s="149">
        <v>53210</v>
      </c>
      <c r="H3797" s="150" t="str">
        <f t="shared" si="177"/>
        <v>5</v>
      </c>
      <c r="I3797" s="150" t="str">
        <f t="shared" si="178"/>
        <v>53</v>
      </c>
      <c r="J3797" s="150" t="str">
        <f t="shared" si="179"/>
        <v>532</v>
      </c>
      <c r="K3797" s="150" t="s">
        <v>8981</v>
      </c>
      <c r="L3797" s="149" t="s">
        <v>1772</v>
      </c>
      <c r="M3797" s="151">
        <v>20551.66</v>
      </c>
    </row>
    <row r="3798" spans="1:13" s="149" customFormat="1" x14ac:dyDescent="0.25">
      <c r="A3798" s="149" t="s">
        <v>7640</v>
      </c>
      <c r="B3798" s="149" t="s">
        <v>1773</v>
      </c>
      <c r="C3798" s="149">
        <v>11</v>
      </c>
      <c r="D3798" s="149">
        <v>330</v>
      </c>
      <c r="E3798" s="149">
        <v>0</v>
      </c>
      <c r="F3798" s="149">
        <v>190500</v>
      </c>
      <c r="G3798" s="149">
        <v>53310</v>
      </c>
      <c r="H3798" s="150" t="str">
        <f t="shared" si="177"/>
        <v>5</v>
      </c>
      <c r="I3798" s="150" t="str">
        <f t="shared" si="178"/>
        <v>53</v>
      </c>
      <c r="J3798" s="150" t="str">
        <f t="shared" si="179"/>
        <v>533</v>
      </c>
      <c r="K3798" s="150" t="s">
        <v>8982</v>
      </c>
      <c r="L3798" s="149" t="s">
        <v>1774</v>
      </c>
      <c r="M3798" s="151">
        <v>6063.87</v>
      </c>
    </row>
    <row r="3799" spans="1:13" s="149" customFormat="1" x14ac:dyDescent="0.25">
      <c r="A3799" s="149" t="s">
        <v>7640</v>
      </c>
      <c r="B3799" s="149" t="s">
        <v>1775</v>
      </c>
      <c r="C3799" s="149">
        <v>11</v>
      </c>
      <c r="D3799" s="149">
        <v>330</v>
      </c>
      <c r="E3799" s="149">
        <v>0</v>
      </c>
      <c r="F3799" s="149">
        <v>190500</v>
      </c>
      <c r="G3799" s="149">
        <v>53320</v>
      </c>
      <c r="H3799" s="150" t="str">
        <f t="shared" si="177"/>
        <v>5</v>
      </c>
      <c r="I3799" s="150" t="str">
        <f t="shared" si="178"/>
        <v>53</v>
      </c>
      <c r="J3799" s="150" t="str">
        <f t="shared" si="179"/>
        <v>533</v>
      </c>
      <c r="K3799" s="150" t="s">
        <v>8983</v>
      </c>
      <c r="L3799" s="149" t="s">
        <v>1776</v>
      </c>
      <c r="M3799" s="151">
        <v>90.93</v>
      </c>
    </row>
    <row r="3800" spans="1:13" s="149" customFormat="1" x14ac:dyDescent="0.25">
      <c r="A3800" s="149" t="s">
        <v>7640</v>
      </c>
      <c r="B3800" s="149" t="s">
        <v>1777</v>
      </c>
      <c r="C3800" s="149">
        <v>11</v>
      </c>
      <c r="D3800" s="149">
        <v>330</v>
      </c>
      <c r="E3800" s="149">
        <v>0</v>
      </c>
      <c r="F3800" s="149">
        <v>190500</v>
      </c>
      <c r="G3800" s="149">
        <v>53330</v>
      </c>
      <c r="H3800" s="150" t="str">
        <f t="shared" si="177"/>
        <v>5</v>
      </c>
      <c r="I3800" s="150" t="str">
        <f t="shared" si="178"/>
        <v>53</v>
      </c>
      <c r="J3800" s="150" t="str">
        <f t="shared" si="179"/>
        <v>533</v>
      </c>
      <c r="K3800" s="150" t="s">
        <v>8984</v>
      </c>
      <c r="L3800" s="149" t="s">
        <v>1778</v>
      </c>
      <c r="M3800" s="151">
        <v>6263.85</v>
      </c>
    </row>
    <row r="3801" spans="1:13" s="149" customFormat="1" x14ac:dyDescent="0.25">
      <c r="A3801" s="149" t="s">
        <v>7640</v>
      </c>
      <c r="B3801" s="149" t="s">
        <v>1779</v>
      </c>
      <c r="C3801" s="149">
        <v>11</v>
      </c>
      <c r="D3801" s="149">
        <v>330</v>
      </c>
      <c r="E3801" s="149">
        <v>0</v>
      </c>
      <c r="F3801" s="149">
        <v>190500</v>
      </c>
      <c r="G3801" s="149">
        <v>53340</v>
      </c>
      <c r="H3801" s="150" t="str">
        <f t="shared" si="177"/>
        <v>5</v>
      </c>
      <c r="I3801" s="150" t="str">
        <f t="shared" si="178"/>
        <v>53</v>
      </c>
      <c r="J3801" s="150" t="str">
        <f t="shared" si="179"/>
        <v>533</v>
      </c>
      <c r="K3801" s="150" t="s">
        <v>8985</v>
      </c>
      <c r="L3801" s="149" t="s">
        <v>1780</v>
      </c>
      <c r="M3801" s="151">
        <v>21.24</v>
      </c>
    </row>
    <row r="3802" spans="1:13" s="149" customFormat="1" x14ac:dyDescent="0.25">
      <c r="A3802" s="149" t="s">
        <v>7640</v>
      </c>
      <c r="B3802" s="149" t="s">
        <v>1781</v>
      </c>
      <c r="C3802" s="149">
        <v>11</v>
      </c>
      <c r="D3802" s="149">
        <v>330</v>
      </c>
      <c r="E3802" s="149">
        <v>0</v>
      </c>
      <c r="F3802" s="149">
        <v>190500</v>
      </c>
      <c r="G3802" s="149">
        <v>53410</v>
      </c>
      <c r="H3802" s="150" t="str">
        <f t="shared" si="177"/>
        <v>5</v>
      </c>
      <c r="I3802" s="150" t="str">
        <f t="shared" si="178"/>
        <v>53</v>
      </c>
      <c r="J3802" s="150" t="str">
        <f t="shared" si="179"/>
        <v>534</v>
      </c>
      <c r="K3802" s="150" t="s">
        <v>8986</v>
      </c>
      <c r="L3802" s="149" t="s">
        <v>1782</v>
      </c>
      <c r="M3802" s="151">
        <v>56823.92</v>
      </c>
    </row>
    <row r="3803" spans="1:13" s="149" customFormat="1" x14ac:dyDescent="0.25">
      <c r="A3803" s="149" t="s">
        <v>7640</v>
      </c>
      <c r="B3803" s="149" t="s">
        <v>1783</v>
      </c>
      <c r="C3803" s="149">
        <v>11</v>
      </c>
      <c r="D3803" s="149">
        <v>330</v>
      </c>
      <c r="E3803" s="149">
        <v>0</v>
      </c>
      <c r="F3803" s="149">
        <v>190500</v>
      </c>
      <c r="G3803" s="149">
        <v>53510</v>
      </c>
      <c r="H3803" s="150" t="str">
        <f t="shared" si="177"/>
        <v>5</v>
      </c>
      <c r="I3803" s="150" t="str">
        <f t="shared" si="178"/>
        <v>53</v>
      </c>
      <c r="J3803" s="150" t="str">
        <f t="shared" si="179"/>
        <v>535</v>
      </c>
      <c r="K3803" s="150" t="s">
        <v>8987</v>
      </c>
      <c r="L3803" s="149" t="s">
        <v>1784</v>
      </c>
      <c r="M3803" s="151">
        <v>216.72</v>
      </c>
    </row>
    <row r="3804" spans="1:13" s="149" customFormat="1" x14ac:dyDescent="0.25">
      <c r="A3804" s="149" t="s">
        <v>7640</v>
      </c>
      <c r="B3804" s="149" t="s">
        <v>1785</v>
      </c>
      <c r="C3804" s="149">
        <v>11</v>
      </c>
      <c r="D3804" s="149">
        <v>330</v>
      </c>
      <c r="E3804" s="149">
        <v>0</v>
      </c>
      <c r="F3804" s="149">
        <v>190500</v>
      </c>
      <c r="G3804" s="149">
        <v>53520</v>
      </c>
      <c r="H3804" s="150" t="str">
        <f t="shared" si="177"/>
        <v>5</v>
      </c>
      <c r="I3804" s="150" t="str">
        <f t="shared" si="178"/>
        <v>53</v>
      </c>
      <c r="J3804" s="150" t="str">
        <f t="shared" si="179"/>
        <v>535</v>
      </c>
      <c r="K3804" s="150" t="s">
        <v>8988</v>
      </c>
      <c r="L3804" s="149" t="s">
        <v>1786</v>
      </c>
      <c r="M3804" s="151">
        <v>0.76</v>
      </c>
    </row>
    <row r="3805" spans="1:13" s="149" customFormat="1" x14ac:dyDescent="0.25">
      <c r="A3805" s="149" t="s">
        <v>7640</v>
      </c>
      <c r="B3805" s="149" t="s">
        <v>1787</v>
      </c>
      <c r="C3805" s="149">
        <v>11</v>
      </c>
      <c r="D3805" s="149">
        <v>330</v>
      </c>
      <c r="E3805" s="149">
        <v>0</v>
      </c>
      <c r="F3805" s="149">
        <v>190500</v>
      </c>
      <c r="G3805" s="149">
        <v>53610</v>
      </c>
      <c r="H3805" s="150" t="str">
        <f t="shared" si="177"/>
        <v>5</v>
      </c>
      <c r="I3805" s="150" t="str">
        <f t="shared" si="178"/>
        <v>53</v>
      </c>
      <c r="J3805" s="150" t="str">
        <f t="shared" si="179"/>
        <v>536</v>
      </c>
      <c r="K3805" s="150" t="s">
        <v>8989</v>
      </c>
      <c r="L3805" s="149" t="s">
        <v>1788</v>
      </c>
      <c r="M3805" s="151">
        <v>8202.1299999999992</v>
      </c>
    </row>
    <row r="3806" spans="1:13" s="149" customFormat="1" x14ac:dyDescent="0.25">
      <c r="A3806" s="149" t="s">
        <v>7640</v>
      </c>
      <c r="B3806" s="149" t="s">
        <v>1789</v>
      </c>
      <c r="C3806" s="149">
        <v>11</v>
      </c>
      <c r="D3806" s="149">
        <v>330</v>
      </c>
      <c r="E3806" s="149">
        <v>0</v>
      </c>
      <c r="F3806" s="149">
        <v>190500</v>
      </c>
      <c r="G3806" s="149">
        <v>53620</v>
      </c>
      <c r="H3806" s="150" t="str">
        <f t="shared" si="177"/>
        <v>5</v>
      </c>
      <c r="I3806" s="150" t="str">
        <f t="shared" si="178"/>
        <v>53</v>
      </c>
      <c r="J3806" s="150" t="str">
        <f t="shared" si="179"/>
        <v>536</v>
      </c>
      <c r="K3806" s="150" t="s">
        <v>8990</v>
      </c>
      <c r="L3806" s="149" t="s">
        <v>1790</v>
      </c>
      <c r="M3806" s="151">
        <v>27.73</v>
      </c>
    </row>
    <row r="3807" spans="1:13" s="149" customFormat="1" x14ac:dyDescent="0.25">
      <c r="A3807" s="149" t="s">
        <v>7640</v>
      </c>
      <c r="B3807" s="149" t="s">
        <v>1791</v>
      </c>
      <c r="C3807" s="149">
        <v>11</v>
      </c>
      <c r="D3807" s="149">
        <v>330</v>
      </c>
      <c r="E3807" s="149">
        <v>0</v>
      </c>
      <c r="F3807" s="149">
        <v>190500</v>
      </c>
      <c r="G3807" s="149">
        <v>53910</v>
      </c>
      <c r="H3807" s="150" t="str">
        <f t="shared" si="177"/>
        <v>5</v>
      </c>
      <c r="I3807" s="150" t="str">
        <f t="shared" si="178"/>
        <v>53</v>
      </c>
      <c r="J3807" s="150" t="str">
        <f t="shared" si="179"/>
        <v>539</v>
      </c>
      <c r="K3807" s="150" t="s">
        <v>8991</v>
      </c>
      <c r="L3807" s="149" t="s">
        <v>1792</v>
      </c>
      <c r="M3807" s="151">
        <v>3095.44</v>
      </c>
    </row>
    <row r="3808" spans="1:13" s="149" customFormat="1" x14ac:dyDescent="0.25">
      <c r="A3808" s="149" t="s">
        <v>7640</v>
      </c>
      <c r="B3808" s="149" t="s">
        <v>1793</v>
      </c>
      <c r="C3808" s="149">
        <v>11</v>
      </c>
      <c r="D3808" s="149">
        <v>330</v>
      </c>
      <c r="E3808" s="149">
        <v>0</v>
      </c>
      <c r="F3808" s="149">
        <v>190500</v>
      </c>
      <c r="G3808" s="149">
        <v>54300</v>
      </c>
      <c r="H3808" s="150" t="str">
        <f t="shared" si="177"/>
        <v>5</v>
      </c>
      <c r="I3808" s="150" t="str">
        <f t="shared" si="178"/>
        <v>54</v>
      </c>
      <c r="J3808" s="150" t="str">
        <f t="shared" si="179"/>
        <v>543</v>
      </c>
      <c r="K3808" s="150" t="s">
        <v>7943</v>
      </c>
      <c r="L3808" s="149" t="s">
        <v>1794</v>
      </c>
      <c r="M3808" s="151">
        <v>9957.26</v>
      </c>
    </row>
    <row r="3809" spans="1:13" s="149" customFormat="1" x14ac:dyDescent="0.25">
      <c r="A3809" s="149" t="s">
        <v>7640</v>
      </c>
      <c r="B3809" s="149" t="s">
        <v>1795</v>
      </c>
      <c r="C3809" s="149">
        <v>11</v>
      </c>
      <c r="D3809" s="149">
        <v>330</v>
      </c>
      <c r="E3809" s="149">
        <v>0</v>
      </c>
      <c r="F3809" s="149">
        <v>190500</v>
      </c>
      <c r="G3809" s="149">
        <v>55630</v>
      </c>
      <c r="H3809" s="150" t="str">
        <f t="shared" si="177"/>
        <v>5</v>
      </c>
      <c r="I3809" s="150" t="str">
        <f t="shared" si="178"/>
        <v>55</v>
      </c>
      <c r="J3809" s="150" t="str">
        <f t="shared" si="179"/>
        <v>556</v>
      </c>
      <c r="K3809" s="150" t="s">
        <v>8222</v>
      </c>
      <c r="L3809" s="149" t="s">
        <v>1796</v>
      </c>
      <c r="M3809" s="151">
        <v>99.81</v>
      </c>
    </row>
    <row r="3810" spans="1:13" s="149" customFormat="1" x14ac:dyDescent="0.25">
      <c r="A3810" s="149" t="s">
        <v>7640</v>
      </c>
      <c r="B3810" s="149" t="s">
        <v>1797</v>
      </c>
      <c r="C3810" s="149">
        <v>11</v>
      </c>
      <c r="D3810" s="149">
        <v>330</v>
      </c>
      <c r="E3810" s="149">
        <v>0</v>
      </c>
      <c r="F3810" s="149">
        <v>190500</v>
      </c>
      <c r="G3810" s="149">
        <v>55650</v>
      </c>
      <c r="H3810" s="150" t="str">
        <f t="shared" si="177"/>
        <v>5</v>
      </c>
      <c r="I3810" s="150" t="str">
        <f t="shared" si="178"/>
        <v>55</v>
      </c>
      <c r="J3810" s="150" t="str">
        <f t="shared" si="179"/>
        <v>556</v>
      </c>
      <c r="K3810" s="150" t="s">
        <v>8299</v>
      </c>
      <c r="L3810" s="149" t="s">
        <v>1798</v>
      </c>
      <c r="M3810" s="151">
        <v>606.07000000000005</v>
      </c>
    </row>
    <row r="3811" spans="1:13" s="149" customFormat="1" x14ac:dyDescent="0.25">
      <c r="A3811" s="149" t="s">
        <v>7640</v>
      </c>
      <c r="B3811" s="149" t="s">
        <v>1799</v>
      </c>
      <c r="C3811" s="149">
        <v>11</v>
      </c>
      <c r="D3811" s="149">
        <v>330</v>
      </c>
      <c r="E3811" s="149">
        <v>0</v>
      </c>
      <c r="F3811" s="149">
        <v>191100</v>
      </c>
      <c r="G3811" s="149">
        <v>51100</v>
      </c>
      <c r="H3811" s="150" t="str">
        <f t="shared" si="177"/>
        <v>5</v>
      </c>
      <c r="I3811" s="150" t="str">
        <f t="shared" si="178"/>
        <v>51</v>
      </c>
      <c r="J3811" s="150" t="str">
        <f t="shared" si="179"/>
        <v>511</v>
      </c>
      <c r="K3811" s="150" t="s">
        <v>8992</v>
      </c>
      <c r="L3811" s="149" t="s">
        <v>1800</v>
      </c>
      <c r="M3811" s="151">
        <v>96360.57</v>
      </c>
    </row>
    <row r="3812" spans="1:13" s="149" customFormat="1" x14ac:dyDescent="0.25">
      <c r="A3812" s="149" t="s">
        <v>7640</v>
      </c>
      <c r="B3812" s="149" t="s">
        <v>1801</v>
      </c>
      <c r="C3812" s="149">
        <v>11</v>
      </c>
      <c r="D3812" s="149">
        <v>330</v>
      </c>
      <c r="E3812" s="149">
        <v>0</v>
      </c>
      <c r="F3812" s="149">
        <v>191100</v>
      </c>
      <c r="G3812" s="149">
        <v>51310</v>
      </c>
      <c r="H3812" s="150" t="str">
        <f t="shared" si="177"/>
        <v>5</v>
      </c>
      <c r="I3812" s="150" t="str">
        <f t="shared" si="178"/>
        <v>51</v>
      </c>
      <c r="J3812" s="150" t="str">
        <f t="shared" si="179"/>
        <v>513</v>
      </c>
      <c r="K3812" s="150" t="s">
        <v>7669</v>
      </c>
      <c r="L3812" s="149" t="s">
        <v>1802</v>
      </c>
      <c r="M3812" s="151">
        <v>2781</v>
      </c>
    </row>
    <row r="3813" spans="1:13" s="149" customFormat="1" x14ac:dyDescent="0.25">
      <c r="A3813" s="149" t="s">
        <v>7640</v>
      </c>
      <c r="B3813" s="149" t="s">
        <v>1803</v>
      </c>
      <c r="C3813" s="149">
        <v>11</v>
      </c>
      <c r="D3813" s="149">
        <v>330</v>
      </c>
      <c r="E3813" s="149">
        <v>0</v>
      </c>
      <c r="F3813" s="149">
        <v>191100</v>
      </c>
      <c r="G3813" s="149">
        <v>51311</v>
      </c>
      <c r="H3813" s="150" t="str">
        <f t="shared" si="177"/>
        <v>5</v>
      </c>
      <c r="I3813" s="150" t="str">
        <f t="shared" si="178"/>
        <v>51</v>
      </c>
      <c r="J3813" s="150" t="str">
        <f t="shared" si="179"/>
        <v>513</v>
      </c>
      <c r="K3813" s="150" t="s">
        <v>7744</v>
      </c>
      <c r="L3813" s="149" t="s">
        <v>1804</v>
      </c>
      <c r="M3813" s="151">
        <v>36071.589999999997</v>
      </c>
    </row>
    <row r="3814" spans="1:13" s="149" customFormat="1" x14ac:dyDescent="0.25">
      <c r="A3814" s="149" t="s">
        <v>7640</v>
      </c>
      <c r="B3814" s="149" t="s">
        <v>1805</v>
      </c>
      <c r="C3814" s="149">
        <v>11</v>
      </c>
      <c r="D3814" s="149">
        <v>330</v>
      </c>
      <c r="E3814" s="149">
        <v>0</v>
      </c>
      <c r="F3814" s="149">
        <v>191100</v>
      </c>
      <c r="G3814" s="149">
        <v>53110</v>
      </c>
      <c r="H3814" s="150" t="str">
        <f t="shared" si="177"/>
        <v>5</v>
      </c>
      <c r="I3814" s="150" t="str">
        <f t="shared" si="178"/>
        <v>53</v>
      </c>
      <c r="J3814" s="150" t="str">
        <f t="shared" si="179"/>
        <v>531</v>
      </c>
      <c r="K3814" s="150" t="s">
        <v>8993</v>
      </c>
      <c r="L3814" s="149" t="s">
        <v>1806</v>
      </c>
      <c r="M3814" s="151">
        <v>21836.97</v>
      </c>
    </row>
    <row r="3815" spans="1:13" s="149" customFormat="1" x14ac:dyDescent="0.25">
      <c r="A3815" s="149" t="s">
        <v>7640</v>
      </c>
      <c r="B3815" s="149" t="s">
        <v>1807</v>
      </c>
      <c r="C3815" s="149">
        <v>11</v>
      </c>
      <c r="D3815" s="149">
        <v>330</v>
      </c>
      <c r="E3815" s="149">
        <v>0</v>
      </c>
      <c r="F3815" s="149">
        <v>191100</v>
      </c>
      <c r="G3815" s="149">
        <v>53330</v>
      </c>
      <c r="H3815" s="150" t="str">
        <f t="shared" si="177"/>
        <v>5</v>
      </c>
      <c r="I3815" s="150" t="str">
        <f t="shared" si="178"/>
        <v>53</v>
      </c>
      <c r="J3815" s="150" t="str">
        <f t="shared" si="179"/>
        <v>533</v>
      </c>
      <c r="K3815" s="150" t="s">
        <v>8994</v>
      </c>
      <c r="L3815" s="149" t="s">
        <v>1808</v>
      </c>
      <c r="M3815" s="151">
        <v>1948.78</v>
      </c>
    </row>
    <row r="3816" spans="1:13" s="149" customFormat="1" x14ac:dyDescent="0.25">
      <c r="A3816" s="149" t="s">
        <v>7640</v>
      </c>
      <c r="B3816" s="149" t="s">
        <v>1809</v>
      </c>
      <c r="C3816" s="149">
        <v>11</v>
      </c>
      <c r="D3816" s="149">
        <v>330</v>
      </c>
      <c r="E3816" s="149">
        <v>0</v>
      </c>
      <c r="F3816" s="149">
        <v>191100</v>
      </c>
      <c r="G3816" s="149">
        <v>53410</v>
      </c>
      <c r="H3816" s="150" t="str">
        <f t="shared" si="177"/>
        <v>5</v>
      </c>
      <c r="I3816" s="150" t="str">
        <f t="shared" si="178"/>
        <v>53</v>
      </c>
      <c r="J3816" s="150" t="str">
        <f t="shared" si="179"/>
        <v>534</v>
      </c>
      <c r="K3816" s="150" t="s">
        <v>8995</v>
      </c>
      <c r="L3816" s="149" t="s">
        <v>1810</v>
      </c>
      <c r="M3816" s="151">
        <v>26666.240000000002</v>
      </c>
    </row>
    <row r="3817" spans="1:13" s="149" customFormat="1" x14ac:dyDescent="0.25">
      <c r="A3817" s="149" t="s">
        <v>7640</v>
      </c>
      <c r="B3817" s="149" t="s">
        <v>1811</v>
      </c>
      <c r="C3817" s="149">
        <v>11</v>
      </c>
      <c r="D3817" s="149">
        <v>330</v>
      </c>
      <c r="E3817" s="149">
        <v>0</v>
      </c>
      <c r="F3817" s="149">
        <v>191100</v>
      </c>
      <c r="G3817" s="149">
        <v>53510</v>
      </c>
      <c r="H3817" s="150" t="str">
        <f t="shared" si="177"/>
        <v>5</v>
      </c>
      <c r="I3817" s="150" t="str">
        <f t="shared" si="178"/>
        <v>53</v>
      </c>
      <c r="J3817" s="150" t="str">
        <f t="shared" si="179"/>
        <v>535</v>
      </c>
      <c r="K3817" s="150" t="s">
        <v>8996</v>
      </c>
      <c r="L3817" s="149" t="s">
        <v>1812</v>
      </c>
      <c r="M3817" s="151">
        <v>67.58</v>
      </c>
    </row>
    <row r="3818" spans="1:13" s="149" customFormat="1" x14ac:dyDescent="0.25">
      <c r="A3818" s="149" t="s">
        <v>7640</v>
      </c>
      <c r="B3818" s="149" t="s">
        <v>1813</v>
      </c>
      <c r="C3818" s="149">
        <v>11</v>
      </c>
      <c r="D3818" s="149">
        <v>330</v>
      </c>
      <c r="E3818" s="149">
        <v>0</v>
      </c>
      <c r="F3818" s="149">
        <v>191100</v>
      </c>
      <c r="G3818" s="149">
        <v>53610</v>
      </c>
      <c r="H3818" s="150" t="str">
        <f t="shared" si="177"/>
        <v>5</v>
      </c>
      <c r="I3818" s="150" t="str">
        <f t="shared" si="178"/>
        <v>53</v>
      </c>
      <c r="J3818" s="150" t="str">
        <f t="shared" si="179"/>
        <v>536</v>
      </c>
      <c r="K3818" s="150" t="s">
        <v>8997</v>
      </c>
      <c r="L3818" s="149" t="s">
        <v>1814</v>
      </c>
      <c r="M3818" s="151">
        <v>2556.5500000000002</v>
      </c>
    </row>
    <row r="3819" spans="1:13" s="149" customFormat="1" x14ac:dyDescent="0.25">
      <c r="A3819" s="149" t="s">
        <v>7640</v>
      </c>
      <c r="B3819" s="149" t="s">
        <v>1815</v>
      </c>
      <c r="C3819" s="149">
        <v>11</v>
      </c>
      <c r="D3819" s="149">
        <v>330</v>
      </c>
      <c r="E3819" s="149">
        <v>0</v>
      </c>
      <c r="F3819" s="149">
        <v>191100</v>
      </c>
      <c r="G3819" s="149">
        <v>54300</v>
      </c>
      <c r="H3819" s="150" t="str">
        <f t="shared" si="177"/>
        <v>5</v>
      </c>
      <c r="I3819" s="150" t="str">
        <f t="shared" si="178"/>
        <v>54</v>
      </c>
      <c r="J3819" s="150" t="str">
        <f t="shared" si="179"/>
        <v>543</v>
      </c>
      <c r="K3819" s="150" t="s">
        <v>7944</v>
      </c>
      <c r="L3819" s="149" t="s">
        <v>1816</v>
      </c>
      <c r="M3819" s="151">
        <v>1204.45</v>
      </c>
    </row>
    <row r="3820" spans="1:13" s="149" customFormat="1" x14ac:dyDescent="0.25">
      <c r="A3820" s="149" t="s">
        <v>7640</v>
      </c>
      <c r="B3820" s="149" t="s">
        <v>1817</v>
      </c>
      <c r="C3820" s="149">
        <v>11</v>
      </c>
      <c r="D3820" s="149">
        <v>330</v>
      </c>
      <c r="E3820" s="149">
        <v>0</v>
      </c>
      <c r="F3820" s="149">
        <v>191100</v>
      </c>
      <c r="G3820" s="149">
        <v>55630</v>
      </c>
      <c r="H3820" s="150" t="str">
        <f t="shared" si="177"/>
        <v>5</v>
      </c>
      <c r="I3820" s="150" t="str">
        <f t="shared" si="178"/>
        <v>55</v>
      </c>
      <c r="J3820" s="150" t="str">
        <f t="shared" si="179"/>
        <v>556</v>
      </c>
      <c r="K3820" s="150" t="s">
        <v>8223</v>
      </c>
      <c r="L3820" s="149" t="s">
        <v>1818</v>
      </c>
      <c r="M3820" s="151">
        <v>1.94</v>
      </c>
    </row>
    <row r="3821" spans="1:13" s="149" customFormat="1" x14ac:dyDescent="0.25">
      <c r="A3821" s="149" t="s">
        <v>7640</v>
      </c>
      <c r="B3821" s="149" t="s">
        <v>1819</v>
      </c>
      <c r="C3821" s="149">
        <v>11</v>
      </c>
      <c r="D3821" s="149">
        <v>330</v>
      </c>
      <c r="E3821" s="149">
        <v>0</v>
      </c>
      <c r="F3821" s="149">
        <v>191400</v>
      </c>
      <c r="G3821" s="149">
        <v>51100</v>
      </c>
      <c r="H3821" s="150" t="str">
        <f t="shared" si="177"/>
        <v>5</v>
      </c>
      <c r="I3821" s="150" t="str">
        <f t="shared" si="178"/>
        <v>51</v>
      </c>
      <c r="J3821" s="150" t="str">
        <f t="shared" si="179"/>
        <v>511</v>
      </c>
      <c r="K3821" s="150" t="s">
        <v>8998</v>
      </c>
      <c r="L3821" s="149" t="s">
        <v>1820</v>
      </c>
      <c r="M3821" s="151">
        <v>68201.100000000006</v>
      </c>
    </row>
    <row r="3822" spans="1:13" s="149" customFormat="1" x14ac:dyDescent="0.25">
      <c r="A3822" s="149" t="s">
        <v>7640</v>
      </c>
      <c r="B3822" s="149" t="s">
        <v>1821</v>
      </c>
      <c r="C3822" s="149">
        <v>11</v>
      </c>
      <c r="D3822" s="149">
        <v>330</v>
      </c>
      <c r="E3822" s="149">
        <v>0</v>
      </c>
      <c r="F3822" s="149">
        <v>191400</v>
      </c>
      <c r="G3822" s="149">
        <v>51311</v>
      </c>
      <c r="H3822" s="150" t="str">
        <f t="shared" si="177"/>
        <v>5</v>
      </c>
      <c r="I3822" s="150" t="str">
        <f t="shared" si="178"/>
        <v>51</v>
      </c>
      <c r="J3822" s="150" t="str">
        <f t="shared" si="179"/>
        <v>513</v>
      </c>
      <c r="K3822" s="150" t="s">
        <v>7745</v>
      </c>
      <c r="L3822" s="149" t="s">
        <v>1822</v>
      </c>
      <c r="M3822" s="151">
        <v>0</v>
      </c>
    </row>
    <row r="3823" spans="1:13" s="149" customFormat="1" x14ac:dyDescent="0.25">
      <c r="A3823" s="149" t="s">
        <v>7640</v>
      </c>
      <c r="B3823" s="149" t="s">
        <v>1823</v>
      </c>
      <c r="C3823" s="149">
        <v>11</v>
      </c>
      <c r="D3823" s="149">
        <v>330</v>
      </c>
      <c r="E3823" s="149">
        <v>0</v>
      </c>
      <c r="F3823" s="149">
        <v>191400</v>
      </c>
      <c r="G3823" s="149">
        <v>52200</v>
      </c>
      <c r="H3823" s="150" t="str">
        <f t="shared" si="177"/>
        <v>5</v>
      </c>
      <c r="I3823" s="150" t="str">
        <f t="shared" si="178"/>
        <v>52</v>
      </c>
      <c r="J3823" s="150" t="str">
        <f t="shared" si="179"/>
        <v>522</v>
      </c>
      <c r="K3823" s="150" t="s">
        <v>8999</v>
      </c>
      <c r="L3823" s="149" t="s">
        <v>1824</v>
      </c>
      <c r="M3823" s="151">
        <v>2710.9</v>
      </c>
    </row>
    <row r="3824" spans="1:13" s="149" customFormat="1" x14ac:dyDescent="0.25">
      <c r="A3824" s="149" t="s">
        <v>7640</v>
      </c>
      <c r="B3824" s="149" t="s">
        <v>1825</v>
      </c>
      <c r="C3824" s="149">
        <v>11</v>
      </c>
      <c r="D3824" s="149">
        <v>330</v>
      </c>
      <c r="E3824" s="149">
        <v>0</v>
      </c>
      <c r="F3824" s="149">
        <v>191400</v>
      </c>
      <c r="G3824" s="149">
        <v>52300</v>
      </c>
      <c r="H3824" s="150" t="str">
        <f t="shared" si="177"/>
        <v>5</v>
      </c>
      <c r="I3824" s="150" t="str">
        <f t="shared" si="178"/>
        <v>52</v>
      </c>
      <c r="J3824" s="150" t="str">
        <f t="shared" si="179"/>
        <v>523</v>
      </c>
      <c r="K3824" s="150" t="s">
        <v>7826</v>
      </c>
      <c r="L3824" s="149" t="s">
        <v>1826</v>
      </c>
      <c r="M3824" s="151">
        <v>107.69</v>
      </c>
    </row>
    <row r="3825" spans="1:13" s="149" customFormat="1" x14ac:dyDescent="0.25">
      <c r="A3825" s="149" t="s">
        <v>7640</v>
      </c>
      <c r="B3825" s="149" t="s">
        <v>1827</v>
      </c>
      <c r="C3825" s="149">
        <v>11</v>
      </c>
      <c r="D3825" s="149">
        <v>330</v>
      </c>
      <c r="E3825" s="149">
        <v>0</v>
      </c>
      <c r="F3825" s="149">
        <v>191400</v>
      </c>
      <c r="G3825" s="149">
        <v>53110</v>
      </c>
      <c r="H3825" s="150" t="str">
        <f t="shared" si="177"/>
        <v>5</v>
      </c>
      <c r="I3825" s="150" t="str">
        <f t="shared" si="178"/>
        <v>53</v>
      </c>
      <c r="J3825" s="150" t="str">
        <f t="shared" si="179"/>
        <v>531</v>
      </c>
      <c r="K3825" s="150" t="s">
        <v>9000</v>
      </c>
      <c r="L3825" s="149" t="s">
        <v>1828</v>
      </c>
      <c r="M3825" s="151">
        <v>11014.47</v>
      </c>
    </row>
    <row r="3826" spans="1:13" s="149" customFormat="1" x14ac:dyDescent="0.25">
      <c r="A3826" s="149" t="s">
        <v>7640</v>
      </c>
      <c r="B3826" s="149" t="s">
        <v>1829</v>
      </c>
      <c r="C3826" s="149">
        <v>11</v>
      </c>
      <c r="D3826" s="149">
        <v>330</v>
      </c>
      <c r="E3826" s="149">
        <v>0</v>
      </c>
      <c r="F3826" s="149">
        <v>191400</v>
      </c>
      <c r="G3826" s="149">
        <v>53210</v>
      </c>
      <c r="H3826" s="150" t="str">
        <f t="shared" si="177"/>
        <v>5</v>
      </c>
      <c r="I3826" s="150" t="str">
        <f t="shared" si="178"/>
        <v>53</v>
      </c>
      <c r="J3826" s="150" t="str">
        <f t="shared" si="179"/>
        <v>532</v>
      </c>
      <c r="K3826" s="150" t="s">
        <v>9001</v>
      </c>
      <c r="L3826" s="149" t="s">
        <v>1830</v>
      </c>
      <c r="M3826" s="151">
        <v>561.20000000000005</v>
      </c>
    </row>
    <row r="3827" spans="1:13" s="149" customFormat="1" x14ac:dyDescent="0.25">
      <c r="A3827" s="149" t="s">
        <v>7640</v>
      </c>
      <c r="B3827" s="149" t="s">
        <v>1831</v>
      </c>
      <c r="C3827" s="149">
        <v>11</v>
      </c>
      <c r="D3827" s="149">
        <v>330</v>
      </c>
      <c r="E3827" s="149">
        <v>0</v>
      </c>
      <c r="F3827" s="149">
        <v>191400</v>
      </c>
      <c r="G3827" s="149">
        <v>53310</v>
      </c>
      <c r="H3827" s="150" t="str">
        <f t="shared" si="177"/>
        <v>5</v>
      </c>
      <c r="I3827" s="150" t="str">
        <f t="shared" si="178"/>
        <v>53</v>
      </c>
      <c r="J3827" s="150" t="str">
        <f t="shared" si="179"/>
        <v>533</v>
      </c>
      <c r="K3827" s="150" t="s">
        <v>9002</v>
      </c>
      <c r="L3827" s="149" t="s">
        <v>1832</v>
      </c>
      <c r="M3827" s="151">
        <v>175.25</v>
      </c>
    </row>
    <row r="3828" spans="1:13" s="149" customFormat="1" x14ac:dyDescent="0.25">
      <c r="A3828" s="149" t="s">
        <v>7640</v>
      </c>
      <c r="B3828" s="149" t="s">
        <v>1833</v>
      </c>
      <c r="C3828" s="149">
        <v>11</v>
      </c>
      <c r="D3828" s="149">
        <v>330</v>
      </c>
      <c r="E3828" s="149">
        <v>0</v>
      </c>
      <c r="F3828" s="149">
        <v>191400</v>
      </c>
      <c r="G3828" s="149">
        <v>53320</v>
      </c>
      <c r="H3828" s="150" t="str">
        <f t="shared" si="177"/>
        <v>5</v>
      </c>
      <c r="I3828" s="150" t="str">
        <f t="shared" si="178"/>
        <v>53</v>
      </c>
      <c r="J3828" s="150" t="str">
        <f t="shared" si="179"/>
        <v>533</v>
      </c>
      <c r="K3828" s="150" t="s">
        <v>9003</v>
      </c>
      <c r="L3828" s="149" t="s">
        <v>1834</v>
      </c>
      <c r="M3828" s="151">
        <v>6.66</v>
      </c>
    </row>
    <row r="3829" spans="1:13" s="149" customFormat="1" x14ac:dyDescent="0.25">
      <c r="A3829" s="149" t="s">
        <v>7640</v>
      </c>
      <c r="B3829" s="149" t="s">
        <v>1835</v>
      </c>
      <c r="C3829" s="149">
        <v>11</v>
      </c>
      <c r="D3829" s="149">
        <v>330</v>
      </c>
      <c r="E3829" s="149">
        <v>0</v>
      </c>
      <c r="F3829" s="149">
        <v>191400</v>
      </c>
      <c r="G3829" s="149">
        <v>53330</v>
      </c>
      <c r="H3829" s="150" t="str">
        <f t="shared" si="177"/>
        <v>5</v>
      </c>
      <c r="I3829" s="150" t="str">
        <f t="shared" si="178"/>
        <v>53</v>
      </c>
      <c r="J3829" s="150" t="str">
        <f t="shared" si="179"/>
        <v>533</v>
      </c>
      <c r="K3829" s="150" t="s">
        <v>9004</v>
      </c>
      <c r="L3829" s="149" t="s">
        <v>1836</v>
      </c>
      <c r="M3829" s="151">
        <v>1015.2</v>
      </c>
    </row>
    <row r="3830" spans="1:13" s="149" customFormat="1" x14ac:dyDescent="0.25">
      <c r="A3830" s="149" t="s">
        <v>7640</v>
      </c>
      <c r="B3830" s="149" t="s">
        <v>1837</v>
      </c>
      <c r="C3830" s="149">
        <v>11</v>
      </c>
      <c r="D3830" s="149">
        <v>330</v>
      </c>
      <c r="E3830" s="149">
        <v>0</v>
      </c>
      <c r="F3830" s="149">
        <v>191400</v>
      </c>
      <c r="G3830" s="149">
        <v>53340</v>
      </c>
      <c r="H3830" s="150" t="str">
        <f t="shared" si="177"/>
        <v>5</v>
      </c>
      <c r="I3830" s="150" t="str">
        <f t="shared" si="178"/>
        <v>53</v>
      </c>
      <c r="J3830" s="150" t="str">
        <f t="shared" si="179"/>
        <v>533</v>
      </c>
      <c r="K3830" s="150" t="s">
        <v>9005</v>
      </c>
      <c r="L3830" s="149" t="s">
        <v>1838</v>
      </c>
      <c r="M3830" s="151">
        <v>1.6</v>
      </c>
    </row>
    <row r="3831" spans="1:13" s="149" customFormat="1" x14ac:dyDescent="0.25">
      <c r="A3831" s="149" t="s">
        <v>7640</v>
      </c>
      <c r="B3831" s="149" t="s">
        <v>1839</v>
      </c>
      <c r="C3831" s="149">
        <v>11</v>
      </c>
      <c r="D3831" s="149">
        <v>330</v>
      </c>
      <c r="E3831" s="149">
        <v>0</v>
      </c>
      <c r="F3831" s="149">
        <v>191400</v>
      </c>
      <c r="G3831" s="149">
        <v>53410</v>
      </c>
      <c r="H3831" s="150" t="str">
        <f t="shared" si="177"/>
        <v>5</v>
      </c>
      <c r="I3831" s="150" t="str">
        <f t="shared" si="178"/>
        <v>53</v>
      </c>
      <c r="J3831" s="150" t="str">
        <f t="shared" si="179"/>
        <v>534</v>
      </c>
      <c r="K3831" s="150" t="s">
        <v>9006</v>
      </c>
      <c r="L3831" s="149" t="s">
        <v>1840</v>
      </c>
      <c r="M3831" s="151">
        <v>17198.18</v>
      </c>
    </row>
    <row r="3832" spans="1:13" s="149" customFormat="1" x14ac:dyDescent="0.25">
      <c r="A3832" s="149" t="s">
        <v>7640</v>
      </c>
      <c r="B3832" s="149" t="s">
        <v>1841</v>
      </c>
      <c r="C3832" s="149">
        <v>11</v>
      </c>
      <c r="D3832" s="149">
        <v>330</v>
      </c>
      <c r="E3832" s="149">
        <v>0</v>
      </c>
      <c r="F3832" s="149">
        <v>191400</v>
      </c>
      <c r="G3832" s="149">
        <v>53510</v>
      </c>
      <c r="H3832" s="150" t="str">
        <f t="shared" si="177"/>
        <v>5</v>
      </c>
      <c r="I3832" s="150" t="str">
        <f t="shared" si="178"/>
        <v>53</v>
      </c>
      <c r="J3832" s="150" t="str">
        <f t="shared" si="179"/>
        <v>535</v>
      </c>
      <c r="K3832" s="150" t="s">
        <v>9007</v>
      </c>
      <c r="L3832" s="149" t="s">
        <v>1842</v>
      </c>
      <c r="M3832" s="151">
        <v>35.39</v>
      </c>
    </row>
    <row r="3833" spans="1:13" s="149" customFormat="1" x14ac:dyDescent="0.25">
      <c r="A3833" s="149" t="s">
        <v>7640</v>
      </c>
      <c r="B3833" s="149" t="s">
        <v>1843</v>
      </c>
      <c r="C3833" s="149">
        <v>11</v>
      </c>
      <c r="D3833" s="149">
        <v>330</v>
      </c>
      <c r="E3833" s="149">
        <v>0</v>
      </c>
      <c r="F3833" s="149">
        <v>191400</v>
      </c>
      <c r="G3833" s="149">
        <v>53520</v>
      </c>
      <c r="H3833" s="150" t="str">
        <f t="shared" si="177"/>
        <v>5</v>
      </c>
      <c r="I3833" s="150" t="str">
        <f t="shared" si="178"/>
        <v>53</v>
      </c>
      <c r="J3833" s="150" t="str">
        <f t="shared" si="179"/>
        <v>535</v>
      </c>
      <c r="K3833" s="150" t="s">
        <v>9008</v>
      </c>
      <c r="L3833" s="149" t="s">
        <v>1844</v>
      </c>
      <c r="M3833" s="151">
        <v>0.05</v>
      </c>
    </row>
    <row r="3834" spans="1:13" s="149" customFormat="1" x14ac:dyDescent="0.25">
      <c r="A3834" s="149" t="s">
        <v>7640</v>
      </c>
      <c r="B3834" s="149" t="s">
        <v>1845</v>
      </c>
      <c r="C3834" s="149">
        <v>11</v>
      </c>
      <c r="D3834" s="149">
        <v>330</v>
      </c>
      <c r="E3834" s="149">
        <v>0</v>
      </c>
      <c r="F3834" s="149">
        <v>191400</v>
      </c>
      <c r="G3834" s="149">
        <v>53610</v>
      </c>
      <c r="H3834" s="150" t="str">
        <f t="shared" si="177"/>
        <v>5</v>
      </c>
      <c r="I3834" s="150" t="str">
        <f t="shared" si="178"/>
        <v>53</v>
      </c>
      <c r="J3834" s="150" t="str">
        <f t="shared" si="179"/>
        <v>536</v>
      </c>
      <c r="K3834" s="150" t="s">
        <v>9009</v>
      </c>
      <c r="L3834" s="149" t="s">
        <v>1846</v>
      </c>
      <c r="M3834" s="151">
        <v>1340.96</v>
      </c>
    </row>
    <row r="3835" spans="1:13" s="149" customFormat="1" x14ac:dyDescent="0.25">
      <c r="A3835" s="149" t="s">
        <v>7640</v>
      </c>
      <c r="B3835" s="149" t="s">
        <v>1847</v>
      </c>
      <c r="C3835" s="149">
        <v>11</v>
      </c>
      <c r="D3835" s="149">
        <v>330</v>
      </c>
      <c r="E3835" s="149">
        <v>0</v>
      </c>
      <c r="F3835" s="149">
        <v>191400</v>
      </c>
      <c r="G3835" s="149">
        <v>53620</v>
      </c>
      <c r="H3835" s="150" t="str">
        <f t="shared" si="177"/>
        <v>5</v>
      </c>
      <c r="I3835" s="150" t="str">
        <f t="shared" si="178"/>
        <v>53</v>
      </c>
      <c r="J3835" s="150" t="str">
        <f t="shared" si="179"/>
        <v>536</v>
      </c>
      <c r="K3835" s="150" t="s">
        <v>9010</v>
      </c>
      <c r="L3835" s="149" t="s">
        <v>1848</v>
      </c>
      <c r="M3835" s="151">
        <v>2.0299999999999998</v>
      </c>
    </row>
    <row r="3836" spans="1:13" s="149" customFormat="1" x14ac:dyDescent="0.25">
      <c r="A3836" s="149" t="s">
        <v>7640</v>
      </c>
      <c r="B3836" s="149" t="s">
        <v>1849</v>
      </c>
      <c r="C3836" s="149">
        <v>11</v>
      </c>
      <c r="D3836" s="149">
        <v>330</v>
      </c>
      <c r="E3836" s="149">
        <v>0</v>
      </c>
      <c r="F3836" s="149">
        <v>191400</v>
      </c>
      <c r="G3836" s="149">
        <v>53910</v>
      </c>
      <c r="H3836" s="150" t="str">
        <f t="shared" si="177"/>
        <v>5</v>
      </c>
      <c r="I3836" s="150" t="str">
        <f t="shared" si="178"/>
        <v>53</v>
      </c>
      <c r="J3836" s="150" t="str">
        <f t="shared" si="179"/>
        <v>539</v>
      </c>
      <c r="K3836" s="150" t="s">
        <v>9011</v>
      </c>
      <c r="L3836" s="149" t="s">
        <v>1850</v>
      </c>
      <c r="M3836" s="151">
        <v>90</v>
      </c>
    </row>
    <row r="3837" spans="1:13" s="149" customFormat="1" x14ac:dyDescent="0.25">
      <c r="A3837" s="149" t="s">
        <v>7640</v>
      </c>
      <c r="B3837" s="149" t="s">
        <v>1851</v>
      </c>
      <c r="C3837" s="149">
        <v>11</v>
      </c>
      <c r="D3837" s="149">
        <v>330</v>
      </c>
      <c r="E3837" s="149">
        <v>0</v>
      </c>
      <c r="F3837" s="149">
        <v>191400</v>
      </c>
      <c r="G3837" s="149">
        <v>54300</v>
      </c>
      <c r="H3837" s="150" t="str">
        <f t="shared" si="177"/>
        <v>5</v>
      </c>
      <c r="I3837" s="150" t="str">
        <f t="shared" si="178"/>
        <v>54</v>
      </c>
      <c r="J3837" s="150" t="str">
        <f t="shared" si="179"/>
        <v>543</v>
      </c>
      <c r="K3837" s="150" t="s">
        <v>7945</v>
      </c>
      <c r="L3837" s="149" t="s">
        <v>1852</v>
      </c>
      <c r="M3837" s="151">
        <v>537.79</v>
      </c>
    </row>
    <row r="3838" spans="1:13" s="149" customFormat="1" x14ac:dyDescent="0.25">
      <c r="A3838" s="149" t="s">
        <v>7640</v>
      </c>
      <c r="B3838" s="149" t="s">
        <v>1853</v>
      </c>
      <c r="C3838" s="149">
        <v>11</v>
      </c>
      <c r="D3838" s="149">
        <v>330</v>
      </c>
      <c r="E3838" s="149">
        <v>0</v>
      </c>
      <c r="F3838" s="149">
        <v>191400</v>
      </c>
      <c r="G3838" s="149">
        <v>55630</v>
      </c>
      <c r="H3838" s="150" t="str">
        <f t="shared" si="177"/>
        <v>5</v>
      </c>
      <c r="I3838" s="150" t="str">
        <f t="shared" si="178"/>
        <v>55</v>
      </c>
      <c r="J3838" s="150" t="str">
        <f t="shared" si="179"/>
        <v>556</v>
      </c>
      <c r="K3838" s="150" t="s">
        <v>8224</v>
      </c>
      <c r="L3838" s="149" t="s">
        <v>1854</v>
      </c>
      <c r="M3838" s="151">
        <v>0</v>
      </c>
    </row>
    <row r="3839" spans="1:13" s="149" customFormat="1" x14ac:dyDescent="0.25">
      <c r="A3839" s="149" t="s">
        <v>7640</v>
      </c>
      <c r="B3839" s="149" t="s">
        <v>1855</v>
      </c>
      <c r="C3839" s="149">
        <v>11</v>
      </c>
      <c r="D3839" s="149">
        <v>330</v>
      </c>
      <c r="E3839" s="149">
        <v>0</v>
      </c>
      <c r="F3839" s="149">
        <v>191900</v>
      </c>
      <c r="G3839" s="149">
        <v>51100</v>
      </c>
      <c r="H3839" s="150" t="str">
        <f t="shared" si="177"/>
        <v>5</v>
      </c>
      <c r="I3839" s="150" t="str">
        <f t="shared" si="178"/>
        <v>51</v>
      </c>
      <c r="J3839" s="150" t="str">
        <f t="shared" si="179"/>
        <v>511</v>
      </c>
      <c r="K3839" s="150" t="s">
        <v>9012</v>
      </c>
      <c r="L3839" s="149" t="s">
        <v>1856</v>
      </c>
      <c r="M3839" s="151">
        <v>17050.23</v>
      </c>
    </row>
    <row r="3840" spans="1:13" s="149" customFormat="1" x14ac:dyDescent="0.25">
      <c r="A3840" s="149" t="s">
        <v>7640</v>
      </c>
      <c r="B3840" s="149" t="s">
        <v>1857</v>
      </c>
      <c r="C3840" s="149">
        <v>11</v>
      </c>
      <c r="D3840" s="149">
        <v>330</v>
      </c>
      <c r="E3840" s="149">
        <v>0</v>
      </c>
      <c r="F3840" s="149">
        <v>191900</v>
      </c>
      <c r="G3840" s="149">
        <v>51311</v>
      </c>
      <c r="H3840" s="150" t="str">
        <f t="shared" si="177"/>
        <v>5</v>
      </c>
      <c r="I3840" s="150" t="str">
        <f t="shared" si="178"/>
        <v>51</v>
      </c>
      <c r="J3840" s="150" t="str">
        <f t="shared" si="179"/>
        <v>513</v>
      </c>
      <c r="K3840" s="150" t="s">
        <v>7746</v>
      </c>
      <c r="L3840" s="149" t="s">
        <v>353</v>
      </c>
      <c r="M3840" s="151">
        <v>0</v>
      </c>
    </row>
    <row r="3841" spans="1:13" s="149" customFormat="1" x14ac:dyDescent="0.25">
      <c r="A3841" s="149" t="s">
        <v>7640</v>
      </c>
      <c r="B3841" s="149" t="s">
        <v>1858</v>
      </c>
      <c r="C3841" s="149">
        <v>11</v>
      </c>
      <c r="D3841" s="149">
        <v>330</v>
      </c>
      <c r="E3841" s="149">
        <v>0</v>
      </c>
      <c r="F3841" s="149">
        <v>191900</v>
      </c>
      <c r="G3841" s="149">
        <v>53110</v>
      </c>
      <c r="H3841" s="150" t="str">
        <f t="shared" si="177"/>
        <v>5</v>
      </c>
      <c r="I3841" s="150" t="str">
        <f t="shared" si="178"/>
        <v>53</v>
      </c>
      <c r="J3841" s="150" t="str">
        <f t="shared" si="179"/>
        <v>531</v>
      </c>
      <c r="K3841" s="150" t="s">
        <v>9013</v>
      </c>
      <c r="L3841" s="149" t="s">
        <v>355</v>
      </c>
      <c r="M3841" s="151">
        <v>2753.64</v>
      </c>
    </row>
    <row r="3842" spans="1:13" s="149" customFormat="1" x14ac:dyDescent="0.25">
      <c r="A3842" s="149" t="s">
        <v>7640</v>
      </c>
      <c r="B3842" s="149" t="s">
        <v>1859</v>
      </c>
      <c r="C3842" s="149">
        <v>11</v>
      </c>
      <c r="D3842" s="149">
        <v>330</v>
      </c>
      <c r="E3842" s="149">
        <v>0</v>
      </c>
      <c r="F3842" s="149">
        <v>191900</v>
      </c>
      <c r="G3842" s="149">
        <v>53330</v>
      </c>
      <c r="H3842" s="150" t="str">
        <f t="shared" si="177"/>
        <v>5</v>
      </c>
      <c r="I3842" s="150" t="str">
        <f t="shared" si="178"/>
        <v>53</v>
      </c>
      <c r="J3842" s="150" t="str">
        <f t="shared" si="179"/>
        <v>533</v>
      </c>
      <c r="K3842" s="150" t="s">
        <v>9014</v>
      </c>
      <c r="L3842" s="149" t="s">
        <v>357</v>
      </c>
      <c r="M3842" s="151">
        <v>245.78</v>
      </c>
    </row>
    <row r="3843" spans="1:13" s="149" customFormat="1" x14ac:dyDescent="0.25">
      <c r="A3843" s="149" t="s">
        <v>7640</v>
      </c>
      <c r="B3843" s="149" t="s">
        <v>1860</v>
      </c>
      <c r="C3843" s="149">
        <v>11</v>
      </c>
      <c r="D3843" s="149">
        <v>330</v>
      </c>
      <c r="E3843" s="149">
        <v>0</v>
      </c>
      <c r="F3843" s="149">
        <v>191900</v>
      </c>
      <c r="G3843" s="149">
        <v>53410</v>
      </c>
      <c r="H3843" s="150" t="str">
        <f t="shared" ref="H3843:H3906" si="180">LEFT(G3843,1)</f>
        <v>5</v>
      </c>
      <c r="I3843" s="150" t="str">
        <f t="shared" ref="I3843:I3906" si="181">LEFT(G3843,2)</f>
        <v>53</v>
      </c>
      <c r="J3843" s="150" t="str">
        <f t="shared" ref="J3843:J3906" si="182">LEFT(G3843,3)</f>
        <v>534</v>
      </c>
      <c r="K3843" s="150" t="s">
        <v>9015</v>
      </c>
      <c r="L3843" s="149" t="s">
        <v>1861</v>
      </c>
      <c r="M3843" s="151">
        <v>4063.7</v>
      </c>
    </row>
    <row r="3844" spans="1:13" s="149" customFormat="1" x14ac:dyDescent="0.25">
      <c r="A3844" s="149" t="s">
        <v>7640</v>
      </c>
      <c r="B3844" s="149" t="s">
        <v>1862</v>
      </c>
      <c r="C3844" s="149">
        <v>11</v>
      </c>
      <c r="D3844" s="149">
        <v>330</v>
      </c>
      <c r="E3844" s="149">
        <v>0</v>
      </c>
      <c r="F3844" s="149">
        <v>191900</v>
      </c>
      <c r="G3844" s="149">
        <v>53510</v>
      </c>
      <c r="H3844" s="150" t="str">
        <f t="shared" si="180"/>
        <v>5</v>
      </c>
      <c r="I3844" s="150" t="str">
        <f t="shared" si="181"/>
        <v>53</v>
      </c>
      <c r="J3844" s="150" t="str">
        <f t="shared" si="182"/>
        <v>535</v>
      </c>
      <c r="K3844" s="150" t="s">
        <v>9016</v>
      </c>
      <c r="L3844" s="149" t="s">
        <v>359</v>
      </c>
      <c r="M3844" s="151">
        <v>8.5500000000000007</v>
      </c>
    </row>
    <row r="3845" spans="1:13" s="149" customFormat="1" x14ac:dyDescent="0.25">
      <c r="A3845" s="149" t="s">
        <v>7640</v>
      </c>
      <c r="B3845" s="149" t="s">
        <v>1863</v>
      </c>
      <c r="C3845" s="149">
        <v>11</v>
      </c>
      <c r="D3845" s="149">
        <v>330</v>
      </c>
      <c r="E3845" s="149">
        <v>0</v>
      </c>
      <c r="F3845" s="149">
        <v>191900</v>
      </c>
      <c r="G3845" s="149">
        <v>53610</v>
      </c>
      <c r="H3845" s="150" t="str">
        <f t="shared" si="180"/>
        <v>5</v>
      </c>
      <c r="I3845" s="150" t="str">
        <f t="shared" si="181"/>
        <v>53</v>
      </c>
      <c r="J3845" s="150" t="str">
        <f t="shared" si="182"/>
        <v>536</v>
      </c>
      <c r="K3845" s="150" t="s">
        <v>9017</v>
      </c>
      <c r="L3845" s="149" t="s">
        <v>361</v>
      </c>
      <c r="M3845" s="151">
        <v>322.38</v>
      </c>
    </row>
    <row r="3846" spans="1:13" s="149" customFormat="1" x14ac:dyDescent="0.25">
      <c r="A3846" s="149" t="s">
        <v>7640</v>
      </c>
      <c r="B3846" s="149" t="s">
        <v>1864</v>
      </c>
      <c r="C3846" s="149">
        <v>11</v>
      </c>
      <c r="D3846" s="149">
        <v>330</v>
      </c>
      <c r="E3846" s="149">
        <v>0</v>
      </c>
      <c r="F3846" s="149">
        <v>191900</v>
      </c>
      <c r="G3846" s="149">
        <v>55630</v>
      </c>
      <c r="H3846" s="150" t="str">
        <f t="shared" si="180"/>
        <v>5</v>
      </c>
      <c r="I3846" s="150" t="str">
        <f t="shared" si="181"/>
        <v>55</v>
      </c>
      <c r="J3846" s="150" t="str">
        <f t="shared" si="182"/>
        <v>556</v>
      </c>
      <c r="K3846" s="150" t="s">
        <v>8225</v>
      </c>
      <c r="L3846" s="149" t="s">
        <v>1865</v>
      </c>
      <c r="M3846" s="151">
        <v>0</v>
      </c>
    </row>
    <row r="3847" spans="1:13" s="149" customFormat="1" x14ac:dyDescent="0.25">
      <c r="A3847" s="149" t="s">
        <v>7640</v>
      </c>
      <c r="B3847" s="149" t="s">
        <v>1866</v>
      </c>
      <c r="C3847" s="149">
        <v>11</v>
      </c>
      <c r="D3847" s="149">
        <v>330</v>
      </c>
      <c r="E3847" s="149">
        <v>0</v>
      </c>
      <c r="F3847" s="149">
        <v>220600</v>
      </c>
      <c r="G3847" s="149">
        <v>51311</v>
      </c>
      <c r="H3847" s="150" t="str">
        <f t="shared" si="180"/>
        <v>5</v>
      </c>
      <c r="I3847" s="150" t="str">
        <f t="shared" si="181"/>
        <v>51</v>
      </c>
      <c r="J3847" s="150" t="str">
        <f t="shared" si="182"/>
        <v>513</v>
      </c>
      <c r="K3847" s="150" t="s">
        <v>7747</v>
      </c>
      <c r="L3847" s="149" t="s">
        <v>423</v>
      </c>
      <c r="M3847" s="151">
        <v>2336.6999999999998</v>
      </c>
    </row>
    <row r="3848" spans="1:13" s="149" customFormat="1" x14ac:dyDescent="0.25">
      <c r="A3848" s="149" t="s">
        <v>7640</v>
      </c>
      <c r="B3848" s="149" t="s">
        <v>1867</v>
      </c>
      <c r="C3848" s="149">
        <v>11</v>
      </c>
      <c r="D3848" s="149">
        <v>330</v>
      </c>
      <c r="E3848" s="149">
        <v>0</v>
      </c>
      <c r="F3848" s="149">
        <v>220600</v>
      </c>
      <c r="G3848" s="149">
        <v>53110</v>
      </c>
      <c r="H3848" s="150" t="str">
        <f t="shared" si="180"/>
        <v>5</v>
      </c>
      <c r="I3848" s="150" t="str">
        <f t="shared" si="181"/>
        <v>53</v>
      </c>
      <c r="J3848" s="150" t="str">
        <f t="shared" si="182"/>
        <v>531</v>
      </c>
      <c r="K3848" s="150" t="s">
        <v>9018</v>
      </c>
      <c r="L3848" s="149" t="s">
        <v>425</v>
      </c>
      <c r="M3848" s="151">
        <v>0</v>
      </c>
    </row>
    <row r="3849" spans="1:13" s="149" customFormat="1" x14ac:dyDescent="0.25">
      <c r="A3849" s="149" t="s">
        <v>7640</v>
      </c>
      <c r="B3849" s="149" t="s">
        <v>1868</v>
      </c>
      <c r="C3849" s="149">
        <v>11</v>
      </c>
      <c r="D3849" s="149">
        <v>330</v>
      </c>
      <c r="E3849" s="149">
        <v>0</v>
      </c>
      <c r="F3849" s="149">
        <v>220600</v>
      </c>
      <c r="G3849" s="149">
        <v>53310</v>
      </c>
      <c r="H3849" s="150" t="str">
        <f t="shared" si="180"/>
        <v>5</v>
      </c>
      <c r="I3849" s="150" t="str">
        <f t="shared" si="181"/>
        <v>53</v>
      </c>
      <c r="J3849" s="150" t="str">
        <f t="shared" si="182"/>
        <v>533</v>
      </c>
      <c r="K3849" s="150" t="s">
        <v>9019</v>
      </c>
      <c r="L3849" s="149" t="s">
        <v>1869</v>
      </c>
      <c r="M3849" s="151">
        <v>144.87</v>
      </c>
    </row>
    <row r="3850" spans="1:13" s="149" customFormat="1" x14ac:dyDescent="0.25">
      <c r="A3850" s="149" t="s">
        <v>7640</v>
      </c>
      <c r="B3850" s="149" t="s">
        <v>1870</v>
      </c>
      <c r="C3850" s="149">
        <v>11</v>
      </c>
      <c r="D3850" s="149">
        <v>330</v>
      </c>
      <c r="E3850" s="149">
        <v>0</v>
      </c>
      <c r="F3850" s="149">
        <v>220600</v>
      </c>
      <c r="G3850" s="149">
        <v>53330</v>
      </c>
      <c r="H3850" s="150" t="str">
        <f t="shared" si="180"/>
        <v>5</v>
      </c>
      <c r="I3850" s="150" t="str">
        <f t="shared" si="181"/>
        <v>53</v>
      </c>
      <c r="J3850" s="150" t="str">
        <f t="shared" si="182"/>
        <v>533</v>
      </c>
      <c r="K3850" s="150" t="s">
        <v>9020</v>
      </c>
      <c r="L3850" s="149" t="s">
        <v>427</v>
      </c>
      <c r="M3850" s="151">
        <v>33.869999999999997</v>
      </c>
    </row>
    <row r="3851" spans="1:13" s="149" customFormat="1" x14ac:dyDescent="0.25">
      <c r="A3851" s="149" t="s">
        <v>7640</v>
      </c>
      <c r="B3851" s="149" t="s">
        <v>1871</v>
      </c>
      <c r="C3851" s="149">
        <v>11</v>
      </c>
      <c r="D3851" s="149">
        <v>330</v>
      </c>
      <c r="E3851" s="149">
        <v>0</v>
      </c>
      <c r="F3851" s="149">
        <v>220600</v>
      </c>
      <c r="G3851" s="149">
        <v>53510</v>
      </c>
      <c r="H3851" s="150" t="str">
        <f t="shared" si="180"/>
        <v>5</v>
      </c>
      <c r="I3851" s="150" t="str">
        <f t="shared" si="181"/>
        <v>53</v>
      </c>
      <c r="J3851" s="150" t="str">
        <f t="shared" si="182"/>
        <v>535</v>
      </c>
      <c r="K3851" s="150" t="s">
        <v>9021</v>
      </c>
      <c r="L3851" s="149" t="s">
        <v>429</v>
      </c>
      <c r="M3851" s="151">
        <v>1.17</v>
      </c>
    </row>
    <row r="3852" spans="1:13" s="149" customFormat="1" x14ac:dyDescent="0.25">
      <c r="A3852" s="149" t="s">
        <v>7640</v>
      </c>
      <c r="B3852" s="149" t="s">
        <v>1872</v>
      </c>
      <c r="C3852" s="149">
        <v>11</v>
      </c>
      <c r="D3852" s="149">
        <v>330</v>
      </c>
      <c r="E3852" s="149">
        <v>0</v>
      </c>
      <c r="F3852" s="149">
        <v>220600</v>
      </c>
      <c r="G3852" s="149">
        <v>53610</v>
      </c>
      <c r="H3852" s="150" t="str">
        <f t="shared" si="180"/>
        <v>5</v>
      </c>
      <c r="I3852" s="150" t="str">
        <f t="shared" si="181"/>
        <v>53</v>
      </c>
      <c r="J3852" s="150" t="str">
        <f t="shared" si="182"/>
        <v>536</v>
      </c>
      <c r="K3852" s="150" t="s">
        <v>9022</v>
      </c>
      <c r="L3852" s="149" t="s">
        <v>431</v>
      </c>
      <c r="M3852" s="151">
        <v>44.19</v>
      </c>
    </row>
    <row r="3853" spans="1:13" s="149" customFormat="1" x14ac:dyDescent="0.25">
      <c r="A3853" s="149" t="s">
        <v>7640</v>
      </c>
      <c r="B3853" s="149" t="s">
        <v>1873</v>
      </c>
      <c r="C3853" s="149">
        <v>11</v>
      </c>
      <c r="D3853" s="149">
        <v>330</v>
      </c>
      <c r="E3853" s="149">
        <v>0</v>
      </c>
      <c r="F3853" s="149">
        <v>220600</v>
      </c>
      <c r="G3853" s="149">
        <v>55630</v>
      </c>
      <c r="H3853" s="150" t="str">
        <f t="shared" si="180"/>
        <v>5</v>
      </c>
      <c r="I3853" s="150" t="str">
        <f t="shared" si="181"/>
        <v>55</v>
      </c>
      <c r="J3853" s="150" t="str">
        <f t="shared" si="182"/>
        <v>556</v>
      </c>
      <c r="K3853" s="150" t="s">
        <v>8226</v>
      </c>
      <c r="L3853" s="149" t="s">
        <v>1874</v>
      </c>
      <c r="M3853" s="151">
        <v>0</v>
      </c>
    </row>
    <row r="3854" spans="1:13" s="149" customFormat="1" x14ac:dyDescent="0.25">
      <c r="A3854" s="149" t="s">
        <v>7640</v>
      </c>
      <c r="B3854" s="149" t="s">
        <v>1875</v>
      </c>
      <c r="C3854" s="149">
        <v>11</v>
      </c>
      <c r="D3854" s="149">
        <v>330</v>
      </c>
      <c r="E3854" s="149">
        <v>0</v>
      </c>
      <c r="F3854" s="149">
        <v>601000</v>
      </c>
      <c r="G3854" s="149">
        <v>52130</v>
      </c>
      <c r="H3854" s="150" t="str">
        <f t="shared" si="180"/>
        <v>5</v>
      </c>
      <c r="I3854" s="150" t="str">
        <f t="shared" si="181"/>
        <v>52</v>
      </c>
      <c r="J3854" s="150" t="str">
        <f t="shared" si="182"/>
        <v>521</v>
      </c>
      <c r="K3854" s="150" t="s">
        <v>9023</v>
      </c>
      <c r="L3854" s="149" t="s">
        <v>1876</v>
      </c>
      <c r="M3854" s="151">
        <v>10251.799999999999</v>
      </c>
    </row>
    <row r="3855" spans="1:13" s="149" customFormat="1" x14ac:dyDescent="0.25">
      <c r="A3855" s="149" t="s">
        <v>7640</v>
      </c>
      <c r="B3855" s="149" t="s">
        <v>1877</v>
      </c>
      <c r="C3855" s="149">
        <v>11</v>
      </c>
      <c r="D3855" s="149">
        <v>330</v>
      </c>
      <c r="E3855" s="149">
        <v>0</v>
      </c>
      <c r="F3855" s="149">
        <v>601000</v>
      </c>
      <c r="G3855" s="149">
        <v>53220</v>
      </c>
      <c r="H3855" s="150" t="str">
        <f t="shared" si="180"/>
        <v>5</v>
      </c>
      <c r="I3855" s="150" t="str">
        <f t="shared" si="181"/>
        <v>53</v>
      </c>
      <c r="J3855" s="150" t="str">
        <f t="shared" si="182"/>
        <v>532</v>
      </c>
      <c r="K3855" s="150" t="s">
        <v>9024</v>
      </c>
      <c r="L3855" s="149" t="s">
        <v>487</v>
      </c>
      <c r="M3855" s="151">
        <v>2122.1</v>
      </c>
    </row>
    <row r="3856" spans="1:13" s="149" customFormat="1" x14ac:dyDescent="0.25">
      <c r="A3856" s="149" t="s">
        <v>7640</v>
      </c>
      <c r="B3856" s="149" t="s">
        <v>1878</v>
      </c>
      <c r="C3856" s="149">
        <v>11</v>
      </c>
      <c r="D3856" s="149">
        <v>330</v>
      </c>
      <c r="E3856" s="149">
        <v>0</v>
      </c>
      <c r="F3856" s="149">
        <v>601000</v>
      </c>
      <c r="G3856" s="149">
        <v>53320</v>
      </c>
      <c r="H3856" s="150" t="str">
        <f t="shared" si="180"/>
        <v>5</v>
      </c>
      <c r="I3856" s="150" t="str">
        <f t="shared" si="181"/>
        <v>53</v>
      </c>
      <c r="J3856" s="150" t="str">
        <f t="shared" si="182"/>
        <v>533</v>
      </c>
      <c r="K3856" s="150" t="s">
        <v>9025</v>
      </c>
      <c r="L3856" s="149" t="s">
        <v>489</v>
      </c>
      <c r="M3856" s="151">
        <v>635.63</v>
      </c>
    </row>
    <row r="3857" spans="1:13" s="149" customFormat="1" x14ac:dyDescent="0.25">
      <c r="A3857" s="149" t="s">
        <v>7640</v>
      </c>
      <c r="B3857" s="149" t="s">
        <v>1879</v>
      </c>
      <c r="C3857" s="149">
        <v>11</v>
      </c>
      <c r="D3857" s="149">
        <v>330</v>
      </c>
      <c r="E3857" s="149">
        <v>0</v>
      </c>
      <c r="F3857" s="149">
        <v>601000</v>
      </c>
      <c r="G3857" s="149">
        <v>53340</v>
      </c>
      <c r="H3857" s="150" t="str">
        <f t="shared" si="180"/>
        <v>5</v>
      </c>
      <c r="I3857" s="150" t="str">
        <f t="shared" si="181"/>
        <v>53</v>
      </c>
      <c r="J3857" s="150" t="str">
        <f t="shared" si="182"/>
        <v>533</v>
      </c>
      <c r="K3857" s="150" t="s">
        <v>9026</v>
      </c>
      <c r="L3857" s="149" t="s">
        <v>491</v>
      </c>
      <c r="M3857" s="151">
        <v>148.71</v>
      </c>
    </row>
    <row r="3858" spans="1:13" s="149" customFormat="1" x14ac:dyDescent="0.25">
      <c r="A3858" s="149" t="s">
        <v>7640</v>
      </c>
      <c r="B3858" s="149" t="s">
        <v>1880</v>
      </c>
      <c r="C3858" s="149">
        <v>11</v>
      </c>
      <c r="D3858" s="149">
        <v>330</v>
      </c>
      <c r="E3858" s="149">
        <v>0</v>
      </c>
      <c r="F3858" s="149">
        <v>601000</v>
      </c>
      <c r="G3858" s="149">
        <v>53420</v>
      </c>
      <c r="H3858" s="150" t="str">
        <f t="shared" si="180"/>
        <v>5</v>
      </c>
      <c r="I3858" s="150" t="str">
        <f t="shared" si="181"/>
        <v>53</v>
      </c>
      <c r="J3858" s="150" t="str">
        <f t="shared" si="182"/>
        <v>534</v>
      </c>
      <c r="K3858" s="150" t="s">
        <v>9027</v>
      </c>
      <c r="L3858" s="149" t="s">
        <v>493</v>
      </c>
      <c r="M3858" s="151">
        <v>1072.6600000000001</v>
      </c>
    </row>
    <row r="3859" spans="1:13" s="149" customFormat="1" x14ac:dyDescent="0.25">
      <c r="A3859" s="149" t="s">
        <v>7640</v>
      </c>
      <c r="B3859" s="149" t="s">
        <v>1881</v>
      </c>
      <c r="C3859" s="149">
        <v>11</v>
      </c>
      <c r="D3859" s="149">
        <v>330</v>
      </c>
      <c r="E3859" s="149">
        <v>0</v>
      </c>
      <c r="F3859" s="149">
        <v>601000</v>
      </c>
      <c r="G3859" s="149">
        <v>53520</v>
      </c>
      <c r="H3859" s="150" t="str">
        <f t="shared" si="180"/>
        <v>5</v>
      </c>
      <c r="I3859" s="150" t="str">
        <f t="shared" si="181"/>
        <v>53</v>
      </c>
      <c r="J3859" s="150" t="str">
        <f t="shared" si="182"/>
        <v>535</v>
      </c>
      <c r="K3859" s="150" t="s">
        <v>9028</v>
      </c>
      <c r="L3859" s="149" t="s">
        <v>495</v>
      </c>
      <c r="M3859" s="151">
        <v>5.0999999999999996</v>
      </c>
    </row>
    <row r="3860" spans="1:13" s="149" customFormat="1" x14ac:dyDescent="0.25">
      <c r="A3860" s="149" t="s">
        <v>7640</v>
      </c>
      <c r="B3860" s="149" t="s">
        <v>1882</v>
      </c>
      <c r="C3860" s="149">
        <v>11</v>
      </c>
      <c r="D3860" s="149">
        <v>330</v>
      </c>
      <c r="E3860" s="149">
        <v>0</v>
      </c>
      <c r="F3860" s="149">
        <v>601000</v>
      </c>
      <c r="G3860" s="149">
        <v>53620</v>
      </c>
      <c r="H3860" s="150" t="str">
        <f t="shared" si="180"/>
        <v>5</v>
      </c>
      <c r="I3860" s="150" t="str">
        <f t="shared" si="181"/>
        <v>53</v>
      </c>
      <c r="J3860" s="150" t="str">
        <f t="shared" si="182"/>
        <v>536</v>
      </c>
      <c r="K3860" s="150" t="s">
        <v>9029</v>
      </c>
      <c r="L3860" s="149" t="s">
        <v>497</v>
      </c>
      <c r="M3860" s="151">
        <v>193.8</v>
      </c>
    </row>
    <row r="3861" spans="1:13" s="149" customFormat="1" x14ac:dyDescent="0.25">
      <c r="A3861" s="149" t="s">
        <v>7640</v>
      </c>
      <c r="B3861" s="149" t="s">
        <v>1883</v>
      </c>
      <c r="C3861" s="149">
        <v>11</v>
      </c>
      <c r="D3861" s="149">
        <v>330</v>
      </c>
      <c r="E3861" s="149">
        <v>0</v>
      </c>
      <c r="F3861" s="149">
        <v>601000</v>
      </c>
      <c r="G3861" s="149">
        <v>55630</v>
      </c>
      <c r="H3861" s="150" t="str">
        <f t="shared" si="180"/>
        <v>5</v>
      </c>
      <c r="I3861" s="150" t="str">
        <f t="shared" si="181"/>
        <v>55</v>
      </c>
      <c r="J3861" s="150" t="str">
        <f t="shared" si="182"/>
        <v>556</v>
      </c>
      <c r="K3861" s="150" t="s">
        <v>8227</v>
      </c>
      <c r="L3861" s="149" t="s">
        <v>509</v>
      </c>
      <c r="M3861" s="151">
        <v>0</v>
      </c>
    </row>
    <row r="3862" spans="1:13" s="149" customFormat="1" x14ac:dyDescent="0.25">
      <c r="A3862" s="149" t="s">
        <v>7640</v>
      </c>
      <c r="B3862" s="149" t="s">
        <v>1884</v>
      </c>
      <c r="C3862" s="149">
        <v>11</v>
      </c>
      <c r="D3862" s="149">
        <v>330</v>
      </c>
      <c r="E3862" s="149">
        <v>0</v>
      </c>
      <c r="F3862" s="149">
        <v>703800</v>
      </c>
      <c r="G3862" s="149">
        <v>52105</v>
      </c>
      <c r="H3862" s="150" t="str">
        <f t="shared" si="180"/>
        <v>5</v>
      </c>
      <c r="I3862" s="150" t="str">
        <f t="shared" si="181"/>
        <v>52</v>
      </c>
      <c r="J3862" s="150" t="str">
        <f t="shared" si="182"/>
        <v>521</v>
      </c>
      <c r="K3862" s="150" t="s">
        <v>9030</v>
      </c>
      <c r="L3862" s="149" t="s">
        <v>1096</v>
      </c>
      <c r="M3862" s="151">
        <v>3388.57</v>
      </c>
    </row>
    <row r="3863" spans="1:13" s="149" customFormat="1" x14ac:dyDescent="0.25">
      <c r="A3863" s="149" t="s">
        <v>7640</v>
      </c>
      <c r="B3863" s="149" t="s">
        <v>1885</v>
      </c>
      <c r="C3863" s="149">
        <v>11</v>
      </c>
      <c r="D3863" s="149">
        <v>330</v>
      </c>
      <c r="E3863" s="149">
        <v>0</v>
      </c>
      <c r="F3863" s="149">
        <v>703800</v>
      </c>
      <c r="G3863" s="149">
        <v>53220</v>
      </c>
      <c r="H3863" s="150" t="str">
        <f t="shared" si="180"/>
        <v>5</v>
      </c>
      <c r="I3863" s="150" t="str">
        <f t="shared" si="181"/>
        <v>53</v>
      </c>
      <c r="J3863" s="150" t="str">
        <f t="shared" si="182"/>
        <v>532</v>
      </c>
      <c r="K3863" s="150" t="s">
        <v>9031</v>
      </c>
      <c r="L3863" s="149" t="s">
        <v>1106</v>
      </c>
      <c r="M3863" s="151">
        <v>693.23</v>
      </c>
    </row>
    <row r="3864" spans="1:13" s="149" customFormat="1" x14ac:dyDescent="0.25">
      <c r="A3864" s="149" t="s">
        <v>7640</v>
      </c>
      <c r="B3864" s="149" t="s">
        <v>1886</v>
      </c>
      <c r="C3864" s="149">
        <v>11</v>
      </c>
      <c r="D3864" s="149">
        <v>330</v>
      </c>
      <c r="E3864" s="149">
        <v>0</v>
      </c>
      <c r="F3864" s="149">
        <v>703800</v>
      </c>
      <c r="G3864" s="149">
        <v>53320</v>
      </c>
      <c r="H3864" s="150" t="str">
        <f t="shared" si="180"/>
        <v>5</v>
      </c>
      <c r="I3864" s="150" t="str">
        <f t="shared" si="181"/>
        <v>53</v>
      </c>
      <c r="J3864" s="150" t="str">
        <f t="shared" si="182"/>
        <v>533</v>
      </c>
      <c r="K3864" s="150" t="s">
        <v>9032</v>
      </c>
      <c r="L3864" s="149" t="s">
        <v>1108</v>
      </c>
      <c r="M3864" s="151">
        <v>207.62</v>
      </c>
    </row>
    <row r="3865" spans="1:13" s="149" customFormat="1" x14ac:dyDescent="0.25">
      <c r="A3865" s="149" t="s">
        <v>7640</v>
      </c>
      <c r="B3865" s="149" t="s">
        <v>1887</v>
      </c>
      <c r="C3865" s="149">
        <v>11</v>
      </c>
      <c r="D3865" s="149">
        <v>330</v>
      </c>
      <c r="E3865" s="149">
        <v>0</v>
      </c>
      <c r="F3865" s="149">
        <v>703800</v>
      </c>
      <c r="G3865" s="149">
        <v>53340</v>
      </c>
      <c r="H3865" s="150" t="str">
        <f t="shared" si="180"/>
        <v>5</v>
      </c>
      <c r="I3865" s="150" t="str">
        <f t="shared" si="181"/>
        <v>53</v>
      </c>
      <c r="J3865" s="150" t="str">
        <f t="shared" si="182"/>
        <v>533</v>
      </c>
      <c r="K3865" s="150" t="s">
        <v>9033</v>
      </c>
      <c r="L3865" s="149" t="s">
        <v>1110</v>
      </c>
      <c r="M3865" s="151">
        <v>48.56</v>
      </c>
    </row>
    <row r="3866" spans="1:13" s="149" customFormat="1" x14ac:dyDescent="0.25">
      <c r="A3866" s="149" t="s">
        <v>7640</v>
      </c>
      <c r="B3866" s="149" t="s">
        <v>1888</v>
      </c>
      <c r="C3866" s="149">
        <v>11</v>
      </c>
      <c r="D3866" s="149">
        <v>330</v>
      </c>
      <c r="E3866" s="149">
        <v>0</v>
      </c>
      <c r="F3866" s="149">
        <v>703800</v>
      </c>
      <c r="G3866" s="149">
        <v>53420</v>
      </c>
      <c r="H3866" s="150" t="str">
        <f t="shared" si="180"/>
        <v>5</v>
      </c>
      <c r="I3866" s="150" t="str">
        <f t="shared" si="181"/>
        <v>53</v>
      </c>
      <c r="J3866" s="150" t="str">
        <f t="shared" si="182"/>
        <v>534</v>
      </c>
      <c r="K3866" s="150" t="s">
        <v>9034</v>
      </c>
      <c r="L3866" s="149" t="s">
        <v>1112</v>
      </c>
      <c r="M3866" s="151">
        <v>1571.54</v>
      </c>
    </row>
    <row r="3867" spans="1:13" s="149" customFormat="1" x14ac:dyDescent="0.25">
      <c r="A3867" s="149" t="s">
        <v>7640</v>
      </c>
      <c r="B3867" s="149" t="s">
        <v>1889</v>
      </c>
      <c r="C3867" s="149">
        <v>11</v>
      </c>
      <c r="D3867" s="149">
        <v>330</v>
      </c>
      <c r="E3867" s="149">
        <v>0</v>
      </c>
      <c r="F3867" s="149">
        <v>703800</v>
      </c>
      <c r="G3867" s="149">
        <v>53520</v>
      </c>
      <c r="H3867" s="150" t="str">
        <f t="shared" si="180"/>
        <v>5</v>
      </c>
      <c r="I3867" s="150" t="str">
        <f t="shared" si="181"/>
        <v>53</v>
      </c>
      <c r="J3867" s="150" t="str">
        <f t="shared" si="182"/>
        <v>535</v>
      </c>
      <c r="K3867" s="150" t="s">
        <v>9035</v>
      </c>
      <c r="L3867" s="149" t="s">
        <v>1114</v>
      </c>
      <c r="M3867" s="151">
        <v>1.7</v>
      </c>
    </row>
    <row r="3868" spans="1:13" s="149" customFormat="1" x14ac:dyDescent="0.25">
      <c r="A3868" s="149" t="s">
        <v>7640</v>
      </c>
      <c r="B3868" s="149" t="s">
        <v>1890</v>
      </c>
      <c r="C3868" s="149">
        <v>11</v>
      </c>
      <c r="D3868" s="149">
        <v>330</v>
      </c>
      <c r="E3868" s="149">
        <v>0</v>
      </c>
      <c r="F3868" s="149">
        <v>703800</v>
      </c>
      <c r="G3868" s="149">
        <v>53620</v>
      </c>
      <c r="H3868" s="150" t="str">
        <f t="shared" si="180"/>
        <v>5</v>
      </c>
      <c r="I3868" s="150" t="str">
        <f t="shared" si="181"/>
        <v>53</v>
      </c>
      <c r="J3868" s="150" t="str">
        <f t="shared" si="182"/>
        <v>536</v>
      </c>
      <c r="K3868" s="150" t="s">
        <v>9036</v>
      </c>
      <c r="L3868" s="149" t="s">
        <v>1116</v>
      </c>
      <c r="M3868" s="151">
        <v>64.069999999999993</v>
      </c>
    </row>
    <row r="3869" spans="1:13" s="149" customFormat="1" x14ac:dyDescent="0.25">
      <c r="A3869" s="149" t="s">
        <v>7640</v>
      </c>
      <c r="B3869" s="149" t="s">
        <v>1891</v>
      </c>
      <c r="C3869" s="149">
        <v>11</v>
      </c>
      <c r="D3869" s="149">
        <v>330</v>
      </c>
      <c r="E3869" s="149">
        <v>1</v>
      </c>
      <c r="F3869" s="149">
        <v>70100</v>
      </c>
      <c r="G3869" s="149">
        <v>51100</v>
      </c>
      <c r="H3869" s="150" t="str">
        <f t="shared" si="180"/>
        <v>5</v>
      </c>
      <c r="I3869" s="150" t="str">
        <f t="shared" si="181"/>
        <v>51</v>
      </c>
      <c r="J3869" s="150" t="str">
        <f t="shared" si="182"/>
        <v>511</v>
      </c>
      <c r="K3869" s="150" t="s">
        <v>9037</v>
      </c>
      <c r="L3869" s="149" t="s">
        <v>1892</v>
      </c>
      <c r="M3869" s="151">
        <v>211518.99</v>
      </c>
    </row>
    <row r="3870" spans="1:13" s="149" customFormat="1" x14ac:dyDescent="0.25">
      <c r="A3870" s="149" t="s">
        <v>7640</v>
      </c>
      <c r="B3870" s="149" t="s">
        <v>1893</v>
      </c>
      <c r="C3870" s="149">
        <v>11</v>
      </c>
      <c r="D3870" s="149">
        <v>330</v>
      </c>
      <c r="E3870" s="149">
        <v>1</v>
      </c>
      <c r="F3870" s="149">
        <v>70100</v>
      </c>
      <c r="G3870" s="149">
        <v>51310</v>
      </c>
      <c r="H3870" s="150" t="str">
        <f t="shared" si="180"/>
        <v>5</v>
      </c>
      <c r="I3870" s="150" t="str">
        <f t="shared" si="181"/>
        <v>51</v>
      </c>
      <c r="J3870" s="150" t="str">
        <f t="shared" si="182"/>
        <v>513</v>
      </c>
      <c r="K3870" s="150" t="s">
        <v>7670</v>
      </c>
      <c r="L3870" s="149" t="s">
        <v>1894</v>
      </c>
      <c r="M3870" s="151">
        <v>29606.76</v>
      </c>
    </row>
    <row r="3871" spans="1:13" s="149" customFormat="1" x14ac:dyDescent="0.25">
      <c r="A3871" s="149" t="s">
        <v>7640</v>
      </c>
      <c r="B3871" s="149" t="s">
        <v>1895</v>
      </c>
      <c r="C3871" s="149">
        <v>11</v>
      </c>
      <c r="D3871" s="149">
        <v>330</v>
      </c>
      <c r="E3871" s="149">
        <v>1</v>
      </c>
      <c r="F3871" s="149">
        <v>70100</v>
      </c>
      <c r="G3871" s="149">
        <v>53110</v>
      </c>
      <c r="H3871" s="150" t="str">
        <f t="shared" si="180"/>
        <v>5</v>
      </c>
      <c r="I3871" s="150" t="str">
        <f t="shared" si="181"/>
        <v>53</v>
      </c>
      <c r="J3871" s="150" t="str">
        <f t="shared" si="182"/>
        <v>531</v>
      </c>
      <c r="K3871" s="150" t="s">
        <v>9038</v>
      </c>
      <c r="L3871" s="149" t="s">
        <v>243</v>
      </c>
      <c r="M3871" s="151">
        <v>38941.879999999997</v>
      </c>
    </row>
    <row r="3872" spans="1:13" s="149" customFormat="1" x14ac:dyDescent="0.25">
      <c r="A3872" s="149" t="s">
        <v>7640</v>
      </c>
      <c r="B3872" s="149" t="s">
        <v>1896</v>
      </c>
      <c r="C3872" s="149">
        <v>11</v>
      </c>
      <c r="D3872" s="149">
        <v>330</v>
      </c>
      <c r="E3872" s="149">
        <v>1</v>
      </c>
      <c r="F3872" s="149">
        <v>70100</v>
      </c>
      <c r="G3872" s="149">
        <v>53330</v>
      </c>
      <c r="H3872" s="150" t="str">
        <f t="shared" si="180"/>
        <v>5</v>
      </c>
      <c r="I3872" s="150" t="str">
        <f t="shared" si="181"/>
        <v>53</v>
      </c>
      <c r="J3872" s="150" t="str">
        <f t="shared" si="182"/>
        <v>533</v>
      </c>
      <c r="K3872" s="150" t="s">
        <v>9039</v>
      </c>
      <c r="L3872" s="149" t="s">
        <v>245</v>
      </c>
      <c r="M3872" s="151">
        <v>3491</v>
      </c>
    </row>
    <row r="3873" spans="1:13" s="149" customFormat="1" x14ac:dyDescent="0.25">
      <c r="A3873" s="149" t="s">
        <v>7640</v>
      </c>
      <c r="B3873" s="149" t="s">
        <v>1897</v>
      </c>
      <c r="C3873" s="149">
        <v>11</v>
      </c>
      <c r="D3873" s="149">
        <v>330</v>
      </c>
      <c r="E3873" s="149">
        <v>1</v>
      </c>
      <c r="F3873" s="149">
        <v>70100</v>
      </c>
      <c r="G3873" s="149">
        <v>53410</v>
      </c>
      <c r="H3873" s="150" t="str">
        <f t="shared" si="180"/>
        <v>5</v>
      </c>
      <c r="I3873" s="150" t="str">
        <f t="shared" si="181"/>
        <v>53</v>
      </c>
      <c r="J3873" s="150" t="str">
        <f t="shared" si="182"/>
        <v>534</v>
      </c>
      <c r="K3873" s="150" t="s">
        <v>9040</v>
      </c>
      <c r="L3873" s="149" t="s">
        <v>1898</v>
      </c>
      <c r="M3873" s="151">
        <v>49477.91</v>
      </c>
    </row>
    <row r="3874" spans="1:13" s="149" customFormat="1" x14ac:dyDescent="0.25">
      <c r="A3874" s="149" t="s">
        <v>7640</v>
      </c>
      <c r="B3874" s="149" t="s">
        <v>1899</v>
      </c>
      <c r="C3874" s="149">
        <v>11</v>
      </c>
      <c r="D3874" s="149">
        <v>330</v>
      </c>
      <c r="E3874" s="149">
        <v>1</v>
      </c>
      <c r="F3874" s="149">
        <v>70100</v>
      </c>
      <c r="G3874" s="149">
        <v>53510</v>
      </c>
      <c r="H3874" s="150" t="str">
        <f t="shared" si="180"/>
        <v>5</v>
      </c>
      <c r="I3874" s="150" t="str">
        <f t="shared" si="181"/>
        <v>53</v>
      </c>
      <c r="J3874" s="150" t="str">
        <f t="shared" si="182"/>
        <v>535</v>
      </c>
      <c r="K3874" s="150" t="s">
        <v>9041</v>
      </c>
      <c r="L3874" s="149" t="s">
        <v>247</v>
      </c>
      <c r="M3874" s="151">
        <v>120.56</v>
      </c>
    </row>
    <row r="3875" spans="1:13" s="149" customFormat="1" x14ac:dyDescent="0.25">
      <c r="A3875" s="149" t="s">
        <v>7640</v>
      </c>
      <c r="B3875" s="149" t="s">
        <v>1900</v>
      </c>
      <c r="C3875" s="149">
        <v>11</v>
      </c>
      <c r="D3875" s="149">
        <v>330</v>
      </c>
      <c r="E3875" s="149">
        <v>1</v>
      </c>
      <c r="F3875" s="149">
        <v>70100</v>
      </c>
      <c r="G3875" s="149">
        <v>53610</v>
      </c>
      <c r="H3875" s="150" t="str">
        <f t="shared" si="180"/>
        <v>5</v>
      </c>
      <c r="I3875" s="150" t="str">
        <f t="shared" si="181"/>
        <v>53</v>
      </c>
      <c r="J3875" s="150" t="str">
        <f t="shared" si="182"/>
        <v>536</v>
      </c>
      <c r="K3875" s="150" t="s">
        <v>9042</v>
      </c>
      <c r="L3875" s="149" t="s">
        <v>249</v>
      </c>
      <c r="M3875" s="151">
        <v>4559.2299999999996</v>
      </c>
    </row>
    <row r="3876" spans="1:13" s="149" customFormat="1" x14ac:dyDescent="0.25">
      <c r="A3876" s="149" t="s">
        <v>7640</v>
      </c>
      <c r="B3876" s="149" t="s">
        <v>1901</v>
      </c>
      <c r="C3876" s="149">
        <v>11</v>
      </c>
      <c r="D3876" s="149">
        <v>330</v>
      </c>
      <c r="E3876" s="149">
        <v>1</v>
      </c>
      <c r="F3876" s="149">
        <v>70100</v>
      </c>
      <c r="G3876" s="149">
        <v>53910</v>
      </c>
      <c r="H3876" s="150" t="str">
        <f t="shared" si="180"/>
        <v>5</v>
      </c>
      <c r="I3876" s="150" t="str">
        <f t="shared" si="181"/>
        <v>53</v>
      </c>
      <c r="J3876" s="150" t="str">
        <f t="shared" si="182"/>
        <v>539</v>
      </c>
      <c r="K3876" s="150" t="s">
        <v>9043</v>
      </c>
      <c r="L3876" s="149" t="s">
        <v>1902</v>
      </c>
      <c r="M3876" s="151">
        <v>1745.44</v>
      </c>
    </row>
    <row r="3877" spans="1:13" s="149" customFormat="1" x14ac:dyDescent="0.25">
      <c r="A3877" s="149" t="s">
        <v>7640</v>
      </c>
      <c r="B3877" s="149" t="s">
        <v>1903</v>
      </c>
      <c r="C3877" s="149">
        <v>11</v>
      </c>
      <c r="D3877" s="149">
        <v>330</v>
      </c>
      <c r="E3877" s="149">
        <v>1</v>
      </c>
      <c r="F3877" s="149">
        <v>70100</v>
      </c>
      <c r="G3877" s="149">
        <v>54300</v>
      </c>
      <c r="H3877" s="150" t="str">
        <f t="shared" si="180"/>
        <v>5</v>
      </c>
      <c r="I3877" s="150" t="str">
        <f t="shared" si="181"/>
        <v>54</v>
      </c>
      <c r="J3877" s="150" t="str">
        <f t="shared" si="182"/>
        <v>543</v>
      </c>
      <c r="K3877" s="150" t="s">
        <v>7946</v>
      </c>
      <c r="L3877" s="149" t="s">
        <v>1904</v>
      </c>
      <c r="M3877" s="151">
        <v>0</v>
      </c>
    </row>
    <row r="3878" spans="1:13" s="149" customFormat="1" x14ac:dyDescent="0.25">
      <c r="A3878" s="149" t="s">
        <v>7640</v>
      </c>
      <c r="B3878" s="149" t="s">
        <v>1905</v>
      </c>
      <c r="C3878" s="149">
        <v>11</v>
      </c>
      <c r="D3878" s="149">
        <v>330</v>
      </c>
      <c r="E3878" s="149">
        <v>1</v>
      </c>
      <c r="F3878" s="149">
        <v>70100</v>
      </c>
      <c r="G3878" s="149">
        <v>55630</v>
      </c>
      <c r="H3878" s="150" t="str">
        <f t="shared" si="180"/>
        <v>5</v>
      </c>
      <c r="I3878" s="150" t="str">
        <f t="shared" si="181"/>
        <v>55</v>
      </c>
      <c r="J3878" s="150" t="str">
        <f t="shared" si="182"/>
        <v>556</v>
      </c>
      <c r="K3878" s="150" t="s">
        <v>8228</v>
      </c>
      <c r="L3878" s="149" t="s">
        <v>1906</v>
      </c>
      <c r="M3878" s="151">
        <v>0</v>
      </c>
    </row>
    <row r="3879" spans="1:13" s="149" customFormat="1" x14ac:dyDescent="0.25">
      <c r="A3879" s="149" t="s">
        <v>7640</v>
      </c>
      <c r="B3879" s="149" t="s">
        <v>1907</v>
      </c>
      <c r="C3879" s="149">
        <v>11</v>
      </c>
      <c r="D3879" s="149">
        <v>330</v>
      </c>
      <c r="E3879" s="149">
        <v>1</v>
      </c>
      <c r="F3879" s="149">
        <v>70100</v>
      </c>
      <c r="G3879" s="149">
        <v>55650</v>
      </c>
      <c r="H3879" s="150" t="str">
        <f t="shared" si="180"/>
        <v>5</v>
      </c>
      <c r="I3879" s="150" t="str">
        <f t="shared" si="181"/>
        <v>55</v>
      </c>
      <c r="J3879" s="150" t="str">
        <f t="shared" si="182"/>
        <v>556</v>
      </c>
      <c r="K3879" s="150" t="s">
        <v>8300</v>
      </c>
      <c r="L3879" s="149" t="s">
        <v>1908</v>
      </c>
      <c r="M3879" s="151">
        <v>0</v>
      </c>
    </row>
    <row r="3880" spans="1:13" s="149" customFormat="1" x14ac:dyDescent="0.25">
      <c r="A3880" s="149" t="s">
        <v>7640</v>
      </c>
      <c r="B3880" s="149" t="s">
        <v>1909</v>
      </c>
      <c r="C3880" s="149">
        <v>11</v>
      </c>
      <c r="D3880" s="149">
        <v>330</v>
      </c>
      <c r="E3880" s="149">
        <v>1</v>
      </c>
      <c r="F3880" s="149">
        <v>90100</v>
      </c>
      <c r="G3880" s="149">
        <v>51100</v>
      </c>
      <c r="H3880" s="150" t="str">
        <f t="shared" si="180"/>
        <v>5</v>
      </c>
      <c r="I3880" s="150" t="str">
        <f t="shared" si="181"/>
        <v>51</v>
      </c>
      <c r="J3880" s="150" t="str">
        <f t="shared" si="182"/>
        <v>511</v>
      </c>
      <c r="K3880" s="150" t="s">
        <v>9044</v>
      </c>
      <c r="L3880" s="149" t="s">
        <v>1656</v>
      </c>
      <c r="M3880" s="151">
        <v>17050.23</v>
      </c>
    </row>
    <row r="3881" spans="1:13" s="149" customFormat="1" x14ac:dyDescent="0.25">
      <c r="A3881" s="149" t="s">
        <v>7640</v>
      </c>
      <c r="B3881" s="149" t="s">
        <v>1910</v>
      </c>
      <c r="C3881" s="149">
        <v>11</v>
      </c>
      <c r="D3881" s="149">
        <v>330</v>
      </c>
      <c r="E3881" s="149">
        <v>1</v>
      </c>
      <c r="F3881" s="149">
        <v>90100</v>
      </c>
      <c r="G3881" s="149">
        <v>53110</v>
      </c>
      <c r="H3881" s="150" t="str">
        <f t="shared" si="180"/>
        <v>5</v>
      </c>
      <c r="I3881" s="150" t="str">
        <f t="shared" si="181"/>
        <v>53</v>
      </c>
      <c r="J3881" s="150" t="str">
        <f t="shared" si="182"/>
        <v>531</v>
      </c>
      <c r="K3881" s="150" t="s">
        <v>9045</v>
      </c>
      <c r="L3881" s="149" t="s">
        <v>1668</v>
      </c>
      <c r="M3881" s="151">
        <v>2753.64</v>
      </c>
    </row>
    <row r="3882" spans="1:13" s="149" customFormat="1" x14ac:dyDescent="0.25">
      <c r="A3882" s="149" t="s">
        <v>7640</v>
      </c>
      <c r="B3882" s="149" t="s">
        <v>1911</v>
      </c>
      <c r="C3882" s="149">
        <v>11</v>
      </c>
      <c r="D3882" s="149">
        <v>330</v>
      </c>
      <c r="E3882" s="149">
        <v>1</v>
      </c>
      <c r="F3882" s="149">
        <v>90100</v>
      </c>
      <c r="G3882" s="149">
        <v>53330</v>
      </c>
      <c r="H3882" s="150" t="str">
        <f t="shared" si="180"/>
        <v>5</v>
      </c>
      <c r="I3882" s="150" t="str">
        <f t="shared" si="181"/>
        <v>53</v>
      </c>
      <c r="J3882" s="150" t="str">
        <f t="shared" si="182"/>
        <v>533</v>
      </c>
      <c r="K3882" s="150" t="s">
        <v>9046</v>
      </c>
      <c r="L3882" s="149" t="s">
        <v>1678</v>
      </c>
      <c r="M3882" s="151">
        <v>244.79</v>
      </c>
    </row>
    <row r="3883" spans="1:13" s="149" customFormat="1" x14ac:dyDescent="0.25">
      <c r="A3883" s="149" t="s">
        <v>7640</v>
      </c>
      <c r="B3883" s="149" t="s">
        <v>1912</v>
      </c>
      <c r="C3883" s="149">
        <v>11</v>
      </c>
      <c r="D3883" s="149">
        <v>330</v>
      </c>
      <c r="E3883" s="149">
        <v>1</v>
      </c>
      <c r="F3883" s="149">
        <v>90100</v>
      </c>
      <c r="G3883" s="149">
        <v>53410</v>
      </c>
      <c r="H3883" s="150" t="str">
        <f t="shared" si="180"/>
        <v>5</v>
      </c>
      <c r="I3883" s="150" t="str">
        <f t="shared" si="181"/>
        <v>53</v>
      </c>
      <c r="J3883" s="150" t="str">
        <f t="shared" si="182"/>
        <v>534</v>
      </c>
      <c r="K3883" s="150" t="s">
        <v>9047</v>
      </c>
      <c r="L3883" s="149" t="s">
        <v>1682</v>
      </c>
      <c r="M3883" s="151">
        <v>5333.19</v>
      </c>
    </row>
    <row r="3884" spans="1:13" s="149" customFormat="1" x14ac:dyDescent="0.25">
      <c r="A3884" s="149" t="s">
        <v>7640</v>
      </c>
      <c r="B3884" s="149" t="s">
        <v>1913</v>
      </c>
      <c r="C3884" s="149">
        <v>11</v>
      </c>
      <c r="D3884" s="149">
        <v>330</v>
      </c>
      <c r="E3884" s="149">
        <v>1</v>
      </c>
      <c r="F3884" s="149">
        <v>90100</v>
      </c>
      <c r="G3884" s="149">
        <v>53510</v>
      </c>
      <c r="H3884" s="150" t="str">
        <f t="shared" si="180"/>
        <v>5</v>
      </c>
      <c r="I3884" s="150" t="str">
        <f t="shared" si="181"/>
        <v>53</v>
      </c>
      <c r="J3884" s="150" t="str">
        <f t="shared" si="182"/>
        <v>535</v>
      </c>
      <c r="K3884" s="150" t="s">
        <v>9048</v>
      </c>
      <c r="L3884" s="149" t="s">
        <v>1684</v>
      </c>
      <c r="M3884" s="151">
        <v>8.5500000000000007</v>
      </c>
    </row>
    <row r="3885" spans="1:13" s="149" customFormat="1" x14ac:dyDescent="0.25">
      <c r="A3885" s="149" t="s">
        <v>7640</v>
      </c>
      <c r="B3885" s="149" t="s">
        <v>1914</v>
      </c>
      <c r="C3885" s="149">
        <v>11</v>
      </c>
      <c r="D3885" s="149">
        <v>330</v>
      </c>
      <c r="E3885" s="149">
        <v>1</v>
      </c>
      <c r="F3885" s="149">
        <v>90100</v>
      </c>
      <c r="G3885" s="149">
        <v>53610</v>
      </c>
      <c r="H3885" s="150" t="str">
        <f t="shared" si="180"/>
        <v>5</v>
      </c>
      <c r="I3885" s="150" t="str">
        <f t="shared" si="181"/>
        <v>53</v>
      </c>
      <c r="J3885" s="150" t="str">
        <f t="shared" si="182"/>
        <v>536</v>
      </c>
      <c r="K3885" s="150" t="s">
        <v>9049</v>
      </c>
      <c r="L3885" s="149" t="s">
        <v>1688</v>
      </c>
      <c r="M3885" s="151">
        <v>322.38</v>
      </c>
    </row>
    <row r="3886" spans="1:13" s="149" customFormat="1" x14ac:dyDescent="0.25">
      <c r="A3886" s="149" t="s">
        <v>7640</v>
      </c>
      <c r="B3886" s="149" t="s">
        <v>1915</v>
      </c>
      <c r="C3886" s="149">
        <v>11</v>
      </c>
      <c r="D3886" s="149">
        <v>330</v>
      </c>
      <c r="E3886" s="149">
        <v>1</v>
      </c>
      <c r="F3886" s="149">
        <v>90100</v>
      </c>
      <c r="G3886" s="149">
        <v>55630</v>
      </c>
      <c r="H3886" s="150" t="str">
        <f t="shared" si="180"/>
        <v>5</v>
      </c>
      <c r="I3886" s="150" t="str">
        <f t="shared" si="181"/>
        <v>55</v>
      </c>
      <c r="J3886" s="150" t="str">
        <f t="shared" si="182"/>
        <v>556</v>
      </c>
      <c r="K3886" s="150" t="s">
        <v>8229</v>
      </c>
      <c r="L3886" s="149" t="s">
        <v>1696</v>
      </c>
      <c r="M3886" s="151">
        <v>0</v>
      </c>
    </row>
    <row r="3887" spans="1:13" s="149" customFormat="1" x14ac:dyDescent="0.25">
      <c r="A3887" s="149" t="s">
        <v>7640</v>
      </c>
      <c r="B3887" s="149" t="s">
        <v>1916</v>
      </c>
      <c r="C3887" s="149">
        <v>11</v>
      </c>
      <c r="D3887" s="149">
        <v>335</v>
      </c>
      <c r="E3887" s="149">
        <v>0</v>
      </c>
      <c r="F3887" s="149">
        <v>120300</v>
      </c>
      <c r="G3887" s="149">
        <v>51100</v>
      </c>
      <c r="H3887" s="150" t="str">
        <f t="shared" si="180"/>
        <v>5</v>
      </c>
      <c r="I3887" s="150" t="str">
        <f t="shared" si="181"/>
        <v>51</v>
      </c>
      <c r="J3887" s="150" t="str">
        <f t="shared" si="182"/>
        <v>511</v>
      </c>
      <c r="K3887" s="150" t="s">
        <v>9050</v>
      </c>
      <c r="L3887" s="149" t="s">
        <v>1917</v>
      </c>
      <c r="M3887" s="151">
        <v>534102.39</v>
      </c>
    </row>
    <row r="3888" spans="1:13" s="149" customFormat="1" x14ac:dyDescent="0.25">
      <c r="A3888" s="149" t="s">
        <v>7640</v>
      </c>
      <c r="B3888" s="149" t="s">
        <v>1918</v>
      </c>
      <c r="C3888" s="149">
        <v>11</v>
      </c>
      <c r="D3888" s="149">
        <v>335</v>
      </c>
      <c r="E3888" s="149">
        <v>0</v>
      </c>
      <c r="F3888" s="149">
        <v>120300</v>
      </c>
      <c r="G3888" s="149">
        <v>51310</v>
      </c>
      <c r="H3888" s="150" t="str">
        <f t="shared" si="180"/>
        <v>5</v>
      </c>
      <c r="I3888" s="150" t="str">
        <f t="shared" si="181"/>
        <v>51</v>
      </c>
      <c r="J3888" s="150" t="str">
        <f t="shared" si="182"/>
        <v>513</v>
      </c>
      <c r="K3888" s="150" t="s">
        <v>7671</v>
      </c>
      <c r="L3888" s="149" t="s">
        <v>1919</v>
      </c>
      <c r="M3888" s="151">
        <v>5365.62</v>
      </c>
    </row>
    <row r="3889" spans="1:13" s="149" customFormat="1" x14ac:dyDescent="0.25">
      <c r="A3889" s="149" t="s">
        <v>7640</v>
      </c>
      <c r="B3889" s="149" t="s">
        <v>1920</v>
      </c>
      <c r="C3889" s="149">
        <v>11</v>
      </c>
      <c r="D3889" s="149">
        <v>335</v>
      </c>
      <c r="E3889" s="149">
        <v>0</v>
      </c>
      <c r="F3889" s="149">
        <v>120300</v>
      </c>
      <c r="G3889" s="149">
        <v>51311</v>
      </c>
      <c r="H3889" s="150" t="str">
        <f t="shared" si="180"/>
        <v>5</v>
      </c>
      <c r="I3889" s="150" t="str">
        <f t="shared" si="181"/>
        <v>51</v>
      </c>
      <c r="J3889" s="150" t="str">
        <f t="shared" si="182"/>
        <v>513</v>
      </c>
      <c r="K3889" s="150" t="s">
        <v>7748</v>
      </c>
      <c r="L3889" s="149" t="s">
        <v>1921</v>
      </c>
      <c r="M3889" s="151">
        <v>76968.210000000006</v>
      </c>
    </row>
    <row r="3890" spans="1:13" s="149" customFormat="1" x14ac:dyDescent="0.25">
      <c r="A3890" s="149" t="s">
        <v>7640</v>
      </c>
      <c r="B3890" s="149" t="s">
        <v>1922</v>
      </c>
      <c r="C3890" s="149">
        <v>11</v>
      </c>
      <c r="D3890" s="149">
        <v>335</v>
      </c>
      <c r="E3890" s="149">
        <v>0</v>
      </c>
      <c r="F3890" s="149">
        <v>120300</v>
      </c>
      <c r="G3890" s="149">
        <v>51412</v>
      </c>
      <c r="H3890" s="150" t="str">
        <f t="shared" si="180"/>
        <v>5</v>
      </c>
      <c r="I3890" s="150" t="str">
        <f t="shared" si="181"/>
        <v>51</v>
      </c>
      <c r="J3890" s="150" t="str">
        <f t="shared" si="182"/>
        <v>514</v>
      </c>
      <c r="K3890" s="150" t="s">
        <v>7793</v>
      </c>
      <c r="L3890" s="149" t="s">
        <v>1923</v>
      </c>
      <c r="M3890" s="151">
        <v>1800</v>
      </c>
    </row>
    <row r="3891" spans="1:13" s="149" customFormat="1" x14ac:dyDescent="0.25">
      <c r="A3891" s="149" t="s">
        <v>7640</v>
      </c>
      <c r="B3891" s="149" t="s">
        <v>1924</v>
      </c>
      <c r="C3891" s="149">
        <v>11</v>
      </c>
      <c r="D3891" s="149">
        <v>335</v>
      </c>
      <c r="E3891" s="149">
        <v>0</v>
      </c>
      <c r="F3891" s="149">
        <v>120300</v>
      </c>
      <c r="G3891" s="149">
        <v>52360</v>
      </c>
      <c r="H3891" s="150" t="str">
        <f t="shared" si="180"/>
        <v>5</v>
      </c>
      <c r="I3891" s="150" t="str">
        <f t="shared" si="181"/>
        <v>52</v>
      </c>
      <c r="J3891" s="150" t="str">
        <f t="shared" si="182"/>
        <v>523</v>
      </c>
      <c r="K3891" s="150" t="s">
        <v>7871</v>
      </c>
      <c r="L3891" s="149" t="s">
        <v>1925</v>
      </c>
      <c r="M3891" s="151">
        <v>0</v>
      </c>
    </row>
    <row r="3892" spans="1:13" s="149" customFormat="1" x14ac:dyDescent="0.25">
      <c r="A3892" s="149" t="s">
        <v>7640</v>
      </c>
      <c r="B3892" s="149" t="s">
        <v>1926</v>
      </c>
      <c r="C3892" s="149">
        <v>11</v>
      </c>
      <c r="D3892" s="149">
        <v>335</v>
      </c>
      <c r="E3892" s="149">
        <v>0</v>
      </c>
      <c r="F3892" s="149">
        <v>120300</v>
      </c>
      <c r="G3892" s="149">
        <v>53110</v>
      </c>
      <c r="H3892" s="150" t="str">
        <f t="shared" si="180"/>
        <v>5</v>
      </c>
      <c r="I3892" s="150" t="str">
        <f t="shared" si="181"/>
        <v>53</v>
      </c>
      <c r="J3892" s="150" t="str">
        <f t="shared" si="182"/>
        <v>531</v>
      </c>
      <c r="K3892" s="150" t="s">
        <v>9051</v>
      </c>
      <c r="L3892" s="149" t="s">
        <v>1927</v>
      </c>
      <c r="M3892" s="151">
        <v>91693.63</v>
      </c>
    </row>
    <row r="3893" spans="1:13" s="149" customFormat="1" x14ac:dyDescent="0.25">
      <c r="A3893" s="149" t="s">
        <v>7640</v>
      </c>
      <c r="B3893" s="149" t="s">
        <v>1928</v>
      </c>
      <c r="C3893" s="149">
        <v>11</v>
      </c>
      <c r="D3893" s="149">
        <v>335</v>
      </c>
      <c r="E3893" s="149">
        <v>0</v>
      </c>
      <c r="F3893" s="149">
        <v>120300</v>
      </c>
      <c r="G3893" s="149">
        <v>53120</v>
      </c>
      <c r="H3893" s="150" t="str">
        <f t="shared" si="180"/>
        <v>5</v>
      </c>
      <c r="I3893" s="150" t="str">
        <f t="shared" si="181"/>
        <v>53</v>
      </c>
      <c r="J3893" s="150" t="str">
        <f t="shared" si="182"/>
        <v>531</v>
      </c>
      <c r="K3893" s="150" t="s">
        <v>9052</v>
      </c>
      <c r="L3893" s="149" t="s">
        <v>1929</v>
      </c>
      <c r="M3893" s="151">
        <v>0</v>
      </c>
    </row>
    <row r="3894" spans="1:13" s="149" customFormat="1" x14ac:dyDescent="0.25">
      <c r="A3894" s="149" t="s">
        <v>7640</v>
      </c>
      <c r="B3894" s="149" t="s">
        <v>1930</v>
      </c>
      <c r="C3894" s="149">
        <v>11</v>
      </c>
      <c r="D3894" s="149">
        <v>335</v>
      </c>
      <c r="E3894" s="149">
        <v>0</v>
      </c>
      <c r="F3894" s="149">
        <v>120300</v>
      </c>
      <c r="G3894" s="149">
        <v>53310</v>
      </c>
      <c r="H3894" s="150" t="str">
        <f t="shared" si="180"/>
        <v>5</v>
      </c>
      <c r="I3894" s="150" t="str">
        <f t="shared" si="181"/>
        <v>53</v>
      </c>
      <c r="J3894" s="150" t="str">
        <f t="shared" si="182"/>
        <v>533</v>
      </c>
      <c r="K3894" s="150" t="s">
        <v>9053</v>
      </c>
      <c r="L3894" s="149" t="s">
        <v>1931</v>
      </c>
      <c r="M3894" s="151">
        <v>3017.83</v>
      </c>
    </row>
    <row r="3895" spans="1:13" s="149" customFormat="1" x14ac:dyDescent="0.25">
      <c r="A3895" s="149" t="s">
        <v>7640</v>
      </c>
      <c r="B3895" s="149" t="s">
        <v>1932</v>
      </c>
      <c r="C3895" s="149">
        <v>11</v>
      </c>
      <c r="D3895" s="149">
        <v>335</v>
      </c>
      <c r="E3895" s="149">
        <v>0</v>
      </c>
      <c r="F3895" s="149">
        <v>120300</v>
      </c>
      <c r="G3895" s="149">
        <v>53320</v>
      </c>
      <c r="H3895" s="150" t="str">
        <f t="shared" si="180"/>
        <v>5</v>
      </c>
      <c r="I3895" s="150" t="str">
        <f t="shared" si="181"/>
        <v>53</v>
      </c>
      <c r="J3895" s="150" t="str">
        <f t="shared" si="182"/>
        <v>533</v>
      </c>
      <c r="K3895" s="150" t="s">
        <v>9054</v>
      </c>
      <c r="L3895" s="149" t="s">
        <v>1933</v>
      </c>
      <c r="M3895" s="151">
        <v>111.6</v>
      </c>
    </row>
    <row r="3896" spans="1:13" s="149" customFormat="1" x14ac:dyDescent="0.25">
      <c r="A3896" s="149" t="s">
        <v>7640</v>
      </c>
      <c r="B3896" s="149" t="s">
        <v>1934</v>
      </c>
      <c r="C3896" s="149">
        <v>11</v>
      </c>
      <c r="D3896" s="149">
        <v>335</v>
      </c>
      <c r="E3896" s="149">
        <v>0</v>
      </c>
      <c r="F3896" s="149">
        <v>120300</v>
      </c>
      <c r="G3896" s="149">
        <v>53330</v>
      </c>
      <c r="H3896" s="150" t="str">
        <f t="shared" si="180"/>
        <v>5</v>
      </c>
      <c r="I3896" s="150" t="str">
        <f t="shared" si="181"/>
        <v>53</v>
      </c>
      <c r="J3896" s="150" t="str">
        <f t="shared" si="182"/>
        <v>533</v>
      </c>
      <c r="K3896" s="150" t="s">
        <v>9055</v>
      </c>
      <c r="L3896" s="149" t="s">
        <v>1935</v>
      </c>
      <c r="M3896" s="151">
        <v>8860.56</v>
      </c>
    </row>
    <row r="3897" spans="1:13" s="149" customFormat="1" x14ac:dyDescent="0.25">
      <c r="A3897" s="149" t="s">
        <v>7640</v>
      </c>
      <c r="B3897" s="149" t="s">
        <v>1936</v>
      </c>
      <c r="C3897" s="149">
        <v>11</v>
      </c>
      <c r="D3897" s="149">
        <v>335</v>
      </c>
      <c r="E3897" s="149">
        <v>0</v>
      </c>
      <c r="F3897" s="149">
        <v>120300</v>
      </c>
      <c r="G3897" s="149">
        <v>53340</v>
      </c>
      <c r="H3897" s="150" t="str">
        <f t="shared" si="180"/>
        <v>5</v>
      </c>
      <c r="I3897" s="150" t="str">
        <f t="shared" si="181"/>
        <v>53</v>
      </c>
      <c r="J3897" s="150" t="str">
        <f t="shared" si="182"/>
        <v>533</v>
      </c>
      <c r="K3897" s="150" t="s">
        <v>9056</v>
      </c>
      <c r="L3897" s="149" t="s">
        <v>1937</v>
      </c>
      <c r="M3897" s="151">
        <v>26.1</v>
      </c>
    </row>
    <row r="3898" spans="1:13" s="149" customFormat="1" x14ac:dyDescent="0.25">
      <c r="A3898" s="149" t="s">
        <v>7640</v>
      </c>
      <c r="B3898" s="149" t="s">
        <v>1938</v>
      </c>
      <c r="C3898" s="149">
        <v>11</v>
      </c>
      <c r="D3898" s="149">
        <v>335</v>
      </c>
      <c r="E3898" s="149">
        <v>0</v>
      </c>
      <c r="F3898" s="149">
        <v>120300</v>
      </c>
      <c r="G3898" s="149">
        <v>53410</v>
      </c>
      <c r="H3898" s="150" t="str">
        <f t="shared" si="180"/>
        <v>5</v>
      </c>
      <c r="I3898" s="150" t="str">
        <f t="shared" si="181"/>
        <v>53</v>
      </c>
      <c r="J3898" s="150" t="str">
        <f t="shared" si="182"/>
        <v>534</v>
      </c>
      <c r="K3898" s="150" t="s">
        <v>9057</v>
      </c>
      <c r="L3898" s="149" t="s">
        <v>1939</v>
      </c>
      <c r="M3898" s="151">
        <v>111524.54</v>
      </c>
    </row>
    <row r="3899" spans="1:13" s="149" customFormat="1" x14ac:dyDescent="0.25">
      <c r="A3899" s="149" t="s">
        <v>7640</v>
      </c>
      <c r="B3899" s="149" t="s">
        <v>1940</v>
      </c>
      <c r="C3899" s="149">
        <v>11</v>
      </c>
      <c r="D3899" s="149">
        <v>335</v>
      </c>
      <c r="E3899" s="149">
        <v>0</v>
      </c>
      <c r="F3899" s="149">
        <v>120300</v>
      </c>
      <c r="G3899" s="149">
        <v>53420</v>
      </c>
      <c r="H3899" s="150" t="str">
        <f t="shared" si="180"/>
        <v>5</v>
      </c>
      <c r="I3899" s="150" t="str">
        <f t="shared" si="181"/>
        <v>53</v>
      </c>
      <c r="J3899" s="150" t="str">
        <f t="shared" si="182"/>
        <v>534</v>
      </c>
      <c r="K3899" s="150" t="s">
        <v>9058</v>
      </c>
      <c r="L3899" s="149" t="s">
        <v>1941</v>
      </c>
      <c r="M3899" s="151">
        <v>-714.54</v>
      </c>
    </row>
    <row r="3900" spans="1:13" s="149" customFormat="1" x14ac:dyDescent="0.25">
      <c r="A3900" s="149" t="s">
        <v>7640</v>
      </c>
      <c r="B3900" s="149" t="s">
        <v>1942</v>
      </c>
      <c r="C3900" s="149">
        <v>11</v>
      </c>
      <c r="D3900" s="149">
        <v>335</v>
      </c>
      <c r="E3900" s="149">
        <v>0</v>
      </c>
      <c r="F3900" s="149">
        <v>120300</v>
      </c>
      <c r="G3900" s="149">
        <v>53510</v>
      </c>
      <c r="H3900" s="150" t="str">
        <f t="shared" si="180"/>
        <v>5</v>
      </c>
      <c r="I3900" s="150" t="str">
        <f t="shared" si="181"/>
        <v>53</v>
      </c>
      <c r="J3900" s="150" t="str">
        <f t="shared" si="182"/>
        <v>535</v>
      </c>
      <c r="K3900" s="150" t="s">
        <v>9059</v>
      </c>
      <c r="L3900" s="149" t="s">
        <v>1943</v>
      </c>
      <c r="M3900" s="151">
        <v>307.14999999999998</v>
      </c>
    </row>
    <row r="3901" spans="1:13" s="149" customFormat="1" x14ac:dyDescent="0.25">
      <c r="A3901" s="149" t="s">
        <v>7640</v>
      </c>
      <c r="B3901" s="149" t="s">
        <v>1944</v>
      </c>
      <c r="C3901" s="149">
        <v>11</v>
      </c>
      <c r="D3901" s="149">
        <v>335</v>
      </c>
      <c r="E3901" s="149">
        <v>0</v>
      </c>
      <c r="F3901" s="149">
        <v>120300</v>
      </c>
      <c r="G3901" s="149">
        <v>53520</v>
      </c>
      <c r="H3901" s="150" t="str">
        <f t="shared" si="180"/>
        <v>5</v>
      </c>
      <c r="I3901" s="150" t="str">
        <f t="shared" si="181"/>
        <v>53</v>
      </c>
      <c r="J3901" s="150" t="str">
        <f t="shared" si="182"/>
        <v>535</v>
      </c>
      <c r="K3901" s="150" t="s">
        <v>9060</v>
      </c>
      <c r="L3901" s="149" t="s">
        <v>1945</v>
      </c>
      <c r="M3901" s="151">
        <v>0.9</v>
      </c>
    </row>
    <row r="3902" spans="1:13" s="149" customFormat="1" x14ac:dyDescent="0.25">
      <c r="A3902" s="149" t="s">
        <v>7640</v>
      </c>
      <c r="B3902" s="149" t="s">
        <v>1946</v>
      </c>
      <c r="C3902" s="149">
        <v>11</v>
      </c>
      <c r="D3902" s="149">
        <v>335</v>
      </c>
      <c r="E3902" s="149">
        <v>0</v>
      </c>
      <c r="F3902" s="149">
        <v>120300</v>
      </c>
      <c r="G3902" s="149">
        <v>53610</v>
      </c>
      <c r="H3902" s="150" t="str">
        <f t="shared" si="180"/>
        <v>5</v>
      </c>
      <c r="I3902" s="150" t="str">
        <f t="shared" si="181"/>
        <v>53</v>
      </c>
      <c r="J3902" s="150" t="str">
        <f t="shared" si="182"/>
        <v>536</v>
      </c>
      <c r="K3902" s="150" t="s">
        <v>9061</v>
      </c>
      <c r="L3902" s="149" t="s">
        <v>1947</v>
      </c>
      <c r="M3902" s="151">
        <v>11655.68</v>
      </c>
    </row>
    <row r="3903" spans="1:13" s="149" customFormat="1" x14ac:dyDescent="0.25">
      <c r="A3903" s="149" t="s">
        <v>7640</v>
      </c>
      <c r="B3903" s="149" t="s">
        <v>1948</v>
      </c>
      <c r="C3903" s="149">
        <v>11</v>
      </c>
      <c r="D3903" s="149">
        <v>335</v>
      </c>
      <c r="E3903" s="149">
        <v>0</v>
      </c>
      <c r="F3903" s="149">
        <v>120300</v>
      </c>
      <c r="G3903" s="149">
        <v>53620</v>
      </c>
      <c r="H3903" s="150" t="str">
        <f t="shared" si="180"/>
        <v>5</v>
      </c>
      <c r="I3903" s="150" t="str">
        <f t="shared" si="181"/>
        <v>53</v>
      </c>
      <c r="J3903" s="150" t="str">
        <f t="shared" si="182"/>
        <v>536</v>
      </c>
      <c r="K3903" s="150" t="s">
        <v>9062</v>
      </c>
      <c r="L3903" s="149" t="s">
        <v>1949</v>
      </c>
      <c r="M3903" s="151">
        <v>34.03</v>
      </c>
    </row>
    <row r="3904" spans="1:13" s="149" customFormat="1" x14ac:dyDescent="0.25">
      <c r="A3904" s="149" t="s">
        <v>7640</v>
      </c>
      <c r="B3904" s="149" t="s">
        <v>1950</v>
      </c>
      <c r="C3904" s="149">
        <v>11</v>
      </c>
      <c r="D3904" s="149">
        <v>335</v>
      </c>
      <c r="E3904" s="149">
        <v>0</v>
      </c>
      <c r="F3904" s="149">
        <v>120300</v>
      </c>
      <c r="G3904" s="149">
        <v>54300</v>
      </c>
      <c r="H3904" s="150" t="str">
        <f t="shared" si="180"/>
        <v>5</v>
      </c>
      <c r="I3904" s="150" t="str">
        <f t="shared" si="181"/>
        <v>54</v>
      </c>
      <c r="J3904" s="150" t="str">
        <f t="shared" si="182"/>
        <v>543</v>
      </c>
      <c r="K3904" s="150" t="s">
        <v>7947</v>
      </c>
      <c r="L3904" s="149" t="s">
        <v>1951</v>
      </c>
      <c r="M3904" s="151">
        <v>2007.4499999999998</v>
      </c>
    </row>
    <row r="3905" spans="1:13" s="149" customFormat="1" x14ac:dyDescent="0.25">
      <c r="A3905" s="149" t="s">
        <v>7640</v>
      </c>
      <c r="B3905" s="149" t="s">
        <v>1952</v>
      </c>
      <c r="C3905" s="149">
        <v>11</v>
      </c>
      <c r="D3905" s="149">
        <v>335</v>
      </c>
      <c r="E3905" s="149">
        <v>0</v>
      </c>
      <c r="F3905" s="149">
        <v>120300</v>
      </c>
      <c r="G3905" s="149">
        <v>55200</v>
      </c>
      <c r="H3905" s="150" t="str">
        <f t="shared" si="180"/>
        <v>5</v>
      </c>
      <c r="I3905" s="150" t="str">
        <f t="shared" si="181"/>
        <v>55</v>
      </c>
      <c r="J3905" s="150" t="str">
        <f t="shared" si="182"/>
        <v>552</v>
      </c>
      <c r="K3905" s="150" t="s">
        <v>8051</v>
      </c>
      <c r="L3905" s="149" t="s">
        <v>1953</v>
      </c>
      <c r="M3905" s="151">
        <v>0</v>
      </c>
    </row>
    <row r="3906" spans="1:13" s="149" customFormat="1" x14ac:dyDescent="0.25">
      <c r="A3906" s="149" t="s">
        <v>7640</v>
      </c>
      <c r="B3906" s="149" t="s">
        <v>1954</v>
      </c>
      <c r="C3906" s="149">
        <v>11</v>
      </c>
      <c r="D3906" s="149">
        <v>335</v>
      </c>
      <c r="E3906" s="149">
        <v>0</v>
      </c>
      <c r="F3906" s="149">
        <v>120300</v>
      </c>
      <c r="G3906" s="149">
        <v>55300</v>
      </c>
      <c r="H3906" s="150" t="str">
        <f t="shared" si="180"/>
        <v>5</v>
      </c>
      <c r="I3906" s="150" t="str">
        <f t="shared" si="181"/>
        <v>55</v>
      </c>
      <c r="J3906" s="150" t="str">
        <f t="shared" si="182"/>
        <v>553</v>
      </c>
      <c r="K3906" s="150" t="s">
        <v>8089</v>
      </c>
      <c r="L3906" s="149" t="s">
        <v>1955</v>
      </c>
      <c r="M3906" s="151">
        <v>10591.96</v>
      </c>
    </row>
    <row r="3907" spans="1:13" s="149" customFormat="1" x14ac:dyDescent="0.25">
      <c r="A3907" s="149" t="s">
        <v>7640</v>
      </c>
      <c r="B3907" s="149" t="s">
        <v>1956</v>
      </c>
      <c r="C3907" s="149">
        <v>11</v>
      </c>
      <c r="D3907" s="149">
        <v>335</v>
      </c>
      <c r="E3907" s="149">
        <v>0</v>
      </c>
      <c r="F3907" s="149">
        <v>120300</v>
      </c>
      <c r="G3907" s="149">
        <v>55625</v>
      </c>
      <c r="H3907" s="150" t="str">
        <f t="shared" ref="H3907:H3970" si="183">LEFT(G3907,1)</f>
        <v>5</v>
      </c>
      <c r="I3907" s="150" t="str">
        <f t="shared" ref="I3907:I3970" si="184">LEFT(G3907,2)</f>
        <v>55</v>
      </c>
      <c r="J3907" s="150" t="str">
        <f t="shared" ref="J3907:J3970" si="185">LEFT(G3907,3)</f>
        <v>556</v>
      </c>
      <c r="K3907" s="150" t="s">
        <v>8157</v>
      </c>
      <c r="L3907" s="149" t="s">
        <v>1957</v>
      </c>
      <c r="M3907" s="151">
        <v>38.5</v>
      </c>
    </row>
    <row r="3908" spans="1:13" s="149" customFormat="1" x14ac:dyDescent="0.25">
      <c r="A3908" s="149" t="s">
        <v>7640</v>
      </c>
      <c r="B3908" s="149" t="s">
        <v>1958</v>
      </c>
      <c r="C3908" s="149">
        <v>11</v>
      </c>
      <c r="D3908" s="149">
        <v>335</v>
      </c>
      <c r="E3908" s="149">
        <v>0</v>
      </c>
      <c r="F3908" s="149">
        <v>120300</v>
      </c>
      <c r="G3908" s="149">
        <v>55630</v>
      </c>
      <c r="H3908" s="150" t="str">
        <f t="shared" si="183"/>
        <v>5</v>
      </c>
      <c r="I3908" s="150" t="str">
        <f t="shared" si="184"/>
        <v>55</v>
      </c>
      <c r="J3908" s="150" t="str">
        <f t="shared" si="185"/>
        <v>556</v>
      </c>
      <c r="K3908" s="150" t="s">
        <v>8230</v>
      </c>
      <c r="L3908" s="149" t="s">
        <v>1959</v>
      </c>
      <c r="M3908" s="151">
        <v>123.59</v>
      </c>
    </row>
    <row r="3909" spans="1:13" s="149" customFormat="1" x14ac:dyDescent="0.25">
      <c r="A3909" s="149" t="s">
        <v>7640</v>
      </c>
      <c r="B3909" s="149" t="s">
        <v>1960</v>
      </c>
      <c r="C3909" s="149">
        <v>11</v>
      </c>
      <c r="D3909" s="149">
        <v>335</v>
      </c>
      <c r="E3909" s="149">
        <v>0</v>
      </c>
      <c r="F3909" s="149">
        <v>120300</v>
      </c>
      <c r="G3909" s="149">
        <v>55650</v>
      </c>
      <c r="H3909" s="150" t="str">
        <f t="shared" si="183"/>
        <v>5</v>
      </c>
      <c r="I3909" s="150" t="str">
        <f t="shared" si="184"/>
        <v>55</v>
      </c>
      <c r="J3909" s="150" t="str">
        <f t="shared" si="185"/>
        <v>556</v>
      </c>
      <c r="K3909" s="150" t="s">
        <v>8301</v>
      </c>
      <c r="L3909" s="149" t="s">
        <v>1961</v>
      </c>
      <c r="M3909" s="151">
        <v>10299.99</v>
      </c>
    </row>
    <row r="3910" spans="1:13" s="149" customFormat="1" x14ac:dyDescent="0.25">
      <c r="A3910" s="149" t="s">
        <v>7640</v>
      </c>
      <c r="B3910" s="149" t="s">
        <v>1962</v>
      </c>
      <c r="C3910" s="149">
        <v>11</v>
      </c>
      <c r="D3910" s="149">
        <v>335</v>
      </c>
      <c r="E3910" s="149">
        <v>0</v>
      </c>
      <c r="F3910" s="149">
        <v>120320</v>
      </c>
      <c r="G3910" s="149">
        <v>51100</v>
      </c>
      <c r="H3910" s="150" t="str">
        <f t="shared" si="183"/>
        <v>5</v>
      </c>
      <c r="I3910" s="150" t="str">
        <f t="shared" si="184"/>
        <v>51</v>
      </c>
      <c r="J3910" s="150" t="str">
        <f t="shared" si="185"/>
        <v>511</v>
      </c>
      <c r="K3910" s="150" t="s">
        <v>9063</v>
      </c>
      <c r="L3910" s="149" t="s">
        <v>1963</v>
      </c>
      <c r="M3910" s="151">
        <v>142492.5</v>
      </c>
    </row>
    <row r="3911" spans="1:13" s="149" customFormat="1" x14ac:dyDescent="0.25">
      <c r="A3911" s="149" t="s">
        <v>7640</v>
      </c>
      <c r="B3911" s="149" t="s">
        <v>1964</v>
      </c>
      <c r="C3911" s="149">
        <v>11</v>
      </c>
      <c r="D3911" s="149">
        <v>335</v>
      </c>
      <c r="E3911" s="149">
        <v>0</v>
      </c>
      <c r="F3911" s="149">
        <v>120320</v>
      </c>
      <c r="G3911" s="149">
        <v>51310</v>
      </c>
      <c r="H3911" s="150" t="str">
        <f t="shared" si="183"/>
        <v>5</v>
      </c>
      <c r="I3911" s="150" t="str">
        <f t="shared" si="184"/>
        <v>51</v>
      </c>
      <c r="J3911" s="150" t="str">
        <f t="shared" si="185"/>
        <v>513</v>
      </c>
      <c r="K3911" s="150" t="s">
        <v>7672</v>
      </c>
      <c r="L3911" s="149" t="s">
        <v>1965</v>
      </c>
      <c r="M3911" s="151">
        <v>3746.15</v>
      </c>
    </row>
    <row r="3912" spans="1:13" s="149" customFormat="1" x14ac:dyDescent="0.25">
      <c r="A3912" s="149" t="s">
        <v>7640</v>
      </c>
      <c r="B3912" s="149" t="s">
        <v>1966</v>
      </c>
      <c r="C3912" s="149">
        <v>11</v>
      </c>
      <c r="D3912" s="149">
        <v>335</v>
      </c>
      <c r="E3912" s="149">
        <v>0</v>
      </c>
      <c r="F3912" s="149">
        <v>120320</v>
      </c>
      <c r="G3912" s="149">
        <v>51311</v>
      </c>
      <c r="H3912" s="150" t="str">
        <f t="shared" si="183"/>
        <v>5</v>
      </c>
      <c r="I3912" s="150" t="str">
        <f t="shared" si="184"/>
        <v>51</v>
      </c>
      <c r="J3912" s="150" t="str">
        <f t="shared" si="185"/>
        <v>513</v>
      </c>
      <c r="K3912" s="150" t="s">
        <v>7749</v>
      </c>
      <c r="L3912" s="149" t="s">
        <v>1967</v>
      </c>
      <c r="M3912" s="151">
        <v>71994.87</v>
      </c>
    </row>
    <row r="3913" spans="1:13" s="149" customFormat="1" x14ac:dyDescent="0.25">
      <c r="A3913" s="149" t="s">
        <v>7640</v>
      </c>
      <c r="B3913" s="149" t="s">
        <v>1968</v>
      </c>
      <c r="C3913" s="149">
        <v>11</v>
      </c>
      <c r="D3913" s="149">
        <v>335</v>
      </c>
      <c r="E3913" s="149">
        <v>0</v>
      </c>
      <c r="F3913" s="149">
        <v>120320</v>
      </c>
      <c r="G3913" s="149">
        <v>53110</v>
      </c>
      <c r="H3913" s="150" t="str">
        <f t="shared" si="183"/>
        <v>5</v>
      </c>
      <c r="I3913" s="150" t="str">
        <f t="shared" si="184"/>
        <v>53</v>
      </c>
      <c r="J3913" s="150" t="str">
        <f t="shared" si="185"/>
        <v>531</v>
      </c>
      <c r="K3913" s="150" t="s">
        <v>9064</v>
      </c>
      <c r="L3913" s="149" t="s">
        <v>1969</v>
      </c>
      <c r="M3913" s="151">
        <v>32231.49</v>
      </c>
    </row>
    <row r="3914" spans="1:13" s="149" customFormat="1" x14ac:dyDescent="0.25">
      <c r="A3914" s="149" t="s">
        <v>7640</v>
      </c>
      <c r="B3914" s="149" t="s">
        <v>1970</v>
      </c>
      <c r="C3914" s="149">
        <v>11</v>
      </c>
      <c r="D3914" s="149">
        <v>335</v>
      </c>
      <c r="E3914" s="149">
        <v>0</v>
      </c>
      <c r="F3914" s="149">
        <v>120320</v>
      </c>
      <c r="G3914" s="149">
        <v>53310</v>
      </c>
      <c r="H3914" s="150" t="str">
        <f t="shared" si="183"/>
        <v>5</v>
      </c>
      <c r="I3914" s="150" t="str">
        <f t="shared" si="184"/>
        <v>53</v>
      </c>
      <c r="J3914" s="150" t="str">
        <f t="shared" si="185"/>
        <v>533</v>
      </c>
      <c r="K3914" s="150" t="s">
        <v>9065</v>
      </c>
      <c r="L3914" s="149" t="s">
        <v>1971</v>
      </c>
      <c r="M3914" s="151">
        <v>1161.27</v>
      </c>
    </row>
    <row r="3915" spans="1:13" s="149" customFormat="1" x14ac:dyDescent="0.25">
      <c r="A3915" s="149" t="s">
        <v>7640</v>
      </c>
      <c r="B3915" s="149" t="s">
        <v>1972</v>
      </c>
      <c r="C3915" s="149">
        <v>11</v>
      </c>
      <c r="D3915" s="149">
        <v>335</v>
      </c>
      <c r="E3915" s="149">
        <v>0</v>
      </c>
      <c r="F3915" s="149">
        <v>120320</v>
      </c>
      <c r="G3915" s="149">
        <v>53330</v>
      </c>
      <c r="H3915" s="150" t="str">
        <f t="shared" si="183"/>
        <v>5</v>
      </c>
      <c r="I3915" s="150" t="str">
        <f t="shared" si="184"/>
        <v>53</v>
      </c>
      <c r="J3915" s="150" t="str">
        <f t="shared" si="185"/>
        <v>533</v>
      </c>
      <c r="K3915" s="150" t="s">
        <v>9066</v>
      </c>
      <c r="L3915" s="149" t="s">
        <v>1973</v>
      </c>
      <c r="M3915" s="151">
        <v>3146.01</v>
      </c>
    </row>
    <row r="3916" spans="1:13" s="149" customFormat="1" x14ac:dyDescent="0.25">
      <c r="A3916" s="149" t="s">
        <v>7640</v>
      </c>
      <c r="B3916" s="149" t="s">
        <v>1974</v>
      </c>
      <c r="C3916" s="149">
        <v>11</v>
      </c>
      <c r="D3916" s="149">
        <v>335</v>
      </c>
      <c r="E3916" s="149">
        <v>0</v>
      </c>
      <c r="F3916" s="149">
        <v>120320</v>
      </c>
      <c r="G3916" s="149">
        <v>53410</v>
      </c>
      <c r="H3916" s="150" t="str">
        <f t="shared" si="183"/>
        <v>5</v>
      </c>
      <c r="I3916" s="150" t="str">
        <f t="shared" si="184"/>
        <v>53</v>
      </c>
      <c r="J3916" s="150" t="str">
        <f t="shared" si="185"/>
        <v>534</v>
      </c>
      <c r="K3916" s="150" t="s">
        <v>9067</v>
      </c>
      <c r="L3916" s="149" t="s">
        <v>1975</v>
      </c>
      <c r="M3916" s="151">
        <v>39999.230000000003</v>
      </c>
    </row>
    <row r="3917" spans="1:13" s="149" customFormat="1" x14ac:dyDescent="0.25">
      <c r="A3917" s="149" t="s">
        <v>7640</v>
      </c>
      <c r="B3917" s="149" t="s">
        <v>1976</v>
      </c>
      <c r="C3917" s="149">
        <v>11</v>
      </c>
      <c r="D3917" s="149">
        <v>335</v>
      </c>
      <c r="E3917" s="149">
        <v>0</v>
      </c>
      <c r="F3917" s="149">
        <v>120320</v>
      </c>
      <c r="G3917" s="149">
        <v>53510</v>
      </c>
      <c r="H3917" s="150" t="str">
        <f t="shared" si="183"/>
        <v>5</v>
      </c>
      <c r="I3917" s="150" t="str">
        <f t="shared" si="184"/>
        <v>53</v>
      </c>
      <c r="J3917" s="150" t="str">
        <f t="shared" si="185"/>
        <v>535</v>
      </c>
      <c r="K3917" s="150" t="s">
        <v>9068</v>
      </c>
      <c r="L3917" s="149" t="s">
        <v>1977</v>
      </c>
      <c r="M3917" s="151">
        <v>109.14</v>
      </c>
    </row>
    <row r="3918" spans="1:13" s="149" customFormat="1" x14ac:dyDescent="0.25">
      <c r="A3918" s="149" t="s">
        <v>7640</v>
      </c>
      <c r="B3918" s="149" t="s">
        <v>1978</v>
      </c>
      <c r="C3918" s="149">
        <v>11</v>
      </c>
      <c r="D3918" s="149">
        <v>335</v>
      </c>
      <c r="E3918" s="149">
        <v>0</v>
      </c>
      <c r="F3918" s="149">
        <v>120320</v>
      </c>
      <c r="G3918" s="149">
        <v>53610</v>
      </c>
      <c r="H3918" s="150" t="str">
        <f t="shared" si="183"/>
        <v>5</v>
      </c>
      <c r="I3918" s="150" t="str">
        <f t="shared" si="184"/>
        <v>53</v>
      </c>
      <c r="J3918" s="150" t="str">
        <f t="shared" si="185"/>
        <v>536</v>
      </c>
      <c r="K3918" s="150" t="s">
        <v>9069</v>
      </c>
      <c r="L3918" s="149" t="s">
        <v>1979</v>
      </c>
      <c r="M3918" s="151">
        <v>4126.3100000000004</v>
      </c>
    </row>
    <row r="3919" spans="1:13" s="149" customFormat="1" x14ac:dyDescent="0.25">
      <c r="A3919" s="149" t="s">
        <v>7640</v>
      </c>
      <c r="B3919" s="149" t="s">
        <v>1980</v>
      </c>
      <c r="C3919" s="149">
        <v>11</v>
      </c>
      <c r="D3919" s="149">
        <v>335</v>
      </c>
      <c r="E3919" s="149">
        <v>0</v>
      </c>
      <c r="F3919" s="149">
        <v>120320</v>
      </c>
      <c r="G3919" s="149">
        <v>55200</v>
      </c>
      <c r="H3919" s="150" t="str">
        <f t="shared" si="183"/>
        <v>5</v>
      </c>
      <c r="I3919" s="150" t="str">
        <f t="shared" si="184"/>
        <v>55</v>
      </c>
      <c r="J3919" s="150" t="str">
        <f t="shared" si="185"/>
        <v>552</v>
      </c>
      <c r="K3919" s="150" t="s">
        <v>8052</v>
      </c>
      <c r="L3919" s="149" t="s">
        <v>1981</v>
      </c>
      <c r="M3919" s="151">
        <v>0</v>
      </c>
    </row>
    <row r="3920" spans="1:13" s="149" customFormat="1" x14ac:dyDescent="0.25">
      <c r="A3920" s="149" t="s">
        <v>7640</v>
      </c>
      <c r="B3920" s="149" t="s">
        <v>1982</v>
      </c>
      <c r="C3920" s="149">
        <v>11</v>
      </c>
      <c r="D3920" s="149">
        <v>335</v>
      </c>
      <c r="E3920" s="149">
        <v>0</v>
      </c>
      <c r="F3920" s="149">
        <v>120320</v>
      </c>
      <c r="G3920" s="149">
        <v>55630</v>
      </c>
      <c r="H3920" s="150" t="str">
        <f t="shared" si="183"/>
        <v>5</v>
      </c>
      <c r="I3920" s="150" t="str">
        <f t="shared" si="184"/>
        <v>55</v>
      </c>
      <c r="J3920" s="150" t="str">
        <f t="shared" si="185"/>
        <v>556</v>
      </c>
      <c r="K3920" s="150" t="s">
        <v>8231</v>
      </c>
      <c r="L3920" s="149" t="s">
        <v>1983</v>
      </c>
      <c r="M3920" s="151">
        <v>11.88</v>
      </c>
    </row>
    <row r="3921" spans="1:13" s="149" customFormat="1" x14ac:dyDescent="0.25">
      <c r="A3921" s="149" t="s">
        <v>7640</v>
      </c>
      <c r="B3921" s="149" t="s">
        <v>1984</v>
      </c>
      <c r="C3921" s="149">
        <v>11</v>
      </c>
      <c r="D3921" s="149">
        <v>335</v>
      </c>
      <c r="E3921" s="149">
        <v>0</v>
      </c>
      <c r="F3921" s="149">
        <v>120400</v>
      </c>
      <c r="G3921" s="149">
        <v>51100</v>
      </c>
      <c r="H3921" s="150" t="str">
        <f t="shared" si="183"/>
        <v>5</v>
      </c>
      <c r="I3921" s="150" t="str">
        <f t="shared" si="184"/>
        <v>51</v>
      </c>
      <c r="J3921" s="150" t="str">
        <f t="shared" si="185"/>
        <v>511</v>
      </c>
      <c r="K3921" s="150" t="s">
        <v>9070</v>
      </c>
      <c r="L3921" s="149" t="s">
        <v>1985</v>
      </c>
      <c r="M3921" s="151">
        <v>154859.04</v>
      </c>
    </row>
    <row r="3922" spans="1:13" s="149" customFormat="1" x14ac:dyDescent="0.25">
      <c r="A3922" s="149" t="s">
        <v>7640</v>
      </c>
      <c r="B3922" s="149" t="s">
        <v>1986</v>
      </c>
      <c r="C3922" s="149">
        <v>11</v>
      </c>
      <c r="D3922" s="149">
        <v>335</v>
      </c>
      <c r="E3922" s="149">
        <v>0</v>
      </c>
      <c r="F3922" s="149">
        <v>120400</v>
      </c>
      <c r="G3922" s="149">
        <v>51310</v>
      </c>
      <c r="H3922" s="150" t="str">
        <f t="shared" si="183"/>
        <v>5</v>
      </c>
      <c r="I3922" s="150" t="str">
        <f t="shared" si="184"/>
        <v>51</v>
      </c>
      <c r="J3922" s="150" t="str">
        <f t="shared" si="185"/>
        <v>513</v>
      </c>
      <c r="K3922" s="150" t="s">
        <v>7673</v>
      </c>
      <c r="L3922" s="149" t="s">
        <v>1987</v>
      </c>
      <c r="M3922" s="151">
        <v>5986.44</v>
      </c>
    </row>
    <row r="3923" spans="1:13" s="149" customFormat="1" x14ac:dyDescent="0.25">
      <c r="A3923" s="149" t="s">
        <v>7640</v>
      </c>
      <c r="B3923" s="149" t="s">
        <v>1988</v>
      </c>
      <c r="C3923" s="149">
        <v>11</v>
      </c>
      <c r="D3923" s="149">
        <v>335</v>
      </c>
      <c r="E3923" s="149">
        <v>0</v>
      </c>
      <c r="F3923" s="149">
        <v>120400</v>
      </c>
      <c r="G3923" s="149">
        <v>51311</v>
      </c>
      <c r="H3923" s="150" t="str">
        <f t="shared" si="183"/>
        <v>5</v>
      </c>
      <c r="I3923" s="150" t="str">
        <f t="shared" si="184"/>
        <v>51</v>
      </c>
      <c r="J3923" s="150" t="str">
        <f t="shared" si="185"/>
        <v>513</v>
      </c>
      <c r="K3923" s="150" t="s">
        <v>7750</v>
      </c>
      <c r="L3923" s="149" t="s">
        <v>1989</v>
      </c>
      <c r="M3923" s="151">
        <v>72719.850000000006</v>
      </c>
    </row>
    <row r="3924" spans="1:13" s="149" customFormat="1" x14ac:dyDescent="0.25">
      <c r="A3924" s="149" t="s">
        <v>7640</v>
      </c>
      <c r="B3924" s="149" t="s">
        <v>1990</v>
      </c>
      <c r="C3924" s="149">
        <v>11</v>
      </c>
      <c r="D3924" s="149">
        <v>335</v>
      </c>
      <c r="E3924" s="149">
        <v>0</v>
      </c>
      <c r="F3924" s="149">
        <v>120400</v>
      </c>
      <c r="G3924" s="149">
        <v>53110</v>
      </c>
      <c r="H3924" s="150" t="str">
        <f t="shared" si="183"/>
        <v>5</v>
      </c>
      <c r="I3924" s="150" t="str">
        <f t="shared" si="184"/>
        <v>53</v>
      </c>
      <c r="J3924" s="150" t="str">
        <f t="shared" si="185"/>
        <v>531</v>
      </c>
      <c r="K3924" s="150" t="s">
        <v>9071</v>
      </c>
      <c r="L3924" s="149" t="s">
        <v>1991</v>
      </c>
      <c r="M3924" s="151">
        <v>35859.050000000003</v>
      </c>
    </row>
    <row r="3925" spans="1:13" s="149" customFormat="1" x14ac:dyDescent="0.25">
      <c r="A3925" s="149" t="s">
        <v>7640</v>
      </c>
      <c r="B3925" s="149" t="s">
        <v>1992</v>
      </c>
      <c r="C3925" s="149">
        <v>11</v>
      </c>
      <c r="D3925" s="149">
        <v>335</v>
      </c>
      <c r="E3925" s="149">
        <v>0</v>
      </c>
      <c r="F3925" s="149">
        <v>120400</v>
      </c>
      <c r="G3925" s="149">
        <v>53310</v>
      </c>
      <c r="H3925" s="150" t="str">
        <f t="shared" si="183"/>
        <v>5</v>
      </c>
      <c r="I3925" s="150" t="str">
        <f t="shared" si="184"/>
        <v>53</v>
      </c>
      <c r="J3925" s="150" t="str">
        <f t="shared" si="185"/>
        <v>533</v>
      </c>
      <c r="K3925" s="150" t="s">
        <v>9072</v>
      </c>
      <c r="L3925" s="149" t="s">
        <v>1993</v>
      </c>
      <c r="M3925" s="151">
        <v>714.76</v>
      </c>
    </row>
    <row r="3926" spans="1:13" s="149" customFormat="1" x14ac:dyDescent="0.25">
      <c r="A3926" s="149" t="s">
        <v>7640</v>
      </c>
      <c r="B3926" s="149" t="s">
        <v>1994</v>
      </c>
      <c r="C3926" s="149">
        <v>11</v>
      </c>
      <c r="D3926" s="149">
        <v>335</v>
      </c>
      <c r="E3926" s="149">
        <v>0</v>
      </c>
      <c r="F3926" s="149">
        <v>120400</v>
      </c>
      <c r="G3926" s="149">
        <v>53330</v>
      </c>
      <c r="H3926" s="150" t="str">
        <f t="shared" si="183"/>
        <v>5</v>
      </c>
      <c r="I3926" s="150" t="str">
        <f t="shared" si="184"/>
        <v>53</v>
      </c>
      <c r="J3926" s="150" t="str">
        <f t="shared" si="185"/>
        <v>533</v>
      </c>
      <c r="K3926" s="150" t="s">
        <v>9073</v>
      </c>
      <c r="L3926" s="149" t="s">
        <v>1995</v>
      </c>
      <c r="M3926" s="151">
        <v>3374.88</v>
      </c>
    </row>
    <row r="3927" spans="1:13" s="149" customFormat="1" x14ac:dyDescent="0.25">
      <c r="A3927" s="149" t="s">
        <v>7640</v>
      </c>
      <c r="B3927" s="149" t="s">
        <v>1996</v>
      </c>
      <c r="C3927" s="149">
        <v>11</v>
      </c>
      <c r="D3927" s="149">
        <v>335</v>
      </c>
      <c r="E3927" s="149">
        <v>0</v>
      </c>
      <c r="F3927" s="149">
        <v>120400</v>
      </c>
      <c r="G3927" s="149">
        <v>53410</v>
      </c>
      <c r="H3927" s="150" t="str">
        <f t="shared" si="183"/>
        <v>5</v>
      </c>
      <c r="I3927" s="150" t="str">
        <f t="shared" si="184"/>
        <v>53</v>
      </c>
      <c r="J3927" s="150" t="str">
        <f t="shared" si="185"/>
        <v>534</v>
      </c>
      <c r="K3927" s="150" t="s">
        <v>9074</v>
      </c>
      <c r="L3927" s="149" t="s">
        <v>1997</v>
      </c>
      <c r="M3927" s="151">
        <v>34541.339999999997</v>
      </c>
    </row>
    <row r="3928" spans="1:13" s="149" customFormat="1" x14ac:dyDescent="0.25">
      <c r="A3928" s="149" t="s">
        <v>7640</v>
      </c>
      <c r="B3928" s="149" t="s">
        <v>1998</v>
      </c>
      <c r="C3928" s="149">
        <v>11</v>
      </c>
      <c r="D3928" s="149">
        <v>335</v>
      </c>
      <c r="E3928" s="149">
        <v>0</v>
      </c>
      <c r="F3928" s="149">
        <v>120400</v>
      </c>
      <c r="G3928" s="149">
        <v>53510</v>
      </c>
      <c r="H3928" s="150" t="str">
        <f t="shared" si="183"/>
        <v>5</v>
      </c>
      <c r="I3928" s="150" t="str">
        <f t="shared" si="184"/>
        <v>53</v>
      </c>
      <c r="J3928" s="150" t="str">
        <f t="shared" si="185"/>
        <v>535</v>
      </c>
      <c r="K3928" s="150" t="s">
        <v>9075</v>
      </c>
      <c r="L3928" s="149" t="s">
        <v>1999</v>
      </c>
      <c r="M3928" s="151">
        <v>116.79</v>
      </c>
    </row>
    <row r="3929" spans="1:13" s="149" customFormat="1" x14ac:dyDescent="0.25">
      <c r="A3929" s="149" t="s">
        <v>7640</v>
      </c>
      <c r="B3929" s="149" t="s">
        <v>2000</v>
      </c>
      <c r="C3929" s="149">
        <v>11</v>
      </c>
      <c r="D3929" s="149">
        <v>335</v>
      </c>
      <c r="E3929" s="149">
        <v>0</v>
      </c>
      <c r="F3929" s="149">
        <v>120400</v>
      </c>
      <c r="G3929" s="149">
        <v>53610</v>
      </c>
      <c r="H3929" s="150" t="str">
        <f t="shared" si="183"/>
        <v>5</v>
      </c>
      <c r="I3929" s="150" t="str">
        <f t="shared" si="184"/>
        <v>53</v>
      </c>
      <c r="J3929" s="150" t="str">
        <f t="shared" si="185"/>
        <v>536</v>
      </c>
      <c r="K3929" s="150" t="s">
        <v>9076</v>
      </c>
      <c r="L3929" s="149" t="s">
        <v>2001</v>
      </c>
      <c r="M3929" s="151">
        <v>4416.25</v>
      </c>
    </row>
    <row r="3930" spans="1:13" s="149" customFormat="1" x14ac:dyDescent="0.25">
      <c r="A3930" s="149" t="s">
        <v>7640</v>
      </c>
      <c r="B3930" s="149" t="s">
        <v>2002</v>
      </c>
      <c r="C3930" s="149">
        <v>11</v>
      </c>
      <c r="D3930" s="149">
        <v>335</v>
      </c>
      <c r="E3930" s="149">
        <v>0</v>
      </c>
      <c r="F3930" s="149">
        <v>120400</v>
      </c>
      <c r="G3930" s="149">
        <v>54210</v>
      </c>
      <c r="H3930" s="150" t="str">
        <f t="shared" si="183"/>
        <v>5</v>
      </c>
      <c r="I3930" s="150" t="str">
        <f t="shared" si="184"/>
        <v>54</v>
      </c>
      <c r="J3930" s="150" t="str">
        <f t="shared" si="185"/>
        <v>542</v>
      </c>
      <c r="K3930" s="150" t="s">
        <v>7912</v>
      </c>
      <c r="L3930" s="149" t="s">
        <v>2003</v>
      </c>
      <c r="M3930" s="151">
        <v>0</v>
      </c>
    </row>
    <row r="3931" spans="1:13" s="149" customFormat="1" x14ac:dyDescent="0.25">
      <c r="A3931" s="149" t="s">
        <v>7640</v>
      </c>
      <c r="B3931" s="149" t="s">
        <v>2004</v>
      </c>
      <c r="C3931" s="149">
        <v>11</v>
      </c>
      <c r="D3931" s="149">
        <v>335</v>
      </c>
      <c r="E3931" s="149">
        <v>0</v>
      </c>
      <c r="F3931" s="149">
        <v>120400</v>
      </c>
      <c r="G3931" s="149">
        <v>54300</v>
      </c>
      <c r="H3931" s="150" t="str">
        <f t="shared" si="183"/>
        <v>5</v>
      </c>
      <c r="I3931" s="150" t="str">
        <f t="shared" si="184"/>
        <v>54</v>
      </c>
      <c r="J3931" s="150" t="str">
        <f t="shared" si="185"/>
        <v>543</v>
      </c>
      <c r="K3931" s="150" t="s">
        <v>7948</v>
      </c>
      <c r="L3931" s="149" t="s">
        <v>2005</v>
      </c>
      <c r="M3931" s="151">
        <v>2599.92</v>
      </c>
    </row>
    <row r="3932" spans="1:13" s="149" customFormat="1" x14ac:dyDescent="0.25">
      <c r="A3932" s="149" t="s">
        <v>7640</v>
      </c>
      <c r="B3932" s="149" t="s">
        <v>2006</v>
      </c>
      <c r="C3932" s="149">
        <v>11</v>
      </c>
      <c r="D3932" s="149">
        <v>335</v>
      </c>
      <c r="E3932" s="149">
        <v>0</v>
      </c>
      <c r="F3932" s="149">
        <v>120400</v>
      </c>
      <c r="G3932" s="149">
        <v>55309</v>
      </c>
      <c r="H3932" s="150" t="str">
        <f t="shared" si="183"/>
        <v>5</v>
      </c>
      <c r="I3932" s="150" t="str">
        <f t="shared" si="184"/>
        <v>55</v>
      </c>
      <c r="J3932" s="150" t="str">
        <f t="shared" si="185"/>
        <v>553</v>
      </c>
      <c r="K3932" s="150" t="s">
        <v>8107</v>
      </c>
      <c r="L3932" s="149" t="s">
        <v>2007</v>
      </c>
      <c r="M3932" s="151">
        <v>1275</v>
      </c>
    </row>
    <row r="3933" spans="1:13" s="149" customFormat="1" x14ac:dyDescent="0.25">
      <c r="A3933" s="149" t="s">
        <v>7640</v>
      </c>
      <c r="B3933" s="149" t="s">
        <v>2008</v>
      </c>
      <c r="C3933" s="149">
        <v>11</v>
      </c>
      <c r="D3933" s="149">
        <v>335</v>
      </c>
      <c r="E3933" s="149">
        <v>0</v>
      </c>
      <c r="F3933" s="149">
        <v>120400</v>
      </c>
      <c r="G3933" s="149">
        <v>55630</v>
      </c>
      <c r="H3933" s="150" t="str">
        <f t="shared" si="183"/>
        <v>5</v>
      </c>
      <c r="I3933" s="150" t="str">
        <f t="shared" si="184"/>
        <v>55</v>
      </c>
      <c r="J3933" s="150" t="str">
        <f t="shared" si="185"/>
        <v>556</v>
      </c>
      <c r="K3933" s="150" t="s">
        <v>8232</v>
      </c>
      <c r="L3933" s="149" t="s">
        <v>2009</v>
      </c>
      <c r="M3933" s="151">
        <v>0</v>
      </c>
    </row>
    <row r="3934" spans="1:13" s="149" customFormat="1" x14ac:dyDescent="0.25">
      <c r="A3934" s="149" t="s">
        <v>7640</v>
      </c>
      <c r="B3934" s="149" t="s">
        <v>2010</v>
      </c>
      <c r="C3934" s="149">
        <v>11</v>
      </c>
      <c r="D3934" s="149">
        <v>335</v>
      </c>
      <c r="E3934" s="149">
        <v>0</v>
      </c>
      <c r="F3934" s="149">
        <v>120400</v>
      </c>
      <c r="G3934" s="149">
        <v>55650</v>
      </c>
      <c r="H3934" s="150" t="str">
        <f t="shared" si="183"/>
        <v>5</v>
      </c>
      <c r="I3934" s="150" t="str">
        <f t="shared" si="184"/>
        <v>55</v>
      </c>
      <c r="J3934" s="150" t="str">
        <f t="shared" si="185"/>
        <v>556</v>
      </c>
      <c r="K3934" s="150" t="s">
        <v>8302</v>
      </c>
      <c r="L3934" s="149" t="s">
        <v>2011</v>
      </c>
      <c r="M3934" s="151">
        <v>2500.0100000000002</v>
      </c>
    </row>
    <row r="3935" spans="1:13" s="149" customFormat="1" x14ac:dyDescent="0.25">
      <c r="A3935" s="149" t="s">
        <v>7640</v>
      </c>
      <c r="B3935" s="149" t="s">
        <v>2012</v>
      </c>
      <c r="C3935" s="149">
        <v>11</v>
      </c>
      <c r="D3935" s="149">
        <v>335</v>
      </c>
      <c r="E3935" s="149">
        <v>0</v>
      </c>
      <c r="F3935" s="149">
        <v>125000</v>
      </c>
      <c r="G3935" s="149">
        <v>51310</v>
      </c>
      <c r="H3935" s="150" t="str">
        <f t="shared" si="183"/>
        <v>5</v>
      </c>
      <c r="I3935" s="150" t="str">
        <f t="shared" si="184"/>
        <v>51</v>
      </c>
      <c r="J3935" s="150" t="str">
        <f t="shared" si="185"/>
        <v>513</v>
      </c>
      <c r="K3935" s="150" t="s">
        <v>7674</v>
      </c>
      <c r="L3935" s="149" t="s">
        <v>2013</v>
      </c>
      <c r="M3935" s="151">
        <v>1113.98</v>
      </c>
    </row>
    <row r="3936" spans="1:13" s="149" customFormat="1" x14ac:dyDescent="0.25">
      <c r="A3936" s="149" t="s">
        <v>7640</v>
      </c>
      <c r="B3936" s="149" t="s">
        <v>2014</v>
      </c>
      <c r="C3936" s="149">
        <v>11</v>
      </c>
      <c r="D3936" s="149">
        <v>335</v>
      </c>
      <c r="E3936" s="149">
        <v>0</v>
      </c>
      <c r="F3936" s="149">
        <v>125000</v>
      </c>
      <c r="G3936" s="149">
        <v>51311</v>
      </c>
      <c r="H3936" s="150" t="str">
        <f t="shared" si="183"/>
        <v>5</v>
      </c>
      <c r="I3936" s="150" t="str">
        <f t="shared" si="184"/>
        <v>51</v>
      </c>
      <c r="J3936" s="150" t="str">
        <f t="shared" si="185"/>
        <v>513</v>
      </c>
      <c r="K3936" s="150" t="s">
        <v>7751</v>
      </c>
      <c r="L3936" s="149" t="s">
        <v>2015</v>
      </c>
      <c r="M3936" s="151">
        <v>4635.96</v>
      </c>
    </row>
    <row r="3937" spans="1:13" s="149" customFormat="1" x14ac:dyDescent="0.25">
      <c r="A3937" s="149" t="s">
        <v>7640</v>
      </c>
      <c r="B3937" s="149" t="s">
        <v>2016</v>
      </c>
      <c r="C3937" s="149">
        <v>11</v>
      </c>
      <c r="D3937" s="149">
        <v>335</v>
      </c>
      <c r="E3937" s="149">
        <v>0</v>
      </c>
      <c r="F3937" s="149">
        <v>125000</v>
      </c>
      <c r="G3937" s="149">
        <v>52400</v>
      </c>
      <c r="H3937" s="150" t="str">
        <f t="shared" si="183"/>
        <v>5</v>
      </c>
      <c r="I3937" s="150" t="str">
        <f t="shared" si="184"/>
        <v>52</v>
      </c>
      <c r="J3937" s="150" t="str">
        <f t="shared" si="185"/>
        <v>524</v>
      </c>
      <c r="K3937" s="150" t="s">
        <v>7890</v>
      </c>
      <c r="L3937" s="149" t="s">
        <v>2017</v>
      </c>
      <c r="M3937" s="151">
        <v>7050.3</v>
      </c>
    </row>
    <row r="3938" spans="1:13" s="149" customFormat="1" x14ac:dyDescent="0.25">
      <c r="A3938" s="149" t="s">
        <v>7640</v>
      </c>
      <c r="B3938" s="149" t="s">
        <v>2018</v>
      </c>
      <c r="C3938" s="149">
        <v>11</v>
      </c>
      <c r="D3938" s="149">
        <v>335</v>
      </c>
      <c r="E3938" s="149">
        <v>0</v>
      </c>
      <c r="F3938" s="149">
        <v>125000</v>
      </c>
      <c r="G3938" s="149">
        <v>53110</v>
      </c>
      <c r="H3938" s="150" t="str">
        <f t="shared" si="183"/>
        <v>5</v>
      </c>
      <c r="I3938" s="150" t="str">
        <f t="shared" si="184"/>
        <v>53</v>
      </c>
      <c r="J3938" s="150" t="str">
        <f t="shared" si="185"/>
        <v>531</v>
      </c>
      <c r="K3938" s="150" t="s">
        <v>9077</v>
      </c>
      <c r="L3938" s="149" t="s">
        <v>2019</v>
      </c>
      <c r="M3938" s="151">
        <v>781</v>
      </c>
    </row>
    <row r="3939" spans="1:13" s="149" customFormat="1" x14ac:dyDescent="0.25">
      <c r="A3939" s="149" t="s">
        <v>7640</v>
      </c>
      <c r="B3939" s="149" t="s">
        <v>2020</v>
      </c>
      <c r="C3939" s="149">
        <v>11</v>
      </c>
      <c r="D3939" s="149">
        <v>335</v>
      </c>
      <c r="E3939" s="149">
        <v>0</v>
      </c>
      <c r="F3939" s="149">
        <v>125000</v>
      </c>
      <c r="G3939" s="149">
        <v>53310</v>
      </c>
      <c r="H3939" s="150" t="str">
        <f t="shared" si="183"/>
        <v>5</v>
      </c>
      <c r="I3939" s="150" t="str">
        <f t="shared" si="184"/>
        <v>53</v>
      </c>
      <c r="J3939" s="150" t="str">
        <f t="shared" si="185"/>
        <v>533</v>
      </c>
      <c r="K3939" s="150" t="s">
        <v>9078</v>
      </c>
      <c r="L3939" s="149" t="s">
        <v>2021</v>
      </c>
      <c r="M3939" s="151">
        <v>464.67</v>
      </c>
    </row>
    <row r="3940" spans="1:13" s="149" customFormat="1" x14ac:dyDescent="0.25">
      <c r="A3940" s="149" t="s">
        <v>7640</v>
      </c>
      <c r="B3940" s="149" t="s">
        <v>2022</v>
      </c>
      <c r="C3940" s="149">
        <v>11</v>
      </c>
      <c r="D3940" s="149">
        <v>335</v>
      </c>
      <c r="E3940" s="149">
        <v>0</v>
      </c>
      <c r="F3940" s="149">
        <v>125000</v>
      </c>
      <c r="G3940" s="149">
        <v>53330</v>
      </c>
      <c r="H3940" s="150" t="str">
        <f t="shared" si="183"/>
        <v>5</v>
      </c>
      <c r="I3940" s="150" t="str">
        <f t="shared" si="184"/>
        <v>53</v>
      </c>
      <c r="J3940" s="150" t="str">
        <f t="shared" si="185"/>
        <v>533</v>
      </c>
      <c r="K3940" s="150" t="s">
        <v>9079</v>
      </c>
      <c r="L3940" s="149" t="s">
        <v>2023</v>
      </c>
      <c r="M3940" s="151">
        <v>178.83</v>
      </c>
    </row>
    <row r="3941" spans="1:13" s="149" customFormat="1" x14ac:dyDescent="0.25">
      <c r="A3941" s="149" t="s">
        <v>7640</v>
      </c>
      <c r="B3941" s="149" t="s">
        <v>2024</v>
      </c>
      <c r="C3941" s="149">
        <v>11</v>
      </c>
      <c r="D3941" s="149">
        <v>335</v>
      </c>
      <c r="E3941" s="149">
        <v>0</v>
      </c>
      <c r="F3941" s="149">
        <v>125000</v>
      </c>
      <c r="G3941" s="149">
        <v>53410</v>
      </c>
      <c r="H3941" s="150" t="str">
        <f t="shared" si="183"/>
        <v>5</v>
      </c>
      <c r="I3941" s="150" t="str">
        <f t="shared" si="184"/>
        <v>53</v>
      </c>
      <c r="J3941" s="150" t="str">
        <f t="shared" si="185"/>
        <v>534</v>
      </c>
      <c r="K3941" s="150" t="s">
        <v>9080</v>
      </c>
      <c r="L3941" s="149" t="s">
        <v>2025</v>
      </c>
      <c r="M3941" s="151">
        <v>220.9</v>
      </c>
    </row>
    <row r="3942" spans="1:13" s="149" customFormat="1" x14ac:dyDescent="0.25">
      <c r="A3942" s="149" t="s">
        <v>7640</v>
      </c>
      <c r="B3942" s="149" t="s">
        <v>2026</v>
      </c>
      <c r="C3942" s="149">
        <v>11</v>
      </c>
      <c r="D3942" s="149">
        <v>335</v>
      </c>
      <c r="E3942" s="149">
        <v>0</v>
      </c>
      <c r="F3942" s="149">
        <v>125000</v>
      </c>
      <c r="G3942" s="149">
        <v>53510</v>
      </c>
      <c r="H3942" s="150" t="str">
        <f t="shared" si="183"/>
        <v>5</v>
      </c>
      <c r="I3942" s="150" t="str">
        <f t="shared" si="184"/>
        <v>53</v>
      </c>
      <c r="J3942" s="150" t="str">
        <f t="shared" si="185"/>
        <v>535</v>
      </c>
      <c r="K3942" s="150" t="s">
        <v>9081</v>
      </c>
      <c r="L3942" s="149" t="s">
        <v>2027</v>
      </c>
      <c r="M3942" s="151">
        <v>6.15</v>
      </c>
    </row>
    <row r="3943" spans="1:13" s="149" customFormat="1" x14ac:dyDescent="0.25">
      <c r="A3943" s="149" t="s">
        <v>7640</v>
      </c>
      <c r="B3943" s="149" t="s">
        <v>2028</v>
      </c>
      <c r="C3943" s="149">
        <v>11</v>
      </c>
      <c r="D3943" s="149">
        <v>335</v>
      </c>
      <c r="E3943" s="149">
        <v>0</v>
      </c>
      <c r="F3943" s="149">
        <v>125000</v>
      </c>
      <c r="G3943" s="149">
        <v>53610</v>
      </c>
      <c r="H3943" s="150" t="str">
        <f t="shared" si="183"/>
        <v>5</v>
      </c>
      <c r="I3943" s="150" t="str">
        <f t="shared" si="184"/>
        <v>53</v>
      </c>
      <c r="J3943" s="150" t="str">
        <f t="shared" si="185"/>
        <v>536</v>
      </c>
      <c r="K3943" s="150" t="s">
        <v>9082</v>
      </c>
      <c r="L3943" s="149" t="s">
        <v>2029</v>
      </c>
      <c r="M3943" s="151">
        <v>242.06</v>
      </c>
    </row>
    <row r="3944" spans="1:13" s="149" customFormat="1" x14ac:dyDescent="0.25">
      <c r="A3944" s="149" t="s">
        <v>7640</v>
      </c>
      <c r="B3944" s="149" t="s">
        <v>2030</v>
      </c>
      <c r="C3944" s="149">
        <v>11</v>
      </c>
      <c r="D3944" s="149">
        <v>335</v>
      </c>
      <c r="E3944" s="149">
        <v>0</v>
      </c>
      <c r="F3944" s="149">
        <v>125000</v>
      </c>
      <c r="G3944" s="149">
        <v>53910</v>
      </c>
      <c r="H3944" s="150" t="str">
        <f t="shared" si="183"/>
        <v>5</v>
      </c>
      <c r="I3944" s="150" t="str">
        <f t="shared" si="184"/>
        <v>53</v>
      </c>
      <c r="J3944" s="150" t="str">
        <f t="shared" si="185"/>
        <v>539</v>
      </c>
      <c r="K3944" s="150" t="s">
        <v>9083</v>
      </c>
      <c r="L3944" s="149" t="s">
        <v>2031</v>
      </c>
      <c r="M3944" s="151">
        <v>22.64</v>
      </c>
    </row>
    <row r="3945" spans="1:13" s="149" customFormat="1" x14ac:dyDescent="0.25">
      <c r="A3945" s="149" t="s">
        <v>7640</v>
      </c>
      <c r="B3945" s="149" t="s">
        <v>2032</v>
      </c>
      <c r="C3945" s="149">
        <v>11</v>
      </c>
      <c r="D3945" s="149">
        <v>335</v>
      </c>
      <c r="E3945" s="149">
        <v>0</v>
      </c>
      <c r="F3945" s="149">
        <v>125000</v>
      </c>
      <c r="G3945" s="149">
        <v>54300</v>
      </c>
      <c r="H3945" s="150" t="str">
        <f t="shared" si="183"/>
        <v>5</v>
      </c>
      <c r="I3945" s="150" t="str">
        <f t="shared" si="184"/>
        <v>54</v>
      </c>
      <c r="J3945" s="150" t="str">
        <f t="shared" si="185"/>
        <v>543</v>
      </c>
      <c r="K3945" s="150" t="s">
        <v>7949</v>
      </c>
      <c r="L3945" s="149" t="s">
        <v>2033</v>
      </c>
      <c r="M3945" s="151">
        <v>2715.03</v>
      </c>
    </row>
    <row r="3946" spans="1:13" s="149" customFormat="1" x14ac:dyDescent="0.25">
      <c r="A3946" s="149" t="s">
        <v>7640</v>
      </c>
      <c r="B3946" s="149" t="s">
        <v>2034</v>
      </c>
      <c r="C3946" s="149">
        <v>11</v>
      </c>
      <c r="D3946" s="149">
        <v>335</v>
      </c>
      <c r="E3946" s="149">
        <v>0</v>
      </c>
      <c r="F3946" s="149">
        <v>125000</v>
      </c>
      <c r="G3946" s="149">
        <v>55630</v>
      </c>
      <c r="H3946" s="150" t="str">
        <f t="shared" si="183"/>
        <v>5</v>
      </c>
      <c r="I3946" s="150" t="str">
        <f t="shared" si="184"/>
        <v>55</v>
      </c>
      <c r="J3946" s="150" t="str">
        <f t="shared" si="185"/>
        <v>556</v>
      </c>
      <c r="K3946" s="150" t="s">
        <v>8233</v>
      </c>
      <c r="L3946" s="149" t="s">
        <v>2035</v>
      </c>
      <c r="M3946" s="151">
        <v>33.409999999999997</v>
      </c>
    </row>
    <row r="3947" spans="1:13" s="149" customFormat="1" x14ac:dyDescent="0.25">
      <c r="A3947" s="149" t="s">
        <v>7640</v>
      </c>
      <c r="B3947" s="149" t="s">
        <v>2036</v>
      </c>
      <c r="C3947" s="149">
        <v>11</v>
      </c>
      <c r="D3947" s="149">
        <v>335</v>
      </c>
      <c r="E3947" s="149">
        <v>0</v>
      </c>
      <c r="F3947" s="149">
        <v>126000</v>
      </c>
      <c r="G3947" s="149">
        <v>51310</v>
      </c>
      <c r="H3947" s="150" t="str">
        <f t="shared" si="183"/>
        <v>5</v>
      </c>
      <c r="I3947" s="150" t="str">
        <f t="shared" si="184"/>
        <v>51</v>
      </c>
      <c r="J3947" s="150" t="str">
        <f t="shared" si="185"/>
        <v>513</v>
      </c>
      <c r="K3947" s="150" t="s">
        <v>7675</v>
      </c>
      <c r="L3947" s="149" t="s">
        <v>2037</v>
      </c>
      <c r="M3947" s="151">
        <v>3425.52</v>
      </c>
    </row>
    <row r="3948" spans="1:13" s="149" customFormat="1" x14ac:dyDescent="0.25">
      <c r="A3948" s="149" t="s">
        <v>7640</v>
      </c>
      <c r="B3948" s="149" t="s">
        <v>2038</v>
      </c>
      <c r="C3948" s="149">
        <v>11</v>
      </c>
      <c r="D3948" s="149">
        <v>335</v>
      </c>
      <c r="E3948" s="149">
        <v>0</v>
      </c>
      <c r="F3948" s="149">
        <v>126000</v>
      </c>
      <c r="G3948" s="149">
        <v>51311</v>
      </c>
      <c r="H3948" s="150" t="str">
        <f t="shared" si="183"/>
        <v>5</v>
      </c>
      <c r="I3948" s="150" t="str">
        <f t="shared" si="184"/>
        <v>51</v>
      </c>
      <c r="J3948" s="150" t="str">
        <f t="shared" si="185"/>
        <v>513</v>
      </c>
      <c r="K3948" s="150" t="s">
        <v>7752</v>
      </c>
      <c r="L3948" s="149" t="s">
        <v>2039</v>
      </c>
      <c r="M3948" s="151">
        <v>16801.400000000001</v>
      </c>
    </row>
    <row r="3949" spans="1:13" s="149" customFormat="1" x14ac:dyDescent="0.25">
      <c r="A3949" s="149" t="s">
        <v>7640</v>
      </c>
      <c r="B3949" s="149" t="s">
        <v>2040</v>
      </c>
      <c r="C3949" s="149">
        <v>11</v>
      </c>
      <c r="D3949" s="149">
        <v>335</v>
      </c>
      <c r="E3949" s="149">
        <v>0</v>
      </c>
      <c r="F3949" s="149">
        <v>126000</v>
      </c>
      <c r="G3949" s="149">
        <v>52400</v>
      </c>
      <c r="H3949" s="150" t="str">
        <f t="shared" si="183"/>
        <v>5</v>
      </c>
      <c r="I3949" s="150" t="str">
        <f t="shared" si="184"/>
        <v>52</v>
      </c>
      <c r="J3949" s="150" t="str">
        <f t="shared" si="185"/>
        <v>524</v>
      </c>
      <c r="K3949" s="150" t="s">
        <v>7891</v>
      </c>
      <c r="L3949" s="149" t="s">
        <v>2041</v>
      </c>
      <c r="M3949" s="151">
        <v>0</v>
      </c>
    </row>
    <row r="3950" spans="1:13" s="149" customFormat="1" x14ac:dyDescent="0.25">
      <c r="A3950" s="149" t="s">
        <v>7640</v>
      </c>
      <c r="B3950" s="149" t="s">
        <v>2042</v>
      </c>
      <c r="C3950" s="149">
        <v>11</v>
      </c>
      <c r="D3950" s="149">
        <v>335</v>
      </c>
      <c r="E3950" s="149">
        <v>0</v>
      </c>
      <c r="F3950" s="149">
        <v>126000</v>
      </c>
      <c r="G3950" s="149">
        <v>53110</v>
      </c>
      <c r="H3950" s="150" t="str">
        <f t="shared" si="183"/>
        <v>5</v>
      </c>
      <c r="I3950" s="150" t="str">
        <f t="shared" si="184"/>
        <v>53</v>
      </c>
      <c r="J3950" s="150" t="str">
        <f t="shared" si="185"/>
        <v>531</v>
      </c>
      <c r="K3950" s="150" t="s">
        <v>9084</v>
      </c>
      <c r="L3950" s="149" t="s">
        <v>2043</v>
      </c>
      <c r="M3950" s="151">
        <v>104.1</v>
      </c>
    </row>
    <row r="3951" spans="1:13" s="149" customFormat="1" x14ac:dyDescent="0.25">
      <c r="A3951" s="149" t="s">
        <v>7640</v>
      </c>
      <c r="B3951" s="149" t="s">
        <v>2044</v>
      </c>
      <c r="C3951" s="149">
        <v>11</v>
      </c>
      <c r="D3951" s="149">
        <v>335</v>
      </c>
      <c r="E3951" s="149">
        <v>0</v>
      </c>
      <c r="F3951" s="149">
        <v>126000</v>
      </c>
      <c r="G3951" s="149">
        <v>53310</v>
      </c>
      <c r="H3951" s="150" t="str">
        <f t="shared" si="183"/>
        <v>5</v>
      </c>
      <c r="I3951" s="150" t="str">
        <f t="shared" si="184"/>
        <v>53</v>
      </c>
      <c r="J3951" s="150" t="str">
        <f t="shared" si="185"/>
        <v>533</v>
      </c>
      <c r="K3951" s="150" t="s">
        <v>9085</v>
      </c>
      <c r="L3951" s="149" t="s">
        <v>2045</v>
      </c>
      <c r="M3951" s="151">
        <v>467.49</v>
      </c>
    </row>
    <row r="3952" spans="1:13" s="149" customFormat="1" x14ac:dyDescent="0.25">
      <c r="A3952" s="149" t="s">
        <v>7640</v>
      </c>
      <c r="B3952" s="149" t="s">
        <v>2046</v>
      </c>
      <c r="C3952" s="149">
        <v>11</v>
      </c>
      <c r="D3952" s="149">
        <v>335</v>
      </c>
      <c r="E3952" s="149">
        <v>0</v>
      </c>
      <c r="F3952" s="149">
        <v>126000</v>
      </c>
      <c r="G3952" s="149">
        <v>53330</v>
      </c>
      <c r="H3952" s="150" t="str">
        <f t="shared" si="183"/>
        <v>5</v>
      </c>
      <c r="I3952" s="150" t="str">
        <f t="shared" si="184"/>
        <v>53</v>
      </c>
      <c r="J3952" s="150" t="str">
        <f t="shared" si="185"/>
        <v>533</v>
      </c>
      <c r="K3952" s="150" t="s">
        <v>9086</v>
      </c>
      <c r="L3952" s="149" t="s">
        <v>2047</v>
      </c>
      <c r="M3952" s="151">
        <v>293.3</v>
      </c>
    </row>
    <row r="3953" spans="1:13" s="149" customFormat="1" x14ac:dyDescent="0.25">
      <c r="A3953" s="149" t="s">
        <v>7640</v>
      </c>
      <c r="B3953" s="149" t="s">
        <v>2048</v>
      </c>
      <c r="C3953" s="149">
        <v>11</v>
      </c>
      <c r="D3953" s="149">
        <v>335</v>
      </c>
      <c r="E3953" s="149">
        <v>0</v>
      </c>
      <c r="F3953" s="149">
        <v>126000</v>
      </c>
      <c r="G3953" s="149">
        <v>53410</v>
      </c>
      <c r="H3953" s="150" t="str">
        <f t="shared" si="183"/>
        <v>5</v>
      </c>
      <c r="I3953" s="150" t="str">
        <f t="shared" si="184"/>
        <v>53</v>
      </c>
      <c r="J3953" s="150" t="str">
        <f t="shared" si="185"/>
        <v>534</v>
      </c>
      <c r="K3953" s="150" t="s">
        <v>9087</v>
      </c>
      <c r="L3953" s="149" t="s">
        <v>2049</v>
      </c>
      <c r="M3953" s="151">
        <v>172.85</v>
      </c>
    </row>
    <row r="3954" spans="1:13" s="149" customFormat="1" x14ac:dyDescent="0.25">
      <c r="A3954" s="149" t="s">
        <v>7640</v>
      </c>
      <c r="B3954" s="149" t="s">
        <v>2050</v>
      </c>
      <c r="C3954" s="149">
        <v>11</v>
      </c>
      <c r="D3954" s="149">
        <v>335</v>
      </c>
      <c r="E3954" s="149">
        <v>0</v>
      </c>
      <c r="F3954" s="149">
        <v>126000</v>
      </c>
      <c r="G3954" s="149">
        <v>53510</v>
      </c>
      <c r="H3954" s="150" t="str">
        <f t="shared" si="183"/>
        <v>5</v>
      </c>
      <c r="I3954" s="150" t="str">
        <f t="shared" si="184"/>
        <v>53</v>
      </c>
      <c r="J3954" s="150" t="str">
        <f t="shared" si="185"/>
        <v>535</v>
      </c>
      <c r="K3954" s="150" t="s">
        <v>9088</v>
      </c>
      <c r="L3954" s="149" t="s">
        <v>2051</v>
      </c>
      <c r="M3954" s="151">
        <v>10.09</v>
      </c>
    </row>
    <row r="3955" spans="1:13" s="149" customFormat="1" x14ac:dyDescent="0.25">
      <c r="A3955" s="149" t="s">
        <v>7640</v>
      </c>
      <c r="B3955" s="149" t="s">
        <v>2052</v>
      </c>
      <c r="C3955" s="149">
        <v>11</v>
      </c>
      <c r="D3955" s="149">
        <v>335</v>
      </c>
      <c r="E3955" s="149">
        <v>0</v>
      </c>
      <c r="F3955" s="149">
        <v>126000</v>
      </c>
      <c r="G3955" s="149">
        <v>53610</v>
      </c>
      <c r="H3955" s="150" t="str">
        <f t="shared" si="183"/>
        <v>5</v>
      </c>
      <c r="I3955" s="150" t="str">
        <f t="shared" si="184"/>
        <v>53</v>
      </c>
      <c r="J3955" s="150" t="str">
        <f t="shared" si="185"/>
        <v>536</v>
      </c>
      <c r="K3955" s="150" t="s">
        <v>9089</v>
      </c>
      <c r="L3955" s="149" t="s">
        <v>2053</v>
      </c>
      <c r="M3955" s="151">
        <v>382.47</v>
      </c>
    </row>
    <row r="3956" spans="1:13" s="149" customFormat="1" x14ac:dyDescent="0.25">
      <c r="A3956" s="149" t="s">
        <v>7640</v>
      </c>
      <c r="B3956" s="149" t="s">
        <v>2054</v>
      </c>
      <c r="C3956" s="149">
        <v>11</v>
      </c>
      <c r="D3956" s="149">
        <v>335</v>
      </c>
      <c r="E3956" s="149">
        <v>0</v>
      </c>
      <c r="F3956" s="149">
        <v>126000</v>
      </c>
      <c r="G3956" s="149">
        <v>53910</v>
      </c>
      <c r="H3956" s="150" t="str">
        <f t="shared" si="183"/>
        <v>5</v>
      </c>
      <c r="I3956" s="150" t="str">
        <f t="shared" si="184"/>
        <v>53</v>
      </c>
      <c r="J3956" s="150" t="str">
        <f t="shared" si="185"/>
        <v>539</v>
      </c>
      <c r="K3956" s="150" t="s">
        <v>9090</v>
      </c>
      <c r="L3956" s="149" t="s">
        <v>2055</v>
      </c>
      <c r="M3956" s="151">
        <v>19.07</v>
      </c>
    </row>
    <row r="3957" spans="1:13" s="149" customFormat="1" x14ac:dyDescent="0.25">
      <c r="A3957" s="149" t="s">
        <v>7640</v>
      </c>
      <c r="B3957" s="149" t="s">
        <v>2056</v>
      </c>
      <c r="C3957" s="149">
        <v>11</v>
      </c>
      <c r="D3957" s="149">
        <v>335</v>
      </c>
      <c r="E3957" s="149">
        <v>0</v>
      </c>
      <c r="F3957" s="149">
        <v>126000</v>
      </c>
      <c r="G3957" s="149">
        <v>54300</v>
      </c>
      <c r="H3957" s="150" t="str">
        <f t="shared" si="183"/>
        <v>5</v>
      </c>
      <c r="I3957" s="150" t="str">
        <f t="shared" si="184"/>
        <v>54</v>
      </c>
      <c r="J3957" s="150" t="str">
        <f t="shared" si="185"/>
        <v>543</v>
      </c>
      <c r="K3957" s="150" t="s">
        <v>7950</v>
      </c>
      <c r="L3957" s="149" t="s">
        <v>2057</v>
      </c>
      <c r="M3957" s="151">
        <v>465.17</v>
      </c>
    </row>
    <row r="3958" spans="1:13" s="149" customFormat="1" x14ac:dyDescent="0.25">
      <c r="A3958" s="149" t="s">
        <v>7640</v>
      </c>
      <c r="B3958" s="149" t="s">
        <v>2058</v>
      </c>
      <c r="C3958" s="149">
        <v>11</v>
      </c>
      <c r="D3958" s="149">
        <v>335</v>
      </c>
      <c r="E3958" s="149">
        <v>0</v>
      </c>
      <c r="F3958" s="149">
        <v>601000</v>
      </c>
      <c r="G3958" s="149">
        <v>51210</v>
      </c>
      <c r="H3958" s="150" t="str">
        <f t="shared" si="183"/>
        <v>5</v>
      </c>
      <c r="I3958" s="150" t="str">
        <f t="shared" si="184"/>
        <v>51</v>
      </c>
      <c r="J3958" s="150" t="str">
        <f t="shared" si="185"/>
        <v>512</v>
      </c>
      <c r="K3958" s="150" t="s">
        <v>9091</v>
      </c>
      <c r="L3958" s="149" t="s">
        <v>477</v>
      </c>
      <c r="M3958" s="151">
        <v>120274.24000000001</v>
      </c>
    </row>
    <row r="3959" spans="1:13" s="149" customFormat="1" x14ac:dyDescent="0.25">
      <c r="A3959" s="149" t="s">
        <v>7640</v>
      </c>
      <c r="B3959" s="149" t="s">
        <v>2059</v>
      </c>
      <c r="C3959" s="149">
        <v>11</v>
      </c>
      <c r="D3959" s="149">
        <v>335</v>
      </c>
      <c r="E3959" s="149">
        <v>0</v>
      </c>
      <c r="F3959" s="149">
        <v>601000</v>
      </c>
      <c r="G3959" s="149">
        <v>52105</v>
      </c>
      <c r="H3959" s="150" t="str">
        <f t="shared" si="183"/>
        <v>5</v>
      </c>
      <c r="I3959" s="150" t="str">
        <f t="shared" si="184"/>
        <v>52</v>
      </c>
      <c r="J3959" s="150" t="str">
        <f t="shared" si="185"/>
        <v>521</v>
      </c>
      <c r="K3959" s="150" t="s">
        <v>9092</v>
      </c>
      <c r="L3959" s="149" t="s">
        <v>481</v>
      </c>
      <c r="M3959" s="151">
        <v>85954.25</v>
      </c>
    </row>
    <row r="3960" spans="1:13" s="149" customFormat="1" x14ac:dyDescent="0.25">
      <c r="A3960" s="149" t="s">
        <v>7640</v>
      </c>
      <c r="B3960" s="149" t="s">
        <v>2060</v>
      </c>
      <c r="C3960" s="149">
        <v>11</v>
      </c>
      <c r="D3960" s="149">
        <v>335</v>
      </c>
      <c r="E3960" s="149">
        <v>0</v>
      </c>
      <c r="F3960" s="149">
        <v>601000</v>
      </c>
      <c r="G3960" s="149">
        <v>53120</v>
      </c>
      <c r="H3960" s="150" t="str">
        <f t="shared" si="183"/>
        <v>5</v>
      </c>
      <c r="I3960" s="150" t="str">
        <f t="shared" si="184"/>
        <v>53</v>
      </c>
      <c r="J3960" s="150" t="str">
        <f t="shared" si="185"/>
        <v>531</v>
      </c>
      <c r="K3960" s="150" t="s">
        <v>9093</v>
      </c>
      <c r="L3960" s="149" t="s">
        <v>485</v>
      </c>
      <c r="M3960" s="151">
        <v>19425.21</v>
      </c>
    </row>
    <row r="3961" spans="1:13" s="149" customFormat="1" x14ac:dyDescent="0.25">
      <c r="A3961" s="149" t="s">
        <v>7640</v>
      </c>
      <c r="B3961" s="149" t="s">
        <v>2061</v>
      </c>
      <c r="C3961" s="149">
        <v>11</v>
      </c>
      <c r="D3961" s="149">
        <v>335</v>
      </c>
      <c r="E3961" s="149">
        <v>0</v>
      </c>
      <c r="F3961" s="149">
        <v>601000</v>
      </c>
      <c r="G3961" s="149">
        <v>53220</v>
      </c>
      <c r="H3961" s="150" t="str">
        <f t="shared" si="183"/>
        <v>5</v>
      </c>
      <c r="I3961" s="150" t="str">
        <f t="shared" si="184"/>
        <v>53</v>
      </c>
      <c r="J3961" s="150" t="str">
        <f t="shared" si="185"/>
        <v>532</v>
      </c>
      <c r="K3961" s="150" t="s">
        <v>9094</v>
      </c>
      <c r="L3961" s="149" t="s">
        <v>487</v>
      </c>
      <c r="M3961" s="151">
        <v>17793.75</v>
      </c>
    </row>
    <row r="3962" spans="1:13" s="149" customFormat="1" x14ac:dyDescent="0.25">
      <c r="A3962" s="149" t="s">
        <v>7640</v>
      </c>
      <c r="B3962" s="149" t="s">
        <v>2062</v>
      </c>
      <c r="C3962" s="149">
        <v>11</v>
      </c>
      <c r="D3962" s="149">
        <v>335</v>
      </c>
      <c r="E3962" s="149">
        <v>0</v>
      </c>
      <c r="F3962" s="149">
        <v>601000</v>
      </c>
      <c r="G3962" s="149">
        <v>53320</v>
      </c>
      <c r="H3962" s="150" t="str">
        <f t="shared" si="183"/>
        <v>5</v>
      </c>
      <c r="I3962" s="150" t="str">
        <f t="shared" si="184"/>
        <v>53</v>
      </c>
      <c r="J3962" s="150" t="str">
        <f t="shared" si="185"/>
        <v>533</v>
      </c>
      <c r="K3962" s="150" t="s">
        <v>9095</v>
      </c>
      <c r="L3962" s="149" t="s">
        <v>489</v>
      </c>
      <c r="M3962" s="151">
        <v>5265.36</v>
      </c>
    </row>
    <row r="3963" spans="1:13" s="149" customFormat="1" x14ac:dyDescent="0.25">
      <c r="A3963" s="149" t="s">
        <v>7640</v>
      </c>
      <c r="B3963" s="149" t="s">
        <v>2063</v>
      </c>
      <c r="C3963" s="149">
        <v>11</v>
      </c>
      <c r="D3963" s="149">
        <v>335</v>
      </c>
      <c r="E3963" s="149">
        <v>0</v>
      </c>
      <c r="F3963" s="149">
        <v>601000</v>
      </c>
      <c r="G3963" s="149">
        <v>53340</v>
      </c>
      <c r="H3963" s="150" t="str">
        <f t="shared" si="183"/>
        <v>5</v>
      </c>
      <c r="I3963" s="150" t="str">
        <f t="shared" si="184"/>
        <v>53</v>
      </c>
      <c r="J3963" s="150" t="str">
        <f t="shared" si="185"/>
        <v>533</v>
      </c>
      <c r="K3963" s="150" t="s">
        <v>9096</v>
      </c>
      <c r="L3963" s="149" t="s">
        <v>491</v>
      </c>
      <c r="M3963" s="151">
        <v>2975.34</v>
      </c>
    </row>
    <row r="3964" spans="1:13" s="149" customFormat="1" x14ac:dyDescent="0.25">
      <c r="A3964" s="149" t="s">
        <v>7640</v>
      </c>
      <c r="B3964" s="149" t="s">
        <v>2064</v>
      </c>
      <c r="C3964" s="149">
        <v>11</v>
      </c>
      <c r="D3964" s="149">
        <v>335</v>
      </c>
      <c r="E3964" s="149">
        <v>0</v>
      </c>
      <c r="F3964" s="149">
        <v>601000</v>
      </c>
      <c r="G3964" s="149">
        <v>53420</v>
      </c>
      <c r="H3964" s="150" t="str">
        <f t="shared" si="183"/>
        <v>5</v>
      </c>
      <c r="I3964" s="150" t="str">
        <f t="shared" si="184"/>
        <v>53</v>
      </c>
      <c r="J3964" s="150" t="str">
        <f t="shared" si="185"/>
        <v>534</v>
      </c>
      <c r="K3964" s="150" t="s">
        <v>9097</v>
      </c>
      <c r="L3964" s="149" t="s">
        <v>493</v>
      </c>
      <c r="M3964" s="151">
        <v>44774.38</v>
      </c>
    </row>
    <row r="3965" spans="1:13" s="149" customFormat="1" x14ac:dyDescent="0.25">
      <c r="A3965" s="149" t="s">
        <v>7640</v>
      </c>
      <c r="B3965" s="149" t="s">
        <v>2065</v>
      </c>
      <c r="C3965" s="149">
        <v>11</v>
      </c>
      <c r="D3965" s="149">
        <v>335</v>
      </c>
      <c r="E3965" s="149">
        <v>0</v>
      </c>
      <c r="F3965" s="149">
        <v>601000</v>
      </c>
      <c r="G3965" s="149">
        <v>53520</v>
      </c>
      <c r="H3965" s="150" t="str">
        <f t="shared" si="183"/>
        <v>5</v>
      </c>
      <c r="I3965" s="150" t="str">
        <f t="shared" si="184"/>
        <v>53</v>
      </c>
      <c r="J3965" s="150" t="str">
        <f t="shared" si="185"/>
        <v>535</v>
      </c>
      <c r="K3965" s="150" t="s">
        <v>9098</v>
      </c>
      <c r="L3965" s="149" t="s">
        <v>495</v>
      </c>
      <c r="M3965" s="151">
        <v>103.13</v>
      </c>
    </row>
    <row r="3966" spans="1:13" s="149" customFormat="1" x14ac:dyDescent="0.25">
      <c r="A3966" s="149" t="s">
        <v>7640</v>
      </c>
      <c r="B3966" s="149" t="s">
        <v>2066</v>
      </c>
      <c r="C3966" s="149">
        <v>11</v>
      </c>
      <c r="D3966" s="149">
        <v>335</v>
      </c>
      <c r="E3966" s="149">
        <v>0</v>
      </c>
      <c r="F3966" s="149">
        <v>601000</v>
      </c>
      <c r="G3966" s="149">
        <v>53620</v>
      </c>
      <c r="H3966" s="150" t="str">
        <f t="shared" si="183"/>
        <v>5</v>
      </c>
      <c r="I3966" s="150" t="str">
        <f t="shared" si="184"/>
        <v>53</v>
      </c>
      <c r="J3966" s="150" t="str">
        <f t="shared" si="185"/>
        <v>536</v>
      </c>
      <c r="K3966" s="150" t="s">
        <v>9099</v>
      </c>
      <c r="L3966" s="149" t="s">
        <v>497</v>
      </c>
      <c r="M3966" s="151">
        <v>3903.52</v>
      </c>
    </row>
    <row r="3967" spans="1:13" s="149" customFormat="1" x14ac:dyDescent="0.25">
      <c r="A3967" s="149" t="s">
        <v>7640</v>
      </c>
      <c r="B3967" s="149" t="s">
        <v>2067</v>
      </c>
      <c r="C3967" s="149">
        <v>11</v>
      </c>
      <c r="D3967" s="149">
        <v>335</v>
      </c>
      <c r="E3967" s="149">
        <v>0</v>
      </c>
      <c r="F3967" s="149">
        <v>601000</v>
      </c>
      <c r="G3967" s="149">
        <v>53920</v>
      </c>
      <c r="H3967" s="150" t="str">
        <f t="shared" si="183"/>
        <v>5</v>
      </c>
      <c r="I3967" s="150" t="str">
        <f t="shared" si="184"/>
        <v>53</v>
      </c>
      <c r="J3967" s="150" t="str">
        <f t="shared" si="185"/>
        <v>539</v>
      </c>
      <c r="K3967" s="150" t="s">
        <v>9100</v>
      </c>
      <c r="L3967" s="149" t="s">
        <v>499</v>
      </c>
      <c r="M3967" s="151">
        <v>1738.51</v>
      </c>
    </row>
    <row r="3968" spans="1:13" s="149" customFormat="1" x14ac:dyDescent="0.25">
      <c r="A3968" s="149" t="s">
        <v>7640</v>
      </c>
      <c r="B3968" s="149" t="s">
        <v>2068</v>
      </c>
      <c r="C3968" s="149">
        <v>11</v>
      </c>
      <c r="D3968" s="149">
        <v>335</v>
      </c>
      <c r="E3968" s="149">
        <v>0</v>
      </c>
      <c r="F3968" s="149">
        <v>601000</v>
      </c>
      <c r="G3968" s="149">
        <v>55630</v>
      </c>
      <c r="H3968" s="150" t="str">
        <f t="shared" si="183"/>
        <v>5</v>
      </c>
      <c r="I3968" s="150" t="str">
        <f t="shared" si="184"/>
        <v>55</v>
      </c>
      <c r="J3968" s="150" t="str">
        <f t="shared" si="185"/>
        <v>556</v>
      </c>
      <c r="K3968" s="150" t="s">
        <v>8234</v>
      </c>
      <c r="L3968" s="149" t="s">
        <v>509</v>
      </c>
      <c r="M3968" s="151">
        <v>147.91</v>
      </c>
    </row>
    <row r="3969" spans="1:13" s="149" customFormat="1" x14ac:dyDescent="0.25">
      <c r="A3969" s="149" t="s">
        <v>7640</v>
      </c>
      <c r="B3969" s="149" t="s">
        <v>2069</v>
      </c>
      <c r="C3969" s="149">
        <v>11</v>
      </c>
      <c r="D3969" s="149">
        <v>340</v>
      </c>
      <c r="E3969" s="149">
        <v>0</v>
      </c>
      <c r="F3969" s="149">
        <v>682500</v>
      </c>
      <c r="G3969" s="149">
        <v>51210</v>
      </c>
      <c r="H3969" s="150" t="str">
        <f t="shared" si="183"/>
        <v>5</v>
      </c>
      <c r="I3969" s="150" t="str">
        <f t="shared" si="184"/>
        <v>51</v>
      </c>
      <c r="J3969" s="150" t="str">
        <f t="shared" si="185"/>
        <v>512</v>
      </c>
      <c r="K3969" s="150" t="s">
        <v>9101</v>
      </c>
      <c r="L3969" s="149" t="s">
        <v>2070</v>
      </c>
      <c r="M3969" s="151">
        <v>140325.31</v>
      </c>
    </row>
    <row r="3970" spans="1:13" s="149" customFormat="1" x14ac:dyDescent="0.25">
      <c r="A3970" s="149" t="s">
        <v>7640</v>
      </c>
      <c r="B3970" s="149" t="s">
        <v>2071</v>
      </c>
      <c r="C3970" s="149">
        <v>11</v>
      </c>
      <c r="D3970" s="149">
        <v>340</v>
      </c>
      <c r="E3970" s="149">
        <v>0</v>
      </c>
      <c r="F3970" s="149">
        <v>682500</v>
      </c>
      <c r="G3970" s="149">
        <v>52360</v>
      </c>
      <c r="H3970" s="150" t="str">
        <f t="shared" si="183"/>
        <v>5</v>
      </c>
      <c r="I3970" s="150" t="str">
        <f t="shared" si="184"/>
        <v>52</v>
      </c>
      <c r="J3970" s="150" t="str">
        <f t="shared" si="185"/>
        <v>523</v>
      </c>
      <c r="K3970" s="150" t="s">
        <v>7872</v>
      </c>
      <c r="L3970" s="149" t="s">
        <v>2072</v>
      </c>
      <c r="M3970" s="151">
        <v>188188.5</v>
      </c>
    </row>
    <row r="3971" spans="1:13" s="149" customFormat="1" x14ac:dyDescent="0.25">
      <c r="A3971" s="149" t="s">
        <v>7640</v>
      </c>
      <c r="B3971" s="149" t="s">
        <v>2073</v>
      </c>
      <c r="C3971" s="149">
        <v>11</v>
      </c>
      <c r="D3971" s="149">
        <v>340</v>
      </c>
      <c r="E3971" s="149">
        <v>0</v>
      </c>
      <c r="F3971" s="149">
        <v>682500</v>
      </c>
      <c r="G3971" s="149">
        <v>53120</v>
      </c>
      <c r="H3971" s="150" t="str">
        <f t="shared" ref="H3971:H4034" si="186">LEFT(G3971,1)</f>
        <v>5</v>
      </c>
      <c r="I3971" s="150" t="str">
        <f t="shared" ref="I3971:I4034" si="187">LEFT(G3971,2)</f>
        <v>53</v>
      </c>
      <c r="J3971" s="150" t="str">
        <f t="shared" ref="J3971:J4034" si="188">LEFT(G3971,3)</f>
        <v>531</v>
      </c>
      <c r="K3971" s="150" t="s">
        <v>9102</v>
      </c>
      <c r="L3971" s="149" t="s">
        <v>2074</v>
      </c>
      <c r="M3971" s="151">
        <v>20800.75</v>
      </c>
    </row>
    <row r="3972" spans="1:13" s="149" customFormat="1" x14ac:dyDescent="0.25">
      <c r="A3972" s="149" t="s">
        <v>7640</v>
      </c>
      <c r="B3972" s="149" t="s">
        <v>2075</v>
      </c>
      <c r="C3972" s="149">
        <v>11</v>
      </c>
      <c r="D3972" s="149">
        <v>340</v>
      </c>
      <c r="E3972" s="149">
        <v>0</v>
      </c>
      <c r="F3972" s="149">
        <v>682500</v>
      </c>
      <c r="G3972" s="149">
        <v>53220</v>
      </c>
      <c r="H3972" s="150" t="str">
        <f t="shared" si="186"/>
        <v>5</v>
      </c>
      <c r="I3972" s="150" t="str">
        <f t="shared" si="187"/>
        <v>53</v>
      </c>
      <c r="J3972" s="150" t="str">
        <f t="shared" si="188"/>
        <v>532</v>
      </c>
      <c r="K3972" s="150" t="s">
        <v>9103</v>
      </c>
      <c r="L3972" s="149" t="s">
        <v>2076</v>
      </c>
      <c r="M3972" s="151">
        <v>5317.32</v>
      </c>
    </row>
    <row r="3973" spans="1:13" s="149" customFormat="1" x14ac:dyDescent="0.25">
      <c r="A3973" s="149" t="s">
        <v>7640</v>
      </c>
      <c r="B3973" s="149" t="s">
        <v>2077</v>
      </c>
      <c r="C3973" s="149">
        <v>11</v>
      </c>
      <c r="D3973" s="149">
        <v>340</v>
      </c>
      <c r="E3973" s="149">
        <v>0</v>
      </c>
      <c r="F3973" s="149">
        <v>682500</v>
      </c>
      <c r="G3973" s="149">
        <v>53320</v>
      </c>
      <c r="H3973" s="150" t="str">
        <f t="shared" si="186"/>
        <v>5</v>
      </c>
      <c r="I3973" s="150" t="str">
        <f t="shared" si="187"/>
        <v>53</v>
      </c>
      <c r="J3973" s="150" t="str">
        <f t="shared" si="188"/>
        <v>533</v>
      </c>
      <c r="K3973" s="150" t="s">
        <v>9104</v>
      </c>
      <c r="L3973" s="149" t="s">
        <v>2078</v>
      </c>
      <c r="M3973" s="151">
        <v>10590.59</v>
      </c>
    </row>
    <row r="3974" spans="1:13" s="149" customFormat="1" x14ac:dyDescent="0.25">
      <c r="A3974" s="149" t="s">
        <v>7640</v>
      </c>
      <c r="B3974" s="149" t="s">
        <v>2079</v>
      </c>
      <c r="C3974" s="149">
        <v>11</v>
      </c>
      <c r="D3974" s="149">
        <v>340</v>
      </c>
      <c r="E3974" s="149">
        <v>0</v>
      </c>
      <c r="F3974" s="149">
        <v>682500</v>
      </c>
      <c r="G3974" s="149">
        <v>53340</v>
      </c>
      <c r="H3974" s="150" t="str">
        <f t="shared" si="186"/>
        <v>5</v>
      </c>
      <c r="I3974" s="150" t="str">
        <f t="shared" si="187"/>
        <v>53</v>
      </c>
      <c r="J3974" s="150" t="str">
        <f t="shared" si="188"/>
        <v>533</v>
      </c>
      <c r="K3974" s="150" t="s">
        <v>9105</v>
      </c>
      <c r="L3974" s="149" t="s">
        <v>2080</v>
      </c>
      <c r="M3974" s="151">
        <v>4756.01</v>
      </c>
    </row>
    <row r="3975" spans="1:13" s="149" customFormat="1" x14ac:dyDescent="0.25">
      <c r="A3975" s="149" t="s">
        <v>7640</v>
      </c>
      <c r="B3975" s="149" t="s">
        <v>2081</v>
      </c>
      <c r="C3975" s="149">
        <v>11</v>
      </c>
      <c r="D3975" s="149">
        <v>340</v>
      </c>
      <c r="E3975" s="149">
        <v>0</v>
      </c>
      <c r="F3975" s="149">
        <v>682500</v>
      </c>
      <c r="G3975" s="149">
        <v>53420</v>
      </c>
      <c r="H3975" s="150" t="str">
        <f t="shared" si="186"/>
        <v>5</v>
      </c>
      <c r="I3975" s="150" t="str">
        <f t="shared" si="187"/>
        <v>53</v>
      </c>
      <c r="J3975" s="150" t="str">
        <f t="shared" si="188"/>
        <v>534</v>
      </c>
      <c r="K3975" s="150" t="s">
        <v>9106</v>
      </c>
      <c r="L3975" s="149" t="s">
        <v>2082</v>
      </c>
      <c r="M3975" s="151">
        <v>26092.87</v>
      </c>
    </row>
    <row r="3976" spans="1:13" s="149" customFormat="1" x14ac:dyDescent="0.25">
      <c r="A3976" s="149" t="s">
        <v>7640</v>
      </c>
      <c r="B3976" s="149" t="s">
        <v>2083</v>
      </c>
      <c r="C3976" s="149">
        <v>11</v>
      </c>
      <c r="D3976" s="149">
        <v>340</v>
      </c>
      <c r="E3976" s="149">
        <v>0</v>
      </c>
      <c r="F3976" s="149">
        <v>682500</v>
      </c>
      <c r="G3976" s="149">
        <v>53520</v>
      </c>
      <c r="H3976" s="150" t="str">
        <f t="shared" si="186"/>
        <v>5</v>
      </c>
      <c r="I3976" s="150" t="str">
        <f t="shared" si="187"/>
        <v>53</v>
      </c>
      <c r="J3976" s="150" t="str">
        <f t="shared" si="188"/>
        <v>535</v>
      </c>
      <c r="K3976" s="150" t="s">
        <v>9107</v>
      </c>
      <c r="L3976" s="149" t="s">
        <v>2084</v>
      </c>
      <c r="M3976" s="151">
        <v>164.45</v>
      </c>
    </row>
    <row r="3977" spans="1:13" s="149" customFormat="1" x14ac:dyDescent="0.25">
      <c r="A3977" s="149" t="s">
        <v>7640</v>
      </c>
      <c r="B3977" s="149" t="s">
        <v>2085</v>
      </c>
      <c r="C3977" s="149">
        <v>11</v>
      </c>
      <c r="D3977" s="149">
        <v>340</v>
      </c>
      <c r="E3977" s="149">
        <v>0</v>
      </c>
      <c r="F3977" s="149">
        <v>682500</v>
      </c>
      <c r="G3977" s="149">
        <v>53620</v>
      </c>
      <c r="H3977" s="150" t="str">
        <f t="shared" si="186"/>
        <v>5</v>
      </c>
      <c r="I3977" s="150" t="str">
        <f t="shared" si="187"/>
        <v>53</v>
      </c>
      <c r="J3977" s="150" t="str">
        <f t="shared" si="188"/>
        <v>536</v>
      </c>
      <c r="K3977" s="150" t="s">
        <v>9108</v>
      </c>
      <c r="L3977" s="149" t="s">
        <v>2086</v>
      </c>
      <c r="M3977" s="151">
        <v>6211.63</v>
      </c>
    </row>
    <row r="3978" spans="1:13" s="149" customFormat="1" x14ac:dyDescent="0.25">
      <c r="A3978" s="149" t="s">
        <v>7640</v>
      </c>
      <c r="B3978" s="149" t="s">
        <v>2087</v>
      </c>
      <c r="C3978" s="149">
        <v>11</v>
      </c>
      <c r="D3978" s="149">
        <v>340</v>
      </c>
      <c r="E3978" s="149">
        <v>0</v>
      </c>
      <c r="F3978" s="149">
        <v>682500</v>
      </c>
      <c r="G3978" s="149">
        <v>53920</v>
      </c>
      <c r="H3978" s="150" t="str">
        <f t="shared" si="186"/>
        <v>5</v>
      </c>
      <c r="I3978" s="150" t="str">
        <f t="shared" si="187"/>
        <v>53</v>
      </c>
      <c r="J3978" s="150" t="str">
        <f t="shared" si="188"/>
        <v>539</v>
      </c>
      <c r="K3978" s="150" t="s">
        <v>9109</v>
      </c>
      <c r="L3978" s="149" t="s">
        <v>2088</v>
      </c>
      <c r="M3978" s="151">
        <v>1200</v>
      </c>
    </row>
    <row r="3979" spans="1:13" s="149" customFormat="1" x14ac:dyDescent="0.25">
      <c r="A3979" s="149" t="s">
        <v>7640</v>
      </c>
      <c r="B3979" s="149" t="s">
        <v>2089</v>
      </c>
      <c r="C3979" s="149">
        <v>11</v>
      </c>
      <c r="D3979" s="149">
        <v>340</v>
      </c>
      <c r="E3979" s="149">
        <v>0</v>
      </c>
      <c r="F3979" s="149">
        <v>682500</v>
      </c>
      <c r="G3979" s="149">
        <v>54300</v>
      </c>
      <c r="H3979" s="150" t="str">
        <f t="shared" si="186"/>
        <v>5</v>
      </c>
      <c r="I3979" s="150" t="str">
        <f t="shared" si="187"/>
        <v>54</v>
      </c>
      <c r="J3979" s="150" t="str">
        <f t="shared" si="188"/>
        <v>543</v>
      </c>
      <c r="K3979" s="150" t="s">
        <v>7951</v>
      </c>
      <c r="L3979" s="149" t="s">
        <v>2090</v>
      </c>
      <c r="M3979" s="151">
        <v>0</v>
      </c>
    </row>
    <row r="3980" spans="1:13" s="149" customFormat="1" x14ac:dyDescent="0.25">
      <c r="A3980" s="149" t="s">
        <v>7640</v>
      </c>
      <c r="B3980" s="149" t="s">
        <v>2091</v>
      </c>
      <c r="C3980" s="149">
        <v>11</v>
      </c>
      <c r="D3980" s="149">
        <v>340</v>
      </c>
      <c r="E3980" s="149">
        <v>0</v>
      </c>
      <c r="F3980" s="149">
        <v>682500</v>
      </c>
      <c r="G3980" s="149">
        <v>54320</v>
      </c>
      <c r="H3980" s="150" t="str">
        <f t="shared" si="186"/>
        <v>5</v>
      </c>
      <c r="I3980" s="150" t="str">
        <f t="shared" si="187"/>
        <v>54</v>
      </c>
      <c r="J3980" s="150" t="str">
        <f t="shared" si="188"/>
        <v>543</v>
      </c>
      <c r="K3980" s="150" t="s">
        <v>7984</v>
      </c>
      <c r="L3980" s="149" t="s">
        <v>2092</v>
      </c>
      <c r="M3980" s="151">
        <v>0</v>
      </c>
    </row>
    <row r="3981" spans="1:13" s="149" customFormat="1" x14ac:dyDescent="0.25">
      <c r="A3981" s="149" t="s">
        <v>7640</v>
      </c>
      <c r="B3981" s="149" t="s">
        <v>2093</v>
      </c>
      <c r="C3981" s="149">
        <v>11</v>
      </c>
      <c r="D3981" s="149">
        <v>340</v>
      </c>
      <c r="E3981" s="149">
        <v>0</v>
      </c>
      <c r="F3981" s="149">
        <v>682500</v>
      </c>
      <c r="G3981" s="149">
        <v>55105</v>
      </c>
      <c r="H3981" s="150" t="str">
        <f t="shared" si="186"/>
        <v>5</v>
      </c>
      <c r="I3981" s="150" t="str">
        <f t="shared" si="187"/>
        <v>55</v>
      </c>
      <c r="J3981" s="150" t="str">
        <f t="shared" si="188"/>
        <v>551</v>
      </c>
      <c r="K3981" s="150" t="s">
        <v>8013</v>
      </c>
      <c r="L3981" s="149" t="s">
        <v>2094</v>
      </c>
      <c r="M3981" s="151">
        <v>5874.2300000000005</v>
      </c>
    </row>
    <row r="3982" spans="1:13" s="149" customFormat="1" x14ac:dyDescent="0.25">
      <c r="A3982" s="149" t="s">
        <v>7640</v>
      </c>
      <c r="B3982" s="149" t="s">
        <v>2095</v>
      </c>
      <c r="C3982" s="149">
        <v>11</v>
      </c>
      <c r="D3982" s="149">
        <v>340</v>
      </c>
      <c r="E3982" s="149">
        <v>0</v>
      </c>
      <c r="F3982" s="149">
        <v>682500</v>
      </c>
      <c r="G3982" s="149">
        <v>55200</v>
      </c>
      <c r="H3982" s="150" t="str">
        <f t="shared" si="186"/>
        <v>5</v>
      </c>
      <c r="I3982" s="150" t="str">
        <f t="shared" si="187"/>
        <v>55</v>
      </c>
      <c r="J3982" s="150" t="str">
        <f t="shared" si="188"/>
        <v>552</v>
      </c>
      <c r="K3982" s="150" t="s">
        <v>8053</v>
      </c>
      <c r="L3982" s="149" t="s">
        <v>2096</v>
      </c>
      <c r="M3982" s="151">
        <v>0</v>
      </c>
    </row>
    <row r="3983" spans="1:13" s="149" customFormat="1" x14ac:dyDescent="0.25">
      <c r="A3983" s="149" t="s">
        <v>7640</v>
      </c>
      <c r="B3983" s="149" t="s">
        <v>2097</v>
      </c>
      <c r="C3983" s="149">
        <v>11</v>
      </c>
      <c r="D3983" s="149">
        <v>340</v>
      </c>
      <c r="E3983" s="149">
        <v>0</v>
      </c>
      <c r="F3983" s="149">
        <v>682500</v>
      </c>
      <c r="G3983" s="149">
        <v>55600</v>
      </c>
      <c r="H3983" s="150" t="str">
        <f t="shared" si="186"/>
        <v>5</v>
      </c>
      <c r="I3983" s="150" t="str">
        <f t="shared" si="187"/>
        <v>55</v>
      </c>
      <c r="J3983" s="150" t="str">
        <f t="shared" si="188"/>
        <v>556</v>
      </c>
      <c r="K3983" s="150" t="s">
        <v>8151</v>
      </c>
      <c r="L3983" s="149" t="s">
        <v>2098</v>
      </c>
      <c r="M3983" s="151">
        <v>1637.28</v>
      </c>
    </row>
    <row r="3984" spans="1:13" s="149" customFormat="1" x14ac:dyDescent="0.25">
      <c r="A3984" s="149" t="s">
        <v>7640</v>
      </c>
      <c r="B3984" s="149" t="s">
        <v>2099</v>
      </c>
      <c r="C3984" s="149">
        <v>11</v>
      </c>
      <c r="D3984" s="149">
        <v>340</v>
      </c>
      <c r="E3984" s="149">
        <v>0</v>
      </c>
      <c r="F3984" s="149">
        <v>682500</v>
      </c>
      <c r="G3984" s="149">
        <v>55630</v>
      </c>
      <c r="H3984" s="150" t="str">
        <f t="shared" si="186"/>
        <v>5</v>
      </c>
      <c r="I3984" s="150" t="str">
        <f t="shared" si="187"/>
        <v>55</v>
      </c>
      <c r="J3984" s="150" t="str">
        <f t="shared" si="188"/>
        <v>556</v>
      </c>
      <c r="K3984" s="150" t="s">
        <v>8235</v>
      </c>
      <c r="L3984" s="149" t="s">
        <v>2100</v>
      </c>
      <c r="M3984" s="151">
        <v>0</v>
      </c>
    </row>
    <row r="3985" spans="1:13" s="149" customFormat="1" x14ac:dyDescent="0.25">
      <c r="A3985" s="149" t="s">
        <v>7640</v>
      </c>
      <c r="B3985" s="149" t="s">
        <v>2101</v>
      </c>
      <c r="C3985" s="149">
        <v>11</v>
      </c>
      <c r="D3985" s="149">
        <v>340</v>
      </c>
      <c r="E3985" s="149">
        <v>0</v>
      </c>
      <c r="F3985" s="149">
        <v>682500</v>
      </c>
      <c r="G3985" s="149">
        <v>55635</v>
      </c>
      <c r="H3985" s="150" t="str">
        <f t="shared" si="186"/>
        <v>5</v>
      </c>
      <c r="I3985" s="150" t="str">
        <f t="shared" si="187"/>
        <v>55</v>
      </c>
      <c r="J3985" s="150" t="str">
        <f t="shared" si="188"/>
        <v>556</v>
      </c>
      <c r="K3985" s="150" t="s">
        <v>8279</v>
      </c>
      <c r="L3985" s="149" t="s">
        <v>2102</v>
      </c>
      <c r="M3985" s="151">
        <v>0</v>
      </c>
    </row>
    <row r="3986" spans="1:13" s="149" customFormat="1" x14ac:dyDescent="0.25">
      <c r="A3986" s="149" t="s">
        <v>7640</v>
      </c>
      <c r="B3986" s="149" t="s">
        <v>2103</v>
      </c>
      <c r="C3986" s="149">
        <v>11</v>
      </c>
      <c r="D3986" s="149">
        <v>340</v>
      </c>
      <c r="E3986" s="149">
        <v>0</v>
      </c>
      <c r="F3986" s="149">
        <v>682500</v>
      </c>
      <c r="G3986" s="149">
        <v>55650</v>
      </c>
      <c r="H3986" s="150" t="str">
        <f t="shared" si="186"/>
        <v>5</v>
      </c>
      <c r="I3986" s="150" t="str">
        <f t="shared" si="187"/>
        <v>55</v>
      </c>
      <c r="J3986" s="150" t="str">
        <f t="shared" si="188"/>
        <v>556</v>
      </c>
      <c r="K3986" s="150" t="s">
        <v>8303</v>
      </c>
      <c r="L3986" s="149" t="s">
        <v>2104</v>
      </c>
      <c r="M3986" s="151">
        <v>0</v>
      </c>
    </row>
    <row r="3987" spans="1:13" s="149" customFormat="1" x14ac:dyDescent="0.25">
      <c r="A3987" s="149" t="s">
        <v>7640</v>
      </c>
      <c r="B3987" s="149" t="s">
        <v>2105</v>
      </c>
      <c r="C3987" s="149">
        <v>11</v>
      </c>
      <c r="D3987" s="149">
        <v>340</v>
      </c>
      <c r="E3987" s="149">
        <v>0</v>
      </c>
      <c r="F3987" s="149">
        <v>682500</v>
      </c>
      <c r="G3987" s="149">
        <v>55651</v>
      </c>
      <c r="H3987" s="150" t="str">
        <f t="shared" si="186"/>
        <v>5</v>
      </c>
      <c r="I3987" s="150" t="str">
        <f t="shared" si="187"/>
        <v>55</v>
      </c>
      <c r="J3987" s="150" t="str">
        <f t="shared" si="188"/>
        <v>556</v>
      </c>
      <c r="K3987" s="150" t="s">
        <v>8320</v>
      </c>
      <c r="L3987" s="149" t="s">
        <v>2106</v>
      </c>
      <c r="M3987" s="151">
        <v>0</v>
      </c>
    </row>
    <row r="3988" spans="1:13" s="149" customFormat="1" x14ac:dyDescent="0.25">
      <c r="A3988" s="149" t="s">
        <v>7640</v>
      </c>
      <c r="B3988" s="149" t="s">
        <v>2107</v>
      </c>
      <c r="C3988" s="149">
        <v>11</v>
      </c>
      <c r="D3988" s="149">
        <v>340</v>
      </c>
      <c r="E3988" s="149">
        <v>0</v>
      </c>
      <c r="F3988" s="149">
        <v>682500</v>
      </c>
      <c r="G3988" s="149">
        <v>55810</v>
      </c>
      <c r="H3988" s="150" t="str">
        <f t="shared" si="186"/>
        <v>5</v>
      </c>
      <c r="I3988" s="150" t="str">
        <f t="shared" si="187"/>
        <v>55</v>
      </c>
      <c r="J3988" s="150" t="str">
        <f t="shared" si="188"/>
        <v>558</v>
      </c>
      <c r="K3988" s="150" t="s">
        <v>8339</v>
      </c>
      <c r="L3988" s="149" t="s">
        <v>2108</v>
      </c>
      <c r="M3988" s="151">
        <v>0</v>
      </c>
    </row>
    <row r="3989" spans="1:13" s="149" customFormat="1" x14ac:dyDescent="0.25">
      <c r="A3989" s="149" t="s">
        <v>7640</v>
      </c>
      <c r="B3989" s="149" t="s">
        <v>2109</v>
      </c>
      <c r="C3989" s="149">
        <v>11</v>
      </c>
      <c r="D3989" s="149">
        <v>340</v>
      </c>
      <c r="E3989" s="149">
        <v>0</v>
      </c>
      <c r="F3989" s="149">
        <v>682500</v>
      </c>
      <c r="G3989" s="149">
        <v>55820</v>
      </c>
      <c r="H3989" s="150" t="str">
        <f t="shared" si="186"/>
        <v>5</v>
      </c>
      <c r="I3989" s="150" t="str">
        <f t="shared" si="187"/>
        <v>55</v>
      </c>
      <c r="J3989" s="150" t="str">
        <f t="shared" si="188"/>
        <v>558</v>
      </c>
      <c r="K3989" s="150" t="s">
        <v>8342</v>
      </c>
      <c r="L3989" s="149" t="s">
        <v>2110</v>
      </c>
      <c r="M3989" s="151">
        <v>0</v>
      </c>
    </row>
    <row r="3990" spans="1:13" s="149" customFormat="1" x14ac:dyDescent="0.25">
      <c r="A3990" s="149" t="s">
        <v>7640</v>
      </c>
      <c r="B3990" s="149" t="s">
        <v>2111</v>
      </c>
      <c r="C3990" s="149">
        <v>11</v>
      </c>
      <c r="D3990" s="149">
        <v>340</v>
      </c>
      <c r="E3990" s="149">
        <v>0</v>
      </c>
      <c r="F3990" s="149">
        <v>682500</v>
      </c>
      <c r="G3990" s="149">
        <v>55830</v>
      </c>
      <c r="H3990" s="150" t="str">
        <f t="shared" si="186"/>
        <v>5</v>
      </c>
      <c r="I3990" s="150" t="str">
        <f t="shared" si="187"/>
        <v>55</v>
      </c>
      <c r="J3990" s="150" t="str">
        <f t="shared" si="188"/>
        <v>558</v>
      </c>
      <c r="K3990" s="150" t="s">
        <v>8350</v>
      </c>
      <c r="L3990" s="149" t="s">
        <v>2112</v>
      </c>
      <c r="M3990" s="151">
        <v>0</v>
      </c>
    </row>
    <row r="3991" spans="1:13" s="149" customFormat="1" x14ac:dyDescent="0.25">
      <c r="A3991" s="149" t="s">
        <v>7640</v>
      </c>
      <c r="B3991" s="149" t="s">
        <v>2113</v>
      </c>
      <c r="C3991" s="149">
        <v>11</v>
      </c>
      <c r="D3991" s="149">
        <v>350</v>
      </c>
      <c r="E3991" s="149">
        <v>0</v>
      </c>
      <c r="F3991" s="149">
        <v>50000</v>
      </c>
      <c r="G3991" s="149">
        <v>51100</v>
      </c>
      <c r="H3991" s="150" t="str">
        <f t="shared" si="186"/>
        <v>5</v>
      </c>
      <c r="I3991" s="150" t="str">
        <f t="shared" si="187"/>
        <v>51</v>
      </c>
      <c r="J3991" s="150" t="str">
        <f t="shared" si="188"/>
        <v>511</v>
      </c>
      <c r="K3991" s="150" t="s">
        <v>9110</v>
      </c>
      <c r="L3991" s="149" t="s">
        <v>2114</v>
      </c>
      <c r="M3991" s="151">
        <v>211794.6</v>
      </c>
    </row>
    <row r="3992" spans="1:13" s="149" customFormat="1" x14ac:dyDescent="0.25">
      <c r="A3992" s="149" t="s">
        <v>7640</v>
      </c>
      <c r="B3992" s="149" t="s">
        <v>2115</v>
      </c>
      <c r="C3992" s="149">
        <v>11</v>
      </c>
      <c r="D3992" s="149">
        <v>350</v>
      </c>
      <c r="E3992" s="149">
        <v>0</v>
      </c>
      <c r="F3992" s="149">
        <v>50000</v>
      </c>
      <c r="G3992" s="149">
        <v>51310</v>
      </c>
      <c r="H3992" s="150" t="str">
        <f t="shared" si="186"/>
        <v>5</v>
      </c>
      <c r="I3992" s="150" t="str">
        <f t="shared" si="187"/>
        <v>51</v>
      </c>
      <c r="J3992" s="150" t="str">
        <f t="shared" si="188"/>
        <v>513</v>
      </c>
      <c r="K3992" s="150" t="s">
        <v>7676</v>
      </c>
      <c r="L3992" s="149" t="s">
        <v>229</v>
      </c>
      <c r="M3992" s="151">
        <v>63391.98</v>
      </c>
    </row>
    <row r="3993" spans="1:13" s="149" customFormat="1" x14ac:dyDescent="0.25">
      <c r="A3993" s="149" t="s">
        <v>7640</v>
      </c>
      <c r="B3993" s="149" t="s">
        <v>2116</v>
      </c>
      <c r="C3993" s="149">
        <v>11</v>
      </c>
      <c r="D3993" s="149">
        <v>350</v>
      </c>
      <c r="E3993" s="149">
        <v>0</v>
      </c>
      <c r="F3993" s="149">
        <v>50000</v>
      </c>
      <c r="G3993" s="149">
        <v>51311</v>
      </c>
      <c r="H3993" s="150" t="str">
        <f t="shared" si="186"/>
        <v>5</v>
      </c>
      <c r="I3993" s="150" t="str">
        <f t="shared" si="187"/>
        <v>51</v>
      </c>
      <c r="J3993" s="150" t="str">
        <f t="shared" si="188"/>
        <v>513</v>
      </c>
      <c r="K3993" s="150" t="s">
        <v>7753</v>
      </c>
      <c r="L3993" s="149" t="s">
        <v>231</v>
      </c>
      <c r="M3993" s="151">
        <v>51298.74</v>
      </c>
    </row>
    <row r="3994" spans="1:13" s="149" customFormat="1" x14ac:dyDescent="0.25">
      <c r="A3994" s="149" t="s">
        <v>7640</v>
      </c>
      <c r="B3994" s="149" t="s">
        <v>2117</v>
      </c>
      <c r="C3994" s="149">
        <v>11</v>
      </c>
      <c r="D3994" s="149">
        <v>350</v>
      </c>
      <c r="E3994" s="149">
        <v>0</v>
      </c>
      <c r="F3994" s="149">
        <v>50000</v>
      </c>
      <c r="G3994" s="149">
        <v>53110</v>
      </c>
      <c r="H3994" s="150" t="str">
        <f t="shared" si="186"/>
        <v>5</v>
      </c>
      <c r="I3994" s="150" t="str">
        <f t="shared" si="187"/>
        <v>53</v>
      </c>
      <c r="J3994" s="150" t="str">
        <f t="shared" si="188"/>
        <v>531</v>
      </c>
      <c r="K3994" s="150" t="s">
        <v>9111</v>
      </c>
      <c r="L3994" s="149" t="s">
        <v>233</v>
      </c>
      <c r="M3994" s="151">
        <v>46690.52</v>
      </c>
    </row>
    <row r="3995" spans="1:13" s="149" customFormat="1" x14ac:dyDescent="0.25">
      <c r="A3995" s="149" t="s">
        <v>7640</v>
      </c>
      <c r="B3995" s="149" t="s">
        <v>2118</v>
      </c>
      <c r="C3995" s="149">
        <v>11</v>
      </c>
      <c r="D3995" s="149">
        <v>350</v>
      </c>
      <c r="E3995" s="149">
        <v>0</v>
      </c>
      <c r="F3995" s="149">
        <v>50000</v>
      </c>
      <c r="G3995" s="149">
        <v>53310</v>
      </c>
      <c r="H3995" s="150" t="str">
        <f t="shared" si="186"/>
        <v>5</v>
      </c>
      <c r="I3995" s="150" t="str">
        <f t="shared" si="187"/>
        <v>53</v>
      </c>
      <c r="J3995" s="150" t="str">
        <f t="shared" si="188"/>
        <v>533</v>
      </c>
      <c r="K3995" s="150" t="s">
        <v>9112</v>
      </c>
      <c r="L3995" s="149" t="s">
        <v>1125</v>
      </c>
      <c r="M3995" s="151">
        <v>1898.18</v>
      </c>
    </row>
    <row r="3996" spans="1:13" s="149" customFormat="1" x14ac:dyDescent="0.25">
      <c r="A3996" s="149" t="s">
        <v>7640</v>
      </c>
      <c r="B3996" s="149" t="s">
        <v>2119</v>
      </c>
      <c r="C3996" s="149">
        <v>11</v>
      </c>
      <c r="D3996" s="149">
        <v>350</v>
      </c>
      <c r="E3996" s="149">
        <v>0</v>
      </c>
      <c r="F3996" s="149">
        <v>50000</v>
      </c>
      <c r="G3996" s="149">
        <v>53330</v>
      </c>
      <c r="H3996" s="150" t="str">
        <f t="shared" si="186"/>
        <v>5</v>
      </c>
      <c r="I3996" s="150" t="str">
        <f t="shared" si="187"/>
        <v>53</v>
      </c>
      <c r="J3996" s="150" t="str">
        <f t="shared" si="188"/>
        <v>533</v>
      </c>
      <c r="K3996" s="150" t="s">
        <v>9113</v>
      </c>
      <c r="L3996" s="149" t="s">
        <v>235</v>
      </c>
      <c r="M3996" s="151">
        <v>4718.74</v>
      </c>
    </row>
    <row r="3997" spans="1:13" s="149" customFormat="1" x14ac:dyDescent="0.25">
      <c r="A3997" s="149" t="s">
        <v>7640</v>
      </c>
      <c r="B3997" s="149" t="s">
        <v>2120</v>
      </c>
      <c r="C3997" s="149">
        <v>11</v>
      </c>
      <c r="D3997" s="149">
        <v>350</v>
      </c>
      <c r="E3997" s="149">
        <v>0</v>
      </c>
      <c r="F3997" s="149">
        <v>50000</v>
      </c>
      <c r="G3997" s="149">
        <v>53410</v>
      </c>
      <c r="H3997" s="150" t="str">
        <f t="shared" si="186"/>
        <v>5</v>
      </c>
      <c r="I3997" s="150" t="str">
        <f t="shared" si="187"/>
        <v>53</v>
      </c>
      <c r="J3997" s="150" t="str">
        <f t="shared" si="188"/>
        <v>534</v>
      </c>
      <c r="K3997" s="150" t="s">
        <v>9114</v>
      </c>
      <c r="L3997" s="149" t="s">
        <v>2121</v>
      </c>
      <c r="M3997" s="151">
        <v>36169.64</v>
      </c>
    </row>
    <row r="3998" spans="1:13" s="149" customFormat="1" x14ac:dyDescent="0.25">
      <c r="A3998" s="149" t="s">
        <v>7640</v>
      </c>
      <c r="B3998" s="149" t="s">
        <v>2122</v>
      </c>
      <c r="C3998" s="149">
        <v>11</v>
      </c>
      <c r="D3998" s="149">
        <v>350</v>
      </c>
      <c r="E3998" s="149">
        <v>0</v>
      </c>
      <c r="F3998" s="149">
        <v>50000</v>
      </c>
      <c r="G3998" s="149">
        <v>53510</v>
      </c>
      <c r="H3998" s="150" t="str">
        <f t="shared" si="186"/>
        <v>5</v>
      </c>
      <c r="I3998" s="150" t="str">
        <f t="shared" si="187"/>
        <v>53</v>
      </c>
      <c r="J3998" s="150" t="str">
        <f t="shared" si="188"/>
        <v>535</v>
      </c>
      <c r="K3998" s="150" t="s">
        <v>9115</v>
      </c>
      <c r="L3998" s="149" t="s">
        <v>237</v>
      </c>
      <c r="M3998" s="151">
        <v>162.74</v>
      </c>
    </row>
    <row r="3999" spans="1:13" s="149" customFormat="1" x14ac:dyDescent="0.25">
      <c r="A3999" s="149" t="s">
        <v>7640</v>
      </c>
      <c r="B3999" s="149" t="s">
        <v>2123</v>
      </c>
      <c r="C3999" s="149">
        <v>11</v>
      </c>
      <c r="D3999" s="149">
        <v>350</v>
      </c>
      <c r="E3999" s="149">
        <v>0</v>
      </c>
      <c r="F3999" s="149">
        <v>50000</v>
      </c>
      <c r="G3999" s="149">
        <v>53610</v>
      </c>
      <c r="H3999" s="150" t="str">
        <f t="shared" si="186"/>
        <v>5</v>
      </c>
      <c r="I3999" s="150" t="str">
        <f t="shared" si="187"/>
        <v>53</v>
      </c>
      <c r="J3999" s="150" t="str">
        <f t="shared" si="188"/>
        <v>536</v>
      </c>
      <c r="K3999" s="150" t="s">
        <v>9116</v>
      </c>
      <c r="L3999" s="149" t="s">
        <v>239</v>
      </c>
      <c r="M3999" s="151">
        <v>6182.18</v>
      </c>
    </row>
    <row r="4000" spans="1:13" s="149" customFormat="1" x14ac:dyDescent="0.25">
      <c r="A4000" s="149" t="s">
        <v>7640</v>
      </c>
      <c r="B4000" s="149" t="s">
        <v>2124</v>
      </c>
      <c r="C4000" s="149">
        <v>11</v>
      </c>
      <c r="D4000" s="149">
        <v>350</v>
      </c>
      <c r="E4000" s="149">
        <v>0</v>
      </c>
      <c r="F4000" s="149">
        <v>50000</v>
      </c>
      <c r="G4000" s="149">
        <v>53910</v>
      </c>
      <c r="H4000" s="150" t="str">
        <f t="shared" si="186"/>
        <v>5</v>
      </c>
      <c r="I4000" s="150" t="str">
        <f t="shared" si="187"/>
        <v>53</v>
      </c>
      <c r="J4000" s="150" t="str">
        <f t="shared" si="188"/>
        <v>539</v>
      </c>
      <c r="K4000" s="150" t="s">
        <v>9117</v>
      </c>
      <c r="L4000" s="149" t="s">
        <v>2125</v>
      </c>
      <c r="M4000" s="151">
        <v>1745.44</v>
      </c>
    </row>
    <row r="4001" spans="1:13" s="149" customFormat="1" x14ac:dyDescent="0.25">
      <c r="A4001" s="149" t="s">
        <v>7640</v>
      </c>
      <c r="B4001" s="149" t="s">
        <v>2126</v>
      </c>
      <c r="C4001" s="149">
        <v>11</v>
      </c>
      <c r="D4001" s="149">
        <v>350</v>
      </c>
      <c r="E4001" s="149">
        <v>0</v>
      </c>
      <c r="F4001" s="149">
        <v>50000</v>
      </c>
      <c r="G4001" s="149">
        <v>54300</v>
      </c>
      <c r="H4001" s="150" t="str">
        <f t="shared" si="186"/>
        <v>5</v>
      </c>
      <c r="I4001" s="150" t="str">
        <f t="shared" si="187"/>
        <v>54</v>
      </c>
      <c r="J4001" s="150" t="str">
        <f t="shared" si="188"/>
        <v>543</v>
      </c>
      <c r="K4001" s="150" t="s">
        <v>7952</v>
      </c>
      <c r="L4001" s="149" t="s">
        <v>2127</v>
      </c>
      <c r="M4001" s="151">
        <v>120.51</v>
      </c>
    </row>
    <row r="4002" spans="1:13" s="149" customFormat="1" x14ac:dyDescent="0.25">
      <c r="A4002" s="149" t="s">
        <v>7640</v>
      </c>
      <c r="B4002" s="149" t="s">
        <v>2128</v>
      </c>
      <c r="C4002" s="149">
        <v>11</v>
      </c>
      <c r="D4002" s="149">
        <v>350</v>
      </c>
      <c r="E4002" s="149">
        <v>0</v>
      </c>
      <c r="F4002" s="149">
        <v>50000</v>
      </c>
      <c r="G4002" s="149">
        <v>55630</v>
      </c>
      <c r="H4002" s="150" t="str">
        <f t="shared" si="186"/>
        <v>5</v>
      </c>
      <c r="I4002" s="150" t="str">
        <f t="shared" si="187"/>
        <v>55</v>
      </c>
      <c r="J4002" s="150" t="str">
        <f t="shared" si="188"/>
        <v>556</v>
      </c>
      <c r="K4002" s="150" t="s">
        <v>8236</v>
      </c>
      <c r="L4002" s="149" t="s">
        <v>2129</v>
      </c>
      <c r="M4002" s="151">
        <v>0</v>
      </c>
    </row>
    <row r="4003" spans="1:13" s="149" customFormat="1" x14ac:dyDescent="0.25">
      <c r="A4003" s="149" t="s">
        <v>7640</v>
      </c>
      <c r="B4003" s="149" t="s">
        <v>2130</v>
      </c>
      <c r="C4003" s="149">
        <v>11</v>
      </c>
      <c r="D4003" s="149">
        <v>350</v>
      </c>
      <c r="E4003" s="149">
        <v>0</v>
      </c>
      <c r="F4003" s="149">
        <v>50000</v>
      </c>
      <c r="G4003" s="149">
        <v>56400</v>
      </c>
      <c r="H4003" s="150" t="str">
        <f t="shared" si="186"/>
        <v>5</v>
      </c>
      <c r="I4003" s="150" t="str">
        <f t="shared" si="187"/>
        <v>56</v>
      </c>
      <c r="J4003" s="150" t="str">
        <f t="shared" si="188"/>
        <v>564</v>
      </c>
      <c r="K4003" s="150" t="s">
        <v>8375</v>
      </c>
      <c r="L4003" s="149" t="s">
        <v>2131</v>
      </c>
      <c r="M4003" s="151">
        <v>2359.98</v>
      </c>
    </row>
    <row r="4004" spans="1:13" s="149" customFormat="1" x14ac:dyDescent="0.25">
      <c r="A4004" s="149" t="s">
        <v>7640</v>
      </c>
      <c r="B4004" s="149" t="s">
        <v>2132</v>
      </c>
      <c r="C4004" s="149">
        <v>11</v>
      </c>
      <c r="D4004" s="149">
        <v>350</v>
      </c>
      <c r="E4004" s="149">
        <v>0</v>
      </c>
      <c r="F4004" s="149">
        <v>94800</v>
      </c>
      <c r="G4004" s="149">
        <v>55630</v>
      </c>
      <c r="H4004" s="150" t="str">
        <f t="shared" si="186"/>
        <v>5</v>
      </c>
      <c r="I4004" s="150" t="str">
        <f t="shared" si="187"/>
        <v>55</v>
      </c>
      <c r="J4004" s="150" t="str">
        <f t="shared" si="188"/>
        <v>556</v>
      </c>
      <c r="K4004" s="150" t="s">
        <v>8237</v>
      </c>
      <c r="L4004" s="149" t="s">
        <v>2133</v>
      </c>
      <c r="M4004" s="151">
        <v>0</v>
      </c>
    </row>
    <row r="4005" spans="1:13" s="149" customFormat="1" x14ac:dyDescent="0.25">
      <c r="A4005" s="149" t="s">
        <v>7640</v>
      </c>
      <c r="B4005" s="149" t="s">
        <v>2134</v>
      </c>
      <c r="C4005" s="149">
        <v>11</v>
      </c>
      <c r="D4005" s="149">
        <v>350</v>
      </c>
      <c r="E4005" s="149">
        <v>0</v>
      </c>
      <c r="F4005" s="149">
        <v>130500</v>
      </c>
      <c r="G4005" s="149">
        <v>51100</v>
      </c>
      <c r="H4005" s="150" t="str">
        <f t="shared" si="186"/>
        <v>5</v>
      </c>
      <c r="I4005" s="150" t="str">
        <f t="shared" si="187"/>
        <v>51</v>
      </c>
      <c r="J4005" s="150" t="str">
        <f t="shared" si="188"/>
        <v>511</v>
      </c>
      <c r="K4005" s="150" t="s">
        <v>9118</v>
      </c>
      <c r="L4005" s="149" t="s">
        <v>2135</v>
      </c>
      <c r="M4005" s="151">
        <v>244061.7</v>
      </c>
    </row>
    <row r="4006" spans="1:13" s="149" customFormat="1" x14ac:dyDescent="0.25">
      <c r="A4006" s="149" t="s">
        <v>7640</v>
      </c>
      <c r="B4006" s="149" t="s">
        <v>2136</v>
      </c>
      <c r="C4006" s="149">
        <v>11</v>
      </c>
      <c r="D4006" s="149">
        <v>350</v>
      </c>
      <c r="E4006" s="149">
        <v>0</v>
      </c>
      <c r="F4006" s="149">
        <v>130500</v>
      </c>
      <c r="G4006" s="149">
        <v>51310</v>
      </c>
      <c r="H4006" s="150" t="str">
        <f t="shared" si="186"/>
        <v>5</v>
      </c>
      <c r="I4006" s="150" t="str">
        <f t="shared" si="187"/>
        <v>51</v>
      </c>
      <c r="J4006" s="150" t="str">
        <f t="shared" si="188"/>
        <v>513</v>
      </c>
      <c r="K4006" s="150" t="s">
        <v>7677</v>
      </c>
      <c r="L4006" s="149" t="s">
        <v>1257</v>
      </c>
      <c r="M4006" s="151">
        <v>4171.5</v>
      </c>
    </row>
    <row r="4007" spans="1:13" s="149" customFormat="1" x14ac:dyDescent="0.25">
      <c r="A4007" s="149" t="s">
        <v>7640</v>
      </c>
      <c r="B4007" s="149" t="s">
        <v>2137</v>
      </c>
      <c r="C4007" s="149">
        <v>11</v>
      </c>
      <c r="D4007" s="149">
        <v>350</v>
      </c>
      <c r="E4007" s="149">
        <v>0</v>
      </c>
      <c r="F4007" s="149">
        <v>130500</v>
      </c>
      <c r="G4007" s="149">
        <v>51311</v>
      </c>
      <c r="H4007" s="150" t="str">
        <f t="shared" si="186"/>
        <v>5</v>
      </c>
      <c r="I4007" s="150" t="str">
        <f t="shared" si="187"/>
        <v>51</v>
      </c>
      <c r="J4007" s="150" t="str">
        <f t="shared" si="188"/>
        <v>513</v>
      </c>
      <c r="K4007" s="150" t="s">
        <v>7754</v>
      </c>
      <c r="L4007" s="149" t="s">
        <v>291</v>
      </c>
      <c r="M4007" s="151">
        <v>2077.17</v>
      </c>
    </row>
    <row r="4008" spans="1:13" s="149" customFormat="1" x14ac:dyDescent="0.25">
      <c r="A4008" s="149" t="s">
        <v>7640</v>
      </c>
      <c r="B4008" s="149" t="s">
        <v>2138</v>
      </c>
      <c r="C4008" s="149">
        <v>11</v>
      </c>
      <c r="D4008" s="149">
        <v>350</v>
      </c>
      <c r="E4008" s="149">
        <v>0</v>
      </c>
      <c r="F4008" s="149">
        <v>130500</v>
      </c>
      <c r="G4008" s="149">
        <v>52200</v>
      </c>
      <c r="H4008" s="150" t="str">
        <f t="shared" si="186"/>
        <v>5</v>
      </c>
      <c r="I4008" s="150" t="str">
        <f t="shared" si="187"/>
        <v>52</v>
      </c>
      <c r="J4008" s="150" t="str">
        <f t="shared" si="188"/>
        <v>522</v>
      </c>
      <c r="K4008" s="150" t="s">
        <v>9119</v>
      </c>
      <c r="L4008" s="149" t="s">
        <v>1259</v>
      </c>
      <c r="M4008" s="151">
        <v>17023.37</v>
      </c>
    </row>
    <row r="4009" spans="1:13" s="149" customFormat="1" x14ac:dyDescent="0.25">
      <c r="A4009" s="149" t="s">
        <v>7640</v>
      </c>
      <c r="B4009" s="149" t="s">
        <v>2139</v>
      </c>
      <c r="C4009" s="149">
        <v>11</v>
      </c>
      <c r="D4009" s="149">
        <v>350</v>
      </c>
      <c r="E4009" s="149">
        <v>0</v>
      </c>
      <c r="F4009" s="149">
        <v>130500</v>
      </c>
      <c r="G4009" s="149">
        <v>53110</v>
      </c>
      <c r="H4009" s="150" t="str">
        <f t="shared" si="186"/>
        <v>5</v>
      </c>
      <c r="I4009" s="150" t="str">
        <f t="shared" si="187"/>
        <v>53</v>
      </c>
      <c r="J4009" s="150" t="str">
        <f t="shared" si="188"/>
        <v>531</v>
      </c>
      <c r="K4009" s="150" t="s">
        <v>9120</v>
      </c>
      <c r="L4009" s="149" t="s">
        <v>293</v>
      </c>
      <c r="M4009" s="151">
        <v>40102.92</v>
      </c>
    </row>
    <row r="4010" spans="1:13" s="149" customFormat="1" x14ac:dyDescent="0.25">
      <c r="A4010" s="149" t="s">
        <v>7640</v>
      </c>
      <c r="B4010" s="149" t="s">
        <v>2140</v>
      </c>
      <c r="C4010" s="149">
        <v>11</v>
      </c>
      <c r="D4010" s="149">
        <v>350</v>
      </c>
      <c r="E4010" s="149">
        <v>0</v>
      </c>
      <c r="F4010" s="149">
        <v>130500</v>
      </c>
      <c r="G4010" s="149">
        <v>53210</v>
      </c>
      <c r="H4010" s="150" t="str">
        <f t="shared" si="186"/>
        <v>5</v>
      </c>
      <c r="I4010" s="150" t="str">
        <f t="shared" si="187"/>
        <v>53</v>
      </c>
      <c r="J4010" s="150" t="str">
        <f t="shared" si="188"/>
        <v>532</v>
      </c>
      <c r="K4010" s="150" t="s">
        <v>9121</v>
      </c>
      <c r="L4010" s="149" t="s">
        <v>1262</v>
      </c>
      <c r="M4010" s="151">
        <v>3532.95</v>
      </c>
    </row>
    <row r="4011" spans="1:13" s="149" customFormat="1" x14ac:dyDescent="0.25">
      <c r="A4011" s="149" t="s">
        <v>7640</v>
      </c>
      <c r="B4011" s="149" t="s">
        <v>2141</v>
      </c>
      <c r="C4011" s="149">
        <v>11</v>
      </c>
      <c r="D4011" s="149">
        <v>350</v>
      </c>
      <c r="E4011" s="149">
        <v>0</v>
      </c>
      <c r="F4011" s="149">
        <v>130500</v>
      </c>
      <c r="G4011" s="149">
        <v>53310</v>
      </c>
      <c r="H4011" s="150" t="str">
        <f t="shared" si="186"/>
        <v>5</v>
      </c>
      <c r="I4011" s="150" t="str">
        <f t="shared" si="187"/>
        <v>53</v>
      </c>
      <c r="J4011" s="150" t="str">
        <f t="shared" si="188"/>
        <v>533</v>
      </c>
      <c r="K4011" s="150" t="s">
        <v>9122</v>
      </c>
      <c r="L4011" s="149" t="s">
        <v>295</v>
      </c>
      <c r="M4011" s="151">
        <v>1168.06</v>
      </c>
    </row>
    <row r="4012" spans="1:13" s="149" customFormat="1" x14ac:dyDescent="0.25">
      <c r="A4012" s="149" t="s">
        <v>7640</v>
      </c>
      <c r="B4012" s="149" t="s">
        <v>2142</v>
      </c>
      <c r="C4012" s="149">
        <v>11</v>
      </c>
      <c r="D4012" s="149">
        <v>350</v>
      </c>
      <c r="E4012" s="149">
        <v>0</v>
      </c>
      <c r="F4012" s="149">
        <v>130500</v>
      </c>
      <c r="G4012" s="149">
        <v>53330</v>
      </c>
      <c r="H4012" s="150" t="str">
        <f t="shared" si="186"/>
        <v>5</v>
      </c>
      <c r="I4012" s="150" t="str">
        <f t="shared" si="187"/>
        <v>53</v>
      </c>
      <c r="J4012" s="150" t="str">
        <f t="shared" si="188"/>
        <v>533</v>
      </c>
      <c r="K4012" s="150" t="s">
        <v>9123</v>
      </c>
      <c r="L4012" s="149" t="s">
        <v>297</v>
      </c>
      <c r="M4012" s="151">
        <v>3855.12</v>
      </c>
    </row>
    <row r="4013" spans="1:13" s="149" customFormat="1" x14ac:dyDescent="0.25">
      <c r="A4013" s="149" t="s">
        <v>7640</v>
      </c>
      <c r="B4013" s="149" t="s">
        <v>2143</v>
      </c>
      <c r="C4013" s="149">
        <v>11</v>
      </c>
      <c r="D4013" s="149">
        <v>350</v>
      </c>
      <c r="E4013" s="149">
        <v>0</v>
      </c>
      <c r="F4013" s="149">
        <v>130500</v>
      </c>
      <c r="G4013" s="149">
        <v>53410</v>
      </c>
      <c r="H4013" s="150" t="str">
        <f t="shared" si="186"/>
        <v>5</v>
      </c>
      <c r="I4013" s="150" t="str">
        <f t="shared" si="187"/>
        <v>53</v>
      </c>
      <c r="J4013" s="150" t="str">
        <f t="shared" si="188"/>
        <v>534</v>
      </c>
      <c r="K4013" s="150" t="s">
        <v>9124</v>
      </c>
      <c r="L4013" s="149" t="s">
        <v>2144</v>
      </c>
      <c r="M4013" s="151">
        <v>53266.52</v>
      </c>
    </row>
    <row r="4014" spans="1:13" s="149" customFormat="1" x14ac:dyDescent="0.25">
      <c r="A4014" s="149" t="s">
        <v>7640</v>
      </c>
      <c r="B4014" s="149" t="s">
        <v>2145</v>
      </c>
      <c r="C4014" s="149">
        <v>11</v>
      </c>
      <c r="D4014" s="149">
        <v>350</v>
      </c>
      <c r="E4014" s="149">
        <v>0</v>
      </c>
      <c r="F4014" s="149">
        <v>130500</v>
      </c>
      <c r="G4014" s="149">
        <v>53510</v>
      </c>
      <c r="H4014" s="150" t="str">
        <f t="shared" si="186"/>
        <v>5</v>
      </c>
      <c r="I4014" s="150" t="str">
        <f t="shared" si="187"/>
        <v>53</v>
      </c>
      <c r="J4014" s="150" t="str">
        <f t="shared" si="188"/>
        <v>535</v>
      </c>
      <c r="K4014" s="150" t="s">
        <v>9125</v>
      </c>
      <c r="L4014" s="149" t="s">
        <v>299</v>
      </c>
      <c r="M4014" s="151">
        <v>133.52000000000001</v>
      </c>
    </row>
    <row r="4015" spans="1:13" s="149" customFormat="1" x14ac:dyDescent="0.25">
      <c r="A4015" s="149" t="s">
        <v>7640</v>
      </c>
      <c r="B4015" s="149" t="s">
        <v>2146</v>
      </c>
      <c r="C4015" s="149">
        <v>11</v>
      </c>
      <c r="D4015" s="149">
        <v>350</v>
      </c>
      <c r="E4015" s="149">
        <v>0</v>
      </c>
      <c r="F4015" s="149">
        <v>130500</v>
      </c>
      <c r="G4015" s="149">
        <v>53610</v>
      </c>
      <c r="H4015" s="150" t="str">
        <f t="shared" si="186"/>
        <v>5</v>
      </c>
      <c r="I4015" s="150" t="str">
        <f t="shared" si="187"/>
        <v>53</v>
      </c>
      <c r="J4015" s="150" t="str">
        <f t="shared" si="188"/>
        <v>536</v>
      </c>
      <c r="K4015" s="150" t="s">
        <v>9126</v>
      </c>
      <c r="L4015" s="149" t="s">
        <v>301</v>
      </c>
      <c r="M4015" s="151">
        <v>5055.53</v>
      </c>
    </row>
    <row r="4016" spans="1:13" s="149" customFormat="1" x14ac:dyDescent="0.25">
      <c r="A4016" s="149" t="s">
        <v>7640</v>
      </c>
      <c r="B4016" s="149" t="s">
        <v>2147</v>
      </c>
      <c r="C4016" s="149">
        <v>11</v>
      </c>
      <c r="D4016" s="149">
        <v>350</v>
      </c>
      <c r="E4016" s="149">
        <v>0</v>
      </c>
      <c r="F4016" s="149">
        <v>130500</v>
      </c>
      <c r="G4016" s="149">
        <v>55630</v>
      </c>
      <c r="H4016" s="150" t="str">
        <f t="shared" si="186"/>
        <v>5</v>
      </c>
      <c r="I4016" s="150" t="str">
        <f t="shared" si="187"/>
        <v>55</v>
      </c>
      <c r="J4016" s="150" t="str">
        <f t="shared" si="188"/>
        <v>556</v>
      </c>
      <c r="K4016" s="150" t="s">
        <v>8238</v>
      </c>
      <c r="L4016" s="149" t="s">
        <v>1268</v>
      </c>
      <c r="M4016" s="151">
        <v>0</v>
      </c>
    </row>
    <row r="4017" spans="1:13" s="149" customFormat="1" x14ac:dyDescent="0.25">
      <c r="A4017" s="149" t="s">
        <v>7640</v>
      </c>
      <c r="B4017" s="149" t="s">
        <v>2148</v>
      </c>
      <c r="C4017" s="149">
        <v>11</v>
      </c>
      <c r="D4017" s="149">
        <v>350</v>
      </c>
      <c r="E4017" s="149">
        <v>0</v>
      </c>
      <c r="F4017" s="149">
        <v>210440</v>
      </c>
      <c r="G4017" s="149">
        <v>51100</v>
      </c>
      <c r="H4017" s="150" t="str">
        <f t="shared" si="186"/>
        <v>5</v>
      </c>
      <c r="I4017" s="150" t="str">
        <f t="shared" si="187"/>
        <v>51</v>
      </c>
      <c r="J4017" s="150" t="str">
        <f t="shared" si="188"/>
        <v>511</v>
      </c>
      <c r="K4017" s="150" t="s">
        <v>9127</v>
      </c>
      <c r="L4017" s="149" t="s">
        <v>1326</v>
      </c>
      <c r="M4017" s="151">
        <v>69454.83</v>
      </c>
    </row>
    <row r="4018" spans="1:13" s="149" customFormat="1" x14ac:dyDescent="0.25">
      <c r="A4018" s="149" t="s">
        <v>7640</v>
      </c>
      <c r="B4018" s="149" t="s">
        <v>2149</v>
      </c>
      <c r="C4018" s="149">
        <v>11</v>
      </c>
      <c r="D4018" s="149">
        <v>350</v>
      </c>
      <c r="E4018" s="149">
        <v>0</v>
      </c>
      <c r="F4018" s="149">
        <v>210440</v>
      </c>
      <c r="G4018" s="149">
        <v>51310</v>
      </c>
      <c r="H4018" s="150" t="str">
        <f t="shared" si="186"/>
        <v>5</v>
      </c>
      <c r="I4018" s="150" t="str">
        <f t="shared" si="187"/>
        <v>51</v>
      </c>
      <c r="J4018" s="150" t="str">
        <f t="shared" si="188"/>
        <v>513</v>
      </c>
      <c r="K4018" s="150" t="s">
        <v>7678</v>
      </c>
      <c r="L4018" s="149" t="s">
        <v>2150</v>
      </c>
      <c r="M4018" s="151">
        <v>2291.62</v>
      </c>
    </row>
    <row r="4019" spans="1:13" s="149" customFormat="1" x14ac:dyDescent="0.25">
      <c r="A4019" s="149" t="s">
        <v>7640</v>
      </c>
      <c r="B4019" s="149" t="s">
        <v>2151</v>
      </c>
      <c r="C4019" s="149">
        <v>11</v>
      </c>
      <c r="D4019" s="149">
        <v>350</v>
      </c>
      <c r="E4019" s="149">
        <v>0</v>
      </c>
      <c r="F4019" s="149">
        <v>210440</v>
      </c>
      <c r="G4019" s="149">
        <v>51311</v>
      </c>
      <c r="H4019" s="150" t="str">
        <f t="shared" si="186"/>
        <v>5</v>
      </c>
      <c r="I4019" s="150" t="str">
        <f t="shared" si="187"/>
        <v>51</v>
      </c>
      <c r="J4019" s="150" t="str">
        <f t="shared" si="188"/>
        <v>513</v>
      </c>
      <c r="K4019" s="150" t="s">
        <v>7755</v>
      </c>
      <c r="L4019" s="149" t="s">
        <v>2152</v>
      </c>
      <c r="M4019" s="151">
        <v>0</v>
      </c>
    </row>
    <row r="4020" spans="1:13" s="149" customFormat="1" x14ac:dyDescent="0.25">
      <c r="A4020" s="149" t="s">
        <v>7640</v>
      </c>
      <c r="B4020" s="149" t="s">
        <v>2153</v>
      </c>
      <c r="C4020" s="149">
        <v>11</v>
      </c>
      <c r="D4020" s="149">
        <v>350</v>
      </c>
      <c r="E4020" s="149">
        <v>0</v>
      </c>
      <c r="F4020" s="149">
        <v>210440</v>
      </c>
      <c r="G4020" s="149">
        <v>51412</v>
      </c>
      <c r="H4020" s="150" t="str">
        <f t="shared" si="186"/>
        <v>5</v>
      </c>
      <c r="I4020" s="150" t="str">
        <f t="shared" si="187"/>
        <v>51</v>
      </c>
      <c r="J4020" s="150" t="str">
        <f t="shared" si="188"/>
        <v>514</v>
      </c>
      <c r="K4020" s="150" t="s">
        <v>7794</v>
      </c>
      <c r="L4020" s="149" t="s">
        <v>2154</v>
      </c>
      <c r="M4020" s="151">
        <v>0</v>
      </c>
    </row>
    <row r="4021" spans="1:13" s="149" customFormat="1" x14ac:dyDescent="0.25">
      <c r="A4021" s="149" t="s">
        <v>7640</v>
      </c>
      <c r="B4021" s="149" t="s">
        <v>2155</v>
      </c>
      <c r="C4021" s="149">
        <v>11</v>
      </c>
      <c r="D4021" s="149">
        <v>350</v>
      </c>
      <c r="E4021" s="149">
        <v>0</v>
      </c>
      <c r="F4021" s="149">
        <v>210440</v>
      </c>
      <c r="G4021" s="149">
        <v>53110</v>
      </c>
      <c r="H4021" s="150" t="str">
        <f t="shared" si="186"/>
        <v>5</v>
      </c>
      <c r="I4021" s="150" t="str">
        <f t="shared" si="187"/>
        <v>53</v>
      </c>
      <c r="J4021" s="150" t="str">
        <f t="shared" si="188"/>
        <v>531</v>
      </c>
      <c r="K4021" s="150" t="s">
        <v>9128</v>
      </c>
      <c r="L4021" s="149" t="s">
        <v>1328</v>
      </c>
      <c r="M4021" s="151">
        <v>11587.07</v>
      </c>
    </row>
    <row r="4022" spans="1:13" s="149" customFormat="1" x14ac:dyDescent="0.25">
      <c r="A4022" s="149" t="s">
        <v>7640</v>
      </c>
      <c r="B4022" s="149" t="s">
        <v>2156</v>
      </c>
      <c r="C4022" s="149">
        <v>11</v>
      </c>
      <c r="D4022" s="149">
        <v>350</v>
      </c>
      <c r="E4022" s="149">
        <v>0</v>
      </c>
      <c r="F4022" s="149">
        <v>210440</v>
      </c>
      <c r="G4022" s="149">
        <v>53120</v>
      </c>
      <c r="H4022" s="150" t="str">
        <f t="shared" si="186"/>
        <v>5</v>
      </c>
      <c r="I4022" s="150" t="str">
        <f t="shared" si="187"/>
        <v>53</v>
      </c>
      <c r="J4022" s="150" t="str">
        <f t="shared" si="188"/>
        <v>531</v>
      </c>
      <c r="K4022" s="150" t="s">
        <v>9129</v>
      </c>
      <c r="L4022" s="149" t="s">
        <v>2157</v>
      </c>
      <c r="M4022" s="151">
        <v>0</v>
      </c>
    </row>
    <row r="4023" spans="1:13" s="149" customFormat="1" x14ac:dyDescent="0.25">
      <c r="A4023" s="149" t="s">
        <v>7640</v>
      </c>
      <c r="B4023" s="149" t="s">
        <v>2158</v>
      </c>
      <c r="C4023" s="149">
        <v>11</v>
      </c>
      <c r="D4023" s="149">
        <v>350</v>
      </c>
      <c r="E4023" s="149">
        <v>0</v>
      </c>
      <c r="F4023" s="149">
        <v>210440</v>
      </c>
      <c r="G4023" s="149">
        <v>53330</v>
      </c>
      <c r="H4023" s="150" t="str">
        <f t="shared" si="186"/>
        <v>5</v>
      </c>
      <c r="I4023" s="150" t="str">
        <f t="shared" si="187"/>
        <v>53</v>
      </c>
      <c r="J4023" s="150" t="str">
        <f t="shared" si="188"/>
        <v>533</v>
      </c>
      <c r="K4023" s="150" t="s">
        <v>9130</v>
      </c>
      <c r="L4023" s="149" t="s">
        <v>1330</v>
      </c>
      <c r="M4023" s="151">
        <v>1041.07</v>
      </c>
    </row>
    <row r="4024" spans="1:13" s="149" customFormat="1" x14ac:dyDescent="0.25">
      <c r="A4024" s="149" t="s">
        <v>7640</v>
      </c>
      <c r="B4024" s="149" t="s">
        <v>2159</v>
      </c>
      <c r="C4024" s="149">
        <v>11</v>
      </c>
      <c r="D4024" s="149">
        <v>350</v>
      </c>
      <c r="E4024" s="149">
        <v>0</v>
      </c>
      <c r="F4024" s="149">
        <v>210440</v>
      </c>
      <c r="G4024" s="149">
        <v>53340</v>
      </c>
      <c r="H4024" s="150" t="str">
        <f t="shared" si="186"/>
        <v>5</v>
      </c>
      <c r="I4024" s="150" t="str">
        <f t="shared" si="187"/>
        <v>53</v>
      </c>
      <c r="J4024" s="150" t="str">
        <f t="shared" si="188"/>
        <v>533</v>
      </c>
      <c r="K4024" s="150" t="s">
        <v>9131</v>
      </c>
      <c r="L4024" s="149" t="s">
        <v>2160</v>
      </c>
      <c r="M4024" s="151">
        <v>0</v>
      </c>
    </row>
    <row r="4025" spans="1:13" s="149" customFormat="1" x14ac:dyDescent="0.25">
      <c r="A4025" s="149" t="s">
        <v>7640</v>
      </c>
      <c r="B4025" s="149" t="s">
        <v>2161</v>
      </c>
      <c r="C4025" s="149">
        <v>11</v>
      </c>
      <c r="D4025" s="149">
        <v>350</v>
      </c>
      <c r="E4025" s="149">
        <v>0</v>
      </c>
      <c r="F4025" s="149">
        <v>210440</v>
      </c>
      <c r="G4025" s="149">
        <v>53410</v>
      </c>
      <c r="H4025" s="150" t="str">
        <f t="shared" si="186"/>
        <v>5</v>
      </c>
      <c r="I4025" s="150" t="str">
        <f t="shared" si="187"/>
        <v>53</v>
      </c>
      <c r="J4025" s="150" t="str">
        <f t="shared" si="188"/>
        <v>534</v>
      </c>
      <c r="K4025" s="150" t="s">
        <v>9132</v>
      </c>
      <c r="L4025" s="149" t="s">
        <v>1332</v>
      </c>
      <c r="M4025" s="151">
        <v>10424.84</v>
      </c>
    </row>
    <row r="4026" spans="1:13" s="149" customFormat="1" x14ac:dyDescent="0.25">
      <c r="A4026" s="149" t="s">
        <v>7640</v>
      </c>
      <c r="B4026" s="149" t="s">
        <v>2162</v>
      </c>
      <c r="C4026" s="149">
        <v>11</v>
      </c>
      <c r="D4026" s="149">
        <v>350</v>
      </c>
      <c r="E4026" s="149">
        <v>0</v>
      </c>
      <c r="F4026" s="149">
        <v>210440</v>
      </c>
      <c r="G4026" s="149">
        <v>53510</v>
      </c>
      <c r="H4026" s="150" t="str">
        <f t="shared" si="186"/>
        <v>5</v>
      </c>
      <c r="I4026" s="150" t="str">
        <f t="shared" si="187"/>
        <v>53</v>
      </c>
      <c r="J4026" s="150" t="str">
        <f t="shared" si="188"/>
        <v>535</v>
      </c>
      <c r="K4026" s="150" t="s">
        <v>9133</v>
      </c>
      <c r="L4026" s="149" t="s">
        <v>1334</v>
      </c>
      <c r="M4026" s="151">
        <v>35.9</v>
      </c>
    </row>
    <row r="4027" spans="1:13" s="149" customFormat="1" x14ac:dyDescent="0.25">
      <c r="A4027" s="149" t="s">
        <v>7640</v>
      </c>
      <c r="B4027" s="149" t="s">
        <v>2163</v>
      </c>
      <c r="C4027" s="149">
        <v>11</v>
      </c>
      <c r="D4027" s="149">
        <v>350</v>
      </c>
      <c r="E4027" s="149">
        <v>0</v>
      </c>
      <c r="F4027" s="149">
        <v>210440</v>
      </c>
      <c r="G4027" s="149">
        <v>53520</v>
      </c>
      <c r="H4027" s="150" t="str">
        <f t="shared" si="186"/>
        <v>5</v>
      </c>
      <c r="I4027" s="150" t="str">
        <f t="shared" si="187"/>
        <v>53</v>
      </c>
      <c r="J4027" s="150" t="str">
        <f t="shared" si="188"/>
        <v>535</v>
      </c>
      <c r="K4027" s="150" t="s">
        <v>9134</v>
      </c>
      <c r="L4027" s="149" t="s">
        <v>2164</v>
      </c>
      <c r="M4027" s="151">
        <v>0</v>
      </c>
    </row>
    <row r="4028" spans="1:13" s="149" customFormat="1" x14ac:dyDescent="0.25">
      <c r="A4028" s="149" t="s">
        <v>7640</v>
      </c>
      <c r="B4028" s="149" t="s">
        <v>2165</v>
      </c>
      <c r="C4028" s="149">
        <v>11</v>
      </c>
      <c r="D4028" s="149">
        <v>350</v>
      </c>
      <c r="E4028" s="149">
        <v>0</v>
      </c>
      <c r="F4028" s="149">
        <v>210440</v>
      </c>
      <c r="G4028" s="149">
        <v>53610</v>
      </c>
      <c r="H4028" s="150" t="str">
        <f t="shared" si="186"/>
        <v>5</v>
      </c>
      <c r="I4028" s="150" t="str">
        <f t="shared" si="187"/>
        <v>53</v>
      </c>
      <c r="J4028" s="150" t="str">
        <f t="shared" si="188"/>
        <v>536</v>
      </c>
      <c r="K4028" s="150" t="s">
        <v>9135</v>
      </c>
      <c r="L4028" s="149" t="s">
        <v>1336</v>
      </c>
      <c r="M4028" s="151">
        <v>1356.56</v>
      </c>
    </row>
    <row r="4029" spans="1:13" s="149" customFormat="1" x14ac:dyDescent="0.25">
      <c r="A4029" s="149" t="s">
        <v>7640</v>
      </c>
      <c r="B4029" s="149" t="s">
        <v>2166</v>
      </c>
      <c r="C4029" s="149">
        <v>11</v>
      </c>
      <c r="D4029" s="149">
        <v>350</v>
      </c>
      <c r="E4029" s="149">
        <v>0</v>
      </c>
      <c r="F4029" s="149">
        <v>210440</v>
      </c>
      <c r="G4029" s="149">
        <v>53620</v>
      </c>
      <c r="H4029" s="150" t="str">
        <f t="shared" si="186"/>
        <v>5</v>
      </c>
      <c r="I4029" s="150" t="str">
        <f t="shared" si="187"/>
        <v>53</v>
      </c>
      <c r="J4029" s="150" t="str">
        <f t="shared" si="188"/>
        <v>536</v>
      </c>
      <c r="K4029" s="150" t="s">
        <v>9136</v>
      </c>
      <c r="L4029" s="149" t="s">
        <v>2167</v>
      </c>
      <c r="M4029" s="151">
        <v>0</v>
      </c>
    </row>
    <row r="4030" spans="1:13" s="149" customFormat="1" x14ac:dyDescent="0.25">
      <c r="A4030" s="149" t="s">
        <v>7640</v>
      </c>
      <c r="B4030" s="149" t="s">
        <v>2168</v>
      </c>
      <c r="C4030" s="149">
        <v>11</v>
      </c>
      <c r="D4030" s="149">
        <v>350</v>
      </c>
      <c r="E4030" s="149">
        <v>0</v>
      </c>
      <c r="F4030" s="149">
        <v>210440</v>
      </c>
      <c r="G4030" s="149">
        <v>55630</v>
      </c>
      <c r="H4030" s="150" t="str">
        <f t="shared" si="186"/>
        <v>5</v>
      </c>
      <c r="I4030" s="150" t="str">
        <f t="shared" si="187"/>
        <v>55</v>
      </c>
      <c r="J4030" s="150" t="str">
        <f t="shared" si="188"/>
        <v>556</v>
      </c>
      <c r="K4030" s="150" t="s">
        <v>8239</v>
      </c>
      <c r="L4030" s="149" t="s">
        <v>1338</v>
      </c>
      <c r="M4030" s="151">
        <v>0</v>
      </c>
    </row>
    <row r="4031" spans="1:13" s="149" customFormat="1" x14ac:dyDescent="0.25">
      <c r="A4031" s="149" t="s">
        <v>7640</v>
      </c>
      <c r="B4031" s="149" t="s">
        <v>2169</v>
      </c>
      <c r="C4031" s="149">
        <v>11</v>
      </c>
      <c r="D4031" s="149">
        <v>350</v>
      </c>
      <c r="E4031" s="149">
        <v>0</v>
      </c>
      <c r="F4031" s="149">
        <v>210500</v>
      </c>
      <c r="G4031" s="149">
        <v>51100</v>
      </c>
      <c r="H4031" s="150" t="str">
        <f t="shared" si="186"/>
        <v>5</v>
      </c>
      <c r="I4031" s="150" t="str">
        <f t="shared" si="187"/>
        <v>51</v>
      </c>
      <c r="J4031" s="150" t="str">
        <f t="shared" si="188"/>
        <v>511</v>
      </c>
      <c r="K4031" s="150" t="s">
        <v>9137</v>
      </c>
      <c r="L4031" s="149" t="s">
        <v>2170</v>
      </c>
      <c r="M4031" s="151">
        <v>184050.09</v>
      </c>
    </row>
    <row r="4032" spans="1:13" s="149" customFormat="1" x14ac:dyDescent="0.25">
      <c r="A4032" s="149" t="s">
        <v>7640</v>
      </c>
      <c r="B4032" s="149" t="s">
        <v>2171</v>
      </c>
      <c r="C4032" s="149">
        <v>11</v>
      </c>
      <c r="D4032" s="149">
        <v>350</v>
      </c>
      <c r="E4032" s="149">
        <v>0</v>
      </c>
      <c r="F4032" s="149">
        <v>210500</v>
      </c>
      <c r="G4032" s="149">
        <v>51310</v>
      </c>
      <c r="H4032" s="150" t="str">
        <f t="shared" si="186"/>
        <v>5</v>
      </c>
      <c r="I4032" s="150" t="str">
        <f t="shared" si="187"/>
        <v>51</v>
      </c>
      <c r="J4032" s="150" t="str">
        <f t="shared" si="188"/>
        <v>513</v>
      </c>
      <c r="K4032" s="150" t="s">
        <v>7679</v>
      </c>
      <c r="L4032" s="149" t="s">
        <v>1340</v>
      </c>
      <c r="M4032" s="151">
        <v>8510.0400000000009</v>
      </c>
    </row>
    <row r="4033" spans="1:13" s="149" customFormat="1" x14ac:dyDescent="0.25">
      <c r="A4033" s="149" t="s">
        <v>7640</v>
      </c>
      <c r="B4033" s="149" t="s">
        <v>2172</v>
      </c>
      <c r="C4033" s="149">
        <v>11</v>
      </c>
      <c r="D4033" s="149">
        <v>350</v>
      </c>
      <c r="E4033" s="149">
        <v>0</v>
      </c>
      <c r="F4033" s="149">
        <v>210500</v>
      </c>
      <c r="G4033" s="149">
        <v>51311</v>
      </c>
      <c r="H4033" s="150" t="str">
        <f t="shared" si="186"/>
        <v>5</v>
      </c>
      <c r="I4033" s="150" t="str">
        <f t="shared" si="187"/>
        <v>51</v>
      </c>
      <c r="J4033" s="150" t="str">
        <f t="shared" si="188"/>
        <v>513</v>
      </c>
      <c r="K4033" s="150" t="s">
        <v>7756</v>
      </c>
      <c r="L4033" s="149" t="s">
        <v>375</v>
      </c>
      <c r="M4033" s="151">
        <v>104802.85</v>
      </c>
    </row>
    <row r="4034" spans="1:13" s="149" customFormat="1" x14ac:dyDescent="0.25">
      <c r="A4034" s="149" t="s">
        <v>7640</v>
      </c>
      <c r="B4034" s="149" t="s">
        <v>2173</v>
      </c>
      <c r="C4034" s="149">
        <v>11</v>
      </c>
      <c r="D4034" s="149">
        <v>350</v>
      </c>
      <c r="E4034" s="149">
        <v>0</v>
      </c>
      <c r="F4034" s="149">
        <v>210500</v>
      </c>
      <c r="G4034" s="149">
        <v>51412</v>
      </c>
      <c r="H4034" s="150" t="str">
        <f t="shared" si="186"/>
        <v>5</v>
      </c>
      <c r="I4034" s="150" t="str">
        <f t="shared" si="187"/>
        <v>51</v>
      </c>
      <c r="J4034" s="150" t="str">
        <f t="shared" si="188"/>
        <v>514</v>
      </c>
      <c r="K4034" s="150" t="s">
        <v>7795</v>
      </c>
      <c r="L4034" s="149" t="s">
        <v>2174</v>
      </c>
      <c r="M4034" s="151">
        <v>0</v>
      </c>
    </row>
    <row r="4035" spans="1:13" s="149" customFormat="1" x14ac:dyDescent="0.25">
      <c r="A4035" s="149" t="s">
        <v>7640</v>
      </c>
      <c r="B4035" s="149" t="s">
        <v>2175</v>
      </c>
      <c r="C4035" s="149">
        <v>11</v>
      </c>
      <c r="D4035" s="149">
        <v>350</v>
      </c>
      <c r="E4035" s="149">
        <v>0</v>
      </c>
      <c r="F4035" s="149">
        <v>210500</v>
      </c>
      <c r="G4035" s="149">
        <v>52360</v>
      </c>
      <c r="H4035" s="150" t="str">
        <f t="shared" ref="H4035:H4098" si="189">LEFT(G4035,1)</f>
        <v>5</v>
      </c>
      <c r="I4035" s="150" t="str">
        <f t="shared" ref="I4035:I4098" si="190">LEFT(G4035,2)</f>
        <v>52</v>
      </c>
      <c r="J4035" s="150" t="str">
        <f t="shared" ref="J4035:J4098" si="191">LEFT(G4035,3)</f>
        <v>523</v>
      </c>
      <c r="K4035" s="150" t="s">
        <v>7873</v>
      </c>
      <c r="L4035" s="149" t="s">
        <v>2176</v>
      </c>
      <c r="M4035" s="151">
        <v>0</v>
      </c>
    </row>
    <row r="4036" spans="1:13" s="149" customFormat="1" x14ac:dyDescent="0.25">
      <c r="A4036" s="149" t="s">
        <v>7640</v>
      </c>
      <c r="B4036" s="149" t="s">
        <v>2177</v>
      </c>
      <c r="C4036" s="149">
        <v>11</v>
      </c>
      <c r="D4036" s="149">
        <v>350</v>
      </c>
      <c r="E4036" s="149">
        <v>0</v>
      </c>
      <c r="F4036" s="149">
        <v>210500</v>
      </c>
      <c r="G4036" s="149">
        <v>53110</v>
      </c>
      <c r="H4036" s="150" t="str">
        <f t="shared" si="189"/>
        <v>5</v>
      </c>
      <c r="I4036" s="150" t="str">
        <f t="shared" si="190"/>
        <v>53</v>
      </c>
      <c r="J4036" s="150" t="str">
        <f t="shared" si="191"/>
        <v>531</v>
      </c>
      <c r="K4036" s="150" t="s">
        <v>9138</v>
      </c>
      <c r="L4036" s="149" t="s">
        <v>377</v>
      </c>
      <c r="M4036" s="151">
        <v>38586.35</v>
      </c>
    </row>
    <row r="4037" spans="1:13" s="149" customFormat="1" x14ac:dyDescent="0.25">
      <c r="A4037" s="149" t="s">
        <v>7640</v>
      </c>
      <c r="B4037" s="149" t="s">
        <v>2178</v>
      </c>
      <c r="C4037" s="149">
        <v>11</v>
      </c>
      <c r="D4037" s="149">
        <v>350</v>
      </c>
      <c r="E4037" s="149">
        <v>0</v>
      </c>
      <c r="F4037" s="149">
        <v>210500</v>
      </c>
      <c r="G4037" s="149">
        <v>53120</v>
      </c>
      <c r="H4037" s="150" t="str">
        <f t="shared" si="189"/>
        <v>5</v>
      </c>
      <c r="I4037" s="150" t="str">
        <f t="shared" si="190"/>
        <v>53</v>
      </c>
      <c r="J4037" s="150" t="str">
        <f t="shared" si="191"/>
        <v>531</v>
      </c>
      <c r="K4037" s="150" t="s">
        <v>9139</v>
      </c>
      <c r="L4037" s="149" t="s">
        <v>2179</v>
      </c>
      <c r="M4037" s="151">
        <v>0</v>
      </c>
    </row>
    <row r="4038" spans="1:13" s="149" customFormat="1" x14ac:dyDescent="0.25">
      <c r="A4038" s="149" t="s">
        <v>7640</v>
      </c>
      <c r="B4038" s="149" t="s">
        <v>2180</v>
      </c>
      <c r="C4038" s="149">
        <v>11</v>
      </c>
      <c r="D4038" s="149">
        <v>350</v>
      </c>
      <c r="E4038" s="149">
        <v>0</v>
      </c>
      <c r="F4038" s="149">
        <v>210500</v>
      </c>
      <c r="G4038" s="149">
        <v>53310</v>
      </c>
      <c r="H4038" s="150" t="str">
        <f t="shared" si="189"/>
        <v>5</v>
      </c>
      <c r="I4038" s="150" t="str">
        <f t="shared" si="190"/>
        <v>53</v>
      </c>
      <c r="J4038" s="150" t="str">
        <f t="shared" si="191"/>
        <v>533</v>
      </c>
      <c r="K4038" s="150" t="s">
        <v>9140</v>
      </c>
      <c r="L4038" s="149" t="s">
        <v>379</v>
      </c>
      <c r="M4038" s="151">
        <v>3623.21</v>
      </c>
    </row>
    <row r="4039" spans="1:13" s="149" customFormat="1" x14ac:dyDescent="0.25">
      <c r="A4039" s="149" t="s">
        <v>7640</v>
      </c>
      <c r="B4039" s="149" t="s">
        <v>2181</v>
      </c>
      <c r="C4039" s="149">
        <v>11</v>
      </c>
      <c r="D4039" s="149">
        <v>350</v>
      </c>
      <c r="E4039" s="149">
        <v>0</v>
      </c>
      <c r="F4039" s="149">
        <v>210500</v>
      </c>
      <c r="G4039" s="149">
        <v>53320</v>
      </c>
      <c r="H4039" s="150" t="str">
        <f t="shared" si="189"/>
        <v>5</v>
      </c>
      <c r="I4039" s="150" t="str">
        <f t="shared" si="190"/>
        <v>53</v>
      </c>
      <c r="J4039" s="150" t="str">
        <f t="shared" si="191"/>
        <v>533</v>
      </c>
      <c r="K4039" s="150" t="s">
        <v>9141</v>
      </c>
      <c r="L4039" s="149" t="s">
        <v>2182</v>
      </c>
      <c r="M4039" s="151">
        <v>0</v>
      </c>
    </row>
    <row r="4040" spans="1:13" s="149" customFormat="1" x14ac:dyDescent="0.25">
      <c r="A4040" s="149" t="s">
        <v>7640</v>
      </c>
      <c r="B4040" s="149" t="s">
        <v>2183</v>
      </c>
      <c r="C4040" s="149">
        <v>11</v>
      </c>
      <c r="D4040" s="149">
        <v>350</v>
      </c>
      <c r="E4040" s="149">
        <v>0</v>
      </c>
      <c r="F4040" s="149">
        <v>210500</v>
      </c>
      <c r="G4040" s="149">
        <v>53330</v>
      </c>
      <c r="H4040" s="150" t="str">
        <f t="shared" si="189"/>
        <v>5</v>
      </c>
      <c r="I4040" s="150" t="str">
        <f t="shared" si="190"/>
        <v>53</v>
      </c>
      <c r="J4040" s="150" t="str">
        <f t="shared" si="191"/>
        <v>533</v>
      </c>
      <c r="K4040" s="150" t="s">
        <v>9142</v>
      </c>
      <c r="L4040" s="149" t="s">
        <v>381</v>
      </c>
      <c r="M4040" s="151">
        <v>4292.01</v>
      </c>
    </row>
    <row r="4041" spans="1:13" s="149" customFormat="1" x14ac:dyDescent="0.25">
      <c r="A4041" s="149" t="s">
        <v>7640</v>
      </c>
      <c r="B4041" s="149" t="s">
        <v>2184</v>
      </c>
      <c r="C4041" s="149">
        <v>11</v>
      </c>
      <c r="D4041" s="149">
        <v>350</v>
      </c>
      <c r="E4041" s="149">
        <v>0</v>
      </c>
      <c r="F4041" s="149">
        <v>210500</v>
      </c>
      <c r="G4041" s="149">
        <v>53340</v>
      </c>
      <c r="H4041" s="150" t="str">
        <f t="shared" si="189"/>
        <v>5</v>
      </c>
      <c r="I4041" s="150" t="str">
        <f t="shared" si="190"/>
        <v>53</v>
      </c>
      <c r="J4041" s="150" t="str">
        <f t="shared" si="191"/>
        <v>533</v>
      </c>
      <c r="K4041" s="150" t="s">
        <v>9143</v>
      </c>
      <c r="L4041" s="149" t="s">
        <v>2185</v>
      </c>
      <c r="M4041" s="151">
        <v>0</v>
      </c>
    </row>
    <row r="4042" spans="1:13" s="149" customFormat="1" x14ac:dyDescent="0.25">
      <c r="A4042" s="149" t="s">
        <v>7640</v>
      </c>
      <c r="B4042" s="149" t="s">
        <v>2186</v>
      </c>
      <c r="C4042" s="149">
        <v>11</v>
      </c>
      <c r="D4042" s="149">
        <v>350</v>
      </c>
      <c r="E4042" s="149">
        <v>0</v>
      </c>
      <c r="F4042" s="149">
        <v>210500</v>
      </c>
      <c r="G4042" s="149">
        <v>53410</v>
      </c>
      <c r="H4042" s="150" t="str">
        <f t="shared" si="189"/>
        <v>5</v>
      </c>
      <c r="I4042" s="150" t="str">
        <f t="shared" si="190"/>
        <v>53</v>
      </c>
      <c r="J4042" s="150" t="str">
        <f t="shared" si="191"/>
        <v>534</v>
      </c>
      <c r="K4042" s="150" t="s">
        <v>9144</v>
      </c>
      <c r="L4042" s="149" t="s">
        <v>2187</v>
      </c>
      <c r="M4042" s="151">
        <v>46984.75</v>
      </c>
    </row>
    <row r="4043" spans="1:13" s="149" customFormat="1" x14ac:dyDescent="0.25">
      <c r="A4043" s="149" t="s">
        <v>7640</v>
      </c>
      <c r="B4043" s="149" t="s">
        <v>2188</v>
      </c>
      <c r="C4043" s="149">
        <v>11</v>
      </c>
      <c r="D4043" s="149">
        <v>350</v>
      </c>
      <c r="E4043" s="149">
        <v>0</v>
      </c>
      <c r="F4043" s="149">
        <v>210500</v>
      </c>
      <c r="G4043" s="149">
        <v>53510</v>
      </c>
      <c r="H4043" s="150" t="str">
        <f t="shared" si="189"/>
        <v>5</v>
      </c>
      <c r="I4043" s="150" t="str">
        <f t="shared" si="190"/>
        <v>53</v>
      </c>
      <c r="J4043" s="150" t="str">
        <f t="shared" si="191"/>
        <v>535</v>
      </c>
      <c r="K4043" s="150" t="s">
        <v>9145</v>
      </c>
      <c r="L4043" s="149" t="s">
        <v>383</v>
      </c>
      <c r="M4043" s="151">
        <v>148.69</v>
      </c>
    </row>
    <row r="4044" spans="1:13" s="149" customFormat="1" x14ac:dyDescent="0.25">
      <c r="A4044" s="149" t="s">
        <v>7640</v>
      </c>
      <c r="B4044" s="149" t="s">
        <v>2189</v>
      </c>
      <c r="C4044" s="149">
        <v>11</v>
      </c>
      <c r="D4044" s="149">
        <v>350</v>
      </c>
      <c r="E4044" s="149">
        <v>0</v>
      </c>
      <c r="F4044" s="149">
        <v>210500</v>
      </c>
      <c r="G4044" s="149">
        <v>53520</v>
      </c>
      <c r="H4044" s="150" t="str">
        <f t="shared" si="189"/>
        <v>5</v>
      </c>
      <c r="I4044" s="150" t="str">
        <f t="shared" si="190"/>
        <v>53</v>
      </c>
      <c r="J4044" s="150" t="str">
        <f t="shared" si="191"/>
        <v>535</v>
      </c>
      <c r="K4044" s="150" t="s">
        <v>9146</v>
      </c>
      <c r="L4044" s="149" t="s">
        <v>2190</v>
      </c>
      <c r="M4044" s="151">
        <v>0</v>
      </c>
    </row>
    <row r="4045" spans="1:13" s="149" customFormat="1" x14ac:dyDescent="0.25">
      <c r="A4045" s="149" t="s">
        <v>7640</v>
      </c>
      <c r="B4045" s="149" t="s">
        <v>2191</v>
      </c>
      <c r="C4045" s="149">
        <v>11</v>
      </c>
      <c r="D4045" s="149">
        <v>350</v>
      </c>
      <c r="E4045" s="149">
        <v>0</v>
      </c>
      <c r="F4045" s="149">
        <v>210500</v>
      </c>
      <c r="G4045" s="149">
        <v>53610</v>
      </c>
      <c r="H4045" s="150" t="str">
        <f t="shared" si="189"/>
        <v>5</v>
      </c>
      <c r="I4045" s="150" t="str">
        <f t="shared" si="190"/>
        <v>53</v>
      </c>
      <c r="J4045" s="150" t="str">
        <f t="shared" si="191"/>
        <v>536</v>
      </c>
      <c r="K4045" s="150" t="s">
        <v>9147</v>
      </c>
      <c r="L4045" s="149" t="s">
        <v>385</v>
      </c>
      <c r="M4045" s="151">
        <v>5622.68</v>
      </c>
    </row>
    <row r="4046" spans="1:13" s="149" customFormat="1" x14ac:dyDescent="0.25">
      <c r="A4046" s="149" t="s">
        <v>7640</v>
      </c>
      <c r="B4046" s="149" t="s">
        <v>2192</v>
      </c>
      <c r="C4046" s="149">
        <v>11</v>
      </c>
      <c r="D4046" s="149">
        <v>350</v>
      </c>
      <c r="E4046" s="149">
        <v>0</v>
      </c>
      <c r="F4046" s="149">
        <v>210500</v>
      </c>
      <c r="G4046" s="149">
        <v>53620</v>
      </c>
      <c r="H4046" s="150" t="str">
        <f t="shared" si="189"/>
        <v>5</v>
      </c>
      <c r="I4046" s="150" t="str">
        <f t="shared" si="190"/>
        <v>53</v>
      </c>
      <c r="J4046" s="150" t="str">
        <f t="shared" si="191"/>
        <v>536</v>
      </c>
      <c r="K4046" s="150" t="s">
        <v>9148</v>
      </c>
      <c r="L4046" s="149" t="s">
        <v>2193</v>
      </c>
      <c r="M4046" s="151">
        <v>0</v>
      </c>
    </row>
    <row r="4047" spans="1:13" s="149" customFormat="1" x14ac:dyDescent="0.25">
      <c r="A4047" s="149" t="s">
        <v>7640</v>
      </c>
      <c r="B4047" s="149" t="s">
        <v>2194</v>
      </c>
      <c r="C4047" s="149">
        <v>11</v>
      </c>
      <c r="D4047" s="149">
        <v>350</v>
      </c>
      <c r="E4047" s="149">
        <v>0</v>
      </c>
      <c r="F4047" s="149">
        <v>210500</v>
      </c>
      <c r="G4047" s="149">
        <v>55309</v>
      </c>
      <c r="H4047" s="150" t="str">
        <f t="shared" si="189"/>
        <v>5</v>
      </c>
      <c r="I4047" s="150" t="str">
        <f t="shared" si="190"/>
        <v>55</v>
      </c>
      <c r="J4047" s="150" t="str">
        <f t="shared" si="191"/>
        <v>553</v>
      </c>
      <c r="K4047" s="150" t="s">
        <v>8108</v>
      </c>
      <c r="L4047" s="149" t="s">
        <v>2195</v>
      </c>
      <c r="M4047" s="151">
        <v>0</v>
      </c>
    </row>
    <row r="4048" spans="1:13" s="149" customFormat="1" x14ac:dyDescent="0.25">
      <c r="A4048" s="149" t="s">
        <v>7640</v>
      </c>
      <c r="B4048" s="149" t="s">
        <v>2196</v>
      </c>
      <c r="C4048" s="149">
        <v>11</v>
      </c>
      <c r="D4048" s="149">
        <v>350</v>
      </c>
      <c r="E4048" s="149">
        <v>0</v>
      </c>
      <c r="F4048" s="149">
        <v>210500</v>
      </c>
      <c r="G4048" s="149">
        <v>55630</v>
      </c>
      <c r="H4048" s="150" t="str">
        <f t="shared" si="189"/>
        <v>5</v>
      </c>
      <c r="I4048" s="150" t="str">
        <f t="shared" si="190"/>
        <v>55</v>
      </c>
      <c r="J4048" s="150" t="str">
        <f t="shared" si="191"/>
        <v>556</v>
      </c>
      <c r="K4048" s="150" t="s">
        <v>8240</v>
      </c>
      <c r="L4048" s="149" t="s">
        <v>387</v>
      </c>
      <c r="M4048" s="151">
        <v>0</v>
      </c>
    </row>
    <row r="4049" spans="1:13" s="149" customFormat="1" x14ac:dyDescent="0.25">
      <c r="A4049" s="149" t="s">
        <v>7640</v>
      </c>
      <c r="B4049" s="149" t="s">
        <v>2197</v>
      </c>
      <c r="C4049" s="149">
        <v>11</v>
      </c>
      <c r="D4049" s="149">
        <v>350</v>
      </c>
      <c r="E4049" s="149">
        <v>0</v>
      </c>
      <c r="F4049" s="149">
        <v>601000</v>
      </c>
      <c r="G4049" s="149">
        <v>51210</v>
      </c>
      <c r="H4049" s="150" t="str">
        <f t="shared" si="189"/>
        <v>5</v>
      </c>
      <c r="I4049" s="150" t="str">
        <f t="shared" si="190"/>
        <v>51</v>
      </c>
      <c r="J4049" s="150" t="str">
        <f t="shared" si="191"/>
        <v>512</v>
      </c>
      <c r="K4049" s="150" t="s">
        <v>9149</v>
      </c>
      <c r="L4049" s="149" t="s">
        <v>477</v>
      </c>
      <c r="M4049" s="151">
        <v>18105.18</v>
      </c>
    </row>
    <row r="4050" spans="1:13" s="149" customFormat="1" x14ac:dyDescent="0.25">
      <c r="A4050" s="149" t="s">
        <v>7640</v>
      </c>
      <c r="B4050" s="149" t="s">
        <v>2198</v>
      </c>
      <c r="C4050" s="149">
        <v>11</v>
      </c>
      <c r="D4050" s="149">
        <v>350</v>
      </c>
      <c r="E4050" s="149">
        <v>0</v>
      </c>
      <c r="F4050" s="149">
        <v>601000</v>
      </c>
      <c r="G4050" s="149">
        <v>52105</v>
      </c>
      <c r="H4050" s="150" t="str">
        <f t="shared" si="189"/>
        <v>5</v>
      </c>
      <c r="I4050" s="150" t="str">
        <f t="shared" si="190"/>
        <v>52</v>
      </c>
      <c r="J4050" s="150" t="str">
        <f t="shared" si="191"/>
        <v>521</v>
      </c>
      <c r="K4050" s="150" t="s">
        <v>9150</v>
      </c>
      <c r="L4050" s="149" t="s">
        <v>481</v>
      </c>
      <c r="M4050" s="151">
        <v>4507.13</v>
      </c>
    </row>
    <row r="4051" spans="1:13" s="149" customFormat="1" x14ac:dyDescent="0.25">
      <c r="A4051" s="149" t="s">
        <v>7640</v>
      </c>
      <c r="B4051" s="149" t="s">
        <v>2199</v>
      </c>
      <c r="C4051" s="149">
        <v>11</v>
      </c>
      <c r="D4051" s="149">
        <v>350</v>
      </c>
      <c r="E4051" s="149">
        <v>0</v>
      </c>
      <c r="F4051" s="149">
        <v>601000</v>
      </c>
      <c r="G4051" s="149">
        <v>52360</v>
      </c>
      <c r="H4051" s="150" t="str">
        <f t="shared" si="189"/>
        <v>5</v>
      </c>
      <c r="I4051" s="150" t="str">
        <f t="shared" si="190"/>
        <v>52</v>
      </c>
      <c r="J4051" s="150" t="str">
        <f t="shared" si="191"/>
        <v>523</v>
      </c>
      <c r="K4051" s="150" t="s">
        <v>7874</v>
      </c>
      <c r="L4051" s="149" t="s">
        <v>1008</v>
      </c>
      <c r="M4051" s="151">
        <v>0</v>
      </c>
    </row>
    <row r="4052" spans="1:13" s="149" customFormat="1" x14ac:dyDescent="0.25">
      <c r="A4052" s="149" t="s">
        <v>7640</v>
      </c>
      <c r="B4052" s="149" t="s">
        <v>2200</v>
      </c>
      <c r="C4052" s="149">
        <v>11</v>
      </c>
      <c r="D4052" s="149">
        <v>350</v>
      </c>
      <c r="E4052" s="149">
        <v>0</v>
      </c>
      <c r="F4052" s="149">
        <v>601000</v>
      </c>
      <c r="G4052" s="149">
        <v>53120</v>
      </c>
      <c r="H4052" s="150" t="str">
        <f t="shared" si="189"/>
        <v>5</v>
      </c>
      <c r="I4052" s="150" t="str">
        <f t="shared" si="190"/>
        <v>53</v>
      </c>
      <c r="J4052" s="150" t="str">
        <f t="shared" si="191"/>
        <v>531</v>
      </c>
      <c r="K4052" s="150" t="s">
        <v>9151</v>
      </c>
      <c r="L4052" s="149" t="s">
        <v>485</v>
      </c>
      <c r="M4052" s="151">
        <v>2923.98</v>
      </c>
    </row>
    <row r="4053" spans="1:13" s="149" customFormat="1" x14ac:dyDescent="0.25">
      <c r="A4053" s="149" t="s">
        <v>7640</v>
      </c>
      <c r="B4053" s="149" t="s">
        <v>2201</v>
      </c>
      <c r="C4053" s="149">
        <v>11</v>
      </c>
      <c r="D4053" s="149">
        <v>350</v>
      </c>
      <c r="E4053" s="149">
        <v>0</v>
      </c>
      <c r="F4053" s="149">
        <v>601000</v>
      </c>
      <c r="G4053" s="149">
        <v>53220</v>
      </c>
      <c r="H4053" s="150" t="str">
        <f t="shared" si="189"/>
        <v>5</v>
      </c>
      <c r="I4053" s="150" t="str">
        <f t="shared" si="190"/>
        <v>53</v>
      </c>
      <c r="J4053" s="150" t="str">
        <f t="shared" si="191"/>
        <v>532</v>
      </c>
      <c r="K4053" s="150" t="s">
        <v>9152</v>
      </c>
      <c r="L4053" s="149" t="s">
        <v>487</v>
      </c>
      <c r="M4053" s="151">
        <v>932.46</v>
      </c>
    </row>
    <row r="4054" spans="1:13" s="149" customFormat="1" x14ac:dyDescent="0.25">
      <c r="A4054" s="149" t="s">
        <v>7640</v>
      </c>
      <c r="B4054" s="149" t="s">
        <v>2202</v>
      </c>
      <c r="C4054" s="149">
        <v>11</v>
      </c>
      <c r="D4054" s="149">
        <v>350</v>
      </c>
      <c r="E4054" s="149">
        <v>0</v>
      </c>
      <c r="F4054" s="149">
        <v>601000</v>
      </c>
      <c r="G4054" s="149">
        <v>53320</v>
      </c>
      <c r="H4054" s="150" t="str">
        <f t="shared" si="189"/>
        <v>5</v>
      </c>
      <c r="I4054" s="150" t="str">
        <f t="shared" si="190"/>
        <v>53</v>
      </c>
      <c r="J4054" s="150" t="str">
        <f t="shared" si="191"/>
        <v>533</v>
      </c>
      <c r="K4054" s="150" t="s">
        <v>9153</v>
      </c>
      <c r="L4054" s="149" t="s">
        <v>489</v>
      </c>
      <c r="M4054" s="151">
        <v>268.39</v>
      </c>
    </row>
    <row r="4055" spans="1:13" s="149" customFormat="1" x14ac:dyDescent="0.25">
      <c r="A4055" s="149" t="s">
        <v>7640</v>
      </c>
      <c r="B4055" s="149" t="s">
        <v>2203</v>
      </c>
      <c r="C4055" s="149">
        <v>11</v>
      </c>
      <c r="D4055" s="149">
        <v>350</v>
      </c>
      <c r="E4055" s="149">
        <v>0</v>
      </c>
      <c r="F4055" s="149">
        <v>601000</v>
      </c>
      <c r="G4055" s="149">
        <v>53340</v>
      </c>
      <c r="H4055" s="150" t="str">
        <f t="shared" si="189"/>
        <v>5</v>
      </c>
      <c r="I4055" s="150" t="str">
        <f t="shared" si="190"/>
        <v>53</v>
      </c>
      <c r="J4055" s="150" t="str">
        <f t="shared" si="191"/>
        <v>533</v>
      </c>
      <c r="K4055" s="150" t="s">
        <v>9154</v>
      </c>
      <c r="L4055" s="149" t="s">
        <v>491</v>
      </c>
      <c r="M4055" s="151">
        <v>325.26</v>
      </c>
    </row>
    <row r="4056" spans="1:13" s="149" customFormat="1" x14ac:dyDescent="0.25">
      <c r="A4056" s="149" t="s">
        <v>7640</v>
      </c>
      <c r="B4056" s="149" t="s">
        <v>2204</v>
      </c>
      <c r="C4056" s="149">
        <v>11</v>
      </c>
      <c r="D4056" s="149">
        <v>350</v>
      </c>
      <c r="E4056" s="149">
        <v>0</v>
      </c>
      <c r="F4056" s="149">
        <v>601000</v>
      </c>
      <c r="G4056" s="149">
        <v>53420</v>
      </c>
      <c r="H4056" s="150" t="str">
        <f t="shared" si="189"/>
        <v>5</v>
      </c>
      <c r="I4056" s="150" t="str">
        <f t="shared" si="190"/>
        <v>53</v>
      </c>
      <c r="J4056" s="150" t="str">
        <f t="shared" si="191"/>
        <v>534</v>
      </c>
      <c r="K4056" s="150" t="s">
        <v>9155</v>
      </c>
      <c r="L4056" s="149" t="s">
        <v>493</v>
      </c>
      <c r="M4056" s="151">
        <v>4850.8999999999996</v>
      </c>
    </row>
    <row r="4057" spans="1:13" s="149" customFormat="1" x14ac:dyDescent="0.25">
      <c r="A4057" s="149" t="s">
        <v>7640</v>
      </c>
      <c r="B4057" s="149" t="s">
        <v>2205</v>
      </c>
      <c r="C4057" s="149">
        <v>11</v>
      </c>
      <c r="D4057" s="149">
        <v>350</v>
      </c>
      <c r="E4057" s="149">
        <v>0</v>
      </c>
      <c r="F4057" s="149">
        <v>601000</v>
      </c>
      <c r="G4057" s="149">
        <v>53520</v>
      </c>
      <c r="H4057" s="150" t="str">
        <f t="shared" si="189"/>
        <v>5</v>
      </c>
      <c r="I4057" s="150" t="str">
        <f t="shared" si="190"/>
        <v>53</v>
      </c>
      <c r="J4057" s="150" t="str">
        <f t="shared" si="191"/>
        <v>535</v>
      </c>
      <c r="K4057" s="150" t="s">
        <v>9156</v>
      </c>
      <c r="L4057" s="149" t="s">
        <v>495</v>
      </c>
      <c r="M4057" s="151">
        <v>11.23</v>
      </c>
    </row>
    <row r="4058" spans="1:13" s="149" customFormat="1" x14ac:dyDescent="0.25">
      <c r="A4058" s="149" t="s">
        <v>7640</v>
      </c>
      <c r="B4058" s="149" t="s">
        <v>2206</v>
      </c>
      <c r="C4058" s="149">
        <v>11</v>
      </c>
      <c r="D4058" s="149">
        <v>350</v>
      </c>
      <c r="E4058" s="149">
        <v>0</v>
      </c>
      <c r="F4058" s="149">
        <v>601000</v>
      </c>
      <c r="G4058" s="149">
        <v>53620</v>
      </c>
      <c r="H4058" s="150" t="str">
        <f t="shared" si="189"/>
        <v>5</v>
      </c>
      <c r="I4058" s="150" t="str">
        <f t="shared" si="190"/>
        <v>53</v>
      </c>
      <c r="J4058" s="150" t="str">
        <f t="shared" si="191"/>
        <v>536</v>
      </c>
      <c r="K4058" s="150" t="s">
        <v>9157</v>
      </c>
      <c r="L4058" s="149" t="s">
        <v>497</v>
      </c>
      <c r="M4058" s="151">
        <v>427.75</v>
      </c>
    </row>
    <row r="4059" spans="1:13" s="149" customFormat="1" x14ac:dyDescent="0.25">
      <c r="A4059" s="149" t="s">
        <v>7640</v>
      </c>
      <c r="B4059" s="149" t="s">
        <v>2207</v>
      </c>
      <c r="C4059" s="149">
        <v>11</v>
      </c>
      <c r="D4059" s="149">
        <v>350</v>
      </c>
      <c r="E4059" s="149">
        <v>0</v>
      </c>
      <c r="F4059" s="149">
        <v>601000</v>
      </c>
      <c r="G4059" s="149">
        <v>54349</v>
      </c>
      <c r="H4059" s="150" t="str">
        <f t="shared" si="189"/>
        <v>5</v>
      </c>
      <c r="I4059" s="150" t="str">
        <f t="shared" si="190"/>
        <v>54</v>
      </c>
      <c r="J4059" s="150" t="str">
        <f t="shared" si="191"/>
        <v>543</v>
      </c>
      <c r="K4059" s="150" t="s">
        <v>7992</v>
      </c>
      <c r="L4059" s="149" t="s">
        <v>2208</v>
      </c>
      <c r="M4059" s="151">
        <v>0</v>
      </c>
    </row>
    <row r="4060" spans="1:13" s="149" customFormat="1" x14ac:dyDescent="0.25">
      <c r="A4060" s="149" t="s">
        <v>7640</v>
      </c>
      <c r="B4060" s="149" t="s">
        <v>2209</v>
      </c>
      <c r="C4060" s="149">
        <v>11</v>
      </c>
      <c r="D4060" s="149">
        <v>350</v>
      </c>
      <c r="E4060" s="149">
        <v>0</v>
      </c>
      <c r="F4060" s="149">
        <v>601000</v>
      </c>
      <c r="G4060" s="149">
        <v>55630</v>
      </c>
      <c r="H4060" s="150" t="str">
        <f t="shared" si="189"/>
        <v>5</v>
      </c>
      <c r="I4060" s="150" t="str">
        <f t="shared" si="190"/>
        <v>55</v>
      </c>
      <c r="J4060" s="150" t="str">
        <f t="shared" si="191"/>
        <v>556</v>
      </c>
      <c r="K4060" s="150" t="s">
        <v>8241</v>
      </c>
      <c r="L4060" s="149" t="s">
        <v>509</v>
      </c>
      <c r="M4060" s="151">
        <v>0</v>
      </c>
    </row>
    <row r="4061" spans="1:13" s="149" customFormat="1" x14ac:dyDescent="0.25">
      <c r="A4061" s="149" t="s">
        <v>7640</v>
      </c>
      <c r="B4061" s="149" t="s">
        <v>2210</v>
      </c>
      <c r="C4061" s="149">
        <v>11</v>
      </c>
      <c r="D4061" s="149">
        <v>350</v>
      </c>
      <c r="E4061" s="149">
        <v>0</v>
      </c>
      <c r="F4061" s="149">
        <v>703800</v>
      </c>
      <c r="G4061" s="149">
        <v>51412</v>
      </c>
      <c r="H4061" s="150" t="str">
        <f t="shared" si="189"/>
        <v>5</v>
      </c>
      <c r="I4061" s="150" t="str">
        <f t="shared" si="190"/>
        <v>51</v>
      </c>
      <c r="J4061" s="150" t="str">
        <f t="shared" si="191"/>
        <v>514</v>
      </c>
      <c r="K4061" s="150" t="s">
        <v>7796</v>
      </c>
      <c r="L4061" s="149" t="s">
        <v>2211</v>
      </c>
      <c r="M4061" s="151">
        <v>3500</v>
      </c>
    </row>
    <row r="4062" spans="1:13" s="149" customFormat="1" x14ac:dyDescent="0.25">
      <c r="A4062" s="149" t="s">
        <v>7640</v>
      </c>
      <c r="B4062" s="149" t="s">
        <v>2212</v>
      </c>
      <c r="C4062" s="149">
        <v>11</v>
      </c>
      <c r="D4062" s="149">
        <v>350</v>
      </c>
      <c r="E4062" s="149">
        <v>0</v>
      </c>
      <c r="F4062" s="149">
        <v>703800</v>
      </c>
      <c r="G4062" s="149">
        <v>52105</v>
      </c>
      <c r="H4062" s="150" t="str">
        <f t="shared" si="189"/>
        <v>5</v>
      </c>
      <c r="I4062" s="150" t="str">
        <f t="shared" si="190"/>
        <v>52</v>
      </c>
      <c r="J4062" s="150" t="str">
        <f t="shared" si="191"/>
        <v>521</v>
      </c>
      <c r="K4062" s="150" t="s">
        <v>9158</v>
      </c>
      <c r="L4062" s="149" t="s">
        <v>1096</v>
      </c>
      <c r="M4062" s="151">
        <v>1832</v>
      </c>
    </row>
    <row r="4063" spans="1:13" s="149" customFormat="1" x14ac:dyDescent="0.25">
      <c r="A4063" s="149" t="s">
        <v>7640</v>
      </c>
      <c r="B4063" s="149" t="s">
        <v>2213</v>
      </c>
      <c r="C4063" s="149">
        <v>11</v>
      </c>
      <c r="D4063" s="149">
        <v>350</v>
      </c>
      <c r="E4063" s="149">
        <v>0</v>
      </c>
      <c r="F4063" s="149">
        <v>703800</v>
      </c>
      <c r="G4063" s="149">
        <v>53120</v>
      </c>
      <c r="H4063" s="150" t="str">
        <f t="shared" si="189"/>
        <v>5</v>
      </c>
      <c r="I4063" s="150" t="str">
        <f t="shared" si="190"/>
        <v>53</v>
      </c>
      <c r="J4063" s="150" t="str">
        <f t="shared" si="191"/>
        <v>531</v>
      </c>
      <c r="K4063" s="150" t="s">
        <v>9159</v>
      </c>
      <c r="L4063" s="149" t="s">
        <v>1104</v>
      </c>
      <c r="M4063" s="151">
        <v>565.25</v>
      </c>
    </row>
    <row r="4064" spans="1:13" s="149" customFormat="1" x14ac:dyDescent="0.25">
      <c r="A4064" s="149" t="s">
        <v>7640</v>
      </c>
      <c r="B4064" s="149" t="s">
        <v>2214</v>
      </c>
      <c r="C4064" s="149">
        <v>11</v>
      </c>
      <c r="D4064" s="149">
        <v>350</v>
      </c>
      <c r="E4064" s="149">
        <v>0</v>
      </c>
      <c r="F4064" s="149">
        <v>703800</v>
      </c>
      <c r="G4064" s="149">
        <v>53220</v>
      </c>
      <c r="H4064" s="150" t="str">
        <f t="shared" si="189"/>
        <v>5</v>
      </c>
      <c r="I4064" s="150" t="str">
        <f t="shared" si="190"/>
        <v>53</v>
      </c>
      <c r="J4064" s="150" t="str">
        <f t="shared" si="191"/>
        <v>532</v>
      </c>
      <c r="K4064" s="150" t="s">
        <v>9160</v>
      </c>
      <c r="L4064" s="149" t="s">
        <v>1106</v>
      </c>
      <c r="M4064" s="151">
        <v>375.08</v>
      </c>
    </row>
    <row r="4065" spans="1:13" s="149" customFormat="1" x14ac:dyDescent="0.25">
      <c r="A4065" s="149" t="s">
        <v>7640</v>
      </c>
      <c r="B4065" s="149" t="s">
        <v>2215</v>
      </c>
      <c r="C4065" s="149">
        <v>11</v>
      </c>
      <c r="D4065" s="149">
        <v>350</v>
      </c>
      <c r="E4065" s="149">
        <v>0</v>
      </c>
      <c r="F4065" s="149">
        <v>703800</v>
      </c>
      <c r="G4065" s="149">
        <v>53320</v>
      </c>
      <c r="H4065" s="150" t="str">
        <f t="shared" si="189"/>
        <v>5</v>
      </c>
      <c r="I4065" s="150" t="str">
        <f t="shared" si="190"/>
        <v>53</v>
      </c>
      <c r="J4065" s="150" t="str">
        <f t="shared" si="191"/>
        <v>533</v>
      </c>
      <c r="K4065" s="150" t="s">
        <v>9161</v>
      </c>
      <c r="L4065" s="149" t="s">
        <v>1108</v>
      </c>
      <c r="M4065" s="151">
        <v>112.25</v>
      </c>
    </row>
    <row r="4066" spans="1:13" s="149" customFormat="1" x14ac:dyDescent="0.25">
      <c r="A4066" s="149" t="s">
        <v>7640</v>
      </c>
      <c r="B4066" s="149" t="s">
        <v>2216</v>
      </c>
      <c r="C4066" s="149">
        <v>11</v>
      </c>
      <c r="D4066" s="149">
        <v>350</v>
      </c>
      <c r="E4066" s="149">
        <v>0</v>
      </c>
      <c r="F4066" s="149">
        <v>703800</v>
      </c>
      <c r="G4066" s="149">
        <v>53340</v>
      </c>
      <c r="H4066" s="150" t="str">
        <f t="shared" si="189"/>
        <v>5</v>
      </c>
      <c r="I4066" s="150" t="str">
        <f t="shared" si="190"/>
        <v>53</v>
      </c>
      <c r="J4066" s="150" t="str">
        <f t="shared" si="191"/>
        <v>533</v>
      </c>
      <c r="K4066" s="150" t="s">
        <v>9162</v>
      </c>
      <c r="L4066" s="149" t="s">
        <v>1110</v>
      </c>
      <c r="M4066" s="151">
        <v>77</v>
      </c>
    </row>
    <row r="4067" spans="1:13" s="149" customFormat="1" x14ac:dyDescent="0.25">
      <c r="A4067" s="149" t="s">
        <v>7640</v>
      </c>
      <c r="B4067" s="149" t="s">
        <v>2217</v>
      </c>
      <c r="C4067" s="149">
        <v>11</v>
      </c>
      <c r="D4067" s="149">
        <v>350</v>
      </c>
      <c r="E4067" s="149">
        <v>0</v>
      </c>
      <c r="F4067" s="149">
        <v>703800</v>
      </c>
      <c r="G4067" s="149">
        <v>53420</v>
      </c>
      <c r="H4067" s="150" t="str">
        <f t="shared" si="189"/>
        <v>5</v>
      </c>
      <c r="I4067" s="150" t="str">
        <f t="shared" si="190"/>
        <v>53</v>
      </c>
      <c r="J4067" s="150" t="str">
        <f t="shared" si="191"/>
        <v>534</v>
      </c>
      <c r="K4067" s="150" t="s">
        <v>9163</v>
      </c>
      <c r="L4067" s="149" t="s">
        <v>1112</v>
      </c>
      <c r="M4067" s="151">
        <v>855.33</v>
      </c>
    </row>
    <row r="4068" spans="1:13" s="149" customFormat="1" x14ac:dyDescent="0.25">
      <c r="A4068" s="149" t="s">
        <v>7640</v>
      </c>
      <c r="B4068" s="149" t="s">
        <v>2218</v>
      </c>
      <c r="C4068" s="149">
        <v>11</v>
      </c>
      <c r="D4068" s="149">
        <v>350</v>
      </c>
      <c r="E4068" s="149">
        <v>0</v>
      </c>
      <c r="F4068" s="149">
        <v>703800</v>
      </c>
      <c r="G4068" s="149">
        <v>53520</v>
      </c>
      <c r="H4068" s="150" t="str">
        <f t="shared" si="189"/>
        <v>5</v>
      </c>
      <c r="I4068" s="150" t="str">
        <f t="shared" si="190"/>
        <v>53</v>
      </c>
      <c r="J4068" s="150" t="str">
        <f t="shared" si="191"/>
        <v>535</v>
      </c>
      <c r="K4068" s="150" t="s">
        <v>9164</v>
      </c>
      <c r="L4068" s="149" t="s">
        <v>1114</v>
      </c>
      <c r="M4068" s="151">
        <v>2.67</v>
      </c>
    </row>
    <row r="4069" spans="1:13" s="149" customFormat="1" x14ac:dyDescent="0.25">
      <c r="A4069" s="149" t="s">
        <v>7640</v>
      </c>
      <c r="B4069" s="149" t="s">
        <v>2219</v>
      </c>
      <c r="C4069" s="149">
        <v>11</v>
      </c>
      <c r="D4069" s="149">
        <v>350</v>
      </c>
      <c r="E4069" s="149">
        <v>0</v>
      </c>
      <c r="F4069" s="149">
        <v>703800</v>
      </c>
      <c r="G4069" s="149">
        <v>53620</v>
      </c>
      <c r="H4069" s="150" t="str">
        <f t="shared" si="189"/>
        <v>5</v>
      </c>
      <c r="I4069" s="150" t="str">
        <f t="shared" si="190"/>
        <v>53</v>
      </c>
      <c r="J4069" s="150" t="str">
        <f t="shared" si="191"/>
        <v>536</v>
      </c>
      <c r="K4069" s="150" t="s">
        <v>9165</v>
      </c>
      <c r="L4069" s="149" t="s">
        <v>1116</v>
      </c>
      <c r="M4069" s="151">
        <v>100.82</v>
      </c>
    </row>
    <row r="4070" spans="1:13" s="149" customFormat="1" x14ac:dyDescent="0.25">
      <c r="A4070" s="149" t="s">
        <v>7640</v>
      </c>
      <c r="B4070" s="149" t="s">
        <v>2220</v>
      </c>
      <c r="C4070" s="149">
        <v>11</v>
      </c>
      <c r="D4070" s="149">
        <v>350</v>
      </c>
      <c r="E4070" s="149">
        <v>1</v>
      </c>
      <c r="F4070" s="149">
        <v>10100</v>
      </c>
      <c r="G4070" s="149">
        <v>51100</v>
      </c>
      <c r="H4070" s="150" t="str">
        <f t="shared" si="189"/>
        <v>5</v>
      </c>
      <c r="I4070" s="150" t="str">
        <f t="shared" si="190"/>
        <v>51</v>
      </c>
      <c r="J4070" s="150" t="str">
        <f t="shared" si="191"/>
        <v>511</v>
      </c>
      <c r="K4070" s="150" t="s">
        <v>9166</v>
      </c>
      <c r="L4070" s="149" t="s">
        <v>2221</v>
      </c>
      <c r="M4070" s="151">
        <v>153723.42000000001</v>
      </c>
    </row>
    <row r="4071" spans="1:13" s="149" customFormat="1" x14ac:dyDescent="0.25">
      <c r="A4071" s="149" t="s">
        <v>7640</v>
      </c>
      <c r="B4071" s="149" t="s">
        <v>2222</v>
      </c>
      <c r="C4071" s="149">
        <v>11</v>
      </c>
      <c r="D4071" s="149">
        <v>350</v>
      </c>
      <c r="E4071" s="149">
        <v>1</v>
      </c>
      <c r="F4071" s="149">
        <v>10100</v>
      </c>
      <c r="G4071" s="149">
        <v>51310</v>
      </c>
      <c r="H4071" s="150" t="str">
        <f t="shared" si="189"/>
        <v>5</v>
      </c>
      <c r="I4071" s="150" t="str">
        <f t="shared" si="190"/>
        <v>51</v>
      </c>
      <c r="J4071" s="150" t="str">
        <f t="shared" si="191"/>
        <v>513</v>
      </c>
      <c r="K4071" s="150" t="s">
        <v>7680</v>
      </c>
      <c r="L4071" s="149" t="s">
        <v>2223</v>
      </c>
      <c r="M4071" s="151">
        <v>13978.39</v>
      </c>
    </row>
    <row r="4072" spans="1:13" s="149" customFormat="1" x14ac:dyDescent="0.25">
      <c r="A4072" s="149" t="s">
        <v>7640</v>
      </c>
      <c r="B4072" s="149" t="s">
        <v>2224</v>
      </c>
      <c r="C4072" s="149">
        <v>11</v>
      </c>
      <c r="D4072" s="149">
        <v>350</v>
      </c>
      <c r="E4072" s="149">
        <v>1</v>
      </c>
      <c r="F4072" s="149">
        <v>10100</v>
      </c>
      <c r="G4072" s="149">
        <v>51311</v>
      </c>
      <c r="H4072" s="150" t="str">
        <f t="shared" si="189"/>
        <v>5</v>
      </c>
      <c r="I4072" s="150" t="str">
        <f t="shared" si="190"/>
        <v>51</v>
      </c>
      <c r="J4072" s="150" t="str">
        <f t="shared" si="191"/>
        <v>513</v>
      </c>
      <c r="K4072" s="150" t="s">
        <v>7757</v>
      </c>
      <c r="L4072" s="149" t="s">
        <v>2225</v>
      </c>
      <c r="M4072" s="151">
        <v>80362.960000000006</v>
      </c>
    </row>
    <row r="4073" spans="1:13" s="149" customFormat="1" x14ac:dyDescent="0.25">
      <c r="A4073" s="149" t="s">
        <v>7640</v>
      </c>
      <c r="B4073" s="149" t="s">
        <v>2226</v>
      </c>
      <c r="C4073" s="149">
        <v>11</v>
      </c>
      <c r="D4073" s="149">
        <v>350</v>
      </c>
      <c r="E4073" s="149">
        <v>1</v>
      </c>
      <c r="F4073" s="149">
        <v>10100</v>
      </c>
      <c r="G4073" s="149">
        <v>51412</v>
      </c>
      <c r="H4073" s="150" t="str">
        <f t="shared" si="189"/>
        <v>5</v>
      </c>
      <c r="I4073" s="150" t="str">
        <f t="shared" si="190"/>
        <v>51</v>
      </c>
      <c r="J4073" s="150" t="str">
        <f t="shared" si="191"/>
        <v>514</v>
      </c>
      <c r="K4073" s="150" t="s">
        <v>7797</v>
      </c>
      <c r="L4073" s="149" t="s">
        <v>2227</v>
      </c>
      <c r="M4073" s="151">
        <v>0</v>
      </c>
    </row>
    <row r="4074" spans="1:13" s="149" customFormat="1" x14ac:dyDescent="0.25">
      <c r="A4074" s="149" t="s">
        <v>7640</v>
      </c>
      <c r="B4074" s="149" t="s">
        <v>2228</v>
      </c>
      <c r="C4074" s="149">
        <v>11</v>
      </c>
      <c r="D4074" s="149">
        <v>350</v>
      </c>
      <c r="E4074" s="149">
        <v>1</v>
      </c>
      <c r="F4074" s="149">
        <v>10100</v>
      </c>
      <c r="G4074" s="149">
        <v>52200</v>
      </c>
      <c r="H4074" s="150" t="str">
        <f t="shared" si="189"/>
        <v>5</v>
      </c>
      <c r="I4074" s="150" t="str">
        <f t="shared" si="190"/>
        <v>52</v>
      </c>
      <c r="J4074" s="150" t="str">
        <f t="shared" si="191"/>
        <v>522</v>
      </c>
      <c r="K4074" s="150" t="s">
        <v>9167</v>
      </c>
      <c r="L4074" s="149" t="s">
        <v>2229</v>
      </c>
      <c r="M4074" s="151">
        <v>46839.57</v>
      </c>
    </row>
    <row r="4075" spans="1:13" s="149" customFormat="1" x14ac:dyDescent="0.25">
      <c r="A4075" s="149" t="s">
        <v>7640</v>
      </c>
      <c r="B4075" s="149" t="s">
        <v>2230</v>
      </c>
      <c r="C4075" s="149">
        <v>11</v>
      </c>
      <c r="D4075" s="149">
        <v>350</v>
      </c>
      <c r="E4075" s="149">
        <v>1</v>
      </c>
      <c r="F4075" s="149">
        <v>10100</v>
      </c>
      <c r="G4075" s="149">
        <v>52300</v>
      </c>
      <c r="H4075" s="150" t="str">
        <f t="shared" si="189"/>
        <v>5</v>
      </c>
      <c r="I4075" s="150" t="str">
        <f t="shared" si="190"/>
        <v>52</v>
      </c>
      <c r="J4075" s="150" t="str">
        <f t="shared" si="191"/>
        <v>523</v>
      </c>
      <c r="K4075" s="150" t="s">
        <v>7827</v>
      </c>
      <c r="L4075" s="149" t="s">
        <v>2231</v>
      </c>
      <c r="M4075" s="151">
        <v>14.96</v>
      </c>
    </row>
    <row r="4076" spans="1:13" s="149" customFormat="1" x14ac:dyDescent="0.25">
      <c r="A4076" s="149" t="s">
        <v>7640</v>
      </c>
      <c r="B4076" s="149" t="s">
        <v>2232</v>
      </c>
      <c r="C4076" s="149">
        <v>11</v>
      </c>
      <c r="D4076" s="149">
        <v>350</v>
      </c>
      <c r="E4076" s="149">
        <v>1</v>
      </c>
      <c r="F4076" s="149">
        <v>10100</v>
      </c>
      <c r="G4076" s="149">
        <v>53110</v>
      </c>
      <c r="H4076" s="150" t="str">
        <f t="shared" si="189"/>
        <v>5</v>
      </c>
      <c r="I4076" s="150" t="str">
        <f t="shared" si="190"/>
        <v>53</v>
      </c>
      <c r="J4076" s="150" t="str">
        <f t="shared" si="191"/>
        <v>531</v>
      </c>
      <c r="K4076" s="150" t="s">
        <v>9168</v>
      </c>
      <c r="L4076" s="149" t="s">
        <v>2233</v>
      </c>
      <c r="M4076" s="151">
        <v>33751.24</v>
      </c>
    </row>
    <row r="4077" spans="1:13" s="149" customFormat="1" x14ac:dyDescent="0.25">
      <c r="A4077" s="149" t="s">
        <v>7640</v>
      </c>
      <c r="B4077" s="149" t="s">
        <v>2234</v>
      </c>
      <c r="C4077" s="149">
        <v>11</v>
      </c>
      <c r="D4077" s="149">
        <v>350</v>
      </c>
      <c r="E4077" s="149">
        <v>1</v>
      </c>
      <c r="F4077" s="149">
        <v>10100</v>
      </c>
      <c r="G4077" s="149">
        <v>53120</v>
      </c>
      <c r="H4077" s="150" t="str">
        <f t="shared" si="189"/>
        <v>5</v>
      </c>
      <c r="I4077" s="150" t="str">
        <f t="shared" si="190"/>
        <v>53</v>
      </c>
      <c r="J4077" s="150" t="str">
        <f t="shared" si="191"/>
        <v>531</v>
      </c>
      <c r="K4077" s="150" t="s">
        <v>9169</v>
      </c>
      <c r="L4077" s="149" t="s">
        <v>2235</v>
      </c>
      <c r="M4077" s="151">
        <v>0</v>
      </c>
    </row>
    <row r="4078" spans="1:13" s="149" customFormat="1" x14ac:dyDescent="0.25">
      <c r="A4078" s="149" t="s">
        <v>7640</v>
      </c>
      <c r="B4078" s="149" t="s">
        <v>2236</v>
      </c>
      <c r="C4078" s="149">
        <v>11</v>
      </c>
      <c r="D4078" s="149">
        <v>350</v>
      </c>
      <c r="E4078" s="149">
        <v>1</v>
      </c>
      <c r="F4078" s="149">
        <v>10100</v>
      </c>
      <c r="G4078" s="149">
        <v>53210</v>
      </c>
      <c r="H4078" s="150" t="str">
        <f t="shared" si="189"/>
        <v>5</v>
      </c>
      <c r="I4078" s="150" t="str">
        <f t="shared" si="190"/>
        <v>53</v>
      </c>
      <c r="J4078" s="150" t="str">
        <f t="shared" si="191"/>
        <v>532</v>
      </c>
      <c r="K4078" s="150" t="s">
        <v>9170</v>
      </c>
      <c r="L4078" s="149" t="s">
        <v>2237</v>
      </c>
      <c r="M4078" s="151">
        <v>9606.6200000000008</v>
      </c>
    </row>
    <row r="4079" spans="1:13" s="149" customFormat="1" x14ac:dyDescent="0.25">
      <c r="A4079" s="149" t="s">
        <v>7640</v>
      </c>
      <c r="B4079" s="149" t="s">
        <v>2238</v>
      </c>
      <c r="C4079" s="149">
        <v>11</v>
      </c>
      <c r="D4079" s="149">
        <v>350</v>
      </c>
      <c r="E4079" s="149">
        <v>1</v>
      </c>
      <c r="F4079" s="149">
        <v>10100</v>
      </c>
      <c r="G4079" s="149">
        <v>53310</v>
      </c>
      <c r="H4079" s="150" t="str">
        <f t="shared" si="189"/>
        <v>5</v>
      </c>
      <c r="I4079" s="150" t="str">
        <f t="shared" si="190"/>
        <v>53</v>
      </c>
      <c r="J4079" s="150" t="str">
        <f t="shared" si="191"/>
        <v>533</v>
      </c>
      <c r="K4079" s="150" t="s">
        <v>9171</v>
      </c>
      <c r="L4079" s="149" t="s">
        <v>2239</v>
      </c>
      <c r="M4079" s="151">
        <v>5335.41</v>
      </c>
    </row>
    <row r="4080" spans="1:13" s="149" customFormat="1" x14ac:dyDescent="0.25">
      <c r="A4080" s="149" t="s">
        <v>7640</v>
      </c>
      <c r="B4080" s="149" t="s">
        <v>2240</v>
      </c>
      <c r="C4080" s="149">
        <v>11</v>
      </c>
      <c r="D4080" s="149">
        <v>350</v>
      </c>
      <c r="E4080" s="149">
        <v>1</v>
      </c>
      <c r="F4080" s="149">
        <v>10100</v>
      </c>
      <c r="G4080" s="149">
        <v>53320</v>
      </c>
      <c r="H4080" s="150" t="str">
        <f t="shared" si="189"/>
        <v>5</v>
      </c>
      <c r="I4080" s="150" t="str">
        <f t="shared" si="190"/>
        <v>53</v>
      </c>
      <c r="J4080" s="150" t="str">
        <f t="shared" si="191"/>
        <v>533</v>
      </c>
      <c r="K4080" s="150" t="s">
        <v>9172</v>
      </c>
      <c r="L4080" s="149" t="s">
        <v>2241</v>
      </c>
      <c r="M4080" s="151">
        <v>0.92</v>
      </c>
    </row>
    <row r="4081" spans="1:13" s="149" customFormat="1" x14ac:dyDescent="0.25">
      <c r="A4081" s="149" t="s">
        <v>7640</v>
      </c>
      <c r="B4081" s="149" t="s">
        <v>2242</v>
      </c>
      <c r="C4081" s="149">
        <v>11</v>
      </c>
      <c r="D4081" s="149">
        <v>350</v>
      </c>
      <c r="E4081" s="149">
        <v>1</v>
      </c>
      <c r="F4081" s="149">
        <v>10100</v>
      </c>
      <c r="G4081" s="149">
        <v>53330</v>
      </c>
      <c r="H4081" s="150" t="str">
        <f t="shared" si="189"/>
        <v>5</v>
      </c>
      <c r="I4081" s="150" t="str">
        <f t="shared" si="190"/>
        <v>53</v>
      </c>
      <c r="J4081" s="150" t="str">
        <f t="shared" si="191"/>
        <v>533</v>
      </c>
      <c r="K4081" s="150" t="s">
        <v>9173</v>
      </c>
      <c r="L4081" s="149" t="s">
        <v>2243</v>
      </c>
      <c r="M4081" s="151">
        <v>4265.29</v>
      </c>
    </row>
    <row r="4082" spans="1:13" s="149" customFormat="1" x14ac:dyDescent="0.25">
      <c r="A4082" s="149" t="s">
        <v>7640</v>
      </c>
      <c r="B4082" s="149" t="s">
        <v>2244</v>
      </c>
      <c r="C4082" s="149">
        <v>11</v>
      </c>
      <c r="D4082" s="149">
        <v>350</v>
      </c>
      <c r="E4082" s="149">
        <v>1</v>
      </c>
      <c r="F4082" s="149">
        <v>10100</v>
      </c>
      <c r="G4082" s="149">
        <v>53340</v>
      </c>
      <c r="H4082" s="150" t="str">
        <f t="shared" si="189"/>
        <v>5</v>
      </c>
      <c r="I4082" s="150" t="str">
        <f t="shared" si="190"/>
        <v>53</v>
      </c>
      <c r="J4082" s="150" t="str">
        <f t="shared" si="191"/>
        <v>533</v>
      </c>
      <c r="K4082" s="150" t="s">
        <v>9174</v>
      </c>
      <c r="L4082" s="149" t="s">
        <v>2245</v>
      </c>
      <c r="M4082" s="151">
        <v>0.21</v>
      </c>
    </row>
    <row r="4083" spans="1:13" s="149" customFormat="1" x14ac:dyDescent="0.25">
      <c r="A4083" s="149" t="s">
        <v>7640</v>
      </c>
      <c r="B4083" s="149" t="s">
        <v>2246</v>
      </c>
      <c r="C4083" s="149">
        <v>11</v>
      </c>
      <c r="D4083" s="149">
        <v>350</v>
      </c>
      <c r="E4083" s="149">
        <v>1</v>
      </c>
      <c r="F4083" s="149">
        <v>10100</v>
      </c>
      <c r="G4083" s="149">
        <v>53410</v>
      </c>
      <c r="H4083" s="150" t="str">
        <f t="shared" si="189"/>
        <v>5</v>
      </c>
      <c r="I4083" s="150" t="str">
        <f t="shared" si="190"/>
        <v>53</v>
      </c>
      <c r="J4083" s="150" t="str">
        <f t="shared" si="191"/>
        <v>534</v>
      </c>
      <c r="K4083" s="150" t="s">
        <v>9175</v>
      </c>
      <c r="L4083" s="149" t="s">
        <v>2247</v>
      </c>
      <c r="M4083" s="151">
        <v>51412.12</v>
      </c>
    </row>
    <row r="4084" spans="1:13" s="149" customFormat="1" x14ac:dyDescent="0.25">
      <c r="A4084" s="149" t="s">
        <v>7640</v>
      </c>
      <c r="B4084" s="149" t="s">
        <v>2248</v>
      </c>
      <c r="C4084" s="149">
        <v>11</v>
      </c>
      <c r="D4084" s="149">
        <v>350</v>
      </c>
      <c r="E4084" s="149">
        <v>1</v>
      </c>
      <c r="F4084" s="149">
        <v>10100</v>
      </c>
      <c r="G4084" s="149">
        <v>53510</v>
      </c>
      <c r="H4084" s="150" t="str">
        <f t="shared" si="189"/>
        <v>5</v>
      </c>
      <c r="I4084" s="150" t="str">
        <f t="shared" si="190"/>
        <v>53</v>
      </c>
      <c r="J4084" s="150" t="str">
        <f t="shared" si="191"/>
        <v>535</v>
      </c>
      <c r="K4084" s="150" t="s">
        <v>9176</v>
      </c>
      <c r="L4084" s="149" t="s">
        <v>2249</v>
      </c>
      <c r="M4084" s="151">
        <v>147.41999999999999</v>
      </c>
    </row>
    <row r="4085" spans="1:13" s="149" customFormat="1" x14ac:dyDescent="0.25">
      <c r="A4085" s="149" t="s">
        <v>7640</v>
      </c>
      <c r="B4085" s="149" t="s">
        <v>2250</v>
      </c>
      <c r="C4085" s="149">
        <v>11</v>
      </c>
      <c r="D4085" s="149">
        <v>350</v>
      </c>
      <c r="E4085" s="149">
        <v>1</v>
      </c>
      <c r="F4085" s="149">
        <v>10100</v>
      </c>
      <c r="G4085" s="149">
        <v>53520</v>
      </c>
      <c r="H4085" s="150" t="str">
        <f t="shared" si="189"/>
        <v>5</v>
      </c>
      <c r="I4085" s="150" t="str">
        <f t="shared" si="190"/>
        <v>53</v>
      </c>
      <c r="J4085" s="150" t="str">
        <f t="shared" si="191"/>
        <v>535</v>
      </c>
      <c r="K4085" s="150" t="s">
        <v>9177</v>
      </c>
      <c r="L4085" s="149" t="s">
        <v>2251</v>
      </c>
      <c r="M4085" s="151">
        <v>0.03</v>
      </c>
    </row>
    <row r="4086" spans="1:13" s="149" customFormat="1" x14ac:dyDescent="0.25">
      <c r="A4086" s="149" t="s">
        <v>7640</v>
      </c>
      <c r="B4086" s="149" t="s">
        <v>2252</v>
      </c>
      <c r="C4086" s="149">
        <v>11</v>
      </c>
      <c r="D4086" s="149">
        <v>350</v>
      </c>
      <c r="E4086" s="149">
        <v>1</v>
      </c>
      <c r="F4086" s="149">
        <v>10100</v>
      </c>
      <c r="G4086" s="149">
        <v>53610</v>
      </c>
      <c r="H4086" s="150" t="str">
        <f t="shared" si="189"/>
        <v>5</v>
      </c>
      <c r="I4086" s="150" t="str">
        <f t="shared" si="190"/>
        <v>53</v>
      </c>
      <c r="J4086" s="150" t="str">
        <f t="shared" si="191"/>
        <v>536</v>
      </c>
      <c r="K4086" s="150" t="s">
        <v>9178</v>
      </c>
      <c r="L4086" s="149" t="s">
        <v>2253</v>
      </c>
      <c r="M4086" s="151">
        <v>5576.69</v>
      </c>
    </row>
    <row r="4087" spans="1:13" s="149" customFormat="1" x14ac:dyDescent="0.25">
      <c r="A4087" s="149" t="s">
        <v>7640</v>
      </c>
      <c r="B4087" s="149" t="s">
        <v>2254</v>
      </c>
      <c r="C4087" s="149">
        <v>11</v>
      </c>
      <c r="D4087" s="149">
        <v>350</v>
      </c>
      <c r="E4087" s="149">
        <v>1</v>
      </c>
      <c r="F4087" s="149">
        <v>10100</v>
      </c>
      <c r="G4087" s="149">
        <v>53620</v>
      </c>
      <c r="H4087" s="150" t="str">
        <f t="shared" si="189"/>
        <v>5</v>
      </c>
      <c r="I4087" s="150" t="str">
        <f t="shared" si="190"/>
        <v>53</v>
      </c>
      <c r="J4087" s="150" t="str">
        <f t="shared" si="191"/>
        <v>536</v>
      </c>
      <c r="K4087" s="150" t="s">
        <v>9179</v>
      </c>
      <c r="L4087" s="149" t="s">
        <v>2255</v>
      </c>
      <c r="M4087" s="151">
        <v>0.26</v>
      </c>
    </row>
    <row r="4088" spans="1:13" s="149" customFormat="1" x14ac:dyDescent="0.25">
      <c r="A4088" s="149" t="s">
        <v>7640</v>
      </c>
      <c r="B4088" s="149" t="s">
        <v>2256</v>
      </c>
      <c r="C4088" s="149">
        <v>11</v>
      </c>
      <c r="D4088" s="149">
        <v>350</v>
      </c>
      <c r="E4088" s="149">
        <v>1</v>
      </c>
      <c r="F4088" s="149">
        <v>10100</v>
      </c>
      <c r="G4088" s="149">
        <v>53910</v>
      </c>
      <c r="H4088" s="150" t="str">
        <f t="shared" si="189"/>
        <v>5</v>
      </c>
      <c r="I4088" s="150" t="str">
        <f t="shared" si="190"/>
        <v>53</v>
      </c>
      <c r="J4088" s="150" t="str">
        <f t="shared" si="191"/>
        <v>539</v>
      </c>
      <c r="K4088" s="150" t="s">
        <v>9180</v>
      </c>
      <c r="L4088" s="149" t="s">
        <v>2257</v>
      </c>
      <c r="M4088" s="151">
        <v>1800</v>
      </c>
    </row>
    <row r="4089" spans="1:13" s="149" customFormat="1" x14ac:dyDescent="0.25">
      <c r="A4089" s="149" t="s">
        <v>7640</v>
      </c>
      <c r="B4089" s="149" t="s">
        <v>2258</v>
      </c>
      <c r="C4089" s="149">
        <v>11</v>
      </c>
      <c r="D4089" s="149">
        <v>350</v>
      </c>
      <c r="E4089" s="149">
        <v>1</v>
      </c>
      <c r="F4089" s="149">
        <v>10100</v>
      </c>
      <c r="G4089" s="149">
        <v>54300</v>
      </c>
      <c r="H4089" s="150" t="str">
        <f t="shared" si="189"/>
        <v>5</v>
      </c>
      <c r="I4089" s="150" t="str">
        <f t="shared" si="190"/>
        <v>54</v>
      </c>
      <c r="J4089" s="150" t="str">
        <f t="shared" si="191"/>
        <v>543</v>
      </c>
      <c r="K4089" s="150" t="s">
        <v>7953</v>
      </c>
      <c r="L4089" s="149" t="s">
        <v>2259</v>
      </c>
      <c r="M4089" s="151">
        <v>0.01</v>
      </c>
    </row>
    <row r="4090" spans="1:13" s="149" customFormat="1" x14ac:dyDescent="0.25">
      <c r="A4090" s="149" t="s">
        <v>7640</v>
      </c>
      <c r="B4090" s="149" t="s">
        <v>2260</v>
      </c>
      <c r="C4090" s="149">
        <v>11</v>
      </c>
      <c r="D4090" s="149">
        <v>350</v>
      </c>
      <c r="E4090" s="149">
        <v>1</v>
      </c>
      <c r="F4090" s="149">
        <v>10100</v>
      </c>
      <c r="G4090" s="149">
        <v>55200</v>
      </c>
      <c r="H4090" s="150" t="str">
        <f t="shared" si="189"/>
        <v>5</v>
      </c>
      <c r="I4090" s="150" t="str">
        <f t="shared" si="190"/>
        <v>55</v>
      </c>
      <c r="J4090" s="150" t="str">
        <f t="shared" si="191"/>
        <v>552</v>
      </c>
      <c r="K4090" s="150" t="s">
        <v>8054</v>
      </c>
      <c r="L4090" s="149" t="s">
        <v>2261</v>
      </c>
      <c r="M4090" s="151">
        <v>0</v>
      </c>
    </row>
    <row r="4091" spans="1:13" s="149" customFormat="1" x14ac:dyDescent="0.25">
      <c r="A4091" s="149" t="s">
        <v>7640</v>
      </c>
      <c r="B4091" s="149" t="s">
        <v>2262</v>
      </c>
      <c r="C4091" s="149">
        <v>11</v>
      </c>
      <c r="D4091" s="149">
        <v>350</v>
      </c>
      <c r="E4091" s="149">
        <v>1</v>
      </c>
      <c r="F4091" s="149">
        <v>10100</v>
      </c>
      <c r="G4091" s="149">
        <v>55300</v>
      </c>
      <c r="H4091" s="150" t="str">
        <f t="shared" si="189"/>
        <v>5</v>
      </c>
      <c r="I4091" s="150" t="str">
        <f t="shared" si="190"/>
        <v>55</v>
      </c>
      <c r="J4091" s="150" t="str">
        <f t="shared" si="191"/>
        <v>553</v>
      </c>
      <c r="K4091" s="150" t="s">
        <v>8090</v>
      </c>
      <c r="L4091" s="149" t="s">
        <v>2263</v>
      </c>
      <c r="M4091" s="151">
        <v>0</v>
      </c>
    </row>
    <row r="4092" spans="1:13" s="149" customFormat="1" x14ac:dyDescent="0.25">
      <c r="A4092" s="149" t="s">
        <v>7640</v>
      </c>
      <c r="B4092" s="149" t="s">
        <v>2264</v>
      </c>
      <c r="C4092" s="149">
        <v>11</v>
      </c>
      <c r="D4092" s="149">
        <v>350</v>
      </c>
      <c r="E4092" s="149">
        <v>1</v>
      </c>
      <c r="F4092" s="149">
        <v>10100</v>
      </c>
      <c r="G4092" s="149">
        <v>55560</v>
      </c>
      <c r="H4092" s="150" t="str">
        <f t="shared" si="189"/>
        <v>5</v>
      </c>
      <c r="I4092" s="150" t="str">
        <f t="shared" si="190"/>
        <v>55</v>
      </c>
      <c r="J4092" s="150" t="str">
        <f t="shared" si="191"/>
        <v>555</v>
      </c>
      <c r="K4092" s="150" t="s">
        <v>8138</v>
      </c>
      <c r="L4092" s="149" t="s">
        <v>2265</v>
      </c>
      <c r="M4092" s="151">
        <v>0</v>
      </c>
    </row>
    <row r="4093" spans="1:13" s="149" customFormat="1" x14ac:dyDescent="0.25">
      <c r="A4093" s="149" t="s">
        <v>7640</v>
      </c>
      <c r="B4093" s="149" t="s">
        <v>2266</v>
      </c>
      <c r="C4093" s="149">
        <v>11</v>
      </c>
      <c r="D4093" s="149">
        <v>350</v>
      </c>
      <c r="E4093" s="149">
        <v>1</v>
      </c>
      <c r="F4093" s="149">
        <v>10100</v>
      </c>
      <c r="G4093" s="149">
        <v>55630</v>
      </c>
      <c r="H4093" s="150" t="str">
        <f t="shared" si="189"/>
        <v>5</v>
      </c>
      <c r="I4093" s="150" t="str">
        <f t="shared" si="190"/>
        <v>55</v>
      </c>
      <c r="J4093" s="150" t="str">
        <f t="shared" si="191"/>
        <v>556</v>
      </c>
      <c r="K4093" s="150" t="s">
        <v>8242</v>
      </c>
      <c r="L4093" s="149" t="s">
        <v>2267</v>
      </c>
      <c r="M4093" s="151">
        <v>0</v>
      </c>
    </row>
    <row r="4094" spans="1:13" s="149" customFormat="1" x14ac:dyDescent="0.25">
      <c r="A4094" s="149" t="s">
        <v>7640</v>
      </c>
      <c r="B4094" s="149" t="s">
        <v>2268</v>
      </c>
      <c r="C4094" s="149">
        <v>11</v>
      </c>
      <c r="D4094" s="149">
        <v>350</v>
      </c>
      <c r="E4094" s="149">
        <v>1</v>
      </c>
      <c r="F4094" s="149">
        <v>10100</v>
      </c>
      <c r="G4094" s="149">
        <v>55635</v>
      </c>
      <c r="H4094" s="150" t="str">
        <f t="shared" si="189"/>
        <v>5</v>
      </c>
      <c r="I4094" s="150" t="str">
        <f t="shared" si="190"/>
        <v>55</v>
      </c>
      <c r="J4094" s="150" t="str">
        <f t="shared" si="191"/>
        <v>556</v>
      </c>
      <c r="K4094" s="150" t="s">
        <v>8280</v>
      </c>
      <c r="L4094" s="149" t="s">
        <v>2269</v>
      </c>
      <c r="M4094" s="151">
        <v>0</v>
      </c>
    </row>
    <row r="4095" spans="1:13" s="149" customFormat="1" x14ac:dyDescent="0.25">
      <c r="A4095" s="149" t="s">
        <v>7640</v>
      </c>
      <c r="B4095" s="149" t="s">
        <v>2270</v>
      </c>
      <c r="C4095" s="149">
        <v>11</v>
      </c>
      <c r="D4095" s="149">
        <v>350</v>
      </c>
      <c r="E4095" s="149">
        <v>1</v>
      </c>
      <c r="F4095" s="149">
        <v>10100</v>
      </c>
      <c r="G4095" s="149">
        <v>55650</v>
      </c>
      <c r="H4095" s="150" t="str">
        <f t="shared" si="189"/>
        <v>5</v>
      </c>
      <c r="I4095" s="150" t="str">
        <f t="shared" si="190"/>
        <v>55</v>
      </c>
      <c r="J4095" s="150" t="str">
        <f t="shared" si="191"/>
        <v>556</v>
      </c>
      <c r="K4095" s="150" t="s">
        <v>8304</v>
      </c>
      <c r="L4095" s="149" t="s">
        <v>2271</v>
      </c>
      <c r="M4095" s="151">
        <v>0</v>
      </c>
    </row>
    <row r="4096" spans="1:13" s="149" customFormat="1" x14ac:dyDescent="0.25">
      <c r="A4096" s="149" t="s">
        <v>7640</v>
      </c>
      <c r="B4096" s="149" t="s">
        <v>2272</v>
      </c>
      <c r="C4096" s="149">
        <v>11</v>
      </c>
      <c r="D4096" s="149">
        <v>350</v>
      </c>
      <c r="E4096" s="149">
        <v>1</v>
      </c>
      <c r="F4096" s="149">
        <v>70100</v>
      </c>
      <c r="G4096" s="149">
        <v>51100</v>
      </c>
      <c r="H4096" s="150" t="str">
        <f t="shared" si="189"/>
        <v>5</v>
      </c>
      <c r="I4096" s="150" t="str">
        <f t="shared" si="190"/>
        <v>51</v>
      </c>
      <c r="J4096" s="150" t="str">
        <f t="shared" si="191"/>
        <v>511</v>
      </c>
      <c r="K4096" s="150" t="s">
        <v>9181</v>
      </c>
      <c r="L4096" s="149" t="s">
        <v>1892</v>
      </c>
      <c r="M4096" s="151">
        <v>63938.52</v>
      </c>
    </row>
    <row r="4097" spans="1:13" s="149" customFormat="1" x14ac:dyDescent="0.25">
      <c r="A4097" s="149" t="s">
        <v>7640</v>
      </c>
      <c r="B4097" s="149" t="s">
        <v>2273</v>
      </c>
      <c r="C4097" s="149">
        <v>11</v>
      </c>
      <c r="D4097" s="149">
        <v>350</v>
      </c>
      <c r="E4097" s="149">
        <v>1</v>
      </c>
      <c r="F4097" s="149">
        <v>70100</v>
      </c>
      <c r="G4097" s="149">
        <v>51200</v>
      </c>
      <c r="H4097" s="150" t="str">
        <f t="shared" si="189"/>
        <v>5</v>
      </c>
      <c r="I4097" s="150" t="str">
        <f t="shared" si="190"/>
        <v>51</v>
      </c>
      <c r="J4097" s="150" t="str">
        <f t="shared" si="191"/>
        <v>512</v>
      </c>
      <c r="K4097" s="150" t="s">
        <v>9182</v>
      </c>
      <c r="L4097" s="149" t="s">
        <v>2274</v>
      </c>
      <c r="M4097" s="151">
        <v>21312.81</v>
      </c>
    </row>
    <row r="4098" spans="1:13" s="149" customFormat="1" x14ac:dyDescent="0.25">
      <c r="A4098" s="149" t="s">
        <v>7640</v>
      </c>
      <c r="B4098" s="149" t="s">
        <v>2275</v>
      </c>
      <c r="C4098" s="149">
        <v>11</v>
      </c>
      <c r="D4098" s="149">
        <v>350</v>
      </c>
      <c r="E4098" s="149">
        <v>1</v>
      </c>
      <c r="F4098" s="149">
        <v>70100</v>
      </c>
      <c r="G4098" s="149">
        <v>51311</v>
      </c>
      <c r="H4098" s="150" t="str">
        <f t="shared" si="189"/>
        <v>5</v>
      </c>
      <c r="I4098" s="150" t="str">
        <f t="shared" si="190"/>
        <v>51</v>
      </c>
      <c r="J4098" s="150" t="str">
        <f t="shared" si="191"/>
        <v>513</v>
      </c>
      <c r="K4098" s="150" t="s">
        <v>7758</v>
      </c>
      <c r="L4098" s="149" t="s">
        <v>241</v>
      </c>
      <c r="M4098" s="151">
        <v>25561.02</v>
      </c>
    </row>
    <row r="4099" spans="1:13" s="149" customFormat="1" x14ac:dyDescent="0.25">
      <c r="A4099" s="149" t="s">
        <v>7640</v>
      </c>
      <c r="B4099" s="149" t="s">
        <v>2276</v>
      </c>
      <c r="C4099" s="149">
        <v>11</v>
      </c>
      <c r="D4099" s="149">
        <v>350</v>
      </c>
      <c r="E4099" s="149">
        <v>1</v>
      </c>
      <c r="F4099" s="149">
        <v>70100</v>
      </c>
      <c r="G4099" s="149">
        <v>53110</v>
      </c>
      <c r="H4099" s="150" t="str">
        <f t="shared" ref="H4099:H4162" si="192">LEFT(G4099,1)</f>
        <v>5</v>
      </c>
      <c r="I4099" s="150" t="str">
        <f t="shared" ref="I4099:I4162" si="193">LEFT(G4099,2)</f>
        <v>53</v>
      </c>
      <c r="J4099" s="150" t="str">
        <f t="shared" ref="J4099:J4162" si="194">LEFT(G4099,3)</f>
        <v>531</v>
      </c>
      <c r="K4099" s="150" t="s">
        <v>9183</v>
      </c>
      <c r="L4099" s="149" t="s">
        <v>243</v>
      </c>
      <c r="M4099" s="151">
        <v>10915.56</v>
      </c>
    </row>
    <row r="4100" spans="1:13" s="149" customFormat="1" x14ac:dyDescent="0.25">
      <c r="A4100" s="149" t="s">
        <v>7640</v>
      </c>
      <c r="B4100" s="149" t="s">
        <v>2277</v>
      </c>
      <c r="C4100" s="149">
        <v>11</v>
      </c>
      <c r="D4100" s="149">
        <v>350</v>
      </c>
      <c r="E4100" s="149">
        <v>1</v>
      </c>
      <c r="F4100" s="149">
        <v>70100</v>
      </c>
      <c r="G4100" s="149">
        <v>53120</v>
      </c>
      <c r="H4100" s="150" t="str">
        <f t="shared" si="192"/>
        <v>5</v>
      </c>
      <c r="I4100" s="150" t="str">
        <f t="shared" si="193"/>
        <v>53</v>
      </c>
      <c r="J4100" s="150" t="str">
        <f t="shared" si="194"/>
        <v>531</v>
      </c>
      <c r="K4100" s="150" t="s">
        <v>9184</v>
      </c>
      <c r="L4100" s="149" t="s">
        <v>2278</v>
      </c>
      <c r="M4100" s="151">
        <v>3442.05</v>
      </c>
    </row>
    <row r="4101" spans="1:13" s="149" customFormat="1" x14ac:dyDescent="0.25">
      <c r="A4101" s="149" t="s">
        <v>7640</v>
      </c>
      <c r="B4101" s="149" t="s">
        <v>2279</v>
      </c>
      <c r="C4101" s="149">
        <v>11</v>
      </c>
      <c r="D4101" s="149">
        <v>350</v>
      </c>
      <c r="E4101" s="149">
        <v>1</v>
      </c>
      <c r="F4101" s="149">
        <v>70100</v>
      </c>
      <c r="G4101" s="149">
        <v>53330</v>
      </c>
      <c r="H4101" s="150" t="str">
        <f t="shared" si="192"/>
        <v>5</v>
      </c>
      <c r="I4101" s="150" t="str">
        <f t="shared" si="193"/>
        <v>53</v>
      </c>
      <c r="J4101" s="150" t="str">
        <f t="shared" si="194"/>
        <v>533</v>
      </c>
      <c r="K4101" s="150" t="s">
        <v>9185</v>
      </c>
      <c r="L4101" s="149" t="s">
        <v>245</v>
      </c>
      <c r="M4101" s="151">
        <v>1292.1500000000001</v>
      </c>
    </row>
    <row r="4102" spans="1:13" s="149" customFormat="1" x14ac:dyDescent="0.25">
      <c r="A4102" s="149" t="s">
        <v>7640</v>
      </c>
      <c r="B4102" s="149" t="s">
        <v>2280</v>
      </c>
      <c r="C4102" s="149">
        <v>11</v>
      </c>
      <c r="D4102" s="149">
        <v>350</v>
      </c>
      <c r="E4102" s="149">
        <v>1</v>
      </c>
      <c r="F4102" s="149">
        <v>70100</v>
      </c>
      <c r="G4102" s="149">
        <v>53340</v>
      </c>
      <c r="H4102" s="150" t="str">
        <f t="shared" si="192"/>
        <v>5</v>
      </c>
      <c r="I4102" s="150" t="str">
        <f t="shared" si="193"/>
        <v>53</v>
      </c>
      <c r="J4102" s="150" t="str">
        <f t="shared" si="194"/>
        <v>533</v>
      </c>
      <c r="K4102" s="150" t="s">
        <v>9186</v>
      </c>
      <c r="L4102" s="149" t="s">
        <v>2281</v>
      </c>
      <c r="M4102" s="151">
        <v>307.19</v>
      </c>
    </row>
    <row r="4103" spans="1:13" s="149" customFormat="1" x14ac:dyDescent="0.25">
      <c r="A4103" s="149" t="s">
        <v>7640</v>
      </c>
      <c r="B4103" s="149" t="s">
        <v>2282</v>
      </c>
      <c r="C4103" s="149">
        <v>11</v>
      </c>
      <c r="D4103" s="149">
        <v>350</v>
      </c>
      <c r="E4103" s="149">
        <v>1</v>
      </c>
      <c r="F4103" s="149">
        <v>70100</v>
      </c>
      <c r="G4103" s="149">
        <v>53410</v>
      </c>
      <c r="H4103" s="150" t="str">
        <f t="shared" si="192"/>
        <v>5</v>
      </c>
      <c r="I4103" s="150" t="str">
        <f t="shared" si="193"/>
        <v>53</v>
      </c>
      <c r="J4103" s="150" t="str">
        <f t="shared" si="194"/>
        <v>534</v>
      </c>
      <c r="K4103" s="150" t="s">
        <v>9187</v>
      </c>
      <c r="L4103" s="149" t="s">
        <v>1898</v>
      </c>
      <c r="M4103" s="151">
        <v>15238.92</v>
      </c>
    </row>
    <row r="4104" spans="1:13" s="149" customFormat="1" x14ac:dyDescent="0.25">
      <c r="A4104" s="149" t="s">
        <v>7640</v>
      </c>
      <c r="B4104" s="149" t="s">
        <v>2283</v>
      </c>
      <c r="C4104" s="149">
        <v>11</v>
      </c>
      <c r="D4104" s="149">
        <v>350</v>
      </c>
      <c r="E4104" s="149">
        <v>1</v>
      </c>
      <c r="F4104" s="149">
        <v>70100</v>
      </c>
      <c r="G4104" s="149">
        <v>53420</v>
      </c>
      <c r="H4104" s="150" t="str">
        <f t="shared" si="192"/>
        <v>5</v>
      </c>
      <c r="I4104" s="150" t="str">
        <f t="shared" si="193"/>
        <v>53</v>
      </c>
      <c r="J4104" s="150" t="str">
        <f t="shared" si="194"/>
        <v>534</v>
      </c>
      <c r="K4104" s="150" t="s">
        <v>9188</v>
      </c>
      <c r="L4104" s="149" t="s">
        <v>2284</v>
      </c>
      <c r="M4104" s="151">
        <v>5079.59</v>
      </c>
    </row>
    <row r="4105" spans="1:13" s="149" customFormat="1" x14ac:dyDescent="0.25">
      <c r="A4105" s="149" t="s">
        <v>7640</v>
      </c>
      <c r="B4105" s="149" t="s">
        <v>2285</v>
      </c>
      <c r="C4105" s="149">
        <v>11</v>
      </c>
      <c r="D4105" s="149">
        <v>350</v>
      </c>
      <c r="E4105" s="149">
        <v>1</v>
      </c>
      <c r="F4105" s="149">
        <v>70100</v>
      </c>
      <c r="G4105" s="149">
        <v>53510</v>
      </c>
      <c r="H4105" s="150" t="str">
        <f t="shared" si="192"/>
        <v>5</v>
      </c>
      <c r="I4105" s="150" t="str">
        <f t="shared" si="193"/>
        <v>53</v>
      </c>
      <c r="J4105" s="150" t="str">
        <f t="shared" si="194"/>
        <v>535</v>
      </c>
      <c r="K4105" s="150" t="s">
        <v>9189</v>
      </c>
      <c r="L4105" s="149" t="s">
        <v>247</v>
      </c>
      <c r="M4105" s="151">
        <v>44.71</v>
      </c>
    </row>
    <row r="4106" spans="1:13" s="149" customFormat="1" x14ac:dyDescent="0.25">
      <c r="A4106" s="149" t="s">
        <v>7640</v>
      </c>
      <c r="B4106" s="149" t="s">
        <v>2286</v>
      </c>
      <c r="C4106" s="149">
        <v>11</v>
      </c>
      <c r="D4106" s="149">
        <v>350</v>
      </c>
      <c r="E4106" s="149">
        <v>1</v>
      </c>
      <c r="F4106" s="149">
        <v>70100</v>
      </c>
      <c r="G4106" s="149">
        <v>53520</v>
      </c>
      <c r="H4106" s="150" t="str">
        <f t="shared" si="192"/>
        <v>5</v>
      </c>
      <c r="I4106" s="150" t="str">
        <f t="shared" si="193"/>
        <v>53</v>
      </c>
      <c r="J4106" s="150" t="str">
        <f t="shared" si="194"/>
        <v>535</v>
      </c>
      <c r="K4106" s="150" t="s">
        <v>9190</v>
      </c>
      <c r="L4106" s="149" t="s">
        <v>2287</v>
      </c>
      <c r="M4106" s="151">
        <v>10.68</v>
      </c>
    </row>
    <row r="4107" spans="1:13" s="149" customFormat="1" x14ac:dyDescent="0.25">
      <c r="A4107" s="149" t="s">
        <v>7640</v>
      </c>
      <c r="B4107" s="149" t="s">
        <v>2288</v>
      </c>
      <c r="C4107" s="149">
        <v>11</v>
      </c>
      <c r="D4107" s="149">
        <v>350</v>
      </c>
      <c r="E4107" s="149">
        <v>1</v>
      </c>
      <c r="F4107" s="149">
        <v>70100</v>
      </c>
      <c r="G4107" s="149">
        <v>53610</v>
      </c>
      <c r="H4107" s="150" t="str">
        <f t="shared" si="192"/>
        <v>5</v>
      </c>
      <c r="I4107" s="150" t="str">
        <f t="shared" si="193"/>
        <v>53</v>
      </c>
      <c r="J4107" s="150" t="str">
        <f t="shared" si="194"/>
        <v>536</v>
      </c>
      <c r="K4107" s="150" t="s">
        <v>9191</v>
      </c>
      <c r="L4107" s="149" t="s">
        <v>249</v>
      </c>
      <c r="M4107" s="151">
        <v>1692.28</v>
      </c>
    </row>
    <row r="4108" spans="1:13" s="149" customFormat="1" x14ac:dyDescent="0.25">
      <c r="A4108" s="149" t="s">
        <v>7640</v>
      </c>
      <c r="B4108" s="149" t="s">
        <v>2289</v>
      </c>
      <c r="C4108" s="149">
        <v>11</v>
      </c>
      <c r="D4108" s="149">
        <v>350</v>
      </c>
      <c r="E4108" s="149">
        <v>1</v>
      </c>
      <c r="F4108" s="149">
        <v>70100</v>
      </c>
      <c r="G4108" s="149">
        <v>53620</v>
      </c>
      <c r="H4108" s="150" t="str">
        <f t="shared" si="192"/>
        <v>5</v>
      </c>
      <c r="I4108" s="150" t="str">
        <f t="shared" si="193"/>
        <v>53</v>
      </c>
      <c r="J4108" s="150" t="str">
        <f t="shared" si="194"/>
        <v>536</v>
      </c>
      <c r="K4108" s="150" t="s">
        <v>9192</v>
      </c>
      <c r="L4108" s="149" t="s">
        <v>2290</v>
      </c>
      <c r="M4108" s="151">
        <v>402.96</v>
      </c>
    </row>
    <row r="4109" spans="1:13" s="149" customFormat="1" x14ac:dyDescent="0.25">
      <c r="A4109" s="149" t="s">
        <v>7640</v>
      </c>
      <c r="B4109" s="149" t="s">
        <v>2291</v>
      </c>
      <c r="C4109" s="149">
        <v>11</v>
      </c>
      <c r="D4109" s="149">
        <v>350</v>
      </c>
      <c r="E4109" s="149">
        <v>1</v>
      </c>
      <c r="F4109" s="149">
        <v>94500</v>
      </c>
      <c r="G4109" s="149">
        <v>52200</v>
      </c>
      <c r="H4109" s="150" t="str">
        <f t="shared" si="192"/>
        <v>5</v>
      </c>
      <c r="I4109" s="150" t="str">
        <f t="shared" si="193"/>
        <v>52</v>
      </c>
      <c r="J4109" s="150" t="str">
        <f t="shared" si="194"/>
        <v>522</v>
      </c>
      <c r="K4109" s="150" t="s">
        <v>9193</v>
      </c>
      <c r="L4109" s="149" t="s">
        <v>2292</v>
      </c>
      <c r="M4109" s="151">
        <v>24913.1</v>
      </c>
    </row>
    <row r="4110" spans="1:13" s="149" customFormat="1" x14ac:dyDescent="0.25">
      <c r="A4110" s="149" t="s">
        <v>7640</v>
      </c>
      <c r="B4110" s="149" t="s">
        <v>2293</v>
      </c>
      <c r="C4110" s="149">
        <v>11</v>
      </c>
      <c r="D4110" s="149">
        <v>350</v>
      </c>
      <c r="E4110" s="149">
        <v>1</v>
      </c>
      <c r="F4110" s="149">
        <v>94500</v>
      </c>
      <c r="G4110" s="149">
        <v>53210</v>
      </c>
      <c r="H4110" s="150" t="str">
        <f t="shared" si="192"/>
        <v>5</v>
      </c>
      <c r="I4110" s="150" t="str">
        <f t="shared" si="193"/>
        <v>53</v>
      </c>
      <c r="J4110" s="150" t="str">
        <f t="shared" si="194"/>
        <v>532</v>
      </c>
      <c r="K4110" s="150" t="s">
        <v>9194</v>
      </c>
      <c r="L4110" s="149" t="s">
        <v>2294</v>
      </c>
      <c r="M4110" s="151">
        <v>5157.13</v>
      </c>
    </row>
    <row r="4111" spans="1:13" s="149" customFormat="1" x14ac:dyDescent="0.25">
      <c r="A4111" s="149" t="s">
        <v>7640</v>
      </c>
      <c r="B4111" s="149" t="s">
        <v>2295</v>
      </c>
      <c r="C4111" s="149">
        <v>11</v>
      </c>
      <c r="D4111" s="149">
        <v>350</v>
      </c>
      <c r="E4111" s="149">
        <v>1</v>
      </c>
      <c r="F4111" s="149">
        <v>94500</v>
      </c>
      <c r="G4111" s="149">
        <v>53310</v>
      </c>
      <c r="H4111" s="150" t="str">
        <f t="shared" si="192"/>
        <v>5</v>
      </c>
      <c r="I4111" s="150" t="str">
        <f t="shared" si="193"/>
        <v>53</v>
      </c>
      <c r="J4111" s="150" t="str">
        <f t="shared" si="194"/>
        <v>533</v>
      </c>
      <c r="K4111" s="150" t="s">
        <v>9195</v>
      </c>
      <c r="L4111" s="149" t="s">
        <v>2296</v>
      </c>
      <c r="M4111" s="151">
        <v>1544.6</v>
      </c>
    </row>
    <row r="4112" spans="1:13" s="149" customFormat="1" x14ac:dyDescent="0.25">
      <c r="A4112" s="149" t="s">
        <v>7640</v>
      </c>
      <c r="B4112" s="149" t="s">
        <v>2297</v>
      </c>
      <c r="C4112" s="149">
        <v>11</v>
      </c>
      <c r="D4112" s="149">
        <v>350</v>
      </c>
      <c r="E4112" s="149">
        <v>1</v>
      </c>
      <c r="F4112" s="149">
        <v>94500</v>
      </c>
      <c r="G4112" s="149">
        <v>53330</v>
      </c>
      <c r="H4112" s="150" t="str">
        <f t="shared" si="192"/>
        <v>5</v>
      </c>
      <c r="I4112" s="150" t="str">
        <f t="shared" si="193"/>
        <v>53</v>
      </c>
      <c r="J4112" s="150" t="str">
        <f t="shared" si="194"/>
        <v>533</v>
      </c>
      <c r="K4112" s="150" t="s">
        <v>9196</v>
      </c>
      <c r="L4112" s="149" t="s">
        <v>2298</v>
      </c>
      <c r="M4112" s="151">
        <v>361.29</v>
      </c>
    </row>
    <row r="4113" spans="1:13" s="149" customFormat="1" x14ac:dyDescent="0.25">
      <c r="A4113" s="149" t="s">
        <v>7640</v>
      </c>
      <c r="B4113" s="149" t="s">
        <v>2299</v>
      </c>
      <c r="C4113" s="149">
        <v>11</v>
      </c>
      <c r="D4113" s="149">
        <v>350</v>
      </c>
      <c r="E4113" s="149">
        <v>1</v>
      </c>
      <c r="F4113" s="149">
        <v>94500</v>
      </c>
      <c r="G4113" s="149">
        <v>53410</v>
      </c>
      <c r="H4113" s="150" t="str">
        <f t="shared" si="192"/>
        <v>5</v>
      </c>
      <c r="I4113" s="150" t="str">
        <f t="shared" si="193"/>
        <v>53</v>
      </c>
      <c r="J4113" s="150" t="str">
        <f t="shared" si="194"/>
        <v>534</v>
      </c>
      <c r="K4113" s="150" t="s">
        <v>9197</v>
      </c>
      <c r="L4113" s="149" t="s">
        <v>2300</v>
      </c>
      <c r="M4113" s="151">
        <v>5363.14</v>
      </c>
    </row>
    <row r="4114" spans="1:13" s="149" customFormat="1" x14ac:dyDescent="0.25">
      <c r="A4114" s="149" t="s">
        <v>7640</v>
      </c>
      <c r="B4114" s="149" t="s">
        <v>2301</v>
      </c>
      <c r="C4114" s="149">
        <v>11</v>
      </c>
      <c r="D4114" s="149">
        <v>350</v>
      </c>
      <c r="E4114" s="149">
        <v>1</v>
      </c>
      <c r="F4114" s="149">
        <v>94500</v>
      </c>
      <c r="G4114" s="149">
        <v>53510</v>
      </c>
      <c r="H4114" s="150" t="str">
        <f t="shared" si="192"/>
        <v>5</v>
      </c>
      <c r="I4114" s="150" t="str">
        <f t="shared" si="193"/>
        <v>53</v>
      </c>
      <c r="J4114" s="150" t="str">
        <f t="shared" si="194"/>
        <v>535</v>
      </c>
      <c r="K4114" s="150" t="s">
        <v>9198</v>
      </c>
      <c r="L4114" s="149" t="s">
        <v>2302</v>
      </c>
      <c r="M4114" s="151">
        <v>12.45</v>
      </c>
    </row>
    <row r="4115" spans="1:13" s="149" customFormat="1" x14ac:dyDescent="0.25">
      <c r="A4115" s="149" t="s">
        <v>7640</v>
      </c>
      <c r="B4115" s="149" t="s">
        <v>2303</v>
      </c>
      <c r="C4115" s="149">
        <v>11</v>
      </c>
      <c r="D4115" s="149">
        <v>350</v>
      </c>
      <c r="E4115" s="149">
        <v>1</v>
      </c>
      <c r="F4115" s="149">
        <v>94500</v>
      </c>
      <c r="G4115" s="149">
        <v>53610</v>
      </c>
      <c r="H4115" s="150" t="str">
        <f t="shared" si="192"/>
        <v>5</v>
      </c>
      <c r="I4115" s="150" t="str">
        <f t="shared" si="193"/>
        <v>53</v>
      </c>
      <c r="J4115" s="150" t="str">
        <f t="shared" si="194"/>
        <v>536</v>
      </c>
      <c r="K4115" s="150" t="s">
        <v>9199</v>
      </c>
      <c r="L4115" s="149" t="s">
        <v>2304</v>
      </c>
      <c r="M4115" s="151">
        <v>472.28</v>
      </c>
    </row>
    <row r="4116" spans="1:13" s="149" customFormat="1" x14ac:dyDescent="0.25">
      <c r="A4116" s="149" t="s">
        <v>7640</v>
      </c>
      <c r="B4116" s="149" t="s">
        <v>2305</v>
      </c>
      <c r="C4116" s="149">
        <v>11</v>
      </c>
      <c r="D4116" s="149">
        <v>350</v>
      </c>
      <c r="E4116" s="149">
        <v>1</v>
      </c>
      <c r="F4116" s="149">
        <v>94500</v>
      </c>
      <c r="G4116" s="149">
        <v>54300</v>
      </c>
      <c r="H4116" s="150" t="str">
        <f t="shared" si="192"/>
        <v>5</v>
      </c>
      <c r="I4116" s="150" t="str">
        <f t="shared" si="193"/>
        <v>54</v>
      </c>
      <c r="J4116" s="150" t="str">
        <f t="shared" si="194"/>
        <v>543</v>
      </c>
      <c r="K4116" s="150" t="s">
        <v>7954</v>
      </c>
      <c r="L4116" s="149" t="s">
        <v>2306</v>
      </c>
      <c r="M4116" s="151">
        <v>1575.14</v>
      </c>
    </row>
    <row r="4117" spans="1:13" s="149" customFormat="1" x14ac:dyDescent="0.25">
      <c r="A4117" s="149" t="s">
        <v>7640</v>
      </c>
      <c r="B4117" s="149" t="s">
        <v>2307</v>
      </c>
      <c r="C4117" s="149">
        <v>11</v>
      </c>
      <c r="D4117" s="149">
        <v>350</v>
      </c>
      <c r="E4117" s="149">
        <v>1</v>
      </c>
      <c r="F4117" s="149">
        <v>94500</v>
      </c>
      <c r="G4117" s="149">
        <v>55200</v>
      </c>
      <c r="H4117" s="150" t="str">
        <f t="shared" si="192"/>
        <v>5</v>
      </c>
      <c r="I4117" s="150" t="str">
        <f t="shared" si="193"/>
        <v>55</v>
      </c>
      <c r="J4117" s="150" t="str">
        <f t="shared" si="194"/>
        <v>552</v>
      </c>
      <c r="K4117" s="150" t="s">
        <v>8055</v>
      </c>
      <c r="L4117" s="149" t="s">
        <v>2308</v>
      </c>
      <c r="M4117" s="151">
        <v>250</v>
      </c>
    </row>
    <row r="4118" spans="1:13" s="149" customFormat="1" x14ac:dyDescent="0.25">
      <c r="A4118" s="149" t="s">
        <v>7640</v>
      </c>
      <c r="B4118" s="149" t="s">
        <v>9597</v>
      </c>
      <c r="C4118" s="149">
        <v>11</v>
      </c>
      <c r="D4118" s="149">
        <v>350</v>
      </c>
      <c r="E4118" s="149">
        <v>1</v>
      </c>
      <c r="F4118" s="149">
        <v>94500</v>
      </c>
      <c r="G4118" s="149">
        <v>55300</v>
      </c>
      <c r="H4118" s="150" t="str">
        <f t="shared" si="192"/>
        <v>5</v>
      </c>
      <c r="I4118" s="150" t="str">
        <f t="shared" si="193"/>
        <v>55</v>
      </c>
      <c r="J4118" s="150" t="str">
        <f t="shared" si="194"/>
        <v>553</v>
      </c>
      <c r="K4118" s="150" t="s">
        <v>8091</v>
      </c>
      <c r="L4118" s="149" t="s">
        <v>9598</v>
      </c>
      <c r="M4118" s="151">
        <v>140</v>
      </c>
    </row>
    <row r="4119" spans="1:13" s="149" customFormat="1" x14ac:dyDescent="0.25">
      <c r="A4119" s="149" t="s">
        <v>7640</v>
      </c>
      <c r="B4119" s="149" t="s">
        <v>2309</v>
      </c>
      <c r="C4119" s="149">
        <v>11</v>
      </c>
      <c r="D4119" s="149">
        <v>350</v>
      </c>
      <c r="E4119" s="149">
        <v>1</v>
      </c>
      <c r="F4119" s="149">
        <v>94500</v>
      </c>
      <c r="G4119" s="149">
        <v>55630</v>
      </c>
      <c r="H4119" s="150" t="str">
        <f t="shared" si="192"/>
        <v>5</v>
      </c>
      <c r="I4119" s="150" t="str">
        <f t="shared" si="193"/>
        <v>55</v>
      </c>
      <c r="J4119" s="150" t="str">
        <f t="shared" si="194"/>
        <v>556</v>
      </c>
      <c r="K4119" s="150" t="s">
        <v>8243</v>
      </c>
      <c r="L4119" s="149" t="s">
        <v>2310</v>
      </c>
      <c r="M4119" s="151">
        <v>0</v>
      </c>
    </row>
    <row r="4120" spans="1:13" s="149" customFormat="1" x14ac:dyDescent="0.25">
      <c r="A4120" s="149" t="s">
        <v>7640</v>
      </c>
      <c r="B4120" s="149" t="s">
        <v>2311</v>
      </c>
      <c r="C4120" s="149">
        <v>11</v>
      </c>
      <c r="D4120" s="149">
        <v>350</v>
      </c>
      <c r="E4120" s="149">
        <v>1</v>
      </c>
      <c r="F4120" s="149">
        <v>94500</v>
      </c>
      <c r="G4120" s="149">
        <v>55651</v>
      </c>
      <c r="H4120" s="150" t="str">
        <f t="shared" si="192"/>
        <v>5</v>
      </c>
      <c r="I4120" s="150" t="str">
        <f t="shared" si="193"/>
        <v>55</v>
      </c>
      <c r="J4120" s="150" t="str">
        <f t="shared" si="194"/>
        <v>556</v>
      </c>
      <c r="K4120" s="150" t="s">
        <v>8321</v>
      </c>
      <c r="L4120" s="149" t="s">
        <v>2312</v>
      </c>
      <c r="M4120" s="151">
        <v>0</v>
      </c>
    </row>
    <row r="4121" spans="1:13" s="149" customFormat="1" x14ac:dyDescent="0.25">
      <c r="A4121" s="149" t="s">
        <v>7640</v>
      </c>
      <c r="B4121" s="149" t="s">
        <v>2313</v>
      </c>
      <c r="C4121" s="149">
        <v>11</v>
      </c>
      <c r="D4121" s="149">
        <v>350</v>
      </c>
      <c r="E4121" s="149">
        <v>1</v>
      </c>
      <c r="F4121" s="149">
        <v>94700</v>
      </c>
      <c r="G4121" s="149">
        <v>51100</v>
      </c>
      <c r="H4121" s="150" t="str">
        <f t="shared" si="192"/>
        <v>5</v>
      </c>
      <c r="I4121" s="150" t="str">
        <f t="shared" si="193"/>
        <v>51</v>
      </c>
      <c r="J4121" s="150" t="str">
        <f t="shared" si="194"/>
        <v>511</v>
      </c>
      <c r="K4121" s="150" t="s">
        <v>9200</v>
      </c>
      <c r="L4121" s="149" t="s">
        <v>2314</v>
      </c>
      <c r="M4121" s="151">
        <v>151719.39000000001</v>
      </c>
    </row>
    <row r="4122" spans="1:13" s="149" customFormat="1" x14ac:dyDescent="0.25">
      <c r="A4122" s="149" t="s">
        <v>7640</v>
      </c>
      <c r="B4122" s="149" t="s">
        <v>2315</v>
      </c>
      <c r="C4122" s="149">
        <v>11</v>
      </c>
      <c r="D4122" s="149">
        <v>350</v>
      </c>
      <c r="E4122" s="149">
        <v>1</v>
      </c>
      <c r="F4122" s="149">
        <v>94700</v>
      </c>
      <c r="G4122" s="149">
        <v>51310</v>
      </c>
      <c r="H4122" s="150" t="str">
        <f t="shared" si="192"/>
        <v>5</v>
      </c>
      <c r="I4122" s="150" t="str">
        <f t="shared" si="193"/>
        <v>51</v>
      </c>
      <c r="J4122" s="150" t="str">
        <f t="shared" si="194"/>
        <v>513</v>
      </c>
      <c r="K4122" s="150" t="s">
        <v>7681</v>
      </c>
      <c r="L4122" s="149" t="s">
        <v>2316</v>
      </c>
      <c r="M4122" s="151">
        <v>15661.66</v>
      </c>
    </row>
    <row r="4123" spans="1:13" s="149" customFormat="1" x14ac:dyDescent="0.25">
      <c r="A4123" s="149" t="s">
        <v>7640</v>
      </c>
      <c r="B4123" s="149" t="s">
        <v>2317</v>
      </c>
      <c r="C4123" s="149">
        <v>11</v>
      </c>
      <c r="D4123" s="149">
        <v>350</v>
      </c>
      <c r="E4123" s="149">
        <v>1</v>
      </c>
      <c r="F4123" s="149">
        <v>94700</v>
      </c>
      <c r="G4123" s="149">
        <v>51311</v>
      </c>
      <c r="H4123" s="150" t="str">
        <f t="shared" si="192"/>
        <v>5</v>
      </c>
      <c r="I4123" s="150" t="str">
        <f t="shared" si="193"/>
        <v>51</v>
      </c>
      <c r="J4123" s="150" t="str">
        <f t="shared" si="194"/>
        <v>513</v>
      </c>
      <c r="K4123" s="150" t="s">
        <v>7759</v>
      </c>
      <c r="L4123" s="149" t="s">
        <v>2318</v>
      </c>
      <c r="M4123" s="151">
        <v>8419.7000000000007</v>
      </c>
    </row>
    <row r="4124" spans="1:13" s="149" customFormat="1" x14ac:dyDescent="0.25">
      <c r="A4124" s="149" t="s">
        <v>7640</v>
      </c>
      <c r="B4124" s="149" t="s">
        <v>2319</v>
      </c>
      <c r="C4124" s="149">
        <v>11</v>
      </c>
      <c r="D4124" s="149">
        <v>350</v>
      </c>
      <c r="E4124" s="149">
        <v>1</v>
      </c>
      <c r="F4124" s="149">
        <v>94700</v>
      </c>
      <c r="G4124" s="149">
        <v>51412</v>
      </c>
      <c r="H4124" s="150" t="str">
        <f t="shared" si="192"/>
        <v>5</v>
      </c>
      <c r="I4124" s="150" t="str">
        <f t="shared" si="193"/>
        <v>51</v>
      </c>
      <c r="J4124" s="150" t="str">
        <f t="shared" si="194"/>
        <v>514</v>
      </c>
      <c r="K4124" s="150" t="s">
        <v>7798</v>
      </c>
      <c r="L4124" s="149" t="s">
        <v>2320</v>
      </c>
      <c r="M4124" s="151">
        <v>0</v>
      </c>
    </row>
    <row r="4125" spans="1:13" s="149" customFormat="1" x14ac:dyDescent="0.25">
      <c r="A4125" s="149" t="s">
        <v>7640</v>
      </c>
      <c r="B4125" s="149" t="s">
        <v>2321</v>
      </c>
      <c r="C4125" s="149">
        <v>11</v>
      </c>
      <c r="D4125" s="149">
        <v>350</v>
      </c>
      <c r="E4125" s="149">
        <v>1</v>
      </c>
      <c r="F4125" s="149">
        <v>94700</v>
      </c>
      <c r="G4125" s="149">
        <v>52200</v>
      </c>
      <c r="H4125" s="150" t="str">
        <f t="shared" si="192"/>
        <v>5</v>
      </c>
      <c r="I4125" s="150" t="str">
        <f t="shared" si="193"/>
        <v>52</v>
      </c>
      <c r="J4125" s="150" t="str">
        <f t="shared" si="194"/>
        <v>522</v>
      </c>
      <c r="K4125" s="150" t="s">
        <v>9201</v>
      </c>
      <c r="L4125" s="149" t="s">
        <v>2322</v>
      </c>
      <c r="M4125" s="151">
        <v>0</v>
      </c>
    </row>
    <row r="4126" spans="1:13" s="149" customFormat="1" x14ac:dyDescent="0.25">
      <c r="A4126" s="149" t="s">
        <v>7640</v>
      </c>
      <c r="B4126" s="149" t="s">
        <v>2323</v>
      </c>
      <c r="C4126" s="149">
        <v>11</v>
      </c>
      <c r="D4126" s="149">
        <v>350</v>
      </c>
      <c r="E4126" s="149">
        <v>1</v>
      </c>
      <c r="F4126" s="149">
        <v>94700</v>
      </c>
      <c r="G4126" s="149">
        <v>52360</v>
      </c>
      <c r="H4126" s="150" t="str">
        <f t="shared" si="192"/>
        <v>5</v>
      </c>
      <c r="I4126" s="150" t="str">
        <f t="shared" si="193"/>
        <v>52</v>
      </c>
      <c r="J4126" s="150" t="str">
        <f t="shared" si="194"/>
        <v>523</v>
      </c>
      <c r="K4126" s="150" t="s">
        <v>7875</v>
      </c>
      <c r="L4126" s="149" t="s">
        <v>2324</v>
      </c>
      <c r="M4126" s="151">
        <v>0</v>
      </c>
    </row>
    <row r="4127" spans="1:13" s="149" customFormat="1" x14ac:dyDescent="0.25">
      <c r="A4127" s="149" t="s">
        <v>7640</v>
      </c>
      <c r="B4127" s="149" t="s">
        <v>2325</v>
      </c>
      <c r="C4127" s="149">
        <v>11</v>
      </c>
      <c r="D4127" s="149">
        <v>350</v>
      </c>
      <c r="E4127" s="149">
        <v>1</v>
      </c>
      <c r="F4127" s="149">
        <v>94700</v>
      </c>
      <c r="G4127" s="149">
        <v>53110</v>
      </c>
      <c r="H4127" s="150" t="str">
        <f t="shared" si="192"/>
        <v>5</v>
      </c>
      <c r="I4127" s="150" t="str">
        <f t="shared" si="193"/>
        <v>53</v>
      </c>
      <c r="J4127" s="150" t="str">
        <f t="shared" si="194"/>
        <v>531</v>
      </c>
      <c r="K4127" s="150" t="s">
        <v>9202</v>
      </c>
      <c r="L4127" s="149" t="s">
        <v>2326</v>
      </c>
      <c r="M4127" s="151">
        <v>28391.86</v>
      </c>
    </row>
    <row r="4128" spans="1:13" s="149" customFormat="1" x14ac:dyDescent="0.25">
      <c r="A4128" s="149" t="s">
        <v>7640</v>
      </c>
      <c r="B4128" s="149" t="s">
        <v>2327</v>
      </c>
      <c r="C4128" s="149">
        <v>11</v>
      </c>
      <c r="D4128" s="149">
        <v>350</v>
      </c>
      <c r="E4128" s="149">
        <v>1</v>
      </c>
      <c r="F4128" s="149">
        <v>94700</v>
      </c>
      <c r="G4128" s="149">
        <v>53120</v>
      </c>
      <c r="H4128" s="150" t="str">
        <f t="shared" si="192"/>
        <v>5</v>
      </c>
      <c r="I4128" s="150" t="str">
        <f t="shared" si="193"/>
        <v>53</v>
      </c>
      <c r="J4128" s="150" t="str">
        <f t="shared" si="194"/>
        <v>531</v>
      </c>
      <c r="K4128" s="150" t="s">
        <v>9203</v>
      </c>
      <c r="L4128" s="149" t="s">
        <v>2328</v>
      </c>
      <c r="M4128" s="151">
        <v>0</v>
      </c>
    </row>
    <row r="4129" spans="1:13" s="149" customFormat="1" x14ac:dyDescent="0.25">
      <c r="A4129" s="149" t="s">
        <v>7640</v>
      </c>
      <c r="B4129" s="149" t="s">
        <v>2329</v>
      </c>
      <c r="C4129" s="149">
        <v>11</v>
      </c>
      <c r="D4129" s="149">
        <v>350</v>
      </c>
      <c r="E4129" s="149">
        <v>1</v>
      </c>
      <c r="F4129" s="149">
        <v>94700</v>
      </c>
      <c r="G4129" s="149">
        <v>53210</v>
      </c>
      <c r="H4129" s="150" t="str">
        <f t="shared" si="192"/>
        <v>5</v>
      </c>
      <c r="I4129" s="150" t="str">
        <f t="shared" si="193"/>
        <v>53</v>
      </c>
      <c r="J4129" s="150" t="str">
        <f t="shared" si="194"/>
        <v>532</v>
      </c>
      <c r="K4129" s="150" t="s">
        <v>9204</v>
      </c>
      <c r="L4129" s="149" t="s">
        <v>2330</v>
      </c>
      <c r="M4129" s="151">
        <v>0</v>
      </c>
    </row>
    <row r="4130" spans="1:13" s="149" customFormat="1" x14ac:dyDescent="0.25">
      <c r="A4130" s="149" t="s">
        <v>7640</v>
      </c>
      <c r="B4130" s="149" t="s">
        <v>2331</v>
      </c>
      <c r="C4130" s="149">
        <v>11</v>
      </c>
      <c r="D4130" s="149">
        <v>350</v>
      </c>
      <c r="E4130" s="149">
        <v>1</v>
      </c>
      <c r="F4130" s="149">
        <v>94700</v>
      </c>
      <c r="G4130" s="149">
        <v>53310</v>
      </c>
      <c r="H4130" s="150" t="str">
        <f t="shared" si="192"/>
        <v>5</v>
      </c>
      <c r="I4130" s="150" t="str">
        <f t="shared" si="193"/>
        <v>53</v>
      </c>
      <c r="J4130" s="150" t="str">
        <f t="shared" si="194"/>
        <v>533</v>
      </c>
      <c r="K4130" s="150" t="s">
        <v>9205</v>
      </c>
      <c r="L4130" s="149" t="s">
        <v>2332</v>
      </c>
      <c r="M4130" s="151">
        <v>0</v>
      </c>
    </row>
    <row r="4131" spans="1:13" s="149" customFormat="1" x14ac:dyDescent="0.25">
      <c r="A4131" s="149" t="s">
        <v>7640</v>
      </c>
      <c r="B4131" s="149" t="s">
        <v>2333</v>
      </c>
      <c r="C4131" s="149">
        <v>11</v>
      </c>
      <c r="D4131" s="149">
        <v>350</v>
      </c>
      <c r="E4131" s="149">
        <v>1</v>
      </c>
      <c r="F4131" s="149">
        <v>94700</v>
      </c>
      <c r="G4131" s="149">
        <v>53320</v>
      </c>
      <c r="H4131" s="150" t="str">
        <f t="shared" si="192"/>
        <v>5</v>
      </c>
      <c r="I4131" s="150" t="str">
        <f t="shared" si="193"/>
        <v>53</v>
      </c>
      <c r="J4131" s="150" t="str">
        <f t="shared" si="194"/>
        <v>533</v>
      </c>
      <c r="K4131" s="150" t="s">
        <v>9206</v>
      </c>
      <c r="L4131" s="149" t="s">
        <v>2334</v>
      </c>
      <c r="M4131" s="151">
        <v>0</v>
      </c>
    </row>
    <row r="4132" spans="1:13" s="149" customFormat="1" x14ac:dyDescent="0.25">
      <c r="A4132" s="149" t="s">
        <v>7640</v>
      </c>
      <c r="B4132" s="149" t="s">
        <v>2335</v>
      </c>
      <c r="C4132" s="149">
        <v>11</v>
      </c>
      <c r="D4132" s="149">
        <v>350</v>
      </c>
      <c r="E4132" s="149">
        <v>1</v>
      </c>
      <c r="F4132" s="149">
        <v>94700</v>
      </c>
      <c r="G4132" s="149">
        <v>53330</v>
      </c>
      <c r="H4132" s="150" t="str">
        <f t="shared" si="192"/>
        <v>5</v>
      </c>
      <c r="I4132" s="150" t="str">
        <f t="shared" si="193"/>
        <v>53</v>
      </c>
      <c r="J4132" s="150" t="str">
        <f t="shared" si="194"/>
        <v>533</v>
      </c>
      <c r="K4132" s="150" t="s">
        <v>9207</v>
      </c>
      <c r="L4132" s="149" t="s">
        <v>2336</v>
      </c>
      <c r="M4132" s="151">
        <v>2537.6799999999998</v>
      </c>
    </row>
    <row r="4133" spans="1:13" s="149" customFormat="1" x14ac:dyDescent="0.25">
      <c r="A4133" s="149" t="s">
        <v>7640</v>
      </c>
      <c r="B4133" s="149" t="s">
        <v>2337</v>
      </c>
      <c r="C4133" s="149">
        <v>11</v>
      </c>
      <c r="D4133" s="149">
        <v>350</v>
      </c>
      <c r="E4133" s="149">
        <v>1</v>
      </c>
      <c r="F4133" s="149">
        <v>94700</v>
      </c>
      <c r="G4133" s="149">
        <v>53340</v>
      </c>
      <c r="H4133" s="150" t="str">
        <f t="shared" si="192"/>
        <v>5</v>
      </c>
      <c r="I4133" s="150" t="str">
        <f t="shared" si="193"/>
        <v>53</v>
      </c>
      <c r="J4133" s="150" t="str">
        <f t="shared" si="194"/>
        <v>533</v>
      </c>
      <c r="K4133" s="150" t="s">
        <v>9208</v>
      </c>
      <c r="L4133" s="149" t="s">
        <v>2338</v>
      </c>
      <c r="M4133" s="151">
        <v>0</v>
      </c>
    </row>
    <row r="4134" spans="1:13" s="149" customFormat="1" x14ac:dyDescent="0.25">
      <c r="A4134" s="149" t="s">
        <v>7640</v>
      </c>
      <c r="B4134" s="149" t="s">
        <v>2339</v>
      </c>
      <c r="C4134" s="149">
        <v>11</v>
      </c>
      <c r="D4134" s="149">
        <v>350</v>
      </c>
      <c r="E4134" s="149">
        <v>1</v>
      </c>
      <c r="F4134" s="149">
        <v>94700</v>
      </c>
      <c r="G4134" s="149">
        <v>53410</v>
      </c>
      <c r="H4134" s="150" t="str">
        <f t="shared" si="192"/>
        <v>5</v>
      </c>
      <c r="I4134" s="150" t="str">
        <f t="shared" si="193"/>
        <v>53</v>
      </c>
      <c r="J4134" s="150" t="str">
        <f t="shared" si="194"/>
        <v>534</v>
      </c>
      <c r="K4134" s="150" t="s">
        <v>9209</v>
      </c>
      <c r="L4134" s="149" t="s">
        <v>2340</v>
      </c>
      <c r="M4134" s="151">
        <v>27449.19</v>
      </c>
    </row>
    <row r="4135" spans="1:13" s="149" customFormat="1" x14ac:dyDescent="0.25">
      <c r="A4135" s="149" t="s">
        <v>7640</v>
      </c>
      <c r="B4135" s="149" t="s">
        <v>2341</v>
      </c>
      <c r="C4135" s="149">
        <v>11</v>
      </c>
      <c r="D4135" s="149">
        <v>350</v>
      </c>
      <c r="E4135" s="149">
        <v>1</v>
      </c>
      <c r="F4135" s="149">
        <v>94700</v>
      </c>
      <c r="G4135" s="149">
        <v>53510</v>
      </c>
      <c r="H4135" s="150" t="str">
        <f t="shared" si="192"/>
        <v>5</v>
      </c>
      <c r="I4135" s="150" t="str">
        <f t="shared" si="193"/>
        <v>53</v>
      </c>
      <c r="J4135" s="150" t="str">
        <f t="shared" si="194"/>
        <v>535</v>
      </c>
      <c r="K4135" s="150" t="s">
        <v>9210</v>
      </c>
      <c r="L4135" s="149" t="s">
        <v>2342</v>
      </c>
      <c r="M4135" s="151">
        <v>87.97</v>
      </c>
    </row>
    <row r="4136" spans="1:13" s="149" customFormat="1" x14ac:dyDescent="0.25">
      <c r="A4136" s="149" t="s">
        <v>7640</v>
      </c>
      <c r="B4136" s="149" t="s">
        <v>2343</v>
      </c>
      <c r="C4136" s="149">
        <v>11</v>
      </c>
      <c r="D4136" s="149">
        <v>350</v>
      </c>
      <c r="E4136" s="149">
        <v>1</v>
      </c>
      <c r="F4136" s="149">
        <v>94700</v>
      </c>
      <c r="G4136" s="149">
        <v>53520</v>
      </c>
      <c r="H4136" s="150" t="str">
        <f t="shared" si="192"/>
        <v>5</v>
      </c>
      <c r="I4136" s="150" t="str">
        <f t="shared" si="193"/>
        <v>53</v>
      </c>
      <c r="J4136" s="150" t="str">
        <f t="shared" si="194"/>
        <v>535</v>
      </c>
      <c r="K4136" s="150" t="s">
        <v>9211</v>
      </c>
      <c r="L4136" s="149" t="s">
        <v>2344</v>
      </c>
      <c r="M4136" s="151">
        <v>0</v>
      </c>
    </row>
    <row r="4137" spans="1:13" s="149" customFormat="1" x14ac:dyDescent="0.25">
      <c r="A4137" s="149" t="s">
        <v>7640</v>
      </c>
      <c r="B4137" s="149" t="s">
        <v>2345</v>
      </c>
      <c r="C4137" s="149">
        <v>11</v>
      </c>
      <c r="D4137" s="149">
        <v>350</v>
      </c>
      <c r="E4137" s="149">
        <v>1</v>
      </c>
      <c r="F4137" s="149">
        <v>94700</v>
      </c>
      <c r="G4137" s="149">
        <v>53610</v>
      </c>
      <c r="H4137" s="150" t="str">
        <f t="shared" si="192"/>
        <v>5</v>
      </c>
      <c r="I4137" s="150" t="str">
        <f t="shared" si="193"/>
        <v>53</v>
      </c>
      <c r="J4137" s="150" t="str">
        <f t="shared" si="194"/>
        <v>536</v>
      </c>
      <c r="K4137" s="150" t="s">
        <v>9212</v>
      </c>
      <c r="L4137" s="149" t="s">
        <v>2346</v>
      </c>
      <c r="M4137" s="151">
        <v>3326</v>
      </c>
    </row>
    <row r="4138" spans="1:13" s="149" customFormat="1" x14ac:dyDescent="0.25">
      <c r="A4138" s="149" t="s">
        <v>7640</v>
      </c>
      <c r="B4138" s="149" t="s">
        <v>2347</v>
      </c>
      <c r="C4138" s="149">
        <v>11</v>
      </c>
      <c r="D4138" s="149">
        <v>350</v>
      </c>
      <c r="E4138" s="149">
        <v>1</v>
      </c>
      <c r="F4138" s="149">
        <v>94700</v>
      </c>
      <c r="G4138" s="149">
        <v>53620</v>
      </c>
      <c r="H4138" s="150" t="str">
        <f t="shared" si="192"/>
        <v>5</v>
      </c>
      <c r="I4138" s="150" t="str">
        <f t="shared" si="193"/>
        <v>53</v>
      </c>
      <c r="J4138" s="150" t="str">
        <f t="shared" si="194"/>
        <v>536</v>
      </c>
      <c r="K4138" s="150" t="s">
        <v>9213</v>
      </c>
      <c r="L4138" s="149" t="s">
        <v>2348</v>
      </c>
      <c r="M4138" s="151">
        <v>0</v>
      </c>
    </row>
    <row r="4139" spans="1:13" s="149" customFormat="1" x14ac:dyDescent="0.25">
      <c r="A4139" s="149" t="s">
        <v>7640</v>
      </c>
      <c r="B4139" s="149" t="s">
        <v>2349</v>
      </c>
      <c r="C4139" s="149">
        <v>11</v>
      </c>
      <c r="D4139" s="149">
        <v>350</v>
      </c>
      <c r="E4139" s="149">
        <v>1</v>
      </c>
      <c r="F4139" s="149">
        <v>94700</v>
      </c>
      <c r="G4139" s="149">
        <v>53910</v>
      </c>
      <c r="H4139" s="150" t="str">
        <f t="shared" si="192"/>
        <v>5</v>
      </c>
      <c r="I4139" s="150" t="str">
        <f t="shared" si="193"/>
        <v>53</v>
      </c>
      <c r="J4139" s="150" t="str">
        <f t="shared" si="194"/>
        <v>539</v>
      </c>
      <c r="K4139" s="150" t="s">
        <v>9214</v>
      </c>
      <c r="L4139" s="149" t="s">
        <v>2350</v>
      </c>
      <c r="M4139" s="151">
        <v>1963.62</v>
      </c>
    </row>
    <row r="4140" spans="1:13" s="149" customFormat="1" x14ac:dyDescent="0.25">
      <c r="A4140" s="149" t="s">
        <v>7640</v>
      </c>
      <c r="B4140" s="149" t="s">
        <v>2351</v>
      </c>
      <c r="C4140" s="149">
        <v>11</v>
      </c>
      <c r="D4140" s="149">
        <v>350</v>
      </c>
      <c r="E4140" s="149">
        <v>1</v>
      </c>
      <c r="F4140" s="149">
        <v>94700</v>
      </c>
      <c r="G4140" s="149">
        <v>54300</v>
      </c>
      <c r="H4140" s="150" t="str">
        <f t="shared" si="192"/>
        <v>5</v>
      </c>
      <c r="I4140" s="150" t="str">
        <f t="shared" si="193"/>
        <v>54</v>
      </c>
      <c r="J4140" s="150" t="str">
        <f t="shared" si="194"/>
        <v>543</v>
      </c>
      <c r="K4140" s="150" t="s">
        <v>7955</v>
      </c>
      <c r="L4140" s="149" t="s">
        <v>2352</v>
      </c>
      <c r="M4140" s="151">
        <v>-492.54999999999995</v>
      </c>
    </row>
    <row r="4141" spans="1:13" s="149" customFormat="1" x14ac:dyDescent="0.25">
      <c r="A4141" s="149" t="s">
        <v>7640</v>
      </c>
      <c r="B4141" s="149" t="s">
        <v>2353</v>
      </c>
      <c r="C4141" s="149">
        <v>11</v>
      </c>
      <c r="D4141" s="149">
        <v>350</v>
      </c>
      <c r="E4141" s="149">
        <v>1</v>
      </c>
      <c r="F4141" s="149">
        <v>94700</v>
      </c>
      <c r="G4141" s="149">
        <v>55125</v>
      </c>
      <c r="H4141" s="150" t="str">
        <f t="shared" si="192"/>
        <v>5</v>
      </c>
      <c r="I4141" s="150" t="str">
        <f t="shared" si="193"/>
        <v>55</v>
      </c>
      <c r="J4141" s="150" t="str">
        <f t="shared" si="194"/>
        <v>551</v>
      </c>
      <c r="K4141" s="150" t="s">
        <v>8031</v>
      </c>
      <c r="L4141" s="149" t="s">
        <v>2354</v>
      </c>
      <c r="M4141" s="151">
        <v>0</v>
      </c>
    </row>
    <row r="4142" spans="1:13" s="149" customFormat="1" x14ac:dyDescent="0.25">
      <c r="A4142" s="149" t="s">
        <v>7640</v>
      </c>
      <c r="B4142" s="149" t="s">
        <v>2355</v>
      </c>
      <c r="C4142" s="149">
        <v>11</v>
      </c>
      <c r="D4142" s="149">
        <v>350</v>
      </c>
      <c r="E4142" s="149">
        <v>1</v>
      </c>
      <c r="F4142" s="149">
        <v>94700</v>
      </c>
      <c r="G4142" s="149">
        <v>55575</v>
      </c>
      <c r="H4142" s="150" t="str">
        <f t="shared" si="192"/>
        <v>5</v>
      </c>
      <c r="I4142" s="150" t="str">
        <f t="shared" si="193"/>
        <v>55</v>
      </c>
      <c r="J4142" s="150" t="str">
        <f t="shared" si="194"/>
        <v>555</v>
      </c>
      <c r="K4142" s="150" t="s">
        <v>8144</v>
      </c>
      <c r="L4142" s="149" t="s">
        <v>2356</v>
      </c>
      <c r="M4142" s="151">
        <v>0</v>
      </c>
    </row>
    <row r="4143" spans="1:13" s="149" customFormat="1" x14ac:dyDescent="0.25">
      <c r="A4143" s="149" t="s">
        <v>7640</v>
      </c>
      <c r="B4143" s="149" t="s">
        <v>2357</v>
      </c>
      <c r="C4143" s="149">
        <v>11</v>
      </c>
      <c r="D4143" s="149">
        <v>350</v>
      </c>
      <c r="E4143" s="149">
        <v>1</v>
      </c>
      <c r="F4143" s="149">
        <v>94700</v>
      </c>
      <c r="G4143" s="149">
        <v>55630</v>
      </c>
      <c r="H4143" s="150" t="str">
        <f t="shared" si="192"/>
        <v>5</v>
      </c>
      <c r="I4143" s="150" t="str">
        <f t="shared" si="193"/>
        <v>55</v>
      </c>
      <c r="J4143" s="150" t="str">
        <f t="shared" si="194"/>
        <v>556</v>
      </c>
      <c r="K4143" s="150" t="s">
        <v>8244</v>
      </c>
      <c r="L4143" s="149" t="s">
        <v>2358</v>
      </c>
      <c r="M4143" s="151">
        <v>0</v>
      </c>
    </row>
    <row r="4144" spans="1:13" s="149" customFormat="1" x14ac:dyDescent="0.25">
      <c r="A4144" s="149" t="s">
        <v>7640</v>
      </c>
      <c r="B4144" s="149" t="s">
        <v>2359</v>
      </c>
      <c r="C4144" s="149">
        <v>11</v>
      </c>
      <c r="D4144" s="149">
        <v>350</v>
      </c>
      <c r="E4144" s="149">
        <v>1</v>
      </c>
      <c r="F4144" s="149">
        <v>94700</v>
      </c>
      <c r="G4144" s="149">
        <v>55650</v>
      </c>
      <c r="H4144" s="150" t="str">
        <f t="shared" si="192"/>
        <v>5</v>
      </c>
      <c r="I4144" s="150" t="str">
        <f t="shared" si="193"/>
        <v>55</v>
      </c>
      <c r="J4144" s="150" t="str">
        <f t="shared" si="194"/>
        <v>556</v>
      </c>
      <c r="K4144" s="150" t="s">
        <v>8305</v>
      </c>
      <c r="L4144" s="149" t="s">
        <v>2360</v>
      </c>
      <c r="M4144" s="151">
        <v>3397.14</v>
      </c>
    </row>
    <row r="4145" spans="1:13" s="149" customFormat="1" x14ac:dyDescent="0.25">
      <c r="A4145" s="149" t="s">
        <v>7640</v>
      </c>
      <c r="B4145" s="149" t="s">
        <v>2361</v>
      </c>
      <c r="C4145" s="149">
        <v>11</v>
      </c>
      <c r="D4145" s="149">
        <v>350</v>
      </c>
      <c r="E4145" s="149">
        <v>1</v>
      </c>
      <c r="F4145" s="149">
        <v>94700</v>
      </c>
      <c r="G4145" s="149">
        <v>55651</v>
      </c>
      <c r="H4145" s="150" t="str">
        <f t="shared" si="192"/>
        <v>5</v>
      </c>
      <c r="I4145" s="150" t="str">
        <f t="shared" si="193"/>
        <v>55</v>
      </c>
      <c r="J4145" s="150" t="str">
        <f t="shared" si="194"/>
        <v>556</v>
      </c>
      <c r="K4145" s="150" t="s">
        <v>8322</v>
      </c>
      <c r="L4145" s="149" t="s">
        <v>2362</v>
      </c>
      <c r="M4145" s="151">
        <v>0</v>
      </c>
    </row>
    <row r="4146" spans="1:13" s="149" customFormat="1" x14ac:dyDescent="0.25">
      <c r="A4146" s="149" t="s">
        <v>7640</v>
      </c>
      <c r="B4146" s="149" t="s">
        <v>2363</v>
      </c>
      <c r="C4146" s="149">
        <v>11</v>
      </c>
      <c r="D4146" s="149">
        <v>350</v>
      </c>
      <c r="E4146" s="149">
        <v>1</v>
      </c>
      <c r="F4146" s="149">
        <v>94700</v>
      </c>
      <c r="G4146" s="149">
        <v>55800</v>
      </c>
      <c r="H4146" s="150" t="str">
        <f t="shared" si="192"/>
        <v>5</v>
      </c>
      <c r="I4146" s="150" t="str">
        <f t="shared" si="193"/>
        <v>55</v>
      </c>
      <c r="J4146" s="150" t="str">
        <f t="shared" si="194"/>
        <v>558</v>
      </c>
      <c r="K4146" s="150" t="s">
        <v>8336</v>
      </c>
      <c r="L4146" s="149" t="s">
        <v>2364</v>
      </c>
      <c r="M4146" s="151">
        <v>0</v>
      </c>
    </row>
    <row r="4147" spans="1:13" s="149" customFormat="1" x14ac:dyDescent="0.25">
      <c r="A4147" s="149" t="s">
        <v>7640</v>
      </c>
      <c r="B4147" s="149" t="s">
        <v>2365</v>
      </c>
      <c r="C4147" s="149">
        <v>11</v>
      </c>
      <c r="D4147" s="149">
        <v>350</v>
      </c>
      <c r="E4147" s="149">
        <v>1</v>
      </c>
      <c r="F4147" s="149">
        <v>94700</v>
      </c>
      <c r="G4147" s="149">
        <v>56400</v>
      </c>
      <c r="H4147" s="150" t="str">
        <f t="shared" si="192"/>
        <v>5</v>
      </c>
      <c r="I4147" s="150" t="str">
        <f t="shared" si="193"/>
        <v>56</v>
      </c>
      <c r="J4147" s="150" t="str">
        <f t="shared" si="194"/>
        <v>564</v>
      </c>
      <c r="K4147" s="150" t="s">
        <v>8376</v>
      </c>
      <c r="L4147" s="149" t="s">
        <v>2366</v>
      </c>
      <c r="M4147" s="151">
        <v>0</v>
      </c>
    </row>
    <row r="4148" spans="1:13" s="149" customFormat="1" x14ac:dyDescent="0.25">
      <c r="A4148" s="149" t="s">
        <v>7640</v>
      </c>
      <c r="B4148" s="149" t="s">
        <v>2367</v>
      </c>
      <c r="C4148" s="149">
        <v>11</v>
      </c>
      <c r="D4148" s="149">
        <v>350</v>
      </c>
      <c r="E4148" s="149">
        <v>1</v>
      </c>
      <c r="F4148" s="149">
        <v>94800</v>
      </c>
      <c r="G4148" s="149">
        <v>51310</v>
      </c>
      <c r="H4148" s="150" t="str">
        <f t="shared" si="192"/>
        <v>5</v>
      </c>
      <c r="I4148" s="150" t="str">
        <f t="shared" si="193"/>
        <v>51</v>
      </c>
      <c r="J4148" s="150" t="str">
        <f t="shared" si="194"/>
        <v>513</v>
      </c>
      <c r="K4148" s="150" t="s">
        <v>7682</v>
      </c>
      <c r="L4148" s="149" t="s">
        <v>2368</v>
      </c>
      <c r="M4148" s="151">
        <v>18771.22</v>
      </c>
    </row>
    <row r="4149" spans="1:13" s="149" customFormat="1" x14ac:dyDescent="0.25">
      <c r="A4149" s="149" t="s">
        <v>7640</v>
      </c>
      <c r="B4149" s="149" t="s">
        <v>2369</v>
      </c>
      <c r="C4149" s="149">
        <v>11</v>
      </c>
      <c r="D4149" s="149">
        <v>350</v>
      </c>
      <c r="E4149" s="149">
        <v>1</v>
      </c>
      <c r="F4149" s="149">
        <v>94800</v>
      </c>
      <c r="G4149" s="149">
        <v>51311</v>
      </c>
      <c r="H4149" s="150" t="str">
        <f t="shared" si="192"/>
        <v>5</v>
      </c>
      <c r="I4149" s="150" t="str">
        <f t="shared" si="193"/>
        <v>51</v>
      </c>
      <c r="J4149" s="150" t="str">
        <f t="shared" si="194"/>
        <v>513</v>
      </c>
      <c r="K4149" s="150" t="s">
        <v>7760</v>
      </c>
      <c r="L4149" s="149" t="s">
        <v>2370</v>
      </c>
      <c r="M4149" s="151">
        <v>24624.21</v>
      </c>
    </row>
    <row r="4150" spans="1:13" s="149" customFormat="1" x14ac:dyDescent="0.25">
      <c r="A4150" s="149" t="s">
        <v>7640</v>
      </c>
      <c r="B4150" s="149" t="s">
        <v>2371</v>
      </c>
      <c r="C4150" s="149">
        <v>11</v>
      </c>
      <c r="D4150" s="149">
        <v>350</v>
      </c>
      <c r="E4150" s="149">
        <v>1</v>
      </c>
      <c r="F4150" s="149">
        <v>94800</v>
      </c>
      <c r="G4150" s="149">
        <v>51412</v>
      </c>
      <c r="H4150" s="150" t="str">
        <f t="shared" si="192"/>
        <v>5</v>
      </c>
      <c r="I4150" s="150" t="str">
        <f t="shared" si="193"/>
        <v>51</v>
      </c>
      <c r="J4150" s="150" t="str">
        <f t="shared" si="194"/>
        <v>514</v>
      </c>
      <c r="K4150" s="150" t="s">
        <v>7799</v>
      </c>
      <c r="L4150" s="149" t="s">
        <v>2372</v>
      </c>
      <c r="M4150" s="151">
        <v>1417.4</v>
      </c>
    </row>
    <row r="4151" spans="1:13" s="149" customFormat="1" x14ac:dyDescent="0.25">
      <c r="A4151" s="149" t="s">
        <v>7640</v>
      </c>
      <c r="B4151" s="149" t="s">
        <v>2373</v>
      </c>
      <c r="C4151" s="149">
        <v>11</v>
      </c>
      <c r="D4151" s="149">
        <v>350</v>
      </c>
      <c r="E4151" s="149">
        <v>1</v>
      </c>
      <c r="F4151" s="149">
        <v>94800</v>
      </c>
      <c r="G4151" s="149">
        <v>53110</v>
      </c>
      <c r="H4151" s="150" t="str">
        <f t="shared" si="192"/>
        <v>5</v>
      </c>
      <c r="I4151" s="150" t="str">
        <f t="shared" si="193"/>
        <v>53</v>
      </c>
      <c r="J4151" s="150" t="str">
        <f t="shared" si="194"/>
        <v>531</v>
      </c>
      <c r="K4151" s="150" t="s">
        <v>9215</v>
      </c>
      <c r="L4151" s="149" t="s">
        <v>2374</v>
      </c>
      <c r="M4151" s="151">
        <v>4675.72</v>
      </c>
    </row>
    <row r="4152" spans="1:13" s="149" customFormat="1" x14ac:dyDescent="0.25">
      <c r="A4152" s="149" t="s">
        <v>7640</v>
      </c>
      <c r="B4152" s="149" t="s">
        <v>2375</v>
      </c>
      <c r="C4152" s="149">
        <v>11</v>
      </c>
      <c r="D4152" s="149">
        <v>350</v>
      </c>
      <c r="E4152" s="149">
        <v>1</v>
      </c>
      <c r="F4152" s="149">
        <v>94800</v>
      </c>
      <c r="G4152" s="149">
        <v>53120</v>
      </c>
      <c r="H4152" s="150" t="str">
        <f t="shared" si="192"/>
        <v>5</v>
      </c>
      <c r="I4152" s="150" t="str">
        <f t="shared" si="193"/>
        <v>53</v>
      </c>
      <c r="J4152" s="150" t="str">
        <f t="shared" si="194"/>
        <v>531</v>
      </c>
      <c r="K4152" s="150" t="s">
        <v>9216</v>
      </c>
      <c r="L4152" s="149" t="s">
        <v>2376</v>
      </c>
      <c r="M4152" s="151">
        <v>114.25</v>
      </c>
    </row>
    <row r="4153" spans="1:13" s="149" customFormat="1" x14ac:dyDescent="0.25">
      <c r="A4153" s="149" t="s">
        <v>7640</v>
      </c>
      <c r="B4153" s="149" t="s">
        <v>2377</v>
      </c>
      <c r="C4153" s="149">
        <v>11</v>
      </c>
      <c r="D4153" s="149">
        <v>350</v>
      </c>
      <c r="E4153" s="149">
        <v>1</v>
      </c>
      <c r="F4153" s="149">
        <v>94800</v>
      </c>
      <c r="G4153" s="149">
        <v>53310</v>
      </c>
      <c r="H4153" s="150" t="str">
        <f t="shared" si="192"/>
        <v>5</v>
      </c>
      <c r="I4153" s="150" t="str">
        <f t="shared" si="193"/>
        <v>53</v>
      </c>
      <c r="J4153" s="150" t="str">
        <f t="shared" si="194"/>
        <v>533</v>
      </c>
      <c r="K4153" s="150" t="s">
        <v>9217</v>
      </c>
      <c r="L4153" s="149" t="s">
        <v>2378</v>
      </c>
      <c r="M4153" s="151">
        <v>939.52</v>
      </c>
    </row>
    <row r="4154" spans="1:13" s="149" customFormat="1" x14ac:dyDescent="0.25">
      <c r="A4154" s="149" t="s">
        <v>7640</v>
      </c>
      <c r="B4154" s="149" t="s">
        <v>2379</v>
      </c>
      <c r="C4154" s="149">
        <v>11</v>
      </c>
      <c r="D4154" s="149">
        <v>350</v>
      </c>
      <c r="E4154" s="149">
        <v>1</v>
      </c>
      <c r="F4154" s="149">
        <v>94800</v>
      </c>
      <c r="G4154" s="149">
        <v>53330</v>
      </c>
      <c r="H4154" s="150" t="str">
        <f t="shared" si="192"/>
        <v>5</v>
      </c>
      <c r="I4154" s="150" t="str">
        <f t="shared" si="193"/>
        <v>53</v>
      </c>
      <c r="J4154" s="150" t="str">
        <f t="shared" si="194"/>
        <v>533</v>
      </c>
      <c r="K4154" s="150" t="s">
        <v>9218</v>
      </c>
      <c r="L4154" s="149" t="s">
        <v>2380</v>
      </c>
      <c r="M4154" s="151">
        <v>639.59</v>
      </c>
    </row>
    <row r="4155" spans="1:13" s="149" customFormat="1" x14ac:dyDescent="0.25">
      <c r="A4155" s="149" t="s">
        <v>7640</v>
      </c>
      <c r="B4155" s="149" t="s">
        <v>2381</v>
      </c>
      <c r="C4155" s="149">
        <v>11</v>
      </c>
      <c r="D4155" s="149">
        <v>350</v>
      </c>
      <c r="E4155" s="149">
        <v>1</v>
      </c>
      <c r="F4155" s="149">
        <v>94800</v>
      </c>
      <c r="G4155" s="149">
        <v>53340</v>
      </c>
      <c r="H4155" s="150" t="str">
        <f t="shared" si="192"/>
        <v>5</v>
      </c>
      <c r="I4155" s="150" t="str">
        <f t="shared" si="193"/>
        <v>53</v>
      </c>
      <c r="J4155" s="150" t="str">
        <f t="shared" si="194"/>
        <v>533</v>
      </c>
      <c r="K4155" s="150" t="s">
        <v>9219</v>
      </c>
      <c r="L4155" s="149" t="s">
        <v>2382</v>
      </c>
      <c r="M4155" s="151">
        <v>10.26</v>
      </c>
    </row>
    <row r="4156" spans="1:13" s="149" customFormat="1" x14ac:dyDescent="0.25">
      <c r="A4156" s="149" t="s">
        <v>7640</v>
      </c>
      <c r="B4156" s="149" t="s">
        <v>2383</v>
      </c>
      <c r="C4156" s="149">
        <v>11</v>
      </c>
      <c r="D4156" s="149">
        <v>350</v>
      </c>
      <c r="E4156" s="149">
        <v>1</v>
      </c>
      <c r="F4156" s="149">
        <v>94800</v>
      </c>
      <c r="G4156" s="149">
        <v>53510</v>
      </c>
      <c r="H4156" s="150" t="str">
        <f t="shared" si="192"/>
        <v>5</v>
      </c>
      <c r="I4156" s="150" t="str">
        <f t="shared" si="193"/>
        <v>53</v>
      </c>
      <c r="J4156" s="150" t="str">
        <f t="shared" si="194"/>
        <v>535</v>
      </c>
      <c r="K4156" s="150" t="s">
        <v>9220</v>
      </c>
      <c r="L4156" s="149" t="s">
        <v>2384</v>
      </c>
      <c r="M4156" s="151">
        <v>22.13</v>
      </c>
    </row>
    <row r="4157" spans="1:13" s="149" customFormat="1" x14ac:dyDescent="0.25">
      <c r="A4157" s="149" t="s">
        <v>7640</v>
      </c>
      <c r="B4157" s="149" t="s">
        <v>2385</v>
      </c>
      <c r="C4157" s="149">
        <v>11</v>
      </c>
      <c r="D4157" s="149">
        <v>350</v>
      </c>
      <c r="E4157" s="149">
        <v>1</v>
      </c>
      <c r="F4157" s="149">
        <v>94800</v>
      </c>
      <c r="G4157" s="149">
        <v>53520</v>
      </c>
      <c r="H4157" s="150" t="str">
        <f t="shared" si="192"/>
        <v>5</v>
      </c>
      <c r="I4157" s="150" t="str">
        <f t="shared" si="193"/>
        <v>53</v>
      </c>
      <c r="J4157" s="150" t="str">
        <f t="shared" si="194"/>
        <v>535</v>
      </c>
      <c r="K4157" s="150" t="s">
        <v>9221</v>
      </c>
      <c r="L4157" s="149" t="s">
        <v>2386</v>
      </c>
      <c r="M4157" s="151">
        <v>0.35</v>
      </c>
    </row>
    <row r="4158" spans="1:13" s="149" customFormat="1" x14ac:dyDescent="0.25">
      <c r="A4158" s="149" t="s">
        <v>7640</v>
      </c>
      <c r="B4158" s="149" t="s">
        <v>2387</v>
      </c>
      <c r="C4158" s="149">
        <v>11</v>
      </c>
      <c r="D4158" s="149">
        <v>350</v>
      </c>
      <c r="E4158" s="149">
        <v>1</v>
      </c>
      <c r="F4158" s="149">
        <v>94800</v>
      </c>
      <c r="G4158" s="149">
        <v>53610</v>
      </c>
      <c r="H4158" s="150" t="str">
        <f t="shared" si="192"/>
        <v>5</v>
      </c>
      <c r="I4158" s="150" t="str">
        <f t="shared" si="193"/>
        <v>53</v>
      </c>
      <c r="J4158" s="150" t="str">
        <f t="shared" si="194"/>
        <v>536</v>
      </c>
      <c r="K4158" s="150" t="s">
        <v>9222</v>
      </c>
      <c r="L4158" s="149" t="s">
        <v>2388</v>
      </c>
      <c r="M4158" s="151">
        <v>833.99</v>
      </c>
    </row>
    <row r="4159" spans="1:13" s="149" customFormat="1" x14ac:dyDescent="0.25">
      <c r="A4159" s="149" t="s">
        <v>7640</v>
      </c>
      <c r="B4159" s="149" t="s">
        <v>2389</v>
      </c>
      <c r="C4159" s="149">
        <v>11</v>
      </c>
      <c r="D4159" s="149">
        <v>350</v>
      </c>
      <c r="E4159" s="149">
        <v>1</v>
      </c>
      <c r="F4159" s="149">
        <v>94800</v>
      </c>
      <c r="G4159" s="149">
        <v>53620</v>
      </c>
      <c r="H4159" s="150" t="str">
        <f t="shared" si="192"/>
        <v>5</v>
      </c>
      <c r="I4159" s="150" t="str">
        <f t="shared" si="193"/>
        <v>53</v>
      </c>
      <c r="J4159" s="150" t="str">
        <f t="shared" si="194"/>
        <v>536</v>
      </c>
      <c r="K4159" s="150" t="s">
        <v>9223</v>
      </c>
      <c r="L4159" s="149" t="s">
        <v>2390</v>
      </c>
      <c r="M4159" s="151">
        <v>13.38</v>
      </c>
    </row>
    <row r="4160" spans="1:13" s="149" customFormat="1" x14ac:dyDescent="0.25">
      <c r="A4160" s="149" t="s">
        <v>7640</v>
      </c>
      <c r="B4160" s="149" t="s">
        <v>2391</v>
      </c>
      <c r="C4160" s="149">
        <v>11</v>
      </c>
      <c r="D4160" s="149">
        <v>350</v>
      </c>
      <c r="E4160" s="149">
        <v>1</v>
      </c>
      <c r="F4160" s="149">
        <v>94800</v>
      </c>
      <c r="G4160" s="149">
        <v>54300</v>
      </c>
      <c r="H4160" s="150" t="str">
        <f t="shared" si="192"/>
        <v>5</v>
      </c>
      <c r="I4160" s="150" t="str">
        <f t="shared" si="193"/>
        <v>54</v>
      </c>
      <c r="J4160" s="150" t="str">
        <f t="shared" si="194"/>
        <v>543</v>
      </c>
      <c r="K4160" s="150" t="s">
        <v>7956</v>
      </c>
      <c r="L4160" s="149" t="s">
        <v>2392</v>
      </c>
      <c r="M4160" s="151">
        <v>2956.28</v>
      </c>
    </row>
    <row r="4161" spans="1:13" s="149" customFormat="1" x14ac:dyDescent="0.25">
      <c r="A4161" s="149" t="s">
        <v>7640</v>
      </c>
      <c r="B4161" s="149" t="s">
        <v>2393</v>
      </c>
      <c r="C4161" s="149">
        <v>11</v>
      </c>
      <c r="D4161" s="149">
        <v>350</v>
      </c>
      <c r="E4161" s="149">
        <v>1</v>
      </c>
      <c r="F4161" s="149">
        <v>94800</v>
      </c>
      <c r="G4161" s="149">
        <v>55630</v>
      </c>
      <c r="H4161" s="150" t="str">
        <f t="shared" si="192"/>
        <v>5</v>
      </c>
      <c r="I4161" s="150" t="str">
        <f t="shared" si="193"/>
        <v>55</v>
      </c>
      <c r="J4161" s="150" t="str">
        <f t="shared" si="194"/>
        <v>556</v>
      </c>
      <c r="K4161" s="150" t="s">
        <v>8245</v>
      </c>
      <c r="L4161" s="149" t="s">
        <v>2133</v>
      </c>
      <c r="M4161" s="151">
        <v>0</v>
      </c>
    </row>
    <row r="4162" spans="1:13" s="149" customFormat="1" x14ac:dyDescent="0.25">
      <c r="A4162" s="149" t="s">
        <v>7640</v>
      </c>
      <c r="B4162" s="149" t="s">
        <v>2394</v>
      </c>
      <c r="C4162" s="149">
        <v>11</v>
      </c>
      <c r="D4162" s="149">
        <v>350</v>
      </c>
      <c r="E4162" s="149">
        <v>1</v>
      </c>
      <c r="F4162" s="149">
        <v>94800</v>
      </c>
      <c r="G4162" s="149">
        <v>55650</v>
      </c>
      <c r="H4162" s="150" t="str">
        <f t="shared" si="192"/>
        <v>5</v>
      </c>
      <c r="I4162" s="150" t="str">
        <f t="shared" si="193"/>
        <v>55</v>
      </c>
      <c r="J4162" s="150" t="str">
        <f t="shared" si="194"/>
        <v>556</v>
      </c>
      <c r="K4162" s="150" t="s">
        <v>8306</v>
      </c>
      <c r="L4162" s="149" t="s">
        <v>2395</v>
      </c>
      <c r="M4162" s="151">
        <v>1800</v>
      </c>
    </row>
    <row r="4163" spans="1:13" s="149" customFormat="1" x14ac:dyDescent="0.25">
      <c r="A4163" s="149" t="s">
        <v>7640</v>
      </c>
      <c r="B4163" s="149" t="s">
        <v>2396</v>
      </c>
      <c r="C4163" s="149">
        <v>11</v>
      </c>
      <c r="D4163" s="149">
        <v>350</v>
      </c>
      <c r="E4163" s="149">
        <v>1</v>
      </c>
      <c r="F4163" s="149">
        <v>94800</v>
      </c>
      <c r="G4163" s="149">
        <v>55651</v>
      </c>
      <c r="H4163" s="150" t="str">
        <f t="shared" ref="H4163:H4226" si="195">LEFT(G4163,1)</f>
        <v>5</v>
      </c>
      <c r="I4163" s="150" t="str">
        <f t="shared" ref="I4163:I4226" si="196">LEFT(G4163,2)</f>
        <v>55</v>
      </c>
      <c r="J4163" s="150" t="str">
        <f t="shared" ref="J4163:J4226" si="197">LEFT(G4163,3)</f>
        <v>556</v>
      </c>
      <c r="K4163" s="150" t="s">
        <v>8323</v>
      </c>
      <c r="L4163" s="149" t="s">
        <v>2397</v>
      </c>
      <c r="M4163" s="151">
        <v>0</v>
      </c>
    </row>
    <row r="4164" spans="1:13" s="149" customFormat="1" x14ac:dyDescent="0.25">
      <c r="A4164" s="149" t="s">
        <v>7640</v>
      </c>
      <c r="B4164" s="149" t="s">
        <v>2398</v>
      </c>
      <c r="C4164" s="149">
        <v>11</v>
      </c>
      <c r="D4164" s="149">
        <v>350</v>
      </c>
      <c r="E4164" s="149">
        <v>1</v>
      </c>
      <c r="F4164" s="149">
        <v>94800</v>
      </c>
      <c r="G4164" s="149">
        <v>56341</v>
      </c>
      <c r="H4164" s="150" t="str">
        <f t="shared" si="195"/>
        <v>5</v>
      </c>
      <c r="I4164" s="150" t="str">
        <f t="shared" si="196"/>
        <v>56</v>
      </c>
      <c r="J4164" s="150" t="str">
        <f t="shared" si="197"/>
        <v>563</v>
      </c>
      <c r="K4164" s="150" t="s">
        <v>8366</v>
      </c>
      <c r="L4164" s="149" t="s">
        <v>2399</v>
      </c>
      <c r="M4164" s="151">
        <v>975</v>
      </c>
    </row>
    <row r="4165" spans="1:13" s="149" customFormat="1" x14ac:dyDescent="0.25">
      <c r="A4165" s="149" t="s">
        <v>7640</v>
      </c>
      <c r="B4165" s="149" t="s">
        <v>2400</v>
      </c>
      <c r="C4165" s="149">
        <v>11</v>
      </c>
      <c r="D4165" s="149">
        <v>350</v>
      </c>
      <c r="E4165" s="149">
        <v>1</v>
      </c>
      <c r="F4165" s="149">
        <v>95200</v>
      </c>
      <c r="G4165" s="149">
        <v>51100</v>
      </c>
      <c r="H4165" s="150" t="str">
        <f t="shared" si="195"/>
        <v>5</v>
      </c>
      <c r="I4165" s="150" t="str">
        <f t="shared" si="196"/>
        <v>51</v>
      </c>
      <c r="J4165" s="150" t="str">
        <f t="shared" si="197"/>
        <v>511</v>
      </c>
      <c r="K4165" s="150" t="s">
        <v>9224</v>
      </c>
      <c r="L4165" s="149" t="s">
        <v>2401</v>
      </c>
      <c r="M4165" s="151">
        <v>84174.57</v>
      </c>
    </row>
    <row r="4166" spans="1:13" s="149" customFormat="1" x14ac:dyDescent="0.25">
      <c r="A4166" s="149" t="s">
        <v>7640</v>
      </c>
      <c r="B4166" s="149" t="s">
        <v>2402</v>
      </c>
      <c r="C4166" s="149">
        <v>11</v>
      </c>
      <c r="D4166" s="149">
        <v>350</v>
      </c>
      <c r="E4166" s="149">
        <v>1</v>
      </c>
      <c r="F4166" s="149">
        <v>95200</v>
      </c>
      <c r="G4166" s="149">
        <v>51310</v>
      </c>
      <c r="H4166" s="150" t="str">
        <f t="shared" si="195"/>
        <v>5</v>
      </c>
      <c r="I4166" s="150" t="str">
        <f t="shared" si="196"/>
        <v>51</v>
      </c>
      <c r="J4166" s="150" t="str">
        <f t="shared" si="197"/>
        <v>513</v>
      </c>
      <c r="K4166" s="150" t="s">
        <v>7683</v>
      </c>
      <c r="L4166" s="149" t="s">
        <v>2403</v>
      </c>
      <c r="M4166" s="151">
        <v>0</v>
      </c>
    </row>
    <row r="4167" spans="1:13" s="149" customFormat="1" x14ac:dyDescent="0.25">
      <c r="A4167" s="149" t="s">
        <v>7640</v>
      </c>
      <c r="B4167" s="149" t="s">
        <v>2404</v>
      </c>
      <c r="C4167" s="149">
        <v>11</v>
      </c>
      <c r="D4167" s="149">
        <v>350</v>
      </c>
      <c r="E4167" s="149">
        <v>1</v>
      </c>
      <c r="F4167" s="149">
        <v>95200</v>
      </c>
      <c r="G4167" s="149">
        <v>51311</v>
      </c>
      <c r="H4167" s="150" t="str">
        <f t="shared" si="195"/>
        <v>5</v>
      </c>
      <c r="I4167" s="150" t="str">
        <f t="shared" si="196"/>
        <v>51</v>
      </c>
      <c r="J4167" s="150" t="str">
        <f t="shared" si="197"/>
        <v>513</v>
      </c>
      <c r="K4167" s="150" t="s">
        <v>7761</v>
      </c>
      <c r="L4167" s="149" t="s">
        <v>2405</v>
      </c>
      <c r="M4167" s="151">
        <v>3288.6</v>
      </c>
    </row>
    <row r="4168" spans="1:13" s="149" customFormat="1" x14ac:dyDescent="0.25">
      <c r="A4168" s="149" t="s">
        <v>7640</v>
      </c>
      <c r="B4168" s="149" t="s">
        <v>2406</v>
      </c>
      <c r="C4168" s="149">
        <v>11</v>
      </c>
      <c r="D4168" s="149">
        <v>350</v>
      </c>
      <c r="E4168" s="149">
        <v>1</v>
      </c>
      <c r="F4168" s="149">
        <v>95200</v>
      </c>
      <c r="G4168" s="149">
        <v>53110</v>
      </c>
      <c r="H4168" s="150" t="str">
        <f t="shared" si="195"/>
        <v>5</v>
      </c>
      <c r="I4168" s="150" t="str">
        <f t="shared" si="196"/>
        <v>53</v>
      </c>
      <c r="J4168" s="150" t="str">
        <f t="shared" si="197"/>
        <v>531</v>
      </c>
      <c r="K4168" s="150" t="s">
        <v>9225</v>
      </c>
      <c r="L4168" s="149" t="s">
        <v>2407</v>
      </c>
      <c r="M4168" s="151">
        <v>14125.33</v>
      </c>
    </row>
    <row r="4169" spans="1:13" s="149" customFormat="1" x14ac:dyDescent="0.25">
      <c r="A4169" s="149" t="s">
        <v>7640</v>
      </c>
      <c r="B4169" s="149" t="s">
        <v>2408</v>
      </c>
      <c r="C4169" s="149">
        <v>11</v>
      </c>
      <c r="D4169" s="149">
        <v>350</v>
      </c>
      <c r="E4169" s="149">
        <v>1</v>
      </c>
      <c r="F4169" s="149">
        <v>95200</v>
      </c>
      <c r="G4169" s="149">
        <v>53330</v>
      </c>
      <c r="H4169" s="150" t="str">
        <f t="shared" si="195"/>
        <v>5</v>
      </c>
      <c r="I4169" s="150" t="str">
        <f t="shared" si="196"/>
        <v>53</v>
      </c>
      <c r="J4169" s="150" t="str">
        <f t="shared" si="197"/>
        <v>533</v>
      </c>
      <c r="K4169" s="150" t="s">
        <v>9226</v>
      </c>
      <c r="L4169" s="149" t="s">
        <v>2409</v>
      </c>
      <c r="M4169" s="151">
        <v>1268.19</v>
      </c>
    </row>
    <row r="4170" spans="1:13" s="149" customFormat="1" x14ac:dyDescent="0.25">
      <c r="A4170" s="149" t="s">
        <v>7640</v>
      </c>
      <c r="B4170" s="149" t="s">
        <v>2410</v>
      </c>
      <c r="C4170" s="149">
        <v>11</v>
      </c>
      <c r="D4170" s="149">
        <v>350</v>
      </c>
      <c r="E4170" s="149">
        <v>1</v>
      </c>
      <c r="F4170" s="149">
        <v>95200</v>
      </c>
      <c r="G4170" s="149">
        <v>53410</v>
      </c>
      <c r="H4170" s="150" t="str">
        <f t="shared" si="195"/>
        <v>5</v>
      </c>
      <c r="I4170" s="150" t="str">
        <f t="shared" si="196"/>
        <v>53</v>
      </c>
      <c r="J4170" s="150" t="str">
        <f t="shared" si="197"/>
        <v>534</v>
      </c>
      <c r="K4170" s="150" t="s">
        <v>9227</v>
      </c>
      <c r="L4170" s="149" t="s">
        <v>2411</v>
      </c>
      <c r="M4170" s="151">
        <v>144.76</v>
      </c>
    </row>
    <row r="4171" spans="1:13" s="149" customFormat="1" x14ac:dyDescent="0.25">
      <c r="A4171" s="149" t="s">
        <v>7640</v>
      </c>
      <c r="B4171" s="149" t="s">
        <v>2412</v>
      </c>
      <c r="C4171" s="149">
        <v>11</v>
      </c>
      <c r="D4171" s="149">
        <v>350</v>
      </c>
      <c r="E4171" s="149">
        <v>1</v>
      </c>
      <c r="F4171" s="149">
        <v>95200</v>
      </c>
      <c r="G4171" s="149">
        <v>53510</v>
      </c>
      <c r="H4171" s="150" t="str">
        <f t="shared" si="195"/>
        <v>5</v>
      </c>
      <c r="I4171" s="150" t="str">
        <f t="shared" si="196"/>
        <v>53</v>
      </c>
      <c r="J4171" s="150" t="str">
        <f t="shared" si="197"/>
        <v>535</v>
      </c>
      <c r="K4171" s="150" t="s">
        <v>9228</v>
      </c>
      <c r="L4171" s="149" t="s">
        <v>2413</v>
      </c>
      <c r="M4171" s="151">
        <v>43.77</v>
      </c>
    </row>
    <row r="4172" spans="1:13" s="149" customFormat="1" x14ac:dyDescent="0.25">
      <c r="A4172" s="149" t="s">
        <v>7640</v>
      </c>
      <c r="B4172" s="149" t="s">
        <v>2414</v>
      </c>
      <c r="C4172" s="149">
        <v>11</v>
      </c>
      <c r="D4172" s="149">
        <v>350</v>
      </c>
      <c r="E4172" s="149">
        <v>1</v>
      </c>
      <c r="F4172" s="149">
        <v>95200</v>
      </c>
      <c r="G4172" s="149">
        <v>53610</v>
      </c>
      <c r="H4172" s="150" t="str">
        <f t="shared" si="195"/>
        <v>5</v>
      </c>
      <c r="I4172" s="150" t="str">
        <f t="shared" si="196"/>
        <v>53</v>
      </c>
      <c r="J4172" s="150" t="str">
        <f t="shared" si="197"/>
        <v>536</v>
      </c>
      <c r="K4172" s="150" t="s">
        <v>9229</v>
      </c>
      <c r="L4172" s="149" t="s">
        <v>2415</v>
      </c>
      <c r="M4172" s="151">
        <v>1653.75</v>
      </c>
    </row>
    <row r="4173" spans="1:13" s="149" customFormat="1" x14ac:dyDescent="0.25">
      <c r="A4173" s="149" t="s">
        <v>7640</v>
      </c>
      <c r="B4173" s="149" t="s">
        <v>2416</v>
      </c>
      <c r="C4173" s="149">
        <v>11</v>
      </c>
      <c r="D4173" s="149">
        <v>350</v>
      </c>
      <c r="E4173" s="149">
        <v>1</v>
      </c>
      <c r="F4173" s="149">
        <v>95200</v>
      </c>
      <c r="G4173" s="149">
        <v>53910</v>
      </c>
      <c r="H4173" s="150" t="str">
        <f t="shared" si="195"/>
        <v>5</v>
      </c>
      <c r="I4173" s="150" t="str">
        <f t="shared" si="196"/>
        <v>53</v>
      </c>
      <c r="J4173" s="150" t="str">
        <f t="shared" si="197"/>
        <v>539</v>
      </c>
      <c r="K4173" s="150" t="s">
        <v>9230</v>
      </c>
      <c r="L4173" s="149" t="s">
        <v>2417</v>
      </c>
      <c r="M4173" s="151">
        <v>1963.62</v>
      </c>
    </row>
    <row r="4174" spans="1:13" s="149" customFormat="1" x14ac:dyDescent="0.25">
      <c r="A4174" s="149" t="s">
        <v>7640</v>
      </c>
      <c r="B4174" s="149" t="s">
        <v>2418</v>
      </c>
      <c r="C4174" s="149">
        <v>11</v>
      </c>
      <c r="D4174" s="149">
        <v>350</v>
      </c>
      <c r="E4174" s="149">
        <v>1</v>
      </c>
      <c r="F4174" s="149">
        <v>95200</v>
      </c>
      <c r="G4174" s="149">
        <v>54300</v>
      </c>
      <c r="H4174" s="150" t="str">
        <f t="shared" si="195"/>
        <v>5</v>
      </c>
      <c r="I4174" s="150" t="str">
        <f t="shared" si="196"/>
        <v>54</v>
      </c>
      <c r="J4174" s="150" t="str">
        <f t="shared" si="197"/>
        <v>543</v>
      </c>
      <c r="K4174" s="150" t="s">
        <v>7957</v>
      </c>
      <c r="L4174" s="149" t="s">
        <v>2419</v>
      </c>
      <c r="M4174" s="151">
        <v>0</v>
      </c>
    </row>
    <row r="4175" spans="1:13" s="149" customFormat="1" x14ac:dyDescent="0.25">
      <c r="A4175" s="149" t="s">
        <v>7640</v>
      </c>
      <c r="B4175" s="149" t="s">
        <v>2420</v>
      </c>
      <c r="C4175" s="149">
        <v>11</v>
      </c>
      <c r="D4175" s="149">
        <v>350</v>
      </c>
      <c r="E4175" s="149">
        <v>1</v>
      </c>
      <c r="F4175" s="149">
        <v>95200</v>
      </c>
      <c r="G4175" s="149">
        <v>55300</v>
      </c>
      <c r="H4175" s="150" t="str">
        <f t="shared" si="195"/>
        <v>5</v>
      </c>
      <c r="I4175" s="150" t="str">
        <f t="shared" si="196"/>
        <v>55</v>
      </c>
      <c r="J4175" s="150" t="str">
        <f t="shared" si="197"/>
        <v>553</v>
      </c>
      <c r="K4175" s="150" t="s">
        <v>8092</v>
      </c>
      <c r="L4175" s="149" t="s">
        <v>2421</v>
      </c>
      <c r="M4175" s="151">
        <v>0</v>
      </c>
    </row>
    <row r="4176" spans="1:13" s="149" customFormat="1" x14ac:dyDescent="0.25">
      <c r="A4176" s="149" t="s">
        <v>7640</v>
      </c>
      <c r="B4176" s="149" t="s">
        <v>2422</v>
      </c>
      <c r="C4176" s="149">
        <v>11</v>
      </c>
      <c r="D4176" s="149">
        <v>350</v>
      </c>
      <c r="E4176" s="149">
        <v>1</v>
      </c>
      <c r="F4176" s="149">
        <v>95200</v>
      </c>
      <c r="G4176" s="149">
        <v>55309</v>
      </c>
      <c r="H4176" s="150" t="str">
        <f t="shared" si="195"/>
        <v>5</v>
      </c>
      <c r="I4176" s="150" t="str">
        <f t="shared" si="196"/>
        <v>55</v>
      </c>
      <c r="J4176" s="150" t="str">
        <f t="shared" si="197"/>
        <v>553</v>
      </c>
      <c r="K4176" s="150" t="s">
        <v>8109</v>
      </c>
      <c r="L4176" s="149" t="s">
        <v>2423</v>
      </c>
      <c r="M4176" s="151">
        <v>0</v>
      </c>
    </row>
    <row r="4177" spans="1:13" s="149" customFormat="1" x14ac:dyDescent="0.25">
      <c r="A4177" s="149" t="s">
        <v>7640</v>
      </c>
      <c r="B4177" s="149" t="s">
        <v>2424</v>
      </c>
      <c r="C4177" s="149">
        <v>11</v>
      </c>
      <c r="D4177" s="149">
        <v>350</v>
      </c>
      <c r="E4177" s="149">
        <v>1</v>
      </c>
      <c r="F4177" s="149">
        <v>95200</v>
      </c>
      <c r="G4177" s="149">
        <v>55630</v>
      </c>
      <c r="H4177" s="150" t="str">
        <f t="shared" si="195"/>
        <v>5</v>
      </c>
      <c r="I4177" s="150" t="str">
        <f t="shared" si="196"/>
        <v>55</v>
      </c>
      <c r="J4177" s="150" t="str">
        <f t="shared" si="197"/>
        <v>556</v>
      </c>
      <c r="K4177" s="150" t="s">
        <v>8246</v>
      </c>
      <c r="L4177" s="149" t="s">
        <v>2425</v>
      </c>
      <c r="M4177" s="151">
        <v>0</v>
      </c>
    </row>
    <row r="4178" spans="1:13" s="149" customFormat="1" x14ac:dyDescent="0.25">
      <c r="A4178" s="149" t="s">
        <v>7640</v>
      </c>
      <c r="B4178" s="149" t="s">
        <v>2426</v>
      </c>
      <c r="C4178" s="149">
        <v>11</v>
      </c>
      <c r="D4178" s="149">
        <v>350</v>
      </c>
      <c r="E4178" s="149">
        <v>1</v>
      </c>
      <c r="F4178" s="149">
        <v>95200</v>
      </c>
      <c r="G4178" s="149">
        <v>56400</v>
      </c>
      <c r="H4178" s="150" t="str">
        <f t="shared" si="195"/>
        <v>5</v>
      </c>
      <c r="I4178" s="150" t="str">
        <f t="shared" si="196"/>
        <v>56</v>
      </c>
      <c r="J4178" s="150" t="str">
        <f t="shared" si="197"/>
        <v>564</v>
      </c>
      <c r="K4178" s="150" t="s">
        <v>8377</v>
      </c>
      <c r="L4178" s="149" t="s">
        <v>2427</v>
      </c>
      <c r="M4178" s="151">
        <v>0</v>
      </c>
    </row>
    <row r="4179" spans="1:13" s="149" customFormat="1" x14ac:dyDescent="0.25">
      <c r="A4179" s="149" t="s">
        <v>7640</v>
      </c>
      <c r="B4179" s="149" t="s">
        <v>2428</v>
      </c>
      <c r="C4179" s="149">
        <v>11</v>
      </c>
      <c r="D4179" s="149">
        <v>350</v>
      </c>
      <c r="E4179" s="149">
        <v>1</v>
      </c>
      <c r="F4179" s="149">
        <v>95220</v>
      </c>
      <c r="G4179" s="149">
        <v>55105</v>
      </c>
      <c r="H4179" s="150" t="str">
        <f t="shared" si="195"/>
        <v>5</v>
      </c>
      <c r="I4179" s="150" t="str">
        <f t="shared" si="196"/>
        <v>55</v>
      </c>
      <c r="J4179" s="150" t="str">
        <f t="shared" si="197"/>
        <v>551</v>
      </c>
      <c r="K4179" s="150" t="s">
        <v>8014</v>
      </c>
      <c r="L4179" s="149" t="s">
        <v>2429</v>
      </c>
      <c r="M4179" s="151">
        <v>0</v>
      </c>
    </row>
    <row r="4180" spans="1:13" s="149" customFormat="1" x14ac:dyDescent="0.25">
      <c r="A4180" s="149" t="s">
        <v>7640</v>
      </c>
      <c r="B4180" s="149" t="s">
        <v>2430</v>
      </c>
      <c r="C4180" s="149">
        <v>11</v>
      </c>
      <c r="D4180" s="149">
        <v>350</v>
      </c>
      <c r="E4180" s="149">
        <v>1</v>
      </c>
      <c r="F4180" s="149">
        <v>95300</v>
      </c>
      <c r="G4180" s="149">
        <v>51100</v>
      </c>
      <c r="H4180" s="150" t="str">
        <f t="shared" si="195"/>
        <v>5</v>
      </c>
      <c r="I4180" s="150" t="str">
        <f t="shared" si="196"/>
        <v>51</v>
      </c>
      <c r="J4180" s="150" t="str">
        <f t="shared" si="197"/>
        <v>511</v>
      </c>
      <c r="K4180" s="150" t="s">
        <v>9231</v>
      </c>
      <c r="L4180" s="149" t="s">
        <v>2431</v>
      </c>
      <c r="M4180" s="151">
        <v>68201.100000000006</v>
      </c>
    </row>
    <row r="4181" spans="1:13" s="149" customFormat="1" x14ac:dyDescent="0.25">
      <c r="A4181" s="149" t="s">
        <v>7640</v>
      </c>
      <c r="B4181" s="149" t="s">
        <v>2432</v>
      </c>
      <c r="C4181" s="149">
        <v>11</v>
      </c>
      <c r="D4181" s="149">
        <v>350</v>
      </c>
      <c r="E4181" s="149">
        <v>1</v>
      </c>
      <c r="F4181" s="149">
        <v>95300</v>
      </c>
      <c r="G4181" s="149">
        <v>53110</v>
      </c>
      <c r="H4181" s="150" t="str">
        <f t="shared" si="195"/>
        <v>5</v>
      </c>
      <c r="I4181" s="150" t="str">
        <f t="shared" si="196"/>
        <v>53</v>
      </c>
      <c r="J4181" s="150" t="str">
        <f t="shared" si="197"/>
        <v>531</v>
      </c>
      <c r="K4181" s="150" t="s">
        <v>9232</v>
      </c>
      <c r="L4181" s="149" t="s">
        <v>2433</v>
      </c>
      <c r="M4181" s="151">
        <v>11014.47</v>
      </c>
    </row>
    <row r="4182" spans="1:13" s="149" customFormat="1" x14ac:dyDescent="0.25">
      <c r="A4182" s="149" t="s">
        <v>7640</v>
      </c>
      <c r="B4182" s="149" t="s">
        <v>2434</v>
      </c>
      <c r="C4182" s="149">
        <v>11</v>
      </c>
      <c r="D4182" s="149">
        <v>350</v>
      </c>
      <c r="E4182" s="149">
        <v>1</v>
      </c>
      <c r="F4182" s="149">
        <v>95300</v>
      </c>
      <c r="G4182" s="149">
        <v>53330</v>
      </c>
      <c r="H4182" s="150" t="str">
        <f t="shared" si="195"/>
        <v>5</v>
      </c>
      <c r="I4182" s="150" t="str">
        <f t="shared" si="196"/>
        <v>53</v>
      </c>
      <c r="J4182" s="150" t="str">
        <f t="shared" si="197"/>
        <v>533</v>
      </c>
      <c r="K4182" s="150" t="s">
        <v>9233</v>
      </c>
      <c r="L4182" s="149" t="s">
        <v>2435</v>
      </c>
      <c r="M4182" s="151">
        <v>979.07</v>
      </c>
    </row>
    <row r="4183" spans="1:13" s="149" customFormat="1" x14ac:dyDescent="0.25">
      <c r="A4183" s="149" t="s">
        <v>7640</v>
      </c>
      <c r="B4183" s="149" t="s">
        <v>2436</v>
      </c>
      <c r="C4183" s="149">
        <v>11</v>
      </c>
      <c r="D4183" s="149">
        <v>350</v>
      </c>
      <c r="E4183" s="149">
        <v>1</v>
      </c>
      <c r="F4183" s="149">
        <v>95300</v>
      </c>
      <c r="G4183" s="149">
        <v>53410</v>
      </c>
      <c r="H4183" s="150" t="str">
        <f t="shared" si="195"/>
        <v>5</v>
      </c>
      <c r="I4183" s="150" t="str">
        <f t="shared" si="196"/>
        <v>53</v>
      </c>
      <c r="J4183" s="150" t="str">
        <f t="shared" si="197"/>
        <v>534</v>
      </c>
      <c r="K4183" s="150" t="s">
        <v>9234</v>
      </c>
      <c r="L4183" s="149" t="s">
        <v>2437</v>
      </c>
      <c r="M4183" s="151">
        <v>21333.05</v>
      </c>
    </row>
    <row r="4184" spans="1:13" s="149" customFormat="1" x14ac:dyDescent="0.25">
      <c r="A4184" s="149" t="s">
        <v>7640</v>
      </c>
      <c r="B4184" s="149" t="s">
        <v>2438</v>
      </c>
      <c r="C4184" s="149">
        <v>11</v>
      </c>
      <c r="D4184" s="149">
        <v>350</v>
      </c>
      <c r="E4184" s="149">
        <v>1</v>
      </c>
      <c r="F4184" s="149">
        <v>95300</v>
      </c>
      <c r="G4184" s="149">
        <v>53510</v>
      </c>
      <c r="H4184" s="150" t="str">
        <f t="shared" si="195"/>
        <v>5</v>
      </c>
      <c r="I4184" s="150" t="str">
        <f t="shared" si="196"/>
        <v>53</v>
      </c>
      <c r="J4184" s="150" t="str">
        <f t="shared" si="197"/>
        <v>535</v>
      </c>
      <c r="K4184" s="150" t="s">
        <v>9235</v>
      </c>
      <c r="L4184" s="149" t="s">
        <v>2439</v>
      </c>
      <c r="M4184" s="151">
        <v>34.11</v>
      </c>
    </row>
    <row r="4185" spans="1:13" s="149" customFormat="1" x14ac:dyDescent="0.25">
      <c r="A4185" s="149" t="s">
        <v>7640</v>
      </c>
      <c r="B4185" s="149" t="s">
        <v>2440</v>
      </c>
      <c r="C4185" s="149">
        <v>11</v>
      </c>
      <c r="D4185" s="149">
        <v>350</v>
      </c>
      <c r="E4185" s="149">
        <v>1</v>
      </c>
      <c r="F4185" s="149">
        <v>95300</v>
      </c>
      <c r="G4185" s="149">
        <v>53610</v>
      </c>
      <c r="H4185" s="150" t="str">
        <f t="shared" si="195"/>
        <v>5</v>
      </c>
      <c r="I4185" s="150" t="str">
        <f t="shared" si="196"/>
        <v>53</v>
      </c>
      <c r="J4185" s="150" t="str">
        <f t="shared" si="197"/>
        <v>536</v>
      </c>
      <c r="K4185" s="150" t="s">
        <v>9236</v>
      </c>
      <c r="L4185" s="149" t="s">
        <v>2441</v>
      </c>
      <c r="M4185" s="151">
        <v>1289.52</v>
      </c>
    </row>
    <row r="4186" spans="1:13" s="149" customFormat="1" x14ac:dyDescent="0.25">
      <c r="A4186" s="149" t="s">
        <v>7640</v>
      </c>
      <c r="B4186" s="149" t="s">
        <v>2442</v>
      </c>
      <c r="C4186" s="149">
        <v>11</v>
      </c>
      <c r="D4186" s="149">
        <v>350</v>
      </c>
      <c r="E4186" s="149">
        <v>1</v>
      </c>
      <c r="F4186" s="149">
        <v>95300</v>
      </c>
      <c r="G4186" s="149">
        <v>54300</v>
      </c>
      <c r="H4186" s="150" t="str">
        <f t="shared" si="195"/>
        <v>5</v>
      </c>
      <c r="I4186" s="150" t="str">
        <f t="shared" si="196"/>
        <v>54</v>
      </c>
      <c r="J4186" s="150" t="str">
        <f t="shared" si="197"/>
        <v>543</v>
      </c>
      <c r="K4186" s="150" t="s">
        <v>7958</v>
      </c>
      <c r="L4186" s="149" t="s">
        <v>2443</v>
      </c>
      <c r="M4186" s="151">
        <v>0</v>
      </c>
    </row>
    <row r="4187" spans="1:13" s="149" customFormat="1" x14ac:dyDescent="0.25">
      <c r="A4187" s="149" t="s">
        <v>7640</v>
      </c>
      <c r="B4187" s="149" t="s">
        <v>2444</v>
      </c>
      <c r="C4187" s="149">
        <v>11</v>
      </c>
      <c r="D4187" s="149">
        <v>350</v>
      </c>
      <c r="E4187" s="149">
        <v>1</v>
      </c>
      <c r="F4187" s="149">
        <v>95300</v>
      </c>
      <c r="G4187" s="149">
        <v>55630</v>
      </c>
      <c r="H4187" s="150" t="str">
        <f t="shared" si="195"/>
        <v>5</v>
      </c>
      <c r="I4187" s="150" t="str">
        <f t="shared" si="196"/>
        <v>55</v>
      </c>
      <c r="J4187" s="150" t="str">
        <f t="shared" si="197"/>
        <v>556</v>
      </c>
      <c r="K4187" s="150" t="s">
        <v>8247</v>
      </c>
      <c r="L4187" s="149" t="s">
        <v>2445</v>
      </c>
      <c r="M4187" s="151">
        <v>0</v>
      </c>
    </row>
    <row r="4188" spans="1:13" s="149" customFormat="1" x14ac:dyDescent="0.25">
      <c r="A4188" s="149" t="s">
        <v>7640</v>
      </c>
      <c r="B4188" s="149" t="s">
        <v>2446</v>
      </c>
      <c r="C4188" s="149">
        <v>11</v>
      </c>
      <c r="D4188" s="149">
        <v>350</v>
      </c>
      <c r="E4188" s="149">
        <v>1</v>
      </c>
      <c r="F4188" s="149">
        <v>95300</v>
      </c>
      <c r="G4188" s="149">
        <v>55651</v>
      </c>
      <c r="H4188" s="150" t="str">
        <f t="shared" si="195"/>
        <v>5</v>
      </c>
      <c r="I4188" s="150" t="str">
        <f t="shared" si="196"/>
        <v>55</v>
      </c>
      <c r="J4188" s="150" t="str">
        <f t="shared" si="197"/>
        <v>556</v>
      </c>
      <c r="K4188" s="150" t="s">
        <v>8324</v>
      </c>
      <c r="L4188" s="149" t="s">
        <v>2447</v>
      </c>
      <c r="M4188" s="151">
        <v>0</v>
      </c>
    </row>
    <row r="4189" spans="1:13" s="149" customFormat="1" x14ac:dyDescent="0.25">
      <c r="A4189" s="149" t="s">
        <v>7640</v>
      </c>
      <c r="B4189" s="149" t="s">
        <v>2448</v>
      </c>
      <c r="C4189" s="149">
        <v>11</v>
      </c>
      <c r="D4189" s="149">
        <v>350</v>
      </c>
      <c r="E4189" s="149">
        <v>1</v>
      </c>
      <c r="F4189" s="149">
        <v>95300</v>
      </c>
      <c r="G4189" s="149">
        <v>56300</v>
      </c>
      <c r="H4189" s="150" t="str">
        <f t="shared" si="195"/>
        <v>5</v>
      </c>
      <c r="I4189" s="150" t="str">
        <f t="shared" si="196"/>
        <v>56</v>
      </c>
      <c r="J4189" s="150" t="str">
        <f t="shared" si="197"/>
        <v>563</v>
      </c>
      <c r="K4189" s="150" t="s">
        <v>8358</v>
      </c>
      <c r="L4189" s="149" t="s">
        <v>2449</v>
      </c>
      <c r="M4189" s="151">
        <v>2000</v>
      </c>
    </row>
    <row r="4190" spans="1:13" s="149" customFormat="1" x14ac:dyDescent="0.25">
      <c r="A4190" s="149" t="s">
        <v>7640</v>
      </c>
      <c r="B4190" s="149" t="s">
        <v>2450</v>
      </c>
      <c r="C4190" s="149">
        <v>11</v>
      </c>
      <c r="D4190" s="149">
        <v>350</v>
      </c>
      <c r="E4190" s="149">
        <v>1</v>
      </c>
      <c r="F4190" s="149">
        <v>95650</v>
      </c>
      <c r="G4190" s="149">
        <v>51100</v>
      </c>
      <c r="H4190" s="150" t="str">
        <f t="shared" si="195"/>
        <v>5</v>
      </c>
      <c r="I4190" s="150" t="str">
        <f t="shared" si="196"/>
        <v>51</v>
      </c>
      <c r="J4190" s="150" t="str">
        <f t="shared" si="197"/>
        <v>511</v>
      </c>
      <c r="K4190" s="150" t="s">
        <v>9237</v>
      </c>
      <c r="L4190" s="149" t="s">
        <v>2451</v>
      </c>
      <c r="M4190" s="151">
        <v>75526.38</v>
      </c>
    </row>
    <row r="4191" spans="1:13" s="149" customFormat="1" x14ac:dyDescent="0.25">
      <c r="A4191" s="149" t="s">
        <v>7640</v>
      </c>
      <c r="B4191" s="149" t="s">
        <v>2452</v>
      </c>
      <c r="C4191" s="149">
        <v>11</v>
      </c>
      <c r="D4191" s="149">
        <v>350</v>
      </c>
      <c r="E4191" s="149">
        <v>1</v>
      </c>
      <c r="F4191" s="149">
        <v>95650</v>
      </c>
      <c r="G4191" s="149">
        <v>51310</v>
      </c>
      <c r="H4191" s="150" t="str">
        <f t="shared" si="195"/>
        <v>5</v>
      </c>
      <c r="I4191" s="150" t="str">
        <f t="shared" si="196"/>
        <v>51</v>
      </c>
      <c r="J4191" s="150" t="str">
        <f t="shared" si="197"/>
        <v>513</v>
      </c>
      <c r="K4191" s="150" t="s">
        <v>7684</v>
      </c>
      <c r="L4191" s="149" t="s">
        <v>2453</v>
      </c>
      <c r="M4191" s="151">
        <v>0</v>
      </c>
    </row>
    <row r="4192" spans="1:13" s="149" customFormat="1" x14ac:dyDescent="0.25">
      <c r="A4192" s="149" t="s">
        <v>7640</v>
      </c>
      <c r="B4192" s="149" t="s">
        <v>2454</v>
      </c>
      <c r="C4192" s="149">
        <v>11</v>
      </c>
      <c r="D4192" s="149">
        <v>350</v>
      </c>
      <c r="E4192" s="149">
        <v>1</v>
      </c>
      <c r="F4192" s="149">
        <v>95650</v>
      </c>
      <c r="G4192" s="149">
        <v>51311</v>
      </c>
      <c r="H4192" s="150" t="str">
        <f t="shared" si="195"/>
        <v>5</v>
      </c>
      <c r="I4192" s="150" t="str">
        <f t="shared" si="196"/>
        <v>51</v>
      </c>
      <c r="J4192" s="150" t="str">
        <f t="shared" si="197"/>
        <v>513</v>
      </c>
      <c r="K4192" s="150" t="s">
        <v>7762</v>
      </c>
      <c r="L4192" s="149" t="s">
        <v>2455</v>
      </c>
      <c r="M4192" s="151">
        <v>2525.91</v>
      </c>
    </row>
    <row r="4193" spans="1:13" s="149" customFormat="1" x14ac:dyDescent="0.25">
      <c r="A4193" s="149" t="s">
        <v>7640</v>
      </c>
      <c r="B4193" s="149" t="s">
        <v>2456</v>
      </c>
      <c r="C4193" s="149">
        <v>11</v>
      </c>
      <c r="D4193" s="149">
        <v>350</v>
      </c>
      <c r="E4193" s="149">
        <v>1</v>
      </c>
      <c r="F4193" s="149">
        <v>95650</v>
      </c>
      <c r="G4193" s="149">
        <v>52200</v>
      </c>
      <c r="H4193" s="150" t="str">
        <f t="shared" si="195"/>
        <v>5</v>
      </c>
      <c r="I4193" s="150" t="str">
        <f t="shared" si="196"/>
        <v>52</v>
      </c>
      <c r="J4193" s="150" t="str">
        <f t="shared" si="197"/>
        <v>522</v>
      </c>
      <c r="K4193" s="150" t="s">
        <v>9238</v>
      </c>
      <c r="L4193" s="149" t="s">
        <v>2457</v>
      </c>
      <c r="M4193" s="151">
        <v>25010.48</v>
      </c>
    </row>
    <row r="4194" spans="1:13" s="149" customFormat="1" x14ac:dyDescent="0.25">
      <c r="A4194" s="149" t="s">
        <v>7640</v>
      </c>
      <c r="B4194" s="149" t="s">
        <v>2458</v>
      </c>
      <c r="C4194" s="149">
        <v>11</v>
      </c>
      <c r="D4194" s="149">
        <v>350</v>
      </c>
      <c r="E4194" s="149">
        <v>1</v>
      </c>
      <c r="F4194" s="149">
        <v>95650</v>
      </c>
      <c r="G4194" s="149">
        <v>53110</v>
      </c>
      <c r="H4194" s="150" t="str">
        <f t="shared" si="195"/>
        <v>5</v>
      </c>
      <c r="I4194" s="150" t="str">
        <f t="shared" si="196"/>
        <v>53</v>
      </c>
      <c r="J4194" s="150" t="str">
        <f t="shared" si="197"/>
        <v>531</v>
      </c>
      <c r="K4194" s="150" t="s">
        <v>9239</v>
      </c>
      <c r="L4194" s="149" t="s">
        <v>2459</v>
      </c>
      <c r="M4194" s="151">
        <v>12605.43</v>
      </c>
    </row>
    <row r="4195" spans="1:13" s="149" customFormat="1" x14ac:dyDescent="0.25">
      <c r="A4195" s="149" t="s">
        <v>7640</v>
      </c>
      <c r="B4195" s="149" t="s">
        <v>2460</v>
      </c>
      <c r="C4195" s="149">
        <v>11</v>
      </c>
      <c r="D4195" s="149">
        <v>350</v>
      </c>
      <c r="E4195" s="149">
        <v>1</v>
      </c>
      <c r="F4195" s="149">
        <v>95650</v>
      </c>
      <c r="G4195" s="149">
        <v>53210</v>
      </c>
      <c r="H4195" s="150" t="str">
        <f t="shared" si="195"/>
        <v>5</v>
      </c>
      <c r="I4195" s="150" t="str">
        <f t="shared" si="196"/>
        <v>53</v>
      </c>
      <c r="J4195" s="150" t="str">
        <f t="shared" si="197"/>
        <v>532</v>
      </c>
      <c r="K4195" s="150" t="s">
        <v>9240</v>
      </c>
      <c r="L4195" s="149" t="s">
        <v>2461</v>
      </c>
      <c r="M4195" s="151">
        <v>5176.1499999999996</v>
      </c>
    </row>
    <row r="4196" spans="1:13" s="149" customFormat="1" x14ac:dyDescent="0.25">
      <c r="A4196" s="149" t="s">
        <v>7640</v>
      </c>
      <c r="B4196" s="149" t="s">
        <v>2462</v>
      </c>
      <c r="C4196" s="149">
        <v>11</v>
      </c>
      <c r="D4196" s="149">
        <v>350</v>
      </c>
      <c r="E4196" s="149">
        <v>1</v>
      </c>
      <c r="F4196" s="149">
        <v>95650</v>
      </c>
      <c r="G4196" s="149">
        <v>53310</v>
      </c>
      <c r="H4196" s="150" t="str">
        <f t="shared" si="195"/>
        <v>5</v>
      </c>
      <c r="I4196" s="150" t="str">
        <f t="shared" si="196"/>
        <v>53</v>
      </c>
      <c r="J4196" s="150" t="str">
        <f t="shared" si="197"/>
        <v>533</v>
      </c>
      <c r="K4196" s="150" t="s">
        <v>9241</v>
      </c>
      <c r="L4196" s="149" t="s">
        <v>2463</v>
      </c>
      <c r="M4196" s="151">
        <v>1550.65</v>
      </c>
    </row>
    <row r="4197" spans="1:13" s="149" customFormat="1" x14ac:dyDescent="0.25">
      <c r="A4197" s="149" t="s">
        <v>7640</v>
      </c>
      <c r="B4197" s="149" t="s">
        <v>2464</v>
      </c>
      <c r="C4197" s="149">
        <v>11</v>
      </c>
      <c r="D4197" s="149">
        <v>350</v>
      </c>
      <c r="E4197" s="149">
        <v>1</v>
      </c>
      <c r="F4197" s="149">
        <v>95650</v>
      </c>
      <c r="G4197" s="149">
        <v>53330</v>
      </c>
      <c r="H4197" s="150" t="str">
        <f t="shared" si="195"/>
        <v>5</v>
      </c>
      <c r="I4197" s="150" t="str">
        <f t="shared" si="196"/>
        <v>53</v>
      </c>
      <c r="J4197" s="150" t="str">
        <f t="shared" si="197"/>
        <v>533</v>
      </c>
      <c r="K4197" s="150" t="s">
        <v>9242</v>
      </c>
      <c r="L4197" s="149" t="s">
        <v>2465</v>
      </c>
      <c r="M4197" s="151">
        <v>1487</v>
      </c>
    </row>
    <row r="4198" spans="1:13" s="149" customFormat="1" x14ac:dyDescent="0.25">
      <c r="A4198" s="149" t="s">
        <v>7640</v>
      </c>
      <c r="B4198" s="149" t="s">
        <v>2466</v>
      </c>
      <c r="C4198" s="149">
        <v>11</v>
      </c>
      <c r="D4198" s="149">
        <v>350</v>
      </c>
      <c r="E4198" s="149">
        <v>1</v>
      </c>
      <c r="F4198" s="149">
        <v>95650</v>
      </c>
      <c r="G4198" s="149">
        <v>53410</v>
      </c>
      <c r="H4198" s="150" t="str">
        <f t="shared" si="195"/>
        <v>5</v>
      </c>
      <c r="I4198" s="150" t="str">
        <f t="shared" si="196"/>
        <v>53</v>
      </c>
      <c r="J4198" s="150" t="str">
        <f t="shared" si="197"/>
        <v>534</v>
      </c>
      <c r="K4198" s="150" t="s">
        <v>9243</v>
      </c>
      <c r="L4198" s="149" t="s">
        <v>2467</v>
      </c>
      <c r="M4198" s="151">
        <v>25681.73</v>
      </c>
    </row>
    <row r="4199" spans="1:13" s="149" customFormat="1" x14ac:dyDescent="0.25">
      <c r="A4199" s="149" t="s">
        <v>7640</v>
      </c>
      <c r="B4199" s="149" t="s">
        <v>2468</v>
      </c>
      <c r="C4199" s="149">
        <v>11</v>
      </c>
      <c r="D4199" s="149">
        <v>350</v>
      </c>
      <c r="E4199" s="149">
        <v>1</v>
      </c>
      <c r="F4199" s="149">
        <v>95650</v>
      </c>
      <c r="G4199" s="149">
        <v>53510</v>
      </c>
      <c r="H4199" s="150" t="str">
        <f t="shared" si="195"/>
        <v>5</v>
      </c>
      <c r="I4199" s="150" t="str">
        <f t="shared" si="196"/>
        <v>53</v>
      </c>
      <c r="J4199" s="150" t="str">
        <f t="shared" si="197"/>
        <v>535</v>
      </c>
      <c r="K4199" s="150" t="s">
        <v>9244</v>
      </c>
      <c r="L4199" s="149" t="s">
        <v>2469</v>
      </c>
      <c r="M4199" s="151">
        <v>51.58</v>
      </c>
    </row>
    <row r="4200" spans="1:13" s="149" customFormat="1" x14ac:dyDescent="0.25">
      <c r="A4200" s="149" t="s">
        <v>7640</v>
      </c>
      <c r="B4200" s="149" t="s">
        <v>2470</v>
      </c>
      <c r="C4200" s="149">
        <v>11</v>
      </c>
      <c r="D4200" s="149">
        <v>350</v>
      </c>
      <c r="E4200" s="149">
        <v>1</v>
      </c>
      <c r="F4200" s="149">
        <v>95650</v>
      </c>
      <c r="G4200" s="149">
        <v>53610</v>
      </c>
      <c r="H4200" s="150" t="str">
        <f t="shared" si="195"/>
        <v>5</v>
      </c>
      <c r="I4200" s="150" t="str">
        <f t="shared" si="196"/>
        <v>53</v>
      </c>
      <c r="J4200" s="150" t="str">
        <f t="shared" si="197"/>
        <v>536</v>
      </c>
      <c r="K4200" s="150" t="s">
        <v>9245</v>
      </c>
      <c r="L4200" s="149" t="s">
        <v>2471</v>
      </c>
      <c r="M4200" s="151">
        <v>1949.7</v>
      </c>
    </row>
    <row r="4201" spans="1:13" s="149" customFormat="1" x14ac:dyDescent="0.25">
      <c r="A4201" s="149" t="s">
        <v>7640</v>
      </c>
      <c r="B4201" s="149" t="s">
        <v>2472</v>
      </c>
      <c r="C4201" s="149">
        <v>11</v>
      </c>
      <c r="D4201" s="149">
        <v>350</v>
      </c>
      <c r="E4201" s="149">
        <v>1</v>
      </c>
      <c r="F4201" s="149">
        <v>95650</v>
      </c>
      <c r="G4201" s="149">
        <v>54300</v>
      </c>
      <c r="H4201" s="150" t="str">
        <f t="shared" si="195"/>
        <v>5</v>
      </c>
      <c r="I4201" s="150" t="str">
        <f t="shared" si="196"/>
        <v>54</v>
      </c>
      <c r="J4201" s="150" t="str">
        <f t="shared" si="197"/>
        <v>543</v>
      </c>
      <c r="K4201" s="150" t="s">
        <v>7959</v>
      </c>
      <c r="L4201" s="149" t="s">
        <v>2473</v>
      </c>
      <c r="M4201" s="151">
        <v>273.3</v>
      </c>
    </row>
    <row r="4202" spans="1:13" s="149" customFormat="1" x14ac:dyDescent="0.25">
      <c r="A4202" s="149" t="s">
        <v>7640</v>
      </c>
      <c r="B4202" s="149" t="s">
        <v>2474</v>
      </c>
      <c r="C4202" s="149">
        <v>11</v>
      </c>
      <c r="D4202" s="149">
        <v>350</v>
      </c>
      <c r="E4202" s="149">
        <v>1</v>
      </c>
      <c r="F4202" s="149">
        <v>95650</v>
      </c>
      <c r="G4202" s="149">
        <v>55630</v>
      </c>
      <c r="H4202" s="150" t="str">
        <f t="shared" si="195"/>
        <v>5</v>
      </c>
      <c r="I4202" s="150" t="str">
        <f t="shared" si="196"/>
        <v>55</v>
      </c>
      <c r="J4202" s="150" t="str">
        <f t="shared" si="197"/>
        <v>556</v>
      </c>
      <c r="K4202" s="150" t="s">
        <v>8248</v>
      </c>
      <c r="L4202" s="149" t="s">
        <v>2475</v>
      </c>
      <c r="M4202" s="151">
        <v>0</v>
      </c>
    </row>
    <row r="4203" spans="1:13" s="149" customFormat="1" x14ac:dyDescent="0.25">
      <c r="A4203" s="149" t="s">
        <v>7640</v>
      </c>
      <c r="B4203" s="149" t="s">
        <v>2476</v>
      </c>
      <c r="C4203" s="149">
        <v>11</v>
      </c>
      <c r="D4203" s="149">
        <v>350</v>
      </c>
      <c r="E4203" s="149">
        <v>1</v>
      </c>
      <c r="F4203" s="149">
        <v>95650</v>
      </c>
      <c r="G4203" s="149">
        <v>55651</v>
      </c>
      <c r="H4203" s="150" t="str">
        <f t="shared" si="195"/>
        <v>5</v>
      </c>
      <c r="I4203" s="150" t="str">
        <f t="shared" si="196"/>
        <v>55</v>
      </c>
      <c r="J4203" s="150" t="str">
        <f t="shared" si="197"/>
        <v>556</v>
      </c>
      <c r="K4203" s="150" t="s">
        <v>8325</v>
      </c>
      <c r="L4203" s="149" t="s">
        <v>2477</v>
      </c>
      <c r="M4203" s="151">
        <v>2800</v>
      </c>
    </row>
    <row r="4204" spans="1:13" s="149" customFormat="1" x14ac:dyDescent="0.25">
      <c r="A4204" s="149" t="s">
        <v>7640</v>
      </c>
      <c r="B4204" s="149" t="s">
        <v>2478</v>
      </c>
      <c r="C4204" s="149">
        <v>11</v>
      </c>
      <c r="D4204" s="149">
        <v>350</v>
      </c>
      <c r="E4204" s="149">
        <v>1</v>
      </c>
      <c r="F4204" s="149">
        <v>95650</v>
      </c>
      <c r="G4204" s="149">
        <v>56400</v>
      </c>
      <c r="H4204" s="150" t="str">
        <f t="shared" si="195"/>
        <v>5</v>
      </c>
      <c r="I4204" s="150" t="str">
        <f t="shared" si="196"/>
        <v>56</v>
      </c>
      <c r="J4204" s="150" t="str">
        <f t="shared" si="197"/>
        <v>564</v>
      </c>
      <c r="K4204" s="150" t="s">
        <v>8378</v>
      </c>
      <c r="L4204" s="149" t="s">
        <v>2479</v>
      </c>
      <c r="M4204" s="151">
        <v>0</v>
      </c>
    </row>
    <row r="4205" spans="1:13" s="149" customFormat="1" x14ac:dyDescent="0.25">
      <c r="A4205" s="149" t="s">
        <v>7640</v>
      </c>
      <c r="B4205" s="149" t="s">
        <v>2480</v>
      </c>
      <c r="C4205" s="149">
        <v>11</v>
      </c>
      <c r="D4205" s="149">
        <v>350</v>
      </c>
      <c r="E4205" s="149">
        <v>1</v>
      </c>
      <c r="F4205" s="149">
        <v>601000</v>
      </c>
      <c r="G4205" s="149">
        <v>51210</v>
      </c>
      <c r="H4205" s="150" t="str">
        <f t="shared" si="195"/>
        <v>5</v>
      </c>
      <c r="I4205" s="150" t="str">
        <f t="shared" si="196"/>
        <v>51</v>
      </c>
      <c r="J4205" s="150" t="str">
        <f t="shared" si="197"/>
        <v>512</v>
      </c>
      <c r="K4205" s="150" t="s">
        <v>9246</v>
      </c>
      <c r="L4205" s="149" t="s">
        <v>477</v>
      </c>
      <c r="M4205" s="151">
        <v>122839.2</v>
      </c>
    </row>
    <row r="4206" spans="1:13" s="149" customFormat="1" x14ac:dyDescent="0.25">
      <c r="A4206" s="149" t="s">
        <v>7640</v>
      </c>
      <c r="B4206" s="149" t="s">
        <v>2481</v>
      </c>
      <c r="C4206" s="149">
        <v>11</v>
      </c>
      <c r="D4206" s="149">
        <v>350</v>
      </c>
      <c r="E4206" s="149">
        <v>1</v>
      </c>
      <c r="F4206" s="149">
        <v>601000</v>
      </c>
      <c r="G4206" s="149">
        <v>52105</v>
      </c>
      <c r="H4206" s="150" t="str">
        <f t="shared" si="195"/>
        <v>5</v>
      </c>
      <c r="I4206" s="150" t="str">
        <f t="shared" si="196"/>
        <v>52</v>
      </c>
      <c r="J4206" s="150" t="str">
        <f t="shared" si="197"/>
        <v>521</v>
      </c>
      <c r="K4206" s="150" t="s">
        <v>9247</v>
      </c>
      <c r="L4206" s="149" t="s">
        <v>481</v>
      </c>
      <c r="M4206" s="151">
        <v>52930.42</v>
      </c>
    </row>
    <row r="4207" spans="1:13" s="149" customFormat="1" x14ac:dyDescent="0.25">
      <c r="A4207" s="149" t="s">
        <v>7640</v>
      </c>
      <c r="B4207" s="149" t="s">
        <v>2482</v>
      </c>
      <c r="C4207" s="149">
        <v>11</v>
      </c>
      <c r="D4207" s="149">
        <v>350</v>
      </c>
      <c r="E4207" s="149">
        <v>1</v>
      </c>
      <c r="F4207" s="149">
        <v>601000</v>
      </c>
      <c r="G4207" s="149">
        <v>52300</v>
      </c>
      <c r="H4207" s="150" t="str">
        <f t="shared" si="195"/>
        <v>5</v>
      </c>
      <c r="I4207" s="150" t="str">
        <f t="shared" si="196"/>
        <v>52</v>
      </c>
      <c r="J4207" s="150" t="str">
        <f t="shared" si="197"/>
        <v>523</v>
      </c>
      <c r="K4207" s="150" t="s">
        <v>7828</v>
      </c>
      <c r="L4207" s="149" t="s">
        <v>483</v>
      </c>
      <c r="M4207" s="151">
        <v>0.56999999999999995</v>
      </c>
    </row>
    <row r="4208" spans="1:13" s="149" customFormat="1" x14ac:dyDescent="0.25">
      <c r="A4208" s="149" t="s">
        <v>7640</v>
      </c>
      <c r="B4208" s="149" t="s">
        <v>2483</v>
      </c>
      <c r="C4208" s="149">
        <v>11</v>
      </c>
      <c r="D4208" s="149">
        <v>350</v>
      </c>
      <c r="E4208" s="149">
        <v>1</v>
      </c>
      <c r="F4208" s="149">
        <v>601000</v>
      </c>
      <c r="G4208" s="149">
        <v>52350</v>
      </c>
      <c r="H4208" s="150" t="str">
        <f t="shared" si="195"/>
        <v>5</v>
      </c>
      <c r="I4208" s="150" t="str">
        <f t="shared" si="196"/>
        <v>52</v>
      </c>
      <c r="J4208" s="150" t="str">
        <f t="shared" si="197"/>
        <v>523</v>
      </c>
      <c r="K4208" s="150" t="s">
        <v>7855</v>
      </c>
      <c r="L4208" s="149" t="s">
        <v>1006</v>
      </c>
      <c r="M4208" s="151">
        <v>8986</v>
      </c>
    </row>
    <row r="4209" spans="1:13" s="149" customFormat="1" x14ac:dyDescent="0.25">
      <c r="A4209" s="149" t="s">
        <v>7640</v>
      </c>
      <c r="B4209" s="149" t="s">
        <v>2484</v>
      </c>
      <c r="C4209" s="149">
        <v>11</v>
      </c>
      <c r="D4209" s="149">
        <v>350</v>
      </c>
      <c r="E4209" s="149">
        <v>1</v>
      </c>
      <c r="F4209" s="149">
        <v>601000</v>
      </c>
      <c r="G4209" s="149">
        <v>53120</v>
      </c>
      <c r="H4209" s="150" t="str">
        <f t="shared" si="195"/>
        <v>5</v>
      </c>
      <c r="I4209" s="150" t="str">
        <f t="shared" si="196"/>
        <v>53</v>
      </c>
      <c r="J4209" s="150" t="str">
        <f t="shared" si="197"/>
        <v>531</v>
      </c>
      <c r="K4209" s="150" t="s">
        <v>9248</v>
      </c>
      <c r="L4209" s="149" t="s">
        <v>485</v>
      </c>
      <c r="M4209" s="151">
        <v>19838.5</v>
      </c>
    </row>
    <row r="4210" spans="1:13" s="149" customFormat="1" x14ac:dyDescent="0.25">
      <c r="A4210" s="149" t="s">
        <v>7640</v>
      </c>
      <c r="B4210" s="149" t="s">
        <v>2485</v>
      </c>
      <c r="C4210" s="149">
        <v>11</v>
      </c>
      <c r="D4210" s="149">
        <v>350</v>
      </c>
      <c r="E4210" s="149">
        <v>1</v>
      </c>
      <c r="F4210" s="149">
        <v>601000</v>
      </c>
      <c r="G4210" s="149">
        <v>53220</v>
      </c>
      <c r="H4210" s="150" t="str">
        <f t="shared" si="195"/>
        <v>5</v>
      </c>
      <c r="I4210" s="150" t="str">
        <f t="shared" si="196"/>
        <v>53</v>
      </c>
      <c r="J4210" s="150" t="str">
        <f t="shared" si="197"/>
        <v>532</v>
      </c>
      <c r="K4210" s="150" t="s">
        <v>9249</v>
      </c>
      <c r="L4210" s="149" t="s">
        <v>487</v>
      </c>
      <c r="M4210" s="151">
        <v>10954.48</v>
      </c>
    </row>
    <row r="4211" spans="1:13" s="149" customFormat="1" x14ac:dyDescent="0.25">
      <c r="A4211" s="149" t="s">
        <v>7640</v>
      </c>
      <c r="B4211" s="149" t="s">
        <v>2486</v>
      </c>
      <c r="C4211" s="149">
        <v>11</v>
      </c>
      <c r="D4211" s="149">
        <v>350</v>
      </c>
      <c r="E4211" s="149">
        <v>1</v>
      </c>
      <c r="F4211" s="149">
        <v>601000</v>
      </c>
      <c r="G4211" s="149">
        <v>53320</v>
      </c>
      <c r="H4211" s="150" t="str">
        <f t="shared" si="195"/>
        <v>5</v>
      </c>
      <c r="I4211" s="150" t="str">
        <f t="shared" si="196"/>
        <v>53</v>
      </c>
      <c r="J4211" s="150" t="str">
        <f t="shared" si="197"/>
        <v>533</v>
      </c>
      <c r="K4211" s="150" t="s">
        <v>9250</v>
      </c>
      <c r="L4211" s="149" t="s">
        <v>489</v>
      </c>
      <c r="M4211" s="151">
        <v>3281.74</v>
      </c>
    </row>
    <row r="4212" spans="1:13" s="149" customFormat="1" x14ac:dyDescent="0.25">
      <c r="A4212" s="149" t="s">
        <v>7640</v>
      </c>
      <c r="B4212" s="149" t="s">
        <v>2487</v>
      </c>
      <c r="C4212" s="149">
        <v>11</v>
      </c>
      <c r="D4212" s="149">
        <v>350</v>
      </c>
      <c r="E4212" s="149">
        <v>1</v>
      </c>
      <c r="F4212" s="149">
        <v>601000</v>
      </c>
      <c r="G4212" s="149">
        <v>53340</v>
      </c>
      <c r="H4212" s="150" t="str">
        <f t="shared" si="195"/>
        <v>5</v>
      </c>
      <c r="I4212" s="150" t="str">
        <f t="shared" si="196"/>
        <v>53</v>
      </c>
      <c r="J4212" s="150" t="str">
        <f t="shared" si="197"/>
        <v>533</v>
      </c>
      <c r="K4212" s="150" t="s">
        <v>9251</v>
      </c>
      <c r="L4212" s="149" t="s">
        <v>491</v>
      </c>
      <c r="M4212" s="151">
        <v>2549.15</v>
      </c>
    </row>
    <row r="4213" spans="1:13" s="149" customFormat="1" x14ac:dyDescent="0.25">
      <c r="A4213" s="149" t="s">
        <v>7640</v>
      </c>
      <c r="B4213" s="149" t="s">
        <v>2488</v>
      </c>
      <c r="C4213" s="149">
        <v>11</v>
      </c>
      <c r="D4213" s="149">
        <v>350</v>
      </c>
      <c r="E4213" s="149">
        <v>1</v>
      </c>
      <c r="F4213" s="149">
        <v>601000</v>
      </c>
      <c r="G4213" s="149">
        <v>53420</v>
      </c>
      <c r="H4213" s="150" t="str">
        <f t="shared" si="195"/>
        <v>5</v>
      </c>
      <c r="I4213" s="150" t="str">
        <f t="shared" si="196"/>
        <v>53</v>
      </c>
      <c r="J4213" s="150" t="str">
        <f t="shared" si="197"/>
        <v>534</v>
      </c>
      <c r="K4213" s="150" t="s">
        <v>9252</v>
      </c>
      <c r="L4213" s="149" t="s">
        <v>493</v>
      </c>
      <c r="M4213" s="151">
        <v>29592.720000000001</v>
      </c>
    </row>
    <row r="4214" spans="1:13" s="149" customFormat="1" x14ac:dyDescent="0.25">
      <c r="A4214" s="149" t="s">
        <v>7640</v>
      </c>
      <c r="B4214" s="149" t="s">
        <v>2489</v>
      </c>
      <c r="C4214" s="149">
        <v>11</v>
      </c>
      <c r="D4214" s="149">
        <v>350</v>
      </c>
      <c r="E4214" s="149">
        <v>1</v>
      </c>
      <c r="F4214" s="149">
        <v>601000</v>
      </c>
      <c r="G4214" s="149">
        <v>53520</v>
      </c>
      <c r="H4214" s="150" t="str">
        <f t="shared" si="195"/>
        <v>5</v>
      </c>
      <c r="I4214" s="150" t="str">
        <f t="shared" si="196"/>
        <v>53</v>
      </c>
      <c r="J4214" s="150" t="str">
        <f t="shared" si="197"/>
        <v>535</v>
      </c>
      <c r="K4214" s="150" t="s">
        <v>9253</v>
      </c>
      <c r="L4214" s="149" t="s">
        <v>495</v>
      </c>
      <c r="M4214" s="151">
        <v>87.86</v>
      </c>
    </row>
    <row r="4215" spans="1:13" s="149" customFormat="1" x14ac:dyDescent="0.25">
      <c r="A4215" s="149" t="s">
        <v>7640</v>
      </c>
      <c r="B4215" s="149" t="s">
        <v>2490</v>
      </c>
      <c r="C4215" s="149">
        <v>11</v>
      </c>
      <c r="D4215" s="149">
        <v>350</v>
      </c>
      <c r="E4215" s="149">
        <v>1</v>
      </c>
      <c r="F4215" s="149">
        <v>601000</v>
      </c>
      <c r="G4215" s="149">
        <v>53620</v>
      </c>
      <c r="H4215" s="150" t="str">
        <f t="shared" si="195"/>
        <v>5</v>
      </c>
      <c r="I4215" s="150" t="str">
        <f t="shared" si="196"/>
        <v>53</v>
      </c>
      <c r="J4215" s="150" t="str">
        <f t="shared" si="197"/>
        <v>536</v>
      </c>
      <c r="K4215" s="150" t="s">
        <v>9254</v>
      </c>
      <c r="L4215" s="149" t="s">
        <v>497</v>
      </c>
      <c r="M4215" s="151">
        <v>3495.71</v>
      </c>
    </row>
    <row r="4216" spans="1:13" s="149" customFormat="1" x14ac:dyDescent="0.25">
      <c r="A4216" s="149" t="s">
        <v>7640</v>
      </c>
      <c r="B4216" s="149" t="s">
        <v>2491</v>
      </c>
      <c r="C4216" s="149">
        <v>11</v>
      </c>
      <c r="D4216" s="149">
        <v>350</v>
      </c>
      <c r="E4216" s="149">
        <v>1</v>
      </c>
      <c r="F4216" s="149">
        <v>601000</v>
      </c>
      <c r="G4216" s="149">
        <v>53920</v>
      </c>
      <c r="H4216" s="150" t="str">
        <f t="shared" si="195"/>
        <v>5</v>
      </c>
      <c r="I4216" s="150" t="str">
        <f t="shared" si="196"/>
        <v>53</v>
      </c>
      <c r="J4216" s="150" t="str">
        <f t="shared" si="197"/>
        <v>539</v>
      </c>
      <c r="K4216" s="150" t="s">
        <v>9255</v>
      </c>
      <c r="L4216" s="149" t="s">
        <v>499</v>
      </c>
      <c r="M4216" s="151">
        <v>1800</v>
      </c>
    </row>
    <row r="4217" spans="1:13" s="149" customFormat="1" x14ac:dyDescent="0.25">
      <c r="A4217" s="149" t="s">
        <v>7640</v>
      </c>
      <c r="B4217" s="149" t="s">
        <v>2492</v>
      </c>
      <c r="C4217" s="149">
        <v>11</v>
      </c>
      <c r="D4217" s="149">
        <v>350</v>
      </c>
      <c r="E4217" s="149">
        <v>1</v>
      </c>
      <c r="F4217" s="149">
        <v>601000</v>
      </c>
      <c r="G4217" s="149">
        <v>54300</v>
      </c>
      <c r="H4217" s="150" t="str">
        <f t="shared" si="195"/>
        <v>5</v>
      </c>
      <c r="I4217" s="150" t="str">
        <f t="shared" si="196"/>
        <v>54</v>
      </c>
      <c r="J4217" s="150" t="str">
        <f t="shared" si="197"/>
        <v>543</v>
      </c>
      <c r="K4217" s="150" t="s">
        <v>7960</v>
      </c>
      <c r="L4217" s="149" t="s">
        <v>501</v>
      </c>
      <c r="M4217" s="151">
        <v>68.150000000000006</v>
      </c>
    </row>
    <row r="4218" spans="1:13" s="149" customFormat="1" x14ac:dyDescent="0.25">
      <c r="A4218" s="149" t="s">
        <v>7640</v>
      </c>
      <c r="B4218" s="149" t="s">
        <v>2493</v>
      </c>
      <c r="C4218" s="149">
        <v>11</v>
      </c>
      <c r="D4218" s="149">
        <v>350</v>
      </c>
      <c r="E4218" s="149">
        <v>1</v>
      </c>
      <c r="F4218" s="149">
        <v>601000</v>
      </c>
      <c r="G4218" s="149">
        <v>54349</v>
      </c>
      <c r="H4218" s="150" t="str">
        <f t="shared" si="195"/>
        <v>5</v>
      </c>
      <c r="I4218" s="150" t="str">
        <f t="shared" si="196"/>
        <v>54</v>
      </c>
      <c r="J4218" s="150" t="str">
        <f t="shared" si="197"/>
        <v>543</v>
      </c>
      <c r="K4218" s="150" t="s">
        <v>7993</v>
      </c>
      <c r="L4218" s="149" t="s">
        <v>2208</v>
      </c>
      <c r="M4218" s="151">
        <v>0</v>
      </c>
    </row>
    <row r="4219" spans="1:13" s="149" customFormat="1" x14ac:dyDescent="0.25">
      <c r="A4219" s="149" t="s">
        <v>7640</v>
      </c>
      <c r="B4219" s="149" t="s">
        <v>2494</v>
      </c>
      <c r="C4219" s="149">
        <v>11</v>
      </c>
      <c r="D4219" s="149">
        <v>350</v>
      </c>
      <c r="E4219" s="149">
        <v>1</v>
      </c>
      <c r="F4219" s="149">
        <v>601000</v>
      </c>
      <c r="G4219" s="149">
        <v>55125</v>
      </c>
      <c r="H4219" s="150" t="str">
        <f t="shared" si="195"/>
        <v>5</v>
      </c>
      <c r="I4219" s="150" t="str">
        <f t="shared" si="196"/>
        <v>55</v>
      </c>
      <c r="J4219" s="150" t="str">
        <f t="shared" si="197"/>
        <v>551</v>
      </c>
      <c r="K4219" s="150" t="s">
        <v>8032</v>
      </c>
      <c r="L4219" s="149" t="s">
        <v>503</v>
      </c>
      <c r="M4219" s="151">
        <v>0</v>
      </c>
    </row>
    <row r="4220" spans="1:13" s="149" customFormat="1" x14ac:dyDescent="0.25">
      <c r="A4220" s="149" t="s">
        <v>7640</v>
      </c>
      <c r="B4220" s="149" t="s">
        <v>2495</v>
      </c>
      <c r="C4220" s="149">
        <v>11</v>
      </c>
      <c r="D4220" s="149">
        <v>350</v>
      </c>
      <c r="E4220" s="149">
        <v>1</v>
      </c>
      <c r="F4220" s="149">
        <v>601000</v>
      </c>
      <c r="G4220" s="149">
        <v>55200</v>
      </c>
      <c r="H4220" s="150" t="str">
        <f t="shared" si="195"/>
        <v>5</v>
      </c>
      <c r="I4220" s="150" t="str">
        <f t="shared" si="196"/>
        <v>55</v>
      </c>
      <c r="J4220" s="150" t="str">
        <f t="shared" si="197"/>
        <v>552</v>
      </c>
      <c r="K4220" s="150" t="s">
        <v>8056</v>
      </c>
      <c r="L4220" s="149" t="s">
        <v>505</v>
      </c>
      <c r="M4220" s="151">
        <v>0</v>
      </c>
    </row>
    <row r="4221" spans="1:13" s="149" customFormat="1" x14ac:dyDescent="0.25">
      <c r="A4221" s="149" t="s">
        <v>7640</v>
      </c>
      <c r="B4221" s="149" t="s">
        <v>2496</v>
      </c>
      <c r="C4221" s="149">
        <v>11</v>
      </c>
      <c r="D4221" s="149">
        <v>350</v>
      </c>
      <c r="E4221" s="149">
        <v>1</v>
      </c>
      <c r="F4221" s="149">
        <v>601000</v>
      </c>
      <c r="G4221" s="149">
        <v>55300</v>
      </c>
      <c r="H4221" s="150" t="str">
        <f t="shared" si="195"/>
        <v>5</v>
      </c>
      <c r="I4221" s="150" t="str">
        <f t="shared" si="196"/>
        <v>55</v>
      </c>
      <c r="J4221" s="150" t="str">
        <f t="shared" si="197"/>
        <v>553</v>
      </c>
      <c r="K4221" s="150" t="s">
        <v>8093</v>
      </c>
      <c r="L4221" s="149" t="s">
        <v>1024</v>
      </c>
      <c r="M4221" s="151">
        <v>915</v>
      </c>
    </row>
    <row r="4222" spans="1:13" s="149" customFormat="1" x14ac:dyDescent="0.25">
      <c r="A4222" s="149" t="s">
        <v>7640</v>
      </c>
      <c r="B4222" s="149" t="s">
        <v>2497</v>
      </c>
      <c r="C4222" s="149">
        <v>11</v>
      </c>
      <c r="D4222" s="149">
        <v>350</v>
      </c>
      <c r="E4222" s="149">
        <v>1</v>
      </c>
      <c r="F4222" s="149">
        <v>601000</v>
      </c>
      <c r="G4222" s="149">
        <v>55309</v>
      </c>
      <c r="H4222" s="150" t="str">
        <f t="shared" si="195"/>
        <v>5</v>
      </c>
      <c r="I4222" s="150" t="str">
        <f t="shared" si="196"/>
        <v>55</v>
      </c>
      <c r="J4222" s="150" t="str">
        <f t="shared" si="197"/>
        <v>553</v>
      </c>
      <c r="K4222" s="150" t="s">
        <v>8110</v>
      </c>
      <c r="L4222" s="149" t="s">
        <v>2498</v>
      </c>
      <c r="M4222" s="151">
        <v>0</v>
      </c>
    </row>
    <row r="4223" spans="1:13" s="149" customFormat="1" x14ac:dyDescent="0.25">
      <c r="A4223" s="149" t="s">
        <v>7640</v>
      </c>
      <c r="B4223" s="149" t="s">
        <v>2499</v>
      </c>
      <c r="C4223" s="149">
        <v>11</v>
      </c>
      <c r="D4223" s="149">
        <v>350</v>
      </c>
      <c r="E4223" s="149">
        <v>1</v>
      </c>
      <c r="F4223" s="149">
        <v>601000</v>
      </c>
      <c r="G4223" s="149">
        <v>55600</v>
      </c>
      <c r="H4223" s="150" t="str">
        <f t="shared" si="195"/>
        <v>5</v>
      </c>
      <c r="I4223" s="150" t="str">
        <f t="shared" si="196"/>
        <v>55</v>
      </c>
      <c r="J4223" s="150" t="str">
        <f t="shared" si="197"/>
        <v>556</v>
      </c>
      <c r="K4223" s="150" t="s">
        <v>8152</v>
      </c>
      <c r="L4223" s="149" t="s">
        <v>2500</v>
      </c>
      <c r="M4223" s="151">
        <v>694.51</v>
      </c>
    </row>
    <row r="4224" spans="1:13" s="149" customFormat="1" x14ac:dyDescent="0.25">
      <c r="A4224" s="149" t="s">
        <v>7640</v>
      </c>
      <c r="B4224" s="149" t="s">
        <v>2501</v>
      </c>
      <c r="C4224" s="149">
        <v>11</v>
      </c>
      <c r="D4224" s="149">
        <v>350</v>
      </c>
      <c r="E4224" s="149">
        <v>1</v>
      </c>
      <c r="F4224" s="149">
        <v>601000</v>
      </c>
      <c r="G4224" s="149">
        <v>55630</v>
      </c>
      <c r="H4224" s="150" t="str">
        <f t="shared" si="195"/>
        <v>5</v>
      </c>
      <c r="I4224" s="150" t="str">
        <f t="shared" si="196"/>
        <v>55</v>
      </c>
      <c r="J4224" s="150" t="str">
        <f t="shared" si="197"/>
        <v>556</v>
      </c>
      <c r="K4224" s="150" t="s">
        <v>8249</v>
      </c>
      <c r="L4224" s="149" t="s">
        <v>509</v>
      </c>
      <c r="M4224" s="151">
        <v>0</v>
      </c>
    </row>
    <row r="4225" spans="1:13" s="149" customFormat="1" x14ac:dyDescent="0.25">
      <c r="A4225" s="149" t="s">
        <v>7640</v>
      </c>
      <c r="B4225" s="149" t="s">
        <v>2502</v>
      </c>
      <c r="C4225" s="149">
        <v>11</v>
      </c>
      <c r="D4225" s="149">
        <v>350</v>
      </c>
      <c r="E4225" s="149">
        <v>1</v>
      </c>
      <c r="F4225" s="149">
        <v>601000</v>
      </c>
      <c r="G4225" s="149">
        <v>55635</v>
      </c>
      <c r="H4225" s="150" t="str">
        <f t="shared" si="195"/>
        <v>5</v>
      </c>
      <c r="I4225" s="150" t="str">
        <f t="shared" si="196"/>
        <v>55</v>
      </c>
      <c r="J4225" s="150" t="str">
        <f t="shared" si="197"/>
        <v>556</v>
      </c>
      <c r="K4225" s="150" t="s">
        <v>8281</v>
      </c>
      <c r="L4225" s="149" t="s">
        <v>1027</v>
      </c>
      <c r="M4225" s="151">
        <v>0</v>
      </c>
    </row>
    <row r="4226" spans="1:13" s="149" customFormat="1" x14ac:dyDescent="0.25">
      <c r="A4226" s="149" t="s">
        <v>7640</v>
      </c>
      <c r="B4226" s="149" t="s">
        <v>2503</v>
      </c>
      <c r="C4226" s="149">
        <v>11</v>
      </c>
      <c r="D4226" s="149">
        <v>350</v>
      </c>
      <c r="E4226" s="149">
        <v>1</v>
      </c>
      <c r="F4226" s="149">
        <v>601000</v>
      </c>
      <c r="G4226" s="149">
        <v>55650</v>
      </c>
      <c r="H4226" s="150" t="str">
        <f t="shared" si="195"/>
        <v>5</v>
      </c>
      <c r="I4226" s="150" t="str">
        <f t="shared" si="196"/>
        <v>55</v>
      </c>
      <c r="J4226" s="150" t="str">
        <f t="shared" si="197"/>
        <v>556</v>
      </c>
      <c r="K4226" s="150" t="s">
        <v>8307</v>
      </c>
      <c r="L4226" s="149" t="s">
        <v>511</v>
      </c>
      <c r="M4226" s="151">
        <v>0</v>
      </c>
    </row>
    <row r="4227" spans="1:13" s="149" customFormat="1" x14ac:dyDescent="0.25">
      <c r="A4227" s="149" t="s">
        <v>7640</v>
      </c>
      <c r="B4227" s="149" t="s">
        <v>2504</v>
      </c>
      <c r="C4227" s="149">
        <v>11</v>
      </c>
      <c r="D4227" s="149">
        <v>350</v>
      </c>
      <c r="E4227" s="149">
        <v>1</v>
      </c>
      <c r="F4227" s="149">
        <v>601000</v>
      </c>
      <c r="G4227" s="149">
        <v>55800</v>
      </c>
      <c r="H4227" s="150" t="str">
        <f t="shared" ref="H4227:H4290" si="198">LEFT(G4227,1)</f>
        <v>5</v>
      </c>
      <c r="I4227" s="150" t="str">
        <f t="shared" ref="I4227:I4290" si="199">LEFT(G4227,2)</f>
        <v>55</v>
      </c>
      <c r="J4227" s="150" t="str">
        <f t="shared" ref="J4227:J4290" si="200">LEFT(G4227,3)</f>
        <v>558</v>
      </c>
      <c r="K4227" s="150" t="s">
        <v>8337</v>
      </c>
      <c r="L4227" s="149" t="s">
        <v>2505</v>
      </c>
      <c r="M4227" s="151">
        <v>0</v>
      </c>
    </row>
    <row r="4228" spans="1:13" s="149" customFormat="1" x14ac:dyDescent="0.25">
      <c r="A4228" s="149" t="s">
        <v>7640</v>
      </c>
      <c r="B4228" s="149" t="s">
        <v>2506</v>
      </c>
      <c r="C4228" s="149">
        <v>11</v>
      </c>
      <c r="D4228" s="149">
        <v>350</v>
      </c>
      <c r="E4228" s="149">
        <v>1</v>
      </c>
      <c r="F4228" s="149">
        <v>601000</v>
      </c>
      <c r="G4228" s="149">
        <v>55830</v>
      </c>
      <c r="H4228" s="150" t="str">
        <f t="shared" si="198"/>
        <v>5</v>
      </c>
      <c r="I4228" s="150" t="str">
        <f t="shared" si="199"/>
        <v>55</v>
      </c>
      <c r="J4228" s="150" t="str">
        <f t="shared" si="200"/>
        <v>558</v>
      </c>
      <c r="K4228" s="150" t="s">
        <v>8351</v>
      </c>
      <c r="L4228" s="149" t="s">
        <v>513</v>
      </c>
      <c r="M4228" s="151">
        <v>1433.75</v>
      </c>
    </row>
    <row r="4229" spans="1:13" s="149" customFormat="1" x14ac:dyDescent="0.25">
      <c r="A4229" s="149" t="s">
        <v>7640</v>
      </c>
      <c r="B4229" s="149" t="s">
        <v>2507</v>
      </c>
      <c r="C4229" s="149">
        <v>11</v>
      </c>
      <c r="D4229" s="149">
        <v>350</v>
      </c>
      <c r="E4229" s="149">
        <v>1</v>
      </c>
      <c r="F4229" s="149">
        <v>601000</v>
      </c>
      <c r="G4229" s="149">
        <v>56300</v>
      </c>
      <c r="H4229" s="150" t="str">
        <f t="shared" si="198"/>
        <v>5</v>
      </c>
      <c r="I4229" s="150" t="str">
        <f t="shared" si="199"/>
        <v>56</v>
      </c>
      <c r="J4229" s="150" t="str">
        <f t="shared" si="200"/>
        <v>563</v>
      </c>
      <c r="K4229" s="150" t="s">
        <v>8359</v>
      </c>
      <c r="L4229" s="149" t="s">
        <v>2508</v>
      </c>
      <c r="M4229" s="151">
        <v>0</v>
      </c>
    </row>
    <row r="4230" spans="1:13" s="149" customFormat="1" x14ac:dyDescent="0.25">
      <c r="A4230" s="149" t="s">
        <v>7640</v>
      </c>
      <c r="B4230" s="149" t="s">
        <v>2509</v>
      </c>
      <c r="C4230" s="149">
        <v>11</v>
      </c>
      <c r="D4230" s="149">
        <v>360</v>
      </c>
      <c r="E4230" s="149">
        <v>0</v>
      </c>
      <c r="F4230" s="149">
        <v>160100</v>
      </c>
      <c r="G4230" s="149">
        <v>51100</v>
      </c>
      <c r="H4230" s="150" t="str">
        <f t="shared" si="198"/>
        <v>5</v>
      </c>
      <c r="I4230" s="150" t="str">
        <f t="shared" si="199"/>
        <v>51</v>
      </c>
      <c r="J4230" s="150" t="str">
        <f t="shared" si="200"/>
        <v>511</v>
      </c>
      <c r="K4230" s="150" t="s">
        <v>9256</v>
      </c>
      <c r="L4230" s="149" t="s">
        <v>2510</v>
      </c>
      <c r="M4230" s="151">
        <v>96370.38</v>
      </c>
    </row>
    <row r="4231" spans="1:13" s="149" customFormat="1" x14ac:dyDescent="0.25">
      <c r="A4231" s="149" t="s">
        <v>7640</v>
      </c>
      <c r="B4231" s="149" t="s">
        <v>2511</v>
      </c>
      <c r="C4231" s="149">
        <v>11</v>
      </c>
      <c r="D4231" s="149">
        <v>360</v>
      </c>
      <c r="E4231" s="149">
        <v>0</v>
      </c>
      <c r="F4231" s="149">
        <v>160100</v>
      </c>
      <c r="G4231" s="149">
        <v>51310</v>
      </c>
      <c r="H4231" s="150" t="str">
        <f t="shared" si="198"/>
        <v>5</v>
      </c>
      <c r="I4231" s="150" t="str">
        <f t="shared" si="199"/>
        <v>51</v>
      </c>
      <c r="J4231" s="150" t="str">
        <f t="shared" si="200"/>
        <v>513</v>
      </c>
      <c r="K4231" s="150" t="s">
        <v>7685</v>
      </c>
      <c r="L4231" s="149" t="s">
        <v>2512</v>
      </c>
      <c r="M4231" s="151">
        <v>0</v>
      </c>
    </row>
    <row r="4232" spans="1:13" s="149" customFormat="1" x14ac:dyDescent="0.25">
      <c r="A4232" s="149" t="s">
        <v>7640</v>
      </c>
      <c r="B4232" s="149" t="s">
        <v>2513</v>
      </c>
      <c r="C4232" s="149">
        <v>11</v>
      </c>
      <c r="D4232" s="149">
        <v>360</v>
      </c>
      <c r="E4232" s="149">
        <v>0</v>
      </c>
      <c r="F4232" s="149">
        <v>160100</v>
      </c>
      <c r="G4232" s="149">
        <v>51311</v>
      </c>
      <c r="H4232" s="150" t="str">
        <f t="shared" si="198"/>
        <v>5</v>
      </c>
      <c r="I4232" s="150" t="str">
        <f t="shared" si="199"/>
        <v>51</v>
      </c>
      <c r="J4232" s="150" t="str">
        <f t="shared" si="200"/>
        <v>513</v>
      </c>
      <c r="K4232" s="150" t="s">
        <v>7763</v>
      </c>
      <c r="L4232" s="149" t="s">
        <v>2514</v>
      </c>
      <c r="M4232" s="151">
        <v>4297.68</v>
      </c>
    </row>
    <row r="4233" spans="1:13" s="149" customFormat="1" x14ac:dyDescent="0.25">
      <c r="A4233" s="149" t="s">
        <v>7640</v>
      </c>
      <c r="B4233" s="149" t="s">
        <v>2515</v>
      </c>
      <c r="C4233" s="149">
        <v>11</v>
      </c>
      <c r="D4233" s="149">
        <v>360</v>
      </c>
      <c r="E4233" s="149">
        <v>0</v>
      </c>
      <c r="F4233" s="149">
        <v>160100</v>
      </c>
      <c r="G4233" s="149">
        <v>53110</v>
      </c>
      <c r="H4233" s="150" t="str">
        <f t="shared" si="198"/>
        <v>5</v>
      </c>
      <c r="I4233" s="150" t="str">
        <f t="shared" si="199"/>
        <v>53</v>
      </c>
      <c r="J4233" s="150" t="str">
        <f t="shared" si="200"/>
        <v>531</v>
      </c>
      <c r="K4233" s="150" t="s">
        <v>9257</v>
      </c>
      <c r="L4233" s="149" t="s">
        <v>2516</v>
      </c>
      <c r="M4233" s="151">
        <v>12212.02</v>
      </c>
    </row>
    <row r="4234" spans="1:13" s="149" customFormat="1" x14ac:dyDescent="0.25">
      <c r="A4234" s="149" t="s">
        <v>7640</v>
      </c>
      <c r="B4234" s="149" t="s">
        <v>2517</v>
      </c>
      <c r="C4234" s="149">
        <v>11</v>
      </c>
      <c r="D4234" s="149">
        <v>360</v>
      </c>
      <c r="E4234" s="149">
        <v>0</v>
      </c>
      <c r="F4234" s="149">
        <v>160100</v>
      </c>
      <c r="G4234" s="149">
        <v>53210</v>
      </c>
      <c r="H4234" s="150" t="str">
        <f t="shared" si="198"/>
        <v>5</v>
      </c>
      <c r="I4234" s="150" t="str">
        <f t="shared" si="199"/>
        <v>53</v>
      </c>
      <c r="J4234" s="150" t="str">
        <f t="shared" si="200"/>
        <v>532</v>
      </c>
      <c r="K4234" s="150" t="s">
        <v>9258</v>
      </c>
      <c r="L4234" s="149" t="s">
        <v>2518</v>
      </c>
      <c r="M4234" s="151">
        <v>5185.71</v>
      </c>
    </row>
    <row r="4235" spans="1:13" s="149" customFormat="1" x14ac:dyDescent="0.25">
      <c r="A4235" s="149" t="s">
        <v>7640</v>
      </c>
      <c r="B4235" s="149" t="s">
        <v>2519</v>
      </c>
      <c r="C4235" s="149">
        <v>11</v>
      </c>
      <c r="D4235" s="149">
        <v>360</v>
      </c>
      <c r="E4235" s="149">
        <v>0</v>
      </c>
      <c r="F4235" s="149">
        <v>160100</v>
      </c>
      <c r="G4235" s="149">
        <v>53310</v>
      </c>
      <c r="H4235" s="150" t="str">
        <f t="shared" si="198"/>
        <v>5</v>
      </c>
      <c r="I4235" s="150" t="str">
        <f t="shared" si="199"/>
        <v>53</v>
      </c>
      <c r="J4235" s="150" t="str">
        <f t="shared" si="200"/>
        <v>533</v>
      </c>
      <c r="K4235" s="150" t="s">
        <v>9259</v>
      </c>
      <c r="L4235" s="149" t="s">
        <v>2520</v>
      </c>
      <c r="M4235" s="151">
        <v>1543.64</v>
      </c>
    </row>
    <row r="4236" spans="1:13" s="149" customFormat="1" x14ac:dyDescent="0.25">
      <c r="A4236" s="149" t="s">
        <v>7640</v>
      </c>
      <c r="B4236" s="149" t="s">
        <v>2521</v>
      </c>
      <c r="C4236" s="149">
        <v>11</v>
      </c>
      <c r="D4236" s="149">
        <v>360</v>
      </c>
      <c r="E4236" s="149">
        <v>0</v>
      </c>
      <c r="F4236" s="149">
        <v>160100</v>
      </c>
      <c r="G4236" s="149">
        <v>53330</v>
      </c>
      <c r="H4236" s="150" t="str">
        <f t="shared" si="198"/>
        <v>5</v>
      </c>
      <c r="I4236" s="150" t="str">
        <f t="shared" si="199"/>
        <v>53</v>
      </c>
      <c r="J4236" s="150" t="str">
        <f t="shared" si="200"/>
        <v>533</v>
      </c>
      <c r="K4236" s="150" t="s">
        <v>9260</v>
      </c>
      <c r="L4236" s="149" t="s">
        <v>2522</v>
      </c>
      <c r="M4236" s="151">
        <v>1450.01</v>
      </c>
    </row>
    <row r="4237" spans="1:13" s="149" customFormat="1" x14ac:dyDescent="0.25">
      <c r="A4237" s="149" t="s">
        <v>7640</v>
      </c>
      <c r="B4237" s="149" t="s">
        <v>2523</v>
      </c>
      <c r="C4237" s="149">
        <v>11</v>
      </c>
      <c r="D4237" s="149">
        <v>360</v>
      </c>
      <c r="E4237" s="149">
        <v>0</v>
      </c>
      <c r="F4237" s="149">
        <v>160100</v>
      </c>
      <c r="G4237" s="149">
        <v>53410</v>
      </c>
      <c r="H4237" s="150" t="str">
        <f t="shared" si="198"/>
        <v>5</v>
      </c>
      <c r="I4237" s="150" t="str">
        <f t="shared" si="199"/>
        <v>53</v>
      </c>
      <c r="J4237" s="150" t="str">
        <f t="shared" si="200"/>
        <v>534</v>
      </c>
      <c r="K4237" s="150" t="s">
        <v>9261</v>
      </c>
      <c r="L4237" s="149" t="s">
        <v>2524</v>
      </c>
      <c r="M4237" s="151">
        <v>26414.05</v>
      </c>
    </row>
    <row r="4238" spans="1:13" s="149" customFormat="1" x14ac:dyDescent="0.25">
      <c r="A4238" s="149" t="s">
        <v>7640</v>
      </c>
      <c r="B4238" s="149" t="s">
        <v>2525</v>
      </c>
      <c r="C4238" s="149">
        <v>11</v>
      </c>
      <c r="D4238" s="149">
        <v>360</v>
      </c>
      <c r="E4238" s="149">
        <v>0</v>
      </c>
      <c r="F4238" s="149">
        <v>160100</v>
      </c>
      <c r="G4238" s="149">
        <v>53510</v>
      </c>
      <c r="H4238" s="150" t="str">
        <f t="shared" si="198"/>
        <v>5</v>
      </c>
      <c r="I4238" s="150" t="str">
        <f t="shared" si="199"/>
        <v>53</v>
      </c>
      <c r="J4238" s="150" t="str">
        <f t="shared" si="200"/>
        <v>535</v>
      </c>
      <c r="K4238" s="150" t="s">
        <v>9262</v>
      </c>
      <c r="L4238" s="149" t="s">
        <v>2526</v>
      </c>
      <c r="M4238" s="151">
        <v>50.29</v>
      </c>
    </row>
    <row r="4239" spans="1:13" s="149" customFormat="1" x14ac:dyDescent="0.25">
      <c r="A4239" s="149" t="s">
        <v>7640</v>
      </c>
      <c r="B4239" s="149" t="s">
        <v>2527</v>
      </c>
      <c r="C4239" s="149">
        <v>11</v>
      </c>
      <c r="D4239" s="149">
        <v>360</v>
      </c>
      <c r="E4239" s="149">
        <v>0</v>
      </c>
      <c r="F4239" s="149">
        <v>160100</v>
      </c>
      <c r="G4239" s="149">
        <v>53610</v>
      </c>
      <c r="H4239" s="150" t="str">
        <f t="shared" si="198"/>
        <v>5</v>
      </c>
      <c r="I4239" s="150" t="str">
        <f t="shared" si="199"/>
        <v>53</v>
      </c>
      <c r="J4239" s="150" t="str">
        <f t="shared" si="200"/>
        <v>536</v>
      </c>
      <c r="K4239" s="150" t="s">
        <v>9263</v>
      </c>
      <c r="L4239" s="149" t="s">
        <v>2528</v>
      </c>
      <c r="M4239" s="151">
        <v>1903.42</v>
      </c>
    </row>
    <row r="4240" spans="1:13" s="149" customFormat="1" x14ac:dyDescent="0.25">
      <c r="A4240" s="149" t="s">
        <v>7640</v>
      </c>
      <c r="B4240" s="149" t="s">
        <v>2529</v>
      </c>
      <c r="C4240" s="149">
        <v>11</v>
      </c>
      <c r="D4240" s="149">
        <v>360</v>
      </c>
      <c r="E4240" s="149">
        <v>0</v>
      </c>
      <c r="F4240" s="149">
        <v>160100</v>
      </c>
      <c r="G4240" s="149">
        <v>54300</v>
      </c>
      <c r="H4240" s="150" t="str">
        <f t="shared" si="198"/>
        <v>5</v>
      </c>
      <c r="I4240" s="150" t="str">
        <f t="shared" si="199"/>
        <v>54</v>
      </c>
      <c r="J4240" s="150" t="str">
        <f t="shared" si="200"/>
        <v>543</v>
      </c>
      <c r="K4240" s="150" t="s">
        <v>7961</v>
      </c>
      <c r="L4240" s="149" t="s">
        <v>2530</v>
      </c>
      <c r="M4240" s="151">
        <v>-14</v>
      </c>
    </row>
    <row r="4241" spans="1:13" s="149" customFormat="1" x14ac:dyDescent="0.25">
      <c r="A4241" s="149" t="s">
        <v>7640</v>
      </c>
      <c r="B4241" s="149" t="s">
        <v>2531</v>
      </c>
      <c r="C4241" s="149">
        <v>11</v>
      </c>
      <c r="D4241" s="149">
        <v>360</v>
      </c>
      <c r="E4241" s="149">
        <v>0</v>
      </c>
      <c r="F4241" s="149">
        <v>160100</v>
      </c>
      <c r="G4241" s="149">
        <v>55200</v>
      </c>
      <c r="H4241" s="150" t="str">
        <f t="shared" si="198"/>
        <v>5</v>
      </c>
      <c r="I4241" s="150" t="str">
        <f t="shared" si="199"/>
        <v>55</v>
      </c>
      <c r="J4241" s="150" t="str">
        <f t="shared" si="200"/>
        <v>552</v>
      </c>
      <c r="K4241" s="150" t="s">
        <v>8057</v>
      </c>
      <c r="L4241" s="149" t="s">
        <v>2532</v>
      </c>
      <c r="M4241" s="151">
        <v>0</v>
      </c>
    </row>
    <row r="4242" spans="1:13" s="149" customFormat="1" x14ac:dyDescent="0.25">
      <c r="A4242" s="149" t="s">
        <v>7640</v>
      </c>
      <c r="B4242" s="149" t="s">
        <v>2533</v>
      </c>
      <c r="C4242" s="149">
        <v>11</v>
      </c>
      <c r="D4242" s="149">
        <v>360</v>
      </c>
      <c r="E4242" s="149">
        <v>0</v>
      </c>
      <c r="F4242" s="149">
        <v>160100</v>
      </c>
      <c r="G4242" s="149">
        <v>55630</v>
      </c>
      <c r="H4242" s="150" t="str">
        <f t="shared" si="198"/>
        <v>5</v>
      </c>
      <c r="I4242" s="150" t="str">
        <f t="shared" si="199"/>
        <v>55</v>
      </c>
      <c r="J4242" s="150" t="str">
        <f t="shared" si="200"/>
        <v>556</v>
      </c>
      <c r="K4242" s="150" t="s">
        <v>8250</v>
      </c>
      <c r="L4242" s="149" t="s">
        <v>2534</v>
      </c>
      <c r="M4242" s="151">
        <v>0</v>
      </c>
    </row>
    <row r="4243" spans="1:13" s="149" customFormat="1" x14ac:dyDescent="0.25">
      <c r="A4243" s="149" t="s">
        <v>7640</v>
      </c>
      <c r="B4243" s="149" t="s">
        <v>2535</v>
      </c>
      <c r="C4243" s="149">
        <v>11</v>
      </c>
      <c r="D4243" s="149">
        <v>360</v>
      </c>
      <c r="E4243" s="149">
        <v>0</v>
      </c>
      <c r="F4243" s="149">
        <v>490110</v>
      </c>
      <c r="G4243" s="149">
        <v>54300</v>
      </c>
      <c r="H4243" s="150" t="str">
        <f t="shared" si="198"/>
        <v>5</v>
      </c>
      <c r="I4243" s="150" t="str">
        <f t="shared" si="199"/>
        <v>54</v>
      </c>
      <c r="J4243" s="150" t="str">
        <f t="shared" si="200"/>
        <v>543</v>
      </c>
      <c r="K4243" s="150" t="s">
        <v>7962</v>
      </c>
      <c r="L4243" s="149" t="s">
        <v>2536</v>
      </c>
      <c r="M4243" s="151">
        <v>0</v>
      </c>
    </row>
    <row r="4244" spans="1:13" s="149" customFormat="1" x14ac:dyDescent="0.25">
      <c r="A4244" s="149" t="s">
        <v>7640</v>
      </c>
      <c r="B4244" s="149" t="s">
        <v>2537</v>
      </c>
      <c r="C4244" s="149">
        <v>11</v>
      </c>
      <c r="D4244" s="149">
        <v>360</v>
      </c>
      <c r="E4244" s="149">
        <v>0</v>
      </c>
      <c r="F4244" s="149">
        <v>490110</v>
      </c>
      <c r="G4244" s="149">
        <v>55200</v>
      </c>
      <c r="H4244" s="150" t="str">
        <f t="shared" si="198"/>
        <v>5</v>
      </c>
      <c r="I4244" s="150" t="str">
        <f t="shared" si="199"/>
        <v>55</v>
      </c>
      <c r="J4244" s="150" t="str">
        <f t="shared" si="200"/>
        <v>552</v>
      </c>
      <c r="K4244" s="150" t="s">
        <v>8058</v>
      </c>
      <c r="L4244" s="149" t="s">
        <v>2538</v>
      </c>
      <c r="M4244" s="151">
        <v>0</v>
      </c>
    </row>
    <row r="4245" spans="1:13" s="149" customFormat="1" x14ac:dyDescent="0.25">
      <c r="A4245" s="149" t="s">
        <v>7640</v>
      </c>
      <c r="B4245" s="149" t="s">
        <v>2539</v>
      </c>
      <c r="C4245" s="149">
        <v>11</v>
      </c>
      <c r="D4245" s="149">
        <v>360</v>
      </c>
      <c r="E4245" s="149">
        <v>0</v>
      </c>
      <c r="F4245" s="149">
        <v>490110</v>
      </c>
      <c r="G4245" s="149">
        <v>56300</v>
      </c>
      <c r="H4245" s="150" t="str">
        <f t="shared" si="198"/>
        <v>5</v>
      </c>
      <c r="I4245" s="150" t="str">
        <f t="shared" si="199"/>
        <v>56</v>
      </c>
      <c r="J4245" s="150" t="str">
        <f t="shared" si="200"/>
        <v>563</v>
      </c>
      <c r="K4245" s="150" t="s">
        <v>8360</v>
      </c>
      <c r="L4245" s="149" t="s">
        <v>2540</v>
      </c>
      <c r="M4245" s="151">
        <v>92.86</v>
      </c>
    </row>
    <row r="4246" spans="1:13" s="149" customFormat="1" x14ac:dyDescent="0.25">
      <c r="A4246" s="149" t="s">
        <v>7640</v>
      </c>
      <c r="B4246" s="149" t="s">
        <v>2541</v>
      </c>
      <c r="C4246" s="149">
        <v>11</v>
      </c>
      <c r="D4246" s="149">
        <v>360</v>
      </c>
      <c r="E4246" s="149">
        <v>0</v>
      </c>
      <c r="F4246" s="149">
        <v>601000</v>
      </c>
      <c r="G4246" s="149">
        <v>51210</v>
      </c>
      <c r="H4246" s="150" t="str">
        <f t="shared" si="198"/>
        <v>5</v>
      </c>
      <c r="I4246" s="150" t="str">
        <f t="shared" si="199"/>
        <v>51</v>
      </c>
      <c r="J4246" s="150" t="str">
        <f t="shared" si="200"/>
        <v>512</v>
      </c>
      <c r="K4246" s="150" t="s">
        <v>9264</v>
      </c>
      <c r="L4246" s="149" t="s">
        <v>477</v>
      </c>
      <c r="M4246" s="151">
        <v>117924.2</v>
      </c>
    </row>
    <row r="4247" spans="1:13" s="149" customFormat="1" x14ac:dyDescent="0.25">
      <c r="A4247" s="149" t="s">
        <v>7640</v>
      </c>
      <c r="B4247" s="149" t="s">
        <v>2542</v>
      </c>
      <c r="C4247" s="149">
        <v>11</v>
      </c>
      <c r="D4247" s="149">
        <v>360</v>
      </c>
      <c r="E4247" s="149">
        <v>0</v>
      </c>
      <c r="F4247" s="149">
        <v>601000</v>
      </c>
      <c r="G4247" s="149">
        <v>52105</v>
      </c>
      <c r="H4247" s="150" t="str">
        <f t="shared" si="198"/>
        <v>5</v>
      </c>
      <c r="I4247" s="150" t="str">
        <f t="shared" si="199"/>
        <v>52</v>
      </c>
      <c r="J4247" s="150" t="str">
        <f t="shared" si="200"/>
        <v>521</v>
      </c>
      <c r="K4247" s="150" t="s">
        <v>9265</v>
      </c>
      <c r="L4247" s="149" t="s">
        <v>481</v>
      </c>
      <c r="M4247" s="151">
        <v>107633.63</v>
      </c>
    </row>
    <row r="4248" spans="1:13" s="149" customFormat="1" x14ac:dyDescent="0.25">
      <c r="A4248" s="149" t="s">
        <v>7640</v>
      </c>
      <c r="B4248" s="149" t="s">
        <v>2543</v>
      </c>
      <c r="C4248" s="149">
        <v>11</v>
      </c>
      <c r="D4248" s="149">
        <v>360</v>
      </c>
      <c r="E4248" s="149">
        <v>0</v>
      </c>
      <c r="F4248" s="149">
        <v>601000</v>
      </c>
      <c r="G4248" s="149">
        <v>52300</v>
      </c>
      <c r="H4248" s="150" t="str">
        <f t="shared" si="198"/>
        <v>5</v>
      </c>
      <c r="I4248" s="150" t="str">
        <f t="shared" si="199"/>
        <v>52</v>
      </c>
      <c r="J4248" s="150" t="str">
        <f t="shared" si="200"/>
        <v>523</v>
      </c>
      <c r="K4248" s="150" t="s">
        <v>7829</v>
      </c>
      <c r="L4248" s="149" t="s">
        <v>483</v>
      </c>
      <c r="M4248" s="151">
        <v>3.17</v>
      </c>
    </row>
    <row r="4249" spans="1:13" s="149" customFormat="1" x14ac:dyDescent="0.25">
      <c r="A4249" s="149" t="s">
        <v>7640</v>
      </c>
      <c r="B4249" s="149" t="s">
        <v>2544</v>
      </c>
      <c r="C4249" s="149">
        <v>11</v>
      </c>
      <c r="D4249" s="149">
        <v>360</v>
      </c>
      <c r="E4249" s="149">
        <v>0</v>
      </c>
      <c r="F4249" s="149">
        <v>601000</v>
      </c>
      <c r="G4249" s="149">
        <v>52360</v>
      </c>
      <c r="H4249" s="150" t="str">
        <f t="shared" si="198"/>
        <v>5</v>
      </c>
      <c r="I4249" s="150" t="str">
        <f t="shared" si="199"/>
        <v>52</v>
      </c>
      <c r="J4249" s="150" t="str">
        <f t="shared" si="200"/>
        <v>523</v>
      </c>
      <c r="K4249" s="150" t="s">
        <v>7876</v>
      </c>
      <c r="L4249" s="149" t="s">
        <v>1008</v>
      </c>
      <c r="M4249" s="151">
        <v>282.88</v>
      </c>
    </row>
    <row r="4250" spans="1:13" s="149" customFormat="1" x14ac:dyDescent="0.25">
      <c r="A4250" s="149" t="s">
        <v>7640</v>
      </c>
      <c r="B4250" s="149" t="s">
        <v>2545</v>
      </c>
      <c r="C4250" s="149">
        <v>11</v>
      </c>
      <c r="D4250" s="149">
        <v>360</v>
      </c>
      <c r="E4250" s="149">
        <v>0</v>
      </c>
      <c r="F4250" s="149">
        <v>601000</v>
      </c>
      <c r="G4250" s="149">
        <v>53120</v>
      </c>
      <c r="H4250" s="150" t="str">
        <f t="shared" si="198"/>
        <v>5</v>
      </c>
      <c r="I4250" s="150" t="str">
        <f t="shared" si="199"/>
        <v>53</v>
      </c>
      <c r="J4250" s="150" t="str">
        <f t="shared" si="200"/>
        <v>531</v>
      </c>
      <c r="K4250" s="150" t="s">
        <v>9266</v>
      </c>
      <c r="L4250" s="149" t="s">
        <v>485</v>
      </c>
      <c r="M4250" s="151">
        <v>19044.8</v>
      </c>
    </row>
    <row r="4251" spans="1:13" s="149" customFormat="1" x14ac:dyDescent="0.25">
      <c r="A4251" s="149" t="s">
        <v>7640</v>
      </c>
      <c r="B4251" s="149" t="s">
        <v>2546</v>
      </c>
      <c r="C4251" s="149">
        <v>11</v>
      </c>
      <c r="D4251" s="149">
        <v>360</v>
      </c>
      <c r="E4251" s="149">
        <v>0</v>
      </c>
      <c r="F4251" s="149">
        <v>601000</v>
      </c>
      <c r="G4251" s="149">
        <v>53220</v>
      </c>
      <c r="H4251" s="150" t="str">
        <f t="shared" si="198"/>
        <v>5</v>
      </c>
      <c r="I4251" s="150" t="str">
        <f t="shared" si="199"/>
        <v>53</v>
      </c>
      <c r="J4251" s="150" t="str">
        <f t="shared" si="200"/>
        <v>532</v>
      </c>
      <c r="K4251" s="150" t="s">
        <v>9267</v>
      </c>
      <c r="L4251" s="149" t="s">
        <v>487</v>
      </c>
      <c r="M4251" s="151">
        <v>22272.38</v>
      </c>
    </row>
    <row r="4252" spans="1:13" s="149" customFormat="1" x14ac:dyDescent="0.25">
      <c r="A4252" s="149" t="s">
        <v>7640</v>
      </c>
      <c r="B4252" s="149" t="s">
        <v>2547</v>
      </c>
      <c r="C4252" s="149">
        <v>11</v>
      </c>
      <c r="D4252" s="149">
        <v>360</v>
      </c>
      <c r="E4252" s="149">
        <v>0</v>
      </c>
      <c r="F4252" s="149">
        <v>601000</v>
      </c>
      <c r="G4252" s="149">
        <v>53320</v>
      </c>
      <c r="H4252" s="150" t="str">
        <f t="shared" si="198"/>
        <v>5</v>
      </c>
      <c r="I4252" s="150" t="str">
        <f t="shared" si="199"/>
        <v>53</v>
      </c>
      <c r="J4252" s="150" t="str">
        <f t="shared" si="200"/>
        <v>533</v>
      </c>
      <c r="K4252" s="150" t="s">
        <v>9268</v>
      </c>
      <c r="L4252" s="149" t="s">
        <v>489</v>
      </c>
      <c r="M4252" s="151">
        <v>6609.58</v>
      </c>
    </row>
    <row r="4253" spans="1:13" s="149" customFormat="1" x14ac:dyDescent="0.25">
      <c r="A4253" s="149" t="s">
        <v>7640</v>
      </c>
      <c r="B4253" s="149" t="s">
        <v>2548</v>
      </c>
      <c r="C4253" s="149">
        <v>11</v>
      </c>
      <c r="D4253" s="149">
        <v>360</v>
      </c>
      <c r="E4253" s="149">
        <v>0</v>
      </c>
      <c r="F4253" s="149">
        <v>601000</v>
      </c>
      <c r="G4253" s="149">
        <v>53340</v>
      </c>
      <c r="H4253" s="150" t="str">
        <f t="shared" si="198"/>
        <v>5</v>
      </c>
      <c r="I4253" s="150" t="str">
        <f t="shared" si="199"/>
        <v>53</v>
      </c>
      <c r="J4253" s="150" t="str">
        <f t="shared" si="200"/>
        <v>533</v>
      </c>
      <c r="K4253" s="150" t="s">
        <v>9269</v>
      </c>
      <c r="L4253" s="149" t="s">
        <v>491</v>
      </c>
      <c r="M4253" s="151">
        <v>3255.74</v>
      </c>
    </row>
    <row r="4254" spans="1:13" s="149" customFormat="1" x14ac:dyDescent="0.25">
      <c r="A4254" s="149" t="s">
        <v>7640</v>
      </c>
      <c r="B4254" s="149" t="s">
        <v>2549</v>
      </c>
      <c r="C4254" s="149">
        <v>11</v>
      </c>
      <c r="D4254" s="149">
        <v>360</v>
      </c>
      <c r="E4254" s="149">
        <v>0</v>
      </c>
      <c r="F4254" s="149">
        <v>601000</v>
      </c>
      <c r="G4254" s="149">
        <v>53420</v>
      </c>
      <c r="H4254" s="150" t="str">
        <f t="shared" si="198"/>
        <v>5</v>
      </c>
      <c r="I4254" s="150" t="str">
        <f t="shared" si="199"/>
        <v>53</v>
      </c>
      <c r="J4254" s="150" t="str">
        <f t="shared" si="200"/>
        <v>534</v>
      </c>
      <c r="K4254" s="150" t="s">
        <v>9270</v>
      </c>
      <c r="L4254" s="149" t="s">
        <v>493</v>
      </c>
      <c r="M4254" s="151">
        <v>47824.08</v>
      </c>
    </row>
    <row r="4255" spans="1:13" s="149" customFormat="1" x14ac:dyDescent="0.25">
      <c r="A4255" s="149" t="s">
        <v>7640</v>
      </c>
      <c r="B4255" s="149" t="s">
        <v>2550</v>
      </c>
      <c r="C4255" s="149">
        <v>11</v>
      </c>
      <c r="D4255" s="149">
        <v>360</v>
      </c>
      <c r="E4255" s="149">
        <v>0</v>
      </c>
      <c r="F4255" s="149">
        <v>601000</v>
      </c>
      <c r="G4255" s="149">
        <v>53520</v>
      </c>
      <c r="H4255" s="150" t="str">
        <f t="shared" si="198"/>
        <v>5</v>
      </c>
      <c r="I4255" s="150" t="str">
        <f t="shared" si="199"/>
        <v>53</v>
      </c>
      <c r="J4255" s="150" t="str">
        <f t="shared" si="200"/>
        <v>535</v>
      </c>
      <c r="K4255" s="150" t="s">
        <v>9271</v>
      </c>
      <c r="L4255" s="149" t="s">
        <v>495</v>
      </c>
      <c r="M4255" s="151">
        <v>112.9</v>
      </c>
    </row>
    <row r="4256" spans="1:13" s="149" customFormat="1" x14ac:dyDescent="0.25">
      <c r="A4256" s="149" t="s">
        <v>7640</v>
      </c>
      <c r="B4256" s="149" t="s">
        <v>2551</v>
      </c>
      <c r="C4256" s="149">
        <v>11</v>
      </c>
      <c r="D4256" s="149">
        <v>360</v>
      </c>
      <c r="E4256" s="149">
        <v>0</v>
      </c>
      <c r="F4256" s="149">
        <v>601000</v>
      </c>
      <c r="G4256" s="149">
        <v>53620</v>
      </c>
      <c r="H4256" s="150" t="str">
        <f t="shared" si="198"/>
        <v>5</v>
      </c>
      <c r="I4256" s="150" t="str">
        <f t="shared" si="199"/>
        <v>53</v>
      </c>
      <c r="J4256" s="150" t="str">
        <f t="shared" si="200"/>
        <v>536</v>
      </c>
      <c r="K4256" s="150" t="s">
        <v>9272</v>
      </c>
      <c r="L4256" s="149" t="s">
        <v>497</v>
      </c>
      <c r="M4256" s="151">
        <v>4275.16</v>
      </c>
    </row>
    <row r="4257" spans="1:13" s="149" customFormat="1" x14ac:dyDescent="0.25">
      <c r="A4257" s="149" t="s">
        <v>7640</v>
      </c>
      <c r="B4257" s="149" t="s">
        <v>2552</v>
      </c>
      <c r="C4257" s="149">
        <v>11</v>
      </c>
      <c r="D4257" s="149">
        <v>360</v>
      </c>
      <c r="E4257" s="149">
        <v>0</v>
      </c>
      <c r="F4257" s="149">
        <v>601000</v>
      </c>
      <c r="G4257" s="149">
        <v>53920</v>
      </c>
      <c r="H4257" s="150" t="str">
        <f t="shared" si="198"/>
        <v>5</v>
      </c>
      <c r="I4257" s="150" t="str">
        <f t="shared" si="199"/>
        <v>53</v>
      </c>
      <c r="J4257" s="150" t="str">
        <f t="shared" si="200"/>
        <v>539</v>
      </c>
      <c r="K4257" s="150" t="s">
        <v>9273</v>
      </c>
      <c r="L4257" s="149" t="s">
        <v>499</v>
      </c>
      <c r="M4257" s="151">
        <v>1800</v>
      </c>
    </row>
    <row r="4258" spans="1:13" s="149" customFormat="1" x14ac:dyDescent="0.25">
      <c r="A4258" s="149" t="s">
        <v>7640</v>
      </c>
      <c r="B4258" s="149" t="s">
        <v>2553</v>
      </c>
      <c r="C4258" s="149">
        <v>11</v>
      </c>
      <c r="D4258" s="149">
        <v>360</v>
      </c>
      <c r="E4258" s="149">
        <v>0</v>
      </c>
      <c r="F4258" s="149">
        <v>601000</v>
      </c>
      <c r="G4258" s="149">
        <v>54300</v>
      </c>
      <c r="H4258" s="150" t="str">
        <f t="shared" si="198"/>
        <v>5</v>
      </c>
      <c r="I4258" s="150" t="str">
        <f t="shared" si="199"/>
        <v>54</v>
      </c>
      <c r="J4258" s="150" t="str">
        <f t="shared" si="200"/>
        <v>543</v>
      </c>
      <c r="K4258" s="150" t="s">
        <v>7963</v>
      </c>
      <c r="L4258" s="149" t="s">
        <v>501</v>
      </c>
      <c r="M4258" s="151">
        <v>0</v>
      </c>
    </row>
    <row r="4259" spans="1:13" s="149" customFormat="1" x14ac:dyDescent="0.25">
      <c r="A4259" s="149" t="s">
        <v>7640</v>
      </c>
      <c r="B4259" s="149" t="s">
        <v>2554</v>
      </c>
      <c r="C4259" s="149">
        <v>11</v>
      </c>
      <c r="D4259" s="149">
        <v>360</v>
      </c>
      <c r="E4259" s="149">
        <v>0</v>
      </c>
      <c r="F4259" s="149">
        <v>601000</v>
      </c>
      <c r="G4259" s="149">
        <v>55630</v>
      </c>
      <c r="H4259" s="150" t="str">
        <f t="shared" si="198"/>
        <v>5</v>
      </c>
      <c r="I4259" s="150" t="str">
        <f t="shared" si="199"/>
        <v>55</v>
      </c>
      <c r="J4259" s="150" t="str">
        <f t="shared" si="200"/>
        <v>556</v>
      </c>
      <c r="K4259" s="150" t="s">
        <v>8251</v>
      </c>
      <c r="L4259" s="149" t="s">
        <v>509</v>
      </c>
      <c r="M4259" s="151">
        <v>4.22</v>
      </c>
    </row>
    <row r="4260" spans="1:13" s="149" customFormat="1" x14ac:dyDescent="0.25">
      <c r="A4260" s="149" t="s">
        <v>7640</v>
      </c>
      <c r="B4260" s="149" t="s">
        <v>2555</v>
      </c>
      <c r="C4260" s="149">
        <v>11</v>
      </c>
      <c r="D4260" s="149">
        <v>360</v>
      </c>
      <c r="E4260" s="149">
        <v>0</v>
      </c>
      <c r="F4260" s="149">
        <v>612000</v>
      </c>
      <c r="G4260" s="149">
        <v>51200</v>
      </c>
      <c r="H4260" s="150" t="str">
        <f t="shared" si="198"/>
        <v>5</v>
      </c>
      <c r="I4260" s="150" t="str">
        <f t="shared" si="199"/>
        <v>51</v>
      </c>
      <c r="J4260" s="150" t="str">
        <f t="shared" si="200"/>
        <v>512</v>
      </c>
      <c r="K4260" s="150" t="s">
        <v>9274</v>
      </c>
      <c r="L4260" s="149" t="s">
        <v>2556</v>
      </c>
      <c r="M4260" s="151">
        <v>58454.28</v>
      </c>
    </row>
    <row r="4261" spans="1:13" s="149" customFormat="1" x14ac:dyDescent="0.25">
      <c r="A4261" s="149" t="s">
        <v>7640</v>
      </c>
      <c r="B4261" s="149" t="s">
        <v>2557</v>
      </c>
      <c r="C4261" s="149">
        <v>11</v>
      </c>
      <c r="D4261" s="149">
        <v>360</v>
      </c>
      <c r="E4261" s="149">
        <v>0</v>
      </c>
      <c r="F4261" s="149">
        <v>612000</v>
      </c>
      <c r="G4261" s="149">
        <v>51411</v>
      </c>
      <c r="H4261" s="150" t="str">
        <f t="shared" si="198"/>
        <v>5</v>
      </c>
      <c r="I4261" s="150" t="str">
        <f t="shared" si="199"/>
        <v>51</v>
      </c>
      <c r="J4261" s="150" t="str">
        <f t="shared" si="200"/>
        <v>514</v>
      </c>
      <c r="K4261" s="150" t="s">
        <v>7777</v>
      </c>
      <c r="L4261" s="149" t="s">
        <v>517</v>
      </c>
      <c r="M4261" s="151">
        <v>82894.94</v>
      </c>
    </row>
    <row r="4262" spans="1:13" s="149" customFormat="1" x14ac:dyDescent="0.25">
      <c r="A4262" s="149" t="s">
        <v>7640</v>
      </c>
      <c r="B4262" s="149" t="s">
        <v>2558</v>
      </c>
      <c r="C4262" s="149">
        <v>11</v>
      </c>
      <c r="D4262" s="149">
        <v>360</v>
      </c>
      <c r="E4262" s="149">
        <v>0</v>
      </c>
      <c r="F4262" s="149">
        <v>612000</v>
      </c>
      <c r="G4262" s="149">
        <v>51412</v>
      </c>
      <c r="H4262" s="150" t="str">
        <f t="shared" si="198"/>
        <v>5</v>
      </c>
      <c r="I4262" s="150" t="str">
        <f t="shared" si="199"/>
        <v>51</v>
      </c>
      <c r="J4262" s="150" t="str">
        <f t="shared" si="200"/>
        <v>514</v>
      </c>
      <c r="K4262" s="150" t="s">
        <v>7800</v>
      </c>
      <c r="L4262" s="149" t="s">
        <v>2559</v>
      </c>
      <c r="M4262" s="151">
        <v>0</v>
      </c>
    </row>
    <row r="4263" spans="1:13" s="149" customFormat="1" x14ac:dyDescent="0.25">
      <c r="A4263" s="149" t="s">
        <v>7640</v>
      </c>
      <c r="B4263" s="149" t="s">
        <v>2560</v>
      </c>
      <c r="C4263" s="149">
        <v>11</v>
      </c>
      <c r="D4263" s="149">
        <v>360</v>
      </c>
      <c r="E4263" s="149">
        <v>0</v>
      </c>
      <c r="F4263" s="149">
        <v>612000</v>
      </c>
      <c r="G4263" s="149">
        <v>52105</v>
      </c>
      <c r="H4263" s="150" t="str">
        <f t="shared" si="198"/>
        <v>5</v>
      </c>
      <c r="I4263" s="150" t="str">
        <f t="shared" si="199"/>
        <v>52</v>
      </c>
      <c r="J4263" s="150" t="str">
        <f t="shared" si="200"/>
        <v>521</v>
      </c>
      <c r="K4263" s="150" t="s">
        <v>9275</v>
      </c>
      <c r="L4263" s="149" t="s">
        <v>2561</v>
      </c>
      <c r="M4263" s="151">
        <v>147001.14000000001</v>
      </c>
    </row>
    <row r="4264" spans="1:13" s="149" customFormat="1" x14ac:dyDescent="0.25">
      <c r="A4264" s="149" t="s">
        <v>7640</v>
      </c>
      <c r="B4264" s="149" t="s">
        <v>2562</v>
      </c>
      <c r="C4264" s="149">
        <v>11</v>
      </c>
      <c r="D4264" s="149">
        <v>360</v>
      </c>
      <c r="E4264" s="149">
        <v>0</v>
      </c>
      <c r="F4264" s="149">
        <v>612000</v>
      </c>
      <c r="G4264" s="149">
        <v>52300</v>
      </c>
      <c r="H4264" s="150" t="str">
        <f t="shared" si="198"/>
        <v>5</v>
      </c>
      <c r="I4264" s="150" t="str">
        <f t="shared" si="199"/>
        <v>52</v>
      </c>
      <c r="J4264" s="150" t="str">
        <f t="shared" si="200"/>
        <v>523</v>
      </c>
      <c r="K4264" s="150" t="s">
        <v>7830</v>
      </c>
      <c r="L4264" s="149" t="s">
        <v>2563</v>
      </c>
      <c r="M4264" s="151">
        <v>90.31</v>
      </c>
    </row>
    <row r="4265" spans="1:13" s="149" customFormat="1" x14ac:dyDescent="0.25">
      <c r="A4265" s="149" t="s">
        <v>7640</v>
      </c>
      <c r="B4265" s="149" t="s">
        <v>2564</v>
      </c>
      <c r="C4265" s="149">
        <v>11</v>
      </c>
      <c r="D4265" s="149">
        <v>360</v>
      </c>
      <c r="E4265" s="149">
        <v>0</v>
      </c>
      <c r="F4265" s="149">
        <v>612000</v>
      </c>
      <c r="G4265" s="149">
        <v>52350</v>
      </c>
      <c r="H4265" s="150" t="str">
        <f t="shared" si="198"/>
        <v>5</v>
      </c>
      <c r="I4265" s="150" t="str">
        <f t="shared" si="199"/>
        <v>52</v>
      </c>
      <c r="J4265" s="150" t="str">
        <f t="shared" si="200"/>
        <v>523</v>
      </c>
      <c r="K4265" s="150" t="s">
        <v>7856</v>
      </c>
      <c r="L4265" s="149" t="s">
        <v>2565</v>
      </c>
      <c r="M4265" s="151">
        <v>0</v>
      </c>
    </row>
    <row r="4266" spans="1:13" s="149" customFormat="1" x14ac:dyDescent="0.25">
      <c r="A4266" s="149" t="s">
        <v>7640</v>
      </c>
      <c r="B4266" s="149" t="s">
        <v>2566</v>
      </c>
      <c r="C4266" s="149">
        <v>11</v>
      </c>
      <c r="D4266" s="149">
        <v>360</v>
      </c>
      <c r="E4266" s="149">
        <v>0</v>
      </c>
      <c r="F4266" s="149">
        <v>612000</v>
      </c>
      <c r="G4266" s="149">
        <v>53120</v>
      </c>
      <c r="H4266" s="150" t="str">
        <f t="shared" si="198"/>
        <v>5</v>
      </c>
      <c r="I4266" s="150" t="str">
        <f t="shared" si="199"/>
        <v>53</v>
      </c>
      <c r="J4266" s="150" t="str">
        <f t="shared" si="200"/>
        <v>531</v>
      </c>
      <c r="K4266" s="150" t="s">
        <v>9276</v>
      </c>
      <c r="L4266" s="149" t="s">
        <v>519</v>
      </c>
      <c r="M4266" s="151">
        <v>12096.32</v>
      </c>
    </row>
    <row r="4267" spans="1:13" s="149" customFormat="1" x14ac:dyDescent="0.25">
      <c r="A4267" s="149" t="s">
        <v>7640</v>
      </c>
      <c r="B4267" s="149" t="s">
        <v>2567</v>
      </c>
      <c r="C4267" s="149">
        <v>11</v>
      </c>
      <c r="D4267" s="149">
        <v>360</v>
      </c>
      <c r="E4267" s="149">
        <v>0</v>
      </c>
      <c r="F4267" s="149">
        <v>612000</v>
      </c>
      <c r="G4267" s="149">
        <v>53220</v>
      </c>
      <c r="H4267" s="150" t="str">
        <f t="shared" si="198"/>
        <v>5</v>
      </c>
      <c r="I4267" s="150" t="str">
        <f t="shared" si="199"/>
        <v>53</v>
      </c>
      <c r="J4267" s="150" t="str">
        <f t="shared" si="200"/>
        <v>532</v>
      </c>
      <c r="K4267" s="150" t="s">
        <v>9277</v>
      </c>
      <c r="L4267" s="149" t="s">
        <v>2568</v>
      </c>
      <c r="M4267" s="151">
        <v>42533.25</v>
      </c>
    </row>
    <row r="4268" spans="1:13" s="149" customFormat="1" x14ac:dyDescent="0.25">
      <c r="A4268" s="149" t="s">
        <v>7640</v>
      </c>
      <c r="B4268" s="149" t="s">
        <v>2569</v>
      </c>
      <c r="C4268" s="149">
        <v>11</v>
      </c>
      <c r="D4268" s="149">
        <v>360</v>
      </c>
      <c r="E4268" s="149">
        <v>0</v>
      </c>
      <c r="F4268" s="149">
        <v>612000</v>
      </c>
      <c r="G4268" s="149">
        <v>53320</v>
      </c>
      <c r="H4268" s="150" t="str">
        <f t="shared" si="198"/>
        <v>5</v>
      </c>
      <c r="I4268" s="150" t="str">
        <f t="shared" si="199"/>
        <v>53</v>
      </c>
      <c r="J4268" s="150" t="str">
        <f t="shared" si="200"/>
        <v>533</v>
      </c>
      <c r="K4268" s="150" t="s">
        <v>9278</v>
      </c>
      <c r="L4268" s="149" t="s">
        <v>2570</v>
      </c>
      <c r="M4268" s="151">
        <v>13087.2</v>
      </c>
    </row>
    <row r="4269" spans="1:13" s="149" customFormat="1" x14ac:dyDescent="0.25">
      <c r="A4269" s="149" t="s">
        <v>7640</v>
      </c>
      <c r="B4269" s="149" t="s">
        <v>2571</v>
      </c>
      <c r="C4269" s="149">
        <v>11</v>
      </c>
      <c r="D4269" s="149">
        <v>360</v>
      </c>
      <c r="E4269" s="149">
        <v>0</v>
      </c>
      <c r="F4269" s="149">
        <v>612000</v>
      </c>
      <c r="G4269" s="149">
        <v>53340</v>
      </c>
      <c r="H4269" s="150" t="str">
        <f t="shared" si="198"/>
        <v>5</v>
      </c>
      <c r="I4269" s="150" t="str">
        <f t="shared" si="199"/>
        <v>53</v>
      </c>
      <c r="J4269" s="150" t="str">
        <f t="shared" si="200"/>
        <v>533</v>
      </c>
      <c r="K4269" s="150" t="s">
        <v>9279</v>
      </c>
      <c r="L4269" s="149" t="s">
        <v>521</v>
      </c>
      <c r="M4269" s="151">
        <v>4156.4399999999996</v>
      </c>
    </row>
    <row r="4270" spans="1:13" s="149" customFormat="1" x14ac:dyDescent="0.25">
      <c r="A4270" s="149" t="s">
        <v>7640</v>
      </c>
      <c r="B4270" s="149" t="s">
        <v>2572</v>
      </c>
      <c r="C4270" s="149">
        <v>11</v>
      </c>
      <c r="D4270" s="149">
        <v>360</v>
      </c>
      <c r="E4270" s="149">
        <v>0</v>
      </c>
      <c r="F4270" s="149">
        <v>612000</v>
      </c>
      <c r="G4270" s="149">
        <v>53420</v>
      </c>
      <c r="H4270" s="150" t="str">
        <f t="shared" si="198"/>
        <v>5</v>
      </c>
      <c r="I4270" s="150" t="str">
        <f t="shared" si="199"/>
        <v>53</v>
      </c>
      <c r="J4270" s="150" t="str">
        <f t="shared" si="200"/>
        <v>534</v>
      </c>
      <c r="K4270" s="150" t="s">
        <v>9280</v>
      </c>
      <c r="L4270" s="149" t="s">
        <v>2573</v>
      </c>
      <c r="M4270" s="151">
        <v>52873.72</v>
      </c>
    </row>
    <row r="4271" spans="1:13" s="149" customFormat="1" x14ac:dyDescent="0.25">
      <c r="A4271" s="149" t="s">
        <v>7640</v>
      </c>
      <c r="B4271" s="149" t="s">
        <v>2574</v>
      </c>
      <c r="C4271" s="149">
        <v>11</v>
      </c>
      <c r="D4271" s="149">
        <v>360</v>
      </c>
      <c r="E4271" s="149">
        <v>0</v>
      </c>
      <c r="F4271" s="149">
        <v>612000</v>
      </c>
      <c r="G4271" s="149">
        <v>53520</v>
      </c>
      <c r="H4271" s="150" t="str">
        <f t="shared" si="198"/>
        <v>5</v>
      </c>
      <c r="I4271" s="150" t="str">
        <f t="shared" si="199"/>
        <v>53</v>
      </c>
      <c r="J4271" s="150" t="str">
        <f t="shared" si="200"/>
        <v>535</v>
      </c>
      <c r="K4271" s="150" t="s">
        <v>9281</v>
      </c>
      <c r="L4271" s="149" t="s">
        <v>523</v>
      </c>
      <c r="M4271" s="151">
        <v>143.86000000000001</v>
      </c>
    </row>
    <row r="4272" spans="1:13" s="149" customFormat="1" x14ac:dyDescent="0.25">
      <c r="A4272" s="149" t="s">
        <v>7640</v>
      </c>
      <c r="B4272" s="149" t="s">
        <v>2575</v>
      </c>
      <c r="C4272" s="149">
        <v>11</v>
      </c>
      <c r="D4272" s="149">
        <v>360</v>
      </c>
      <c r="E4272" s="149">
        <v>0</v>
      </c>
      <c r="F4272" s="149">
        <v>612000</v>
      </c>
      <c r="G4272" s="149">
        <v>53620</v>
      </c>
      <c r="H4272" s="150" t="str">
        <f t="shared" si="198"/>
        <v>5</v>
      </c>
      <c r="I4272" s="150" t="str">
        <f t="shared" si="199"/>
        <v>53</v>
      </c>
      <c r="J4272" s="150" t="str">
        <f t="shared" si="200"/>
        <v>536</v>
      </c>
      <c r="K4272" s="150" t="s">
        <v>9282</v>
      </c>
      <c r="L4272" s="149" t="s">
        <v>525</v>
      </c>
      <c r="M4272" s="151">
        <v>5460.97</v>
      </c>
    </row>
    <row r="4273" spans="1:13" s="149" customFormat="1" x14ac:dyDescent="0.25">
      <c r="A4273" s="149" t="s">
        <v>7640</v>
      </c>
      <c r="B4273" s="149" t="s">
        <v>2576</v>
      </c>
      <c r="C4273" s="149">
        <v>11</v>
      </c>
      <c r="D4273" s="149">
        <v>360</v>
      </c>
      <c r="E4273" s="149">
        <v>0</v>
      </c>
      <c r="F4273" s="149">
        <v>612000</v>
      </c>
      <c r="G4273" s="149">
        <v>54300</v>
      </c>
      <c r="H4273" s="150" t="str">
        <f t="shared" si="198"/>
        <v>5</v>
      </c>
      <c r="I4273" s="150" t="str">
        <f t="shared" si="199"/>
        <v>54</v>
      </c>
      <c r="J4273" s="150" t="str">
        <f t="shared" si="200"/>
        <v>543</v>
      </c>
      <c r="K4273" s="150" t="s">
        <v>7964</v>
      </c>
      <c r="L4273" s="149" t="s">
        <v>2577</v>
      </c>
      <c r="M4273" s="151">
        <v>542.21</v>
      </c>
    </row>
    <row r="4274" spans="1:13" s="149" customFormat="1" x14ac:dyDescent="0.25">
      <c r="A4274" s="149" t="s">
        <v>7640</v>
      </c>
      <c r="B4274" s="149" t="s">
        <v>2578</v>
      </c>
      <c r="C4274" s="149">
        <v>11</v>
      </c>
      <c r="D4274" s="149">
        <v>360</v>
      </c>
      <c r="E4274" s="149">
        <v>0</v>
      </c>
      <c r="F4274" s="149">
        <v>612000</v>
      </c>
      <c r="G4274" s="149">
        <v>55200</v>
      </c>
      <c r="H4274" s="150" t="str">
        <f t="shared" si="198"/>
        <v>5</v>
      </c>
      <c r="I4274" s="150" t="str">
        <f t="shared" si="199"/>
        <v>55</v>
      </c>
      <c r="J4274" s="150" t="str">
        <f t="shared" si="200"/>
        <v>552</v>
      </c>
      <c r="K4274" s="150" t="s">
        <v>8059</v>
      </c>
      <c r="L4274" s="149" t="s">
        <v>2579</v>
      </c>
      <c r="M4274" s="151">
        <v>0</v>
      </c>
    </row>
    <row r="4275" spans="1:13" s="149" customFormat="1" x14ac:dyDescent="0.25">
      <c r="A4275" s="149" t="s">
        <v>7640</v>
      </c>
      <c r="B4275" s="149" t="s">
        <v>2580</v>
      </c>
      <c r="C4275" s="149">
        <v>11</v>
      </c>
      <c r="D4275" s="149">
        <v>360</v>
      </c>
      <c r="E4275" s="149">
        <v>0</v>
      </c>
      <c r="F4275" s="149">
        <v>612000</v>
      </c>
      <c r="G4275" s="149">
        <v>55300</v>
      </c>
      <c r="H4275" s="150" t="str">
        <f t="shared" si="198"/>
        <v>5</v>
      </c>
      <c r="I4275" s="150" t="str">
        <f t="shared" si="199"/>
        <v>55</v>
      </c>
      <c r="J4275" s="150" t="str">
        <f t="shared" si="200"/>
        <v>553</v>
      </c>
      <c r="K4275" s="150" t="s">
        <v>8094</v>
      </c>
      <c r="L4275" s="149" t="s">
        <v>2581</v>
      </c>
      <c r="M4275" s="151">
        <v>1650</v>
      </c>
    </row>
    <row r="4276" spans="1:13" s="149" customFormat="1" x14ac:dyDescent="0.25">
      <c r="A4276" s="149" t="s">
        <v>7640</v>
      </c>
      <c r="B4276" s="149" t="s">
        <v>2582</v>
      </c>
      <c r="C4276" s="149">
        <v>11</v>
      </c>
      <c r="D4276" s="149">
        <v>360</v>
      </c>
      <c r="E4276" s="149">
        <v>0</v>
      </c>
      <c r="F4276" s="149">
        <v>612000</v>
      </c>
      <c r="G4276" s="149">
        <v>55630</v>
      </c>
      <c r="H4276" s="150" t="str">
        <f t="shared" si="198"/>
        <v>5</v>
      </c>
      <c r="I4276" s="150" t="str">
        <f t="shared" si="199"/>
        <v>55</v>
      </c>
      <c r="J4276" s="150" t="str">
        <f t="shared" si="200"/>
        <v>556</v>
      </c>
      <c r="K4276" s="150" t="s">
        <v>8252</v>
      </c>
      <c r="L4276" s="149" t="s">
        <v>527</v>
      </c>
      <c r="M4276" s="151">
        <v>44.7</v>
      </c>
    </row>
    <row r="4277" spans="1:13" s="149" customFormat="1" x14ac:dyDescent="0.25">
      <c r="A4277" s="149" t="s">
        <v>7640</v>
      </c>
      <c r="B4277" s="149" t="s">
        <v>2583</v>
      </c>
      <c r="C4277" s="149">
        <v>11</v>
      </c>
      <c r="D4277" s="149">
        <v>360</v>
      </c>
      <c r="E4277" s="149">
        <v>0</v>
      </c>
      <c r="F4277" s="149">
        <v>612000</v>
      </c>
      <c r="G4277" s="149">
        <v>55650</v>
      </c>
      <c r="H4277" s="150" t="str">
        <f t="shared" si="198"/>
        <v>5</v>
      </c>
      <c r="I4277" s="150" t="str">
        <f t="shared" si="199"/>
        <v>55</v>
      </c>
      <c r="J4277" s="150" t="str">
        <f t="shared" si="200"/>
        <v>556</v>
      </c>
      <c r="K4277" s="150" t="s">
        <v>8308</v>
      </c>
      <c r="L4277" s="149" t="s">
        <v>2584</v>
      </c>
      <c r="M4277" s="151">
        <v>0</v>
      </c>
    </row>
    <row r="4278" spans="1:13" s="149" customFormat="1" x14ac:dyDescent="0.25">
      <c r="A4278" s="149" t="s">
        <v>7640</v>
      </c>
      <c r="B4278" s="149" t="s">
        <v>2585</v>
      </c>
      <c r="C4278" s="149">
        <v>11</v>
      </c>
      <c r="D4278" s="149">
        <v>360</v>
      </c>
      <c r="E4278" s="149">
        <v>0</v>
      </c>
      <c r="F4278" s="149">
        <v>612000</v>
      </c>
      <c r="G4278" s="149">
        <v>56300</v>
      </c>
      <c r="H4278" s="150" t="str">
        <f t="shared" si="198"/>
        <v>5</v>
      </c>
      <c r="I4278" s="150" t="str">
        <f t="shared" si="199"/>
        <v>56</v>
      </c>
      <c r="J4278" s="150" t="str">
        <f t="shared" si="200"/>
        <v>563</v>
      </c>
      <c r="K4278" s="150" t="s">
        <v>8361</v>
      </c>
      <c r="L4278" s="149" t="s">
        <v>2586</v>
      </c>
      <c r="M4278" s="151">
        <v>17747.429999999997</v>
      </c>
    </row>
    <row r="4279" spans="1:13" s="149" customFormat="1" x14ac:dyDescent="0.25">
      <c r="A4279" s="149" t="s">
        <v>7640</v>
      </c>
      <c r="B4279" s="149" t="s">
        <v>2587</v>
      </c>
      <c r="C4279" s="149">
        <v>11</v>
      </c>
      <c r="D4279" s="149">
        <v>360</v>
      </c>
      <c r="E4279" s="149">
        <v>0</v>
      </c>
      <c r="F4279" s="149">
        <v>612000</v>
      </c>
      <c r="G4279" s="149">
        <v>56310</v>
      </c>
      <c r="H4279" s="150" t="str">
        <f t="shared" si="198"/>
        <v>5</v>
      </c>
      <c r="I4279" s="150" t="str">
        <f t="shared" si="199"/>
        <v>56</v>
      </c>
      <c r="J4279" s="150" t="str">
        <f t="shared" si="200"/>
        <v>563</v>
      </c>
      <c r="K4279" s="150" t="s">
        <v>8364</v>
      </c>
      <c r="L4279" s="149" t="s">
        <v>1030</v>
      </c>
      <c r="M4279" s="151">
        <v>17859.849999999999</v>
      </c>
    </row>
    <row r="4280" spans="1:13" s="149" customFormat="1" x14ac:dyDescent="0.25">
      <c r="A4280" s="149" t="s">
        <v>7640</v>
      </c>
      <c r="B4280" s="149" t="s">
        <v>2588</v>
      </c>
      <c r="C4280" s="149">
        <v>11</v>
      </c>
      <c r="D4280" s="149">
        <v>360</v>
      </c>
      <c r="E4280" s="149">
        <v>0</v>
      </c>
      <c r="F4280" s="149">
        <v>612000</v>
      </c>
      <c r="G4280" s="149">
        <v>56340</v>
      </c>
      <c r="H4280" s="150" t="str">
        <f t="shared" si="198"/>
        <v>5</v>
      </c>
      <c r="I4280" s="150" t="str">
        <f t="shared" si="199"/>
        <v>56</v>
      </c>
      <c r="J4280" s="150" t="str">
        <f t="shared" si="200"/>
        <v>563</v>
      </c>
      <c r="K4280" s="150" t="s">
        <v>8365</v>
      </c>
      <c r="L4280" s="149" t="s">
        <v>2589</v>
      </c>
      <c r="M4280" s="151">
        <v>7350</v>
      </c>
    </row>
    <row r="4281" spans="1:13" s="149" customFormat="1" x14ac:dyDescent="0.25">
      <c r="A4281" s="149" t="s">
        <v>7640</v>
      </c>
      <c r="B4281" s="149" t="s">
        <v>2590</v>
      </c>
      <c r="C4281" s="149">
        <v>11</v>
      </c>
      <c r="D4281" s="149">
        <v>360</v>
      </c>
      <c r="E4281" s="149">
        <v>0</v>
      </c>
      <c r="F4281" s="149">
        <v>612000</v>
      </c>
      <c r="G4281" s="149">
        <v>56341</v>
      </c>
      <c r="H4281" s="150" t="str">
        <f t="shared" si="198"/>
        <v>5</v>
      </c>
      <c r="I4281" s="150" t="str">
        <f t="shared" si="199"/>
        <v>56</v>
      </c>
      <c r="J4281" s="150" t="str">
        <f t="shared" si="200"/>
        <v>563</v>
      </c>
      <c r="K4281" s="150" t="s">
        <v>8367</v>
      </c>
      <c r="L4281" s="149" t="s">
        <v>2591</v>
      </c>
      <c r="M4281" s="151">
        <v>2239.98</v>
      </c>
    </row>
    <row r="4282" spans="1:13" s="149" customFormat="1" x14ac:dyDescent="0.25">
      <c r="A4282" s="149" t="s">
        <v>7640</v>
      </c>
      <c r="B4282" s="149" t="s">
        <v>2592</v>
      </c>
      <c r="C4282" s="149">
        <v>11</v>
      </c>
      <c r="D4282" s="149">
        <v>360</v>
      </c>
      <c r="E4282" s="149">
        <v>0</v>
      </c>
      <c r="F4282" s="149">
        <v>613000</v>
      </c>
      <c r="G4282" s="149">
        <v>52105</v>
      </c>
      <c r="H4282" s="150" t="str">
        <f t="shared" si="198"/>
        <v>5</v>
      </c>
      <c r="I4282" s="150" t="str">
        <f t="shared" si="199"/>
        <v>52</v>
      </c>
      <c r="J4282" s="150" t="str">
        <f t="shared" si="200"/>
        <v>521</v>
      </c>
      <c r="K4282" s="150" t="s">
        <v>9283</v>
      </c>
      <c r="L4282" s="149" t="s">
        <v>2593</v>
      </c>
      <c r="M4282" s="151">
        <v>104509.48</v>
      </c>
    </row>
    <row r="4283" spans="1:13" s="149" customFormat="1" x14ac:dyDescent="0.25">
      <c r="A4283" s="149" t="s">
        <v>7640</v>
      </c>
      <c r="B4283" s="149" t="s">
        <v>2594</v>
      </c>
      <c r="C4283" s="149">
        <v>11</v>
      </c>
      <c r="D4283" s="149">
        <v>360</v>
      </c>
      <c r="E4283" s="149">
        <v>0</v>
      </c>
      <c r="F4283" s="149">
        <v>613000</v>
      </c>
      <c r="G4283" s="149">
        <v>52300</v>
      </c>
      <c r="H4283" s="150" t="str">
        <f t="shared" si="198"/>
        <v>5</v>
      </c>
      <c r="I4283" s="150" t="str">
        <f t="shared" si="199"/>
        <v>52</v>
      </c>
      <c r="J4283" s="150" t="str">
        <f t="shared" si="200"/>
        <v>523</v>
      </c>
      <c r="K4283" s="150" t="s">
        <v>7831</v>
      </c>
      <c r="L4283" s="149" t="s">
        <v>2595</v>
      </c>
      <c r="M4283" s="151">
        <v>0</v>
      </c>
    </row>
    <row r="4284" spans="1:13" s="149" customFormat="1" x14ac:dyDescent="0.25">
      <c r="A4284" s="149" t="s">
        <v>7640</v>
      </c>
      <c r="B4284" s="149" t="s">
        <v>2596</v>
      </c>
      <c r="C4284" s="149">
        <v>11</v>
      </c>
      <c r="D4284" s="149">
        <v>360</v>
      </c>
      <c r="E4284" s="149">
        <v>0</v>
      </c>
      <c r="F4284" s="149">
        <v>613000</v>
      </c>
      <c r="G4284" s="149">
        <v>53220</v>
      </c>
      <c r="H4284" s="150" t="str">
        <f t="shared" si="198"/>
        <v>5</v>
      </c>
      <c r="I4284" s="150" t="str">
        <f t="shared" si="199"/>
        <v>53</v>
      </c>
      <c r="J4284" s="150" t="str">
        <f t="shared" si="200"/>
        <v>532</v>
      </c>
      <c r="K4284" s="150" t="s">
        <v>9284</v>
      </c>
      <c r="L4284" s="149" t="s">
        <v>2597</v>
      </c>
      <c r="M4284" s="151">
        <v>21631.96</v>
      </c>
    </row>
    <row r="4285" spans="1:13" s="149" customFormat="1" x14ac:dyDescent="0.25">
      <c r="A4285" s="149" t="s">
        <v>7640</v>
      </c>
      <c r="B4285" s="149" t="s">
        <v>2598</v>
      </c>
      <c r="C4285" s="149">
        <v>11</v>
      </c>
      <c r="D4285" s="149">
        <v>360</v>
      </c>
      <c r="E4285" s="149">
        <v>0</v>
      </c>
      <c r="F4285" s="149">
        <v>613000</v>
      </c>
      <c r="G4285" s="149">
        <v>53320</v>
      </c>
      <c r="H4285" s="150" t="str">
        <f t="shared" si="198"/>
        <v>5</v>
      </c>
      <c r="I4285" s="150" t="str">
        <f t="shared" si="199"/>
        <v>53</v>
      </c>
      <c r="J4285" s="150" t="str">
        <f t="shared" si="200"/>
        <v>533</v>
      </c>
      <c r="K4285" s="150" t="s">
        <v>9285</v>
      </c>
      <c r="L4285" s="149" t="s">
        <v>2599</v>
      </c>
      <c r="M4285" s="151">
        <v>6442.51</v>
      </c>
    </row>
    <row r="4286" spans="1:13" s="149" customFormat="1" x14ac:dyDescent="0.25">
      <c r="A4286" s="149" t="s">
        <v>7640</v>
      </c>
      <c r="B4286" s="149" t="s">
        <v>2600</v>
      </c>
      <c r="C4286" s="149">
        <v>11</v>
      </c>
      <c r="D4286" s="149">
        <v>360</v>
      </c>
      <c r="E4286" s="149">
        <v>0</v>
      </c>
      <c r="F4286" s="149">
        <v>613000</v>
      </c>
      <c r="G4286" s="149">
        <v>53340</v>
      </c>
      <c r="H4286" s="150" t="str">
        <f t="shared" si="198"/>
        <v>5</v>
      </c>
      <c r="I4286" s="150" t="str">
        <f t="shared" si="199"/>
        <v>53</v>
      </c>
      <c r="J4286" s="150" t="str">
        <f t="shared" si="200"/>
        <v>533</v>
      </c>
      <c r="K4286" s="150" t="s">
        <v>9286</v>
      </c>
      <c r="L4286" s="149" t="s">
        <v>2601</v>
      </c>
      <c r="M4286" s="151">
        <v>1506.67</v>
      </c>
    </row>
    <row r="4287" spans="1:13" s="149" customFormat="1" x14ac:dyDescent="0.25">
      <c r="A4287" s="149" t="s">
        <v>7640</v>
      </c>
      <c r="B4287" s="149" t="s">
        <v>2602</v>
      </c>
      <c r="C4287" s="149">
        <v>11</v>
      </c>
      <c r="D4287" s="149">
        <v>360</v>
      </c>
      <c r="E4287" s="149">
        <v>0</v>
      </c>
      <c r="F4287" s="149">
        <v>613000</v>
      </c>
      <c r="G4287" s="149">
        <v>53420</v>
      </c>
      <c r="H4287" s="150" t="str">
        <f t="shared" si="198"/>
        <v>5</v>
      </c>
      <c r="I4287" s="150" t="str">
        <f t="shared" si="199"/>
        <v>53</v>
      </c>
      <c r="J4287" s="150" t="str">
        <f t="shared" si="200"/>
        <v>534</v>
      </c>
      <c r="K4287" s="150" t="s">
        <v>9287</v>
      </c>
      <c r="L4287" s="149" t="s">
        <v>2603</v>
      </c>
      <c r="M4287" s="151">
        <v>20604.55</v>
      </c>
    </row>
    <row r="4288" spans="1:13" s="149" customFormat="1" x14ac:dyDescent="0.25">
      <c r="A4288" s="149" t="s">
        <v>7640</v>
      </c>
      <c r="B4288" s="149" t="s">
        <v>2604</v>
      </c>
      <c r="C4288" s="149">
        <v>11</v>
      </c>
      <c r="D4288" s="149">
        <v>360</v>
      </c>
      <c r="E4288" s="149">
        <v>0</v>
      </c>
      <c r="F4288" s="149">
        <v>613000</v>
      </c>
      <c r="G4288" s="149">
        <v>53520</v>
      </c>
      <c r="H4288" s="150" t="str">
        <f t="shared" si="198"/>
        <v>5</v>
      </c>
      <c r="I4288" s="150" t="str">
        <f t="shared" si="199"/>
        <v>53</v>
      </c>
      <c r="J4288" s="150" t="str">
        <f t="shared" si="200"/>
        <v>535</v>
      </c>
      <c r="K4288" s="150" t="s">
        <v>9288</v>
      </c>
      <c r="L4288" s="149" t="s">
        <v>2605</v>
      </c>
      <c r="M4288" s="151">
        <v>52.03</v>
      </c>
    </row>
    <row r="4289" spans="1:13" s="149" customFormat="1" x14ac:dyDescent="0.25">
      <c r="A4289" s="149" t="s">
        <v>7640</v>
      </c>
      <c r="B4289" s="149" t="s">
        <v>2606</v>
      </c>
      <c r="C4289" s="149">
        <v>11</v>
      </c>
      <c r="D4289" s="149">
        <v>360</v>
      </c>
      <c r="E4289" s="149">
        <v>0</v>
      </c>
      <c r="F4289" s="149">
        <v>613000</v>
      </c>
      <c r="G4289" s="149">
        <v>53620</v>
      </c>
      <c r="H4289" s="150" t="str">
        <f t="shared" si="198"/>
        <v>5</v>
      </c>
      <c r="I4289" s="150" t="str">
        <f t="shared" si="199"/>
        <v>53</v>
      </c>
      <c r="J4289" s="150" t="str">
        <f t="shared" si="200"/>
        <v>536</v>
      </c>
      <c r="K4289" s="150" t="s">
        <v>9289</v>
      </c>
      <c r="L4289" s="149" t="s">
        <v>2607</v>
      </c>
      <c r="M4289" s="151">
        <v>1980.76</v>
      </c>
    </row>
    <row r="4290" spans="1:13" s="149" customFormat="1" x14ac:dyDescent="0.25">
      <c r="A4290" s="149" t="s">
        <v>7640</v>
      </c>
      <c r="B4290" s="149" t="s">
        <v>2608</v>
      </c>
      <c r="C4290" s="149">
        <v>11</v>
      </c>
      <c r="D4290" s="149">
        <v>360</v>
      </c>
      <c r="E4290" s="149">
        <v>0</v>
      </c>
      <c r="F4290" s="149">
        <v>613000</v>
      </c>
      <c r="G4290" s="149">
        <v>54300</v>
      </c>
      <c r="H4290" s="150" t="str">
        <f t="shared" si="198"/>
        <v>5</v>
      </c>
      <c r="I4290" s="150" t="str">
        <f t="shared" si="199"/>
        <v>54</v>
      </c>
      <c r="J4290" s="150" t="str">
        <f t="shared" si="200"/>
        <v>543</v>
      </c>
      <c r="K4290" s="150" t="s">
        <v>7965</v>
      </c>
      <c r="L4290" s="149" t="s">
        <v>2609</v>
      </c>
      <c r="M4290" s="151">
        <v>0</v>
      </c>
    </row>
    <row r="4291" spans="1:13" s="149" customFormat="1" x14ac:dyDescent="0.25">
      <c r="A4291" s="149" t="s">
        <v>7640</v>
      </c>
      <c r="B4291" s="149" t="s">
        <v>2610</v>
      </c>
      <c r="C4291" s="149">
        <v>11</v>
      </c>
      <c r="D4291" s="149">
        <v>360</v>
      </c>
      <c r="E4291" s="149">
        <v>0</v>
      </c>
      <c r="F4291" s="149">
        <v>613000</v>
      </c>
      <c r="G4291" s="149">
        <v>55630</v>
      </c>
      <c r="H4291" s="150" t="str">
        <f t="shared" ref="H4291:H4354" si="201">LEFT(G4291,1)</f>
        <v>5</v>
      </c>
      <c r="I4291" s="150" t="str">
        <f t="shared" ref="I4291:I4354" si="202">LEFT(G4291,2)</f>
        <v>55</v>
      </c>
      <c r="J4291" s="150" t="str">
        <f t="shared" ref="J4291:J4354" si="203">LEFT(G4291,3)</f>
        <v>556</v>
      </c>
      <c r="K4291" s="150" t="s">
        <v>8253</v>
      </c>
      <c r="L4291" s="149" t="s">
        <v>2611</v>
      </c>
      <c r="M4291" s="151">
        <v>11.94</v>
      </c>
    </row>
    <row r="4292" spans="1:13" s="149" customFormat="1" x14ac:dyDescent="0.25">
      <c r="A4292" s="149" t="s">
        <v>7640</v>
      </c>
      <c r="B4292" s="149" t="s">
        <v>2612</v>
      </c>
      <c r="C4292" s="149">
        <v>11</v>
      </c>
      <c r="D4292" s="149">
        <v>360</v>
      </c>
      <c r="E4292" s="149">
        <v>0</v>
      </c>
      <c r="F4292" s="149">
        <v>613000</v>
      </c>
      <c r="G4292" s="149">
        <v>56300</v>
      </c>
      <c r="H4292" s="150" t="str">
        <f t="shared" si="201"/>
        <v>5</v>
      </c>
      <c r="I4292" s="150" t="str">
        <f t="shared" si="202"/>
        <v>56</v>
      </c>
      <c r="J4292" s="150" t="str">
        <f t="shared" si="203"/>
        <v>563</v>
      </c>
      <c r="K4292" s="150" t="s">
        <v>8362</v>
      </c>
      <c r="L4292" s="149" t="s">
        <v>2613</v>
      </c>
      <c r="M4292" s="151">
        <v>0</v>
      </c>
    </row>
    <row r="4293" spans="1:13" s="149" customFormat="1" x14ac:dyDescent="0.25">
      <c r="A4293" s="149" t="s">
        <v>7640</v>
      </c>
      <c r="B4293" s="149" t="s">
        <v>2614</v>
      </c>
      <c r="C4293" s="149">
        <v>11</v>
      </c>
      <c r="D4293" s="149">
        <v>360</v>
      </c>
      <c r="E4293" s="149">
        <v>0</v>
      </c>
      <c r="F4293" s="149">
        <v>613000</v>
      </c>
      <c r="G4293" s="149">
        <v>56400</v>
      </c>
      <c r="H4293" s="150" t="str">
        <f t="shared" si="201"/>
        <v>5</v>
      </c>
      <c r="I4293" s="150" t="str">
        <f t="shared" si="202"/>
        <v>56</v>
      </c>
      <c r="J4293" s="150" t="str">
        <f t="shared" si="203"/>
        <v>564</v>
      </c>
      <c r="K4293" s="150" t="s">
        <v>8379</v>
      </c>
      <c r="L4293" s="149" t="s">
        <v>2615</v>
      </c>
      <c r="M4293" s="151">
        <v>0</v>
      </c>
    </row>
    <row r="4294" spans="1:13" s="149" customFormat="1" x14ac:dyDescent="0.25">
      <c r="A4294" s="149" t="s">
        <v>7640</v>
      </c>
      <c r="B4294" s="149" t="s">
        <v>2616</v>
      </c>
      <c r="C4294" s="149">
        <v>11</v>
      </c>
      <c r="D4294" s="149">
        <v>365</v>
      </c>
      <c r="E4294" s="149">
        <v>0</v>
      </c>
      <c r="F4294" s="149">
        <v>493034</v>
      </c>
      <c r="G4294" s="149">
        <v>51311</v>
      </c>
      <c r="H4294" s="150" t="str">
        <f t="shared" si="201"/>
        <v>5</v>
      </c>
      <c r="I4294" s="150" t="str">
        <f t="shared" si="202"/>
        <v>51</v>
      </c>
      <c r="J4294" s="150" t="str">
        <f t="shared" si="203"/>
        <v>513</v>
      </c>
      <c r="K4294" s="150" t="s">
        <v>7764</v>
      </c>
      <c r="L4294" s="149" t="s">
        <v>2617</v>
      </c>
      <c r="M4294" s="151">
        <v>28.44</v>
      </c>
    </row>
    <row r="4295" spans="1:13" s="149" customFormat="1" x14ac:dyDescent="0.25">
      <c r="A4295" s="149" t="s">
        <v>7640</v>
      </c>
      <c r="B4295" s="149" t="s">
        <v>2618</v>
      </c>
      <c r="C4295" s="149">
        <v>11</v>
      </c>
      <c r="D4295" s="149">
        <v>365</v>
      </c>
      <c r="E4295" s="149">
        <v>0</v>
      </c>
      <c r="F4295" s="149">
        <v>493034</v>
      </c>
      <c r="G4295" s="149">
        <v>52350</v>
      </c>
      <c r="H4295" s="150" t="str">
        <f t="shared" si="201"/>
        <v>5</v>
      </c>
      <c r="I4295" s="150" t="str">
        <f t="shared" si="202"/>
        <v>52</v>
      </c>
      <c r="J4295" s="150" t="str">
        <f t="shared" si="203"/>
        <v>523</v>
      </c>
      <c r="K4295" s="150" t="s">
        <v>7857</v>
      </c>
      <c r="L4295" s="149" t="s">
        <v>2619</v>
      </c>
      <c r="M4295" s="151">
        <v>10760.63</v>
      </c>
    </row>
    <row r="4296" spans="1:13" s="149" customFormat="1" x14ac:dyDescent="0.25">
      <c r="A4296" s="149" t="s">
        <v>7640</v>
      </c>
      <c r="B4296" s="149" t="s">
        <v>2620</v>
      </c>
      <c r="C4296" s="149">
        <v>11</v>
      </c>
      <c r="D4296" s="149">
        <v>365</v>
      </c>
      <c r="E4296" s="149">
        <v>0</v>
      </c>
      <c r="F4296" s="149">
        <v>493034</v>
      </c>
      <c r="G4296" s="149">
        <v>52420</v>
      </c>
      <c r="H4296" s="150" t="str">
        <f t="shared" si="201"/>
        <v>5</v>
      </c>
      <c r="I4296" s="150" t="str">
        <f t="shared" si="202"/>
        <v>52</v>
      </c>
      <c r="J4296" s="150" t="str">
        <f t="shared" si="203"/>
        <v>524</v>
      </c>
      <c r="K4296" s="150" t="s">
        <v>7894</v>
      </c>
      <c r="L4296" s="149" t="s">
        <v>2621</v>
      </c>
      <c r="M4296" s="151">
        <v>0</v>
      </c>
    </row>
    <row r="4297" spans="1:13" s="149" customFormat="1" x14ac:dyDescent="0.25">
      <c r="A4297" s="149" t="s">
        <v>7640</v>
      </c>
      <c r="B4297" s="149" t="s">
        <v>2622</v>
      </c>
      <c r="C4297" s="149">
        <v>11</v>
      </c>
      <c r="D4297" s="149">
        <v>365</v>
      </c>
      <c r="E4297" s="149">
        <v>0</v>
      </c>
      <c r="F4297" s="149">
        <v>493034</v>
      </c>
      <c r="G4297" s="149">
        <v>53110</v>
      </c>
      <c r="H4297" s="150" t="str">
        <f t="shared" si="201"/>
        <v>5</v>
      </c>
      <c r="I4297" s="150" t="str">
        <f t="shared" si="202"/>
        <v>53</v>
      </c>
      <c r="J4297" s="150" t="str">
        <f t="shared" si="203"/>
        <v>531</v>
      </c>
      <c r="K4297" s="150" t="s">
        <v>9290</v>
      </c>
      <c r="L4297" s="149" t="s">
        <v>2623</v>
      </c>
      <c r="M4297" s="151">
        <v>0</v>
      </c>
    </row>
    <row r="4298" spans="1:13" s="149" customFormat="1" x14ac:dyDescent="0.25">
      <c r="A4298" s="149" t="s">
        <v>7640</v>
      </c>
      <c r="B4298" s="149" t="s">
        <v>2624</v>
      </c>
      <c r="C4298" s="149">
        <v>11</v>
      </c>
      <c r="D4298" s="149">
        <v>365</v>
      </c>
      <c r="E4298" s="149">
        <v>0</v>
      </c>
      <c r="F4298" s="149">
        <v>493034</v>
      </c>
      <c r="G4298" s="149">
        <v>53310</v>
      </c>
      <c r="H4298" s="150" t="str">
        <f t="shared" si="201"/>
        <v>5</v>
      </c>
      <c r="I4298" s="150" t="str">
        <f t="shared" si="202"/>
        <v>53</v>
      </c>
      <c r="J4298" s="150" t="str">
        <f t="shared" si="203"/>
        <v>533</v>
      </c>
      <c r="K4298" s="150" t="s">
        <v>9291</v>
      </c>
      <c r="L4298" s="149" t="s">
        <v>2625</v>
      </c>
      <c r="M4298" s="151">
        <v>1.76</v>
      </c>
    </row>
    <row r="4299" spans="1:13" s="149" customFormat="1" x14ac:dyDescent="0.25">
      <c r="A4299" s="149" t="s">
        <v>7640</v>
      </c>
      <c r="B4299" s="149" t="s">
        <v>2626</v>
      </c>
      <c r="C4299" s="149">
        <v>11</v>
      </c>
      <c r="D4299" s="149">
        <v>365</v>
      </c>
      <c r="E4299" s="149">
        <v>0</v>
      </c>
      <c r="F4299" s="149">
        <v>493034</v>
      </c>
      <c r="G4299" s="149">
        <v>53330</v>
      </c>
      <c r="H4299" s="150" t="str">
        <f t="shared" si="201"/>
        <v>5</v>
      </c>
      <c r="I4299" s="150" t="str">
        <f t="shared" si="202"/>
        <v>53</v>
      </c>
      <c r="J4299" s="150" t="str">
        <f t="shared" si="203"/>
        <v>533</v>
      </c>
      <c r="K4299" s="150" t="s">
        <v>9292</v>
      </c>
      <c r="L4299" s="149" t="s">
        <v>2627</v>
      </c>
      <c r="M4299" s="151">
        <v>0.41</v>
      </c>
    </row>
    <row r="4300" spans="1:13" s="149" customFormat="1" x14ac:dyDescent="0.25">
      <c r="A4300" s="149" t="s">
        <v>7640</v>
      </c>
      <c r="B4300" s="149" t="s">
        <v>2628</v>
      </c>
      <c r="C4300" s="149">
        <v>11</v>
      </c>
      <c r="D4300" s="149">
        <v>365</v>
      </c>
      <c r="E4300" s="149">
        <v>0</v>
      </c>
      <c r="F4300" s="149">
        <v>493034</v>
      </c>
      <c r="G4300" s="149">
        <v>53510</v>
      </c>
      <c r="H4300" s="150" t="str">
        <f t="shared" si="201"/>
        <v>5</v>
      </c>
      <c r="I4300" s="150" t="str">
        <f t="shared" si="202"/>
        <v>53</v>
      </c>
      <c r="J4300" s="150" t="str">
        <f t="shared" si="203"/>
        <v>535</v>
      </c>
      <c r="K4300" s="150" t="s">
        <v>9293</v>
      </c>
      <c r="L4300" s="149" t="s">
        <v>2629</v>
      </c>
      <c r="M4300" s="151">
        <v>0</v>
      </c>
    </row>
    <row r="4301" spans="1:13" s="149" customFormat="1" x14ac:dyDescent="0.25">
      <c r="A4301" s="149" t="s">
        <v>7640</v>
      </c>
      <c r="B4301" s="149" t="s">
        <v>2630</v>
      </c>
      <c r="C4301" s="149">
        <v>11</v>
      </c>
      <c r="D4301" s="149">
        <v>365</v>
      </c>
      <c r="E4301" s="149">
        <v>0</v>
      </c>
      <c r="F4301" s="149">
        <v>493034</v>
      </c>
      <c r="G4301" s="149">
        <v>53610</v>
      </c>
      <c r="H4301" s="150" t="str">
        <f t="shared" si="201"/>
        <v>5</v>
      </c>
      <c r="I4301" s="150" t="str">
        <f t="shared" si="202"/>
        <v>53</v>
      </c>
      <c r="J4301" s="150" t="str">
        <f t="shared" si="203"/>
        <v>536</v>
      </c>
      <c r="K4301" s="150" t="s">
        <v>9294</v>
      </c>
      <c r="L4301" s="149" t="s">
        <v>2631</v>
      </c>
      <c r="M4301" s="151">
        <v>0.54</v>
      </c>
    </row>
    <row r="4302" spans="1:13" s="149" customFormat="1" x14ac:dyDescent="0.25">
      <c r="A4302" s="149" t="s">
        <v>7640</v>
      </c>
      <c r="B4302" s="149" t="s">
        <v>2632</v>
      </c>
      <c r="C4302" s="149">
        <v>11</v>
      </c>
      <c r="D4302" s="149">
        <v>365</v>
      </c>
      <c r="E4302" s="149">
        <v>0</v>
      </c>
      <c r="F4302" s="149">
        <v>493034</v>
      </c>
      <c r="G4302" s="149">
        <v>53620</v>
      </c>
      <c r="H4302" s="150" t="str">
        <f t="shared" si="201"/>
        <v>5</v>
      </c>
      <c r="I4302" s="150" t="str">
        <f t="shared" si="202"/>
        <v>53</v>
      </c>
      <c r="J4302" s="150" t="str">
        <f t="shared" si="203"/>
        <v>536</v>
      </c>
      <c r="K4302" s="150" t="s">
        <v>9295</v>
      </c>
      <c r="L4302" s="149" t="s">
        <v>2633</v>
      </c>
      <c r="M4302" s="151">
        <v>203.45</v>
      </c>
    </row>
    <row r="4303" spans="1:13" s="149" customFormat="1" x14ac:dyDescent="0.25">
      <c r="A4303" s="149" t="s">
        <v>7640</v>
      </c>
      <c r="B4303" s="149" t="s">
        <v>2634</v>
      </c>
      <c r="C4303" s="149">
        <v>11</v>
      </c>
      <c r="D4303" s="149">
        <v>365</v>
      </c>
      <c r="E4303" s="149">
        <v>0</v>
      </c>
      <c r="F4303" s="149">
        <v>493034</v>
      </c>
      <c r="G4303" s="149">
        <v>55630</v>
      </c>
      <c r="H4303" s="150" t="str">
        <f t="shared" si="201"/>
        <v>5</v>
      </c>
      <c r="I4303" s="150" t="str">
        <f t="shared" si="202"/>
        <v>55</v>
      </c>
      <c r="J4303" s="150" t="str">
        <f t="shared" si="203"/>
        <v>556</v>
      </c>
      <c r="K4303" s="150" t="s">
        <v>8254</v>
      </c>
      <c r="L4303" s="149" t="s">
        <v>2635</v>
      </c>
      <c r="M4303" s="151">
        <v>0</v>
      </c>
    </row>
    <row r="4304" spans="1:13" s="149" customFormat="1" x14ac:dyDescent="0.25">
      <c r="A4304" s="149" t="s">
        <v>7640</v>
      </c>
      <c r="B4304" s="149" t="s">
        <v>2636</v>
      </c>
      <c r="C4304" s="149">
        <v>11</v>
      </c>
      <c r="D4304" s="149">
        <v>365</v>
      </c>
      <c r="E4304" s="149">
        <v>0</v>
      </c>
      <c r="F4304" s="149">
        <v>493035</v>
      </c>
      <c r="G4304" s="149">
        <v>52105</v>
      </c>
      <c r="H4304" s="150" t="str">
        <f t="shared" si="201"/>
        <v>5</v>
      </c>
      <c r="I4304" s="150" t="str">
        <f t="shared" si="202"/>
        <v>52</v>
      </c>
      <c r="J4304" s="150" t="str">
        <f t="shared" si="203"/>
        <v>521</v>
      </c>
      <c r="K4304" s="150" t="s">
        <v>9296</v>
      </c>
      <c r="L4304" s="149" t="s">
        <v>2637</v>
      </c>
      <c r="M4304" s="151">
        <v>61918.74</v>
      </c>
    </row>
    <row r="4305" spans="1:13" s="149" customFormat="1" x14ac:dyDescent="0.25">
      <c r="A4305" s="149" t="s">
        <v>7640</v>
      </c>
      <c r="B4305" s="149" t="s">
        <v>2638</v>
      </c>
      <c r="C4305" s="149">
        <v>11</v>
      </c>
      <c r="D4305" s="149">
        <v>365</v>
      </c>
      <c r="E4305" s="149">
        <v>0</v>
      </c>
      <c r="F4305" s="149">
        <v>493035</v>
      </c>
      <c r="G4305" s="149">
        <v>52350</v>
      </c>
      <c r="H4305" s="150" t="str">
        <f t="shared" si="201"/>
        <v>5</v>
      </c>
      <c r="I4305" s="150" t="str">
        <f t="shared" si="202"/>
        <v>52</v>
      </c>
      <c r="J4305" s="150" t="str">
        <f t="shared" si="203"/>
        <v>523</v>
      </c>
      <c r="K4305" s="150" t="s">
        <v>7858</v>
      </c>
      <c r="L4305" s="149" t="s">
        <v>2639</v>
      </c>
      <c r="M4305" s="151">
        <v>3482</v>
      </c>
    </row>
    <row r="4306" spans="1:13" s="149" customFormat="1" x14ac:dyDescent="0.25">
      <c r="A4306" s="149" t="s">
        <v>7640</v>
      </c>
      <c r="B4306" s="149" t="s">
        <v>2640</v>
      </c>
      <c r="C4306" s="149">
        <v>11</v>
      </c>
      <c r="D4306" s="149">
        <v>365</v>
      </c>
      <c r="E4306" s="149">
        <v>0</v>
      </c>
      <c r="F4306" s="149">
        <v>493035</v>
      </c>
      <c r="G4306" s="149">
        <v>52360</v>
      </c>
      <c r="H4306" s="150" t="str">
        <f t="shared" si="201"/>
        <v>5</v>
      </c>
      <c r="I4306" s="150" t="str">
        <f t="shared" si="202"/>
        <v>52</v>
      </c>
      <c r="J4306" s="150" t="str">
        <f t="shared" si="203"/>
        <v>523</v>
      </c>
      <c r="K4306" s="150" t="s">
        <v>7877</v>
      </c>
      <c r="L4306" s="149" t="s">
        <v>2641</v>
      </c>
      <c r="M4306" s="151">
        <v>0</v>
      </c>
    </row>
    <row r="4307" spans="1:13" s="149" customFormat="1" x14ac:dyDescent="0.25">
      <c r="A4307" s="149" t="s">
        <v>7640</v>
      </c>
      <c r="B4307" s="149" t="s">
        <v>2642</v>
      </c>
      <c r="C4307" s="149">
        <v>11</v>
      </c>
      <c r="D4307" s="149">
        <v>365</v>
      </c>
      <c r="E4307" s="149">
        <v>0</v>
      </c>
      <c r="F4307" s="149">
        <v>493035</v>
      </c>
      <c r="G4307" s="149">
        <v>53220</v>
      </c>
      <c r="H4307" s="150" t="str">
        <f t="shared" si="201"/>
        <v>5</v>
      </c>
      <c r="I4307" s="150" t="str">
        <f t="shared" si="202"/>
        <v>53</v>
      </c>
      <c r="J4307" s="150" t="str">
        <f t="shared" si="203"/>
        <v>532</v>
      </c>
      <c r="K4307" s="150" t="s">
        <v>9297</v>
      </c>
      <c r="L4307" s="149" t="s">
        <v>2643</v>
      </c>
      <c r="M4307" s="151">
        <v>12814.19</v>
      </c>
    </row>
    <row r="4308" spans="1:13" s="149" customFormat="1" x14ac:dyDescent="0.25">
      <c r="A4308" s="149" t="s">
        <v>7640</v>
      </c>
      <c r="B4308" s="149" t="s">
        <v>2644</v>
      </c>
      <c r="C4308" s="149">
        <v>11</v>
      </c>
      <c r="D4308" s="149">
        <v>365</v>
      </c>
      <c r="E4308" s="149">
        <v>0</v>
      </c>
      <c r="F4308" s="149">
        <v>493035</v>
      </c>
      <c r="G4308" s="149">
        <v>53320</v>
      </c>
      <c r="H4308" s="150" t="str">
        <f t="shared" si="201"/>
        <v>5</v>
      </c>
      <c r="I4308" s="150" t="str">
        <f t="shared" si="202"/>
        <v>53</v>
      </c>
      <c r="J4308" s="150" t="str">
        <f t="shared" si="203"/>
        <v>533</v>
      </c>
      <c r="K4308" s="150" t="s">
        <v>9298</v>
      </c>
      <c r="L4308" s="149" t="s">
        <v>2645</v>
      </c>
      <c r="M4308" s="151">
        <v>3806.69</v>
      </c>
    </row>
    <row r="4309" spans="1:13" s="149" customFormat="1" x14ac:dyDescent="0.25">
      <c r="A4309" s="149" t="s">
        <v>7640</v>
      </c>
      <c r="B4309" s="149" t="s">
        <v>2646</v>
      </c>
      <c r="C4309" s="149">
        <v>11</v>
      </c>
      <c r="D4309" s="149">
        <v>365</v>
      </c>
      <c r="E4309" s="149">
        <v>0</v>
      </c>
      <c r="F4309" s="149">
        <v>493035</v>
      </c>
      <c r="G4309" s="149">
        <v>53340</v>
      </c>
      <c r="H4309" s="150" t="str">
        <f t="shared" si="201"/>
        <v>5</v>
      </c>
      <c r="I4309" s="150" t="str">
        <f t="shared" si="202"/>
        <v>53</v>
      </c>
      <c r="J4309" s="150" t="str">
        <f t="shared" si="203"/>
        <v>533</v>
      </c>
      <c r="K4309" s="150" t="s">
        <v>9299</v>
      </c>
      <c r="L4309" s="149" t="s">
        <v>2647</v>
      </c>
      <c r="M4309" s="151">
        <v>890.24</v>
      </c>
    </row>
    <row r="4310" spans="1:13" s="149" customFormat="1" x14ac:dyDescent="0.25">
      <c r="A4310" s="149" t="s">
        <v>7640</v>
      </c>
      <c r="B4310" s="149" t="s">
        <v>2648</v>
      </c>
      <c r="C4310" s="149">
        <v>11</v>
      </c>
      <c r="D4310" s="149">
        <v>365</v>
      </c>
      <c r="E4310" s="149">
        <v>0</v>
      </c>
      <c r="F4310" s="149">
        <v>493035</v>
      </c>
      <c r="G4310" s="149">
        <v>53420</v>
      </c>
      <c r="H4310" s="150" t="str">
        <f t="shared" si="201"/>
        <v>5</v>
      </c>
      <c r="I4310" s="150" t="str">
        <f t="shared" si="202"/>
        <v>53</v>
      </c>
      <c r="J4310" s="150" t="str">
        <f t="shared" si="203"/>
        <v>534</v>
      </c>
      <c r="K4310" s="150" t="s">
        <v>9300</v>
      </c>
      <c r="L4310" s="149" t="s">
        <v>2649</v>
      </c>
      <c r="M4310" s="151">
        <v>20615.86</v>
      </c>
    </row>
    <row r="4311" spans="1:13" s="149" customFormat="1" x14ac:dyDescent="0.25">
      <c r="A4311" s="149" t="s">
        <v>7640</v>
      </c>
      <c r="B4311" s="149" t="s">
        <v>2650</v>
      </c>
      <c r="C4311" s="149">
        <v>11</v>
      </c>
      <c r="D4311" s="149">
        <v>365</v>
      </c>
      <c r="E4311" s="149">
        <v>0</v>
      </c>
      <c r="F4311" s="149">
        <v>493035</v>
      </c>
      <c r="G4311" s="149">
        <v>53520</v>
      </c>
      <c r="H4311" s="150" t="str">
        <f t="shared" si="201"/>
        <v>5</v>
      </c>
      <c r="I4311" s="150" t="str">
        <f t="shared" si="202"/>
        <v>53</v>
      </c>
      <c r="J4311" s="150" t="str">
        <f t="shared" si="203"/>
        <v>535</v>
      </c>
      <c r="K4311" s="150" t="s">
        <v>9301</v>
      </c>
      <c r="L4311" s="149" t="s">
        <v>2651</v>
      </c>
      <c r="M4311" s="151">
        <v>30.97</v>
      </c>
    </row>
    <row r="4312" spans="1:13" s="149" customFormat="1" x14ac:dyDescent="0.25">
      <c r="A4312" s="149" t="s">
        <v>7640</v>
      </c>
      <c r="B4312" s="149" t="s">
        <v>2652</v>
      </c>
      <c r="C4312" s="149">
        <v>11</v>
      </c>
      <c r="D4312" s="149">
        <v>365</v>
      </c>
      <c r="E4312" s="149">
        <v>0</v>
      </c>
      <c r="F4312" s="149">
        <v>493035</v>
      </c>
      <c r="G4312" s="149">
        <v>53620</v>
      </c>
      <c r="H4312" s="150" t="str">
        <f t="shared" si="201"/>
        <v>5</v>
      </c>
      <c r="I4312" s="150" t="str">
        <f t="shared" si="202"/>
        <v>53</v>
      </c>
      <c r="J4312" s="150" t="str">
        <f t="shared" si="203"/>
        <v>536</v>
      </c>
      <c r="K4312" s="150" t="s">
        <v>9302</v>
      </c>
      <c r="L4312" s="149" t="s">
        <v>2653</v>
      </c>
      <c r="M4312" s="151">
        <v>1239.22</v>
      </c>
    </row>
    <row r="4313" spans="1:13" s="149" customFormat="1" x14ac:dyDescent="0.25">
      <c r="A4313" s="149" t="s">
        <v>7640</v>
      </c>
      <c r="B4313" s="149" t="s">
        <v>2654</v>
      </c>
      <c r="C4313" s="149">
        <v>11</v>
      </c>
      <c r="D4313" s="149">
        <v>365</v>
      </c>
      <c r="E4313" s="149">
        <v>0</v>
      </c>
      <c r="F4313" s="149">
        <v>493035</v>
      </c>
      <c r="G4313" s="149">
        <v>54300</v>
      </c>
      <c r="H4313" s="150" t="str">
        <f t="shared" si="201"/>
        <v>5</v>
      </c>
      <c r="I4313" s="150" t="str">
        <f t="shared" si="202"/>
        <v>54</v>
      </c>
      <c r="J4313" s="150" t="str">
        <f t="shared" si="203"/>
        <v>543</v>
      </c>
      <c r="K4313" s="150" t="s">
        <v>7966</v>
      </c>
      <c r="L4313" s="149" t="s">
        <v>2655</v>
      </c>
      <c r="M4313" s="151">
        <v>18.48</v>
      </c>
    </row>
    <row r="4314" spans="1:13" s="149" customFormat="1" x14ac:dyDescent="0.25">
      <c r="A4314" s="149" t="s">
        <v>7640</v>
      </c>
      <c r="B4314" s="149" t="s">
        <v>2656</v>
      </c>
      <c r="C4314" s="149">
        <v>11</v>
      </c>
      <c r="D4314" s="149">
        <v>365</v>
      </c>
      <c r="E4314" s="149">
        <v>0</v>
      </c>
      <c r="F4314" s="149">
        <v>493035</v>
      </c>
      <c r="G4314" s="149">
        <v>55300</v>
      </c>
      <c r="H4314" s="150" t="str">
        <f t="shared" si="201"/>
        <v>5</v>
      </c>
      <c r="I4314" s="150" t="str">
        <f t="shared" si="202"/>
        <v>55</v>
      </c>
      <c r="J4314" s="150" t="str">
        <f t="shared" si="203"/>
        <v>553</v>
      </c>
      <c r="K4314" s="150" t="s">
        <v>8095</v>
      </c>
      <c r="L4314" s="149" t="s">
        <v>2657</v>
      </c>
      <c r="M4314" s="151">
        <v>75</v>
      </c>
    </row>
    <row r="4315" spans="1:13" s="149" customFormat="1" x14ac:dyDescent="0.25">
      <c r="A4315" s="149" t="s">
        <v>7640</v>
      </c>
      <c r="B4315" s="149" t="s">
        <v>2658</v>
      </c>
      <c r="C4315" s="149">
        <v>11</v>
      </c>
      <c r="D4315" s="149">
        <v>370</v>
      </c>
      <c r="E4315" s="149">
        <v>0</v>
      </c>
      <c r="F4315" s="149">
        <v>708300</v>
      </c>
      <c r="G4315" s="149">
        <v>52105</v>
      </c>
      <c r="H4315" s="150" t="str">
        <f t="shared" si="201"/>
        <v>5</v>
      </c>
      <c r="I4315" s="150" t="str">
        <f t="shared" si="202"/>
        <v>52</v>
      </c>
      <c r="J4315" s="150" t="str">
        <f t="shared" si="203"/>
        <v>521</v>
      </c>
      <c r="K4315" s="150" t="s">
        <v>9303</v>
      </c>
      <c r="L4315" s="149" t="s">
        <v>2659</v>
      </c>
      <c r="M4315" s="151">
        <v>13504.16</v>
      </c>
    </row>
    <row r="4316" spans="1:13" s="149" customFormat="1" x14ac:dyDescent="0.25">
      <c r="A4316" s="149" t="s">
        <v>7640</v>
      </c>
      <c r="B4316" s="149" t="s">
        <v>2660</v>
      </c>
      <c r="C4316" s="149">
        <v>11</v>
      </c>
      <c r="D4316" s="149">
        <v>370</v>
      </c>
      <c r="E4316" s="149">
        <v>0</v>
      </c>
      <c r="F4316" s="149">
        <v>708300</v>
      </c>
      <c r="G4316" s="149">
        <v>52130</v>
      </c>
      <c r="H4316" s="150" t="str">
        <f t="shared" si="201"/>
        <v>5</v>
      </c>
      <c r="I4316" s="150" t="str">
        <f t="shared" si="202"/>
        <v>52</v>
      </c>
      <c r="J4316" s="150" t="str">
        <f t="shared" si="203"/>
        <v>521</v>
      </c>
      <c r="K4316" s="150" t="s">
        <v>9304</v>
      </c>
      <c r="L4316" s="149" t="s">
        <v>2661</v>
      </c>
      <c r="M4316" s="151">
        <v>13899.24</v>
      </c>
    </row>
    <row r="4317" spans="1:13" s="149" customFormat="1" x14ac:dyDescent="0.25">
      <c r="A4317" s="149" t="s">
        <v>7640</v>
      </c>
      <c r="B4317" s="149" t="s">
        <v>9599</v>
      </c>
      <c r="C4317" s="149">
        <v>11</v>
      </c>
      <c r="D4317" s="149">
        <v>370</v>
      </c>
      <c r="E4317" s="149">
        <v>0</v>
      </c>
      <c r="F4317" s="149">
        <v>708300</v>
      </c>
      <c r="G4317" s="149">
        <v>52300</v>
      </c>
      <c r="H4317" s="150" t="str">
        <f t="shared" si="201"/>
        <v>5</v>
      </c>
      <c r="I4317" s="150" t="str">
        <f t="shared" si="202"/>
        <v>52</v>
      </c>
      <c r="J4317" s="150" t="str">
        <f t="shared" si="203"/>
        <v>523</v>
      </c>
      <c r="K4317" s="150" t="s">
        <v>7832</v>
      </c>
      <c r="L4317" s="149" t="s">
        <v>5273</v>
      </c>
      <c r="M4317" s="151">
        <v>1.27</v>
      </c>
    </row>
    <row r="4318" spans="1:13" s="149" customFormat="1" x14ac:dyDescent="0.25">
      <c r="A4318" s="149" t="s">
        <v>7640</v>
      </c>
      <c r="B4318" s="149" t="s">
        <v>2662</v>
      </c>
      <c r="C4318" s="149">
        <v>11</v>
      </c>
      <c r="D4318" s="149">
        <v>370</v>
      </c>
      <c r="E4318" s="149">
        <v>0</v>
      </c>
      <c r="F4318" s="149">
        <v>708300</v>
      </c>
      <c r="G4318" s="149">
        <v>52360</v>
      </c>
      <c r="H4318" s="150" t="str">
        <f t="shared" si="201"/>
        <v>5</v>
      </c>
      <c r="I4318" s="150" t="str">
        <f t="shared" si="202"/>
        <v>52</v>
      </c>
      <c r="J4318" s="150" t="str">
        <f t="shared" si="203"/>
        <v>523</v>
      </c>
      <c r="K4318" s="150" t="s">
        <v>7878</v>
      </c>
      <c r="L4318" s="149" t="s">
        <v>2663</v>
      </c>
      <c r="M4318" s="151">
        <v>7109.49</v>
      </c>
    </row>
    <row r="4319" spans="1:13" s="149" customFormat="1" x14ac:dyDescent="0.25">
      <c r="A4319" s="149" t="s">
        <v>7640</v>
      </c>
      <c r="B4319" s="149" t="s">
        <v>2664</v>
      </c>
      <c r="C4319" s="149">
        <v>11</v>
      </c>
      <c r="D4319" s="149">
        <v>370</v>
      </c>
      <c r="E4319" s="149">
        <v>0</v>
      </c>
      <c r="F4319" s="149">
        <v>708300</v>
      </c>
      <c r="G4319" s="149">
        <v>53220</v>
      </c>
      <c r="H4319" s="150" t="str">
        <f t="shared" si="201"/>
        <v>5</v>
      </c>
      <c r="I4319" s="150" t="str">
        <f t="shared" si="202"/>
        <v>53</v>
      </c>
      <c r="J4319" s="150" t="str">
        <f t="shared" si="203"/>
        <v>532</v>
      </c>
      <c r="K4319" s="150" t="s">
        <v>9305</v>
      </c>
      <c r="L4319" s="149" t="s">
        <v>2665</v>
      </c>
      <c r="M4319" s="151">
        <v>6298.88</v>
      </c>
    </row>
    <row r="4320" spans="1:13" s="149" customFormat="1" x14ac:dyDescent="0.25">
      <c r="A4320" s="149" t="s">
        <v>7640</v>
      </c>
      <c r="B4320" s="149" t="s">
        <v>2666</v>
      </c>
      <c r="C4320" s="149">
        <v>11</v>
      </c>
      <c r="D4320" s="149">
        <v>370</v>
      </c>
      <c r="E4320" s="149">
        <v>0</v>
      </c>
      <c r="F4320" s="149">
        <v>708300</v>
      </c>
      <c r="G4320" s="149">
        <v>53320</v>
      </c>
      <c r="H4320" s="150" t="str">
        <f t="shared" si="201"/>
        <v>5</v>
      </c>
      <c r="I4320" s="150" t="str">
        <f t="shared" si="202"/>
        <v>53</v>
      </c>
      <c r="J4320" s="150" t="str">
        <f t="shared" si="203"/>
        <v>533</v>
      </c>
      <c r="K4320" s="150" t="s">
        <v>9306</v>
      </c>
      <c r="L4320" s="149" t="s">
        <v>2667</v>
      </c>
      <c r="M4320" s="151">
        <v>2130.62</v>
      </c>
    </row>
    <row r="4321" spans="1:13" s="149" customFormat="1" x14ac:dyDescent="0.25">
      <c r="A4321" s="149" t="s">
        <v>7640</v>
      </c>
      <c r="B4321" s="149" t="s">
        <v>2668</v>
      </c>
      <c r="C4321" s="149">
        <v>11</v>
      </c>
      <c r="D4321" s="149">
        <v>370</v>
      </c>
      <c r="E4321" s="149">
        <v>0</v>
      </c>
      <c r="F4321" s="149">
        <v>708300</v>
      </c>
      <c r="G4321" s="149">
        <v>53340</v>
      </c>
      <c r="H4321" s="150" t="str">
        <f t="shared" si="201"/>
        <v>5</v>
      </c>
      <c r="I4321" s="150" t="str">
        <f t="shared" si="202"/>
        <v>53</v>
      </c>
      <c r="J4321" s="150" t="str">
        <f t="shared" si="203"/>
        <v>533</v>
      </c>
      <c r="K4321" s="150" t="s">
        <v>9307</v>
      </c>
      <c r="L4321" s="149" t="s">
        <v>2669</v>
      </c>
      <c r="M4321" s="151">
        <v>498.28</v>
      </c>
    </row>
    <row r="4322" spans="1:13" s="149" customFormat="1" x14ac:dyDescent="0.25">
      <c r="A4322" s="149" t="s">
        <v>7640</v>
      </c>
      <c r="B4322" s="149" t="s">
        <v>2670</v>
      </c>
      <c r="C4322" s="149">
        <v>11</v>
      </c>
      <c r="D4322" s="149">
        <v>370</v>
      </c>
      <c r="E4322" s="149">
        <v>0</v>
      </c>
      <c r="F4322" s="149">
        <v>708300</v>
      </c>
      <c r="G4322" s="149">
        <v>53420</v>
      </c>
      <c r="H4322" s="150" t="str">
        <f t="shared" si="201"/>
        <v>5</v>
      </c>
      <c r="I4322" s="150" t="str">
        <f t="shared" si="202"/>
        <v>53</v>
      </c>
      <c r="J4322" s="150" t="str">
        <f t="shared" si="203"/>
        <v>534</v>
      </c>
      <c r="K4322" s="150" t="s">
        <v>9308</v>
      </c>
      <c r="L4322" s="149" t="s">
        <v>2671</v>
      </c>
      <c r="M4322" s="151">
        <v>7638.7</v>
      </c>
    </row>
    <row r="4323" spans="1:13" s="149" customFormat="1" x14ac:dyDescent="0.25">
      <c r="A4323" s="149" t="s">
        <v>7640</v>
      </c>
      <c r="B4323" s="149" t="s">
        <v>2672</v>
      </c>
      <c r="C4323" s="149">
        <v>11</v>
      </c>
      <c r="D4323" s="149">
        <v>370</v>
      </c>
      <c r="E4323" s="149">
        <v>0</v>
      </c>
      <c r="F4323" s="149">
        <v>708300</v>
      </c>
      <c r="G4323" s="149">
        <v>53520</v>
      </c>
      <c r="H4323" s="150" t="str">
        <f t="shared" si="201"/>
        <v>5</v>
      </c>
      <c r="I4323" s="150" t="str">
        <f t="shared" si="202"/>
        <v>53</v>
      </c>
      <c r="J4323" s="150" t="str">
        <f t="shared" si="203"/>
        <v>535</v>
      </c>
      <c r="K4323" s="150" t="s">
        <v>9309</v>
      </c>
      <c r="L4323" s="149" t="s">
        <v>2673</v>
      </c>
      <c r="M4323" s="151">
        <v>17.25</v>
      </c>
    </row>
    <row r="4324" spans="1:13" s="149" customFormat="1" x14ac:dyDescent="0.25">
      <c r="A4324" s="149" t="s">
        <v>7640</v>
      </c>
      <c r="B4324" s="149" t="s">
        <v>2674</v>
      </c>
      <c r="C4324" s="149">
        <v>11</v>
      </c>
      <c r="D4324" s="149">
        <v>370</v>
      </c>
      <c r="E4324" s="149">
        <v>0</v>
      </c>
      <c r="F4324" s="149">
        <v>708300</v>
      </c>
      <c r="G4324" s="149">
        <v>53620</v>
      </c>
      <c r="H4324" s="150" t="str">
        <f t="shared" si="201"/>
        <v>5</v>
      </c>
      <c r="I4324" s="150" t="str">
        <f t="shared" si="202"/>
        <v>53</v>
      </c>
      <c r="J4324" s="150" t="str">
        <f t="shared" si="203"/>
        <v>536</v>
      </c>
      <c r="K4324" s="150" t="s">
        <v>9310</v>
      </c>
      <c r="L4324" s="149" t="s">
        <v>2675</v>
      </c>
      <c r="M4324" s="151">
        <v>664.96</v>
      </c>
    </row>
    <row r="4325" spans="1:13" s="149" customFormat="1" x14ac:dyDescent="0.25">
      <c r="A4325" s="149" t="s">
        <v>7640</v>
      </c>
      <c r="B4325" s="149" t="s">
        <v>2676</v>
      </c>
      <c r="C4325" s="149">
        <v>11</v>
      </c>
      <c r="D4325" s="149">
        <v>370</v>
      </c>
      <c r="E4325" s="149">
        <v>0</v>
      </c>
      <c r="F4325" s="149">
        <v>708300</v>
      </c>
      <c r="G4325" s="149">
        <v>54210</v>
      </c>
      <c r="H4325" s="150" t="str">
        <f t="shared" si="201"/>
        <v>5</v>
      </c>
      <c r="I4325" s="150" t="str">
        <f t="shared" si="202"/>
        <v>54</v>
      </c>
      <c r="J4325" s="150" t="str">
        <f t="shared" si="203"/>
        <v>542</v>
      </c>
      <c r="K4325" s="150" t="s">
        <v>7913</v>
      </c>
      <c r="L4325" s="149" t="s">
        <v>2677</v>
      </c>
      <c r="M4325" s="151">
        <v>0</v>
      </c>
    </row>
    <row r="4326" spans="1:13" s="149" customFormat="1" x14ac:dyDescent="0.25">
      <c r="A4326" s="149" t="s">
        <v>7640</v>
      </c>
      <c r="B4326" s="149" t="s">
        <v>2678</v>
      </c>
      <c r="C4326" s="149">
        <v>11</v>
      </c>
      <c r="D4326" s="149">
        <v>370</v>
      </c>
      <c r="E4326" s="149">
        <v>0</v>
      </c>
      <c r="F4326" s="149">
        <v>708300</v>
      </c>
      <c r="G4326" s="149">
        <v>54300</v>
      </c>
      <c r="H4326" s="150" t="str">
        <f t="shared" si="201"/>
        <v>5</v>
      </c>
      <c r="I4326" s="150" t="str">
        <f t="shared" si="202"/>
        <v>54</v>
      </c>
      <c r="J4326" s="150" t="str">
        <f t="shared" si="203"/>
        <v>543</v>
      </c>
      <c r="K4326" s="150" t="s">
        <v>7967</v>
      </c>
      <c r="L4326" s="149" t="s">
        <v>2679</v>
      </c>
      <c r="M4326" s="151">
        <v>2509.27</v>
      </c>
    </row>
    <row r="4327" spans="1:13" s="149" customFormat="1" x14ac:dyDescent="0.25">
      <c r="A4327" s="149" t="s">
        <v>7640</v>
      </c>
      <c r="B4327" s="149" t="s">
        <v>2680</v>
      </c>
      <c r="C4327" s="149">
        <v>11</v>
      </c>
      <c r="D4327" s="149">
        <v>370</v>
      </c>
      <c r="E4327" s="149">
        <v>0</v>
      </c>
      <c r="F4327" s="149">
        <v>708300</v>
      </c>
      <c r="G4327" s="149">
        <v>55100</v>
      </c>
      <c r="H4327" s="150" t="str">
        <f t="shared" si="201"/>
        <v>5</v>
      </c>
      <c r="I4327" s="150" t="str">
        <f t="shared" si="202"/>
        <v>55</v>
      </c>
      <c r="J4327" s="150" t="str">
        <f t="shared" si="203"/>
        <v>551</v>
      </c>
      <c r="K4327" s="150" t="s">
        <v>7998</v>
      </c>
      <c r="L4327" s="149" t="s">
        <v>2681</v>
      </c>
      <c r="M4327" s="151">
        <v>1050</v>
      </c>
    </row>
    <row r="4328" spans="1:13" s="149" customFormat="1" x14ac:dyDescent="0.25">
      <c r="A4328" s="149" t="s">
        <v>7640</v>
      </c>
      <c r="B4328" s="149" t="s">
        <v>2682</v>
      </c>
      <c r="C4328" s="149">
        <v>11</v>
      </c>
      <c r="D4328" s="149">
        <v>370</v>
      </c>
      <c r="E4328" s="149">
        <v>0</v>
      </c>
      <c r="F4328" s="149">
        <v>708300</v>
      </c>
      <c r="G4328" s="149">
        <v>55105</v>
      </c>
      <c r="H4328" s="150" t="str">
        <f t="shared" si="201"/>
        <v>5</v>
      </c>
      <c r="I4328" s="150" t="str">
        <f t="shared" si="202"/>
        <v>55</v>
      </c>
      <c r="J4328" s="150" t="str">
        <f t="shared" si="203"/>
        <v>551</v>
      </c>
      <c r="K4328" s="150" t="s">
        <v>8015</v>
      </c>
      <c r="L4328" s="149" t="s">
        <v>2683</v>
      </c>
      <c r="M4328" s="151">
        <v>105451.07</v>
      </c>
    </row>
    <row r="4329" spans="1:13" s="149" customFormat="1" x14ac:dyDescent="0.25">
      <c r="A4329" s="149" t="s">
        <v>7640</v>
      </c>
      <c r="B4329" s="149" t="s">
        <v>2684</v>
      </c>
      <c r="C4329" s="149">
        <v>11</v>
      </c>
      <c r="D4329" s="149">
        <v>370</v>
      </c>
      <c r="E4329" s="149">
        <v>0</v>
      </c>
      <c r="F4329" s="149">
        <v>708300</v>
      </c>
      <c r="G4329" s="149">
        <v>55200</v>
      </c>
      <c r="H4329" s="150" t="str">
        <f t="shared" si="201"/>
        <v>5</v>
      </c>
      <c r="I4329" s="150" t="str">
        <f t="shared" si="202"/>
        <v>55</v>
      </c>
      <c r="J4329" s="150" t="str">
        <f t="shared" si="203"/>
        <v>552</v>
      </c>
      <c r="K4329" s="150" t="s">
        <v>8060</v>
      </c>
      <c r="L4329" s="149" t="s">
        <v>2685</v>
      </c>
      <c r="M4329" s="151">
        <v>185.79</v>
      </c>
    </row>
    <row r="4330" spans="1:13" s="149" customFormat="1" x14ac:dyDescent="0.25">
      <c r="A4330" s="149" t="s">
        <v>7640</v>
      </c>
      <c r="B4330" s="149" t="s">
        <v>2686</v>
      </c>
      <c r="C4330" s="149">
        <v>11</v>
      </c>
      <c r="D4330" s="149">
        <v>370</v>
      </c>
      <c r="E4330" s="149">
        <v>0</v>
      </c>
      <c r="F4330" s="149">
        <v>708300</v>
      </c>
      <c r="G4330" s="149">
        <v>55600</v>
      </c>
      <c r="H4330" s="150" t="str">
        <f t="shared" si="201"/>
        <v>5</v>
      </c>
      <c r="I4330" s="150" t="str">
        <f t="shared" si="202"/>
        <v>55</v>
      </c>
      <c r="J4330" s="150" t="str">
        <f t="shared" si="203"/>
        <v>556</v>
      </c>
      <c r="K4330" s="150" t="s">
        <v>8153</v>
      </c>
      <c r="L4330" s="149" t="s">
        <v>2687</v>
      </c>
      <c r="M4330" s="151">
        <v>4147.6499999999996</v>
      </c>
    </row>
    <row r="4331" spans="1:13" s="149" customFormat="1" x14ac:dyDescent="0.25">
      <c r="A4331" s="149" t="s">
        <v>7640</v>
      </c>
      <c r="B4331" s="149" t="s">
        <v>2688</v>
      </c>
      <c r="C4331" s="149">
        <v>11</v>
      </c>
      <c r="D4331" s="149">
        <v>370</v>
      </c>
      <c r="E4331" s="149">
        <v>0</v>
      </c>
      <c r="F4331" s="149">
        <v>708300</v>
      </c>
      <c r="G4331" s="149">
        <v>55630</v>
      </c>
      <c r="H4331" s="150" t="str">
        <f t="shared" si="201"/>
        <v>5</v>
      </c>
      <c r="I4331" s="150" t="str">
        <f t="shared" si="202"/>
        <v>55</v>
      </c>
      <c r="J4331" s="150" t="str">
        <f t="shared" si="203"/>
        <v>556</v>
      </c>
      <c r="K4331" s="150" t="s">
        <v>8255</v>
      </c>
      <c r="L4331" s="149" t="s">
        <v>2689</v>
      </c>
      <c r="M4331" s="151">
        <v>175.99</v>
      </c>
    </row>
    <row r="4332" spans="1:13" s="149" customFormat="1" x14ac:dyDescent="0.25">
      <c r="A4332" s="149" t="s">
        <v>7640</v>
      </c>
      <c r="B4332" s="149" t="s">
        <v>2690</v>
      </c>
      <c r="C4332" s="149">
        <v>11</v>
      </c>
      <c r="D4332" s="149">
        <v>370</v>
      </c>
      <c r="E4332" s="149">
        <v>0</v>
      </c>
      <c r="F4332" s="149">
        <v>708300</v>
      </c>
      <c r="G4332" s="149">
        <v>55635</v>
      </c>
      <c r="H4332" s="150" t="str">
        <f t="shared" si="201"/>
        <v>5</v>
      </c>
      <c r="I4332" s="150" t="str">
        <f t="shared" si="202"/>
        <v>55</v>
      </c>
      <c r="J4332" s="150" t="str">
        <f t="shared" si="203"/>
        <v>556</v>
      </c>
      <c r="K4332" s="150" t="s">
        <v>8282</v>
      </c>
      <c r="L4332" s="149" t="s">
        <v>2691</v>
      </c>
      <c r="M4332" s="151">
        <v>50.26</v>
      </c>
    </row>
    <row r="4333" spans="1:13" s="149" customFormat="1" x14ac:dyDescent="0.25">
      <c r="A4333" s="149" t="s">
        <v>7640</v>
      </c>
      <c r="B4333" s="149" t="s">
        <v>9600</v>
      </c>
      <c r="C4333" s="149">
        <v>11</v>
      </c>
      <c r="D4333" s="149">
        <v>370</v>
      </c>
      <c r="E4333" s="149">
        <v>0</v>
      </c>
      <c r="F4333" s="149">
        <v>708300</v>
      </c>
      <c r="G4333" s="149">
        <v>55820</v>
      </c>
      <c r="H4333" s="150" t="str">
        <f t="shared" si="201"/>
        <v>5</v>
      </c>
      <c r="I4333" s="150" t="str">
        <f t="shared" si="202"/>
        <v>55</v>
      </c>
      <c r="J4333" s="150" t="str">
        <f t="shared" si="203"/>
        <v>558</v>
      </c>
      <c r="K4333" s="150" t="s">
        <v>8343</v>
      </c>
      <c r="L4333" s="149" t="s">
        <v>9601</v>
      </c>
      <c r="M4333" s="151">
        <v>124.18</v>
      </c>
    </row>
    <row r="4334" spans="1:13" s="149" customFormat="1" x14ac:dyDescent="0.25">
      <c r="A4334" s="149" t="s">
        <v>7640</v>
      </c>
      <c r="B4334" s="149" t="s">
        <v>2692</v>
      </c>
      <c r="C4334" s="149">
        <v>11</v>
      </c>
      <c r="D4334" s="149">
        <v>370</v>
      </c>
      <c r="E4334" s="149">
        <v>0</v>
      </c>
      <c r="F4334" s="149">
        <v>708300</v>
      </c>
      <c r="G4334" s="149">
        <v>57350</v>
      </c>
      <c r="H4334" s="150" t="str">
        <f t="shared" si="201"/>
        <v>5</v>
      </c>
      <c r="I4334" s="150" t="str">
        <f t="shared" si="202"/>
        <v>57</v>
      </c>
      <c r="J4334" s="150" t="str">
        <f t="shared" si="203"/>
        <v>573</v>
      </c>
      <c r="K4334" s="150" t="s">
        <v>8390</v>
      </c>
      <c r="L4334" s="149" t="s">
        <v>2693</v>
      </c>
      <c r="M4334" s="151">
        <v>28383.66</v>
      </c>
    </row>
    <row r="4335" spans="1:13" s="149" customFormat="1" x14ac:dyDescent="0.25">
      <c r="A4335" s="149" t="s">
        <v>7640</v>
      </c>
      <c r="B4335" s="149" t="s">
        <v>2694</v>
      </c>
      <c r="C4335" s="149">
        <v>11</v>
      </c>
      <c r="D4335" s="149">
        <v>372</v>
      </c>
      <c r="E4335" s="149">
        <v>0</v>
      </c>
      <c r="F4335" s="149">
        <v>601000</v>
      </c>
      <c r="G4335" s="149">
        <v>51412</v>
      </c>
      <c r="H4335" s="150" t="str">
        <f t="shared" si="201"/>
        <v>5</v>
      </c>
      <c r="I4335" s="150" t="str">
        <f t="shared" si="202"/>
        <v>51</v>
      </c>
      <c r="J4335" s="150" t="str">
        <f t="shared" si="203"/>
        <v>514</v>
      </c>
      <c r="K4335" s="150" t="s">
        <v>7801</v>
      </c>
      <c r="L4335" s="149" t="s">
        <v>479</v>
      </c>
      <c r="M4335" s="151">
        <v>0</v>
      </c>
    </row>
    <row r="4336" spans="1:13" s="149" customFormat="1" x14ac:dyDescent="0.25">
      <c r="A4336" s="149" t="s">
        <v>7640</v>
      </c>
      <c r="B4336" s="149" t="s">
        <v>2695</v>
      </c>
      <c r="C4336" s="149">
        <v>11</v>
      </c>
      <c r="D4336" s="149">
        <v>372</v>
      </c>
      <c r="E4336" s="149">
        <v>0</v>
      </c>
      <c r="F4336" s="149">
        <v>601000</v>
      </c>
      <c r="G4336" s="149">
        <v>53120</v>
      </c>
      <c r="H4336" s="150" t="str">
        <f t="shared" si="201"/>
        <v>5</v>
      </c>
      <c r="I4336" s="150" t="str">
        <f t="shared" si="202"/>
        <v>53</v>
      </c>
      <c r="J4336" s="150" t="str">
        <f t="shared" si="203"/>
        <v>531</v>
      </c>
      <c r="K4336" s="150" t="s">
        <v>9311</v>
      </c>
      <c r="L4336" s="149" t="s">
        <v>485</v>
      </c>
      <c r="M4336" s="151">
        <v>0</v>
      </c>
    </row>
    <row r="4337" spans="1:13" s="149" customFormat="1" x14ac:dyDescent="0.25">
      <c r="A4337" s="149" t="s">
        <v>7640</v>
      </c>
      <c r="B4337" s="149" t="s">
        <v>2696</v>
      </c>
      <c r="C4337" s="149">
        <v>11</v>
      </c>
      <c r="D4337" s="149">
        <v>372</v>
      </c>
      <c r="E4337" s="149">
        <v>0</v>
      </c>
      <c r="F4337" s="149">
        <v>601000</v>
      </c>
      <c r="G4337" s="149">
        <v>53340</v>
      </c>
      <c r="H4337" s="150" t="str">
        <f t="shared" si="201"/>
        <v>5</v>
      </c>
      <c r="I4337" s="150" t="str">
        <f t="shared" si="202"/>
        <v>53</v>
      </c>
      <c r="J4337" s="150" t="str">
        <f t="shared" si="203"/>
        <v>533</v>
      </c>
      <c r="K4337" s="150" t="s">
        <v>9312</v>
      </c>
      <c r="L4337" s="149" t="s">
        <v>491</v>
      </c>
      <c r="M4337" s="151">
        <v>0</v>
      </c>
    </row>
    <row r="4338" spans="1:13" s="149" customFormat="1" x14ac:dyDescent="0.25">
      <c r="A4338" s="149" t="s">
        <v>7640</v>
      </c>
      <c r="B4338" s="149" t="s">
        <v>2697</v>
      </c>
      <c r="C4338" s="149">
        <v>11</v>
      </c>
      <c r="D4338" s="149">
        <v>372</v>
      </c>
      <c r="E4338" s="149">
        <v>0</v>
      </c>
      <c r="F4338" s="149">
        <v>601000</v>
      </c>
      <c r="G4338" s="149">
        <v>53520</v>
      </c>
      <c r="H4338" s="150" t="str">
        <f t="shared" si="201"/>
        <v>5</v>
      </c>
      <c r="I4338" s="150" t="str">
        <f t="shared" si="202"/>
        <v>53</v>
      </c>
      <c r="J4338" s="150" t="str">
        <f t="shared" si="203"/>
        <v>535</v>
      </c>
      <c r="K4338" s="150" t="s">
        <v>9313</v>
      </c>
      <c r="L4338" s="149" t="s">
        <v>495</v>
      </c>
      <c r="M4338" s="151">
        <v>0</v>
      </c>
    </row>
    <row r="4339" spans="1:13" s="149" customFormat="1" x14ac:dyDescent="0.25">
      <c r="A4339" s="149" t="s">
        <v>7640</v>
      </c>
      <c r="B4339" s="149" t="s">
        <v>2698</v>
      </c>
      <c r="C4339" s="149">
        <v>11</v>
      </c>
      <c r="D4339" s="149">
        <v>372</v>
      </c>
      <c r="E4339" s="149">
        <v>0</v>
      </c>
      <c r="F4339" s="149">
        <v>601000</v>
      </c>
      <c r="G4339" s="149">
        <v>53620</v>
      </c>
      <c r="H4339" s="150" t="str">
        <f t="shared" si="201"/>
        <v>5</v>
      </c>
      <c r="I4339" s="150" t="str">
        <f t="shared" si="202"/>
        <v>53</v>
      </c>
      <c r="J4339" s="150" t="str">
        <f t="shared" si="203"/>
        <v>536</v>
      </c>
      <c r="K4339" s="150" t="s">
        <v>9314</v>
      </c>
      <c r="L4339" s="149" t="s">
        <v>497</v>
      </c>
      <c r="M4339" s="151">
        <v>0</v>
      </c>
    </row>
    <row r="4340" spans="1:13" s="149" customFormat="1" x14ac:dyDescent="0.25">
      <c r="A4340" s="149" t="s">
        <v>7640</v>
      </c>
      <c r="B4340" s="149" t="s">
        <v>2699</v>
      </c>
      <c r="C4340" s="149">
        <v>11</v>
      </c>
      <c r="D4340" s="149">
        <v>372</v>
      </c>
      <c r="E4340" s="149">
        <v>0</v>
      </c>
      <c r="F4340" s="149">
        <v>601000</v>
      </c>
      <c r="G4340" s="149">
        <v>54300</v>
      </c>
      <c r="H4340" s="150" t="str">
        <f t="shared" si="201"/>
        <v>5</v>
      </c>
      <c r="I4340" s="150" t="str">
        <f t="shared" si="202"/>
        <v>54</v>
      </c>
      <c r="J4340" s="150" t="str">
        <f t="shared" si="203"/>
        <v>543</v>
      </c>
      <c r="K4340" s="150" t="s">
        <v>7968</v>
      </c>
      <c r="L4340" s="149" t="s">
        <v>501</v>
      </c>
      <c r="M4340" s="151">
        <v>2387.29</v>
      </c>
    </row>
    <row r="4341" spans="1:13" s="149" customFormat="1" x14ac:dyDescent="0.25">
      <c r="A4341" s="149" t="s">
        <v>7640</v>
      </c>
      <c r="B4341" s="149" t="s">
        <v>2700</v>
      </c>
      <c r="C4341" s="149">
        <v>11</v>
      </c>
      <c r="D4341" s="149">
        <v>372</v>
      </c>
      <c r="E4341" s="149">
        <v>0</v>
      </c>
      <c r="F4341" s="149">
        <v>601000</v>
      </c>
      <c r="G4341" s="149">
        <v>55200</v>
      </c>
      <c r="H4341" s="150" t="str">
        <f t="shared" si="201"/>
        <v>5</v>
      </c>
      <c r="I4341" s="150" t="str">
        <f t="shared" si="202"/>
        <v>55</v>
      </c>
      <c r="J4341" s="150" t="str">
        <f t="shared" si="203"/>
        <v>552</v>
      </c>
      <c r="K4341" s="150" t="s">
        <v>8061</v>
      </c>
      <c r="L4341" s="149" t="s">
        <v>505</v>
      </c>
      <c r="M4341" s="151">
        <v>1296</v>
      </c>
    </row>
    <row r="4342" spans="1:13" s="149" customFormat="1" x14ac:dyDescent="0.25">
      <c r="A4342" s="149" t="s">
        <v>7640</v>
      </c>
      <c r="B4342" s="149" t="s">
        <v>2701</v>
      </c>
      <c r="C4342" s="149">
        <v>11</v>
      </c>
      <c r="D4342" s="149">
        <v>372</v>
      </c>
      <c r="E4342" s="149">
        <v>0</v>
      </c>
      <c r="F4342" s="149">
        <v>601000</v>
      </c>
      <c r="G4342" s="149">
        <v>55821</v>
      </c>
      <c r="H4342" s="150" t="str">
        <f t="shared" si="201"/>
        <v>5</v>
      </c>
      <c r="I4342" s="150" t="str">
        <f t="shared" si="202"/>
        <v>55</v>
      </c>
      <c r="J4342" s="150" t="str">
        <f t="shared" si="203"/>
        <v>558</v>
      </c>
      <c r="K4342" s="150" t="s">
        <v>8345</v>
      </c>
      <c r="L4342" s="149" t="s">
        <v>2702</v>
      </c>
      <c r="M4342" s="151">
        <v>439.91</v>
      </c>
    </row>
    <row r="4343" spans="1:13" s="149" customFormat="1" x14ac:dyDescent="0.25">
      <c r="A4343" s="149" t="s">
        <v>7640</v>
      </c>
      <c r="B4343" s="149" t="s">
        <v>2703</v>
      </c>
      <c r="C4343" s="149">
        <v>11</v>
      </c>
      <c r="D4343" s="149">
        <v>372</v>
      </c>
      <c r="E4343" s="149">
        <v>0</v>
      </c>
      <c r="F4343" s="149">
        <v>601000</v>
      </c>
      <c r="G4343" s="149">
        <v>56400</v>
      </c>
      <c r="H4343" s="150" t="str">
        <f t="shared" si="201"/>
        <v>5</v>
      </c>
      <c r="I4343" s="150" t="str">
        <f t="shared" si="202"/>
        <v>56</v>
      </c>
      <c r="J4343" s="150" t="str">
        <f t="shared" si="203"/>
        <v>564</v>
      </c>
      <c r="K4343" s="150" t="s">
        <v>8380</v>
      </c>
      <c r="L4343" s="149" t="s">
        <v>515</v>
      </c>
      <c r="M4343" s="151">
        <v>367.94</v>
      </c>
    </row>
    <row r="4344" spans="1:13" s="149" customFormat="1" x14ac:dyDescent="0.25">
      <c r="A4344" s="149" t="s">
        <v>7640</v>
      </c>
      <c r="B4344" s="149" t="s">
        <v>2704</v>
      </c>
      <c r="C4344" s="149">
        <v>11</v>
      </c>
      <c r="D4344" s="149">
        <v>373</v>
      </c>
      <c r="E4344" s="149">
        <v>0</v>
      </c>
      <c r="F4344" s="149">
        <v>601000</v>
      </c>
      <c r="G4344" s="149">
        <v>51210</v>
      </c>
      <c r="H4344" s="150" t="str">
        <f t="shared" si="201"/>
        <v>5</v>
      </c>
      <c r="I4344" s="150" t="str">
        <f t="shared" si="202"/>
        <v>51</v>
      </c>
      <c r="J4344" s="150" t="str">
        <f t="shared" si="203"/>
        <v>512</v>
      </c>
      <c r="K4344" s="150" t="s">
        <v>9315</v>
      </c>
      <c r="L4344" s="149" t="s">
        <v>477</v>
      </c>
      <c r="M4344" s="151">
        <v>0</v>
      </c>
    </row>
    <row r="4345" spans="1:13" s="149" customFormat="1" x14ac:dyDescent="0.25">
      <c r="A4345" s="149" t="s">
        <v>7640</v>
      </c>
      <c r="B4345" s="149" t="s">
        <v>2705</v>
      </c>
      <c r="C4345" s="149">
        <v>11</v>
      </c>
      <c r="D4345" s="149">
        <v>373</v>
      </c>
      <c r="E4345" s="149">
        <v>0</v>
      </c>
      <c r="F4345" s="149">
        <v>601000</v>
      </c>
      <c r="G4345" s="149">
        <v>52105</v>
      </c>
      <c r="H4345" s="150" t="str">
        <f t="shared" si="201"/>
        <v>5</v>
      </c>
      <c r="I4345" s="150" t="str">
        <f t="shared" si="202"/>
        <v>52</v>
      </c>
      <c r="J4345" s="150" t="str">
        <f t="shared" si="203"/>
        <v>521</v>
      </c>
      <c r="K4345" s="150" t="s">
        <v>9316</v>
      </c>
      <c r="L4345" s="149" t="s">
        <v>481</v>
      </c>
      <c r="M4345" s="151">
        <v>0</v>
      </c>
    </row>
    <row r="4346" spans="1:13" s="149" customFormat="1" x14ac:dyDescent="0.25">
      <c r="A4346" s="149" t="s">
        <v>7640</v>
      </c>
      <c r="B4346" s="149" t="s">
        <v>2706</v>
      </c>
      <c r="C4346" s="149">
        <v>11</v>
      </c>
      <c r="D4346" s="149">
        <v>373</v>
      </c>
      <c r="E4346" s="149">
        <v>0</v>
      </c>
      <c r="F4346" s="149">
        <v>601000</v>
      </c>
      <c r="G4346" s="149">
        <v>53120</v>
      </c>
      <c r="H4346" s="150" t="str">
        <f t="shared" si="201"/>
        <v>5</v>
      </c>
      <c r="I4346" s="150" t="str">
        <f t="shared" si="202"/>
        <v>53</v>
      </c>
      <c r="J4346" s="150" t="str">
        <f t="shared" si="203"/>
        <v>531</v>
      </c>
      <c r="K4346" s="150" t="s">
        <v>9317</v>
      </c>
      <c r="L4346" s="149" t="s">
        <v>485</v>
      </c>
      <c r="M4346" s="151">
        <v>0</v>
      </c>
    </row>
    <row r="4347" spans="1:13" s="149" customFormat="1" x14ac:dyDescent="0.25">
      <c r="A4347" s="149" t="s">
        <v>7640</v>
      </c>
      <c r="B4347" s="149" t="s">
        <v>2707</v>
      </c>
      <c r="C4347" s="149">
        <v>11</v>
      </c>
      <c r="D4347" s="149">
        <v>373</v>
      </c>
      <c r="E4347" s="149">
        <v>0</v>
      </c>
      <c r="F4347" s="149">
        <v>601000</v>
      </c>
      <c r="G4347" s="149">
        <v>53220</v>
      </c>
      <c r="H4347" s="150" t="str">
        <f t="shared" si="201"/>
        <v>5</v>
      </c>
      <c r="I4347" s="150" t="str">
        <f t="shared" si="202"/>
        <v>53</v>
      </c>
      <c r="J4347" s="150" t="str">
        <f t="shared" si="203"/>
        <v>532</v>
      </c>
      <c r="K4347" s="150" t="s">
        <v>9318</v>
      </c>
      <c r="L4347" s="149" t="s">
        <v>487</v>
      </c>
      <c r="M4347" s="151">
        <v>0</v>
      </c>
    </row>
    <row r="4348" spans="1:13" s="149" customFormat="1" x14ac:dyDescent="0.25">
      <c r="A4348" s="149" t="s">
        <v>7640</v>
      </c>
      <c r="B4348" s="149" t="s">
        <v>2708</v>
      </c>
      <c r="C4348" s="149">
        <v>11</v>
      </c>
      <c r="D4348" s="149">
        <v>373</v>
      </c>
      <c r="E4348" s="149">
        <v>0</v>
      </c>
      <c r="F4348" s="149">
        <v>601000</v>
      </c>
      <c r="G4348" s="149">
        <v>53320</v>
      </c>
      <c r="H4348" s="150" t="str">
        <f t="shared" si="201"/>
        <v>5</v>
      </c>
      <c r="I4348" s="150" t="str">
        <f t="shared" si="202"/>
        <v>53</v>
      </c>
      <c r="J4348" s="150" t="str">
        <f t="shared" si="203"/>
        <v>533</v>
      </c>
      <c r="K4348" s="150" t="s">
        <v>9319</v>
      </c>
      <c r="L4348" s="149" t="s">
        <v>489</v>
      </c>
      <c r="M4348" s="151">
        <v>0</v>
      </c>
    </row>
    <row r="4349" spans="1:13" s="149" customFormat="1" x14ac:dyDescent="0.25">
      <c r="A4349" s="149" t="s">
        <v>7640</v>
      </c>
      <c r="B4349" s="149" t="s">
        <v>2709</v>
      </c>
      <c r="C4349" s="149">
        <v>11</v>
      </c>
      <c r="D4349" s="149">
        <v>373</v>
      </c>
      <c r="E4349" s="149">
        <v>0</v>
      </c>
      <c r="F4349" s="149">
        <v>601000</v>
      </c>
      <c r="G4349" s="149">
        <v>53340</v>
      </c>
      <c r="H4349" s="150" t="str">
        <f t="shared" si="201"/>
        <v>5</v>
      </c>
      <c r="I4349" s="150" t="str">
        <f t="shared" si="202"/>
        <v>53</v>
      </c>
      <c r="J4349" s="150" t="str">
        <f t="shared" si="203"/>
        <v>533</v>
      </c>
      <c r="K4349" s="150" t="s">
        <v>9320</v>
      </c>
      <c r="L4349" s="149" t="s">
        <v>491</v>
      </c>
      <c r="M4349" s="151">
        <v>0</v>
      </c>
    </row>
    <row r="4350" spans="1:13" s="149" customFormat="1" x14ac:dyDescent="0.25">
      <c r="A4350" s="149" t="s">
        <v>7640</v>
      </c>
      <c r="B4350" s="149" t="s">
        <v>2710</v>
      </c>
      <c r="C4350" s="149">
        <v>11</v>
      </c>
      <c r="D4350" s="149">
        <v>373</v>
      </c>
      <c r="E4350" s="149">
        <v>0</v>
      </c>
      <c r="F4350" s="149">
        <v>601000</v>
      </c>
      <c r="G4350" s="149">
        <v>53420</v>
      </c>
      <c r="H4350" s="150" t="str">
        <f t="shared" si="201"/>
        <v>5</v>
      </c>
      <c r="I4350" s="150" t="str">
        <f t="shared" si="202"/>
        <v>53</v>
      </c>
      <c r="J4350" s="150" t="str">
        <f t="shared" si="203"/>
        <v>534</v>
      </c>
      <c r="K4350" s="150" t="s">
        <v>9321</v>
      </c>
      <c r="L4350" s="149" t="s">
        <v>493</v>
      </c>
      <c r="M4350" s="151">
        <v>0</v>
      </c>
    </row>
    <row r="4351" spans="1:13" s="149" customFormat="1" x14ac:dyDescent="0.25">
      <c r="A4351" s="149" t="s">
        <v>7640</v>
      </c>
      <c r="B4351" s="149" t="s">
        <v>2711</v>
      </c>
      <c r="C4351" s="149">
        <v>11</v>
      </c>
      <c r="D4351" s="149">
        <v>373</v>
      </c>
      <c r="E4351" s="149">
        <v>0</v>
      </c>
      <c r="F4351" s="149">
        <v>601000</v>
      </c>
      <c r="G4351" s="149">
        <v>53520</v>
      </c>
      <c r="H4351" s="150" t="str">
        <f t="shared" si="201"/>
        <v>5</v>
      </c>
      <c r="I4351" s="150" t="str">
        <f t="shared" si="202"/>
        <v>53</v>
      </c>
      <c r="J4351" s="150" t="str">
        <f t="shared" si="203"/>
        <v>535</v>
      </c>
      <c r="K4351" s="150" t="s">
        <v>9322</v>
      </c>
      <c r="L4351" s="149" t="s">
        <v>495</v>
      </c>
      <c r="M4351" s="151">
        <v>0</v>
      </c>
    </row>
    <row r="4352" spans="1:13" s="149" customFormat="1" x14ac:dyDescent="0.25">
      <c r="A4352" s="149" t="s">
        <v>7640</v>
      </c>
      <c r="B4352" s="149" t="s">
        <v>2712</v>
      </c>
      <c r="C4352" s="149">
        <v>11</v>
      </c>
      <c r="D4352" s="149">
        <v>373</v>
      </c>
      <c r="E4352" s="149">
        <v>0</v>
      </c>
      <c r="F4352" s="149">
        <v>601000</v>
      </c>
      <c r="G4352" s="149">
        <v>53620</v>
      </c>
      <c r="H4352" s="150" t="str">
        <f t="shared" si="201"/>
        <v>5</v>
      </c>
      <c r="I4352" s="150" t="str">
        <f t="shared" si="202"/>
        <v>53</v>
      </c>
      <c r="J4352" s="150" t="str">
        <f t="shared" si="203"/>
        <v>536</v>
      </c>
      <c r="K4352" s="150" t="s">
        <v>9323</v>
      </c>
      <c r="L4352" s="149" t="s">
        <v>497</v>
      </c>
      <c r="M4352" s="151">
        <v>0</v>
      </c>
    </row>
    <row r="4353" spans="1:13" s="149" customFormat="1" x14ac:dyDescent="0.25">
      <c r="A4353" s="149" t="s">
        <v>7640</v>
      </c>
      <c r="B4353" s="149" t="s">
        <v>2713</v>
      </c>
      <c r="C4353" s="149">
        <v>11</v>
      </c>
      <c r="D4353" s="149">
        <v>373</v>
      </c>
      <c r="E4353" s="149">
        <v>0</v>
      </c>
      <c r="F4353" s="149">
        <v>601000</v>
      </c>
      <c r="G4353" s="149">
        <v>53920</v>
      </c>
      <c r="H4353" s="150" t="str">
        <f t="shared" si="201"/>
        <v>5</v>
      </c>
      <c r="I4353" s="150" t="str">
        <f t="shared" si="202"/>
        <v>53</v>
      </c>
      <c r="J4353" s="150" t="str">
        <f t="shared" si="203"/>
        <v>539</v>
      </c>
      <c r="K4353" s="150" t="s">
        <v>9324</v>
      </c>
      <c r="L4353" s="149" t="s">
        <v>499</v>
      </c>
      <c r="M4353" s="151">
        <v>0</v>
      </c>
    </row>
    <row r="4354" spans="1:13" s="149" customFormat="1" x14ac:dyDescent="0.25">
      <c r="A4354" s="149" t="s">
        <v>7640</v>
      </c>
      <c r="B4354" s="149" t="s">
        <v>2714</v>
      </c>
      <c r="C4354" s="149">
        <v>11</v>
      </c>
      <c r="D4354" s="149">
        <v>375</v>
      </c>
      <c r="E4354" s="149">
        <v>0</v>
      </c>
      <c r="F4354" s="149">
        <v>85000</v>
      </c>
      <c r="G4354" s="149">
        <v>51311</v>
      </c>
      <c r="H4354" s="150" t="str">
        <f t="shared" si="201"/>
        <v>5</v>
      </c>
      <c r="I4354" s="150" t="str">
        <f t="shared" si="202"/>
        <v>51</v>
      </c>
      <c r="J4354" s="150" t="str">
        <f t="shared" si="203"/>
        <v>513</v>
      </c>
      <c r="K4354" s="150" t="s">
        <v>7765</v>
      </c>
      <c r="L4354" s="149" t="s">
        <v>2715</v>
      </c>
      <c r="M4354" s="151">
        <v>31184.81</v>
      </c>
    </row>
    <row r="4355" spans="1:13" s="149" customFormat="1" x14ac:dyDescent="0.25">
      <c r="A4355" s="149" t="s">
        <v>7640</v>
      </c>
      <c r="B4355" s="149" t="s">
        <v>2716</v>
      </c>
      <c r="C4355" s="149">
        <v>11</v>
      </c>
      <c r="D4355" s="149">
        <v>375</v>
      </c>
      <c r="E4355" s="149">
        <v>0</v>
      </c>
      <c r="F4355" s="149">
        <v>85000</v>
      </c>
      <c r="G4355" s="149">
        <v>51412</v>
      </c>
      <c r="H4355" s="150" t="str">
        <f t="shared" ref="H4355:H4418" si="204">LEFT(G4355,1)</f>
        <v>5</v>
      </c>
      <c r="I4355" s="150" t="str">
        <f t="shared" ref="I4355:I4418" si="205">LEFT(G4355,2)</f>
        <v>51</v>
      </c>
      <c r="J4355" s="150" t="str">
        <f t="shared" ref="J4355:J4418" si="206">LEFT(G4355,3)</f>
        <v>514</v>
      </c>
      <c r="K4355" s="150" t="s">
        <v>7802</v>
      </c>
      <c r="L4355" s="149" t="s">
        <v>2717</v>
      </c>
      <c r="M4355" s="151">
        <v>63.35</v>
      </c>
    </row>
    <row r="4356" spans="1:13" s="149" customFormat="1" x14ac:dyDescent="0.25">
      <c r="A4356" s="149" t="s">
        <v>7640</v>
      </c>
      <c r="B4356" s="149" t="s">
        <v>2718</v>
      </c>
      <c r="C4356" s="149">
        <v>11</v>
      </c>
      <c r="D4356" s="149">
        <v>375</v>
      </c>
      <c r="E4356" s="149">
        <v>0</v>
      </c>
      <c r="F4356" s="149">
        <v>85000</v>
      </c>
      <c r="G4356" s="149">
        <v>53110</v>
      </c>
      <c r="H4356" s="150" t="str">
        <f t="shared" si="204"/>
        <v>5</v>
      </c>
      <c r="I4356" s="150" t="str">
        <f t="shared" si="205"/>
        <v>53</v>
      </c>
      <c r="J4356" s="150" t="str">
        <f t="shared" si="206"/>
        <v>531</v>
      </c>
      <c r="K4356" s="150" t="s">
        <v>9325</v>
      </c>
      <c r="L4356" s="149" t="s">
        <v>2719</v>
      </c>
      <c r="M4356" s="151">
        <v>5036.3999999999996</v>
      </c>
    </row>
    <row r="4357" spans="1:13" s="149" customFormat="1" x14ac:dyDescent="0.25">
      <c r="A4357" s="149" t="s">
        <v>7640</v>
      </c>
      <c r="B4357" s="149" t="s">
        <v>2720</v>
      </c>
      <c r="C4357" s="149">
        <v>11</v>
      </c>
      <c r="D4357" s="149">
        <v>375</v>
      </c>
      <c r="E4357" s="149">
        <v>0</v>
      </c>
      <c r="F4357" s="149">
        <v>85000</v>
      </c>
      <c r="G4357" s="149">
        <v>53120</v>
      </c>
      <c r="H4357" s="150" t="str">
        <f t="shared" si="204"/>
        <v>5</v>
      </c>
      <c r="I4357" s="150" t="str">
        <f t="shared" si="205"/>
        <v>53</v>
      </c>
      <c r="J4357" s="150" t="str">
        <f t="shared" si="206"/>
        <v>531</v>
      </c>
      <c r="K4357" s="150" t="s">
        <v>9326</v>
      </c>
      <c r="L4357" s="149" t="s">
        <v>2721</v>
      </c>
      <c r="M4357" s="151">
        <v>10.23</v>
      </c>
    </row>
    <row r="4358" spans="1:13" s="149" customFormat="1" x14ac:dyDescent="0.25">
      <c r="A4358" s="149" t="s">
        <v>7640</v>
      </c>
      <c r="B4358" s="149" t="s">
        <v>2722</v>
      </c>
      <c r="C4358" s="149">
        <v>11</v>
      </c>
      <c r="D4358" s="149">
        <v>375</v>
      </c>
      <c r="E4358" s="149">
        <v>0</v>
      </c>
      <c r="F4358" s="149">
        <v>85000</v>
      </c>
      <c r="G4358" s="149">
        <v>53330</v>
      </c>
      <c r="H4358" s="150" t="str">
        <f t="shared" si="204"/>
        <v>5</v>
      </c>
      <c r="I4358" s="150" t="str">
        <f t="shared" si="205"/>
        <v>53</v>
      </c>
      <c r="J4358" s="150" t="str">
        <f t="shared" si="206"/>
        <v>533</v>
      </c>
      <c r="K4358" s="150" t="s">
        <v>9327</v>
      </c>
      <c r="L4358" s="149" t="s">
        <v>2723</v>
      </c>
      <c r="M4358" s="151">
        <v>452.19</v>
      </c>
    </row>
    <row r="4359" spans="1:13" s="149" customFormat="1" x14ac:dyDescent="0.25">
      <c r="A4359" s="149" t="s">
        <v>7640</v>
      </c>
      <c r="B4359" s="149" t="s">
        <v>2724</v>
      </c>
      <c r="C4359" s="149">
        <v>11</v>
      </c>
      <c r="D4359" s="149">
        <v>375</v>
      </c>
      <c r="E4359" s="149">
        <v>0</v>
      </c>
      <c r="F4359" s="149">
        <v>85000</v>
      </c>
      <c r="G4359" s="149">
        <v>53340</v>
      </c>
      <c r="H4359" s="150" t="str">
        <f t="shared" si="204"/>
        <v>5</v>
      </c>
      <c r="I4359" s="150" t="str">
        <f t="shared" si="205"/>
        <v>53</v>
      </c>
      <c r="J4359" s="150" t="str">
        <f t="shared" si="206"/>
        <v>533</v>
      </c>
      <c r="K4359" s="150" t="s">
        <v>9328</v>
      </c>
      <c r="L4359" s="149" t="s">
        <v>2725</v>
      </c>
      <c r="M4359" s="151">
        <v>0.92</v>
      </c>
    </row>
    <row r="4360" spans="1:13" s="149" customFormat="1" x14ac:dyDescent="0.25">
      <c r="A4360" s="149" t="s">
        <v>7640</v>
      </c>
      <c r="B4360" s="149" t="s">
        <v>2726</v>
      </c>
      <c r="C4360" s="149">
        <v>11</v>
      </c>
      <c r="D4360" s="149">
        <v>375</v>
      </c>
      <c r="E4360" s="149">
        <v>0</v>
      </c>
      <c r="F4360" s="149">
        <v>85000</v>
      </c>
      <c r="G4360" s="149">
        <v>53510</v>
      </c>
      <c r="H4360" s="150" t="str">
        <f t="shared" si="204"/>
        <v>5</v>
      </c>
      <c r="I4360" s="150" t="str">
        <f t="shared" si="205"/>
        <v>53</v>
      </c>
      <c r="J4360" s="150" t="str">
        <f t="shared" si="206"/>
        <v>535</v>
      </c>
      <c r="K4360" s="150" t="s">
        <v>9329</v>
      </c>
      <c r="L4360" s="149" t="s">
        <v>2727</v>
      </c>
      <c r="M4360" s="151">
        <v>15.56</v>
      </c>
    </row>
    <row r="4361" spans="1:13" s="149" customFormat="1" x14ac:dyDescent="0.25">
      <c r="A4361" s="149" t="s">
        <v>7640</v>
      </c>
      <c r="B4361" s="149" t="s">
        <v>2728</v>
      </c>
      <c r="C4361" s="149">
        <v>11</v>
      </c>
      <c r="D4361" s="149">
        <v>375</v>
      </c>
      <c r="E4361" s="149">
        <v>0</v>
      </c>
      <c r="F4361" s="149">
        <v>85000</v>
      </c>
      <c r="G4361" s="149">
        <v>53520</v>
      </c>
      <c r="H4361" s="150" t="str">
        <f t="shared" si="204"/>
        <v>5</v>
      </c>
      <c r="I4361" s="150" t="str">
        <f t="shared" si="205"/>
        <v>53</v>
      </c>
      <c r="J4361" s="150" t="str">
        <f t="shared" si="206"/>
        <v>535</v>
      </c>
      <c r="K4361" s="150" t="s">
        <v>9330</v>
      </c>
      <c r="L4361" s="149" t="s">
        <v>2729</v>
      </c>
      <c r="M4361" s="151">
        <v>0.03</v>
      </c>
    </row>
    <row r="4362" spans="1:13" s="149" customFormat="1" x14ac:dyDescent="0.25">
      <c r="A4362" s="149" t="s">
        <v>7640</v>
      </c>
      <c r="B4362" s="149" t="s">
        <v>2730</v>
      </c>
      <c r="C4362" s="149">
        <v>11</v>
      </c>
      <c r="D4362" s="149">
        <v>375</v>
      </c>
      <c r="E4362" s="149">
        <v>0</v>
      </c>
      <c r="F4362" s="149">
        <v>85000</v>
      </c>
      <c r="G4362" s="149">
        <v>53610</v>
      </c>
      <c r="H4362" s="150" t="str">
        <f t="shared" si="204"/>
        <v>5</v>
      </c>
      <c r="I4362" s="150" t="str">
        <f t="shared" si="205"/>
        <v>53</v>
      </c>
      <c r="J4362" s="150" t="str">
        <f t="shared" si="206"/>
        <v>536</v>
      </c>
      <c r="K4362" s="150" t="s">
        <v>9331</v>
      </c>
      <c r="L4362" s="149" t="s">
        <v>2731</v>
      </c>
      <c r="M4362" s="151">
        <v>589.62</v>
      </c>
    </row>
    <row r="4363" spans="1:13" s="149" customFormat="1" x14ac:dyDescent="0.25">
      <c r="A4363" s="149" t="s">
        <v>7640</v>
      </c>
      <c r="B4363" s="149" t="s">
        <v>2732</v>
      </c>
      <c r="C4363" s="149">
        <v>11</v>
      </c>
      <c r="D4363" s="149">
        <v>375</v>
      </c>
      <c r="E4363" s="149">
        <v>0</v>
      </c>
      <c r="F4363" s="149">
        <v>85000</v>
      </c>
      <c r="G4363" s="149">
        <v>53620</v>
      </c>
      <c r="H4363" s="150" t="str">
        <f t="shared" si="204"/>
        <v>5</v>
      </c>
      <c r="I4363" s="150" t="str">
        <f t="shared" si="205"/>
        <v>53</v>
      </c>
      <c r="J4363" s="150" t="str">
        <f t="shared" si="206"/>
        <v>536</v>
      </c>
      <c r="K4363" s="150" t="s">
        <v>9332</v>
      </c>
      <c r="L4363" s="149" t="s">
        <v>2733</v>
      </c>
      <c r="M4363" s="151">
        <v>1.2</v>
      </c>
    </row>
    <row r="4364" spans="1:13" s="149" customFormat="1" x14ac:dyDescent="0.25">
      <c r="A4364" s="149" t="s">
        <v>7640</v>
      </c>
      <c r="B4364" s="149" t="s">
        <v>2734</v>
      </c>
      <c r="C4364" s="149">
        <v>11</v>
      </c>
      <c r="D4364" s="149">
        <v>375</v>
      </c>
      <c r="E4364" s="149">
        <v>0</v>
      </c>
      <c r="F4364" s="149">
        <v>85000</v>
      </c>
      <c r="G4364" s="149">
        <v>55105</v>
      </c>
      <c r="H4364" s="150" t="str">
        <f t="shared" si="204"/>
        <v>5</v>
      </c>
      <c r="I4364" s="150" t="str">
        <f t="shared" si="205"/>
        <v>55</v>
      </c>
      <c r="J4364" s="150" t="str">
        <f t="shared" si="206"/>
        <v>551</v>
      </c>
      <c r="K4364" s="150" t="s">
        <v>8016</v>
      </c>
      <c r="L4364" s="149" t="s">
        <v>2735</v>
      </c>
      <c r="M4364" s="151">
        <v>0</v>
      </c>
    </row>
    <row r="4365" spans="1:13" s="149" customFormat="1" x14ac:dyDescent="0.25">
      <c r="A4365" s="149" t="s">
        <v>7640</v>
      </c>
      <c r="B4365" s="149" t="s">
        <v>2736</v>
      </c>
      <c r="C4365" s="149">
        <v>11</v>
      </c>
      <c r="D4365" s="149">
        <v>375</v>
      </c>
      <c r="E4365" s="149">
        <v>0</v>
      </c>
      <c r="F4365" s="149">
        <v>110500</v>
      </c>
      <c r="G4365" s="149">
        <v>51100</v>
      </c>
      <c r="H4365" s="150" t="str">
        <f t="shared" si="204"/>
        <v>5</v>
      </c>
      <c r="I4365" s="150" t="str">
        <f t="shared" si="205"/>
        <v>51</v>
      </c>
      <c r="J4365" s="150" t="str">
        <f t="shared" si="206"/>
        <v>511</v>
      </c>
      <c r="K4365" s="150" t="s">
        <v>9333</v>
      </c>
      <c r="L4365" s="149" t="s">
        <v>2737</v>
      </c>
      <c r="M4365" s="151">
        <v>152329.76999999999</v>
      </c>
    </row>
    <row r="4366" spans="1:13" s="149" customFormat="1" x14ac:dyDescent="0.25">
      <c r="A4366" s="149" t="s">
        <v>7640</v>
      </c>
      <c r="B4366" s="149" t="s">
        <v>2738</v>
      </c>
      <c r="C4366" s="149">
        <v>11</v>
      </c>
      <c r="D4366" s="149">
        <v>375</v>
      </c>
      <c r="E4366" s="149">
        <v>0</v>
      </c>
      <c r="F4366" s="149">
        <v>110500</v>
      </c>
      <c r="G4366" s="149">
        <v>51310</v>
      </c>
      <c r="H4366" s="150" t="str">
        <f t="shared" si="204"/>
        <v>5</v>
      </c>
      <c r="I4366" s="150" t="str">
        <f t="shared" si="205"/>
        <v>51</v>
      </c>
      <c r="J4366" s="150" t="str">
        <f t="shared" si="206"/>
        <v>513</v>
      </c>
      <c r="K4366" s="150" t="s">
        <v>7686</v>
      </c>
      <c r="L4366" s="149" t="s">
        <v>2739</v>
      </c>
      <c r="M4366" s="151">
        <v>1432.26</v>
      </c>
    </row>
    <row r="4367" spans="1:13" s="149" customFormat="1" x14ac:dyDescent="0.25">
      <c r="A4367" s="149" t="s">
        <v>7640</v>
      </c>
      <c r="B4367" s="149" t="s">
        <v>2740</v>
      </c>
      <c r="C4367" s="149">
        <v>11</v>
      </c>
      <c r="D4367" s="149">
        <v>375</v>
      </c>
      <c r="E4367" s="149">
        <v>0</v>
      </c>
      <c r="F4367" s="149">
        <v>110500</v>
      </c>
      <c r="G4367" s="149">
        <v>51311</v>
      </c>
      <c r="H4367" s="150" t="str">
        <f t="shared" si="204"/>
        <v>5</v>
      </c>
      <c r="I4367" s="150" t="str">
        <f t="shared" si="205"/>
        <v>51</v>
      </c>
      <c r="J4367" s="150" t="str">
        <f t="shared" si="206"/>
        <v>513</v>
      </c>
      <c r="K4367" s="150" t="s">
        <v>7766</v>
      </c>
      <c r="L4367" s="149" t="s">
        <v>281</v>
      </c>
      <c r="M4367" s="151">
        <v>155405.46</v>
      </c>
    </row>
    <row r="4368" spans="1:13" s="149" customFormat="1" x14ac:dyDescent="0.25">
      <c r="A4368" s="149" t="s">
        <v>7640</v>
      </c>
      <c r="B4368" s="149" t="s">
        <v>2741</v>
      </c>
      <c r="C4368" s="149">
        <v>11</v>
      </c>
      <c r="D4368" s="149">
        <v>375</v>
      </c>
      <c r="E4368" s="149">
        <v>0</v>
      </c>
      <c r="F4368" s="149">
        <v>110500</v>
      </c>
      <c r="G4368" s="149">
        <v>53110</v>
      </c>
      <c r="H4368" s="150" t="str">
        <f t="shared" si="204"/>
        <v>5</v>
      </c>
      <c r="I4368" s="150" t="str">
        <f t="shared" si="205"/>
        <v>53</v>
      </c>
      <c r="J4368" s="150" t="str">
        <f t="shared" si="206"/>
        <v>531</v>
      </c>
      <c r="K4368" s="150" t="s">
        <v>9334</v>
      </c>
      <c r="L4368" s="149" t="s">
        <v>283</v>
      </c>
      <c r="M4368" s="151">
        <v>43400.54</v>
      </c>
    </row>
    <row r="4369" spans="1:13" s="149" customFormat="1" x14ac:dyDescent="0.25">
      <c r="A4369" s="149" t="s">
        <v>7640</v>
      </c>
      <c r="B4369" s="149" t="s">
        <v>2742</v>
      </c>
      <c r="C4369" s="149">
        <v>11</v>
      </c>
      <c r="D4369" s="149">
        <v>375</v>
      </c>
      <c r="E4369" s="149">
        <v>0</v>
      </c>
      <c r="F4369" s="149">
        <v>110500</v>
      </c>
      <c r="G4369" s="149">
        <v>53310</v>
      </c>
      <c r="H4369" s="150" t="str">
        <f t="shared" si="204"/>
        <v>5</v>
      </c>
      <c r="I4369" s="150" t="str">
        <f t="shared" si="205"/>
        <v>53</v>
      </c>
      <c r="J4369" s="150" t="str">
        <f t="shared" si="206"/>
        <v>533</v>
      </c>
      <c r="K4369" s="150" t="s">
        <v>9335</v>
      </c>
      <c r="L4369" s="149" t="s">
        <v>2743</v>
      </c>
      <c r="M4369" s="151">
        <v>1955.85</v>
      </c>
    </row>
    <row r="4370" spans="1:13" s="149" customFormat="1" x14ac:dyDescent="0.25">
      <c r="A4370" s="149" t="s">
        <v>7640</v>
      </c>
      <c r="B4370" s="149" t="s">
        <v>2744</v>
      </c>
      <c r="C4370" s="149">
        <v>11</v>
      </c>
      <c r="D4370" s="149">
        <v>375</v>
      </c>
      <c r="E4370" s="149">
        <v>0</v>
      </c>
      <c r="F4370" s="149">
        <v>110500</v>
      </c>
      <c r="G4370" s="149">
        <v>53330</v>
      </c>
      <c r="H4370" s="150" t="str">
        <f t="shared" si="204"/>
        <v>5</v>
      </c>
      <c r="I4370" s="150" t="str">
        <f t="shared" si="205"/>
        <v>53</v>
      </c>
      <c r="J4370" s="150" t="str">
        <f t="shared" si="206"/>
        <v>533</v>
      </c>
      <c r="K4370" s="150" t="s">
        <v>9336</v>
      </c>
      <c r="L4370" s="149" t="s">
        <v>285</v>
      </c>
      <c r="M4370" s="151">
        <v>4471.95</v>
      </c>
    </row>
    <row r="4371" spans="1:13" s="149" customFormat="1" x14ac:dyDescent="0.25">
      <c r="A4371" s="149" t="s">
        <v>7640</v>
      </c>
      <c r="B4371" s="149" t="s">
        <v>2745</v>
      </c>
      <c r="C4371" s="149">
        <v>11</v>
      </c>
      <c r="D4371" s="149">
        <v>375</v>
      </c>
      <c r="E4371" s="149">
        <v>0</v>
      </c>
      <c r="F4371" s="149">
        <v>110500</v>
      </c>
      <c r="G4371" s="149">
        <v>53410</v>
      </c>
      <c r="H4371" s="150" t="str">
        <f t="shared" si="204"/>
        <v>5</v>
      </c>
      <c r="I4371" s="150" t="str">
        <f t="shared" si="205"/>
        <v>53</v>
      </c>
      <c r="J4371" s="150" t="str">
        <f t="shared" si="206"/>
        <v>534</v>
      </c>
      <c r="K4371" s="150" t="s">
        <v>9337</v>
      </c>
      <c r="L4371" s="149" t="s">
        <v>2746</v>
      </c>
      <c r="M4371" s="151">
        <v>37235.760000000002</v>
      </c>
    </row>
    <row r="4372" spans="1:13" s="149" customFormat="1" x14ac:dyDescent="0.25">
      <c r="A4372" s="149" t="s">
        <v>7640</v>
      </c>
      <c r="B4372" s="149" t="s">
        <v>2747</v>
      </c>
      <c r="C4372" s="149">
        <v>11</v>
      </c>
      <c r="D4372" s="149">
        <v>375</v>
      </c>
      <c r="E4372" s="149">
        <v>0</v>
      </c>
      <c r="F4372" s="149">
        <v>110500</v>
      </c>
      <c r="G4372" s="149">
        <v>53510</v>
      </c>
      <c r="H4372" s="150" t="str">
        <f t="shared" si="204"/>
        <v>5</v>
      </c>
      <c r="I4372" s="150" t="str">
        <f t="shared" si="205"/>
        <v>53</v>
      </c>
      <c r="J4372" s="150" t="str">
        <f t="shared" si="206"/>
        <v>535</v>
      </c>
      <c r="K4372" s="150" t="s">
        <v>9338</v>
      </c>
      <c r="L4372" s="149" t="s">
        <v>287</v>
      </c>
      <c r="M4372" s="151">
        <v>154.52000000000001</v>
      </c>
    </row>
    <row r="4373" spans="1:13" s="149" customFormat="1" x14ac:dyDescent="0.25">
      <c r="A4373" s="149" t="s">
        <v>7640</v>
      </c>
      <c r="B4373" s="149" t="s">
        <v>2748</v>
      </c>
      <c r="C4373" s="149">
        <v>11</v>
      </c>
      <c r="D4373" s="149">
        <v>375</v>
      </c>
      <c r="E4373" s="149">
        <v>0</v>
      </c>
      <c r="F4373" s="149">
        <v>110500</v>
      </c>
      <c r="G4373" s="149">
        <v>53610</v>
      </c>
      <c r="H4373" s="150" t="str">
        <f t="shared" si="204"/>
        <v>5</v>
      </c>
      <c r="I4373" s="150" t="str">
        <f t="shared" si="205"/>
        <v>53</v>
      </c>
      <c r="J4373" s="150" t="str">
        <f t="shared" si="206"/>
        <v>536</v>
      </c>
      <c r="K4373" s="150" t="s">
        <v>9339</v>
      </c>
      <c r="L4373" s="149" t="s">
        <v>289</v>
      </c>
      <c r="M4373" s="151">
        <v>5845.75</v>
      </c>
    </row>
    <row r="4374" spans="1:13" s="149" customFormat="1" x14ac:dyDescent="0.25">
      <c r="A4374" s="149" t="s">
        <v>7640</v>
      </c>
      <c r="B4374" s="149" t="s">
        <v>2749</v>
      </c>
      <c r="C4374" s="149">
        <v>11</v>
      </c>
      <c r="D4374" s="149">
        <v>375</v>
      </c>
      <c r="E4374" s="149">
        <v>0</v>
      </c>
      <c r="F4374" s="149">
        <v>110500</v>
      </c>
      <c r="G4374" s="149">
        <v>54300</v>
      </c>
      <c r="H4374" s="150" t="str">
        <f t="shared" si="204"/>
        <v>5</v>
      </c>
      <c r="I4374" s="150" t="str">
        <f t="shared" si="205"/>
        <v>54</v>
      </c>
      <c r="J4374" s="150" t="str">
        <f t="shared" si="206"/>
        <v>543</v>
      </c>
      <c r="K4374" s="150" t="s">
        <v>7969</v>
      </c>
      <c r="L4374" s="149" t="s">
        <v>2750</v>
      </c>
      <c r="M4374" s="151">
        <v>0</v>
      </c>
    </row>
    <row r="4375" spans="1:13" s="149" customFormat="1" x14ac:dyDescent="0.25">
      <c r="A4375" s="149" t="s">
        <v>7640</v>
      </c>
      <c r="B4375" s="149" t="s">
        <v>2751</v>
      </c>
      <c r="C4375" s="149">
        <v>11</v>
      </c>
      <c r="D4375" s="149">
        <v>375</v>
      </c>
      <c r="E4375" s="149">
        <v>0</v>
      </c>
      <c r="F4375" s="149">
        <v>110500</v>
      </c>
      <c r="G4375" s="149">
        <v>55630</v>
      </c>
      <c r="H4375" s="150" t="str">
        <f t="shared" si="204"/>
        <v>5</v>
      </c>
      <c r="I4375" s="150" t="str">
        <f t="shared" si="205"/>
        <v>55</v>
      </c>
      <c r="J4375" s="150" t="str">
        <f t="shared" si="206"/>
        <v>556</v>
      </c>
      <c r="K4375" s="150" t="s">
        <v>8256</v>
      </c>
      <c r="L4375" s="149" t="s">
        <v>2752</v>
      </c>
      <c r="M4375" s="151">
        <v>0</v>
      </c>
    </row>
    <row r="4376" spans="1:13" s="149" customFormat="1" x14ac:dyDescent="0.25">
      <c r="A4376" s="149" t="s">
        <v>7640</v>
      </c>
      <c r="B4376" s="149" t="s">
        <v>2753</v>
      </c>
      <c r="C4376" s="149">
        <v>11</v>
      </c>
      <c r="D4376" s="149">
        <v>375</v>
      </c>
      <c r="E4376" s="149">
        <v>0</v>
      </c>
      <c r="F4376" s="149">
        <v>150100</v>
      </c>
      <c r="G4376" s="149">
        <v>51100</v>
      </c>
      <c r="H4376" s="150" t="str">
        <f t="shared" si="204"/>
        <v>5</v>
      </c>
      <c r="I4376" s="150" t="str">
        <f t="shared" si="205"/>
        <v>51</v>
      </c>
      <c r="J4376" s="150" t="str">
        <f t="shared" si="206"/>
        <v>511</v>
      </c>
      <c r="K4376" s="150" t="s">
        <v>9340</v>
      </c>
      <c r="L4376" s="149" t="s">
        <v>2754</v>
      </c>
      <c r="M4376" s="151">
        <v>1038998.91</v>
      </c>
    </row>
    <row r="4377" spans="1:13" s="149" customFormat="1" x14ac:dyDescent="0.25">
      <c r="A4377" s="149" t="s">
        <v>7640</v>
      </c>
      <c r="B4377" s="149" t="s">
        <v>2755</v>
      </c>
      <c r="C4377" s="149">
        <v>11</v>
      </c>
      <c r="D4377" s="149">
        <v>375</v>
      </c>
      <c r="E4377" s="149">
        <v>0</v>
      </c>
      <c r="F4377" s="149">
        <v>150100</v>
      </c>
      <c r="G4377" s="149">
        <v>51310</v>
      </c>
      <c r="H4377" s="150" t="str">
        <f t="shared" si="204"/>
        <v>5</v>
      </c>
      <c r="I4377" s="150" t="str">
        <f t="shared" si="205"/>
        <v>51</v>
      </c>
      <c r="J4377" s="150" t="str">
        <f t="shared" si="206"/>
        <v>513</v>
      </c>
      <c r="K4377" s="150" t="s">
        <v>7687</v>
      </c>
      <c r="L4377" s="149" t="s">
        <v>2756</v>
      </c>
      <c r="M4377" s="151">
        <v>50980.49</v>
      </c>
    </row>
    <row r="4378" spans="1:13" s="149" customFormat="1" x14ac:dyDescent="0.25">
      <c r="A4378" s="149" t="s">
        <v>7640</v>
      </c>
      <c r="B4378" s="149" t="s">
        <v>2757</v>
      </c>
      <c r="C4378" s="149">
        <v>11</v>
      </c>
      <c r="D4378" s="149">
        <v>375</v>
      </c>
      <c r="E4378" s="149">
        <v>0</v>
      </c>
      <c r="F4378" s="149">
        <v>150100</v>
      </c>
      <c r="G4378" s="149">
        <v>51311</v>
      </c>
      <c r="H4378" s="150" t="str">
        <f t="shared" si="204"/>
        <v>5</v>
      </c>
      <c r="I4378" s="150" t="str">
        <f t="shared" si="205"/>
        <v>51</v>
      </c>
      <c r="J4378" s="150" t="str">
        <f t="shared" si="206"/>
        <v>513</v>
      </c>
      <c r="K4378" s="150" t="s">
        <v>7767</v>
      </c>
      <c r="L4378" s="149" t="s">
        <v>303</v>
      </c>
      <c r="M4378" s="151">
        <v>148597.1</v>
      </c>
    </row>
    <row r="4379" spans="1:13" s="149" customFormat="1" x14ac:dyDescent="0.25">
      <c r="A4379" s="149" t="s">
        <v>7640</v>
      </c>
      <c r="B4379" s="149" t="s">
        <v>2758</v>
      </c>
      <c r="C4379" s="149">
        <v>11</v>
      </c>
      <c r="D4379" s="149">
        <v>375</v>
      </c>
      <c r="E4379" s="149">
        <v>0</v>
      </c>
      <c r="F4379" s="149">
        <v>150100</v>
      </c>
      <c r="G4379" s="149">
        <v>53110</v>
      </c>
      <c r="H4379" s="150" t="str">
        <f t="shared" si="204"/>
        <v>5</v>
      </c>
      <c r="I4379" s="150" t="str">
        <f t="shared" si="205"/>
        <v>53</v>
      </c>
      <c r="J4379" s="150" t="str">
        <f t="shared" si="206"/>
        <v>531</v>
      </c>
      <c r="K4379" s="150" t="s">
        <v>9341</v>
      </c>
      <c r="L4379" s="149" t="s">
        <v>305</v>
      </c>
      <c r="M4379" s="151">
        <v>198103.66</v>
      </c>
    </row>
    <row r="4380" spans="1:13" s="149" customFormat="1" x14ac:dyDescent="0.25">
      <c r="A4380" s="149" t="s">
        <v>7640</v>
      </c>
      <c r="B4380" s="149" t="s">
        <v>2759</v>
      </c>
      <c r="C4380" s="149">
        <v>11</v>
      </c>
      <c r="D4380" s="149">
        <v>375</v>
      </c>
      <c r="E4380" s="149">
        <v>0</v>
      </c>
      <c r="F4380" s="149">
        <v>150100</v>
      </c>
      <c r="G4380" s="149">
        <v>53310</v>
      </c>
      <c r="H4380" s="150" t="str">
        <f t="shared" si="204"/>
        <v>5</v>
      </c>
      <c r="I4380" s="150" t="str">
        <f t="shared" si="205"/>
        <v>53</v>
      </c>
      <c r="J4380" s="150" t="str">
        <f t="shared" si="206"/>
        <v>533</v>
      </c>
      <c r="K4380" s="150" t="s">
        <v>9342</v>
      </c>
      <c r="L4380" s="149" t="s">
        <v>307</v>
      </c>
      <c r="M4380" s="151">
        <v>2653.09</v>
      </c>
    </row>
    <row r="4381" spans="1:13" s="149" customFormat="1" x14ac:dyDescent="0.25">
      <c r="A4381" s="149" t="s">
        <v>7640</v>
      </c>
      <c r="B4381" s="149" t="s">
        <v>2760</v>
      </c>
      <c r="C4381" s="149">
        <v>11</v>
      </c>
      <c r="D4381" s="149">
        <v>375</v>
      </c>
      <c r="E4381" s="149">
        <v>0</v>
      </c>
      <c r="F4381" s="149">
        <v>150100</v>
      </c>
      <c r="G4381" s="149">
        <v>53330</v>
      </c>
      <c r="H4381" s="150" t="str">
        <f t="shared" si="204"/>
        <v>5</v>
      </c>
      <c r="I4381" s="150" t="str">
        <f t="shared" si="205"/>
        <v>53</v>
      </c>
      <c r="J4381" s="150" t="str">
        <f t="shared" si="206"/>
        <v>533</v>
      </c>
      <c r="K4381" s="150" t="s">
        <v>9343</v>
      </c>
      <c r="L4381" s="149" t="s">
        <v>309</v>
      </c>
      <c r="M4381" s="151">
        <v>17775.650000000001</v>
      </c>
    </row>
    <row r="4382" spans="1:13" s="149" customFormat="1" x14ac:dyDescent="0.25">
      <c r="A4382" s="149" t="s">
        <v>7640</v>
      </c>
      <c r="B4382" s="149" t="s">
        <v>2761</v>
      </c>
      <c r="C4382" s="149">
        <v>11</v>
      </c>
      <c r="D4382" s="149">
        <v>375</v>
      </c>
      <c r="E4382" s="149">
        <v>0</v>
      </c>
      <c r="F4382" s="149">
        <v>150100</v>
      </c>
      <c r="G4382" s="149">
        <v>53410</v>
      </c>
      <c r="H4382" s="150" t="str">
        <f t="shared" si="204"/>
        <v>5</v>
      </c>
      <c r="I4382" s="150" t="str">
        <f t="shared" si="205"/>
        <v>53</v>
      </c>
      <c r="J4382" s="150" t="str">
        <f t="shared" si="206"/>
        <v>534</v>
      </c>
      <c r="K4382" s="150" t="s">
        <v>9344</v>
      </c>
      <c r="L4382" s="149" t="s">
        <v>2762</v>
      </c>
      <c r="M4382" s="151">
        <v>263562.84999999998</v>
      </c>
    </row>
    <row r="4383" spans="1:13" s="149" customFormat="1" x14ac:dyDescent="0.25">
      <c r="A4383" s="149" t="s">
        <v>7640</v>
      </c>
      <c r="B4383" s="149" t="s">
        <v>2763</v>
      </c>
      <c r="C4383" s="149">
        <v>11</v>
      </c>
      <c r="D4383" s="149">
        <v>375</v>
      </c>
      <c r="E4383" s="149">
        <v>0</v>
      </c>
      <c r="F4383" s="149">
        <v>150100</v>
      </c>
      <c r="G4383" s="149">
        <v>53510</v>
      </c>
      <c r="H4383" s="150" t="str">
        <f t="shared" si="204"/>
        <v>5</v>
      </c>
      <c r="I4383" s="150" t="str">
        <f t="shared" si="205"/>
        <v>53</v>
      </c>
      <c r="J4383" s="150" t="str">
        <f t="shared" si="206"/>
        <v>535</v>
      </c>
      <c r="K4383" s="150" t="s">
        <v>9345</v>
      </c>
      <c r="L4383" s="149" t="s">
        <v>311</v>
      </c>
      <c r="M4383" s="151">
        <v>616.44000000000005</v>
      </c>
    </row>
    <row r="4384" spans="1:13" s="149" customFormat="1" x14ac:dyDescent="0.25">
      <c r="A4384" s="149" t="s">
        <v>7640</v>
      </c>
      <c r="B4384" s="149" t="s">
        <v>2764</v>
      </c>
      <c r="C4384" s="149">
        <v>11</v>
      </c>
      <c r="D4384" s="149">
        <v>375</v>
      </c>
      <c r="E4384" s="149">
        <v>0</v>
      </c>
      <c r="F4384" s="149">
        <v>150100</v>
      </c>
      <c r="G4384" s="149">
        <v>53610</v>
      </c>
      <c r="H4384" s="150" t="str">
        <f t="shared" si="204"/>
        <v>5</v>
      </c>
      <c r="I4384" s="150" t="str">
        <f t="shared" si="205"/>
        <v>53</v>
      </c>
      <c r="J4384" s="150" t="str">
        <f t="shared" si="206"/>
        <v>536</v>
      </c>
      <c r="K4384" s="150" t="s">
        <v>9346</v>
      </c>
      <c r="L4384" s="149" t="s">
        <v>313</v>
      </c>
      <c r="M4384" s="151">
        <v>23419.11</v>
      </c>
    </row>
    <row r="4385" spans="1:13" s="149" customFormat="1" x14ac:dyDescent="0.25">
      <c r="A4385" s="149" t="s">
        <v>7640</v>
      </c>
      <c r="B4385" s="149" t="s">
        <v>2765</v>
      </c>
      <c r="C4385" s="149">
        <v>11</v>
      </c>
      <c r="D4385" s="149">
        <v>375</v>
      </c>
      <c r="E4385" s="149">
        <v>0</v>
      </c>
      <c r="F4385" s="149">
        <v>150100</v>
      </c>
      <c r="G4385" s="149">
        <v>53910</v>
      </c>
      <c r="H4385" s="150" t="str">
        <f t="shared" si="204"/>
        <v>5</v>
      </c>
      <c r="I4385" s="150" t="str">
        <f t="shared" si="205"/>
        <v>53</v>
      </c>
      <c r="J4385" s="150" t="str">
        <f t="shared" si="206"/>
        <v>539</v>
      </c>
      <c r="K4385" s="150" t="s">
        <v>9347</v>
      </c>
      <c r="L4385" s="149" t="s">
        <v>2766</v>
      </c>
      <c r="M4385" s="151">
        <v>3490.88</v>
      </c>
    </row>
    <row r="4386" spans="1:13" s="149" customFormat="1" x14ac:dyDescent="0.25">
      <c r="A4386" s="149" t="s">
        <v>7640</v>
      </c>
      <c r="B4386" s="149" t="s">
        <v>2767</v>
      </c>
      <c r="C4386" s="149">
        <v>11</v>
      </c>
      <c r="D4386" s="149">
        <v>375</v>
      </c>
      <c r="E4386" s="149">
        <v>0</v>
      </c>
      <c r="F4386" s="149">
        <v>150100</v>
      </c>
      <c r="G4386" s="149">
        <v>54300</v>
      </c>
      <c r="H4386" s="150" t="str">
        <f t="shared" si="204"/>
        <v>5</v>
      </c>
      <c r="I4386" s="150" t="str">
        <f t="shared" si="205"/>
        <v>54</v>
      </c>
      <c r="J4386" s="150" t="str">
        <f t="shared" si="206"/>
        <v>543</v>
      </c>
      <c r="K4386" s="150" t="s">
        <v>7970</v>
      </c>
      <c r="L4386" s="149" t="s">
        <v>2768</v>
      </c>
      <c r="M4386" s="151">
        <v>0</v>
      </c>
    </row>
    <row r="4387" spans="1:13" s="149" customFormat="1" x14ac:dyDescent="0.25">
      <c r="A4387" s="149" t="s">
        <v>7640</v>
      </c>
      <c r="B4387" s="149" t="s">
        <v>2769</v>
      </c>
      <c r="C4387" s="149">
        <v>11</v>
      </c>
      <c r="D4387" s="149">
        <v>375</v>
      </c>
      <c r="E4387" s="149">
        <v>0</v>
      </c>
      <c r="F4387" s="149">
        <v>150100</v>
      </c>
      <c r="G4387" s="149">
        <v>55300</v>
      </c>
      <c r="H4387" s="150" t="str">
        <f t="shared" si="204"/>
        <v>5</v>
      </c>
      <c r="I4387" s="150" t="str">
        <f t="shared" si="205"/>
        <v>55</v>
      </c>
      <c r="J4387" s="150" t="str">
        <f t="shared" si="206"/>
        <v>553</v>
      </c>
      <c r="K4387" s="150" t="s">
        <v>8096</v>
      </c>
      <c r="L4387" s="149" t="s">
        <v>2770</v>
      </c>
      <c r="M4387" s="151">
        <v>0</v>
      </c>
    </row>
    <row r="4388" spans="1:13" s="149" customFormat="1" x14ac:dyDescent="0.25">
      <c r="A4388" s="149" t="s">
        <v>7640</v>
      </c>
      <c r="B4388" s="149" t="s">
        <v>2771</v>
      </c>
      <c r="C4388" s="149">
        <v>11</v>
      </c>
      <c r="D4388" s="149">
        <v>375</v>
      </c>
      <c r="E4388" s="149">
        <v>0</v>
      </c>
      <c r="F4388" s="149">
        <v>150100</v>
      </c>
      <c r="G4388" s="149">
        <v>55630</v>
      </c>
      <c r="H4388" s="150" t="str">
        <f t="shared" si="204"/>
        <v>5</v>
      </c>
      <c r="I4388" s="150" t="str">
        <f t="shared" si="205"/>
        <v>55</v>
      </c>
      <c r="J4388" s="150" t="str">
        <f t="shared" si="206"/>
        <v>556</v>
      </c>
      <c r="K4388" s="150" t="s">
        <v>8257</v>
      </c>
      <c r="L4388" s="149" t="s">
        <v>315</v>
      </c>
      <c r="M4388" s="151">
        <v>0</v>
      </c>
    </row>
    <row r="4389" spans="1:13" s="149" customFormat="1" x14ac:dyDescent="0.25">
      <c r="A4389" s="149" t="s">
        <v>7640</v>
      </c>
      <c r="B4389" s="149" t="s">
        <v>2772</v>
      </c>
      <c r="C4389" s="149">
        <v>11</v>
      </c>
      <c r="D4389" s="149">
        <v>375</v>
      </c>
      <c r="E4389" s="149">
        <v>0</v>
      </c>
      <c r="F4389" s="149">
        <v>150600</v>
      </c>
      <c r="G4389" s="149">
        <v>51100</v>
      </c>
      <c r="H4389" s="150" t="str">
        <f t="shared" si="204"/>
        <v>5</v>
      </c>
      <c r="I4389" s="150" t="str">
        <f t="shared" si="205"/>
        <v>51</v>
      </c>
      <c r="J4389" s="150" t="str">
        <f t="shared" si="206"/>
        <v>511</v>
      </c>
      <c r="K4389" s="150" t="s">
        <v>9348</v>
      </c>
      <c r="L4389" s="149" t="s">
        <v>2773</v>
      </c>
      <c r="M4389" s="151">
        <v>234855.07</v>
      </c>
    </row>
    <row r="4390" spans="1:13" s="149" customFormat="1" x14ac:dyDescent="0.25">
      <c r="A4390" s="149" t="s">
        <v>7640</v>
      </c>
      <c r="B4390" s="149" t="s">
        <v>2774</v>
      </c>
      <c r="C4390" s="149">
        <v>11</v>
      </c>
      <c r="D4390" s="149">
        <v>375</v>
      </c>
      <c r="E4390" s="149">
        <v>0</v>
      </c>
      <c r="F4390" s="149">
        <v>150600</v>
      </c>
      <c r="G4390" s="149">
        <v>51310</v>
      </c>
      <c r="H4390" s="150" t="str">
        <f t="shared" si="204"/>
        <v>5</v>
      </c>
      <c r="I4390" s="150" t="str">
        <f t="shared" si="205"/>
        <v>51</v>
      </c>
      <c r="J4390" s="150" t="str">
        <f t="shared" si="206"/>
        <v>513</v>
      </c>
      <c r="K4390" s="150" t="s">
        <v>7688</v>
      </c>
      <c r="L4390" s="149" t="s">
        <v>2775</v>
      </c>
      <c r="M4390" s="151">
        <v>26138.93</v>
      </c>
    </row>
    <row r="4391" spans="1:13" s="149" customFormat="1" x14ac:dyDescent="0.25">
      <c r="A4391" s="149" t="s">
        <v>7640</v>
      </c>
      <c r="B4391" s="149" t="s">
        <v>2776</v>
      </c>
      <c r="C4391" s="149">
        <v>11</v>
      </c>
      <c r="D4391" s="149">
        <v>375</v>
      </c>
      <c r="E4391" s="149">
        <v>0</v>
      </c>
      <c r="F4391" s="149">
        <v>150600</v>
      </c>
      <c r="G4391" s="149">
        <v>51311</v>
      </c>
      <c r="H4391" s="150" t="str">
        <f t="shared" si="204"/>
        <v>5</v>
      </c>
      <c r="I4391" s="150" t="str">
        <f t="shared" si="205"/>
        <v>51</v>
      </c>
      <c r="J4391" s="150" t="str">
        <f t="shared" si="206"/>
        <v>513</v>
      </c>
      <c r="K4391" s="150" t="s">
        <v>7768</v>
      </c>
      <c r="L4391" s="149" t="s">
        <v>317</v>
      </c>
      <c r="M4391" s="151">
        <v>113968.04</v>
      </c>
    </row>
    <row r="4392" spans="1:13" s="149" customFormat="1" x14ac:dyDescent="0.25">
      <c r="A4392" s="149" t="s">
        <v>7640</v>
      </c>
      <c r="B4392" s="149" t="s">
        <v>2777</v>
      </c>
      <c r="C4392" s="149">
        <v>11</v>
      </c>
      <c r="D4392" s="149">
        <v>375</v>
      </c>
      <c r="E4392" s="149">
        <v>0</v>
      </c>
      <c r="F4392" s="149">
        <v>150600</v>
      </c>
      <c r="G4392" s="149">
        <v>53110</v>
      </c>
      <c r="H4392" s="150" t="str">
        <f t="shared" si="204"/>
        <v>5</v>
      </c>
      <c r="I4392" s="150" t="str">
        <f t="shared" si="205"/>
        <v>53</v>
      </c>
      <c r="J4392" s="150" t="str">
        <f t="shared" si="206"/>
        <v>531</v>
      </c>
      <c r="K4392" s="150" t="s">
        <v>9349</v>
      </c>
      <c r="L4392" s="149" t="s">
        <v>319</v>
      </c>
      <c r="M4392" s="151">
        <v>53934.69</v>
      </c>
    </row>
    <row r="4393" spans="1:13" s="149" customFormat="1" x14ac:dyDescent="0.25">
      <c r="A4393" s="149" t="s">
        <v>7640</v>
      </c>
      <c r="B4393" s="149" t="s">
        <v>2778</v>
      </c>
      <c r="C4393" s="149">
        <v>11</v>
      </c>
      <c r="D4393" s="149">
        <v>375</v>
      </c>
      <c r="E4393" s="149">
        <v>0</v>
      </c>
      <c r="F4393" s="149">
        <v>150600</v>
      </c>
      <c r="G4393" s="149">
        <v>53310</v>
      </c>
      <c r="H4393" s="150" t="str">
        <f t="shared" si="204"/>
        <v>5</v>
      </c>
      <c r="I4393" s="150" t="str">
        <f t="shared" si="205"/>
        <v>53</v>
      </c>
      <c r="J4393" s="150" t="str">
        <f t="shared" si="206"/>
        <v>533</v>
      </c>
      <c r="K4393" s="150" t="s">
        <v>9350</v>
      </c>
      <c r="L4393" s="149" t="s">
        <v>2779</v>
      </c>
      <c r="M4393" s="151">
        <v>2542.1</v>
      </c>
    </row>
    <row r="4394" spans="1:13" s="149" customFormat="1" x14ac:dyDescent="0.25">
      <c r="A4394" s="149" t="s">
        <v>7640</v>
      </c>
      <c r="B4394" s="149" t="s">
        <v>2780</v>
      </c>
      <c r="C4394" s="149">
        <v>11</v>
      </c>
      <c r="D4394" s="149">
        <v>375</v>
      </c>
      <c r="E4394" s="149">
        <v>0</v>
      </c>
      <c r="F4394" s="149">
        <v>150600</v>
      </c>
      <c r="G4394" s="149">
        <v>53330</v>
      </c>
      <c r="H4394" s="150" t="str">
        <f t="shared" si="204"/>
        <v>5</v>
      </c>
      <c r="I4394" s="150" t="str">
        <f t="shared" si="205"/>
        <v>53</v>
      </c>
      <c r="J4394" s="150" t="str">
        <f t="shared" si="206"/>
        <v>533</v>
      </c>
      <c r="K4394" s="150" t="s">
        <v>9351</v>
      </c>
      <c r="L4394" s="149" t="s">
        <v>321</v>
      </c>
      <c r="M4394" s="151">
        <v>5407.81</v>
      </c>
    </row>
    <row r="4395" spans="1:13" s="149" customFormat="1" x14ac:dyDescent="0.25">
      <c r="A4395" s="149" t="s">
        <v>7640</v>
      </c>
      <c r="B4395" s="149" t="s">
        <v>2781</v>
      </c>
      <c r="C4395" s="149">
        <v>11</v>
      </c>
      <c r="D4395" s="149">
        <v>375</v>
      </c>
      <c r="E4395" s="149">
        <v>0</v>
      </c>
      <c r="F4395" s="149">
        <v>150600</v>
      </c>
      <c r="G4395" s="149">
        <v>53410</v>
      </c>
      <c r="H4395" s="150" t="str">
        <f t="shared" si="204"/>
        <v>5</v>
      </c>
      <c r="I4395" s="150" t="str">
        <f t="shared" si="205"/>
        <v>53</v>
      </c>
      <c r="J4395" s="150" t="str">
        <f t="shared" si="206"/>
        <v>534</v>
      </c>
      <c r="K4395" s="150" t="s">
        <v>9352</v>
      </c>
      <c r="L4395" s="149" t="s">
        <v>2782</v>
      </c>
      <c r="M4395" s="151">
        <v>70593.36</v>
      </c>
    </row>
    <row r="4396" spans="1:13" s="149" customFormat="1" x14ac:dyDescent="0.25">
      <c r="A4396" s="149" t="s">
        <v>7640</v>
      </c>
      <c r="B4396" s="149" t="s">
        <v>2783</v>
      </c>
      <c r="C4396" s="149">
        <v>11</v>
      </c>
      <c r="D4396" s="149">
        <v>375</v>
      </c>
      <c r="E4396" s="149">
        <v>0</v>
      </c>
      <c r="F4396" s="149">
        <v>150600</v>
      </c>
      <c r="G4396" s="149">
        <v>53510</v>
      </c>
      <c r="H4396" s="150" t="str">
        <f t="shared" si="204"/>
        <v>5</v>
      </c>
      <c r="I4396" s="150" t="str">
        <f t="shared" si="205"/>
        <v>53</v>
      </c>
      <c r="J4396" s="150" t="str">
        <f t="shared" si="206"/>
        <v>535</v>
      </c>
      <c r="K4396" s="150" t="s">
        <v>9353</v>
      </c>
      <c r="L4396" s="149" t="s">
        <v>323</v>
      </c>
      <c r="M4396" s="151">
        <v>187.51</v>
      </c>
    </row>
    <row r="4397" spans="1:13" s="149" customFormat="1" x14ac:dyDescent="0.25">
      <c r="A4397" s="149" t="s">
        <v>7640</v>
      </c>
      <c r="B4397" s="149" t="s">
        <v>2784</v>
      </c>
      <c r="C4397" s="149">
        <v>11</v>
      </c>
      <c r="D4397" s="149">
        <v>375</v>
      </c>
      <c r="E4397" s="149">
        <v>0</v>
      </c>
      <c r="F4397" s="149">
        <v>150600</v>
      </c>
      <c r="G4397" s="149">
        <v>53610</v>
      </c>
      <c r="H4397" s="150" t="str">
        <f t="shared" si="204"/>
        <v>5</v>
      </c>
      <c r="I4397" s="150" t="str">
        <f t="shared" si="205"/>
        <v>53</v>
      </c>
      <c r="J4397" s="150" t="str">
        <f t="shared" si="206"/>
        <v>536</v>
      </c>
      <c r="K4397" s="150" t="s">
        <v>9354</v>
      </c>
      <c r="L4397" s="149" t="s">
        <v>325</v>
      </c>
      <c r="M4397" s="151">
        <v>7089.84</v>
      </c>
    </row>
    <row r="4398" spans="1:13" s="149" customFormat="1" x14ac:dyDescent="0.25">
      <c r="A4398" s="149" t="s">
        <v>7640</v>
      </c>
      <c r="B4398" s="149" t="s">
        <v>2785</v>
      </c>
      <c r="C4398" s="149">
        <v>11</v>
      </c>
      <c r="D4398" s="149">
        <v>375</v>
      </c>
      <c r="E4398" s="149">
        <v>0</v>
      </c>
      <c r="F4398" s="149">
        <v>150600</v>
      </c>
      <c r="G4398" s="149">
        <v>54300</v>
      </c>
      <c r="H4398" s="150" t="str">
        <f t="shared" si="204"/>
        <v>5</v>
      </c>
      <c r="I4398" s="150" t="str">
        <f t="shared" si="205"/>
        <v>54</v>
      </c>
      <c r="J4398" s="150" t="str">
        <f t="shared" si="206"/>
        <v>543</v>
      </c>
      <c r="K4398" s="150" t="s">
        <v>7971</v>
      </c>
      <c r="L4398" s="149" t="s">
        <v>2786</v>
      </c>
      <c r="M4398" s="151">
        <v>0</v>
      </c>
    </row>
    <row r="4399" spans="1:13" s="149" customFormat="1" x14ac:dyDescent="0.25">
      <c r="A4399" s="149" t="s">
        <v>7640</v>
      </c>
      <c r="B4399" s="149" t="s">
        <v>2787</v>
      </c>
      <c r="C4399" s="149">
        <v>11</v>
      </c>
      <c r="D4399" s="149">
        <v>375</v>
      </c>
      <c r="E4399" s="149">
        <v>0</v>
      </c>
      <c r="F4399" s="149">
        <v>150600</v>
      </c>
      <c r="G4399" s="149">
        <v>55200</v>
      </c>
      <c r="H4399" s="150" t="str">
        <f t="shared" si="204"/>
        <v>5</v>
      </c>
      <c r="I4399" s="150" t="str">
        <f t="shared" si="205"/>
        <v>55</v>
      </c>
      <c r="J4399" s="150" t="str">
        <f t="shared" si="206"/>
        <v>552</v>
      </c>
      <c r="K4399" s="150" t="s">
        <v>8062</v>
      </c>
      <c r="L4399" s="149" t="s">
        <v>2788</v>
      </c>
      <c r="M4399" s="151">
        <v>0</v>
      </c>
    </row>
    <row r="4400" spans="1:13" s="149" customFormat="1" x14ac:dyDescent="0.25">
      <c r="A4400" s="149" t="s">
        <v>7640</v>
      </c>
      <c r="B4400" s="149" t="s">
        <v>2789</v>
      </c>
      <c r="C4400" s="149">
        <v>11</v>
      </c>
      <c r="D4400" s="149">
        <v>375</v>
      </c>
      <c r="E4400" s="149">
        <v>0</v>
      </c>
      <c r="F4400" s="149">
        <v>150600</v>
      </c>
      <c r="G4400" s="149">
        <v>55630</v>
      </c>
      <c r="H4400" s="150" t="str">
        <f t="shared" si="204"/>
        <v>5</v>
      </c>
      <c r="I4400" s="150" t="str">
        <f t="shared" si="205"/>
        <v>55</v>
      </c>
      <c r="J4400" s="150" t="str">
        <f t="shared" si="206"/>
        <v>556</v>
      </c>
      <c r="K4400" s="150" t="s">
        <v>8258</v>
      </c>
      <c r="L4400" s="149" t="s">
        <v>327</v>
      </c>
      <c r="M4400" s="151">
        <v>2.44</v>
      </c>
    </row>
    <row r="4401" spans="1:13" s="149" customFormat="1" x14ac:dyDescent="0.25">
      <c r="A4401" s="149" t="s">
        <v>7640</v>
      </c>
      <c r="B4401" s="149" t="s">
        <v>2790</v>
      </c>
      <c r="C4401" s="149">
        <v>11</v>
      </c>
      <c r="D4401" s="149">
        <v>375</v>
      </c>
      <c r="E4401" s="149">
        <v>0</v>
      </c>
      <c r="F4401" s="149">
        <v>493080</v>
      </c>
      <c r="G4401" s="149">
        <v>51100</v>
      </c>
      <c r="H4401" s="150" t="str">
        <f t="shared" si="204"/>
        <v>5</v>
      </c>
      <c r="I4401" s="150" t="str">
        <f t="shared" si="205"/>
        <v>51</v>
      </c>
      <c r="J4401" s="150" t="str">
        <f t="shared" si="206"/>
        <v>511</v>
      </c>
      <c r="K4401" s="150" t="s">
        <v>9355</v>
      </c>
      <c r="L4401" s="149" t="s">
        <v>2791</v>
      </c>
      <c r="M4401" s="151">
        <v>263015.28000000003</v>
      </c>
    </row>
    <row r="4402" spans="1:13" s="149" customFormat="1" x14ac:dyDescent="0.25">
      <c r="A4402" s="149" t="s">
        <v>7640</v>
      </c>
      <c r="B4402" s="149" t="s">
        <v>2792</v>
      </c>
      <c r="C4402" s="149">
        <v>11</v>
      </c>
      <c r="D4402" s="149">
        <v>375</v>
      </c>
      <c r="E4402" s="149">
        <v>0</v>
      </c>
      <c r="F4402" s="149">
        <v>493080</v>
      </c>
      <c r="G4402" s="149">
        <v>51310</v>
      </c>
      <c r="H4402" s="150" t="str">
        <f t="shared" si="204"/>
        <v>5</v>
      </c>
      <c r="I4402" s="150" t="str">
        <f t="shared" si="205"/>
        <v>51</v>
      </c>
      <c r="J4402" s="150" t="str">
        <f t="shared" si="206"/>
        <v>513</v>
      </c>
      <c r="K4402" s="150" t="s">
        <v>7689</v>
      </c>
      <c r="L4402" s="149" t="s">
        <v>2793</v>
      </c>
      <c r="M4402" s="151">
        <v>6352.64</v>
      </c>
    </row>
    <row r="4403" spans="1:13" s="149" customFormat="1" x14ac:dyDescent="0.25">
      <c r="A4403" s="149" t="s">
        <v>7640</v>
      </c>
      <c r="B4403" s="149" t="s">
        <v>2794</v>
      </c>
      <c r="C4403" s="149">
        <v>11</v>
      </c>
      <c r="D4403" s="149">
        <v>375</v>
      </c>
      <c r="E4403" s="149">
        <v>0</v>
      </c>
      <c r="F4403" s="149">
        <v>493080</v>
      </c>
      <c r="G4403" s="149">
        <v>51311</v>
      </c>
      <c r="H4403" s="150" t="str">
        <f t="shared" si="204"/>
        <v>5</v>
      </c>
      <c r="I4403" s="150" t="str">
        <f t="shared" si="205"/>
        <v>51</v>
      </c>
      <c r="J4403" s="150" t="str">
        <f t="shared" si="206"/>
        <v>513</v>
      </c>
      <c r="K4403" s="150" t="s">
        <v>7769</v>
      </c>
      <c r="L4403" s="149" t="s">
        <v>467</v>
      </c>
      <c r="M4403" s="151">
        <v>81713.87</v>
      </c>
    </row>
    <row r="4404" spans="1:13" s="149" customFormat="1" x14ac:dyDescent="0.25">
      <c r="A4404" s="149" t="s">
        <v>7640</v>
      </c>
      <c r="B4404" s="149" t="s">
        <v>2795</v>
      </c>
      <c r="C4404" s="149">
        <v>11</v>
      </c>
      <c r="D4404" s="149">
        <v>375</v>
      </c>
      <c r="E4404" s="149">
        <v>0</v>
      </c>
      <c r="F4404" s="149">
        <v>493080</v>
      </c>
      <c r="G4404" s="149">
        <v>53110</v>
      </c>
      <c r="H4404" s="150" t="str">
        <f t="shared" si="204"/>
        <v>5</v>
      </c>
      <c r="I4404" s="150" t="str">
        <f t="shared" si="205"/>
        <v>53</v>
      </c>
      <c r="J4404" s="150" t="str">
        <f t="shared" si="206"/>
        <v>531</v>
      </c>
      <c r="K4404" s="150" t="s">
        <v>9356</v>
      </c>
      <c r="L4404" s="149" t="s">
        <v>469</v>
      </c>
      <c r="M4404" s="151">
        <v>55653.2</v>
      </c>
    </row>
    <row r="4405" spans="1:13" s="149" customFormat="1" x14ac:dyDescent="0.25">
      <c r="A4405" s="149" t="s">
        <v>7640</v>
      </c>
      <c r="B4405" s="149" t="s">
        <v>2796</v>
      </c>
      <c r="C4405" s="149">
        <v>11</v>
      </c>
      <c r="D4405" s="149">
        <v>375</v>
      </c>
      <c r="E4405" s="149">
        <v>0</v>
      </c>
      <c r="F4405" s="149">
        <v>493080</v>
      </c>
      <c r="G4405" s="149">
        <v>53330</v>
      </c>
      <c r="H4405" s="150" t="str">
        <f t="shared" si="204"/>
        <v>5</v>
      </c>
      <c r="I4405" s="150" t="str">
        <f t="shared" si="205"/>
        <v>53</v>
      </c>
      <c r="J4405" s="150" t="str">
        <f t="shared" si="206"/>
        <v>533</v>
      </c>
      <c r="K4405" s="150" t="s">
        <v>9357</v>
      </c>
      <c r="L4405" s="149" t="s">
        <v>471</v>
      </c>
      <c r="M4405" s="151">
        <v>3762.44</v>
      </c>
    </row>
    <row r="4406" spans="1:13" s="149" customFormat="1" x14ac:dyDescent="0.25">
      <c r="A4406" s="149" t="s">
        <v>7640</v>
      </c>
      <c r="B4406" s="149" t="s">
        <v>2797</v>
      </c>
      <c r="C4406" s="149">
        <v>11</v>
      </c>
      <c r="D4406" s="149">
        <v>375</v>
      </c>
      <c r="E4406" s="149">
        <v>0</v>
      </c>
      <c r="F4406" s="149">
        <v>493080</v>
      </c>
      <c r="G4406" s="149">
        <v>53410</v>
      </c>
      <c r="H4406" s="150" t="str">
        <f t="shared" si="204"/>
        <v>5</v>
      </c>
      <c r="I4406" s="150" t="str">
        <f t="shared" si="205"/>
        <v>53</v>
      </c>
      <c r="J4406" s="150" t="str">
        <f t="shared" si="206"/>
        <v>534</v>
      </c>
      <c r="K4406" s="150" t="s">
        <v>9358</v>
      </c>
      <c r="L4406" s="149" t="s">
        <v>2798</v>
      </c>
      <c r="M4406" s="151">
        <v>31708.560000000001</v>
      </c>
    </row>
    <row r="4407" spans="1:13" s="149" customFormat="1" x14ac:dyDescent="0.25">
      <c r="A4407" s="149" t="s">
        <v>7640</v>
      </c>
      <c r="B4407" s="149" t="s">
        <v>2799</v>
      </c>
      <c r="C4407" s="149">
        <v>11</v>
      </c>
      <c r="D4407" s="149">
        <v>375</v>
      </c>
      <c r="E4407" s="149">
        <v>0</v>
      </c>
      <c r="F4407" s="149">
        <v>493080</v>
      </c>
      <c r="G4407" s="149">
        <v>53510</v>
      </c>
      <c r="H4407" s="150" t="str">
        <f t="shared" si="204"/>
        <v>5</v>
      </c>
      <c r="I4407" s="150" t="str">
        <f t="shared" si="205"/>
        <v>53</v>
      </c>
      <c r="J4407" s="150" t="str">
        <f t="shared" si="206"/>
        <v>535</v>
      </c>
      <c r="K4407" s="150" t="s">
        <v>9359</v>
      </c>
      <c r="L4407" s="149" t="s">
        <v>473</v>
      </c>
      <c r="M4407" s="151">
        <v>175.61</v>
      </c>
    </row>
    <row r="4408" spans="1:13" s="149" customFormat="1" x14ac:dyDescent="0.25">
      <c r="A4408" s="149" t="s">
        <v>7640</v>
      </c>
      <c r="B4408" s="149" t="s">
        <v>2800</v>
      </c>
      <c r="C4408" s="149">
        <v>11</v>
      </c>
      <c r="D4408" s="149">
        <v>375</v>
      </c>
      <c r="E4408" s="149">
        <v>0</v>
      </c>
      <c r="F4408" s="149">
        <v>493080</v>
      </c>
      <c r="G4408" s="149">
        <v>53610</v>
      </c>
      <c r="H4408" s="150" t="str">
        <f t="shared" si="204"/>
        <v>5</v>
      </c>
      <c r="I4408" s="150" t="str">
        <f t="shared" si="205"/>
        <v>53</v>
      </c>
      <c r="J4408" s="150" t="str">
        <f t="shared" si="206"/>
        <v>536</v>
      </c>
      <c r="K4408" s="150" t="s">
        <v>9360</v>
      </c>
      <c r="L4408" s="149" t="s">
        <v>475</v>
      </c>
      <c r="M4408" s="151">
        <v>6638.29</v>
      </c>
    </row>
    <row r="4409" spans="1:13" s="149" customFormat="1" x14ac:dyDescent="0.25">
      <c r="A4409" s="149" t="s">
        <v>7640</v>
      </c>
      <c r="B4409" s="149" t="s">
        <v>2801</v>
      </c>
      <c r="C4409" s="149">
        <v>11</v>
      </c>
      <c r="D4409" s="149">
        <v>375</v>
      </c>
      <c r="E4409" s="149">
        <v>0</v>
      </c>
      <c r="F4409" s="149">
        <v>493080</v>
      </c>
      <c r="G4409" s="149">
        <v>54300</v>
      </c>
      <c r="H4409" s="150" t="str">
        <f t="shared" si="204"/>
        <v>5</v>
      </c>
      <c r="I4409" s="150" t="str">
        <f t="shared" si="205"/>
        <v>54</v>
      </c>
      <c r="J4409" s="150" t="str">
        <f t="shared" si="206"/>
        <v>543</v>
      </c>
      <c r="K4409" s="150" t="s">
        <v>7972</v>
      </c>
      <c r="L4409" s="149" t="s">
        <v>2802</v>
      </c>
      <c r="M4409" s="151">
        <v>0</v>
      </c>
    </row>
    <row r="4410" spans="1:13" s="149" customFormat="1" x14ac:dyDescent="0.25">
      <c r="A4410" s="149" t="s">
        <v>7640</v>
      </c>
      <c r="B4410" s="149" t="s">
        <v>2803</v>
      </c>
      <c r="C4410" s="149">
        <v>11</v>
      </c>
      <c r="D4410" s="149">
        <v>375</v>
      </c>
      <c r="E4410" s="149">
        <v>0</v>
      </c>
      <c r="F4410" s="149">
        <v>493080</v>
      </c>
      <c r="G4410" s="149">
        <v>55630</v>
      </c>
      <c r="H4410" s="150" t="str">
        <f t="shared" si="204"/>
        <v>5</v>
      </c>
      <c r="I4410" s="150" t="str">
        <f t="shared" si="205"/>
        <v>55</v>
      </c>
      <c r="J4410" s="150" t="str">
        <f t="shared" si="206"/>
        <v>556</v>
      </c>
      <c r="K4410" s="150" t="s">
        <v>8259</v>
      </c>
      <c r="L4410" s="149" t="s">
        <v>2804</v>
      </c>
      <c r="M4410" s="151">
        <v>0</v>
      </c>
    </row>
    <row r="4411" spans="1:13" s="149" customFormat="1" x14ac:dyDescent="0.25">
      <c r="A4411" s="149" t="s">
        <v>7640</v>
      </c>
      <c r="B4411" s="149" t="s">
        <v>2805</v>
      </c>
      <c r="C4411" s="149">
        <v>11</v>
      </c>
      <c r="D4411" s="149">
        <v>395</v>
      </c>
      <c r="E4411" s="149">
        <v>0</v>
      </c>
      <c r="F4411" s="149">
        <v>635050</v>
      </c>
      <c r="G4411" s="149">
        <v>51412</v>
      </c>
      <c r="H4411" s="150" t="str">
        <f t="shared" si="204"/>
        <v>5</v>
      </c>
      <c r="I4411" s="150" t="str">
        <f t="shared" si="205"/>
        <v>51</v>
      </c>
      <c r="J4411" s="150" t="str">
        <f t="shared" si="206"/>
        <v>514</v>
      </c>
      <c r="K4411" s="150" t="s">
        <v>7803</v>
      </c>
      <c r="L4411" s="149" t="s">
        <v>2806</v>
      </c>
      <c r="M4411" s="151">
        <v>2036.19</v>
      </c>
    </row>
    <row r="4412" spans="1:13" s="149" customFormat="1" x14ac:dyDescent="0.25">
      <c r="A4412" s="149" t="s">
        <v>7640</v>
      </c>
      <c r="B4412" s="149" t="s">
        <v>2807</v>
      </c>
      <c r="C4412" s="149">
        <v>11</v>
      </c>
      <c r="D4412" s="149">
        <v>395</v>
      </c>
      <c r="E4412" s="149">
        <v>0</v>
      </c>
      <c r="F4412" s="149">
        <v>635050</v>
      </c>
      <c r="G4412" s="149">
        <v>52105</v>
      </c>
      <c r="H4412" s="150" t="str">
        <f t="shared" si="204"/>
        <v>5</v>
      </c>
      <c r="I4412" s="150" t="str">
        <f t="shared" si="205"/>
        <v>52</v>
      </c>
      <c r="J4412" s="150" t="str">
        <f t="shared" si="206"/>
        <v>521</v>
      </c>
      <c r="K4412" s="150" t="s">
        <v>9361</v>
      </c>
      <c r="L4412" s="149" t="s">
        <v>2808</v>
      </c>
      <c r="M4412" s="151">
        <v>59892.62</v>
      </c>
    </row>
    <row r="4413" spans="1:13" s="149" customFormat="1" x14ac:dyDescent="0.25">
      <c r="A4413" s="149" t="s">
        <v>7640</v>
      </c>
      <c r="B4413" s="149" t="s">
        <v>2809</v>
      </c>
      <c r="C4413" s="149">
        <v>11</v>
      </c>
      <c r="D4413" s="149">
        <v>395</v>
      </c>
      <c r="E4413" s="149">
        <v>0</v>
      </c>
      <c r="F4413" s="149">
        <v>635050</v>
      </c>
      <c r="G4413" s="149">
        <v>52350</v>
      </c>
      <c r="H4413" s="150" t="str">
        <f t="shared" si="204"/>
        <v>5</v>
      </c>
      <c r="I4413" s="150" t="str">
        <f t="shared" si="205"/>
        <v>52</v>
      </c>
      <c r="J4413" s="150" t="str">
        <f t="shared" si="206"/>
        <v>523</v>
      </c>
      <c r="K4413" s="150" t="s">
        <v>7859</v>
      </c>
      <c r="L4413" s="149" t="s">
        <v>2810</v>
      </c>
      <c r="M4413" s="151">
        <v>17631.5</v>
      </c>
    </row>
    <row r="4414" spans="1:13" s="149" customFormat="1" x14ac:dyDescent="0.25">
      <c r="A4414" s="149" t="s">
        <v>7640</v>
      </c>
      <c r="B4414" s="149" t="s">
        <v>2811</v>
      </c>
      <c r="C4414" s="149">
        <v>11</v>
      </c>
      <c r="D4414" s="149">
        <v>395</v>
      </c>
      <c r="E4414" s="149">
        <v>0</v>
      </c>
      <c r="F4414" s="149">
        <v>635050</v>
      </c>
      <c r="G4414" s="149">
        <v>52360</v>
      </c>
      <c r="H4414" s="150" t="str">
        <f t="shared" si="204"/>
        <v>5</v>
      </c>
      <c r="I4414" s="150" t="str">
        <f t="shared" si="205"/>
        <v>52</v>
      </c>
      <c r="J4414" s="150" t="str">
        <f t="shared" si="206"/>
        <v>523</v>
      </c>
      <c r="K4414" s="150" t="s">
        <v>7879</v>
      </c>
      <c r="L4414" s="149" t="s">
        <v>2812</v>
      </c>
      <c r="M4414" s="151">
        <v>12188.16</v>
      </c>
    </row>
    <row r="4415" spans="1:13" s="149" customFormat="1" x14ac:dyDescent="0.25">
      <c r="A4415" s="149" t="s">
        <v>7640</v>
      </c>
      <c r="B4415" s="149" t="s">
        <v>2813</v>
      </c>
      <c r="C4415" s="149">
        <v>11</v>
      </c>
      <c r="D4415" s="149">
        <v>395</v>
      </c>
      <c r="E4415" s="149">
        <v>0</v>
      </c>
      <c r="F4415" s="149">
        <v>635050</v>
      </c>
      <c r="G4415" s="149">
        <v>53120</v>
      </c>
      <c r="H4415" s="150" t="str">
        <f t="shared" si="204"/>
        <v>5</v>
      </c>
      <c r="I4415" s="150" t="str">
        <f t="shared" si="205"/>
        <v>53</v>
      </c>
      <c r="J4415" s="150" t="str">
        <f t="shared" si="206"/>
        <v>531</v>
      </c>
      <c r="K4415" s="150" t="s">
        <v>9362</v>
      </c>
      <c r="L4415" s="149" t="s">
        <v>2814</v>
      </c>
      <c r="M4415" s="151">
        <v>328.84</v>
      </c>
    </row>
    <row r="4416" spans="1:13" s="149" customFormat="1" x14ac:dyDescent="0.25">
      <c r="A4416" s="149" t="s">
        <v>7640</v>
      </c>
      <c r="B4416" s="149" t="s">
        <v>2815</v>
      </c>
      <c r="C4416" s="149">
        <v>11</v>
      </c>
      <c r="D4416" s="149">
        <v>395</v>
      </c>
      <c r="E4416" s="149">
        <v>0</v>
      </c>
      <c r="F4416" s="149">
        <v>635050</v>
      </c>
      <c r="G4416" s="149">
        <v>53220</v>
      </c>
      <c r="H4416" s="150" t="str">
        <f t="shared" si="204"/>
        <v>5</v>
      </c>
      <c r="I4416" s="150" t="str">
        <f t="shared" si="205"/>
        <v>53</v>
      </c>
      <c r="J4416" s="150" t="str">
        <f t="shared" si="206"/>
        <v>532</v>
      </c>
      <c r="K4416" s="150" t="s">
        <v>9363</v>
      </c>
      <c r="L4416" s="149" t="s">
        <v>2816</v>
      </c>
      <c r="M4416" s="151">
        <v>14235.82</v>
      </c>
    </row>
    <row r="4417" spans="1:13" s="149" customFormat="1" x14ac:dyDescent="0.25">
      <c r="A4417" s="149" t="s">
        <v>7640</v>
      </c>
      <c r="B4417" s="149" t="s">
        <v>2817</v>
      </c>
      <c r="C4417" s="149">
        <v>11</v>
      </c>
      <c r="D4417" s="149">
        <v>395</v>
      </c>
      <c r="E4417" s="149">
        <v>0</v>
      </c>
      <c r="F4417" s="149">
        <v>635050</v>
      </c>
      <c r="G4417" s="149">
        <v>53320</v>
      </c>
      <c r="H4417" s="150" t="str">
        <f t="shared" si="204"/>
        <v>5</v>
      </c>
      <c r="I4417" s="150" t="str">
        <f t="shared" si="205"/>
        <v>53</v>
      </c>
      <c r="J4417" s="150" t="str">
        <f t="shared" si="206"/>
        <v>533</v>
      </c>
      <c r="K4417" s="150" t="s">
        <v>9364</v>
      </c>
      <c r="L4417" s="149" t="s">
        <v>2818</v>
      </c>
      <c r="M4417" s="151">
        <v>4310.8599999999997</v>
      </c>
    </row>
    <row r="4418" spans="1:13" s="149" customFormat="1" x14ac:dyDescent="0.25">
      <c r="A4418" s="149" t="s">
        <v>7640</v>
      </c>
      <c r="B4418" s="149" t="s">
        <v>2819</v>
      </c>
      <c r="C4418" s="149">
        <v>11</v>
      </c>
      <c r="D4418" s="149">
        <v>395</v>
      </c>
      <c r="E4418" s="149">
        <v>0</v>
      </c>
      <c r="F4418" s="149">
        <v>635050</v>
      </c>
      <c r="G4418" s="149">
        <v>53340</v>
      </c>
      <c r="H4418" s="150" t="str">
        <f t="shared" si="204"/>
        <v>5</v>
      </c>
      <c r="I4418" s="150" t="str">
        <f t="shared" si="205"/>
        <v>53</v>
      </c>
      <c r="J4418" s="150" t="str">
        <f t="shared" si="206"/>
        <v>533</v>
      </c>
      <c r="K4418" s="150" t="s">
        <v>9365</v>
      </c>
      <c r="L4418" s="149" t="s">
        <v>2820</v>
      </c>
      <c r="M4418" s="151">
        <v>1037.6600000000001</v>
      </c>
    </row>
    <row r="4419" spans="1:13" s="149" customFormat="1" x14ac:dyDescent="0.25">
      <c r="A4419" s="149" t="s">
        <v>7640</v>
      </c>
      <c r="B4419" s="149" t="s">
        <v>2821</v>
      </c>
      <c r="C4419" s="149">
        <v>11</v>
      </c>
      <c r="D4419" s="149">
        <v>395</v>
      </c>
      <c r="E4419" s="149">
        <v>0</v>
      </c>
      <c r="F4419" s="149">
        <v>635050</v>
      </c>
      <c r="G4419" s="149">
        <v>53420</v>
      </c>
      <c r="H4419" s="150" t="str">
        <f t="shared" ref="H4419:H4482" si="207">LEFT(G4419,1)</f>
        <v>5</v>
      </c>
      <c r="I4419" s="150" t="str">
        <f t="shared" ref="I4419:I4482" si="208">LEFT(G4419,2)</f>
        <v>53</v>
      </c>
      <c r="J4419" s="150" t="str">
        <f t="shared" ref="J4419:J4482" si="209">LEFT(G4419,3)</f>
        <v>534</v>
      </c>
      <c r="K4419" s="150" t="s">
        <v>9366</v>
      </c>
      <c r="L4419" s="149" t="s">
        <v>2822</v>
      </c>
      <c r="M4419" s="151">
        <v>26446.560000000001</v>
      </c>
    </row>
    <row r="4420" spans="1:13" s="149" customFormat="1" x14ac:dyDescent="0.25">
      <c r="A4420" s="149" t="s">
        <v>7640</v>
      </c>
      <c r="B4420" s="149" t="s">
        <v>2823</v>
      </c>
      <c r="C4420" s="149">
        <v>11</v>
      </c>
      <c r="D4420" s="149">
        <v>395</v>
      </c>
      <c r="E4420" s="149">
        <v>0</v>
      </c>
      <c r="F4420" s="149">
        <v>635050</v>
      </c>
      <c r="G4420" s="149">
        <v>53520</v>
      </c>
      <c r="H4420" s="150" t="str">
        <f t="shared" si="207"/>
        <v>5</v>
      </c>
      <c r="I4420" s="150" t="str">
        <f t="shared" si="208"/>
        <v>53</v>
      </c>
      <c r="J4420" s="150" t="str">
        <f t="shared" si="209"/>
        <v>535</v>
      </c>
      <c r="K4420" s="150" t="s">
        <v>9367</v>
      </c>
      <c r="L4420" s="149" t="s">
        <v>2824</v>
      </c>
      <c r="M4420" s="151">
        <v>36.130000000000003</v>
      </c>
    </row>
    <row r="4421" spans="1:13" s="149" customFormat="1" x14ac:dyDescent="0.25">
      <c r="A4421" s="149" t="s">
        <v>7640</v>
      </c>
      <c r="B4421" s="149" t="s">
        <v>2825</v>
      </c>
      <c r="C4421" s="149">
        <v>11</v>
      </c>
      <c r="D4421" s="149">
        <v>395</v>
      </c>
      <c r="E4421" s="149">
        <v>0</v>
      </c>
      <c r="F4421" s="149">
        <v>635050</v>
      </c>
      <c r="G4421" s="149">
        <v>53620</v>
      </c>
      <c r="H4421" s="150" t="str">
        <f t="shared" si="207"/>
        <v>5</v>
      </c>
      <c r="I4421" s="150" t="str">
        <f t="shared" si="208"/>
        <v>53</v>
      </c>
      <c r="J4421" s="150" t="str">
        <f t="shared" si="209"/>
        <v>536</v>
      </c>
      <c r="K4421" s="150" t="s">
        <v>9368</v>
      </c>
      <c r="L4421" s="149" t="s">
        <v>2826</v>
      </c>
      <c r="M4421" s="151">
        <v>1736.16</v>
      </c>
    </row>
    <row r="4422" spans="1:13" s="149" customFormat="1" x14ac:dyDescent="0.25">
      <c r="A4422" s="149" t="s">
        <v>7640</v>
      </c>
      <c r="B4422" s="149" t="s">
        <v>2827</v>
      </c>
      <c r="C4422" s="149">
        <v>11</v>
      </c>
      <c r="D4422" s="149">
        <v>395</v>
      </c>
      <c r="E4422" s="149">
        <v>0</v>
      </c>
      <c r="F4422" s="149">
        <v>635050</v>
      </c>
      <c r="G4422" s="149">
        <v>54210</v>
      </c>
      <c r="H4422" s="150" t="str">
        <f t="shared" si="207"/>
        <v>5</v>
      </c>
      <c r="I4422" s="150" t="str">
        <f t="shared" si="208"/>
        <v>54</v>
      </c>
      <c r="J4422" s="150" t="str">
        <f t="shared" si="209"/>
        <v>542</v>
      </c>
      <c r="K4422" s="150" t="s">
        <v>7914</v>
      </c>
      <c r="L4422" s="149" t="s">
        <v>2828</v>
      </c>
      <c r="M4422" s="151">
        <v>0</v>
      </c>
    </row>
    <row r="4423" spans="1:13" s="149" customFormat="1" x14ac:dyDescent="0.25">
      <c r="A4423" s="149" t="s">
        <v>7640</v>
      </c>
      <c r="B4423" s="149" t="s">
        <v>2829</v>
      </c>
      <c r="C4423" s="149">
        <v>11</v>
      </c>
      <c r="D4423" s="149">
        <v>395</v>
      </c>
      <c r="E4423" s="149">
        <v>0</v>
      </c>
      <c r="F4423" s="149">
        <v>635050</v>
      </c>
      <c r="G4423" s="149">
        <v>54300</v>
      </c>
      <c r="H4423" s="150" t="str">
        <f t="shared" si="207"/>
        <v>5</v>
      </c>
      <c r="I4423" s="150" t="str">
        <f t="shared" si="208"/>
        <v>54</v>
      </c>
      <c r="J4423" s="150" t="str">
        <f t="shared" si="209"/>
        <v>543</v>
      </c>
      <c r="K4423" s="150" t="s">
        <v>7973</v>
      </c>
      <c r="L4423" s="149" t="s">
        <v>2830</v>
      </c>
      <c r="M4423" s="151">
        <v>2052.56</v>
      </c>
    </row>
    <row r="4424" spans="1:13" s="149" customFormat="1" x14ac:dyDescent="0.25">
      <c r="A4424" s="149" t="s">
        <v>7640</v>
      </c>
      <c r="B4424" s="149" t="s">
        <v>2831</v>
      </c>
      <c r="C4424" s="149">
        <v>11</v>
      </c>
      <c r="D4424" s="149">
        <v>395</v>
      </c>
      <c r="E4424" s="149">
        <v>0</v>
      </c>
      <c r="F4424" s="149">
        <v>635050</v>
      </c>
      <c r="G4424" s="149">
        <v>55105</v>
      </c>
      <c r="H4424" s="150" t="str">
        <f t="shared" si="207"/>
        <v>5</v>
      </c>
      <c r="I4424" s="150" t="str">
        <f t="shared" si="208"/>
        <v>55</v>
      </c>
      <c r="J4424" s="150" t="str">
        <f t="shared" si="209"/>
        <v>551</v>
      </c>
      <c r="K4424" s="150" t="s">
        <v>8017</v>
      </c>
      <c r="L4424" s="149" t="s">
        <v>2832</v>
      </c>
      <c r="M4424" s="151">
        <v>0</v>
      </c>
    </row>
    <row r="4425" spans="1:13" s="149" customFormat="1" x14ac:dyDescent="0.25">
      <c r="A4425" s="149" t="s">
        <v>7640</v>
      </c>
      <c r="B4425" s="149" t="s">
        <v>2833</v>
      </c>
      <c r="C4425" s="149">
        <v>11</v>
      </c>
      <c r="D4425" s="149">
        <v>395</v>
      </c>
      <c r="E4425" s="149">
        <v>0</v>
      </c>
      <c r="F4425" s="149">
        <v>635050</v>
      </c>
      <c r="G4425" s="149">
        <v>55125</v>
      </c>
      <c r="H4425" s="150" t="str">
        <f t="shared" si="207"/>
        <v>5</v>
      </c>
      <c r="I4425" s="150" t="str">
        <f t="shared" si="208"/>
        <v>55</v>
      </c>
      <c r="J4425" s="150" t="str">
        <f t="shared" si="209"/>
        <v>551</v>
      </c>
      <c r="K4425" s="150" t="s">
        <v>8033</v>
      </c>
      <c r="L4425" s="149" t="s">
        <v>2834</v>
      </c>
      <c r="M4425" s="151">
        <v>0</v>
      </c>
    </row>
    <row r="4426" spans="1:13" s="149" customFormat="1" x14ac:dyDescent="0.25">
      <c r="A4426" s="149" t="s">
        <v>7640</v>
      </c>
      <c r="B4426" s="149" t="s">
        <v>2835</v>
      </c>
      <c r="C4426" s="149">
        <v>11</v>
      </c>
      <c r="D4426" s="149">
        <v>395</v>
      </c>
      <c r="E4426" s="149">
        <v>0</v>
      </c>
      <c r="F4426" s="149">
        <v>635050</v>
      </c>
      <c r="G4426" s="149">
        <v>55200</v>
      </c>
      <c r="H4426" s="150" t="str">
        <f t="shared" si="207"/>
        <v>5</v>
      </c>
      <c r="I4426" s="150" t="str">
        <f t="shared" si="208"/>
        <v>55</v>
      </c>
      <c r="J4426" s="150" t="str">
        <f t="shared" si="209"/>
        <v>552</v>
      </c>
      <c r="K4426" s="150" t="s">
        <v>8063</v>
      </c>
      <c r="L4426" s="149" t="s">
        <v>2836</v>
      </c>
      <c r="M4426" s="151">
        <v>100</v>
      </c>
    </row>
    <row r="4427" spans="1:13" s="149" customFormat="1" x14ac:dyDescent="0.25">
      <c r="A4427" s="149" t="s">
        <v>7640</v>
      </c>
      <c r="B4427" s="149" t="s">
        <v>2837</v>
      </c>
      <c r="C4427" s="149">
        <v>11</v>
      </c>
      <c r="D4427" s="149">
        <v>395</v>
      </c>
      <c r="E4427" s="149">
        <v>0</v>
      </c>
      <c r="F4427" s="149">
        <v>635050</v>
      </c>
      <c r="G4427" s="149">
        <v>55630</v>
      </c>
      <c r="H4427" s="150" t="str">
        <f t="shared" si="207"/>
        <v>5</v>
      </c>
      <c r="I4427" s="150" t="str">
        <f t="shared" si="208"/>
        <v>55</v>
      </c>
      <c r="J4427" s="150" t="str">
        <f t="shared" si="209"/>
        <v>556</v>
      </c>
      <c r="K4427" s="150" t="s">
        <v>8260</v>
      </c>
      <c r="L4427" s="149" t="s">
        <v>2838</v>
      </c>
      <c r="M4427" s="151">
        <v>14.66</v>
      </c>
    </row>
    <row r="4428" spans="1:13" s="149" customFormat="1" x14ac:dyDescent="0.25">
      <c r="A4428" s="149" t="s">
        <v>7640</v>
      </c>
      <c r="B4428" s="149" t="s">
        <v>2839</v>
      </c>
      <c r="C4428" s="149">
        <v>11</v>
      </c>
      <c r="D4428" s="149">
        <v>395</v>
      </c>
      <c r="E4428" s="149">
        <v>0</v>
      </c>
      <c r="F4428" s="149">
        <v>635050</v>
      </c>
      <c r="G4428" s="149">
        <v>55650</v>
      </c>
      <c r="H4428" s="150" t="str">
        <f t="shared" si="207"/>
        <v>5</v>
      </c>
      <c r="I4428" s="150" t="str">
        <f t="shared" si="208"/>
        <v>55</v>
      </c>
      <c r="J4428" s="150" t="str">
        <f t="shared" si="209"/>
        <v>556</v>
      </c>
      <c r="K4428" s="150" t="s">
        <v>8309</v>
      </c>
      <c r="L4428" s="149" t="s">
        <v>2840</v>
      </c>
      <c r="M4428" s="151">
        <v>21.5</v>
      </c>
    </row>
    <row r="4429" spans="1:13" s="149" customFormat="1" x14ac:dyDescent="0.25">
      <c r="A4429" s="149" t="s">
        <v>7640</v>
      </c>
      <c r="B4429" s="149" t="s">
        <v>2841</v>
      </c>
      <c r="C4429" s="149">
        <v>11</v>
      </c>
      <c r="D4429" s="149">
        <v>395</v>
      </c>
      <c r="E4429" s="149">
        <v>0</v>
      </c>
      <c r="F4429" s="149">
        <v>635050</v>
      </c>
      <c r="G4429" s="149">
        <v>56400</v>
      </c>
      <c r="H4429" s="150" t="str">
        <f t="shared" si="207"/>
        <v>5</v>
      </c>
      <c r="I4429" s="150" t="str">
        <f t="shared" si="208"/>
        <v>56</v>
      </c>
      <c r="J4429" s="150" t="str">
        <f t="shared" si="209"/>
        <v>564</v>
      </c>
      <c r="K4429" s="150" t="s">
        <v>8381</v>
      </c>
      <c r="L4429" s="149" t="s">
        <v>2842</v>
      </c>
      <c r="M4429" s="151">
        <v>2176.2600000000002</v>
      </c>
    </row>
    <row r="4430" spans="1:13" s="149" customFormat="1" x14ac:dyDescent="0.25">
      <c r="A4430" s="149" t="s">
        <v>7640</v>
      </c>
      <c r="B4430" s="149" t="s">
        <v>2843</v>
      </c>
      <c r="C4430" s="149">
        <v>11</v>
      </c>
      <c r="D4430" s="149">
        <v>395</v>
      </c>
      <c r="E4430" s="149">
        <v>0</v>
      </c>
      <c r="F4430" s="149">
        <v>696000</v>
      </c>
      <c r="G4430" s="149">
        <v>52130</v>
      </c>
      <c r="H4430" s="150" t="str">
        <f t="shared" si="207"/>
        <v>5</v>
      </c>
      <c r="I4430" s="150" t="str">
        <f t="shared" si="208"/>
        <v>52</v>
      </c>
      <c r="J4430" s="150" t="str">
        <f t="shared" si="209"/>
        <v>521</v>
      </c>
      <c r="K4430" s="150" t="s">
        <v>9369</v>
      </c>
      <c r="L4430" s="149" t="s">
        <v>2844</v>
      </c>
      <c r="M4430" s="151">
        <v>92518.399999999994</v>
      </c>
    </row>
    <row r="4431" spans="1:13" s="149" customFormat="1" x14ac:dyDescent="0.25">
      <c r="A4431" s="149" t="s">
        <v>7640</v>
      </c>
      <c r="B4431" s="149" t="s">
        <v>2845</v>
      </c>
      <c r="C4431" s="149">
        <v>11</v>
      </c>
      <c r="D4431" s="149">
        <v>395</v>
      </c>
      <c r="E4431" s="149">
        <v>0</v>
      </c>
      <c r="F4431" s="149">
        <v>696000</v>
      </c>
      <c r="G4431" s="149">
        <v>53220</v>
      </c>
      <c r="H4431" s="150" t="str">
        <f t="shared" si="207"/>
        <v>5</v>
      </c>
      <c r="I4431" s="150" t="str">
        <f t="shared" si="208"/>
        <v>53</v>
      </c>
      <c r="J4431" s="150" t="str">
        <f t="shared" si="209"/>
        <v>532</v>
      </c>
      <c r="K4431" s="150" t="s">
        <v>9370</v>
      </c>
      <c r="L4431" s="149" t="s">
        <v>2846</v>
      </c>
      <c r="M4431" s="151">
        <v>19151.3</v>
      </c>
    </row>
    <row r="4432" spans="1:13" s="149" customFormat="1" x14ac:dyDescent="0.25">
      <c r="A4432" s="149" t="s">
        <v>7640</v>
      </c>
      <c r="B4432" s="149" t="s">
        <v>2847</v>
      </c>
      <c r="C4432" s="149">
        <v>11</v>
      </c>
      <c r="D4432" s="149">
        <v>395</v>
      </c>
      <c r="E4432" s="149">
        <v>0</v>
      </c>
      <c r="F4432" s="149">
        <v>696000</v>
      </c>
      <c r="G4432" s="149">
        <v>53320</v>
      </c>
      <c r="H4432" s="150" t="str">
        <f t="shared" si="207"/>
        <v>5</v>
      </c>
      <c r="I4432" s="150" t="str">
        <f t="shared" si="208"/>
        <v>53</v>
      </c>
      <c r="J4432" s="150" t="str">
        <f t="shared" si="209"/>
        <v>533</v>
      </c>
      <c r="K4432" s="150" t="s">
        <v>9371</v>
      </c>
      <c r="L4432" s="149" t="s">
        <v>2848</v>
      </c>
      <c r="M4432" s="151">
        <v>5738.37</v>
      </c>
    </row>
    <row r="4433" spans="1:13" s="149" customFormat="1" x14ac:dyDescent="0.25">
      <c r="A4433" s="149" t="s">
        <v>7640</v>
      </c>
      <c r="B4433" s="149" t="s">
        <v>2849</v>
      </c>
      <c r="C4433" s="149">
        <v>11</v>
      </c>
      <c r="D4433" s="149">
        <v>395</v>
      </c>
      <c r="E4433" s="149">
        <v>0</v>
      </c>
      <c r="F4433" s="149">
        <v>696000</v>
      </c>
      <c r="G4433" s="149">
        <v>53340</v>
      </c>
      <c r="H4433" s="150" t="str">
        <f t="shared" si="207"/>
        <v>5</v>
      </c>
      <c r="I4433" s="150" t="str">
        <f t="shared" si="208"/>
        <v>53</v>
      </c>
      <c r="J4433" s="150" t="str">
        <f t="shared" si="209"/>
        <v>533</v>
      </c>
      <c r="K4433" s="150" t="s">
        <v>9372</v>
      </c>
      <c r="L4433" s="149" t="s">
        <v>2850</v>
      </c>
      <c r="M4433" s="151">
        <v>1342.03</v>
      </c>
    </row>
    <row r="4434" spans="1:13" s="149" customFormat="1" x14ac:dyDescent="0.25">
      <c r="A4434" s="149" t="s">
        <v>7640</v>
      </c>
      <c r="B4434" s="149" t="s">
        <v>2851</v>
      </c>
      <c r="C4434" s="149">
        <v>11</v>
      </c>
      <c r="D4434" s="149">
        <v>395</v>
      </c>
      <c r="E4434" s="149">
        <v>0</v>
      </c>
      <c r="F4434" s="149">
        <v>696000</v>
      </c>
      <c r="G4434" s="149">
        <v>53420</v>
      </c>
      <c r="H4434" s="150" t="str">
        <f t="shared" si="207"/>
        <v>5</v>
      </c>
      <c r="I4434" s="150" t="str">
        <f t="shared" si="208"/>
        <v>53</v>
      </c>
      <c r="J4434" s="150" t="str">
        <f t="shared" si="209"/>
        <v>534</v>
      </c>
      <c r="K4434" s="150" t="s">
        <v>9373</v>
      </c>
      <c r="L4434" s="149" t="s">
        <v>2852</v>
      </c>
      <c r="M4434" s="151">
        <v>18866.36</v>
      </c>
    </row>
    <row r="4435" spans="1:13" s="149" customFormat="1" x14ac:dyDescent="0.25">
      <c r="A4435" s="149" t="s">
        <v>7640</v>
      </c>
      <c r="B4435" s="149" t="s">
        <v>2853</v>
      </c>
      <c r="C4435" s="149">
        <v>11</v>
      </c>
      <c r="D4435" s="149">
        <v>395</v>
      </c>
      <c r="E4435" s="149">
        <v>0</v>
      </c>
      <c r="F4435" s="149">
        <v>696000</v>
      </c>
      <c r="G4435" s="149">
        <v>53520</v>
      </c>
      <c r="H4435" s="150" t="str">
        <f t="shared" si="207"/>
        <v>5</v>
      </c>
      <c r="I4435" s="150" t="str">
        <f t="shared" si="208"/>
        <v>53</v>
      </c>
      <c r="J4435" s="150" t="str">
        <f t="shared" si="209"/>
        <v>535</v>
      </c>
      <c r="K4435" s="150" t="s">
        <v>9374</v>
      </c>
      <c r="L4435" s="149" t="s">
        <v>2854</v>
      </c>
      <c r="M4435" s="151">
        <v>46.3</v>
      </c>
    </row>
    <row r="4436" spans="1:13" s="149" customFormat="1" x14ac:dyDescent="0.25">
      <c r="A4436" s="149" t="s">
        <v>7640</v>
      </c>
      <c r="B4436" s="149" t="s">
        <v>2855</v>
      </c>
      <c r="C4436" s="149">
        <v>11</v>
      </c>
      <c r="D4436" s="149">
        <v>395</v>
      </c>
      <c r="E4436" s="149">
        <v>0</v>
      </c>
      <c r="F4436" s="149">
        <v>696000</v>
      </c>
      <c r="G4436" s="149">
        <v>53620</v>
      </c>
      <c r="H4436" s="150" t="str">
        <f t="shared" si="207"/>
        <v>5</v>
      </c>
      <c r="I4436" s="150" t="str">
        <f t="shared" si="208"/>
        <v>53</v>
      </c>
      <c r="J4436" s="150" t="str">
        <f t="shared" si="209"/>
        <v>536</v>
      </c>
      <c r="K4436" s="150" t="s">
        <v>9375</v>
      </c>
      <c r="L4436" s="149" t="s">
        <v>2856</v>
      </c>
      <c r="M4436" s="151">
        <v>1749.3</v>
      </c>
    </row>
    <row r="4437" spans="1:13" s="149" customFormat="1" x14ac:dyDescent="0.25">
      <c r="A4437" s="149" t="s">
        <v>7640</v>
      </c>
      <c r="B4437" s="149" t="s">
        <v>2857</v>
      </c>
      <c r="C4437" s="149">
        <v>11</v>
      </c>
      <c r="D4437" s="149">
        <v>395</v>
      </c>
      <c r="E4437" s="149">
        <v>0</v>
      </c>
      <c r="F4437" s="149">
        <v>696000</v>
      </c>
      <c r="G4437" s="149">
        <v>53920</v>
      </c>
      <c r="H4437" s="150" t="str">
        <f t="shared" si="207"/>
        <v>5</v>
      </c>
      <c r="I4437" s="150" t="str">
        <f t="shared" si="208"/>
        <v>53</v>
      </c>
      <c r="J4437" s="150" t="str">
        <f t="shared" si="209"/>
        <v>539</v>
      </c>
      <c r="K4437" s="150" t="s">
        <v>9376</v>
      </c>
      <c r="L4437" s="149" t="s">
        <v>2858</v>
      </c>
      <c r="M4437" s="151">
        <v>1800</v>
      </c>
    </row>
    <row r="4438" spans="1:13" s="149" customFormat="1" x14ac:dyDescent="0.25">
      <c r="A4438" s="149" t="s">
        <v>7640</v>
      </c>
      <c r="B4438" s="149" t="s">
        <v>2859</v>
      </c>
      <c r="C4438" s="149">
        <v>11</v>
      </c>
      <c r="D4438" s="149">
        <v>395</v>
      </c>
      <c r="E4438" s="149">
        <v>0</v>
      </c>
      <c r="F4438" s="149">
        <v>696000</v>
      </c>
      <c r="G4438" s="149">
        <v>55630</v>
      </c>
      <c r="H4438" s="150" t="str">
        <f t="shared" si="207"/>
        <v>5</v>
      </c>
      <c r="I4438" s="150" t="str">
        <f t="shared" si="208"/>
        <v>55</v>
      </c>
      <c r="J4438" s="150" t="str">
        <f t="shared" si="209"/>
        <v>556</v>
      </c>
      <c r="K4438" s="150" t="s">
        <v>8261</v>
      </c>
      <c r="L4438" s="149" t="s">
        <v>2860</v>
      </c>
      <c r="M4438" s="151">
        <v>0</v>
      </c>
    </row>
    <row r="4439" spans="1:13" s="149" customFormat="1" x14ac:dyDescent="0.25">
      <c r="A4439" s="149" t="s">
        <v>7640</v>
      </c>
      <c r="B4439" s="149" t="s">
        <v>2861</v>
      </c>
      <c r="C4439" s="149">
        <v>11</v>
      </c>
      <c r="D4439" s="149">
        <v>398</v>
      </c>
      <c r="E4439" s="149">
        <v>0</v>
      </c>
      <c r="F4439" s="149">
        <v>0</v>
      </c>
      <c r="G4439" s="149">
        <v>48630</v>
      </c>
      <c r="H4439" s="150" t="str">
        <f t="shared" si="207"/>
        <v>4</v>
      </c>
      <c r="I4439" s="150" t="str">
        <f t="shared" si="208"/>
        <v>48</v>
      </c>
      <c r="J4439" s="150" t="str">
        <f t="shared" si="209"/>
        <v>486</v>
      </c>
      <c r="K4439" s="150" t="s">
        <v>9602</v>
      </c>
      <c r="L4439" s="149" t="s">
        <v>19</v>
      </c>
      <c r="M4439" s="151">
        <v>-6044209</v>
      </c>
    </row>
    <row r="4440" spans="1:13" s="149" customFormat="1" x14ac:dyDescent="0.25">
      <c r="A4440" s="149" t="s">
        <v>7640</v>
      </c>
      <c r="B4440" s="149" t="s">
        <v>2862</v>
      </c>
      <c r="C4440" s="149">
        <v>11</v>
      </c>
      <c r="D4440" s="149">
        <v>399</v>
      </c>
      <c r="E4440" s="149">
        <v>0</v>
      </c>
      <c r="F4440" s="149">
        <v>0</v>
      </c>
      <c r="G4440" s="149">
        <v>48680</v>
      </c>
      <c r="H4440" s="150" t="str">
        <f t="shared" si="207"/>
        <v>4</v>
      </c>
      <c r="I4440" s="150" t="str">
        <f t="shared" si="208"/>
        <v>48</v>
      </c>
      <c r="J4440" s="150" t="str">
        <f t="shared" si="209"/>
        <v>486</v>
      </c>
      <c r="K4440" s="150" t="s">
        <v>9603</v>
      </c>
      <c r="L4440" s="149" t="s">
        <v>2863</v>
      </c>
      <c r="M4440" s="151">
        <v>-981066.41</v>
      </c>
    </row>
    <row r="4441" spans="1:13" s="149" customFormat="1" x14ac:dyDescent="0.25">
      <c r="A4441" s="149" t="s">
        <v>7640</v>
      </c>
      <c r="B4441" s="149" t="s">
        <v>2864</v>
      </c>
      <c r="C4441" s="149">
        <v>11</v>
      </c>
      <c r="D4441" s="149">
        <v>400</v>
      </c>
      <c r="E4441" s="149">
        <v>0</v>
      </c>
      <c r="F4441" s="149">
        <v>493010</v>
      </c>
      <c r="G4441" s="149">
        <v>51310</v>
      </c>
      <c r="H4441" s="150" t="str">
        <f t="shared" si="207"/>
        <v>5</v>
      </c>
      <c r="I4441" s="150" t="str">
        <f t="shared" si="208"/>
        <v>51</v>
      </c>
      <c r="J4441" s="150" t="str">
        <f t="shared" si="209"/>
        <v>513</v>
      </c>
      <c r="K4441" s="150" t="s">
        <v>7690</v>
      </c>
      <c r="L4441" s="149" t="s">
        <v>2865</v>
      </c>
      <c r="M4441" s="151">
        <v>1373.6</v>
      </c>
    </row>
    <row r="4442" spans="1:13" s="149" customFormat="1" x14ac:dyDescent="0.25">
      <c r="A4442" s="149" t="s">
        <v>7640</v>
      </c>
      <c r="B4442" s="149" t="s">
        <v>2866</v>
      </c>
      <c r="C4442" s="149">
        <v>11</v>
      </c>
      <c r="D4442" s="149">
        <v>400</v>
      </c>
      <c r="E4442" s="149">
        <v>0</v>
      </c>
      <c r="F4442" s="149">
        <v>493010</v>
      </c>
      <c r="G4442" s="149">
        <v>53110</v>
      </c>
      <c r="H4442" s="150" t="str">
        <f t="shared" si="207"/>
        <v>5</v>
      </c>
      <c r="I4442" s="150" t="str">
        <f t="shared" si="208"/>
        <v>53</v>
      </c>
      <c r="J4442" s="150" t="str">
        <f t="shared" si="209"/>
        <v>531</v>
      </c>
      <c r="K4442" s="150" t="s">
        <v>9377</v>
      </c>
      <c r="L4442" s="149" t="s">
        <v>459</v>
      </c>
      <c r="M4442" s="151">
        <v>221.84</v>
      </c>
    </row>
    <row r="4443" spans="1:13" s="149" customFormat="1" x14ac:dyDescent="0.25">
      <c r="A4443" s="149" t="s">
        <v>7640</v>
      </c>
      <c r="B4443" s="149" t="s">
        <v>2867</v>
      </c>
      <c r="C4443" s="149">
        <v>11</v>
      </c>
      <c r="D4443" s="149">
        <v>400</v>
      </c>
      <c r="E4443" s="149">
        <v>0</v>
      </c>
      <c r="F4443" s="149">
        <v>493010</v>
      </c>
      <c r="G4443" s="149">
        <v>53330</v>
      </c>
      <c r="H4443" s="150" t="str">
        <f t="shared" si="207"/>
        <v>5</v>
      </c>
      <c r="I4443" s="150" t="str">
        <f t="shared" si="208"/>
        <v>53</v>
      </c>
      <c r="J4443" s="150" t="str">
        <f t="shared" si="209"/>
        <v>533</v>
      </c>
      <c r="K4443" s="150" t="s">
        <v>9378</v>
      </c>
      <c r="L4443" s="149" t="s">
        <v>461</v>
      </c>
      <c r="M4443" s="151">
        <v>19.920000000000002</v>
      </c>
    </row>
    <row r="4444" spans="1:13" s="149" customFormat="1" x14ac:dyDescent="0.25">
      <c r="A4444" s="149" t="s">
        <v>7640</v>
      </c>
      <c r="B4444" s="149" t="s">
        <v>2868</v>
      </c>
      <c r="C4444" s="149">
        <v>11</v>
      </c>
      <c r="D4444" s="149">
        <v>400</v>
      </c>
      <c r="E4444" s="149">
        <v>0</v>
      </c>
      <c r="F4444" s="149">
        <v>493010</v>
      </c>
      <c r="G4444" s="149">
        <v>53510</v>
      </c>
      <c r="H4444" s="150" t="str">
        <f t="shared" si="207"/>
        <v>5</v>
      </c>
      <c r="I4444" s="150" t="str">
        <f t="shared" si="208"/>
        <v>53</v>
      </c>
      <c r="J4444" s="150" t="str">
        <f t="shared" si="209"/>
        <v>535</v>
      </c>
      <c r="K4444" s="150" t="s">
        <v>9379</v>
      </c>
      <c r="L4444" s="149" t="s">
        <v>463</v>
      </c>
      <c r="M4444" s="151">
        <v>0.69</v>
      </c>
    </row>
    <row r="4445" spans="1:13" s="149" customFormat="1" x14ac:dyDescent="0.25">
      <c r="A4445" s="149" t="s">
        <v>7640</v>
      </c>
      <c r="B4445" s="149" t="s">
        <v>2869</v>
      </c>
      <c r="C4445" s="149">
        <v>11</v>
      </c>
      <c r="D4445" s="149">
        <v>400</v>
      </c>
      <c r="E4445" s="149">
        <v>0</v>
      </c>
      <c r="F4445" s="149">
        <v>493010</v>
      </c>
      <c r="G4445" s="149">
        <v>53610</v>
      </c>
      <c r="H4445" s="150" t="str">
        <f t="shared" si="207"/>
        <v>5</v>
      </c>
      <c r="I4445" s="150" t="str">
        <f t="shared" si="208"/>
        <v>53</v>
      </c>
      <c r="J4445" s="150" t="str">
        <f t="shared" si="209"/>
        <v>536</v>
      </c>
      <c r="K4445" s="150" t="s">
        <v>9380</v>
      </c>
      <c r="L4445" s="149" t="s">
        <v>465</v>
      </c>
      <c r="M4445" s="151">
        <v>25.97</v>
      </c>
    </row>
    <row r="4446" spans="1:13" s="149" customFormat="1" x14ac:dyDescent="0.25">
      <c r="A4446" s="149" t="s">
        <v>7640</v>
      </c>
      <c r="B4446" s="149" t="s">
        <v>2870</v>
      </c>
      <c r="C4446" s="149">
        <v>11</v>
      </c>
      <c r="D4446" s="149">
        <v>400</v>
      </c>
      <c r="E4446" s="149">
        <v>0</v>
      </c>
      <c r="F4446" s="149">
        <v>620020</v>
      </c>
      <c r="G4446" s="149">
        <v>52300</v>
      </c>
      <c r="H4446" s="150" t="str">
        <f t="shared" si="207"/>
        <v>5</v>
      </c>
      <c r="I4446" s="150" t="str">
        <f t="shared" si="208"/>
        <v>52</v>
      </c>
      <c r="J4446" s="150" t="str">
        <f t="shared" si="209"/>
        <v>523</v>
      </c>
      <c r="K4446" s="150" t="s">
        <v>7833</v>
      </c>
      <c r="L4446" s="149" t="s">
        <v>2871</v>
      </c>
      <c r="M4446" s="151">
        <v>0</v>
      </c>
    </row>
    <row r="4447" spans="1:13" s="149" customFormat="1" x14ac:dyDescent="0.25">
      <c r="A4447" s="149" t="s">
        <v>7640</v>
      </c>
      <c r="B4447" s="149" t="s">
        <v>2872</v>
      </c>
      <c r="C4447" s="149">
        <v>11</v>
      </c>
      <c r="D4447" s="149">
        <v>400</v>
      </c>
      <c r="E4447" s="149">
        <v>0</v>
      </c>
      <c r="F4447" s="149">
        <v>620020</v>
      </c>
      <c r="G4447" s="149">
        <v>53320</v>
      </c>
      <c r="H4447" s="150" t="str">
        <f t="shared" si="207"/>
        <v>5</v>
      </c>
      <c r="I4447" s="150" t="str">
        <f t="shared" si="208"/>
        <v>53</v>
      </c>
      <c r="J4447" s="150" t="str">
        <f t="shared" si="209"/>
        <v>533</v>
      </c>
      <c r="K4447" s="150" t="s">
        <v>9381</v>
      </c>
      <c r="L4447" s="149" t="s">
        <v>2873</v>
      </c>
      <c r="M4447" s="151">
        <v>0</v>
      </c>
    </row>
    <row r="4448" spans="1:13" s="149" customFormat="1" x14ac:dyDescent="0.25">
      <c r="A4448" s="149" t="s">
        <v>7640</v>
      </c>
      <c r="B4448" s="149" t="s">
        <v>2874</v>
      </c>
      <c r="C4448" s="149">
        <v>11</v>
      </c>
      <c r="D4448" s="149">
        <v>400</v>
      </c>
      <c r="E4448" s="149">
        <v>0</v>
      </c>
      <c r="F4448" s="149">
        <v>620020</v>
      </c>
      <c r="G4448" s="149">
        <v>53340</v>
      </c>
      <c r="H4448" s="150" t="str">
        <f t="shared" si="207"/>
        <v>5</v>
      </c>
      <c r="I4448" s="150" t="str">
        <f t="shared" si="208"/>
        <v>53</v>
      </c>
      <c r="J4448" s="150" t="str">
        <f t="shared" si="209"/>
        <v>533</v>
      </c>
      <c r="K4448" s="150" t="s">
        <v>9382</v>
      </c>
      <c r="L4448" s="149" t="s">
        <v>2875</v>
      </c>
      <c r="M4448" s="151">
        <v>0</v>
      </c>
    </row>
    <row r="4449" spans="1:13" s="149" customFormat="1" x14ac:dyDescent="0.25">
      <c r="A4449" s="149" t="s">
        <v>7640</v>
      </c>
      <c r="B4449" s="149" t="s">
        <v>2876</v>
      </c>
      <c r="C4449" s="149">
        <v>11</v>
      </c>
      <c r="D4449" s="149">
        <v>400</v>
      </c>
      <c r="E4449" s="149">
        <v>0</v>
      </c>
      <c r="F4449" s="149">
        <v>620020</v>
      </c>
      <c r="G4449" s="149">
        <v>53520</v>
      </c>
      <c r="H4449" s="150" t="str">
        <f t="shared" si="207"/>
        <v>5</v>
      </c>
      <c r="I4449" s="150" t="str">
        <f t="shared" si="208"/>
        <v>53</v>
      </c>
      <c r="J4449" s="150" t="str">
        <f t="shared" si="209"/>
        <v>535</v>
      </c>
      <c r="K4449" s="150" t="s">
        <v>9383</v>
      </c>
      <c r="L4449" s="149" t="s">
        <v>2877</v>
      </c>
      <c r="M4449" s="151">
        <v>0</v>
      </c>
    </row>
    <row r="4450" spans="1:13" s="149" customFormat="1" x14ac:dyDescent="0.25">
      <c r="A4450" s="149" t="s">
        <v>7640</v>
      </c>
      <c r="B4450" s="149" t="s">
        <v>2878</v>
      </c>
      <c r="C4450" s="149">
        <v>11</v>
      </c>
      <c r="D4450" s="149">
        <v>400</v>
      </c>
      <c r="E4450" s="149">
        <v>0</v>
      </c>
      <c r="F4450" s="149">
        <v>620020</v>
      </c>
      <c r="G4450" s="149">
        <v>53620</v>
      </c>
      <c r="H4450" s="150" t="str">
        <f t="shared" si="207"/>
        <v>5</v>
      </c>
      <c r="I4450" s="150" t="str">
        <f t="shared" si="208"/>
        <v>53</v>
      </c>
      <c r="J4450" s="150" t="str">
        <f t="shared" si="209"/>
        <v>536</v>
      </c>
      <c r="K4450" s="150" t="s">
        <v>9384</v>
      </c>
      <c r="L4450" s="149" t="s">
        <v>2879</v>
      </c>
      <c r="M4450" s="151">
        <v>0</v>
      </c>
    </row>
    <row r="4451" spans="1:13" s="149" customFormat="1" x14ac:dyDescent="0.25">
      <c r="A4451" s="149" t="s">
        <v>7640</v>
      </c>
      <c r="B4451" s="149" t="s">
        <v>2880</v>
      </c>
      <c r="C4451" s="149">
        <v>11</v>
      </c>
      <c r="D4451" s="149">
        <v>400</v>
      </c>
      <c r="E4451" s="149">
        <v>0</v>
      </c>
      <c r="F4451" s="149">
        <v>620020</v>
      </c>
      <c r="G4451" s="149">
        <v>54300</v>
      </c>
      <c r="H4451" s="150" t="str">
        <f t="shared" si="207"/>
        <v>5</v>
      </c>
      <c r="I4451" s="150" t="str">
        <f t="shared" si="208"/>
        <v>54</v>
      </c>
      <c r="J4451" s="150" t="str">
        <f t="shared" si="209"/>
        <v>543</v>
      </c>
      <c r="K4451" s="150" t="s">
        <v>7974</v>
      </c>
      <c r="L4451" s="149" t="s">
        <v>2881</v>
      </c>
      <c r="M4451" s="151">
        <v>0</v>
      </c>
    </row>
    <row r="4452" spans="1:13" s="149" customFormat="1" x14ac:dyDescent="0.25">
      <c r="A4452" s="149" t="s">
        <v>7640</v>
      </c>
      <c r="B4452" s="149" t="s">
        <v>2882</v>
      </c>
      <c r="C4452" s="149">
        <v>11</v>
      </c>
      <c r="D4452" s="149">
        <v>400</v>
      </c>
      <c r="E4452" s="149">
        <v>0</v>
      </c>
      <c r="F4452" s="149">
        <v>620020</v>
      </c>
      <c r="G4452" s="149">
        <v>55100</v>
      </c>
      <c r="H4452" s="150" t="str">
        <f t="shared" si="207"/>
        <v>5</v>
      </c>
      <c r="I4452" s="150" t="str">
        <f t="shared" si="208"/>
        <v>55</v>
      </c>
      <c r="J4452" s="150" t="str">
        <f t="shared" si="209"/>
        <v>551</v>
      </c>
      <c r="K4452" s="150" t="s">
        <v>7999</v>
      </c>
      <c r="L4452" s="149" t="s">
        <v>2883</v>
      </c>
      <c r="M4452" s="151">
        <v>0</v>
      </c>
    </row>
    <row r="4453" spans="1:13" s="149" customFormat="1" x14ac:dyDescent="0.25">
      <c r="A4453" s="149" t="s">
        <v>7640</v>
      </c>
      <c r="B4453" s="149" t="s">
        <v>2884</v>
      </c>
      <c r="C4453" s="149">
        <v>11</v>
      </c>
      <c r="D4453" s="149">
        <v>400</v>
      </c>
      <c r="E4453" s="149">
        <v>0</v>
      </c>
      <c r="F4453" s="149">
        <v>620020</v>
      </c>
      <c r="G4453" s="149">
        <v>55635</v>
      </c>
      <c r="H4453" s="150" t="str">
        <f t="shared" si="207"/>
        <v>5</v>
      </c>
      <c r="I4453" s="150" t="str">
        <f t="shared" si="208"/>
        <v>55</v>
      </c>
      <c r="J4453" s="150" t="str">
        <f t="shared" si="209"/>
        <v>556</v>
      </c>
      <c r="K4453" s="150" t="s">
        <v>8283</v>
      </c>
      <c r="L4453" s="149" t="s">
        <v>2885</v>
      </c>
      <c r="M4453" s="151">
        <v>0</v>
      </c>
    </row>
    <row r="4454" spans="1:13" s="149" customFormat="1" x14ac:dyDescent="0.25">
      <c r="A4454" s="149" t="s">
        <v>7640</v>
      </c>
      <c r="B4454" s="149" t="s">
        <v>2886</v>
      </c>
      <c r="C4454" s="149">
        <v>11</v>
      </c>
      <c r="D4454" s="149">
        <v>400</v>
      </c>
      <c r="E4454" s="149">
        <v>0</v>
      </c>
      <c r="F4454" s="149">
        <v>631000</v>
      </c>
      <c r="G4454" s="149">
        <v>51200</v>
      </c>
      <c r="H4454" s="150" t="str">
        <f t="shared" si="207"/>
        <v>5</v>
      </c>
      <c r="I4454" s="150" t="str">
        <f t="shared" si="208"/>
        <v>51</v>
      </c>
      <c r="J4454" s="150" t="str">
        <f t="shared" si="209"/>
        <v>512</v>
      </c>
      <c r="K4454" s="150" t="s">
        <v>9385</v>
      </c>
      <c r="L4454" s="149" t="s">
        <v>2887</v>
      </c>
      <c r="M4454" s="151">
        <v>505940.04</v>
      </c>
    </row>
    <row r="4455" spans="1:13" s="149" customFormat="1" x14ac:dyDescent="0.25">
      <c r="A4455" s="149" t="s">
        <v>7640</v>
      </c>
      <c r="B4455" s="149" t="s">
        <v>2888</v>
      </c>
      <c r="C4455" s="149">
        <v>11</v>
      </c>
      <c r="D4455" s="149">
        <v>400</v>
      </c>
      <c r="E4455" s="149">
        <v>0</v>
      </c>
      <c r="F4455" s="149">
        <v>631000</v>
      </c>
      <c r="G4455" s="149">
        <v>51210</v>
      </c>
      <c r="H4455" s="150" t="str">
        <f t="shared" si="207"/>
        <v>5</v>
      </c>
      <c r="I4455" s="150" t="str">
        <f t="shared" si="208"/>
        <v>51</v>
      </c>
      <c r="J4455" s="150" t="str">
        <f t="shared" si="209"/>
        <v>512</v>
      </c>
      <c r="K4455" s="150" t="s">
        <v>9386</v>
      </c>
      <c r="L4455" s="149" t="s">
        <v>2889</v>
      </c>
      <c r="M4455" s="151">
        <v>114005.68</v>
      </c>
    </row>
    <row r="4456" spans="1:13" s="149" customFormat="1" x14ac:dyDescent="0.25">
      <c r="A4456" s="149" t="s">
        <v>7640</v>
      </c>
      <c r="B4456" s="149" t="s">
        <v>2890</v>
      </c>
      <c r="C4456" s="149">
        <v>11</v>
      </c>
      <c r="D4456" s="149">
        <v>400</v>
      </c>
      <c r="E4456" s="149">
        <v>0</v>
      </c>
      <c r="F4456" s="149">
        <v>631000</v>
      </c>
      <c r="G4456" s="149">
        <v>51310</v>
      </c>
      <c r="H4456" s="150" t="str">
        <f t="shared" si="207"/>
        <v>5</v>
      </c>
      <c r="I4456" s="150" t="str">
        <f t="shared" si="208"/>
        <v>51</v>
      </c>
      <c r="J4456" s="150" t="str">
        <f t="shared" si="209"/>
        <v>513</v>
      </c>
      <c r="K4456" s="150" t="s">
        <v>7691</v>
      </c>
      <c r="L4456" s="149" t="s">
        <v>2891</v>
      </c>
      <c r="M4456" s="151">
        <v>69534.53</v>
      </c>
    </row>
    <row r="4457" spans="1:13" s="149" customFormat="1" x14ac:dyDescent="0.25">
      <c r="A4457" s="149" t="s">
        <v>7640</v>
      </c>
      <c r="B4457" s="149" t="s">
        <v>2892</v>
      </c>
      <c r="C4457" s="149">
        <v>11</v>
      </c>
      <c r="D4457" s="149">
        <v>400</v>
      </c>
      <c r="E4457" s="149">
        <v>0</v>
      </c>
      <c r="F4457" s="149">
        <v>631000</v>
      </c>
      <c r="G4457" s="149">
        <v>51311</v>
      </c>
      <c r="H4457" s="150" t="str">
        <f t="shared" si="207"/>
        <v>5</v>
      </c>
      <c r="I4457" s="150" t="str">
        <f t="shared" si="208"/>
        <v>51</v>
      </c>
      <c r="J4457" s="150" t="str">
        <f t="shared" si="209"/>
        <v>513</v>
      </c>
      <c r="K4457" s="150" t="s">
        <v>7770</v>
      </c>
      <c r="L4457" s="149" t="s">
        <v>529</v>
      </c>
      <c r="M4457" s="151">
        <v>36751.64</v>
      </c>
    </row>
    <row r="4458" spans="1:13" s="149" customFormat="1" x14ac:dyDescent="0.25">
      <c r="A4458" s="149" t="s">
        <v>7640</v>
      </c>
      <c r="B4458" s="149" t="s">
        <v>2893</v>
      </c>
      <c r="C4458" s="149">
        <v>11</v>
      </c>
      <c r="D4458" s="149">
        <v>400</v>
      </c>
      <c r="E4458" s="149">
        <v>0</v>
      </c>
      <c r="F4458" s="149">
        <v>631000</v>
      </c>
      <c r="G4458" s="149">
        <v>51410</v>
      </c>
      <c r="H4458" s="150" t="str">
        <f t="shared" si="207"/>
        <v>5</v>
      </c>
      <c r="I4458" s="150" t="str">
        <f t="shared" si="208"/>
        <v>51</v>
      </c>
      <c r="J4458" s="150" t="str">
        <f t="shared" si="209"/>
        <v>514</v>
      </c>
      <c r="K4458" s="150" t="s">
        <v>7773</v>
      </c>
      <c r="L4458" s="149" t="s">
        <v>2894</v>
      </c>
      <c r="M4458" s="151">
        <v>33734.42</v>
      </c>
    </row>
    <row r="4459" spans="1:13" s="149" customFormat="1" x14ac:dyDescent="0.25">
      <c r="A4459" s="149" t="s">
        <v>7640</v>
      </c>
      <c r="B4459" s="149" t="s">
        <v>2895</v>
      </c>
      <c r="C4459" s="149">
        <v>11</v>
      </c>
      <c r="D4459" s="149">
        <v>400</v>
      </c>
      <c r="E4459" s="149">
        <v>0</v>
      </c>
      <c r="F4459" s="149">
        <v>631000</v>
      </c>
      <c r="G4459" s="149">
        <v>51411</v>
      </c>
      <c r="H4459" s="150" t="str">
        <f t="shared" si="207"/>
        <v>5</v>
      </c>
      <c r="I4459" s="150" t="str">
        <f t="shared" si="208"/>
        <v>51</v>
      </c>
      <c r="J4459" s="150" t="str">
        <f t="shared" si="209"/>
        <v>514</v>
      </c>
      <c r="K4459" s="150" t="s">
        <v>7778</v>
      </c>
      <c r="L4459" s="149" t="s">
        <v>531</v>
      </c>
      <c r="M4459" s="151">
        <v>60426.97</v>
      </c>
    </row>
    <row r="4460" spans="1:13" s="149" customFormat="1" x14ac:dyDescent="0.25">
      <c r="A4460" s="149" t="s">
        <v>7640</v>
      </c>
      <c r="B4460" s="149" t="s">
        <v>2896</v>
      </c>
      <c r="C4460" s="149">
        <v>11</v>
      </c>
      <c r="D4460" s="149">
        <v>400</v>
      </c>
      <c r="E4460" s="149">
        <v>0</v>
      </c>
      <c r="F4460" s="149">
        <v>631000</v>
      </c>
      <c r="G4460" s="149">
        <v>52105</v>
      </c>
      <c r="H4460" s="150" t="str">
        <f t="shared" si="207"/>
        <v>5</v>
      </c>
      <c r="I4460" s="150" t="str">
        <f t="shared" si="208"/>
        <v>52</v>
      </c>
      <c r="J4460" s="150" t="str">
        <f t="shared" si="209"/>
        <v>521</v>
      </c>
      <c r="K4460" s="150" t="s">
        <v>9387</v>
      </c>
      <c r="L4460" s="149" t="s">
        <v>2897</v>
      </c>
      <c r="M4460" s="151">
        <v>46739.13</v>
      </c>
    </row>
    <row r="4461" spans="1:13" s="149" customFormat="1" x14ac:dyDescent="0.25">
      <c r="A4461" s="149" t="s">
        <v>7640</v>
      </c>
      <c r="B4461" s="149" t="s">
        <v>2898</v>
      </c>
      <c r="C4461" s="149">
        <v>11</v>
      </c>
      <c r="D4461" s="149">
        <v>400</v>
      </c>
      <c r="E4461" s="149">
        <v>0</v>
      </c>
      <c r="F4461" s="149">
        <v>631000</v>
      </c>
      <c r="G4461" s="149">
        <v>52300</v>
      </c>
      <c r="H4461" s="150" t="str">
        <f t="shared" si="207"/>
        <v>5</v>
      </c>
      <c r="I4461" s="150" t="str">
        <f t="shared" si="208"/>
        <v>52</v>
      </c>
      <c r="J4461" s="150" t="str">
        <f t="shared" si="209"/>
        <v>523</v>
      </c>
      <c r="K4461" s="150" t="s">
        <v>7834</v>
      </c>
      <c r="L4461" s="149" t="s">
        <v>2899</v>
      </c>
      <c r="M4461" s="151">
        <v>726.23</v>
      </c>
    </row>
    <row r="4462" spans="1:13" s="149" customFormat="1" x14ac:dyDescent="0.25">
      <c r="A4462" s="149" t="s">
        <v>7640</v>
      </c>
      <c r="B4462" s="149" t="s">
        <v>2900</v>
      </c>
      <c r="C4462" s="149">
        <v>11</v>
      </c>
      <c r="D4462" s="149">
        <v>400</v>
      </c>
      <c r="E4462" s="149">
        <v>0</v>
      </c>
      <c r="F4462" s="149">
        <v>631000</v>
      </c>
      <c r="G4462" s="149">
        <v>52360</v>
      </c>
      <c r="H4462" s="150" t="str">
        <f t="shared" si="207"/>
        <v>5</v>
      </c>
      <c r="I4462" s="150" t="str">
        <f t="shared" si="208"/>
        <v>52</v>
      </c>
      <c r="J4462" s="150" t="str">
        <f t="shared" si="209"/>
        <v>523</v>
      </c>
      <c r="K4462" s="150" t="s">
        <v>7880</v>
      </c>
      <c r="L4462" s="149" t="s">
        <v>2901</v>
      </c>
      <c r="M4462" s="151">
        <v>3253.12</v>
      </c>
    </row>
    <row r="4463" spans="1:13" s="149" customFormat="1" x14ac:dyDescent="0.25">
      <c r="A4463" s="149" t="s">
        <v>7640</v>
      </c>
      <c r="B4463" s="149" t="s">
        <v>2902</v>
      </c>
      <c r="C4463" s="149">
        <v>11</v>
      </c>
      <c r="D4463" s="149">
        <v>400</v>
      </c>
      <c r="E4463" s="149">
        <v>0</v>
      </c>
      <c r="F4463" s="149">
        <v>631000</v>
      </c>
      <c r="G4463" s="149">
        <v>53110</v>
      </c>
      <c r="H4463" s="150" t="str">
        <f t="shared" si="207"/>
        <v>5</v>
      </c>
      <c r="I4463" s="150" t="str">
        <f t="shared" si="208"/>
        <v>53</v>
      </c>
      <c r="J4463" s="150" t="str">
        <f t="shared" si="209"/>
        <v>531</v>
      </c>
      <c r="K4463" s="150" t="s">
        <v>9388</v>
      </c>
      <c r="L4463" s="149" t="s">
        <v>533</v>
      </c>
      <c r="M4463" s="151">
        <v>14462.95</v>
      </c>
    </row>
    <row r="4464" spans="1:13" s="149" customFormat="1" x14ac:dyDescent="0.25">
      <c r="A4464" s="149" t="s">
        <v>7640</v>
      </c>
      <c r="B4464" s="149" t="s">
        <v>2903</v>
      </c>
      <c r="C4464" s="149">
        <v>11</v>
      </c>
      <c r="D4464" s="149">
        <v>400</v>
      </c>
      <c r="E4464" s="149">
        <v>0</v>
      </c>
      <c r="F4464" s="149">
        <v>631000</v>
      </c>
      <c r="G4464" s="149">
        <v>53120</v>
      </c>
      <c r="H4464" s="150" t="str">
        <f t="shared" si="207"/>
        <v>5</v>
      </c>
      <c r="I4464" s="150" t="str">
        <f t="shared" si="208"/>
        <v>53</v>
      </c>
      <c r="J4464" s="150" t="str">
        <f t="shared" si="209"/>
        <v>531</v>
      </c>
      <c r="K4464" s="150" t="s">
        <v>9389</v>
      </c>
      <c r="L4464" s="149" t="s">
        <v>535</v>
      </c>
      <c r="M4464" s="151">
        <v>83491.679999999993</v>
      </c>
    </row>
    <row r="4465" spans="1:14" s="149" customFormat="1" x14ac:dyDescent="0.25">
      <c r="A4465" s="149" t="s">
        <v>7640</v>
      </c>
      <c r="B4465" s="149" t="s">
        <v>2904</v>
      </c>
      <c r="C4465" s="149">
        <v>11</v>
      </c>
      <c r="D4465" s="149">
        <v>400</v>
      </c>
      <c r="E4465" s="149">
        <v>0</v>
      </c>
      <c r="F4465" s="149">
        <v>631000</v>
      </c>
      <c r="G4465" s="149">
        <v>53220</v>
      </c>
      <c r="H4465" s="150" t="str">
        <f t="shared" si="207"/>
        <v>5</v>
      </c>
      <c r="I4465" s="150" t="str">
        <f t="shared" si="208"/>
        <v>53</v>
      </c>
      <c r="J4465" s="150" t="str">
        <f t="shared" si="209"/>
        <v>532</v>
      </c>
      <c r="K4465" s="150" t="s">
        <v>9390</v>
      </c>
      <c r="L4465" s="149" t="s">
        <v>2905</v>
      </c>
      <c r="M4465" s="151">
        <v>50471.93</v>
      </c>
    </row>
    <row r="4466" spans="1:14" s="149" customFormat="1" x14ac:dyDescent="0.25">
      <c r="A4466" s="149" t="s">
        <v>7640</v>
      </c>
      <c r="B4466" s="149" t="s">
        <v>2906</v>
      </c>
      <c r="C4466" s="149">
        <v>11</v>
      </c>
      <c r="D4466" s="149">
        <v>400</v>
      </c>
      <c r="E4466" s="149">
        <v>0</v>
      </c>
      <c r="F4466" s="149">
        <v>631000</v>
      </c>
      <c r="G4466" s="149">
        <v>53310</v>
      </c>
      <c r="H4466" s="150" t="str">
        <f t="shared" si="207"/>
        <v>5</v>
      </c>
      <c r="I4466" s="150" t="str">
        <f t="shared" si="208"/>
        <v>53</v>
      </c>
      <c r="J4466" s="150" t="str">
        <f t="shared" si="209"/>
        <v>533</v>
      </c>
      <c r="K4466" s="150" t="s">
        <v>9391</v>
      </c>
      <c r="L4466" s="149" t="s">
        <v>2907</v>
      </c>
      <c r="M4466" s="151">
        <v>1037.48</v>
      </c>
    </row>
    <row r="4467" spans="1:14" s="149" customFormat="1" x14ac:dyDescent="0.25">
      <c r="A4467" s="149" t="s">
        <v>7640</v>
      </c>
      <c r="B4467" s="149" t="s">
        <v>2908</v>
      </c>
      <c r="C4467" s="149">
        <v>11</v>
      </c>
      <c r="D4467" s="149">
        <v>400</v>
      </c>
      <c r="E4467" s="149">
        <v>0</v>
      </c>
      <c r="F4467" s="149">
        <v>631000</v>
      </c>
      <c r="G4467" s="149">
        <v>53320</v>
      </c>
      <c r="H4467" s="150" t="str">
        <f t="shared" si="207"/>
        <v>5</v>
      </c>
      <c r="I4467" s="150" t="str">
        <f t="shared" si="208"/>
        <v>53</v>
      </c>
      <c r="J4467" s="150" t="str">
        <f t="shared" si="209"/>
        <v>533</v>
      </c>
      <c r="K4467" s="150" t="s">
        <v>9392</v>
      </c>
      <c r="L4467" s="149" t="s">
        <v>2909</v>
      </c>
      <c r="M4467" s="151">
        <v>15249.59</v>
      </c>
    </row>
    <row r="4468" spans="1:14" s="149" customFormat="1" x14ac:dyDescent="0.25">
      <c r="A4468" s="149" t="s">
        <v>7640</v>
      </c>
      <c r="B4468" s="149" t="s">
        <v>2910</v>
      </c>
      <c r="C4468" s="149">
        <v>11</v>
      </c>
      <c r="D4468" s="149">
        <v>400</v>
      </c>
      <c r="E4468" s="149">
        <v>0</v>
      </c>
      <c r="F4468" s="149">
        <v>631000</v>
      </c>
      <c r="G4468" s="149">
        <v>53330</v>
      </c>
      <c r="H4468" s="150" t="str">
        <f t="shared" si="207"/>
        <v>5</v>
      </c>
      <c r="I4468" s="150" t="str">
        <f t="shared" si="208"/>
        <v>53</v>
      </c>
      <c r="J4468" s="150" t="str">
        <f t="shared" si="209"/>
        <v>533</v>
      </c>
      <c r="K4468" s="150" t="s">
        <v>9393</v>
      </c>
      <c r="L4468" s="149" t="s">
        <v>537</v>
      </c>
      <c r="M4468" s="151">
        <v>1541.19</v>
      </c>
    </row>
    <row r="4469" spans="1:14" s="149" customFormat="1" x14ac:dyDescent="0.25">
      <c r="A4469" s="149" t="s">
        <v>7640</v>
      </c>
      <c r="B4469" s="149" t="s">
        <v>2911</v>
      </c>
      <c r="C4469" s="149">
        <v>11</v>
      </c>
      <c r="D4469" s="149">
        <v>400</v>
      </c>
      <c r="E4469" s="149">
        <v>0</v>
      </c>
      <c r="F4469" s="149">
        <v>631000</v>
      </c>
      <c r="G4469" s="149">
        <v>53340</v>
      </c>
      <c r="H4469" s="150" t="str">
        <f t="shared" si="207"/>
        <v>5</v>
      </c>
      <c r="I4469" s="150" t="str">
        <f t="shared" si="208"/>
        <v>53</v>
      </c>
      <c r="J4469" s="150" t="str">
        <f t="shared" si="209"/>
        <v>533</v>
      </c>
      <c r="K4469" s="150" t="s">
        <v>9394</v>
      </c>
      <c r="L4469" s="149" t="s">
        <v>539</v>
      </c>
      <c r="M4469" s="151">
        <v>11044.51</v>
      </c>
    </row>
    <row r="4470" spans="1:14" s="149" customFormat="1" x14ac:dyDescent="0.25">
      <c r="A4470" s="149" t="s">
        <v>7640</v>
      </c>
      <c r="B4470" s="149" t="s">
        <v>2912</v>
      </c>
      <c r="C4470" s="149">
        <v>11</v>
      </c>
      <c r="D4470" s="149">
        <v>400</v>
      </c>
      <c r="E4470" s="149">
        <v>0</v>
      </c>
      <c r="F4470" s="149">
        <v>631000</v>
      </c>
      <c r="G4470" s="149">
        <v>53410</v>
      </c>
      <c r="H4470" s="150" t="str">
        <f t="shared" si="207"/>
        <v>5</v>
      </c>
      <c r="I4470" s="150" t="str">
        <f t="shared" si="208"/>
        <v>53</v>
      </c>
      <c r="J4470" s="150" t="str">
        <f t="shared" si="209"/>
        <v>534</v>
      </c>
      <c r="K4470" s="150" t="s">
        <v>9395</v>
      </c>
      <c r="L4470" s="149" t="s">
        <v>2913</v>
      </c>
      <c r="M4470" s="151">
        <v>941.28</v>
      </c>
    </row>
    <row r="4471" spans="1:14" s="149" customFormat="1" x14ac:dyDescent="0.25">
      <c r="A4471" s="149" t="s">
        <v>7640</v>
      </c>
      <c r="B4471" s="149" t="s">
        <v>2914</v>
      </c>
      <c r="C4471" s="149">
        <v>11</v>
      </c>
      <c r="D4471" s="149">
        <v>400</v>
      </c>
      <c r="E4471" s="149">
        <v>0</v>
      </c>
      <c r="F4471" s="149">
        <v>631000</v>
      </c>
      <c r="G4471" s="149">
        <v>53420</v>
      </c>
      <c r="H4471" s="150" t="str">
        <f t="shared" si="207"/>
        <v>5</v>
      </c>
      <c r="I4471" s="150" t="str">
        <f t="shared" si="208"/>
        <v>53</v>
      </c>
      <c r="J4471" s="150" t="str">
        <f t="shared" si="209"/>
        <v>534</v>
      </c>
      <c r="K4471" s="150" t="s">
        <v>9396</v>
      </c>
      <c r="L4471" s="149" t="s">
        <v>2915</v>
      </c>
      <c r="M4471" s="151">
        <v>120142.95</v>
      </c>
    </row>
    <row r="4472" spans="1:14" s="149" customFormat="1" x14ac:dyDescent="0.25">
      <c r="A4472" s="149" t="s">
        <v>7640</v>
      </c>
      <c r="B4472" s="149" t="s">
        <v>2916</v>
      </c>
      <c r="C4472" s="149">
        <v>11</v>
      </c>
      <c r="D4472" s="149">
        <v>400</v>
      </c>
      <c r="E4472" s="149">
        <v>0</v>
      </c>
      <c r="F4472" s="149">
        <v>631000</v>
      </c>
      <c r="G4472" s="149">
        <v>53510</v>
      </c>
      <c r="H4472" s="150" t="str">
        <f t="shared" si="207"/>
        <v>5</v>
      </c>
      <c r="I4472" s="150" t="str">
        <f t="shared" si="208"/>
        <v>53</v>
      </c>
      <c r="J4472" s="150" t="str">
        <f t="shared" si="209"/>
        <v>535</v>
      </c>
      <c r="K4472" s="150" t="s">
        <v>9397</v>
      </c>
      <c r="L4472" s="149" t="s">
        <v>541</v>
      </c>
      <c r="M4472" s="151">
        <v>53.05</v>
      </c>
    </row>
    <row r="4473" spans="1:14" s="149" customFormat="1" x14ac:dyDescent="0.25">
      <c r="A4473" s="149" t="s">
        <v>7640</v>
      </c>
      <c r="B4473" s="149" t="s">
        <v>2917</v>
      </c>
      <c r="C4473" s="149">
        <v>11</v>
      </c>
      <c r="D4473" s="149">
        <v>400</v>
      </c>
      <c r="E4473" s="149">
        <v>0</v>
      </c>
      <c r="F4473" s="149">
        <v>631000</v>
      </c>
      <c r="G4473" s="149">
        <v>53520</v>
      </c>
      <c r="H4473" s="150" t="str">
        <f t="shared" si="207"/>
        <v>5</v>
      </c>
      <c r="I4473" s="150" t="str">
        <f t="shared" si="208"/>
        <v>53</v>
      </c>
      <c r="J4473" s="150" t="str">
        <f t="shared" si="209"/>
        <v>535</v>
      </c>
      <c r="K4473" s="150" t="s">
        <v>9398</v>
      </c>
      <c r="L4473" s="149" t="s">
        <v>543</v>
      </c>
      <c r="M4473" s="151">
        <v>381.9</v>
      </c>
    </row>
    <row r="4474" spans="1:14" s="149" customFormat="1" x14ac:dyDescent="0.25">
      <c r="A4474" s="149" t="s">
        <v>7640</v>
      </c>
      <c r="B4474" s="149" t="s">
        <v>2918</v>
      </c>
      <c r="C4474" s="149">
        <v>11</v>
      </c>
      <c r="D4474" s="149">
        <v>400</v>
      </c>
      <c r="E4474" s="149">
        <v>0</v>
      </c>
      <c r="F4474" s="149">
        <v>631000</v>
      </c>
      <c r="G4474" s="149">
        <v>53610</v>
      </c>
      <c r="H4474" s="150" t="str">
        <f t="shared" si="207"/>
        <v>5</v>
      </c>
      <c r="I4474" s="150" t="str">
        <f t="shared" si="208"/>
        <v>53</v>
      </c>
      <c r="J4474" s="150" t="str">
        <f t="shared" si="209"/>
        <v>536</v>
      </c>
      <c r="K4474" s="150" t="s">
        <v>9399</v>
      </c>
      <c r="L4474" s="149" t="s">
        <v>545</v>
      </c>
      <c r="M4474" s="151">
        <v>2009.31</v>
      </c>
    </row>
    <row r="4475" spans="1:14" s="149" customFormat="1" x14ac:dyDescent="0.25">
      <c r="A4475" s="149" t="s">
        <v>7640</v>
      </c>
      <c r="B4475" s="149" t="s">
        <v>2919</v>
      </c>
      <c r="C4475" s="149">
        <v>11</v>
      </c>
      <c r="D4475" s="149">
        <v>400</v>
      </c>
      <c r="E4475" s="149">
        <v>0</v>
      </c>
      <c r="F4475" s="149">
        <v>631000</v>
      </c>
      <c r="G4475" s="149">
        <v>53620</v>
      </c>
      <c r="H4475" s="150" t="str">
        <f t="shared" si="207"/>
        <v>5</v>
      </c>
      <c r="I4475" s="150" t="str">
        <f t="shared" si="208"/>
        <v>53</v>
      </c>
      <c r="J4475" s="150" t="str">
        <f t="shared" si="209"/>
        <v>536</v>
      </c>
      <c r="K4475" s="150" t="s">
        <v>9400</v>
      </c>
      <c r="L4475" s="149" t="s">
        <v>547</v>
      </c>
      <c r="M4475" s="151">
        <v>14463.53</v>
      </c>
    </row>
    <row r="4476" spans="1:14" s="149" customFormat="1" x14ac:dyDescent="0.25">
      <c r="A4476" s="149" t="s">
        <v>7640</v>
      </c>
      <c r="B4476" s="149" t="s">
        <v>2920</v>
      </c>
      <c r="C4476" s="149">
        <v>11</v>
      </c>
      <c r="D4476" s="149">
        <v>400</v>
      </c>
      <c r="E4476" s="149">
        <v>0</v>
      </c>
      <c r="F4476" s="149">
        <v>631000</v>
      </c>
      <c r="G4476" s="149">
        <v>53920</v>
      </c>
      <c r="H4476" s="150" t="str">
        <f t="shared" si="207"/>
        <v>5</v>
      </c>
      <c r="I4476" s="150" t="str">
        <f t="shared" si="208"/>
        <v>53</v>
      </c>
      <c r="J4476" s="150" t="str">
        <f t="shared" si="209"/>
        <v>539</v>
      </c>
      <c r="K4476" s="150" t="s">
        <v>9401</v>
      </c>
      <c r="L4476" s="149" t="s">
        <v>2921</v>
      </c>
      <c r="M4476" s="151">
        <v>4723.54</v>
      </c>
    </row>
    <row r="4477" spans="1:14" s="149" customFormat="1" x14ac:dyDescent="0.25">
      <c r="A4477" s="149" t="s">
        <v>7640</v>
      </c>
      <c r="B4477" s="149" t="s">
        <v>2922</v>
      </c>
      <c r="C4477" s="149">
        <v>11</v>
      </c>
      <c r="D4477" s="149">
        <v>400</v>
      </c>
      <c r="E4477" s="149">
        <v>0</v>
      </c>
      <c r="F4477" s="149">
        <v>631000</v>
      </c>
      <c r="G4477" s="149">
        <v>54300</v>
      </c>
      <c r="H4477" s="150" t="str">
        <f t="shared" si="207"/>
        <v>5</v>
      </c>
      <c r="I4477" s="150" t="str">
        <f t="shared" si="208"/>
        <v>54</v>
      </c>
      <c r="J4477" s="150" t="str">
        <f t="shared" si="209"/>
        <v>543</v>
      </c>
      <c r="K4477" s="150" t="s">
        <v>7975</v>
      </c>
      <c r="L4477" s="149" t="s">
        <v>2923</v>
      </c>
      <c r="M4477" s="151">
        <v>0</v>
      </c>
    </row>
    <row r="4478" spans="1:14" s="149" customFormat="1" x14ac:dyDescent="0.25">
      <c r="A4478" s="149" t="s">
        <v>7640</v>
      </c>
      <c r="B4478" s="149" t="s">
        <v>2924</v>
      </c>
      <c r="C4478" s="149">
        <v>11</v>
      </c>
      <c r="D4478" s="149">
        <v>400</v>
      </c>
      <c r="E4478" s="149">
        <v>0</v>
      </c>
      <c r="F4478" s="149">
        <v>631000</v>
      </c>
      <c r="G4478" s="149">
        <v>55630</v>
      </c>
      <c r="H4478" s="150" t="str">
        <f t="shared" si="207"/>
        <v>5</v>
      </c>
      <c r="I4478" s="150" t="str">
        <f t="shared" si="208"/>
        <v>55</v>
      </c>
      <c r="J4478" s="150" t="str">
        <f t="shared" si="209"/>
        <v>556</v>
      </c>
      <c r="K4478" s="150" t="s">
        <v>8262</v>
      </c>
      <c r="L4478" s="149" t="s">
        <v>549</v>
      </c>
      <c r="M4478" s="151">
        <v>282.23</v>
      </c>
    </row>
    <row r="4479" spans="1:14" s="149" customFormat="1" x14ac:dyDescent="0.25">
      <c r="A4479" s="149" t="s">
        <v>7640</v>
      </c>
      <c r="B4479" s="149" t="s">
        <v>2925</v>
      </c>
      <c r="C4479" s="149">
        <v>11</v>
      </c>
      <c r="D4479" s="149">
        <v>400</v>
      </c>
      <c r="E4479" s="149">
        <v>0</v>
      </c>
      <c r="F4479" s="149">
        <v>631020</v>
      </c>
      <c r="G4479" s="149">
        <v>52360</v>
      </c>
      <c r="H4479" s="150" t="str">
        <f t="shared" si="207"/>
        <v>5</v>
      </c>
      <c r="I4479" s="150" t="str">
        <f t="shared" si="208"/>
        <v>52</v>
      </c>
      <c r="J4479" s="150" t="str">
        <f t="shared" si="209"/>
        <v>523</v>
      </c>
      <c r="K4479" s="150" t="s">
        <v>7881</v>
      </c>
      <c r="L4479" s="149" t="s">
        <v>2926</v>
      </c>
      <c r="M4479" s="151">
        <v>119337.5</v>
      </c>
      <c r="N4479" s="149" t="e">
        <f>+#REF!+#REF!</f>
        <v>#REF!</v>
      </c>
    </row>
    <row r="4480" spans="1:14" s="149" customFormat="1" x14ac:dyDescent="0.25">
      <c r="A4480" s="149" t="s">
        <v>7640</v>
      </c>
      <c r="B4480" s="149" t="s">
        <v>2927</v>
      </c>
      <c r="C4480" s="149">
        <v>11</v>
      </c>
      <c r="D4480" s="149">
        <v>400</v>
      </c>
      <c r="E4480" s="149">
        <v>0</v>
      </c>
      <c r="F4480" s="149">
        <v>631020</v>
      </c>
      <c r="G4480" s="149">
        <v>53120</v>
      </c>
      <c r="H4480" s="150" t="str">
        <f t="shared" si="207"/>
        <v>5</v>
      </c>
      <c r="I4480" s="150" t="str">
        <f t="shared" si="208"/>
        <v>53</v>
      </c>
      <c r="J4480" s="150" t="str">
        <f t="shared" si="209"/>
        <v>531</v>
      </c>
      <c r="K4480" s="150" t="s">
        <v>9402</v>
      </c>
      <c r="L4480" s="149" t="s">
        <v>2928</v>
      </c>
      <c r="M4480" s="151">
        <v>254.37</v>
      </c>
    </row>
    <row r="4481" spans="1:13" s="149" customFormat="1" x14ac:dyDescent="0.25">
      <c r="A4481" s="149" t="s">
        <v>7640</v>
      </c>
      <c r="B4481" s="149" t="s">
        <v>2929</v>
      </c>
      <c r="C4481" s="149">
        <v>11</v>
      </c>
      <c r="D4481" s="149">
        <v>400</v>
      </c>
      <c r="E4481" s="149">
        <v>0</v>
      </c>
      <c r="F4481" s="149">
        <v>631020</v>
      </c>
      <c r="G4481" s="149">
        <v>53220</v>
      </c>
      <c r="H4481" s="150" t="str">
        <f t="shared" si="207"/>
        <v>5</v>
      </c>
      <c r="I4481" s="150" t="str">
        <f t="shared" si="208"/>
        <v>53</v>
      </c>
      <c r="J4481" s="150" t="str">
        <f t="shared" si="209"/>
        <v>532</v>
      </c>
      <c r="K4481" s="150" t="s">
        <v>9403</v>
      </c>
      <c r="L4481" s="149" t="s">
        <v>2930</v>
      </c>
      <c r="M4481" s="151">
        <v>8306.14</v>
      </c>
    </row>
    <row r="4482" spans="1:13" s="149" customFormat="1" x14ac:dyDescent="0.25">
      <c r="A4482" s="149" t="s">
        <v>7640</v>
      </c>
      <c r="B4482" s="149" t="s">
        <v>2931</v>
      </c>
      <c r="C4482" s="149">
        <v>11</v>
      </c>
      <c r="D4482" s="149">
        <v>400</v>
      </c>
      <c r="E4482" s="149">
        <v>0</v>
      </c>
      <c r="F4482" s="149">
        <v>631020</v>
      </c>
      <c r="G4482" s="149">
        <v>53320</v>
      </c>
      <c r="H4482" s="150" t="str">
        <f t="shared" si="207"/>
        <v>5</v>
      </c>
      <c r="I4482" s="150" t="str">
        <f t="shared" si="208"/>
        <v>53</v>
      </c>
      <c r="J4482" s="150" t="str">
        <f t="shared" si="209"/>
        <v>533</v>
      </c>
      <c r="K4482" s="150" t="s">
        <v>9404</v>
      </c>
      <c r="L4482" s="149" t="s">
        <v>2932</v>
      </c>
      <c r="M4482" s="151">
        <v>6840.95</v>
      </c>
    </row>
    <row r="4483" spans="1:13" s="149" customFormat="1" x14ac:dyDescent="0.25">
      <c r="A4483" s="149" t="s">
        <v>7640</v>
      </c>
      <c r="B4483" s="149" t="s">
        <v>2933</v>
      </c>
      <c r="C4483" s="149">
        <v>11</v>
      </c>
      <c r="D4483" s="149">
        <v>400</v>
      </c>
      <c r="E4483" s="149">
        <v>0</v>
      </c>
      <c r="F4483" s="149">
        <v>631020</v>
      </c>
      <c r="G4483" s="149">
        <v>53340</v>
      </c>
      <c r="H4483" s="150" t="str">
        <f t="shared" ref="H4483:H4546" si="210">LEFT(G4483,1)</f>
        <v>5</v>
      </c>
      <c r="I4483" s="150" t="str">
        <f t="shared" ref="I4483:I4546" si="211">LEFT(G4483,2)</f>
        <v>53</v>
      </c>
      <c r="J4483" s="150" t="str">
        <f t="shared" ref="J4483:J4546" si="212">LEFT(G4483,3)</f>
        <v>533</v>
      </c>
      <c r="K4483" s="150" t="s">
        <v>9405</v>
      </c>
      <c r="L4483" s="149" t="s">
        <v>2934</v>
      </c>
      <c r="M4483" s="151">
        <v>1730.45</v>
      </c>
    </row>
    <row r="4484" spans="1:13" s="149" customFormat="1" x14ac:dyDescent="0.25">
      <c r="A4484" s="149" t="s">
        <v>7640</v>
      </c>
      <c r="B4484" s="149" t="s">
        <v>2935</v>
      </c>
      <c r="C4484" s="149">
        <v>11</v>
      </c>
      <c r="D4484" s="149">
        <v>400</v>
      </c>
      <c r="E4484" s="149">
        <v>0</v>
      </c>
      <c r="F4484" s="149">
        <v>631020</v>
      </c>
      <c r="G4484" s="149">
        <v>53420</v>
      </c>
      <c r="H4484" s="150" t="str">
        <f t="shared" si="210"/>
        <v>5</v>
      </c>
      <c r="I4484" s="150" t="str">
        <f t="shared" si="211"/>
        <v>53</v>
      </c>
      <c r="J4484" s="150" t="str">
        <f t="shared" si="212"/>
        <v>534</v>
      </c>
      <c r="K4484" s="150" t="s">
        <v>9406</v>
      </c>
      <c r="L4484" s="149" t="s">
        <v>2936</v>
      </c>
      <c r="M4484" s="151">
        <v>144.68</v>
      </c>
    </row>
    <row r="4485" spans="1:13" s="149" customFormat="1" x14ac:dyDescent="0.25">
      <c r="A4485" s="149" t="s">
        <v>7640</v>
      </c>
      <c r="B4485" s="149" t="s">
        <v>2937</v>
      </c>
      <c r="C4485" s="149">
        <v>11</v>
      </c>
      <c r="D4485" s="149">
        <v>400</v>
      </c>
      <c r="E4485" s="149">
        <v>0</v>
      </c>
      <c r="F4485" s="149">
        <v>631020</v>
      </c>
      <c r="G4485" s="149">
        <v>53520</v>
      </c>
      <c r="H4485" s="150" t="str">
        <f t="shared" si="210"/>
        <v>5</v>
      </c>
      <c r="I4485" s="150" t="str">
        <f t="shared" si="211"/>
        <v>53</v>
      </c>
      <c r="J4485" s="150" t="str">
        <f t="shared" si="212"/>
        <v>535</v>
      </c>
      <c r="K4485" s="150" t="s">
        <v>9407</v>
      </c>
      <c r="L4485" s="149" t="s">
        <v>2938</v>
      </c>
      <c r="M4485" s="151">
        <v>59.75</v>
      </c>
    </row>
    <row r="4486" spans="1:13" s="149" customFormat="1" x14ac:dyDescent="0.25">
      <c r="A4486" s="149" t="s">
        <v>7640</v>
      </c>
      <c r="B4486" s="149" t="s">
        <v>2939</v>
      </c>
      <c r="C4486" s="149">
        <v>11</v>
      </c>
      <c r="D4486" s="149">
        <v>400</v>
      </c>
      <c r="E4486" s="149">
        <v>0</v>
      </c>
      <c r="F4486" s="149">
        <v>631020</v>
      </c>
      <c r="G4486" s="149">
        <v>53620</v>
      </c>
      <c r="H4486" s="150" t="str">
        <f t="shared" si="210"/>
        <v>5</v>
      </c>
      <c r="I4486" s="150" t="str">
        <f t="shared" si="211"/>
        <v>53</v>
      </c>
      <c r="J4486" s="150" t="str">
        <f t="shared" si="212"/>
        <v>536</v>
      </c>
      <c r="K4486" s="150" t="s">
        <v>9408</v>
      </c>
      <c r="L4486" s="149" t="s">
        <v>2940</v>
      </c>
      <c r="M4486" s="151">
        <v>2256.4499999999998</v>
      </c>
    </row>
    <row r="4487" spans="1:13" s="149" customFormat="1" x14ac:dyDescent="0.25">
      <c r="A4487" s="149" t="s">
        <v>7640</v>
      </c>
      <c r="B4487" s="149" t="s">
        <v>2941</v>
      </c>
      <c r="C4487" s="149">
        <v>11</v>
      </c>
      <c r="D4487" s="149">
        <v>400</v>
      </c>
      <c r="E4487" s="149">
        <v>0</v>
      </c>
      <c r="F4487" s="149">
        <v>631020</v>
      </c>
      <c r="G4487" s="149">
        <v>55630</v>
      </c>
      <c r="H4487" s="150" t="str">
        <f t="shared" si="210"/>
        <v>5</v>
      </c>
      <c r="I4487" s="150" t="str">
        <f t="shared" si="211"/>
        <v>55</v>
      </c>
      <c r="J4487" s="150" t="str">
        <f t="shared" si="212"/>
        <v>556</v>
      </c>
      <c r="K4487" s="150" t="s">
        <v>8263</v>
      </c>
      <c r="L4487" s="149" t="s">
        <v>2942</v>
      </c>
      <c r="M4487" s="151">
        <v>53.14</v>
      </c>
    </row>
    <row r="4488" spans="1:13" s="149" customFormat="1" x14ac:dyDescent="0.25">
      <c r="A4488" s="149" t="s">
        <v>7640</v>
      </c>
      <c r="B4488" s="149" t="s">
        <v>2943</v>
      </c>
      <c r="C4488" s="149">
        <v>11</v>
      </c>
      <c r="D4488" s="149">
        <v>400</v>
      </c>
      <c r="E4488" s="149">
        <v>0</v>
      </c>
      <c r="F4488" s="149">
        <v>633050</v>
      </c>
      <c r="G4488" s="149">
        <v>52310</v>
      </c>
      <c r="H4488" s="150" t="str">
        <f t="shared" si="210"/>
        <v>5</v>
      </c>
      <c r="I4488" s="150" t="str">
        <f t="shared" si="211"/>
        <v>52</v>
      </c>
      <c r="J4488" s="150" t="str">
        <f t="shared" si="212"/>
        <v>523</v>
      </c>
      <c r="K4488" s="150" t="s">
        <v>7845</v>
      </c>
      <c r="L4488" s="149" t="s">
        <v>2944</v>
      </c>
      <c r="M4488" s="151">
        <v>0</v>
      </c>
    </row>
    <row r="4489" spans="1:13" s="149" customFormat="1" x14ac:dyDescent="0.25">
      <c r="A4489" s="149" t="s">
        <v>7640</v>
      </c>
      <c r="B4489" s="149" t="s">
        <v>2945</v>
      </c>
      <c r="C4489" s="149">
        <v>11</v>
      </c>
      <c r="D4489" s="149">
        <v>400</v>
      </c>
      <c r="E4489" s="149">
        <v>0</v>
      </c>
      <c r="F4489" s="149">
        <v>633050</v>
      </c>
      <c r="G4489" s="149">
        <v>53620</v>
      </c>
      <c r="H4489" s="150" t="str">
        <f t="shared" si="210"/>
        <v>5</v>
      </c>
      <c r="I4489" s="150" t="str">
        <f t="shared" si="211"/>
        <v>53</v>
      </c>
      <c r="J4489" s="150" t="str">
        <f t="shared" si="212"/>
        <v>536</v>
      </c>
      <c r="K4489" s="150" t="s">
        <v>9409</v>
      </c>
      <c r="L4489" s="149" t="s">
        <v>2946</v>
      </c>
      <c r="M4489" s="151">
        <v>0</v>
      </c>
    </row>
    <row r="4490" spans="1:13" s="149" customFormat="1" x14ac:dyDescent="0.25">
      <c r="A4490" s="149" t="s">
        <v>7640</v>
      </c>
      <c r="B4490" s="149" t="s">
        <v>2947</v>
      </c>
      <c r="C4490" s="149">
        <v>11</v>
      </c>
      <c r="D4490" s="149">
        <v>400</v>
      </c>
      <c r="E4490" s="149">
        <v>0</v>
      </c>
      <c r="F4490" s="149">
        <v>634000</v>
      </c>
      <c r="G4490" s="149">
        <v>51200</v>
      </c>
      <c r="H4490" s="150" t="str">
        <f t="shared" si="210"/>
        <v>5</v>
      </c>
      <c r="I4490" s="150" t="str">
        <f t="shared" si="211"/>
        <v>51</v>
      </c>
      <c r="J4490" s="150" t="str">
        <f t="shared" si="212"/>
        <v>512</v>
      </c>
      <c r="K4490" s="150" t="s">
        <v>9410</v>
      </c>
      <c r="L4490" s="149" t="s">
        <v>2948</v>
      </c>
      <c r="M4490" s="151">
        <v>75394.710000000006</v>
      </c>
    </row>
    <row r="4491" spans="1:13" s="149" customFormat="1" x14ac:dyDescent="0.25">
      <c r="A4491" s="149" t="s">
        <v>7640</v>
      </c>
      <c r="B4491" s="149" t="s">
        <v>2949</v>
      </c>
      <c r="C4491" s="149">
        <v>11</v>
      </c>
      <c r="D4491" s="149">
        <v>400</v>
      </c>
      <c r="E4491" s="149">
        <v>0</v>
      </c>
      <c r="F4491" s="149">
        <v>634000</v>
      </c>
      <c r="G4491" s="149">
        <v>52105</v>
      </c>
      <c r="H4491" s="150" t="str">
        <f t="shared" si="210"/>
        <v>5</v>
      </c>
      <c r="I4491" s="150" t="str">
        <f t="shared" si="211"/>
        <v>52</v>
      </c>
      <c r="J4491" s="150" t="str">
        <f t="shared" si="212"/>
        <v>521</v>
      </c>
      <c r="K4491" s="150" t="s">
        <v>9411</v>
      </c>
      <c r="L4491" s="149" t="s">
        <v>2950</v>
      </c>
      <c r="M4491" s="151">
        <v>31659.599999999999</v>
      </c>
    </row>
    <row r="4492" spans="1:13" s="149" customFormat="1" x14ac:dyDescent="0.25">
      <c r="A4492" s="149" t="s">
        <v>7640</v>
      </c>
      <c r="B4492" s="149" t="s">
        <v>2951</v>
      </c>
      <c r="C4492" s="149">
        <v>11</v>
      </c>
      <c r="D4492" s="149">
        <v>400</v>
      </c>
      <c r="E4492" s="149">
        <v>0</v>
      </c>
      <c r="F4492" s="149">
        <v>634000</v>
      </c>
      <c r="G4492" s="149">
        <v>52300</v>
      </c>
      <c r="H4492" s="150" t="str">
        <f t="shared" si="210"/>
        <v>5</v>
      </c>
      <c r="I4492" s="150" t="str">
        <f t="shared" si="211"/>
        <v>52</v>
      </c>
      <c r="J4492" s="150" t="str">
        <f t="shared" si="212"/>
        <v>523</v>
      </c>
      <c r="K4492" s="150" t="s">
        <v>7835</v>
      </c>
      <c r="L4492" s="149" t="s">
        <v>2952</v>
      </c>
      <c r="M4492" s="151">
        <v>20.88</v>
      </c>
    </row>
    <row r="4493" spans="1:13" s="149" customFormat="1" x14ac:dyDescent="0.25">
      <c r="A4493" s="149" t="s">
        <v>7640</v>
      </c>
      <c r="B4493" s="149" t="s">
        <v>2953</v>
      </c>
      <c r="C4493" s="149">
        <v>11</v>
      </c>
      <c r="D4493" s="149">
        <v>400</v>
      </c>
      <c r="E4493" s="149">
        <v>0</v>
      </c>
      <c r="F4493" s="149">
        <v>634000</v>
      </c>
      <c r="G4493" s="149">
        <v>53120</v>
      </c>
      <c r="H4493" s="150" t="str">
        <f t="shared" si="210"/>
        <v>5</v>
      </c>
      <c r="I4493" s="150" t="str">
        <f t="shared" si="211"/>
        <v>53</v>
      </c>
      <c r="J4493" s="150" t="str">
        <f t="shared" si="212"/>
        <v>531</v>
      </c>
      <c r="K4493" s="150" t="s">
        <v>9412</v>
      </c>
      <c r="L4493" s="149" t="s">
        <v>2954</v>
      </c>
      <c r="M4493" s="151">
        <v>12176.28</v>
      </c>
    </row>
    <row r="4494" spans="1:13" s="149" customFormat="1" x14ac:dyDescent="0.25">
      <c r="A4494" s="149" t="s">
        <v>7640</v>
      </c>
      <c r="B4494" s="149" t="s">
        <v>2955</v>
      </c>
      <c r="C4494" s="149">
        <v>11</v>
      </c>
      <c r="D4494" s="149">
        <v>400</v>
      </c>
      <c r="E4494" s="149">
        <v>0</v>
      </c>
      <c r="F4494" s="149">
        <v>634000</v>
      </c>
      <c r="G4494" s="149">
        <v>53220</v>
      </c>
      <c r="H4494" s="150" t="str">
        <f t="shared" si="210"/>
        <v>5</v>
      </c>
      <c r="I4494" s="150" t="str">
        <f t="shared" si="211"/>
        <v>53</v>
      </c>
      <c r="J4494" s="150" t="str">
        <f t="shared" si="212"/>
        <v>532</v>
      </c>
      <c r="K4494" s="150" t="s">
        <v>9413</v>
      </c>
      <c r="L4494" s="149" t="s">
        <v>2956</v>
      </c>
      <c r="M4494" s="151">
        <v>6187.58</v>
      </c>
    </row>
    <row r="4495" spans="1:13" s="149" customFormat="1" x14ac:dyDescent="0.25">
      <c r="A4495" s="149" t="s">
        <v>7640</v>
      </c>
      <c r="B4495" s="149" t="s">
        <v>2957</v>
      </c>
      <c r="C4495" s="149">
        <v>11</v>
      </c>
      <c r="D4495" s="149">
        <v>400</v>
      </c>
      <c r="E4495" s="149">
        <v>0</v>
      </c>
      <c r="F4495" s="149">
        <v>634000</v>
      </c>
      <c r="G4495" s="149">
        <v>53320</v>
      </c>
      <c r="H4495" s="150" t="str">
        <f t="shared" si="210"/>
        <v>5</v>
      </c>
      <c r="I4495" s="150" t="str">
        <f t="shared" si="211"/>
        <v>53</v>
      </c>
      <c r="J4495" s="150" t="str">
        <f t="shared" si="212"/>
        <v>533</v>
      </c>
      <c r="K4495" s="150" t="s">
        <v>9414</v>
      </c>
      <c r="L4495" s="149" t="s">
        <v>2958</v>
      </c>
      <c r="M4495" s="151">
        <v>1967.04</v>
      </c>
    </row>
    <row r="4496" spans="1:13" s="149" customFormat="1" x14ac:dyDescent="0.25">
      <c r="A4496" s="149" t="s">
        <v>7640</v>
      </c>
      <c r="B4496" s="149" t="s">
        <v>2959</v>
      </c>
      <c r="C4496" s="149">
        <v>11</v>
      </c>
      <c r="D4496" s="149">
        <v>400</v>
      </c>
      <c r="E4496" s="149">
        <v>0</v>
      </c>
      <c r="F4496" s="149">
        <v>634000</v>
      </c>
      <c r="G4496" s="149">
        <v>53340</v>
      </c>
      <c r="H4496" s="150" t="str">
        <f t="shared" si="210"/>
        <v>5</v>
      </c>
      <c r="I4496" s="150" t="str">
        <f t="shared" si="211"/>
        <v>53</v>
      </c>
      <c r="J4496" s="150" t="str">
        <f t="shared" si="212"/>
        <v>533</v>
      </c>
      <c r="K4496" s="150" t="s">
        <v>9415</v>
      </c>
      <c r="L4496" s="149" t="s">
        <v>2960</v>
      </c>
      <c r="M4496" s="151">
        <v>1553.97</v>
      </c>
    </row>
    <row r="4497" spans="1:13" s="149" customFormat="1" x14ac:dyDescent="0.25">
      <c r="A4497" s="149" t="s">
        <v>7640</v>
      </c>
      <c r="B4497" s="149" t="s">
        <v>2961</v>
      </c>
      <c r="C4497" s="149">
        <v>11</v>
      </c>
      <c r="D4497" s="149">
        <v>400</v>
      </c>
      <c r="E4497" s="149">
        <v>0</v>
      </c>
      <c r="F4497" s="149">
        <v>634000</v>
      </c>
      <c r="G4497" s="149">
        <v>53420</v>
      </c>
      <c r="H4497" s="150" t="str">
        <f t="shared" si="210"/>
        <v>5</v>
      </c>
      <c r="I4497" s="150" t="str">
        <f t="shared" si="211"/>
        <v>53</v>
      </c>
      <c r="J4497" s="150" t="str">
        <f t="shared" si="212"/>
        <v>534</v>
      </c>
      <c r="K4497" s="150" t="s">
        <v>9416</v>
      </c>
      <c r="L4497" s="149" t="s">
        <v>2962</v>
      </c>
      <c r="M4497" s="151">
        <v>23747.01</v>
      </c>
    </row>
    <row r="4498" spans="1:13" s="149" customFormat="1" x14ac:dyDescent="0.25">
      <c r="A4498" s="149" t="s">
        <v>7640</v>
      </c>
      <c r="B4498" s="149" t="s">
        <v>2963</v>
      </c>
      <c r="C4498" s="149">
        <v>11</v>
      </c>
      <c r="D4498" s="149">
        <v>400</v>
      </c>
      <c r="E4498" s="149">
        <v>0</v>
      </c>
      <c r="F4498" s="149">
        <v>634000</v>
      </c>
      <c r="G4498" s="149">
        <v>53520</v>
      </c>
      <c r="H4498" s="150" t="str">
        <f t="shared" si="210"/>
        <v>5</v>
      </c>
      <c r="I4498" s="150" t="str">
        <f t="shared" si="211"/>
        <v>53</v>
      </c>
      <c r="J4498" s="150" t="str">
        <f t="shared" si="212"/>
        <v>535</v>
      </c>
      <c r="K4498" s="150" t="s">
        <v>9417</v>
      </c>
      <c r="L4498" s="149" t="s">
        <v>2964</v>
      </c>
      <c r="M4498" s="151">
        <v>53.53</v>
      </c>
    </row>
    <row r="4499" spans="1:13" s="149" customFormat="1" x14ac:dyDescent="0.25">
      <c r="A4499" s="149" t="s">
        <v>7640</v>
      </c>
      <c r="B4499" s="149" t="s">
        <v>2965</v>
      </c>
      <c r="C4499" s="149">
        <v>11</v>
      </c>
      <c r="D4499" s="149">
        <v>400</v>
      </c>
      <c r="E4499" s="149">
        <v>0</v>
      </c>
      <c r="F4499" s="149">
        <v>634000</v>
      </c>
      <c r="G4499" s="149">
        <v>53620</v>
      </c>
      <c r="H4499" s="150" t="str">
        <f t="shared" si="210"/>
        <v>5</v>
      </c>
      <c r="I4499" s="150" t="str">
        <f t="shared" si="211"/>
        <v>53</v>
      </c>
      <c r="J4499" s="150" t="str">
        <f t="shared" si="212"/>
        <v>536</v>
      </c>
      <c r="K4499" s="150" t="s">
        <v>9418</v>
      </c>
      <c r="L4499" s="149" t="s">
        <v>2966</v>
      </c>
      <c r="M4499" s="151">
        <v>2026.72</v>
      </c>
    </row>
    <row r="4500" spans="1:13" s="149" customFormat="1" x14ac:dyDescent="0.25">
      <c r="A4500" s="149" t="s">
        <v>7640</v>
      </c>
      <c r="B4500" s="149" t="s">
        <v>2967</v>
      </c>
      <c r="C4500" s="149">
        <v>11</v>
      </c>
      <c r="D4500" s="149">
        <v>400</v>
      </c>
      <c r="E4500" s="149">
        <v>0</v>
      </c>
      <c r="F4500" s="149">
        <v>634000</v>
      </c>
      <c r="G4500" s="149">
        <v>53920</v>
      </c>
      <c r="H4500" s="150" t="str">
        <f t="shared" si="210"/>
        <v>5</v>
      </c>
      <c r="I4500" s="150" t="str">
        <f t="shared" si="211"/>
        <v>53</v>
      </c>
      <c r="J4500" s="150" t="str">
        <f t="shared" si="212"/>
        <v>539</v>
      </c>
      <c r="K4500" s="150" t="s">
        <v>9419</v>
      </c>
      <c r="L4500" s="149" t="s">
        <v>2968</v>
      </c>
      <c r="M4500" s="151">
        <v>3145.44</v>
      </c>
    </row>
    <row r="4501" spans="1:13" s="149" customFormat="1" x14ac:dyDescent="0.25">
      <c r="A4501" s="149" t="s">
        <v>7640</v>
      </c>
      <c r="B4501" s="149" t="s">
        <v>2969</v>
      </c>
      <c r="C4501" s="149">
        <v>11</v>
      </c>
      <c r="D4501" s="149">
        <v>400</v>
      </c>
      <c r="E4501" s="149">
        <v>0</v>
      </c>
      <c r="F4501" s="149">
        <v>634000</v>
      </c>
      <c r="G4501" s="149">
        <v>54300</v>
      </c>
      <c r="H4501" s="150" t="str">
        <f t="shared" si="210"/>
        <v>5</v>
      </c>
      <c r="I4501" s="150" t="str">
        <f t="shared" si="211"/>
        <v>54</v>
      </c>
      <c r="J4501" s="150" t="str">
        <f t="shared" si="212"/>
        <v>543</v>
      </c>
      <c r="K4501" s="150" t="s">
        <v>7976</v>
      </c>
      <c r="L4501" s="149" t="s">
        <v>2970</v>
      </c>
      <c r="M4501" s="151">
        <v>0</v>
      </c>
    </row>
    <row r="4502" spans="1:13" s="149" customFormat="1" x14ac:dyDescent="0.25">
      <c r="A4502" s="149" t="s">
        <v>7640</v>
      </c>
      <c r="B4502" s="149" t="s">
        <v>2971</v>
      </c>
      <c r="C4502" s="149">
        <v>11</v>
      </c>
      <c r="D4502" s="149">
        <v>400</v>
      </c>
      <c r="E4502" s="149">
        <v>0</v>
      </c>
      <c r="F4502" s="149">
        <v>634000</v>
      </c>
      <c r="G4502" s="149">
        <v>55200</v>
      </c>
      <c r="H4502" s="150" t="str">
        <f t="shared" si="210"/>
        <v>5</v>
      </c>
      <c r="I4502" s="150" t="str">
        <f t="shared" si="211"/>
        <v>55</v>
      </c>
      <c r="J4502" s="150" t="str">
        <f t="shared" si="212"/>
        <v>552</v>
      </c>
      <c r="K4502" s="150" t="s">
        <v>8064</v>
      </c>
      <c r="L4502" s="149" t="s">
        <v>2972</v>
      </c>
      <c r="M4502" s="151">
        <v>0</v>
      </c>
    </row>
    <row r="4503" spans="1:13" s="149" customFormat="1" x14ac:dyDescent="0.25">
      <c r="A4503" s="149" t="s">
        <v>7640</v>
      </c>
      <c r="B4503" s="149" t="s">
        <v>2973</v>
      </c>
      <c r="C4503" s="149">
        <v>11</v>
      </c>
      <c r="D4503" s="149">
        <v>400</v>
      </c>
      <c r="E4503" s="149">
        <v>0</v>
      </c>
      <c r="F4503" s="149">
        <v>634000</v>
      </c>
      <c r="G4503" s="149">
        <v>55630</v>
      </c>
      <c r="H4503" s="150" t="str">
        <f t="shared" si="210"/>
        <v>5</v>
      </c>
      <c r="I4503" s="150" t="str">
        <f t="shared" si="211"/>
        <v>55</v>
      </c>
      <c r="J4503" s="150" t="str">
        <f t="shared" si="212"/>
        <v>556</v>
      </c>
      <c r="K4503" s="150" t="s">
        <v>8264</v>
      </c>
      <c r="L4503" s="149" t="s">
        <v>2974</v>
      </c>
      <c r="M4503" s="151">
        <v>97.43</v>
      </c>
    </row>
    <row r="4504" spans="1:13" s="149" customFormat="1" x14ac:dyDescent="0.25">
      <c r="A4504" s="149" t="s">
        <v>7640</v>
      </c>
      <c r="B4504" s="149" t="s">
        <v>9604</v>
      </c>
      <c r="C4504" s="149">
        <v>11</v>
      </c>
      <c r="D4504" s="149">
        <v>400</v>
      </c>
      <c r="E4504" s="149">
        <v>0</v>
      </c>
      <c r="F4504" s="149">
        <v>649000</v>
      </c>
      <c r="G4504" s="149">
        <v>55105</v>
      </c>
      <c r="H4504" s="150" t="str">
        <f t="shared" si="210"/>
        <v>5</v>
      </c>
      <c r="I4504" s="150" t="str">
        <f t="shared" si="211"/>
        <v>55</v>
      </c>
      <c r="J4504" s="150" t="str">
        <f t="shared" si="212"/>
        <v>551</v>
      </c>
      <c r="K4504" s="150" t="s">
        <v>8018</v>
      </c>
      <c r="L4504" s="149" t="s">
        <v>9605</v>
      </c>
      <c r="M4504" s="151">
        <v>0</v>
      </c>
    </row>
    <row r="4505" spans="1:13" s="149" customFormat="1" x14ac:dyDescent="0.25">
      <c r="A4505" s="149" t="s">
        <v>7640</v>
      </c>
      <c r="B4505" s="149" t="s">
        <v>9606</v>
      </c>
      <c r="C4505" s="149">
        <v>11</v>
      </c>
      <c r="D4505" s="149">
        <v>400</v>
      </c>
      <c r="E4505" s="149">
        <v>0</v>
      </c>
      <c r="F4505" s="149">
        <v>649000</v>
      </c>
      <c r="G4505" s="149">
        <v>55200</v>
      </c>
      <c r="H4505" s="150" t="str">
        <f t="shared" si="210"/>
        <v>5</v>
      </c>
      <c r="I4505" s="150" t="str">
        <f t="shared" si="211"/>
        <v>55</v>
      </c>
      <c r="J4505" s="150" t="str">
        <f t="shared" si="212"/>
        <v>552</v>
      </c>
      <c r="K4505" s="150" t="s">
        <v>8065</v>
      </c>
      <c r="L4505" s="149" t="s">
        <v>9607</v>
      </c>
      <c r="M4505" s="151">
        <v>0</v>
      </c>
    </row>
    <row r="4506" spans="1:13" s="149" customFormat="1" x14ac:dyDescent="0.25">
      <c r="A4506" s="149" t="s">
        <v>7640</v>
      </c>
      <c r="B4506" s="149" t="s">
        <v>2975</v>
      </c>
      <c r="C4506" s="149">
        <v>11</v>
      </c>
      <c r="D4506" s="149">
        <v>400</v>
      </c>
      <c r="E4506" s="149">
        <v>0</v>
      </c>
      <c r="F4506" s="149">
        <v>665000</v>
      </c>
      <c r="G4506" s="149">
        <v>51210</v>
      </c>
      <c r="H4506" s="150" t="str">
        <f t="shared" si="210"/>
        <v>5</v>
      </c>
      <c r="I4506" s="150" t="str">
        <f t="shared" si="211"/>
        <v>51</v>
      </c>
      <c r="J4506" s="150" t="str">
        <f t="shared" si="212"/>
        <v>512</v>
      </c>
      <c r="K4506" s="150" t="s">
        <v>9420</v>
      </c>
      <c r="L4506" s="149" t="s">
        <v>2976</v>
      </c>
      <c r="M4506" s="151">
        <v>143585.9</v>
      </c>
    </row>
    <row r="4507" spans="1:13" s="149" customFormat="1" x14ac:dyDescent="0.25">
      <c r="A4507" s="149" t="s">
        <v>7640</v>
      </c>
      <c r="B4507" s="149" t="s">
        <v>2977</v>
      </c>
      <c r="C4507" s="149">
        <v>11</v>
      </c>
      <c r="D4507" s="149">
        <v>400</v>
      </c>
      <c r="E4507" s="149">
        <v>0</v>
      </c>
      <c r="F4507" s="149">
        <v>665000</v>
      </c>
      <c r="G4507" s="149">
        <v>52120</v>
      </c>
      <c r="H4507" s="150" t="str">
        <f t="shared" si="210"/>
        <v>5</v>
      </c>
      <c r="I4507" s="150" t="str">
        <f t="shared" si="211"/>
        <v>52</v>
      </c>
      <c r="J4507" s="150" t="str">
        <f t="shared" si="212"/>
        <v>521</v>
      </c>
      <c r="K4507" s="150" t="s">
        <v>9421</v>
      </c>
      <c r="L4507" s="149" t="s">
        <v>2978</v>
      </c>
      <c r="M4507" s="151">
        <v>59900</v>
      </c>
    </row>
    <row r="4508" spans="1:13" s="149" customFormat="1" x14ac:dyDescent="0.25">
      <c r="A4508" s="149" t="s">
        <v>7640</v>
      </c>
      <c r="B4508" s="149" t="s">
        <v>2979</v>
      </c>
      <c r="C4508" s="149">
        <v>11</v>
      </c>
      <c r="D4508" s="149">
        <v>400</v>
      </c>
      <c r="E4508" s="149">
        <v>0</v>
      </c>
      <c r="F4508" s="149">
        <v>665000</v>
      </c>
      <c r="G4508" s="149">
        <v>52300</v>
      </c>
      <c r="H4508" s="150" t="str">
        <f t="shared" si="210"/>
        <v>5</v>
      </c>
      <c r="I4508" s="150" t="str">
        <f t="shared" si="211"/>
        <v>52</v>
      </c>
      <c r="J4508" s="150" t="str">
        <f t="shared" si="212"/>
        <v>523</v>
      </c>
      <c r="K4508" s="150" t="s">
        <v>7836</v>
      </c>
      <c r="L4508" s="149" t="s">
        <v>2980</v>
      </c>
      <c r="M4508" s="151">
        <v>13.02</v>
      </c>
    </row>
    <row r="4509" spans="1:13" s="149" customFormat="1" x14ac:dyDescent="0.25">
      <c r="A4509" s="149" t="s">
        <v>7640</v>
      </c>
      <c r="B4509" s="149" t="s">
        <v>2981</v>
      </c>
      <c r="C4509" s="149">
        <v>11</v>
      </c>
      <c r="D4509" s="149">
        <v>400</v>
      </c>
      <c r="E4509" s="149">
        <v>0</v>
      </c>
      <c r="F4509" s="149">
        <v>665000</v>
      </c>
      <c r="G4509" s="149">
        <v>52360</v>
      </c>
      <c r="H4509" s="150" t="str">
        <f t="shared" si="210"/>
        <v>5</v>
      </c>
      <c r="I4509" s="150" t="str">
        <f t="shared" si="211"/>
        <v>52</v>
      </c>
      <c r="J4509" s="150" t="str">
        <f t="shared" si="212"/>
        <v>523</v>
      </c>
      <c r="K4509" s="150" t="s">
        <v>7882</v>
      </c>
      <c r="L4509" s="149" t="s">
        <v>2982</v>
      </c>
      <c r="M4509" s="151">
        <v>32130</v>
      </c>
    </row>
    <row r="4510" spans="1:13" s="149" customFormat="1" x14ac:dyDescent="0.25">
      <c r="A4510" s="149" t="s">
        <v>7640</v>
      </c>
      <c r="B4510" s="149" t="s">
        <v>2983</v>
      </c>
      <c r="C4510" s="149">
        <v>11</v>
      </c>
      <c r="D4510" s="149">
        <v>400</v>
      </c>
      <c r="E4510" s="149">
        <v>0</v>
      </c>
      <c r="F4510" s="149">
        <v>665000</v>
      </c>
      <c r="G4510" s="149">
        <v>53120</v>
      </c>
      <c r="H4510" s="150" t="str">
        <f t="shared" si="210"/>
        <v>5</v>
      </c>
      <c r="I4510" s="150" t="str">
        <f t="shared" si="211"/>
        <v>53</v>
      </c>
      <c r="J4510" s="150" t="str">
        <f t="shared" si="212"/>
        <v>531</v>
      </c>
      <c r="K4510" s="150" t="s">
        <v>9422</v>
      </c>
      <c r="L4510" s="149" t="s">
        <v>2984</v>
      </c>
      <c r="M4510" s="151">
        <v>23189.1</v>
      </c>
    </row>
    <row r="4511" spans="1:13" s="149" customFormat="1" x14ac:dyDescent="0.25">
      <c r="A4511" s="149" t="s">
        <v>7640</v>
      </c>
      <c r="B4511" s="149" t="s">
        <v>2985</v>
      </c>
      <c r="C4511" s="149">
        <v>11</v>
      </c>
      <c r="D4511" s="149">
        <v>400</v>
      </c>
      <c r="E4511" s="149">
        <v>0</v>
      </c>
      <c r="F4511" s="149">
        <v>665000</v>
      </c>
      <c r="G4511" s="149">
        <v>53220</v>
      </c>
      <c r="H4511" s="150" t="str">
        <f t="shared" si="210"/>
        <v>5</v>
      </c>
      <c r="I4511" s="150" t="str">
        <f t="shared" si="211"/>
        <v>53</v>
      </c>
      <c r="J4511" s="150" t="str">
        <f t="shared" si="212"/>
        <v>532</v>
      </c>
      <c r="K4511" s="150" t="s">
        <v>9423</v>
      </c>
      <c r="L4511" s="149" t="s">
        <v>2986</v>
      </c>
      <c r="M4511" s="151">
        <v>12399.3</v>
      </c>
    </row>
    <row r="4512" spans="1:13" s="149" customFormat="1" x14ac:dyDescent="0.25">
      <c r="A4512" s="149" t="s">
        <v>7640</v>
      </c>
      <c r="B4512" s="149" t="s">
        <v>2987</v>
      </c>
      <c r="C4512" s="149">
        <v>11</v>
      </c>
      <c r="D4512" s="149">
        <v>400</v>
      </c>
      <c r="E4512" s="149">
        <v>0</v>
      </c>
      <c r="F4512" s="149">
        <v>665000</v>
      </c>
      <c r="G4512" s="149">
        <v>53320</v>
      </c>
      <c r="H4512" s="150" t="str">
        <f t="shared" si="210"/>
        <v>5</v>
      </c>
      <c r="I4512" s="150" t="str">
        <f t="shared" si="211"/>
        <v>53</v>
      </c>
      <c r="J4512" s="150" t="str">
        <f t="shared" si="212"/>
        <v>533</v>
      </c>
      <c r="K4512" s="150" t="s">
        <v>9424</v>
      </c>
      <c r="L4512" s="149" t="s">
        <v>2988</v>
      </c>
      <c r="M4512" s="151">
        <v>3717.6</v>
      </c>
    </row>
    <row r="4513" spans="1:13" s="149" customFormat="1" x14ac:dyDescent="0.25">
      <c r="A4513" s="149" t="s">
        <v>7640</v>
      </c>
      <c r="B4513" s="149" t="s">
        <v>2989</v>
      </c>
      <c r="C4513" s="149">
        <v>11</v>
      </c>
      <c r="D4513" s="149">
        <v>400</v>
      </c>
      <c r="E4513" s="149">
        <v>0</v>
      </c>
      <c r="F4513" s="149">
        <v>665000</v>
      </c>
      <c r="G4513" s="149">
        <v>53340</v>
      </c>
      <c r="H4513" s="150" t="str">
        <f t="shared" si="210"/>
        <v>5</v>
      </c>
      <c r="I4513" s="150" t="str">
        <f t="shared" si="211"/>
        <v>53</v>
      </c>
      <c r="J4513" s="150" t="str">
        <f t="shared" si="212"/>
        <v>533</v>
      </c>
      <c r="K4513" s="150" t="s">
        <v>9425</v>
      </c>
      <c r="L4513" s="149" t="s">
        <v>2990</v>
      </c>
      <c r="M4513" s="151">
        <v>3403.46</v>
      </c>
    </row>
    <row r="4514" spans="1:13" s="149" customFormat="1" x14ac:dyDescent="0.25">
      <c r="A4514" s="149" t="s">
        <v>7640</v>
      </c>
      <c r="B4514" s="149" t="s">
        <v>2991</v>
      </c>
      <c r="C4514" s="149">
        <v>11</v>
      </c>
      <c r="D4514" s="149">
        <v>400</v>
      </c>
      <c r="E4514" s="149">
        <v>0</v>
      </c>
      <c r="F4514" s="149">
        <v>665000</v>
      </c>
      <c r="G4514" s="149">
        <v>53420</v>
      </c>
      <c r="H4514" s="150" t="str">
        <f t="shared" si="210"/>
        <v>5</v>
      </c>
      <c r="I4514" s="150" t="str">
        <f t="shared" si="211"/>
        <v>53</v>
      </c>
      <c r="J4514" s="150" t="str">
        <f t="shared" si="212"/>
        <v>534</v>
      </c>
      <c r="K4514" s="150" t="s">
        <v>9426</v>
      </c>
      <c r="L4514" s="149" t="s">
        <v>2992</v>
      </c>
      <c r="M4514" s="151">
        <v>37732.720000000001</v>
      </c>
    </row>
    <row r="4515" spans="1:13" s="149" customFormat="1" x14ac:dyDescent="0.25">
      <c r="A4515" s="149" t="s">
        <v>7640</v>
      </c>
      <c r="B4515" s="149" t="s">
        <v>2993</v>
      </c>
      <c r="C4515" s="149">
        <v>11</v>
      </c>
      <c r="D4515" s="149">
        <v>400</v>
      </c>
      <c r="E4515" s="149">
        <v>0</v>
      </c>
      <c r="F4515" s="149">
        <v>665000</v>
      </c>
      <c r="G4515" s="149">
        <v>53520</v>
      </c>
      <c r="H4515" s="150" t="str">
        <f t="shared" si="210"/>
        <v>5</v>
      </c>
      <c r="I4515" s="150" t="str">
        <f t="shared" si="211"/>
        <v>53</v>
      </c>
      <c r="J4515" s="150" t="str">
        <f t="shared" si="212"/>
        <v>535</v>
      </c>
      <c r="K4515" s="150" t="s">
        <v>9427</v>
      </c>
      <c r="L4515" s="149" t="s">
        <v>2994</v>
      </c>
      <c r="M4515" s="151">
        <v>117.49</v>
      </c>
    </row>
    <row r="4516" spans="1:13" s="149" customFormat="1" x14ac:dyDescent="0.25">
      <c r="A4516" s="149" t="s">
        <v>7640</v>
      </c>
      <c r="B4516" s="149" t="s">
        <v>2995</v>
      </c>
      <c r="C4516" s="149">
        <v>11</v>
      </c>
      <c r="D4516" s="149">
        <v>400</v>
      </c>
      <c r="E4516" s="149">
        <v>0</v>
      </c>
      <c r="F4516" s="149">
        <v>665000</v>
      </c>
      <c r="G4516" s="149">
        <v>53620</v>
      </c>
      <c r="H4516" s="150" t="str">
        <f t="shared" si="210"/>
        <v>5</v>
      </c>
      <c r="I4516" s="150" t="str">
        <f t="shared" si="211"/>
        <v>53</v>
      </c>
      <c r="J4516" s="150" t="str">
        <f t="shared" si="212"/>
        <v>536</v>
      </c>
      <c r="K4516" s="150" t="s">
        <v>9428</v>
      </c>
      <c r="L4516" s="149" t="s">
        <v>2996</v>
      </c>
      <c r="M4516" s="151">
        <v>4455.25</v>
      </c>
    </row>
    <row r="4517" spans="1:13" s="149" customFormat="1" x14ac:dyDescent="0.25">
      <c r="A4517" s="149" t="s">
        <v>7640</v>
      </c>
      <c r="B4517" s="149" t="s">
        <v>2997</v>
      </c>
      <c r="C4517" s="149">
        <v>11</v>
      </c>
      <c r="D4517" s="149">
        <v>400</v>
      </c>
      <c r="E4517" s="149">
        <v>0</v>
      </c>
      <c r="F4517" s="149">
        <v>665000</v>
      </c>
      <c r="G4517" s="149">
        <v>53920</v>
      </c>
      <c r="H4517" s="150" t="str">
        <f t="shared" si="210"/>
        <v>5</v>
      </c>
      <c r="I4517" s="150" t="str">
        <f t="shared" si="211"/>
        <v>53</v>
      </c>
      <c r="J4517" s="150" t="str">
        <f t="shared" si="212"/>
        <v>539</v>
      </c>
      <c r="K4517" s="150" t="s">
        <v>9429</v>
      </c>
      <c r="L4517" s="149" t="s">
        <v>2998</v>
      </c>
      <c r="M4517" s="151">
        <v>3600</v>
      </c>
    </row>
    <row r="4518" spans="1:13" s="149" customFormat="1" x14ac:dyDescent="0.25">
      <c r="A4518" s="149" t="s">
        <v>7640</v>
      </c>
      <c r="B4518" s="149" t="s">
        <v>2999</v>
      </c>
      <c r="C4518" s="149">
        <v>11</v>
      </c>
      <c r="D4518" s="149">
        <v>400</v>
      </c>
      <c r="E4518" s="149">
        <v>0</v>
      </c>
      <c r="F4518" s="149">
        <v>665000</v>
      </c>
      <c r="G4518" s="149">
        <v>54300</v>
      </c>
      <c r="H4518" s="150" t="str">
        <f t="shared" si="210"/>
        <v>5</v>
      </c>
      <c r="I4518" s="150" t="str">
        <f t="shared" si="211"/>
        <v>54</v>
      </c>
      <c r="J4518" s="150" t="str">
        <f t="shared" si="212"/>
        <v>543</v>
      </c>
      <c r="K4518" s="150" t="s">
        <v>7977</v>
      </c>
      <c r="L4518" s="149" t="s">
        <v>3000</v>
      </c>
      <c r="M4518" s="151">
        <v>0</v>
      </c>
    </row>
    <row r="4519" spans="1:13" s="149" customFormat="1" x14ac:dyDescent="0.25">
      <c r="A4519" s="149" t="s">
        <v>7640</v>
      </c>
      <c r="B4519" s="149" t="s">
        <v>3001</v>
      </c>
      <c r="C4519" s="149">
        <v>11</v>
      </c>
      <c r="D4519" s="149">
        <v>400</v>
      </c>
      <c r="E4519" s="149">
        <v>0</v>
      </c>
      <c r="F4519" s="149">
        <v>665000</v>
      </c>
      <c r="G4519" s="149">
        <v>55100</v>
      </c>
      <c r="H4519" s="150" t="str">
        <f t="shared" si="210"/>
        <v>5</v>
      </c>
      <c r="I4519" s="150" t="str">
        <f t="shared" si="211"/>
        <v>55</v>
      </c>
      <c r="J4519" s="150" t="str">
        <f t="shared" si="212"/>
        <v>551</v>
      </c>
      <c r="K4519" s="150" t="s">
        <v>8000</v>
      </c>
      <c r="L4519" s="149" t="s">
        <v>3002</v>
      </c>
      <c r="M4519" s="151">
        <v>200</v>
      </c>
    </row>
    <row r="4520" spans="1:13" s="149" customFormat="1" x14ac:dyDescent="0.25">
      <c r="A4520" s="149" t="s">
        <v>7640</v>
      </c>
      <c r="B4520" s="149" t="s">
        <v>3003</v>
      </c>
      <c r="C4520" s="149">
        <v>11</v>
      </c>
      <c r="D4520" s="149">
        <v>400</v>
      </c>
      <c r="E4520" s="149">
        <v>0</v>
      </c>
      <c r="F4520" s="149">
        <v>665000</v>
      </c>
      <c r="G4520" s="149">
        <v>55105</v>
      </c>
      <c r="H4520" s="150" t="str">
        <f t="shared" si="210"/>
        <v>5</v>
      </c>
      <c r="I4520" s="150" t="str">
        <f t="shared" si="211"/>
        <v>55</v>
      </c>
      <c r="J4520" s="150" t="str">
        <f t="shared" si="212"/>
        <v>551</v>
      </c>
      <c r="K4520" s="150" t="s">
        <v>8019</v>
      </c>
      <c r="L4520" s="149" t="s">
        <v>3004</v>
      </c>
      <c r="M4520" s="151">
        <v>0</v>
      </c>
    </row>
    <row r="4521" spans="1:13" s="149" customFormat="1" x14ac:dyDescent="0.25">
      <c r="A4521" s="149" t="s">
        <v>7640</v>
      </c>
      <c r="B4521" s="149" t="s">
        <v>3005</v>
      </c>
      <c r="C4521" s="149">
        <v>11</v>
      </c>
      <c r="D4521" s="149">
        <v>400</v>
      </c>
      <c r="E4521" s="149">
        <v>0</v>
      </c>
      <c r="F4521" s="149">
        <v>665000</v>
      </c>
      <c r="G4521" s="149">
        <v>55200</v>
      </c>
      <c r="H4521" s="150" t="str">
        <f t="shared" si="210"/>
        <v>5</v>
      </c>
      <c r="I4521" s="150" t="str">
        <f t="shared" si="211"/>
        <v>55</v>
      </c>
      <c r="J4521" s="150" t="str">
        <f t="shared" si="212"/>
        <v>552</v>
      </c>
      <c r="K4521" s="150" t="s">
        <v>8066</v>
      </c>
      <c r="L4521" s="149" t="s">
        <v>3006</v>
      </c>
      <c r="M4521" s="151">
        <v>565</v>
      </c>
    </row>
    <row r="4522" spans="1:13" s="149" customFormat="1" x14ac:dyDescent="0.25">
      <c r="A4522" s="149" t="s">
        <v>7640</v>
      </c>
      <c r="B4522" s="149" t="s">
        <v>3007</v>
      </c>
      <c r="C4522" s="149">
        <v>11</v>
      </c>
      <c r="D4522" s="149">
        <v>400</v>
      </c>
      <c r="E4522" s="149">
        <v>0</v>
      </c>
      <c r="F4522" s="149">
        <v>665000</v>
      </c>
      <c r="G4522" s="149">
        <v>55300</v>
      </c>
      <c r="H4522" s="150" t="str">
        <f t="shared" si="210"/>
        <v>5</v>
      </c>
      <c r="I4522" s="150" t="str">
        <f t="shared" si="211"/>
        <v>55</v>
      </c>
      <c r="J4522" s="150" t="str">
        <f t="shared" si="212"/>
        <v>553</v>
      </c>
      <c r="K4522" s="150" t="s">
        <v>8097</v>
      </c>
      <c r="L4522" s="149" t="s">
        <v>3008</v>
      </c>
      <c r="M4522" s="151">
        <v>300</v>
      </c>
    </row>
    <row r="4523" spans="1:13" s="149" customFormat="1" x14ac:dyDescent="0.25">
      <c r="A4523" s="149" t="s">
        <v>7640</v>
      </c>
      <c r="B4523" s="149" t="s">
        <v>3009</v>
      </c>
      <c r="C4523" s="149">
        <v>11</v>
      </c>
      <c r="D4523" s="149">
        <v>400</v>
      </c>
      <c r="E4523" s="149">
        <v>0</v>
      </c>
      <c r="F4523" s="149">
        <v>665000</v>
      </c>
      <c r="G4523" s="149">
        <v>55400</v>
      </c>
      <c r="H4523" s="150" t="str">
        <f t="shared" si="210"/>
        <v>5</v>
      </c>
      <c r="I4523" s="150" t="str">
        <f t="shared" si="211"/>
        <v>55</v>
      </c>
      <c r="J4523" s="150" t="str">
        <f t="shared" si="212"/>
        <v>554</v>
      </c>
      <c r="K4523" s="150" t="s">
        <v>8115</v>
      </c>
      <c r="L4523" s="149" t="s">
        <v>3010</v>
      </c>
      <c r="M4523" s="151">
        <v>117067</v>
      </c>
    </row>
    <row r="4524" spans="1:13" s="149" customFormat="1" x14ac:dyDescent="0.25">
      <c r="A4524" s="149" t="s">
        <v>7640</v>
      </c>
      <c r="B4524" s="149" t="s">
        <v>3011</v>
      </c>
      <c r="C4524" s="149">
        <v>11</v>
      </c>
      <c r="D4524" s="149">
        <v>400</v>
      </c>
      <c r="E4524" s="149">
        <v>0</v>
      </c>
      <c r="F4524" s="149">
        <v>665000</v>
      </c>
      <c r="G4524" s="149">
        <v>55630</v>
      </c>
      <c r="H4524" s="150" t="str">
        <f t="shared" si="210"/>
        <v>5</v>
      </c>
      <c r="I4524" s="150" t="str">
        <f t="shared" si="211"/>
        <v>55</v>
      </c>
      <c r="J4524" s="150" t="str">
        <f t="shared" si="212"/>
        <v>556</v>
      </c>
      <c r="K4524" s="150" t="s">
        <v>8265</v>
      </c>
      <c r="L4524" s="149" t="s">
        <v>3012</v>
      </c>
      <c r="M4524" s="151">
        <v>71.19</v>
      </c>
    </row>
    <row r="4525" spans="1:13" s="149" customFormat="1" x14ac:dyDescent="0.25">
      <c r="A4525" s="149" t="s">
        <v>7640</v>
      </c>
      <c r="B4525" s="149" t="s">
        <v>3013</v>
      </c>
      <c r="C4525" s="149">
        <v>11</v>
      </c>
      <c r="D4525" s="149">
        <v>400</v>
      </c>
      <c r="E4525" s="149">
        <v>0</v>
      </c>
      <c r="F4525" s="149">
        <v>696000</v>
      </c>
      <c r="G4525" s="149">
        <v>52105</v>
      </c>
      <c r="H4525" s="150" t="str">
        <f t="shared" si="210"/>
        <v>5</v>
      </c>
      <c r="I4525" s="150" t="str">
        <f t="shared" si="211"/>
        <v>52</v>
      </c>
      <c r="J4525" s="150" t="str">
        <f t="shared" si="212"/>
        <v>521</v>
      </c>
      <c r="K4525" s="150" t="s">
        <v>9430</v>
      </c>
      <c r="L4525" s="149" t="s">
        <v>3014</v>
      </c>
      <c r="M4525" s="151">
        <v>23187.040000000001</v>
      </c>
    </row>
    <row r="4526" spans="1:13" s="149" customFormat="1" x14ac:dyDescent="0.25">
      <c r="A4526" s="149" t="s">
        <v>7640</v>
      </c>
      <c r="B4526" s="149" t="s">
        <v>3015</v>
      </c>
      <c r="C4526" s="149">
        <v>11</v>
      </c>
      <c r="D4526" s="149">
        <v>400</v>
      </c>
      <c r="E4526" s="149">
        <v>0</v>
      </c>
      <c r="F4526" s="149">
        <v>696000</v>
      </c>
      <c r="G4526" s="149">
        <v>52130</v>
      </c>
      <c r="H4526" s="150" t="str">
        <f t="shared" si="210"/>
        <v>5</v>
      </c>
      <c r="I4526" s="150" t="str">
        <f t="shared" si="211"/>
        <v>52</v>
      </c>
      <c r="J4526" s="150" t="str">
        <f t="shared" si="212"/>
        <v>521</v>
      </c>
      <c r="K4526" s="150" t="s">
        <v>9431</v>
      </c>
      <c r="L4526" s="149" t="s">
        <v>2844</v>
      </c>
      <c r="M4526" s="151">
        <v>92518.399999999994</v>
      </c>
    </row>
    <row r="4527" spans="1:13" s="149" customFormat="1" x14ac:dyDescent="0.25">
      <c r="A4527" s="149" t="s">
        <v>7640</v>
      </c>
      <c r="B4527" s="149" t="s">
        <v>3016</v>
      </c>
      <c r="C4527" s="149">
        <v>11</v>
      </c>
      <c r="D4527" s="149">
        <v>400</v>
      </c>
      <c r="E4527" s="149">
        <v>0</v>
      </c>
      <c r="F4527" s="149">
        <v>696000</v>
      </c>
      <c r="G4527" s="149">
        <v>52300</v>
      </c>
      <c r="H4527" s="150" t="str">
        <f t="shared" si="210"/>
        <v>5</v>
      </c>
      <c r="I4527" s="150" t="str">
        <f t="shared" si="211"/>
        <v>52</v>
      </c>
      <c r="J4527" s="150" t="str">
        <f t="shared" si="212"/>
        <v>523</v>
      </c>
      <c r="K4527" s="150" t="s">
        <v>7837</v>
      </c>
      <c r="L4527" s="149" t="s">
        <v>3017</v>
      </c>
      <c r="M4527" s="151">
        <v>33.76</v>
      </c>
    </row>
    <row r="4528" spans="1:13" s="149" customFormat="1" x14ac:dyDescent="0.25">
      <c r="A4528" s="149" t="s">
        <v>7640</v>
      </c>
      <c r="B4528" s="149" t="s">
        <v>3018</v>
      </c>
      <c r="C4528" s="149">
        <v>11</v>
      </c>
      <c r="D4528" s="149">
        <v>400</v>
      </c>
      <c r="E4528" s="149">
        <v>0</v>
      </c>
      <c r="F4528" s="149">
        <v>696000</v>
      </c>
      <c r="G4528" s="149">
        <v>53220</v>
      </c>
      <c r="H4528" s="150" t="str">
        <f t="shared" si="210"/>
        <v>5</v>
      </c>
      <c r="I4528" s="150" t="str">
        <f t="shared" si="211"/>
        <v>53</v>
      </c>
      <c r="J4528" s="150" t="str">
        <f t="shared" si="212"/>
        <v>532</v>
      </c>
      <c r="K4528" s="150" t="s">
        <v>9432</v>
      </c>
      <c r="L4528" s="149" t="s">
        <v>2846</v>
      </c>
      <c r="M4528" s="151">
        <v>23905.42</v>
      </c>
    </row>
    <row r="4529" spans="1:13" s="149" customFormat="1" x14ac:dyDescent="0.25">
      <c r="A4529" s="149" t="s">
        <v>7640</v>
      </c>
      <c r="B4529" s="149" t="s">
        <v>3019</v>
      </c>
      <c r="C4529" s="149">
        <v>11</v>
      </c>
      <c r="D4529" s="149">
        <v>400</v>
      </c>
      <c r="E4529" s="149">
        <v>0</v>
      </c>
      <c r="F4529" s="149">
        <v>696000</v>
      </c>
      <c r="G4529" s="149">
        <v>53320</v>
      </c>
      <c r="H4529" s="150" t="str">
        <f t="shared" si="210"/>
        <v>5</v>
      </c>
      <c r="I4529" s="150" t="str">
        <f t="shared" si="211"/>
        <v>53</v>
      </c>
      <c r="J4529" s="150" t="str">
        <f t="shared" si="212"/>
        <v>533</v>
      </c>
      <c r="K4529" s="150" t="s">
        <v>9433</v>
      </c>
      <c r="L4529" s="149" t="s">
        <v>2848</v>
      </c>
      <c r="M4529" s="151">
        <v>7064.28</v>
      </c>
    </row>
    <row r="4530" spans="1:13" s="149" customFormat="1" x14ac:dyDescent="0.25">
      <c r="A4530" s="149" t="s">
        <v>7640</v>
      </c>
      <c r="B4530" s="149" t="s">
        <v>3020</v>
      </c>
      <c r="C4530" s="149">
        <v>11</v>
      </c>
      <c r="D4530" s="149">
        <v>400</v>
      </c>
      <c r="E4530" s="149">
        <v>0</v>
      </c>
      <c r="F4530" s="149">
        <v>696000</v>
      </c>
      <c r="G4530" s="149">
        <v>53340</v>
      </c>
      <c r="H4530" s="150" t="str">
        <f t="shared" si="210"/>
        <v>5</v>
      </c>
      <c r="I4530" s="150" t="str">
        <f t="shared" si="211"/>
        <v>53</v>
      </c>
      <c r="J4530" s="150" t="str">
        <f t="shared" si="212"/>
        <v>533</v>
      </c>
      <c r="K4530" s="150" t="s">
        <v>9434</v>
      </c>
      <c r="L4530" s="149" t="s">
        <v>2850</v>
      </c>
      <c r="M4530" s="151">
        <v>1652.11</v>
      </c>
    </row>
    <row r="4531" spans="1:13" s="149" customFormat="1" x14ac:dyDescent="0.25">
      <c r="A4531" s="149" t="s">
        <v>7640</v>
      </c>
      <c r="B4531" s="149" t="s">
        <v>3021</v>
      </c>
      <c r="C4531" s="149">
        <v>11</v>
      </c>
      <c r="D4531" s="149">
        <v>400</v>
      </c>
      <c r="E4531" s="149">
        <v>0</v>
      </c>
      <c r="F4531" s="149">
        <v>696000</v>
      </c>
      <c r="G4531" s="149">
        <v>53420</v>
      </c>
      <c r="H4531" s="150" t="str">
        <f t="shared" si="210"/>
        <v>5</v>
      </c>
      <c r="I4531" s="150" t="str">
        <f t="shared" si="211"/>
        <v>53</v>
      </c>
      <c r="J4531" s="150" t="str">
        <f t="shared" si="212"/>
        <v>534</v>
      </c>
      <c r="K4531" s="150" t="s">
        <v>9435</v>
      </c>
      <c r="L4531" s="149" t="s">
        <v>2852</v>
      </c>
      <c r="M4531" s="151">
        <v>32742.28</v>
      </c>
    </row>
    <row r="4532" spans="1:13" s="149" customFormat="1" x14ac:dyDescent="0.25">
      <c r="A4532" s="149" t="s">
        <v>7640</v>
      </c>
      <c r="B4532" s="149" t="s">
        <v>3022</v>
      </c>
      <c r="C4532" s="149">
        <v>11</v>
      </c>
      <c r="D4532" s="149">
        <v>400</v>
      </c>
      <c r="E4532" s="149">
        <v>0</v>
      </c>
      <c r="F4532" s="149">
        <v>696000</v>
      </c>
      <c r="G4532" s="149">
        <v>53520</v>
      </c>
      <c r="H4532" s="150" t="str">
        <f t="shared" si="210"/>
        <v>5</v>
      </c>
      <c r="I4532" s="150" t="str">
        <f t="shared" si="211"/>
        <v>53</v>
      </c>
      <c r="J4532" s="150" t="str">
        <f t="shared" si="212"/>
        <v>535</v>
      </c>
      <c r="K4532" s="150" t="s">
        <v>9436</v>
      </c>
      <c r="L4532" s="149" t="s">
        <v>2854</v>
      </c>
      <c r="M4532" s="151">
        <v>57.38</v>
      </c>
    </row>
    <row r="4533" spans="1:13" s="149" customFormat="1" x14ac:dyDescent="0.25">
      <c r="A4533" s="149" t="s">
        <v>7640</v>
      </c>
      <c r="B4533" s="149" t="s">
        <v>3023</v>
      </c>
      <c r="C4533" s="149">
        <v>11</v>
      </c>
      <c r="D4533" s="149">
        <v>400</v>
      </c>
      <c r="E4533" s="149">
        <v>0</v>
      </c>
      <c r="F4533" s="149">
        <v>696000</v>
      </c>
      <c r="G4533" s="149">
        <v>53620</v>
      </c>
      <c r="H4533" s="150" t="str">
        <f t="shared" si="210"/>
        <v>5</v>
      </c>
      <c r="I4533" s="150" t="str">
        <f t="shared" si="211"/>
        <v>53</v>
      </c>
      <c r="J4533" s="150" t="str">
        <f t="shared" si="212"/>
        <v>536</v>
      </c>
      <c r="K4533" s="150" t="s">
        <v>9437</v>
      </c>
      <c r="L4533" s="149" t="s">
        <v>2856</v>
      </c>
      <c r="M4533" s="151">
        <v>2189.58</v>
      </c>
    </row>
    <row r="4534" spans="1:13" s="149" customFormat="1" x14ac:dyDescent="0.25">
      <c r="A4534" s="149" t="s">
        <v>7640</v>
      </c>
      <c r="B4534" s="149" t="s">
        <v>3024</v>
      </c>
      <c r="C4534" s="149">
        <v>11</v>
      </c>
      <c r="D4534" s="149">
        <v>400</v>
      </c>
      <c r="E4534" s="149">
        <v>0</v>
      </c>
      <c r="F4534" s="149">
        <v>696000</v>
      </c>
      <c r="G4534" s="149">
        <v>53920</v>
      </c>
      <c r="H4534" s="150" t="str">
        <f t="shared" si="210"/>
        <v>5</v>
      </c>
      <c r="I4534" s="150" t="str">
        <f t="shared" si="211"/>
        <v>53</v>
      </c>
      <c r="J4534" s="150" t="str">
        <f t="shared" si="212"/>
        <v>539</v>
      </c>
      <c r="K4534" s="150" t="s">
        <v>9438</v>
      </c>
      <c r="L4534" s="149" t="s">
        <v>2858</v>
      </c>
      <c r="M4534" s="151">
        <v>0</v>
      </c>
    </row>
    <row r="4535" spans="1:13" s="149" customFormat="1" x14ac:dyDescent="0.25">
      <c r="A4535" s="149" t="s">
        <v>7640</v>
      </c>
      <c r="B4535" s="149" t="s">
        <v>3025</v>
      </c>
      <c r="C4535" s="149">
        <v>11</v>
      </c>
      <c r="D4535" s="149">
        <v>400</v>
      </c>
      <c r="E4535" s="149">
        <v>0</v>
      </c>
      <c r="F4535" s="149">
        <v>696000</v>
      </c>
      <c r="G4535" s="149">
        <v>54300</v>
      </c>
      <c r="H4535" s="150" t="str">
        <f t="shared" si="210"/>
        <v>5</v>
      </c>
      <c r="I4535" s="150" t="str">
        <f t="shared" si="211"/>
        <v>54</v>
      </c>
      <c r="J4535" s="150" t="str">
        <f t="shared" si="212"/>
        <v>543</v>
      </c>
      <c r="K4535" s="150" t="s">
        <v>7978</v>
      </c>
      <c r="L4535" s="149" t="s">
        <v>3026</v>
      </c>
      <c r="M4535" s="151">
        <v>0</v>
      </c>
    </row>
    <row r="4536" spans="1:13" s="149" customFormat="1" x14ac:dyDescent="0.25">
      <c r="A4536" s="149" t="s">
        <v>7640</v>
      </c>
      <c r="B4536" s="149" t="s">
        <v>3027</v>
      </c>
      <c r="C4536" s="149">
        <v>11</v>
      </c>
      <c r="D4536" s="149">
        <v>400</v>
      </c>
      <c r="E4536" s="149">
        <v>0</v>
      </c>
      <c r="F4536" s="149">
        <v>696000</v>
      </c>
      <c r="G4536" s="149">
        <v>55630</v>
      </c>
      <c r="H4536" s="150" t="str">
        <f t="shared" si="210"/>
        <v>5</v>
      </c>
      <c r="I4536" s="150" t="str">
        <f t="shared" si="211"/>
        <v>55</v>
      </c>
      <c r="J4536" s="150" t="str">
        <f t="shared" si="212"/>
        <v>556</v>
      </c>
      <c r="K4536" s="150" t="s">
        <v>8266</v>
      </c>
      <c r="L4536" s="149" t="s">
        <v>2860</v>
      </c>
      <c r="M4536" s="151">
        <v>34.14</v>
      </c>
    </row>
    <row r="4537" spans="1:13" s="149" customFormat="1" x14ac:dyDescent="0.25">
      <c r="A4537" s="149" t="s">
        <v>7640</v>
      </c>
      <c r="B4537" s="149" t="s">
        <v>3028</v>
      </c>
      <c r="C4537" s="149">
        <v>11</v>
      </c>
      <c r="D4537" s="149">
        <v>400</v>
      </c>
      <c r="E4537" s="149">
        <v>0</v>
      </c>
      <c r="F4537" s="149">
        <v>703602</v>
      </c>
      <c r="G4537" s="149">
        <v>51200</v>
      </c>
      <c r="H4537" s="150" t="str">
        <f t="shared" si="210"/>
        <v>5</v>
      </c>
      <c r="I4537" s="150" t="str">
        <f t="shared" si="211"/>
        <v>51</v>
      </c>
      <c r="J4537" s="150" t="str">
        <f t="shared" si="212"/>
        <v>512</v>
      </c>
      <c r="K4537" s="150" t="s">
        <v>9439</v>
      </c>
      <c r="L4537" s="149" t="s">
        <v>3029</v>
      </c>
      <c r="M4537" s="151">
        <v>12047.58</v>
      </c>
    </row>
    <row r="4538" spans="1:13" s="149" customFormat="1" x14ac:dyDescent="0.25">
      <c r="A4538" s="149" t="s">
        <v>7640</v>
      </c>
      <c r="B4538" s="149" t="s">
        <v>3030</v>
      </c>
      <c r="C4538" s="149">
        <v>11</v>
      </c>
      <c r="D4538" s="149">
        <v>400</v>
      </c>
      <c r="E4538" s="149">
        <v>0</v>
      </c>
      <c r="F4538" s="149">
        <v>703602</v>
      </c>
      <c r="G4538" s="149">
        <v>53120</v>
      </c>
      <c r="H4538" s="150" t="str">
        <f t="shared" si="210"/>
        <v>5</v>
      </c>
      <c r="I4538" s="150" t="str">
        <f t="shared" si="211"/>
        <v>53</v>
      </c>
      <c r="J4538" s="150" t="str">
        <f t="shared" si="212"/>
        <v>531</v>
      </c>
      <c r="K4538" s="150" t="s">
        <v>9440</v>
      </c>
      <c r="L4538" s="149" t="s">
        <v>3031</v>
      </c>
      <c r="M4538" s="151">
        <v>1945.71</v>
      </c>
    </row>
    <row r="4539" spans="1:13" s="149" customFormat="1" x14ac:dyDescent="0.25">
      <c r="A4539" s="149" t="s">
        <v>7640</v>
      </c>
      <c r="B4539" s="149" t="s">
        <v>3032</v>
      </c>
      <c r="C4539" s="149">
        <v>11</v>
      </c>
      <c r="D4539" s="149">
        <v>400</v>
      </c>
      <c r="E4539" s="149">
        <v>0</v>
      </c>
      <c r="F4539" s="149">
        <v>703602</v>
      </c>
      <c r="G4539" s="149">
        <v>53340</v>
      </c>
      <c r="H4539" s="150" t="str">
        <f t="shared" si="210"/>
        <v>5</v>
      </c>
      <c r="I4539" s="150" t="str">
        <f t="shared" si="211"/>
        <v>53</v>
      </c>
      <c r="J4539" s="150" t="str">
        <f t="shared" si="212"/>
        <v>533</v>
      </c>
      <c r="K4539" s="150" t="s">
        <v>9441</v>
      </c>
      <c r="L4539" s="149" t="s">
        <v>3033</v>
      </c>
      <c r="M4539" s="151">
        <v>173.07</v>
      </c>
    </row>
    <row r="4540" spans="1:13" s="149" customFormat="1" x14ac:dyDescent="0.25">
      <c r="A4540" s="149" t="s">
        <v>7640</v>
      </c>
      <c r="B4540" s="149" t="s">
        <v>3034</v>
      </c>
      <c r="C4540" s="149">
        <v>11</v>
      </c>
      <c r="D4540" s="149">
        <v>400</v>
      </c>
      <c r="E4540" s="149">
        <v>0</v>
      </c>
      <c r="F4540" s="149">
        <v>703602</v>
      </c>
      <c r="G4540" s="149">
        <v>53420</v>
      </c>
      <c r="H4540" s="150" t="str">
        <f t="shared" si="210"/>
        <v>5</v>
      </c>
      <c r="I4540" s="150" t="str">
        <f t="shared" si="211"/>
        <v>53</v>
      </c>
      <c r="J4540" s="150" t="str">
        <f t="shared" si="212"/>
        <v>534</v>
      </c>
      <c r="K4540" s="150" t="s">
        <v>9442</v>
      </c>
      <c r="L4540" s="149" t="s">
        <v>3035</v>
      </c>
      <c r="M4540" s="151">
        <v>3733.21</v>
      </c>
    </row>
    <row r="4541" spans="1:13" s="149" customFormat="1" x14ac:dyDescent="0.25">
      <c r="A4541" s="149" t="s">
        <v>7640</v>
      </c>
      <c r="B4541" s="149" t="s">
        <v>3036</v>
      </c>
      <c r="C4541" s="149">
        <v>11</v>
      </c>
      <c r="D4541" s="149">
        <v>400</v>
      </c>
      <c r="E4541" s="149">
        <v>0</v>
      </c>
      <c r="F4541" s="149">
        <v>703602</v>
      </c>
      <c r="G4541" s="149">
        <v>53520</v>
      </c>
      <c r="H4541" s="150" t="str">
        <f t="shared" si="210"/>
        <v>5</v>
      </c>
      <c r="I4541" s="150" t="str">
        <f t="shared" si="211"/>
        <v>53</v>
      </c>
      <c r="J4541" s="150" t="str">
        <f t="shared" si="212"/>
        <v>535</v>
      </c>
      <c r="K4541" s="150" t="s">
        <v>9443</v>
      </c>
      <c r="L4541" s="149" t="s">
        <v>3037</v>
      </c>
      <c r="M4541" s="151">
        <v>6.03</v>
      </c>
    </row>
    <row r="4542" spans="1:13" s="149" customFormat="1" x14ac:dyDescent="0.25">
      <c r="A4542" s="149" t="s">
        <v>7640</v>
      </c>
      <c r="B4542" s="149" t="s">
        <v>3038</v>
      </c>
      <c r="C4542" s="149">
        <v>11</v>
      </c>
      <c r="D4542" s="149">
        <v>400</v>
      </c>
      <c r="E4542" s="149">
        <v>0</v>
      </c>
      <c r="F4542" s="149">
        <v>703602</v>
      </c>
      <c r="G4542" s="149">
        <v>53620</v>
      </c>
      <c r="H4542" s="150" t="str">
        <f t="shared" si="210"/>
        <v>5</v>
      </c>
      <c r="I4542" s="150" t="str">
        <f t="shared" si="211"/>
        <v>53</v>
      </c>
      <c r="J4542" s="150" t="str">
        <f t="shared" si="212"/>
        <v>536</v>
      </c>
      <c r="K4542" s="150" t="s">
        <v>9444</v>
      </c>
      <c r="L4542" s="149" t="s">
        <v>3039</v>
      </c>
      <c r="M4542" s="151">
        <v>227.79</v>
      </c>
    </row>
    <row r="4543" spans="1:13" s="149" customFormat="1" x14ac:dyDescent="0.25">
      <c r="A4543" s="149" t="s">
        <v>7640</v>
      </c>
      <c r="B4543" s="149" t="s">
        <v>3040</v>
      </c>
      <c r="C4543" s="149">
        <v>11</v>
      </c>
      <c r="D4543" s="149">
        <v>400</v>
      </c>
      <c r="E4543" s="149">
        <v>1</v>
      </c>
      <c r="F4543" s="149">
        <v>130500</v>
      </c>
      <c r="G4543" s="149">
        <v>52105</v>
      </c>
      <c r="H4543" s="150" t="str">
        <f t="shared" si="210"/>
        <v>5</v>
      </c>
      <c r="I4543" s="150" t="str">
        <f t="shared" si="211"/>
        <v>52</v>
      </c>
      <c r="J4543" s="150" t="str">
        <f t="shared" si="212"/>
        <v>521</v>
      </c>
      <c r="K4543" s="150" t="s">
        <v>9445</v>
      </c>
      <c r="L4543" s="149" t="s">
        <v>3041</v>
      </c>
      <c r="M4543" s="151">
        <v>7181.86</v>
      </c>
    </row>
    <row r="4544" spans="1:13" s="149" customFormat="1" x14ac:dyDescent="0.25">
      <c r="A4544" s="149" t="s">
        <v>7640</v>
      </c>
      <c r="B4544" s="149" t="s">
        <v>3042</v>
      </c>
      <c r="C4544" s="149">
        <v>11</v>
      </c>
      <c r="D4544" s="149">
        <v>400</v>
      </c>
      <c r="E4544" s="149">
        <v>1</v>
      </c>
      <c r="F4544" s="149">
        <v>130500</v>
      </c>
      <c r="G4544" s="149">
        <v>53220</v>
      </c>
      <c r="H4544" s="150" t="str">
        <f t="shared" si="210"/>
        <v>5</v>
      </c>
      <c r="I4544" s="150" t="str">
        <f t="shared" si="211"/>
        <v>53</v>
      </c>
      <c r="J4544" s="150" t="str">
        <f t="shared" si="212"/>
        <v>532</v>
      </c>
      <c r="K4544" s="150" t="s">
        <v>9446</v>
      </c>
      <c r="L4544" s="149" t="s">
        <v>3043</v>
      </c>
      <c r="M4544" s="151">
        <v>1486.6</v>
      </c>
    </row>
    <row r="4545" spans="1:13" s="149" customFormat="1" x14ac:dyDescent="0.25">
      <c r="A4545" s="149" t="s">
        <v>7640</v>
      </c>
      <c r="B4545" s="149" t="s">
        <v>3044</v>
      </c>
      <c r="C4545" s="149">
        <v>11</v>
      </c>
      <c r="D4545" s="149">
        <v>400</v>
      </c>
      <c r="E4545" s="149">
        <v>1</v>
      </c>
      <c r="F4545" s="149">
        <v>130500</v>
      </c>
      <c r="G4545" s="149">
        <v>53320</v>
      </c>
      <c r="H4545" s="150" t="str">
        <f t="shared" si="210"/>
        <v>5</v>
      </c>
      <c r="I4545" s="150" t="str">
        <f t="shared" si="211"/>
        <v>53</v>
      </c>
      <c r="J4545" s="150" t="str">
        <f t="shared" si="212"/>
        <v>533</v>
      </c>
      <c r="K4545" s="150" t="s">
        <v>9447</v>
      </c>
      <c r="L4545" s="149" t="s">
        <v>3045</v>
      </c>
      <c r="M4545" s="151">
        <v>438.92</v>
      </c>
    </row>
    <row r="4546" spans="1:13" s="149" customFormat="1" x14ac:dyDescent="0.25">
      <c r="A4546" s="149" t="s">
        <v>7640</v>
      </c>
      <c r="B4546" s="149" t="s">
        <v>3046</v>
      </c>
      <c r="C4546" s="149">
        <v>11</v>
      </c>
      <c r="D4546" s="149">
        <v>400</v>
      </c>
      <c r="E4546" s="149">
        <v>1</v>
      </c>
      <c r="F4546" s="149">
        <v>130500</v>
      </c>
      <c r="G4546" s="149">
        <v>53340</v>
      </c>
      <c r="H4546" s="150" t="str">
        <f t="shared" si="210"/>
        <v>5</v>
      </c>
      <c r="I4546" s="150" t="str">
        <f t="shared" si="211"/>
        <v>53</v>
      </c>
      <c r="J4546" s="150" t="str">
        <f t="shared" si="212"/>
        <v>533</v>
      </c>
      <c r="K4546" s="150" t="s">
        <v>9448</v>
      </c>
      <c r="L4546" s="149" t="s">
        <v>3047</v>
      </c>
      <c r="M4546" s="151">
        <v>102.7</v>
      </c>
    </row>
    <row r="4547" spans="1:13" s="149" customFormat="1" x14ac:dyDescent="0.25">
      <c r="A4547" s="149" t="s">
        <v>7640</v>
      </c>
      <c r="B4547" s="149" t="s">
        <v>3048</v>
      </c>
      <c r="C4547" s="149">
        <v>11</v>
      </c>
      <c r="D4547" s="149">
        <v>400</v>
      </c>
      <c r="E4547" s="149">
        <v>1</v>
      </c>
      <c r="F4547" s="149">
        <v>130500</v>
      </c>
      <c r="G4547" s="149">
        <v>53420</v>
      </c>
      <c r="H4547" s="150" t="str">
        <f t="shared" ref="H4547:H4610" si="213">LEFT(G4547,1)</f>
        <v>5</v>
      </c>
      <c r="I4547" s="150" t="str">
        <f t="shared" ref="I4547:I4610" si="214">LEFT(G4547,2)</f>
        <v>53</v>
      </c>
      <c r="J4547" s="150" t="str">
        <f t="shared" ref="J4547:J4610" si="215">LEFT(G4547,3)</f>
        <v>534</v>
      </c>
      <c r="K4547" s="150" t="s">
        <v>9449</v>
      </c>
      <c r="L4547" s="149" t="s">
        <v>3049</v>
      </c>
      <c r="M4547" s="151">
        <v>2061.77</v>
      </c>
    </row>
    <row r="4548" spans="1:13" s="149" customFormat="1" x14ac:dyDescent="0.25">
      <c r="A4548" s="149" t="s">
        <v>7640</v>
      </c>
      <c r="B4548" s="149" t="s">
        <v>3050</v>
      </c>
      <c r="C4548" s="149">
        <v>11</v>
      </c>
      <c r="D4548" s="149">
        <v>400</v>
      </c>
      <c r="E4548" s="149">
        <v>1</v>
      </c>
      <c r="F4548" s="149">
        <v>130500</v>
      </c>
      <c r="G4548" s="149">
        <v>53520</v>
      </c>
      <c r="H4548" s="150" t="str">
        <f t="shared" si="213"/>
        <v>5</v>
      </c>
      <c r="I4548" s="150" t="str">
        <f t="shared" si="214"/>
        <v>53</v>
      </c>
      <c r="J4548" s="150" t="str">
        <f t="shared" si="215"/>
        <v>535</v>
      </c>
      <c r="K4548" s="150" t="s">
        <v>9450</v>
      </c>
      <c r="L4548" s="149" t="s">
        <v>3051</v>
      </c>
      <c r="M4548" s="151">
        <v>3.49</v>
      </c>
    </row>
    <row r="4549" spans="1:13" s="149" customFormat="1" x14ac:dyDescent="0.25">
      <c r="A4549" s="149" t="s">
        <v>7640</v>
      </c>
      <c r="B4549" s="149" t="s">
        <v>3052</v>
      </c>
      <c r="C4549" s="149">
        <v>11</v>
      </c>
      <c r="D4549" s="149">
        <v>400</v>
      </c>
      <c r="E4549" s="149">
        <v>1</v>
      </c>
      <c r="F4549" s="149">
        <v>130500</v>
      </c>
      <c r="G4549" s="149">
        <v>53620</v>
      </c>
      <c r="H4549" s="150" t="str">
        <f t="shared" si="213"/>
        <v>5</v>
      </c>
      <c r="I4549" s="150" t="str">
        <f t="shared" si="214"/>
        <v>53</v>
      </c>
      <c r="J4549" s="150" t="str">
        <f t="shared" si="215"/>
        <v>536</v>
      </c>
      <c r="K4549" s="150" t="s">
        <v>9451</v>
      </c>
      <c r="L4549" s="149" t="s">
        <v>3053</v>
      </c>
      <c r="M4549" s="151">
        <v>135.78</v>
      </c>
    </row>
    <row r="4550" spans="1:13" s="149" customFormat="1" x14ac:dyDescent="0.25">
      <c r="A4550" s="149" t="s">
        <v>7640</v>
      </c>
      <c r="B4550" s="149" t="s">
        <v>3054</v>
      </c>
      <c r="C4550" s="149">
        <v>11</v>
      </c>
      <c r="D4550" s="149">
        <v>410</v>
      </c>
      <c r="E4550" s="149">
        <v>0</v>
      </c>
      <c r="F4550" s="149">
        <v>620000</v>
      </c>
      <c r="G4550" s="149">
        <v>48885</v>
      </c>
      <c r="H4550" s="150" t="str">
        <f t="shared" si="213"/>
        <v>4</v>
      </c>
      <c r="I4550" s="150" t="str">
        <f t="shared" si="214"/>
        <v>48</v>
      </c>
      <c r="J4550" s="150" t="str">
        <f t="shared" si="215"/>
        <v>488</v>
      </c>
      <c r="K4550" s="150" t="s">
        <v>9608</v>
      </c>
      <c r="L4550" s="149" t="s">
        <v>3055</v>
      </c>
      <c r="M4550" s="151">
        <v>-20</v>
      </c>
    </row>
    <row r="4551" spans="1:13" s="149" customFormat="1" x14ac:dyDescent="0.25">
      <c r="A4551" s="149" t="s">
        <v>7640</v>
      </c>
      <c r="B4551" s="149" t="s">
        <v>3056</v>
      </c>
      <c r="C4551" s="149">
        <v>11</v>
      </c>
      <c r="D4551" s="149">
        <v>410</v>
      </c>
      <c r="E4551" s="149">
        <v>0</v>
      </c>
      <c r="F4551" s="149">
        <v>620000</v>
      </c>
      <c r="G4551" s="149">
        <v>52105</v>
      </c>
      <c r="H4551" s="150" t="str">
        <f t="shared" si="213"/>
        <v>5</v>
      </c>
      <c r="I4551" s="150" t="str">
        <f t="shared" si="214"/>
        <v>52</v>
      </c>
      <c r="J4551" s="150" t="str">
        <f t="shared" si="215"/>
        <v>521</v>
      </c>
      <c r="K4551" s="150" t="s">
        <v>9452</v>
      </c>
      <c r="L4551" s="149" t="s">
        <v>3057</v>
      </c>
      <c r="M4551" s="151">
        <v>342236.97</v>
      </c>
    </row>
    <row r="4552" spans="1:13" s="149" customFormat="1" x14ac:dyDescent="0.25">
      <c r="A4552" s="149" t="s">
        <v>7640</v>
      </c>
      <c r="B4552" s="149" t="s">
        <v>3058</v>
      </c>
      <c r="C4552" s="149">
        <v>11</v>
      </c>
      <c r="D4552" s="149">
        <v>410</v>
      </c>
      <c r="E4552" s="149">
        <v>0</v>
      </c>
      <c r="F4552" s="149">
        <v>620000</v>
      </c>
      <c r="G4552" s="149">
        <v>52130</v>
      </c>
      <c r="H4552" s="150" t="str">
        <f t="shared" si="213"/>
        <v>5</v>
      </c>
      <c r="I4552" s="150" t="str">
        <f t="shared" si="214"/>
        <v>52</v>
      </c>
      <c r="J4552" s="150" t="str">
        <f t="shared" si="215"/>
        <v>521</v>
      </c>
      <c r="K4552" s="150" t="s">
        <v>9453</v>
      </c>
      <c r="L4552" s="149" t="s">
        <v>3059</v>
      </c>
      <c r="M4552" s="151">
        <v>57503.73</v>
      </c>
    </row>
    <row r="4553" spans="1:13" s="149" customFormat="1" x14ac:dyDescent="0.25">
      <c r="A4553" s="149" t="s">
        <v>7640</v>
      </c>
      <c r="B4553" s="149" t="s">
        <v>3060</v>
      </c>
      <c r="C4553" s="149">
        <v>11</v>
      </c>
      <c r="D4553" s="149">
        <v>410</v>
      </c>
      <c r="E4553" s="149">
        <v>0</v>
      </c>
      <c r="F4553" s="149">
        <v>620000</v>
      </c>
      <c r="G4553" s="149">
        <v>52300</v>
      </c>
      <c r="H4553" s="150" t="str">
        <f t="shared" si="213"/>
        <v>5</v>
      </c>
      <c r="I4553" s="150" t="str">
        <f t="shared" si="214"/>
        <v>52</v>
      </c>
      <c r="J4553" s="150" t="str">
        <f t="shared" si="215"/>
        <v>523</v>
      </c>
      <c r="K4553" s="150" t="s">
        <v>7838</v>
      </c>
      <c r="L4553" s="149" t="s">
        <v>3061</v>
      </c>
      <c r="M4553" s="151">
        <v>92.28</v>
      </c>
    </row>
    <row r="4554" spans="1:13" s="149" customFormat="1" x14ac:dyDescent="0.25">
      <c r="A4554" s="149" t="s">
        <v>7640</v>
      </c>
      <c r="B4554" s="149" t="s">
        <v>3062</v>
      </c>
      <c r="C4554" s="149">
        <v>11</v>
      </c>
      <c r="D4554" s="149">
        <v>410</v>
      </c>
      <c r="E4554" s="149">
        <v>0</v>
      </c>
      <c r="F4554" s="149">
        <v>620000</v>
      </c>
      <c r="G4554" s="149">
        <v>52360</v>
      </c>
      <c r="H4554" s="150" t="str">
        <f t="shared" si="213"/>
        <v>5</v>
      </c>
      <c r="I4554" s="150" t="str">
        <f t="shared" si="214"/>
        <v>52</v>
      </c>
      <c r="J4554" s="150" t="str">
        <f t="shared" si="215"/>
        <v>523</v>
      </c>
      <c r="K4554" s="150" t="s">
        <v>7883</v>
      </c>
      <c r="L4554" s="149" t="s">
        <v>3063</v>
      </c>
      <c r="M4554" s="151">
        <v>12086.04</v>
      </c>
    </row>
    <row r="4555" spans="1:13" s="149" customFormat="1" x14ac:dyDescent="0.25">
      <c r="A4555" s="149" t="s">
        <v>7640</v>
      </c>
      <c r="B4555" s="149" t="s">
        <v>3064</v>
      </c>
      <c r="C4555" s="149">
        <v>11</v>
      </c>
      <c r="D4555" s="149">
        <v>410</v>
      </c>
      <c r="E4555" s="149">
        <v>0</v>
      </c>
      <c r="F4555" s="149">
        <v>620000</v>
      </c>
      <c r="G4555" s="149">
        <v>53220</v>
      </c>
      <c r="H4555" s="150" t="str">
        <f t="shared" si="213"/>
        <v>5</v>
      </c>
      <c r="I4555" s="150" t="str">
        <f t="shared" si="214"/>
        <v>53</v>
      </c>
      <c r="J4555" s="150" t="str">
        <f t="shared" si="215"/>
        <v>532</v>
      </c>
      <c r="K4555" s="150" t="s">
        <v>9454</v>
      </c>
      <c r="L4555" s="149" t="s">
        <v>3065</v>
      </c>
      <c r="M4555" s="151">
        <v>82435.55</v>
      </c>
    </row>
    <row r="4556" spans="1:13" s="149" customFormat="1" x14ac:dyDescent="0.25">
      <c r="A4556" s="149" t="s">
        <v>7640</v>
      </c>
      <c r="B4556" s="149" t="s">
        <v>3066</v>
      </c>
      <c r="C4556" s="149">
        <v>11</v>
      </c>
      <c r="D4556" s="149">
        <v>410</v>
      </c>
      <c r="E4556" s="149">
        <v>0</v>
      </c>
      <c r="F4556" s="149">
        <v>620000</v>
      </c>
      <c r="G4556" s="149">
        <v>53320</v>
      </c>
      <c r="H4556" s="150" t="str">
        <f t="shared" si="213"/>
        <v>5</v>
      </c>
      <c r="I4556" s="150" t="str">
        <f t="shared" si="214"/>
        <v>53</v>
      </c>
      <c r="J4556" s="150" t="str">
        <f t="shared" si="215"/>
        <v>533</v>
      </c>
      <c r="K4556" s="150" t="s">
        <v>9455</v>
      </c>
      <c r="L4556" s="149" t="s">
        <v>3067</v>
      </c>
      <c r="M4556" s="151">
        <v>25208.26</v>
      </c>
    </row>
    <row r="4557" spans="1:13" s="149" customFormat="1" x14ac:dyDescent="0.25">
      <c r="A4557" s="149" t="s">
        <v>7640</v>
      </c>
      <c r="B4557" s="149" t="s">
        <v>3068</v>
      </c>
      <c r="C4557" s="149">
        <v>11</v>
      </c>
      <c r="D4557" s="149">
        <v>410</v>
      </c>
      <c r="E4557" s="149">
        <v>0</v>
      </c>
      <c r="F4557" s="149">
        <v>620000</v>
      </c>
      <c r="G4557" s="149">
        <v>53340</v>
      </c>
      <c r="H4557" s="150" t="str">
        <f t="shared" si="213"/>
        <v>5</v>
      </c>
      <c r="I4557" s="150" t="str">
        <f t="shared" si="214"/>
        <v>53</v>
      </c>
      <c r="J4557" s="150" t="str">
        <f t="shared" si="215"/>
        <v>533</v>
      </c>
      <c r="K4557" s="150" t="s">
        <v>9456</v>
      </c>
      <c r="L4557" s="149" t="s">
        <v>3069</v>
      </c>
      <c r="M4557" s="151">
        <v>5895.46</v>
      </c>
    </row>
    <row r="4558" spans="1:13" s="149" customFormat="1" x14ac:dyDescent="0.25">
      <c r="A4558" s="149" t="s">
        <v>7640</v>
      </c>
      <c r="B4558" s="149" t="s">
        <v>3070</v>
      </c>
      <c r="C4558" s="149">
        <v>11</v>
      </c>
      <c r="D4558" s="149">
        <v>410</v>
      </c>
      <c r="E4558" s="149">
        <v>0</v>
      </c>
      <c r="F4558" s="149">
        <v>620000</v>
      </c>
      <c r="G4558" s="149">
        <v>53420</v>
      </c>
      <c r="H4558" s="150" t="str">
        <f t="shared" si="213"/>
        <v>5</v>
      </c>
      <c r="I4558" s="150" t="str">
        <f t="shared" si="214"/>
        <v>53</v>
      </c>
      <c r="J4558" s="150" t="str">
        <f t="shared" si="215"/>
        <v>534</v>
      </c>
      <c r="K4558" s="150" t="s">
        <v>9457</v>
      </c>
      <c r="L4558" s="149" t="s">
        <v>3071</v>
      </c>
      <c r="M4558" s="151">
        <v>137046.41</v>
      </c>
    </row>
    <row r="4559" spans="1:13" s="149" customFormat="1" x14ac:dyDescent="0.25">
      <c r="A4559" s="149" t="s">
        <v>7640</v>
      </c>
      <c r="B4559" s="149" t="s">
        <v>3072</v>
      </c>
      <c r="C4559" s="149">
        <v>11</v>
      </c>
      <c r="D4559" s="149">
        <v>410</v>
      </c>
      <c r="E4559" s="149">
        <v>0</v>
      </c>
      <c r="F4559" s="149">
        <v>620000</v>
      </c>
      <c r="G4559" s="149">
        <v>53520</v>
      </c>
      <c r="H4559" s="150" t="str">
        <f t="shared" si="213"/>
        <v>5</v>
      </c>
      <c r="I4559" s="150" t="str">
        <f t="shared" si="214"/>
        <v>53</v>
      </c>
      <c r="J4559" s="150" t="str">
        <f t="shared" si="215"/>
        <v>535</v>
      </c>
      <c r="K4559" s="150" t="s">
        <v>9458</v>
      </c>
      <c r="L4559" s="149" t="s">
        <v>3073</v>
      </c>
      <c r="M4559" s="151">
        <v>205.51</v>
      </c>
    </row>
    <row r="4560" spans="1:13" s="149" customFormat="1" x14ac:dyDescent="0.25">
      <c r="A4560" s="149" t="s">
        <v>7640</v>
      </c>
      <c r="B4560" s="149" t="s">
        <v>3074</v>
      </c>
      <c r="C4560" s="149">
        <v>11</v>
      </c>
      <c r="D4560" s="149">
        <v>410</v>
      </c>
      <c r="E4560" s="149">
        <v>0</v>
      </c>
      <c r="F4560" s="149">
        <v>620000</v>
      </c>
      <c r="G4560" s="149">
        <v>53620</v>
      </c>
      <c r="H4560" s="150" t="str">
        <f t="shared" si="213"/>
        <v>5</v>
      </c>
      <c r="I4560" s="150" t="str">
        <f t="shared" si="214"/>
        <v>53</v>
      </c>
      <c r="J4560" s="150" t="str">
        <f t="shared" si="215"/>
        <v>536</v>
      </c>
      <c r="K4560" s="150" t="s">
        <v>9459</v>
      </c>
      <c r="L4560" s="149" t="s">
        <v>3075</v>
      </c>
      <c r="M4560" s="151">
        <v>7805.23</v>
      </c>
    </row>
    <row r="4561" spans="1:13" s="149" customFormat="1" x14ac:dyDescent="0.25">
      <c r="A4561" s="149" t="s">
        <v>7640</v>
      </c>
      <c r="B4561" s="149" t="s">
        <v>3076</v>
      </c>
      <c r="C4561" s="149">
        <v>11</v>
      </c>
      <c r="D4561" s="149">
        <v>410</v>
      </c>
      <c r="E4561" s="149">
        <v>0</v>
      </c>
      <c r="F4561" s="149">
        <v>620000</v>
      </c>
      <c r="G4561" s="149">
        <v>53920</v>
      </c>
      <c r="H4561" s="150" t="str">
        <f t="shared" si="213"/>
        <v>5</v>
      </c>
      <c r="I4561" s="150" t="str">
        <f t="shared" si="214"/>
        <v>53</v>
      </c>
      <c r="J4561" s="150" t="str">
        <f t="shared" si="215"/>
        <v>539</v>
      </c>
      <c r="K4561" s="150" t="s">
        <v>9460</v>
      </c>
      <c r="L4561" s="149" t="s">
        <v>3077</v>
      </c>
      <c r="M4561" s="151">
        <v>1799.99</v>
      </c>
    </row>
    <row r="4562" spans="1:13" s="149" customFormat="1" x14ac:dyDescent="0.25">
      <c r="A4562" s="149" t="s">
        <v>7640</v>
      </c>
      <c r="B4562" s="149" t="s">
        <v>3078</v>
      </c>
      <c r="C4562" s="149">
        <v>11</v>
      </c>
      <c r="D4562" s="149">
        <v>410</v>
      </c>
      <c r="E4562" s="149">
        <v>0</v>
      </c>
      <c r="F4562" s="149">
        <v>620000</v>
      </c>
      <c r="G4562" s="149">
        <v>54300</v>
      </c>
      <c r="H4562" s="150" t="str">
        <f t="shared" si="213"/>
        <v>5</v>
      </c>
      <c r="I4562" s="150" t="str">
        <f t="shared" si="214"/>
        <v>54</v>
      </c>
      <c r="J4562" s="150" t="str">
        <f t="shared" si="215"/>
        <v>543</v>
      </c>
      <c r="K4562" s="150" t="s">
        <v>7979</v>
      </c>
      <c r="L4562" s="149" t="s">
        <v>3079</v>
      </c>
      <c r="M4562" s="151">
        <v>1539.87</v>
      </c>
    </row>
    <row r="4563" spans="1:13" s="149" customFormat="1" x14ac:dyDescent="0.25">
      <c r="A4563" s="149" t="s">
        <v>7640</v>
      </c>
      <c r="B4563" s="149" t="s">
        <v>3080</v>
      </c>
      <c r="C4563" s="149">
        <v>11</v>
      </c>
      <c r="D4563" s="149">
        <v>410</v>
      </c>
      <c r="E4563" s="149">
        <v>0</v>
      </c>
      <c r="F4563" s="149">
        <v>620000</v>
      </c>
      <c r="G4563" s="149">
        <v>55200</v>
      </c>
      <c r="H4563" s="150" t="str">
        <f t="shared" si="213"/>
        <v>5</v>
      </c>
      <c r="I4563" s="150" t="str">
        <f t="shared" si="214"/>
        <v>55</v>
      </c>
      <c r="J4563" s="150" t="str">
        <f t="shared" si="215"/>
        <v>552</v>
      </c>
      <c r="K4563" s="150" t="s">
        <v>8067</v>
      </c>
      <c r="L4563" s="149" t="s">
        <v>3081</v>
      </c>
      <c r="M4563" s="151">
        <v>50</v>
      </c>
    </row>
    <row r="4564" spans="1:13" s="149" customFormat="1" x14ac:dyDescent="0.25">
      <c r="A4564" s="149" t="s">
        <v>7640</v>
      </c>
      <c r="B4564" s="149" t="s">
        <v>3082</v>
      </c>
      <c r="C4564" s="149">
        <v>11</v>
      </c>
      <c r="D4564" s="149">
        <v>410</v>
      </c>
      <c r="E4564" s="149">
        <v>0</v>
      </c>
      <c r="F4564" s="149">
        <v>620000</v>
      </c>
      <c r="G4564" s="149">
        <v>55300</v>
      </c>
      <c r="H4564" s="150" t="str">
        <f t="shared" si="213"/>
        <v>5</v>
      </c>
      <c r="I4564" s="150" t="str">
        <f t="shared" si="214"/>
        <v>55</v>
      </c>
      <c r="J4564" s="150" t="str">
        <f t="shared" si="215"/>
        <v>553</v>
      </c>
      <c r="K4564" s="150" t="s">
        <v>8098</v>
      </c>
      <c r="L4564" s="149" t="s">
        <v>3083</v>
      </c>
      <c r="M4564" s="151">
        <v>300</v>
      </c>
    </row>
    <row r="4565" spans="1:13" s="149" customFormat="1" x14ac:dyDescent="0.25">
      <c r="A4565" s="149" t="s">
        <v>7640</v>
      </c>
      <c r="B4565" s="149" t="s">
        <v>3084</v>
      </c>
      <c r="C4565" s="149">
        <v>11</v>
      </c>
      <c r="D4565" s="149">
        <v>410</v>
      </c>
      <c r="E4565" s="149">
        <v>0</v>
      </c>
      <c r="F4565" s="149">
        <v>620000</v>
      </c>
      <c r="G4565" s="149">
        <v>55630</v>
      </c>
      <c r="H4565" s="150" t="str">
        <f t="shared" si="213"/>
        <v>5</v>
      </c>
      <c r="I4565" s="150" t="str">
        <f t="shared" si="214"/>
        <v>55</v>
      </c>
      <c r="J4565" s="150" t="str">
        <f t="shared" si="215"/>
        <v>556</v>
      </c>
      <c r="K4565" s="150" t="s">
        <v>8267</v>
      </c>
      <c r="L4565" s="149" t="s">
        <v>3085</v>
      </c>
      <c r="M4565" s="151">
        <v>3554.39</v>
      </c>
    </row>
    <row r="4566" spans="1:13" s="149" customFormat="1" x14ac:dyDescent="0.25">
      <c r="A4566" s="149" t="s">
        <v>7640</v>
      </c>
      <c r="B4566" s="149" t="s">
        <v>3086</v>
      </c>
      <c r="C4566" s="149">
        <v>11</v>
      </c>
      <c r="D4566" s="149">
        <v>410</v>
      </c>
      <c r="E4566" s="149">
        <v>0</v>
      </c>
      <c r="F4566" s="149">
        <v>620000</v>
      </c>
      <c r="G4566" s="149">
        <v>55635</v>
      </c>
      <c r="H4566" s="150" t="str">
        <f t="shared" si="213"/>
        <v>5</v>
      </c>
      <c r="I4566" s="150" t="str">
        <f t="shared" si="214"/>
        <v>55</v>
      </c>
      <c r="J4566" s="150" t="str">
        <f t="shared" si="215"/>
        <v>556</v>
      </c>
      <c r="K4566" s="150" t="s">
        <v>8284</v>
      </c>
      <c r="L4566" s="149" t="s">
        <v>3087</v>
      </c>
      <c r="M4566" s="151">
        <v>3288.16</v>
      </c>
    </row>
    <row r="4567" spans="1:13" s="149" customFormat="1" x14ac:dyDescent="0.25">
      <c r="A4567" s="149" t="s">
        <v>7640</v>
      </c>
      <c r="B4567" s="149" t="s">
        <v>3088</v>
      </c>
      <c r="C4567" s="149">
        <v>11</v>
      </c>
      <c r="D4567" s="149">
        <v>410</v>
      </c>
      <c r="E4567" s="149">
        <v>0</v>
      </c>
      <c r="F4567" s="149">
        <v>620000</v>
      </c>
      <c r="G4567" s="149">
        <v>55650</v>
      </c>
      <c r="H4567" s="150" t="str">
        <f t="shared" si="213"/>
        <v>5</v>
      </c>
      <c r="I4567" s="150" t="str">
        <f t="shared" si="214"/>
        <v>55</v>
      </c>
      <c r="J4567" s="150" t="str">
        <f t="shared" si="215"/>
        <v>556</v>
      </c>
      <c r="K4567" s="150" t="s">
        <v>8310</v>
      </c>
      <c r="L4567" s="149" t="s">
        <v>3089</v>
      </c>
      <c r="M4567" s="151">
        <v>1250</v>
      </c>
    </row>
    <row r="4568" spans="1:13" s="149" customFormat="1" x14ac:dyDescent="0.25">
      <c r="A4568" s="149" t="s">
        <v>7640</v>
      </c>
      <c r="B4568" s="149" t="s">
        <v>3090</v>
      </c>
      <c r="C4568" s="149">
        <v>11</v>
      </c>
      <c r="D4568" s="149">
        <v>420</v>
      </c>
      <c r="E4568" s="149">
        <v>0</v>
      </c>
      <c r="F4568" s="149">
        <v>646000</v>
      </c>
      <c r="G4568" s="149">
        <v>52105</v>
      </c>
      <c r="H4568" s="150" t="str">
        <f t="shared" si="213"/>
        <v>5</v>
      </c>
      <c r="I4568" s="150" t="str">
        <f t="shared" si="214"/>
        <v>52</v>
      </c>
      <c r="J4568" s="150" t="str">
        <f t="shared" si="215"/>
        <v>521</v>
      </c>
      <c r="K4568" s="150" t="s">
        <v>9461</v>
      </c>
      <c r="L4568" s="149" t="s">
        <v>3091</v>
      </c>
      <c r="M4568" s="151">
        <v>438523.43</v>
      </c>
    </row>
    <row r="4569" spans="1:13" s="149" customFormat="1" x14ac:dyDescent="0.25">
      <c r="A4569" s="149" t="s">
        <v>7640</v>
      </c>
      <c r="B4569" s="149" t="s">
        <v>3092</v>
      </c>
      <c r="C4569" s="149">
        <v>11</v>
      </c>
      <c r="D4569" s="149">
        <v>420</v>
      </c>
      <c r="E4569" s="149">
        <v>0</v>
      </c>
      <c r="F4569" s="149">
        <v>646000</v>
      </c>
      <c r="G4569" s="149">
        <v>52130</v>
      </c>
      <c r="H4569" s="150" t="str">
        <f t="shared" si="213"/>
        <v>5</v>
      </c>
      <c r="I4569" s="150" t="str">
        <f t="shared" si="214"/>
        <v>52</v>
      </c>
      <c r="J4569" s="150" t="str">
        <f t="shared" si="215"/>
        <v>521</v>
      </c>
      <c r="K4569" s="150" t="s">
        <v>9462</v>
      </c>
      <c r="L4569" s="149" t="s">
        <v>3093</v>
      </c>
      <c r="M4569" s="151">
        <v>198430.17</v>
      </c>
    </row>
    <row r="4570" spans="1:13" s="149" customFormat="1" x14ac:dyDescent="0.25">
      <c r="A4570" s="149" t="s">
        <v>7640</v>
      </c>
      <c r="B4570" s="149" t="s">
        <v>3094</v>
      </c>
      <c r="C4570" s="149">
        <v>11</v>
      </c>
      <c r="D4570" s="149">
        <v>420</v>
      </c>
      <c r="E4570" s="149">
        <v>0</v>
      </c>
      <c r="F4570" s="149">
        <v>646000</v>
      </c>
      <c r="G4570" s="149">
        <v>52300</v>
      </c>
      <c r="H4570" s="150" t="str">
        <f t="shared" si="213"/>
        <v>5</v>
      </c>
      <c r="I4570" s="150" t="str">
        <f t="shared" si="214"/>
        <v>52</v>
      </c>
      <c r="J4570" s="150" t="str">
        <f t="shared" si="215"/>
        <v>523</v>
      </c>
      <c r="K4570" s="150" t="s">
        <v>7839</v>
      </c>
      <c r="L4570" s="149" t="s">
        <v>3095</v>
      </c>
      <c r="M4570" s="151">
        <v>1347.36</v>
      </c>
    </row>
    <row r="4571" spans="1:13" s="149" customFormat="1" x14ac:dyDescent="0.25">
      <c r="A4571" s="149" t="s">
        <v>7640</v>
      </c>
      <c r="B4571" s="149" t="s">
        <v>3096</v>
      </c>
      <c r="C4571" s="149">
        <v>11</v>
      </c>
      <c r="D4571" s="149">
        <v>420</v>
      </c>
      <c r="E4571" s="149">
        <v>0</v>
      </c>
      <c r="F4571" s="149">
        <v>646000</v>
      </c>
      <c r="G4571" s="149">
        <v>52310</v>
      </c>
      <c r="H4571" s="150" t="str">
        <f t="shared" si="213"/>
        <v>5</v>
      </c>
      <c r="I4571" s="150" t="str">
        <f t="shared" si="214"/>
        <v>52</v>
      </c>
      <c r="J4571" s="150" t="str">
        <f t="shared" si="215"/>
        <v>523</v>
      </c>
      <c r="K4571" s="150" t="s">
        <v>7846</v>
      </c>
      <c r="L4571" s="149" t="s">
        <v>3097</v>
      </c>
      <c r="M4571" s="151">
        <v>17628.43</v>
      </c>
    </row>
    <row r="4572" spans="1:13" s="149" customFormat="1" x14ac:dyDescent="0.25">
      <c r="A4572" s="149" t="s">
        <v>7640</v>
      </c>
      <c r="B4572" s="149" t="s">
        <v>3098</v>
      </c>
      <c r="C4572" s="149">
        <v>11</v>
      </c>
      <c r="D4572" s="149">
        <v>420</v>
      </c>
      <c r="E4572" s="149">
        <v>0</v>
      </c>
      <c r="F4572" s="149">
        <v>646000</v>
      </c>
      <c r="G4572" s="149">
        <v>52360</v>
      </c>
      <c r="H4572" s="150" t="str">
        <f t="shared" si="213"/>
        <v>5</v>
      </c>
      <c r="I4572" s="150" t="str">
        <f t="shared" si="214"/>
        <v>52</v>
      </c>
      <c r="J4572" s="150" t="str">
        <f t="shared" si="215"/>
        <v>523</v>
      </c>
      <c r="K4572" s="150" t="s">
        <v>7884</v>
      </c>
      <c r="L4572" s="149" t="s">
        <v>3099</v>
      </c>
      <c r="M4572" s="151">
        <v>0</v>
      </c>
    </row>
    <row r="4573" spans="1:13" s="149" customFormat="1" x14ac:dyDescent="0.25">
      <c r="A4573" s="149" t="s">
        <v>7640</v>
      </c>
      <c r="B4573" s="149" t="s">
        <v>3100</v>
      </c>
      <c r="C4573" s="149">
        <v>11</v>
      </c>
      <c r="D4573" s="149">
        <v>420</v>
      </c>
      <c r="E4573" s="149">
        <v>0</v>
      </c>
      <c r="F4573" s="149">
        <v>646000</v>
      </c>
      <c r="G4573" s="149">
        <v>53220</v>
      </c>
      <c r="H4573" s="150" t="str">
        <f t="shared" si="213"/>
        <v>5</v>
      </c>
      <c r="I4573" s="150" t="str">
        <f t="shared" si="214"/>
        <v>53</v>
      </c>
      <c r="J4573" s="150" t="str">
        <f t="shared" si="215"/>
        <v>532</v>
      </c>
      <c r="K4573" s="150" t="s">
        <v>9463</v>
      </c>
      <c r="L4573" s="149" t="s">
        <v>3101</v>
      </c>
      <c r="M4573" s="151">
        <v>131690.60999999999</v>
      </c>
    </row>
    <row r="4574" spans="1:13" s="149" customFormat="1" x14ac:dyDescent="0.25">
      <c r="A4574" s="149" t="s">
        <v>7640</v>
      </c>
      <c r="B4574" s="149" t="s">
        <v>3102</v>
      </c>
      <c r="C4574" s="149">
        <v>11</v>
      </c>
      <c r="D4574" s="149">
        <v>420</v>
      </c>
      <c r="E4574" s="149">
        <v>0</v>
      </c>
      <c r="F4574" s="149">
        <v>646000</v>
      </c>
      <c r="G4574" s="149">
        <v>53320</v>
      </c>
      <c r="H4574" s="150" t="str">
        <f t="shared" si="213"/>
        <v>5</v>
      </c>
      <c r="I4574" s="150" t="str">
        <f t="shared" si="214"/>
        <v>53</v>
      </c>
      <c r="J4574" s="150" t="str">
        <f t="shared" si="215"/>
        <v>533</v>
      </c>
      <c r="K4574" s="150" t="s">
        <v>9464</v>
      </c>
      <c r="L4574" s="149" t="s">
        <v>3103</v>
      </c>
      <c r="M4574" s="151">
        <v>39089.64</v>
      </c>
    </row>
    <row r="4575" spans="1:13" s="149" customFormat="1" x14ac:dyDescent="0.25">
      <c r="A4575" s="149" t="s">
        <v>7640</v>
      </c>
      <c r="B4575" s="149" t="s">
        <v>3104</v>
      </c>
      <c r="C4575" s="149">
        <v>11</v>
      </c>
      <c r="D4575" s="149">
        <v>420</v>
      </c>
      <c r="E4575" s="149">
        <v>0</v>
      </c>
      <c r="F4575" s="149">
        <v>646000</v>
      </c>
      <c r="G4575" s="149">
        <v>53340</v>
      </c>
      <c r="H4575" s="150" t="str">
        <f t="shared" si="213"/>
        <v>5</v>
      </c>
      <c r="I4575" s="150" t="str">
        <f t="shared" si="214"/>
        <v>53</v>
      </c>
      <c r="J4575" s="150" t="str">
        <f t="shared" si="215"/>
        <v>533</v>
      </c>
      <c r="K4575" s="150" t="s">
        <v>9465</v>
      </c>
      <c r="L4575" s="149" t="s">
        <v>3105</v>
      </c>
      <c r="M4575" s="151">
        <v>9141.99</v>
      </c>
    </row>
    <row r="4576" spans="1:13" s="149" customFormat="1" x14ac:dyDescent="0.25">
      <c r="A4576" s="149" t="s">
        <v>7640</v>
      </c>
      <c r="B4576" s="149" t="s">
        <v>3106</v>
      </c>
      <c r="C4576" s="149">
        <v>11</v>
      </c>
      <c r="D4576" s="149">
        <v>420</v>
      </c>
      <c r="E4576" s="149">
        <v>0</v>
      </c>
      <c r="F4576" s="149">
        <v>646000</v>
      </c>
      <c r="G4576" s="149">
        <v>53420</v>
      </c>
      <c r="H4576" s="150" t="str">
        <f t="shared" si="213"/>
        <v>5</v>
      </c>
      <c r="I4576" s="150" t="str">
        <f t="shared" si="214"/>
        <v>53</v>
      </c>
      <c r="J4576" s="150" t="str">
        <f t="shared" si="215"/>
        <v>534</v>
      </c>
      <c r="K4576" s="150" t="s">
        <v>9466</v>
      </c>
      <c r="L4576" s="149" t="s">
        <v>3107</v>
      </c>
      <c r="M4576" s="151">
        <v>219943.12</v>
      </c>
    </row>
    <row r="4577" spans="1:13" s="149" customFormat="1" x14ac:dyDescent="0.25">
      <c r="A4577" s="149" t="s">
        <v>7640</v>
      </c>
      <c r="B4577" s="149" t="s">
        <v>3108</v>
      </c>
      <c r="C4577" s="149">
        <v>11</v>
      </c>
      <c r="D4577" s="149">
        <v>420</v>
      </c>
      <c r="E4577" s="149">
        <v>0</v>
      </c>
      <c r="F4577" s="149">
        <v>646000</v>
      </c>
      <c r="G4577" s="149">
        <v>53520</v>
      </c>
      <c r="H4577" s="150" t="str">
        <f t="shared" si="213"/>
        <v>5</v>
      </c>
      <c r="I4577" s="150" t="str">
        <f t="shared" si="214"/>
        <v>53</v>
      </c>
      <c r="J4577" s="150" t="str">
        <f t="shared" si="215"/>
        <v>535</v>
      </c>
      <c r="K4577" s="150" t="s">
        <v>9467</v>
      </c>
      <c r="L4577" s="149" t="s">
        <v>3109</v>
      </c>
      <c r="M4577" s="151">
        <v>318.49</v>
      </c>
    </row>
    <row r="4578" spans="1:13" s="149" customFormat="1" x14ac:dyDescent="0.25">
      <c r="A4578" s="149" t="s">
        <v>7640</v>
      </c>
      <c r="B4578" s="149" t="s">
        <v>3110</v>
      </c>
      <c r="C4578" s="149">
        <v>11</v>
      </c>
      <c r="D4578" s="149">
        <v>420</v>
      </c>
      <c r="E4578" s="149">
        <v>0</v>
      </c>
      <c r="F4578" s="149">
        <v>646000</v>
      </c>
      <c r="G4578" s="149">
        <v>53620</v>
      </c>
      <c r="H4578" s="150" t="str">
        <f t="shared" si="213"/>
        <v>5</v>
      </c>
      <c r="I4578" s="150" t="str">
        <f t="shared" si="214"/>
        <v>53</v>
      </c>
      <c r="J4578" s="150" t="str">
        <f t="shared" si="215"/>
        <v>536</v>
      </c>
      <c r="K4578" s="150" t="s">
        <v>9468</v>
      </c>
      <c r="L4578" s="149" t="s">
        <v>3111</v>
      </c>
      <c r="M4578" s="151">
        <v>13424.9</v>
      </c>
    </row>
    <row r="4579" spans="1:13" s="149" customFormat="1" x14ac:dyDescent="0.25">
      <c r="A4579" s="149" t="s">
        <v>7640</v>
      </c>
      <c r="B4579" s="149" t="s">
        <v>3112</v>
      </c>
      <c r="C4579" s="149">
        <v>11</v>
      </c>
      <c r="D4579" s="149">
        <v>420</v>
      </c>
      <c r="E4579" s="149">
        <v>0</v>
      </c>
      <c r="F4579" s="149">
        <v>646000</v>
      </c>
      <c r="G4579" s="149">
        <v>53920</v>
      </c>
      <c r="H4579" s="150" t="str">
        <f t="shared" si="213"/>
        <v>5</v>
      </c>
      <c r="I4579" s="150" t="str">
        <f t="shared" si="214"/>
        <v>53</v>
      </c>
      <c r="J4579" s="150" t="str">
        <f t="shared" si="215"/>
        <v>539</v>
      </c>
      <c r="K4579" s="150" t="s">
        <v>9469</v>
      </c>
      <c r="L4579" s="149" t="s">
        <v>3113</v>
      </c>
      <c r="M4579" s="151">
        <v>1800.01</v>
      </c>
    </row>
    <row r="4580" spans="1:13" s="149" customFormat="1" x14ac:dyDescent="0.25">
      <c r="A4580" s="149" t="s">
        <v>7640</v>
      </c>
      <c r="B4580" s="149" t="s">
        <v>3114</v>
      </c>
      <c r="C4580" s="149">
        <v>11</v>
      </c>
      <c r="D4580" s="149">
        <v>420</v>
      </c>
      <c r="E4580" s="149">
        <v>0</v>
      </c>
      <c r="F4580" s="149">
        <v>646000</v>
      </c>
      <c r="G4580" s="149">
        <v>54300</v>
      </c>
      <c r="H4580" s="150" t="str">
        <f t="shared" si="213"/>
        <v>5</v>
      </c>
      <c r="I4580" s="150" t="str">
        <f t="shared" si="214"/>
        <v>54</v>
      </c>
      <c r="J4580" s="150" t="str">
        <f t="shared" si="215"/>
        <v>543</v>
      </c>
      <c r="K4580" s="150" t="s">
        <v>7980</v>
      </c>
      <c r="L4580" s="149" t="s">
        <v>3115</v>
      </c>
      <c r="M4580" s="151">
        <v>779.93000000000006</v>
      </c>
    </row>
    <row r="4581" spans="1:13" s="149" customFormat="1" x14ac:dyDescent="0.25">
      <c r="A4581" s="149" t="s">
        <v>7640</v>
      </c>
      <c r="B4581" s="149" t="s">
        <v>9609</v>
      </c>
      <c r="C4581" s="149">
        <v>11</v>
      </c>
      <c r="D4581" s="149">
        <v>420</v>
      </c>
      <c r="E4581" s="149">
        <v>0</v>
      </c>
      <c r="F4581" s="149">
        <v>646000</v>
      </c>
      <c r="G4581" s="149">
        <v>55105</v>
      </c>
      <c r="H4581" s="150" t="str">
        <f t="shared" si="213"/>
        <v>5</v>
      </c>
      <c r="I4581" s="150" t="str">
        <f t="shared" si="214"/>
        <v>55</v>
      </c>
      <c r="J4581" s="150" t="str">
        <f t="shared" si="215"/>
        <v>551</v>
      </c>
      <c r="K4581" s="150" t="s">
        <v>8020</v>
      </c>
      <c r="L4581" s="149" t="s">
        <v>9610</v>
      </c>
      <c r="M4581" s="151">
        <v>0</v>
      </c>
    </row>
    <row r="4582" spans="1:13" s="149" customFormat="1" x14ac:dyDescent="0.25">
      <c r="A4582" s="149" t="s">
        <v>7640</v>
      </c>
      <c r="B4582" s="149" t="s">
        <v>3116</v>
      </c>
      <c r="C4582" s="149">
        <v>11</v>
      </c>
      <c r="D4582" s="149">
        <v>420</v>
      </c>
      <c r="E4582" s="149">
        <v>0</v>
      </c>
      <c r="F4582" s="149">
        <v>646000</v>
      </c>
      <c r="G4582" s="149">
        <v>55200</v>
      </c>
      <c r="H4582" s="150" t="str">
        <f t="shared" si="213"/>
        <v>5</v>
      </c>
      <c r="I4582" s="150" t="str">
        <f t="shared" si="214"/>
        <v>55</v>
      </c>
      <c r="J4582" s="150" t="str">
        <f t="shared" si="215"/>
        <v>552</v>
      </c>
      <c r="K4582" s="150" t="s">
        <v>8068</v>
      </c>
      <c r="L4582" s="149" t="s">
        <v>3117</v>
      </c>
      <c r="M4582" s="151">
        <v>0</v>
      </c>
    </row>
    <row r="4583" spans="1:13" s="149" customFormat="1" x14ac:dyDescent="0.25">
      <c r="A4583" s="149" t="s">
        <v>7640</v>
      </c>
      <c r="B4583" s="149" t="s">
        <v>3118</v>
      </c>
      <c r="C4583" s="149">
        <v>11</v>
      </c>
      <c r="D4583" s="149">
        <v>420</v>
      </c>
      <c r="E4583" s="149">
        <v>0</v>
      </c>
      <c r="F4583" s="149">
        <v>646000</v>
      </c>
      <c r="G4583" s="149">
        <v>55300</v>
      </c>
      <c r="H4583" s="150" t="str">
        <f t="shared" si="213"/>
        <v>5</v>
      </c>
      <c r="I4583" s="150" t="str">
        <f t="shared" si="214"/>
        <v>55</v>
      </c>
      <c r="J4583" s="150" t="str">
        <f t="shared" si="215"/>
        <v>553</v>
      </c>
      <c r="K4583" s="150" t="s">
        <v>8099</v>
      </c>
      <c r="L4583" s="149" t="s">
        <v>3119</v>
      </c>
      <c r="M4583" s="151">
        <v>1460</v>
      </c>
    </row>
    <row r="4584" spans="1:13" s="149" customFormat="1" x14ac:dyDescent="0.25">
      <c r="A4584" s="149" t="s">
        <v>7640</v>
      </c>
      <c r="B4584" s="149" t="s">
        <v>3120</v>
      </c>
      <c r="C4584" s="149">
        <v>11</v>
      </c>
      <c r="D4584" s="149">
        <v>420</v>
      </c>
      <c r="E4584" s="149">
        <v>0</v>
      </c>
      <c r="F4584" s="149">
        <v>646000</v>
      </c>
      <c r="G4584" s="149">
        <v>55309</v>
      </c>
      <c r="H4584" s="150" t="str">
        <f t="shared" si="213"/>
        <v>5</v>
      </c>
      <c r="I4584" s="150" t="str">
        <f t="shared" si="214"/>
        <v>55</v>
      </c>
      <c r="J4584" s="150" t="str">
        <f t="shared" si="215"/>
        <v>553</v>
      </c>
      <c r="K4584" s="150" t="s">
        <v>8111</v>
      </c>
      <c r="L4584" s="149" t="s">
        <v>3121</v>
      </c>
      <c r="M4584" s="151">
        <v>16463.099999999999</v>
      </c>
    </row>
    <row r="4585" spans="1:13" s="149" customFormat="1" x14ac:dyDescent="0.25">
      <c r="A4585" s="149" t="s">
        <v>7640</v>
      </c>
      <c r="B4585" s="149" t="s">
        <v>3122</v>
      </c>
      <c r="C4585" s="149">
        <v>11</v>
      </c>
      <c r="D4585" s="149">
        <v>420</v>
      </c>
      <c r="E4585" s="149">
        <v>0</v>
      </c>
      <c r="F4585" s="149">
        <v>646000</v>
      </c>
      <c r="G4585" s="149">
        <v>55630</v>
      </c>
      <c r="H4585" s="150" t="str">
        <f t="shared" si="213"/>
        <v>5</v>
      </c>
      <c r="I4585" s="150" t="str">
        <f t="shared" si="214"/>
        <v>55</v>
      </c>
      <c r="J4585" s="150" t="str">
        <f t="shared" si="215"/>
        <v>556</v>
      </c>
      <c r="K4585" s="150" t="s">
        <v>8268</v>
      </c>
      <c r="L4585" s="149" t="s">
        <v>3123</v>
      </c>
      <c r="M4585" s="151">
        <v>1530.28</v>
      </c>
    </row>
    <row r="4586" spans="1:13" s="149" customFormat="1" x14ac:dyDescent="0.25">
      <c r="A4586" s="149" t="s">
        <v>7640</v>
      </c>
      <c r="B4586" s="149" t="s">
        <v>3124</v>
      </c>
      <c r="C4586" s="149">
        <v>11</v>
      </c>
      <c r="D4586" s="149">
        <v>420</v>
      </c>
      <c r="E4586" s="149">
        <v>0</v>
      </c>
      <c r="F4586" s="149">
        <v>646021</v>
      </c>
      <c r="G4586" s="149">
        <v>52105</v>
      </c>
      <c r="H4586" s="150" t="str">
        <f t="shared" si="213"/>
        <v>5</v>
      </c>
      <c r="I4586" s="150" t="str">
        <f t="shared" si="214"/>
        <v>52</v>
      </c>
      <c r="J4586" s="150" t="str">
        <f t="shared" si="215"/>
        <v>521</v>
      </c>
      <c r="K4586" s="150" t="s">
        <v>9470</v>
      </c>
      <c r="L4586" s="149" t="s">
        <v>3125</v>
      </c>
      <c r="M4586" s="151">
        <v>33400.879999999997</v>
      </c>
    </row>
    <row r="4587" spans="1:13" s="149" customFormat="1" x14ac:dyDescent="0.25">
      <c r="A4587" s="149" t="s">
        <v>7640</v>
      </c>
      <c r="B4587" s="149" t="s">
        <v>3126</v>
      </c>
      <c r="C4587" s="149">
        <v>11</v>
      </c>
      <c r="D4587" s="149">
        <v>420</v>
      </c>
      <c r="E4587" s="149">
        <v>0</v>
      </c>
      <c r="F4587" s="149">
        <v>646021</v>
      </c>
      <c r="G4587" s="149">
        <v>52300</v>
      </c>
      <c r="H4587" s="150" t="str">
        <f t="shared" si="213"/>
        <v>5</v>
      </c>
      <c r="I4587" s="150" t="str">
        <f t="shared" si="214"/>
        <v>52</v>
      </c>
      <c r="J4587" s="150" t="str">
        <f t="shared" si="215"/>
        <v>523</v>
      </c>
      <c r="K4587" s="150" t="s">
        <v>7840</v>
      </c>
      <c r="L4587" s="149" t="s">
        <v>3127</v>
      </c>
      <c r="M4587" s="151">
        <v>2.67</v>
      </c>
    </row>
    <row r="4588" spans="1:13" s="149" customFormat="1" x14ac:dyDescent="0.25">
      <c r="A4588" s="149" t="s">
        <v>7640</v>
      </c>
      <c r="B4588" s="149" t="s">
        <v>3128</v>
      </c>
      <c r="C4588" s="149">
        <v>11</v>
      </c>
      <c r="D4588" s="149">
        <v>420</v>
      </c>
      <c r="E4588" s="149">
        <v>0</v>
      </c>
      <c r="F4588" s="149">
        <v>646021</v>
      </c>
      <c r="G4588" s="149">
        <v>53220</v>
      </c>
      <c r="H4588" s="150" t="str">
        <f t="shared" si="213"/>
        <v>5</v>
      </c>
      <c r="I4588" s="150" t="str">
        <f t="shared" si="214"/>
        <v>53</v>
      </c>
      <c r="J4588" s="150" t="str">
        <f t="shared" si="215"/>
        <v>532</v>
      </c>
      <c r="K4588" s="150" t="s">
        <v>9471</v>
      </c>
      <c r="L4588" s="149" t="s">
        <v>3129</v>
      </c>
      <c r="M4588" s="151">
        <v>6914.03</v>
      </c>
    </row>
    <row r="4589" spans="1:13" s="149" customFormat="1" x14ac:dyDescent="0.25">
      <c r="A4589" s="149" t="s">
        <v>7640</v>
      </c>
      <c r="B4589" s="149" t="s">
        <v>3130</v>
      </c>
      <c r="C4589" s="149">
        <v>11</v>
      </c>
      <c r="D4589" s="149">
        <v>420</v>
      </c>
      <c r="E4589" s="149">
        <v>0</v>
      </c>
      <c r="F4589" s="149">
        <v>646021</v>
      </c>
      <c r="G4589" s="149">
        <v>53320</v>
      </c>
      <c r="H4589" s="150" t="str">
        <f t="shared" si="213"/>
        <v>5</v>
      </c>
      <c r="I4589" s="150" t="str">
        <f t="shared" si="214"/>
        <v>53</v>
      </c>
      <c r="J4589" s="150" t="str">
        <f t="shared" si="215"/>
        <v>533</v>
      </c>
      <c r="K4589" s="150" t="s">
        <v>9472</v>
      </c>
      <c r="L4589" s="149" t="s">
        <v>3131</v>
      </c>
      <c r="M4589" s="151">
        <v>2072.77</v>
      </c>
    </row>
    <row r="4590" spans="1:13" s="149" customFormat="1" x14ac:dyDescent="0.25">
      <c r="A4590" s="149" t="s">
        <v>7640</v>
      </c>
      <c r="B4590" s="149" t="s">
        <v>3132</v>
      </c>
      <c r="C4590" s="149">
        <v>11</v>
      </c>
      <c r="D4590" s="149">
        <v>420</v>
      </c>
      <c r="E4590" s="149">
        <v>0</v>
      </c>
      <c r="F4590" s="149">
        <v>646021</v>
      </c>
      <c r="G4590" s="149">
        <v>53340</v>
      </c>
      <c r="H4590" s="150" t="str">
        <f t="shared" si="213"/>
        <v>5</v>
      </c>
      <c r="I4590" s="150" t="str">
        <f t="shared" si="214"/>
        <v>53</v>
      </c>
      <c r="J4590" s="150" t="str">
        <f t="shared" si="215"/>
        <v>533</v>
      </c>
      <c r="K4590" s="150" t="s">
        <v>9473</v>
      </c>
      <c r="L4590" s="149" t="s">
        <v>3133</v>
      </c>
      <c r="M4590" s="151">
        <v>484.7</v>
      </c>
    </row>
    <row r="4591" spans="1:13" s="149" customFormat="1" x14ac:dyDescent="0.25">
      <c r="A4591" s="149" t="s">
        <v>7640</v>
      </c>
      <c r="B4591" s="149" t="s">
        <v>3134</v>
      </c>
      <c r="C4591" s="149">
        <v>11</v>
      </c>
      <c r="D4591" s="149">
        <v>420</v>
      </c>
      <c r="E4591" s="149">
        <v>0</v>
      </c>
      <c r="F4591" s="149">
        <v>646021</v>
      </c>
      <c r="G4591" s="149">
        <v>53420</v>
      </c>
      <c r="H4591" s="150" t="str">
        <f t="shared" si="213"/>
        <v>5</v>
      </c>
      <c r="I4591" s="150" t="str">
        <f t="shared" si="214"/>
        <v>53</v>
      </c>
      <c r="J4591" s="150" t="str">
        <f t="shared" si="215"/>
        <v>534</v>
      </c>
      <c r="K4591" s="150" t="s">
        <v>9474</v>
      </c>
      <c r="L4591" s="149" t="s">
        <v>3135</v>
      </c>
      <c r="M4591" s="151">
        <v>8044.83</v>
      </c>
    </row>
    <row r="4592" spans="1:13" s="149" customFormat="1" x14ac:dyDescent="0.25">
      <c r="A4592" s="149" t="s">
        <v>7640</v>
      </c>
      <c r="B4592" s="149" t="s">
        <v>3136</v>
      </c>
      <c r="C4592" s="149">
        <v>11</v>
      </c>
      <c r="D4592" s="149">
        <v>420</v>
      </c>
      <c r="E4592" s="149">
        <v>0</v>
      </c>
      <c r="F4592" s="149">
        <v>646021</v>
      </c>
      <c r="G4592" s="149">
        <v>53520</v>
      </c>
      <c r="H4592" s="150" t="str">
        <f t="shared" si="213"/>
        <v>5</v>
      </c>
      <c r="I4592" s="150" t="str">
        <f t="shared" si="214"/>
        <v>53</v>
      </c>
      <c r="J4592" s="150" t="str">
        <f t="shared" si="215"/>
        <v>535</v>
      </c>
      <c r="K4592" s="150" t="s">
        <v>9475</v>
      </c>
      <c r="L4592" s="149" t="s">
        <v>3137</v>
      </c>
      <c r="M4592" s="151">
        <v>16.7</v>
      </c>
    </row>
    <row r="4593" spans="1:13" s="149" customFormat="1" x14ac:dyDescent="0.25">
      <c r="A4593" s="149" t="s">
        <v>7640</v>
      </c>
      <c r="B4593" s="149" t="s">
        <v>3138</v>
      </c>
      <c r="C4593" s="149">
        <v>11</v>
      </c>
      <c r="D4593" s="149">
        <v>420</v>
      </c>
      <c r="E4593" s="149">
        <v>0</v>
      </c>
      <c r="F4593" s="149">
        <v>646021</v>
      </c>
      <c r="G4593" s="149">
        <v>53620</v>
      </c>
      <c r="H4593" s="150" t="str">
        <f t="shared" si="213"/>
        <v>5</v>
      </c>
      <c r="I4593" s="150" t="str">
        <f t="shared" si="214"/>
        <v>53</v>
      </c>
      <c r="J4593" s="150" t="str">
        <f t="shared" si="215"/>
        <v>536</v>
      </c>
      <c r="K4593" s="150" t="s">
        <v>9476</v>
      </c>
      <c r="L4593" s="149" t="s">
        <v>3139</v>
      </c>
      <c r="M4593" s="151">
        <v>633.20000000000005</v>
      </c>
    </row>
    <row r="4594" spans="1:13" s="149" customFormat="1" x14ac:dyDescent="0.25">
      <c r="A4594" s="149" t="s">
        <v>7640</v>
      </c>
      <c r="B4594" s="149" t="s">
        <v>3140</v>
      </c>
      <c r="C4594" s="149">
        <v>11</v>
      </c>
      <c r="D4594" s="149">
        <v>420</v>
      </c>
      <c r="E4594" s="149">
        <v>0</v>
      </c>
      <c r="F4594" s="149">
        <v>646021</v>
      </c>
      <c r="G4594" s="149">
        <v>55630</v>
      </c>
      <c r="H4594" s="150" t="str">
        <f t="shared" si="213"/>
        <v>5</v>
      </c>
      <c r="I4594" s="150" t="str">
        <f t="shared" si="214"/>
        <v>55</v>
      </c>
      <c r="J4594" s="150" t="str">
        <f t="shared" si="215"/>
        <v>556</v>
      </c>
      <c r="K4594" s="150" t="s">
        <v>8269</v>
      </c>
      <c r="L4594" s="149" t="s">
        <v>3141</v>
      </c>
      <c r="M4594" s="151">
        <v>21.56</v>
      </c>
    </row>
    <row r="4595" spans="1:13" s="149" customFormat="1" x14ac:dyDescent="0.25">
      <c r="A4595" s="149" t="s">
        <v>7640</v>
      </c>
      <c r="B4595" s="149" t="s">
        <v>3142</v>
      </c>
      <c r="C4595" s="149">
        <v>11</v>
      </c>
      <c r="D4595" s="149">
        <v>420</v>
      </c>
      <c r="E4595" s="149">
        <v>0</v>
      </c>
      <c r="F4595" s="149">
        <v>648000</v>
      </c>
      <c r="G4595" s="149">
        <v>51200</v>
      </c>
      <c r="H4595" s="150" t="str">
        <f t="shared" si="213"/>
        <v>5</v>
      </c>
      <c r="I4595" s="150" t="str">
        <f t="shared" si="214"/>
        <v>51</v>
      </c>
      <c r="J4595" s="150" t="str">
        <f t="shared" si="215"/>
        <v>512</v>
      </c>
      <c r="K4595" s="150" t="s">
        <v>9477</v>
      </c>
      <c r="L4595" s="149" t="s">
        <v>3143</v>
      </c>
      <c r="M4595" s="151">
        <v>24171.3</v>
      </c>
    </row>
    <row r="4596" spans="1:13" s="149" customFormat="1" x14ac:dyDescent="0.25">
      <c r="A4596" s="149" t="s">
        <v>7640</v>
      </c>
      <c r="B4596" s="149" t="s">
        <v>3144</v>
      </c>
      <c r="C4596" s="149">
        <v>11</v>
      </c>
      <c r="D4596" s="149">
        <v>420</v>
      </c>
      <c r="E4596" s="149">
        <v>0</v>
      </c>
      <c r="F4596" s="149">
        <v>648000</v>
      </c>
      <c r="G4596" s="149">
        <v>52105</v>
      </c>
      <c r="H4596" s="150" t="str">
        <f t="shared" si="213"/>
        <v>5</v>
      </c>
      <c r="I4596" s="150" t="str">
        <f t="shared" si="214"/>
        <v>52</v>
      </c>
      <c r="J4596" s="150" t="str">
        <f t="shared" si="215"/>
        <v>521</v>
      </c>
      <c r="K4596" s="150" t="s">
        <v>9478</v>
      </c>
      <c r="L4596" s="149" t="s">
        <v>3145</v>
      </c>
      <c r="M4596" s="151">
        <v>21974.45</v>
      </c>
    </row>
    <row r="4597" spans="1:13" s="149" customFormat="1" x14ac:dyDescent="0.25">
      <c r="A4597" s="149" t="s">
        <v>7640</v>
      </c>
      <c r="B4597" s="149" t="s">
        <v>3146</v>
      </c>
      <c r="C4597" s="149">
        <v>11</v>
      </c>
      <c r="D4597" s="149">
        <v>420</v>
      </c>
      <c r="E4597" s="149">
        <v>0</v>
      </c>
      <c r="F4597" s="149">
        <v>648000</v>
      </c>
      <c r="G4597" s="149">
        <v>52300</v>
      </c>
      <c r="H4597" s="150" t="str">
        <f t="shared" si="213"/>
        <v>5</v>
      </c>
      <c r="I4597" s="150" t="str">
        <f t="shared" si="214"/>
        <v>52</v>
      </c>
      <c r="J4597" s="150" t="str">
        <f t="shared" si="215"/>
        <v>523</v>
      </c>
      <c r="K4597" s="150" t="s">
        <v>7841</v>
      </c>
      <c r="L4597" s="149" t="s">
        <v>3147</v>
      </c>
      <c r="M4597" s="151">
        <v>6.18</v>
      </c>
    </row>
    <row r="4598" spans="1:13" s="149" customFormat="1" x14ac:dyDescent="0.25">
      <c r="A4598" s="149" t="s">
        <v>7640</v>
      </c>
      <c r="B4598" s="149" t="s">
        <v>3148</v>
      </c>
      <c r="C4598" s="149">
        <v>11</v>
      </c>
      <c r="D4598" s="149">
        <v>420</v>
      </c>
      <c r="E4598" s="149">
        <v>0</v>
      </c>
      <c r="F4598" s="149">
        <v>648000</v>
      </c>
      <c r="G4598" s="149">
        <v>53120</v>
      </c>
      <c r="H4598" s="150" t="str">
        <f t="shared" si="213"/>
        <v>5</v>
      </c>
      <c r="I4598" s="150" t="str">
        <f t="shared" si="214"/>
        <v>53</v>
      </c>
      <c r="J4598" s="150" t="str">
        <f t="shared" si="215"/>
        <v>531</v>
      </c>
      <c r="K4598" s="150" t="s">
        <v>9479</v>
      </c>
      <c r="L4598" s="149" t="s">
        <v>3149</v>
      </c>
      <c r="M4598" s="151">
        <v>3903.66</v>
      </c>
    </row>
    <row r="4599" spans="1:13" s="149" customFormat="1" x14ac:dyDescent="0.25">
      <c r="A4599" s="149" t="s">
        <v>7640</v>
      </c>
      <c r="B4599" s="149" t="s">
        <v>3150</v>
      </c>
      <c r="C4599" s="149">
        <v>11</v>
      </c>
      <c r="D4599" s="149">
        <v>420</v>
      </c>
      <c r="E4599" s="149">
        <v>0</v>
      </c>
      <c r="F4599" s="149">
        <v>648000</v>
      </c>
      <c r="G4599" s="149">
        <v>53220</v>
      </c>
      <c r="H4599" s="150" t="str">
        <f t="shared" si="213"/>
        <v>5</v>
      </c>
      <c r="I4599" s="150" t="str">
        <f t="shared" si="214"/>
        <v>53</v>
      </c>
      <c r="J4599" s="150" t="str">
        <f t="shared" si="215"/>
        <v>532</v>
      </c>
      <c r="K4599" s="150" t="s">
        <v>9480</v>
      </c>
      <c r="L4599" s="149" t="s">
        <v>3151</v>
      </c>
      <c r="M4599" s="151">
        <v>4545.84</v>
      </c>
    </row>
    <row r="4600" spans="1:13" s="149" customFormat="1" x14ac:dyDescent="0.25">
      <c r="A4600" s="149" t="s">
        <v>7640</v>
      </c>
      <c r="B4600" s="149" t="s">
        <v>3152</v>
      </c>
      <c r="C4600" s="149">
        <v>11</v>
      </c>
      <c r="D4600" s="149">
        <v>420</v>
      </c>
      <c r="E4600" s="149">
        <v>0</v>
      </c>
      <c r="F4600" s="149">
        <v>648000</v>
      </c>
      <c r="G4600" s="149">
        <v>53320</v>
      </c>
      <c r="H4600" s="150" t="str">
        <f t="shared" si="213"/>
        <v>5</v>
      </c>
      <c r="I4600" s="150" t="str">
        <f t="shared" si="214"/>
        <v>53</v>
      </c>
      <c r="J4600" s="150" t="str">
        <f t="shared" si="215"/>
        <v>533</v>
      </c>
      <c r="K4600" s="150" t="s">
        <v>9481</v>
      </c>
      <c r="L4600" s="149" t="s">
        <v>3153</v>
      </c>
      <c r="M4600" s="151">
        <v>1357.93</v>
      </c>
    </row>
    <row r="4601" spans="1:13" s="149" customFormat="1" x14ac:dyDescent="0.25">
      <c r="A4601" s="149" t="s">
        <v>7640</v>
      </c>
      <c r="B4601" s="149" t="s">
        <v>3154</v>
      </c>
      <c r="C4601" s="149">
        <v>11</v>
      </c>
      <c r="D4601" s="149">
        <v>420</v>
      </c>
      <c r="E4601" s="149">
        <v>0</v>
      </c>
      <c r="F4601" s="149">
        <v>648000</v>
      </c>
      <c r="G4601" s="149">
        <v>53340</v>
      </c>
      <c r="H4601" s="150" t="str">
        <f t="shared" si="213"/>
        <v>5</v>
      </c>
      <c r="I4601" s="150" t="str">
        <f t="shared" si="214"/>
        <v>53</v>
      </c>
      <c r="J4601" s="150" t="str">
        <f t="shared" si="215"/>
        <v>533</v>
      </c>
      <c r="K4601" s="150" t="s">
        <v>9482</v>
      </c>
      <c r="L4601" s="149" t="s">
        <v>3155</v>
      </c>
      <c r="M4601" s="151">
        <v>664.33</v>
      </c>
    </row>
    <row r="4602" spans="1:13" s="149" customFormat="1" x14ac:dyDescent="0.25">
      <c r="A4602" s="149" t="s">
        <v>7640</v>
      </c>
      <c r="B4602" s="149" t="s">
        <v>3156</v>
      </c>
      <c r="C4602" s="149">
        <v>11</v>
      </c>
      <c r="D4602" s="149">
        <v>420</v>
      </c>
      <c r="E4602" s="149">
        <v>0</v>
      </c>
      <c r="F4602" s="149">
        <v>648000</v>
      </c>
      <c r="G4602" s="149">
        <v>53420</v>
      </c>
      <c r="H4602" s="150" t="str">
        <f t="shared" si="213"/>
        <v>5</v>
      </c>
      <c r="I4602" s="150" t="str">
        <f t="shared" si="214"/>
        <v>53</v>
      </c>
      <c r="J4602" s="150" t="str">
        <f t="shared" si="215"/>
        <v>534</v>
      </c>
      <c r="K4602" s="150" t="s">
        <v>9483</v>
      </c>
      <c r="L4602" s="149" t="s">
        <v>3157</v>
      </c>
      <c r="M4602" s="151">
        <v>12020.87</v>
      </c>
    </row>
    <row r="4603" spans="1:13" s="149" customFormat="1" x14ac:dyDescent="0.25">
      <c r="A4603" s="149" t="s">
        <v>7640</v>
      </c>
      <c r="B4603" s="149" t="s">
        <v>3158</v>
      </c>
      <c r="C4603" s="149">
        <v>11</v>
      </c>
      <c r="D4603" s="149">
        <v>420</v>
      </c>
      <c r="E4603" s="149">
        <v>0</v>
      </c>
      <c r="F4603" s="149">
        <v>648000</v>
      </c>
      <c r="G4603" s="149">
        <v>53520</v>
      </c>
      <c r="H4603" s="150" t="str">
        <f t="shared" si="213"/>
        <v>5</v>
      </c>
      <c r="I4603" s="150" t="str">
        <f t="shared" si="214"/>
        <v>53</v>
      </c>
      <c r="J4603" s="150" t="str">
        <f t="shared" si="215"/>
        <v>535</v>
      </c>
      <c r="K4603" s="150" t="s">
        <v>9484</v>
      </c>
      <c r="L4603" s="149" t="s">
        <v>3159</v>
      </c>
      <c r="M4603" s="151">
        <v>23.05</v>
      </c>
    </row>
    <row r="4604" spans="1:13" s="149" customFormat="1" x14ac:dyDescent="0.25">
      <c r="A4604" s="149" t="s">
        <v>7640</v>
      </c>
      <c r="B4604" s="149" t="s">
        <v>3160</v>
      </c>
      <c r="C4604" s="149">
        <v>11</v>
      </c>
      <c r="D4604" s="149">
        <v>420</v>
      </c>
      <c r="E4604" s="149">
        <v>0</v>
      </c>
      <c r="F4604" s="149">
        <v>648000</v>
      </c>
      <c r="G4604" s="149">
        <v>53620</v>
      </c>
      <c r="H4604" s="150" t="str">
        <f t="shared" si="213"/>
        <v>5</v>
      </c>
      <c r="I4604" s="150" t="str">
        <f t="shared" si="214"/>
        <v>53</v>
      </c>
      <c r="J4604" s="150" t="str">
        <f t="shared" si="215"/>
        <v>536</v>
      </c>
      <c r="K4604" s="150" t="s">
        <v>9485</v>
      </c>
      <c r="L4604" s="149" t="s">
        <v>3161</v>
      </c>
      <c r="M4604" s="151">
        <v>873.62</v>
      </c>
    </row>
    <row r="4605" spans="1:13" s="149" customFormat="1" x14ac:dyDescent="0.25">
      <c r="A4605" s="149" t="s">
        <v>7640</v>
      </c>
      <c r="B4605" s="149" t="s">
        <v>3162</v>
      </c>
      <c r="C4605" s="149">
        <v>11</v>
      </c>
      <c r="D4605" s="149">
        <v>420</v>
      </c>
      <c r="E4605" s="149">
        <v>0</v>
      </c>
      <c r="F4605" s="149">
        <v>648000</v>
      </c>
      <c r="G4605" s="149">
        <v>55200</v>
      </c>
      <c r="H4605" s="150" t="str">
        <f t="shared" si="213"/>
        <v>5</v>
      </c>
      <c r="I4605" s="150" t="str">
        <f t="shared" si="214"/>
        <v>55</v>
      </c>
      <c r="J4605" s="150" t="str">
        <f t="shared" si="215"/>
        <v>552</v>
      </c>
      <c r="K4605" s="150" t="s">
        <v>8069</v>
      </c>
      <c r="L4605" s="149" t="s">
        <v>3163</v>
      </c>
      <c r="M4605" s="151">
        <v>0</v>
      </c>
    </row>
    <row r="4606" spans="1:13" s="149" customFormat="1" x14ac:dyDescent="0.25">
      <c r="A4606" s="149" t="s">
        <v>7640</v>
      </c>
      <c r="B4606" s="149" t="s">
        <v>3164</v>
      </c>
      <c r="C4606" s="149">
        <v>11</v>
      </c>
      <c r="D4606" s="149">
        <v>420</v>
      </c>
      <c r="E4606" s="149">
        <v>0</v>
      </c>
      <c r="F4606" s="149">
        <v>648000</v>
      </c>
      <c r="G4606" s="149">
        <v>55300</v>
      </c>
      <c r="H4606" s="150" t="str">
        <f t="shared" si="213"/>
        <v>5</v>
      </c>
      <c r="I4606" s="150" t="str">
        <f t="shared" si="214"/>
        <v>55</v>
      </c>
      <c r="J4606" s="150" t="str">
        <f t="shared" si="215"/>
        <v>553</v>
      </c>
      <c r="K4606" s="150" t="s">
        <v>8100</v>
      </c>
      <c r="L4606" s="149" t="s">
        <v>3165</v>
      </c>
      <c r="M4606" s="151">
        <v>0</v>
      </c>
    </row>
    <row r="4607" spans="1:13" s="149" customFormat="1" x14ac:dyDescent="0.25">
      <c r="A4607" s="149" t="s">
        <v>7640</v>
      </c>
      <c r="B4607" s="149" t="s">
        <v>3166</v>
      </c>
      <c r="C4607" s="149">
        <v>11</v>
      </c>
      <c r="D4607" s="149">
        <v>420</v>
      </c>
      <c r="E4607" s="149">
        <v>0</v>
      </c>
      <c r="F4607" s="149">
        <v>648000</v>
      </c>
      <c r="G4607" s="149">
        <v>55630</v>
      </c>
      <c r="H4607" s="150" t="str">
        <f t="shared" si="213"/>
        <v>5</v>
      </c>
      <c r="I4607" s="150" t="str">
        <f t="shared" si="214"/>
        <v>55</v>
      </c>
      <c r="J4607" s="150" t="str">
        <f t="shared" si="215"/>
        <v>556</v>
      </c>
      <c r="K4607" s="150" t="s">
        <v>8270</v>
      </c>
      <c r="L4607" s="149" t="s">
        <v>3167</v>
      </c>
      <c r="M4607" s="151">
        <v>1.57</v>
      </c>
    </row>
    <row r="4608" spans="1:13" s="149" customFormat="1" x14ac:dyDescent="0.25">
      <c r="A4608" s="149" t="s">
        <v>7640</v>
      </c>
      <c r="B4608" s="149" t="s">
        <v>3168</v>
      </c>
      <c r="C4608" s="149">
        <v>11</v>
      </c>
      <c r="D4608" s="149">
        <v>430</v>
      </c>
      <c r="E4608" s="149">
        <v>0</v>
      </c>
      <c r="F4608" s="149">
        <v>643000</v>
      </c>
      <c r="G4608" s="149">
        <v>51210</v>
      </c>
      <c r="H4608" s="150" t="str">
        <f t="shared" si="213"/>
        <v>5</v>
      </c>
      <c r="I4608" s="150" t="str">
        <f t="shared" si="214"/>
        <v>51</v>
      </c>
      <c r="J4608" s="150" t="str">
        <f t="shared" si="215"/>
        <v>512</v>
      </c>
      <c r="K4608" s="150" t="s">
        <v>9486</v>
      </c>
      <c r="L4608" s="149" t="s">
        <v>3169</v>
      </c>
      <c r="M4608" s="151">
        <v>0</v>
      </c>
    </row>
    <row r="4609" spans="1:13" s="149" customFormat="1" x14ac:dyDescent="0.25">
      <c r="A4609" s="149" t="s">
        <v>7640</v>
      </c>
      <c r="B4609" s="149" t="s">
        <v>3170</v>
      </c>
      <c r="C4609" s="149">
        <v>11</v>
      </c>
      <c r="D4609" s="149">
        <v>430</v>
      </c>
      <c r="E4609" s="149">
        <v>0</v>
      </c>
      <c r="F4609" s="149">
        <v>643000</v>
      </c>
      <c r="G4609" s="149">
        <v>53220</v>
      </c>
      <c r="H4609" s="150" t="str">
        <f t="shared" si="213"/>
        <v>5</v>
      </c>
      <c r="I4609" s="150" t="str">
        <f t="shared" si="214"/>
        <v>53</v>
      </c>
      <c r="J4609" s="150" t="str">
        <f t="shared" si="215"/>
        <v>532</v>
      </c>
      <c r="K4609" s="150" t="s">
        <v>9487</v>
      </c>
      <c r="L4609" s="149" t="s">
        <v>3171</v>
      </c>
      <c r="M4609" s="151">
        <v>0</v>
      </c>
    </row>
    <row r="4610" spans="1:13" s="149" customFormat="1" x14ac:dyDescent="0.25">
      <c r="A4610" s="149" t="s">
        <v>7640</v>
      </c>
      <c r="B4610" s="149" t="s">
        <v>3172</v>
      </c>
      <c r="C4610" s="149">
        <v>11</v>
      </c>
      <c r="D4610" s="149">
        <v>430</v>
      </c>
      <c r="E4610" s="149">
        <v>0</v>
      </c>
      <c r="F4610" s="149">
        <v>643000</v>
      </c>
      <c r="G4610" s="149">
        <v>53320</v>
      </c>
      <c r="H4610" s="150" t="str">
        <f t="shared" si="213"/>
        <v>5</v>
      </c>
      <c r="I4610" s="150" t="str">
        <f t="shared" si="214"/>
        <v>53</v>
      </c>
      <c r="J4610" s="150" t="str">
        <f t="shared" si="215"/>
        <v>533</v>
      </c>
      <c r="K4610" s="150" t="s">
        <v>9488</v>
      </c>
      <c r="L4610" s="149" t="s">
        <v>3173</v>
      </c>
      <c r="M4610" s="151">
        <v>0</v>
      </c>
    </row>
    <row r="4611" spans="1:13" s="149" customFormat="1" x14ac:dyDescent="0.25">
      <c r="A4611" s="149" t="s">
        <v>7640</v>
      </c>
      <c r="B4611" s="149" t="s">
        <v>3174</v>
      </c>
      <c r="C4611" s="149">
        <v>11</v>
      </c>
      <c r="D4611" s="149">
        <v>430</v>
      </c>
      <c r="E4611" s="149">
        <v>0</v>
      </c>
      <c r="F4611" s="149">
        <v>643000</v>
      </c>
      <c r="G4611" s="149">
        <v>53340</v>
      </c>
      <c r="H4611" s="150" t="str">
        <f t="shared" ref="H4611:H4674" si="216">LEFT(G4611,1)</f>
        <v>5</v>
      </c>
      <c r="I4611" s="150" t="str">
        <f t="shared" ref="I4611:I4674" si="217">LEFT(G4611,2)</f>
        <v>53</v>
      </c>
      <c r="J4611" s="150" t="str">
        <f t="shared" ref="J4611:J4674" si="218">LEFT(G4611,3)</f>
        <v>533</v>
      </c>
      <c r="K4611" s="150" t="s">
        <v>9489</v>
      </c>
      <c r="L4611" s="149" t="s">
        <v>3175</v>
      </c>
      <c r="M4611" s="151">
        <v>0</v>
      </c>
    </row>
    <row r="4612" spans="1:13" s="149" customFormat="1" x14ac:dyDescent="0.25">
      <c r="A4612" s="149" t="s">
        <v>7640</v>
      </c>
      <c r="B4612" s="149" t="s">
        <v>3176</v>
      </c>
      <c r="C4612" s="149">
        <v>11</v>
      </c>
      <c r="D4612" s="149">
        <v>430</v>
      </c>
      <c r="E4612" s="149">
        <v>0</v>
      </c>
      <c r="F4612" s="149">
        <v>643000</v>
      </c>
      <c r="G4612" s="149">
        <v>53420</v>
      </c>
      <c r="H4612" s="150" t="str">
        <f t="shared" si="216"/>
        <v>5</v>
      </c>
      <c r="I4612" s="150" t="str">
        <f t="shared" si="217"/>
        <v>53</v>
      </c>
      <c r="J4612" s="150" t="str">
        <f t="shared" si="218"/>
        <v>534</v>
      </c>
      <c r="K4612" s="150" t="s">
        <v>9490</v>
      </c>
      <c r="L4612" s="149" t="s">
        <v>3177</v>
      </c>
      <c r="M4612" s="151">
        <v>0</v>
      </c>
    </row>
    <row r="4613" spans="1:13" s="149" customFormat="1" x14ac:dyDescent="0.25">
      <c r="A4613" s="149" t="s">
        <v>7640</v>
      </c>
      <c r="B4613" s="149" t="s">
        <v>3178</v>
      </c>
      <c r="C4613" s="149">
        <v>11</v>
      </c>
      <c r="D4613" s="149">
        <v>430</v>
      </c>
      <c r="E4613" s="149">
        <v>0</v>
      </c>
      <c r="F4613" s="149">
        <v>643000</v>
      </c>
      <c r="G4613" s="149">
        <v>53520</v>
      </c>
      <c r="H4613" s="150" t="str">
        <f t="shared" si="216"/>
        <v>5</v>
      </c>
      <c r="I4613" s="150" t="str">
        <f t="shared" si="217"/>
        <v>53</v>
      </c>
      <c r="J4613" s="150" t="str">
        <f t="shared" si="218"/>
        <v>535</v>
      </c>
      <c r="K4613" s="150" t="s">
        <v>9491</v>
      </c>
      <c r="L4613" s="149" t="s">
        <v>3179</v>
      </c>
      <c r="M4613" s="151">
        <v>0</v>
      </c>
    </row>
    <row r="4614" spans="1:13" s="149" customFormat="1" x14ac:dyDescent="0.25">
      <c r="A4614" s="149" t="s">
        <v>7640</v>
      </c>
      <c r="B4614" s="149" t="s">
        <v>3180</v>
      </c>
      <c r="C4614" s="149">
        <v>11</v>
      </c>
      <c r="D4614" s="149">
        <v>430</v>
      </c>
      <c r="E4614" s="149">
        <v>0</v>
      </c>
      <c r="F4614" s="149">
        <v>643000</v>
      </c>
      <c r="G4614" s="149">
        <v>53620</v>
      </c>
      <c r="H4614" s="150" t="str">
        <f t="shared" si="216"/>
        <v>5</v>
      </c>
      <c r="I4614" s="150" t="str">
        <f t="shared" si="217"/>
        <v>53</v>
      </c>
      <c r="J4614" s="150" t="str">
        <f t="shared" si="218"/>
        <v>536</v>
      </c>
      <c r="K4614" s="150" t="s">
        <v>9492</v>
      </c>
      <c r="L4614" s="149" t="s">
        <v>3181</v>
      </c>
      <c r="M4614" s="151">
        <v>0</v>
      </c>
    </row>
    <row r="4615" spans="1:13" s="149" customFormat="1" x14ac:dyDescent="0.25">
      <c r="A4615" s="149" t="s">
        <v>7640</v>
      </c>
      <c r="B4615" s="149" t="s">
        <v>3182</v>
      </c>
      <c r="C4615" s="149">
        <v>11</v>
      </c>
      <c r="D4615" s="149">
        <v>430</v>
      </c>
      <c r="E4615" s="149">
        <v>0</v>
      </c>
      <c r="F4615" s="149">
        <v>700500</v>
      </c>
      <c r="G4615" s="149">
        <v>51210</v>
      </c>
      <c r="H4615" s="150" t="str">
        <f t="shared" si="216"/>
        <v>5</v>
      </c>
      <c r="I4615" s="150" t="str">
        <f t="shared" si="217"/>
        <v>51</v>
      </c>
      <c r="J4615" s="150" t="str">
        <f t="shared" si="218"/>
        <v>512</v>
      </c>
      <c r="K4615" s="150" t="s">
        <v>9493</v>
      </c>
      <c r="L4615" s="149" t="s">
        <v>3183</v>
      </c>
      <c r="M4615" s="151">
        <v>102517.5</v>
      </c>
    </row>
    <row r="4616" spans="1:13" s="149" customFormat="1" x14ac:dyDescent="0.25">
      <c r="A4616" s="149" t="s">
        <v>7640</v>
      </c>
      <c r="B4616" s="149" t="s">
        <v>3184</v>
      </c>
      <c r="C4616" s="149">
        <v>11</v>
      </c>
      <c r="D4616" s="149">
        <v>430</v>
      </c>
      <c r="E4616" s="149">
        <v>0</v>
      </c>
      <c r="F4616" s="149">
        <v>700500</v>
      </c>
      <c r="G4616" s="149">
        <v>53220</v>
      </c>
      <c r="H4616" s="150" t="str">
        <f t="shared" si="216"/>
        <v>5</v>
      </c>
      <c r="I4616" s="150" t="str">
        <f t="shared" si="217"/>
        <v>53</v>
      </c>
      <c r="J4616" s="150" t="str">
        <f t="shared" si="218"/>
        <v>532</v>
      </c>
      <c r="K4616" s="150" t="s">
        <v>9494</v>
      </c>
      <c r="L4616" s="149" t="s">
        <v>3185</v>
      </c>
      <c r="M4616" s="151">
        <v>21221.1</v>
      </c>
    </row>
    <row r="4617" spans="1:13" s="149" customFormat="1" x14ac:dyDescent="0.25">
      <c r="A4617" s="149" t="s">
        <v>7640</v>
      </c>
      <c r="B4617" s="149" t="s">
        <v>3186</v>
      </c>
      <c r="C4617" s="149">
        <v>11</v>
      </c>
      <c r="D4617" s="149">
        <v>430</v>
      </c>
      <c r="E4617" s="149">
        <v>0</v>
      </c>
      <c r="F4617" s="149">
        <v>700500</v>
      </c>
      <c r="G4617" s="149">
        <v>53320</v>
      </c>
      <c r="H4617" s="150" t="str">
        <f t="shared" si="216"/>
        <v>5</v>
      </c>
      <c r="I4617" s="150" t="str">
        <f t="shared" si="217"/>
        <v>53</v>
      </c>
      <c r="J4617" s="150" t="str">
        <f t="shared" si="218"/>
        <v>533</v>
      </c>
      <c r="K4617" s="150" t="s">
        <v>9495</v>
      </c>
      <c r="L4617" s="149" t="s">
        <v>3187</v>
      </c>
      <c r="M4617" s="151">
        <v>6356.1</v>
      </c>
    </row>
    <row r="4618" spans="1:13" s="149" customFormat="1" x14ac:dyDescent="0.25">
      <c r="A4618" s="149" t="s">
        <v>7640</v>
      </c>
      <c r="B4618" s="149" t="s">
        <v>3188</v>
      </c>
      <c r="C4618" s="149">
        <v>11</v>
      </c>
      <c r="D4618" s="149">
        <v>430</v>
      </c>
      <c r="E4618" s="149">
        <v>0</v>
      </c>
      <c r="F4618" s="149">
        <v>700500</v>
      </c>
      <c r="G4618" s="149">
        <v>53340</v>
      </c>
      <c r="H4618" s="150" t="str">
        <f t="shared" si="216"/>
        <v>5</v>
      </c>
      <c r="I4618" s="150" t="str">
        <f t="shared" si="217"/>
        <v>53</v>
      </c>
      <c r="J4618" s="150" t="str">
        <f t="shared" si="218"/>
        <v>533</v>
      </c>
      <c r="K4618" s="150" t="s">
        <v>9496</v>
      </c>
      <c r="L4618" s="149" t="s">
        <v>3189</v>
      </c>
      <c r="M4618" s="151">
        <v>1486.5</v>
      </c>
    </row>
    <row r="4619" spans="1:13" s="149" customFormat="1" x14ac:dyDescent="0.25">
      <c r="A4619" s="149" t="s">
        <v>7640</v>
      </c>
      <c r="B4619" s="149" t="s">
        <v>3190</v>
      </c>
      <c r="C4619" s="149">
        <v>11</v>
      </c>
      <c r="D4619" s="149">
        <v>430</v>
      </c>
      <c r="E4619" s="149">
        <v>0</v>
      </c>
      <c r="F4619" s="149">
        <v>700500</v>
      </c>
      <c r="G4619" s="149">
        <v>53420</v>
      </c>
      <c r="H4619" s="150" t="str">
        <f t="shared" si="216"/>
        <v>5</v>
      </c>
      <c r="I4619" s="150" t="str">
        <f t="shared" si="217"/>
        <v>53</v>
      </c>
      <c r="J4619" s="150" t="str">
        <f t="shared" si="218"/>
        <v>534</v>
      </c>
      <c r="K4619" s="150" t="s">
        <v>9497</v>
      </c>
      <c r="L4619" s="149" t="s">
        <v>3191</v>
      </c>
      <c r="M4619" s="151">
        <v>10726.36</v>
      </c>
    </row>
    <row r="4620" spans="1:13" s="149" customFormat="1" x14ac:dyDescent="0.25">
      <c r="A4620" s="149" t="s">
        <v>7640</v>
      </c>
      <c r="B4620" s="149" t="s">
        <v>3192</v>
      </c>
      <c r="C4620" s="149">
        <v>11</v>
      </c>
      <c r="D4620" s="149">
        <v>430</v>
      </c>
      <c r="E4620" s="149">
        <v>0</v>
      </c>
      <c r="F4620" s="149">
        <v>700500</v>
      </c>
      <c r="G4620" s="149">
        <v>53520</v>
      </c>
      <c r="H4620" s="150" t="str">
        <f t="shared" si="216"/>
        <v>5</v>
      </c>
      <c r="I4620" s="150" t="str">
        <f t="shared" si="217"/>
        <v>53</v>
      </c>
      <c r="J4620" s="150" t="str">
        <f t="shared" si="218"/>
        <v>535</v>
      </c>
      <c r="K4620" s="150" t="s">
        <v>9498</v>
      </c>
      <c r="L4620" s="149" t="s">
        <v>3193</v>
      </c>
      <c r="M4620" s="151">
        <v>51.3</v>
      </c>
    </row>
    <row r="4621" spans="1:13" s="149" customFormat="1" x14ac:dyDescent="0.25">
      <c r="A4621" s="149" t="s">
        <v>7640</v>
      </c>
      <c r="B4621" s="149" t="s">
        <v>3194</v>
      </c>
      <c r="C4621" s="149">
        <v>11</v>
      </c>
      <c r="D4621" s="149">
        <v>430</v>
      </c>
      <c r="E4621" s="149">
        <v>0</v>
      </c>
      <c r="F4621" s="149">
        <v>700500</v>
      </c>
      <c r="G4621" s="149">
        <v>53620</v>
      </c>
      <c r="H4621" s="150" t="str">
        <f t="shared" si="216"/>
        <v>5</v>
      </c>
      <c r="I4621" s="150" t="str">
        <f t="shared" si="217"/>
        <v>53</v>
      </c>
      <c r="J4621" s="150" t="str">
        <f t="shared" si="218"/>
        <v>536</v>
      </c>
      <c r="K4621" s="150" t="s">
        <v>9499</v>
      </c>
      <c r="L4621" s="149" t="s">
        <v>3195</v>
      </c>
      <c r="M4621" s="151">
        <v>1938.4</v>
      </c>
    </row>
    <row r="4622" spans="1:13" s="149" customFormat="1" x14ac:dyDescent="0.25">
      <c r="A4622" s="149" t="s">
        <v>7640</v>
      </c>
      <c r="B4622" s="149" t="s">
        <v>3196</v>
      </c>
      <c r="C4622" s="149">
        <v>11</v>
      </c>
      <c r="D4622" s="149">
        <v>430</v>
      </c>
      <c r="E4622" s="149">
        <v>0</v>
      </c>
      <c r="F4622" s="149">
        <v>700500</v>
      </c>
      <c r="G4622" s="149">
        <v>55630</v>
      </c>
      <c r="H4622" s="150" t="str">
        <f t="shared" si="216"/>
        <v>5</v>
      </c>
      <c r="I4622" s="150" t="str">
        <f t="shared" si="217"/>
        <v>55</v>
      </c>
      <c r="J4622" s="150" t="str">
        <f t="shared" si="218"/>
        <v>556</v>
      </c>
      <c r="K4622" s="150" t="s">
        <v>8271</v>
      </c>
      <c r="L4622" s="149" t="s">
        <v>3197</v>
      </c>
      <c r="M4622" s="151">
        <v>66.760000000000005</v>
      </c>
    </row>
    <row r="4623" spans="1:13" s="149" customFormat="1" x14ac:dyDescent="0.25">
      <c r="A4623" s="149" t="s">
        <v>7640</v>
      </c>
      <c r="B4623" s="149" t="s">
        <v>3198</v>
      </c>
      <c r="C4623" s="149">
        <v>11</v>
      </c>
      <c r="D4623" s="149">
        <v>430</v>
      </c>
      <c r="E4623" s="149">
        <v>0</v>
      </c>
      <c r="F4623" s="149">
        <v>704700</v>
      </c>
      <c r="G4623" s="149">
        <v>52315</v>
      </c>
      <c r="H4623" s="150" t="str">
        <f t="shared" si="216"/>
        <v>5</v>
      </c>
      <c r="I4623" s="150" t="str">
        <f t="shared" si="217"/>
        <v>52</v>
      </c>
      <c r="J4623" s="150" t="str">
        <f t="shared" si="218"/>
        <v>523</v>
      </c>
      <c r="K4623" s="150" t="s">
        <v>7848</v>
      </c>
      <c r="L4623" s="149" t="s">
        <v>3199</v>
      </c>
      <c r="M4623" s="151">
        <v>1571</v>
      </c>
    </row>
    <row r="4624" spans="1:13" s="149" customFormat="1" x14ac:dyDescent="0.25">
      <c r="A4624" s="149" t="s">
        <v>7640</v>
      </c>
      <c r="B4624" s="149" t="s">
        <v>3200</v>
      </c>
      <c r="C4624" s="149">
        <v>11</v>
      </c>
      <c r="D4624" s="149">
        <v>430</v>
      </c>
      <c r="E4624" s="149">
        <v>0</v>
      </c>
      <c r="F4624" s="149">
        <v>704700</v>
      </c>
      <c r="G4624" s="149">
        <v>53620</v>
      </c>
      <c r="H4624" s="150" t="str">
        <f t="shared" si="216"/>
        <v>5</v>
      </c>
      <c r="I4624" s="150" t="str">
        <f t="shared" si="217"/>
        <v>53</v>
      </c>
      <c r="J4624" s="150" t="str">
        <f t="shared" si="218"/>
        <v>536</v>
      </c>
      <c r="K4624" s="150" t="s">
        <v>9500</v>
      </c>
      <c r="L4624" s="149" t="s">
        <v>3201</v>
      </c>
      <c r="M4624" s="151">
        <v>29.7</v>
      </c>
    </row>
    <row r="4625" spans="1:13" s="149" customFormat="1" x14ac:dyDescent="0.25">
      <c r="A4625" s="149" t="s">
        <v>7640</v>
      </c>
      <c r="B4625" s="149" t="s">
        <v>3202</v>
      </c>
      <c r="C4625" s="149">
        <v>11</v>
      </c>
      <c r="D4625" s="149">
        <v>440</v>
      </c>
      <c r="E4625" s="149">
        <v>0</v>
      </c>
      <c r="F4625" s="149">
        <v>493032</v>
      </c>
      <c r="G4625" s="149">
        <v>51210</v>
      </c>
      <c r="H4625" s="150" t="str">
        <f t="shared" si="216"/>
        <v>5</v>
      </c>
      <c r="I4625" s="150" t="str">
        <f t="shared" si="217"/>
        <v>51</v>
      </c>
      <c r="J4625" s="150" t="str">
        <f t="shared" si="218"/>
        <v>512</v>
      </c>
      <c r="K4625" s="150" t="s">
        <v>9501</v>
      </c>
      <c r="L4625" s="149" t="s">
        <v>3203</v>
      </c>
      <c r="M4625" s="151">
        <v>58113.45</v>
      </c>
    </row>
    <row r="4626" spans="1:13" s="149" customFormat="1" x14ac:dyDescent="0.25">
      <c r="A4626" s="149" t="s">
        <v>7640</v>
      </c>
      <c r="B4626" s="149" t="s">
        <v>3204</v>
      </c>
      <c r="C4626" s="149">
        <v>11</v>
      </c>
      <c r="D4626" s="149">
        <v>440</v>
      </c>
      <c r="E4626" s="149">
        <v>0</v>
      </c>
      <c r="F4626" s="149">
        <v>493032</v>
      </c>
      <c r="G4626" s="149">
        <v>51311</v>
      </c>
      <c r="H4626" s="150" t="str">
        <f t="shared" si="216"/>
        <v>5</v>
      </c>
      <c r="I4626" s="150" t="str">
        <f t="shared" si="217"/>
        <v>51</v>
      </c>
      <c r="J4626" s="150" t="str">
        <f t="shared" si="218"/>
        <v>513</v>
      </c>
      <c r="K4626" s="150" t="s">
        <v>7771</v>
      </c>
      <c r="L4626" s="149" t="s">
        <v>3205</v>
      </c>
      <c r="M4626" s="151">
        <v>0</v>
      </c>
    </row>
    <row r="4627" spans="1:13" s="149" customFormat="1" x14ac:dyDescent="0.25">
      <c r="A4627" s="149" t="s">
        <v>7640</v>
      </c>
      <c r="B4627" s="149" t="s">
        <v>3206</v>
      </c>
      <c r="C4627" s="149">
        <v>11</v>
      </c>
      <c r="D4627" s="149">
        <v>440</v>
      </c>
      <c r="E4627" s="149">
        <v>0</v>
      </c>
      <c r="F4627" s="149">
        <v>493032</v>
      </c>
      <c r="G4627" s="149">
        <v>51411</v>
      </c>
      <c r="H4627" s="150" t="str">
        <f t="shared" si="216"/>
        <v>5</v>
      </c>
      <c r="I4627" s="150" t="str">
        <f t="shared" si="217"/>
        <v>51</v>
      </c>
      <c r="J4627" s="150" t="str">
        <f t="shared" si="218"/>
        <v>514</v>
      </c>
      <c r="K4627" s="150" t="s">
        <v>7779</v>
      </c>
      <c r="L4627" s="149" t="s">
        <v>3207</v>
      </c>
      <c r="M4627" s="151">
        <v>0</v>
      </c>
    </row>
    <row r="4628" spans="1:13" s="149" customFormat="1" x14ac:dyDescent="0.25">
      <c r="A4628" s="149" t="s">
        <v>7640</v>
      </c>
      <c r="B4628" s="149" t="s">
        <v>3208</v>
      </c>
      <c r="C4628" s="149">
        <v>11</v>
      </c>
      <c r="D4628" s="149">
        <v>440</v>
      </c>
      <c r="E4628" s="149">
        <v>0</v>
      </c>
      <c r="F4628" s="149">
        <v>493032</v>
      </c>
      <c r="G4628" s="149">
        <v>52400</v>
      </c>
      <c r="H4628" s="150" t="str">
        <f t="shared" si="216"/>
        <v>5</v>
      </c>
      <c r="I4628" s="150" t="str">
        <f t="shared" si="217"/>
        <v>52</v>
      </c>
      <c r="J4628" s="150" t="str">
        <f t="shared" si="218"/>
        <v>524</v>
      </c>
      <c r="K4628" s="150" t="s">
        <v>7892</v>
      </c>
      <c r="L4628" s="149" t="s">
        <v>3209</v>
      </c>
      <c r="M4628" s="151">
        <v>629</v>
      </c>
    </row>
    <row r="4629" spans="1:13" s="149" customFormat="1" x14ac:dyDescent="0.25">
      <c r="A4629" s="149" t="s">
        <v>7640</v>
      </c>
      <c r="B4629" s="149" t="s">
        <v>3210</v>
      </c>
      <c r="C4629" s="149">
        <v>11</v>
      </c>
      <c r="D4629" s="149">
        <v>440</v>
      </c>
      <c r="E4629" s="149">
        <v>0</v>
      </c>
      <c r="F4629" s="149">
        <v>493032</v>
      </c>
      <c r="G4629" s="149">
        <v>52420</v>
      </c>
      <c r="H4629" s="150" t="str">
        <f t="shared" si="216"/>
        <v>5</v>
      </c>
      <c r="I4629" s="150" t="str">
        <f t="shared" si="217"/>
        <v>52</v>
      </c>
      <c r="J4629" s="150" t="str">
        <f t="shared" si="218"/>
        <v>524</v>
      </c>
      <c r="K4629" s="150" t="s">
        <v>7895</v>
      </c>
      <c r="L4629" s="149" t="s">
        <v>3211</v>
      </c>
      <c r="M4629" s="151">
        <v>0</v>
      </c>
    </row>
    <row r="4630" spans="1:13" s="149" customFormat="1" x14ac:dyDescent="0.25">
      <c r="A4630" s="149" t="s">
        <v>7640</v>
      </c>
      <c r="B4630" s="149" t="s">
        <v>3212</v>
      </c>
      <c r="C4630" s="149">
        <v>11</v>
      </c>
      <c r="D4630" s="149">
        <v>440</v>
      </c>
      <c r="E4630" s="149">
        <v>0</v>
      </c>
      <c r="F4630" s="149">
        <v>493032</v>
      </c>
      <c r="G4630" s="149">
        <v>53110</v>
      </c>
      <c r="H4630" s="150" t="str">
        <f t="shared" si="216"/>
        <v>5</v>
      </c>
      <c r="I4630" s="150" t="str">
        <f t="shared" si="217"/>
        <v>53</v>
      </c>
      <c r="J4630" s="150" t="str">
        <f t="shared" si="218"/>
        <v>531</v>
      </c>
      <c r="K4630" s="150" t="s">
        <v>9502</v>
      </c>
      <c r="L4630" s="149" t="s">
        <v>3213</v>
      </c>
      <c r="M4630" s="151">
        <v>0</v>
      </c>
    </row>
    <row r="4631" spans="1:13" s="149" customFormat="1" x14ac:dyDescent="0.25">
      <c r="A4631" s="149" t="s">
        <v>7640</v>
      </c>
      <c r="B4631" s="149" t="s">
        <v>3214</v>
      </c>
      <c r="C4631" s="149">
        <v>11</v>
      </c>
      <c r="D4631" s="149">
        <v>440</v>
      </c>
      <c r="E4631" s="149">
        <v>0</v>
      </c>
      <c r="F4631" s="149">
        <v>493032</v>
      </c>
      <c r="G4631" s="149">
        <v>53120</v>
      </c>
      <c r="H4631" s="150" t="str">
        <f t="shared" si="216"/>
        <v>5</v>
      </c>
      <c r="I4631" s="150" t="str">
        <f t="shared" si="217"/>
        <v>53</v>
      </c>
      <c r="J4631" s="150" t="str">
        <f t="shared" si="218"/>
        <v>531</v>
      </c>
      <c r="K4631" s="150" t="s">
        <v>9503</v>
      </c>
      <c r="L4631" s="149" t="s">
        <v>3215</v>
      </c>
      <c r="M4631" s="151">
        <v>9385.32</v>
      </c>
    </row>
    <row r="4632" spans="1:13" s="149" customFormat="1" x14ac:dyDescent="0.25">
      <c r="A4632" s="149" t="s">
        <v>7640</v>
      </c>
      <c r="B4632" s="149" t="s">
        <v>3216</v>
      </c>
      <c r="C4632" s="149">
        <v>11</v>
      </c>
      <c r="D4632" s="149">
        <v>440</v>
      </c>
      <c r="E4632" s="149">
        <v>0</v>
      </c>
      <c r="F4632" s="149">
        <v>493032</v>
      </c>
      <c r="G4632" s="149">
        <v>53310</v>
      </c>
      <c r="H4632" s="150" t="str">
        <f t="shared" si="216"/>
        <v>5</v>
      </c>
      <c r="I4632" s="150" t="str">
        <f t="shared" si="217"/>
        <v>53</v>
      </c>
      <c r="J4632" s="150" t="str">
        <f t="shared" si="218"/>
        <v>533</v>
      </c>
      <c r="K4632" s="150" t="s">
        <v>9504</v>
      </c>
      <c r="L4632" s="149" t="s">
        <v>3217</v>
      </c>
      <c r="M4632" s="151">
        <v>38.99</v>
      </c>
    </row>
    <row r="4633" spans="1:13" s="149" customFormat="1" x14ac:dyDescent="0.25">
      <c r="A4633" s="149" t="s">
        <v>7640</v>
      </c>
      <c r="B4633" s="149" t="s">
        <v>3218</v>
      </c>
      <c r="C4633" s="149">
        <v>11</v>
      </c>
      <c r="D4633" s="149">
        <v>440</v>
      </c>
      <c r="E4633" s="149">
        <v>0</v>
      </c>
      <c r="F4633" s="149">
        <v>493032</v>
      </c>
      <c r="G4633" s="149">
        <v>53320</v>
      </c>
      <c r="H4633" s="150" t="str">
        <f t="shared" si="216"/>
        <v>5</v>
      </c>
      <c r="I4633" s="150" t="str">
        <f t="shared" si="217"/>
        <v>53</v>
      </c>
      <c r="J4633" s="150" t="str">
        <f t="shared" si="218"/>
        <v>533</v>
      </c>
      <c r="K4633" s="150" t="s">
        <v>9505</v>
      </c>
      <c r="L4633" s="149" t="s">
        <v>3219</v>
      </c>
      <c r="M4633" s="151">
        <v>0</v>
      </c>
    </row>
    <row r="4634" spans="1:13" s="149" customFormat="1" x14ac:dyDescent="0.25">
      <c r="A4634" s="149" t="s">
        <v>7640</v>
      </c>
      <c r="B4634" s="149" t="s">
        <v>3220</v>
      </c>
      <c r="C4634" s="149">
        <v>11</v>
      </c>
      <c r="D4634" s="149">
        <v>440</v>
      </c>
      <c r="E4634" s="149">
        <v>0</v>
      </c>
      <c r="F4634" s="149">
        <v>493032</v>
      </c>
      <c r="G4634" s="149">
        <v>53330</v>
      </c>
      <c r="H4634" s="150" t="str">
        <f t="shared" si="216"/>
        <v>5</v>
      </c>
      <c r="I4634" s="150" t="str">
        <f t="shared" si="217"/>
        <v>53</v>
      </c>
      <c r="J4634" s="150" t="str">
        <f t="shared" si="218"/>
        <v>533</v>
      </c>
      <c r="K4634" s="150" t="s">
        <v>9506</v>
      </c>
      <c r="L4634" s="149" t="s">
        <v>3221</v>
      </c>
      <c r="M4634" s="151">
        <v>9.1199999999999992</v>
      </c>
    </row>
    <row r="4635" spans="1:13" s="149" customFormat="1" x14ac:dyDescent="0.25">
      <c r="A4635" s="149" t="s">
        <v>7640</v>
      </c>
      <c r="B4635" s="149" t="s">
        <v>3222</v>
      </c>
      <c r="C4635" s="149">
        <v>11</v>
      </c>
      <c r="D4635" s="149">
        <v>440</v>
      </c>
      <c r="E4635" s="149">
        <v>0</v>
      </c>
      <c r="F4635" s="149">
        <v>493032</v>
      </c>
      <c r="G4635" s="149">
        <v>53340</v>
      </c>
      <c r="H4635" s="150" t="str">
        <f t="shared" si="216"/>
        <v>5</v>
      </c>
      <c r="I4635" s="150" t="str">
        <f t="shared" si="217"/>
        <v>53</v>
      </c>
      <c r="J4635" s="150" t="str">
        <f t="shared" si="218"/>
        <v>533</v>
      </c>
      <c r="K4635" s="150" t="s">
        <v>9507</v>
      </c>
      <c r="L4635" s="149" t="s">
        <v>3223</v>
      </c>
      <c r="M4635" s="151">
        <v>822.75</v>
      </c>
    </row>
    <row r="4636" spans="1:13" s="149" customFormat="1" x14ac:dyDescent="0.25">
      <c r="A4636" s="149" t="s">
        <v>7640</v>
      </c>
      <c r="B4636" s="149" t="s">
        <v>3224</v>
      </c>
      <c r="C4636" s="149">
        <v>11</v>
      </c>
      <c r="D4636" s="149">
        <v>440</v>
      </c>
      <c r="E4636" s="149">
        <v>0</v>
      </c>
      <c r="F4636" s="149">
        <v>493032</v>
      </c>
      <c r="G4636" s="149">
        <v>53420</v>
      </c>
      <c r="H4636" s="150" t="str">
        <f t="shared" si="216"/>
        <v>5</v>
      </c>
      <c r="I4636" s="150" t="str">
        <f t="shared" si="217"/>
        <v>53</v>
      </c>
      <c r="J4636" s="150" t="str">
        <f t="shared" si="218"/>
        <v>534</v>
      </c>
      <c r="K4636" s="150" t="s">
        <v>9508</v>
      </c>
      <c r="L4636" s="149" t="s">
        <v>3225</v>
      </c>
      <c r="M4636" s="151">
        <v>6435.81</v>
      </c>
    </row>
    <row r="4637" spans="1:13" s="149" customFormat="1" x14ac:dyDescent="0.25">
      <c r="A4637" s="149" t="s">
        <v>7640</v>
      </c>
      <c r="B4637" s="149" t="s">
        <v>3226</v>
      </c>
      <c r="C4637" s="149">
        <v>11</v>
      </c>
      <c r="D4637" s="149">
        <v>440</v>
      </c>
      <c r="E4637" s="149">
        <v>0</v>
      </c>
      <c r="F4637" s="149">
        <v>493032</v>
      </c>
      <c r="G4637" s="149">
        <v>53510</v>
      </c>
      <c r="H4637" s="150" t="str">
        <f t="shared" si="216"/>
        <v>5</v>
      </c>
      <c r="I4637" s="150" t="str">
        <f t="shared" si="217"/>
        <v>53</v>
      </c>
      <c r="J4637" s="150" t="str">
        <f t="shared" si="218"/>
        <v>535</v>
      </c>
      <c r="K4637" s="150" t="s">
        <v>9509</v>
      </c>
      <c r="L4637" s="149" t="s">
        <v>3227</v>
      </c>
      <c r="M4637" s="151">
        <v>0.32</v>
      </c>
    </row>
    <row r="4638" spans="1:13" s="149" customFormat="1" x14ac:dyDescent="0.25">
      <c r="A4638" s="149" t="s">
        <v>7640</v>
      </c>
      <c r="B4638" s="149" t="s">
        <v>3228</v>
      </c>
      <c r="C4638" s="149">
        <v>11</v>
      </c>
      <c r="D4638" s="149">
        <v>440</v>
      </c>
      <c r="E4638" s="149">
        <v>0</v>
      </c>
      <c r="F4638" s="149">
        <v>493032</v>
      </c>
      <c r="G4638" s="149">
        <v>53520</v>
      </c>
      <c r="H4638" s="150" t="str">
        <f t="shared" si="216"/>
        <v>5</v>
      </c>
      <c r="I4638" s="150" t="str">
        <f t="shared" si="217"/>
        <v>53</v>
      </c>
      <c r="J4638" s="150" t="str">
        <f t="shared" si="218"/>
        <v>535</v>
      </c>
      <c r="K4638" s="150" t="s">
        <v>9510</v>
      </c>
      <c r="L4638" s="149" t="s">
        <v>3229</v>
      </c>
      <c r="M4638" s="151">
        <v>28.37</v>
      </c>
    </row>
    <row r="4639" spans="1:13" s="149" customFormat="1" x14ac:dyDescent="0.25">
      <c r="A4639" s="149" t="s">
        <v>7640</v>
      </c>
      <c r="B4639" s="149" t="s">
        <v>3230</v>
      </c>
      <c r="C4639" s="149">
        <v>11</v>
      </c>
      <c r="D4639" s="149">
        <v>440</v>
      </c>
      <c r="E4639" s="149">
        <v>0</v>
      </c>
      <c r="F4639" s="149">
        <v>493032</v>
      </c>
      <c r="G4639" s="149">
        <v>53610</v>
      </c>
      <c r="H4639" s="150" t="str">
        <f t="shared" si="216"/>
        <v>5</v>
      </c>
      <c r="I4639" s="150" t="str">
        <f t="shared" si="217"/>
        <v>53</v>
      </c>
      <c r="J4639" s="150" t="str">
        <f t="shared" si="218"/>
        <v>536</v>
      </c>
      <c r="K4639" s="150" t="s">
        <v>9511</v>
      </c>
      <c r="L4639" s="149" t="s">
        <v>3231</v>
      </c>
      <c r="M4639" s="151">
        <v>11.9</v>
      </c>
    </row>
    <row r="4640" spans="1:13" s="149" customFormat="1" x14ac:dyDescent="0.25">
      <c r="A4640" s="149" t="s">
        <v>7640</v>
      </c>
      <c r="B4640" s="149" t="s">
        <v>3232</v>
      </c>
      <c r="C4640" s="149">
        <v>11</v>
      </c>
      <c r="D4640" s="149">
        <v>440</v>
      </c>
      <c r="E4640" s="149">
        <v>0</v>
      </c>
      <c r="F4640" s="149">
        <v>493032</v>
      </c>
      <c r="G4640" s="149">
        <v>53620</v>
      </c>
      <c r="H4640" s="150" t="str">
        <f t="shared" si="216"/>
        <v>5</v>
      </c>
      <c r="I4640" s="150" t="str">
        <f t="shared" si="217"/>
        <v>53</v>
      </c>
      <c r="J4640" s="150" t="str">
        <f t="shared" si="218"/>
        <v>536</v>
      </c>
      <c r="K4640" s="150" t="s">
        <v>9512</v>
      </c>
      <c r="L4640" s="149" t="s">
        <v>3233</v>
      </c>
      <c r="M4640" s="151">
        <v>1098.81</v>
      </c>
    </row>
    <row r="4641" spans="1:13" s="149" customFormat="1" x14ac:dyDescent="0.25">
      <c r="A4641" s="149" t="s">
        <v>7640</v>
      </c>
      <c r="B4641" s="149" t="s">
        <v>3234</v>
      </c>
      <c r="C4641" s="149">
        <v>11</v>
      </c>
      <c r="D4641" s="149">
        <v>440</v>
      </c>
      <c r="E4641" s="149">
        <v>0</v>
      </c>
      <c r="F4641" s="149">
        <v>493032</v>
      </c>
      <c r="G4641" s="149">
        <v>54300</v>
      </c>
      <c r="H4641" s="150" t="str">
        <f t="shared" si="216"/>
        <v>5</v>
      </c>
      <c r="I4641" s="150" t="str">
        <f t="shared" si="217"/>
        <v>54</v>
      </c>
      <c r="J4641" s="150" t="str">
        <f t="shared" si="218"/>
        <v>543</v>
      </c>
      <c r="K4641" s="150" t="s">
        <v>7981</v>
      </c>
      <c r="L4641" s="149" t="s">
        <v>3235</v>
      </c>
      <c r="M4641" s="151">
        <v>0</v>
      </c>
    </row>
    <row r="4642" spans="1:13" s="149" customFormat="1" x14ac:dyDescent="0.25">
      <c r="A4642" s="149" t="s">
        <v>7640</v>
      </c>
      <c r="B4642" s="149" t="s">
        <v>3236</v>
      </c>
      <c r="C4642" s="149">
        <v>11</v>
      </c>
      <c r="D4642" s="149">
        <v>440</v>
      </c>
      <c r="E4642" s="149">
        <v>0</v>
      </c>
      <c r="F4642" s="149">
        <v>493032</v>
      </c>
      <c r="G4642" s="149">
        <v>55105</v>
      </c>
      <c r="H4642" s="150" t="str">
        <f t="shared" si="216"/>
        <v>5</v>
      </c>
      <c r="I4642" s="150" t="str">
        <f t="shared" si="217"/>
        <v>55</v>
      </c>
      <c r="J4642" s="150" t="str">
        <f t="shared" si="218"/>
        <v>551</v>
      </c>
      <c r="K4642" s="150" t="s">
        <v>8021</v>
      </c>
      <c r="L4642" s="149" t="s">
        <v>3237</v>
      </c>
      <c r="M4642" s="151">
        <v>0</v>
      </c>
    </row>
    <row r="4643" spans="1:13" s="149" customFormat="1" x14ac:dyDescent="0.25">
      <c r="A4643" s="149" t="s">
        <v>7640</v>
      </c>
      <c r="B4643" s="149" t="s">
        <v>3238</v>
      </c>
      <c r="C4643" s="149">
        <v>11</v>
      </c>
      <c r="D4643" s="149">
        <v>440</v>
      </c>
      <c r="E4643" s="149">
        <v>0</v>
      </c>
      <c r="F4643" s="149">
        <v>493032</v>
      </c>
      <c r="G4643" s="149">
        <v>55200</v>
      </c>
      <c r="H4643" s="150" t="str">
        <f t="shared" si="216"/>
        <v>5</v>
      </c>
      <c r="I4643" s="150" t="str">
        <f t="shared" si="217"/>
        <v>55</v>
      </c>
      <c r="J4643" s="150" t="str">
        <f t="shared" si="218"/>
        <v>552</v>
      </c>
      <c r="K4643" s="150" t="s">
        <v>8070</v>
      </c>
      <c r="L4643" s="149" t="s">
        <v>3239</v>
      </c>
      <c r="M4643" s="151">
        <v>0</v>
      </c>
    </row>
    <row r="4644" spans="1:13" s="149" customFormat="1" x14ac:dyDescent="0.25">
      <c r="A4644" s="149" t="s">
        <v>7640</v>
      </c>
      <c r="B4644" s="149" t="s">
        <v>3240</v>
      </c>
      <c r="C4644" s="149">
        <v>11</v>
      </c>
      <c r="D4644" s="149">
        <v>440</v>
      </c>
      <c r="E4644" s="149">
        <v>0</v>
      </c>
      <c r="F4644" s="149">
        <v>493032</v>
      </c>
      <c r="G4644" s="149">
        <v>55309</v>
      </c>
      <c r="H4644" s="150" t="str">
        <f t="shared" si="216"/>
        <v>5</v>
      </c>
      <c r="I4644" s="150" t="str">
        <f t="shared" si="217"/>
        <v>55</v>
      </c>
      <c r="J4644" s="150" t="str">
        <f t="shared" si="218"/>
        <v>553</v>
      </c>
      <c r="K4644" s="150" t="s">
        <v>8112</v>
      </c>
      <c r="L4644" s="149" t="s">
        <v>3241</v>
      </c>
      <c r="M4644" s="151">
        <v>0</v>
      </c>
    </row>
    <row r="4645" spans="1:13" s="149" customFormat="1" x14ac:dyDescent="0.25">
      <c r="A4645" s="149" t="s">
        <v>7640</v>
      </c>
      <c r="B4645" s="149" t="s">
        <v>3242</v>
      </c>
      <c r="C4645" s="149">
        <v>11</v>
      </c>
      <c r="D4645" s="149">
        <v>440</v>
      </c>
      <c r="E4645" s="149">
        <v>0</v>
      </c>
      <c r="F4645" s="149">
        <v>493032</v>
      </c>
      <c r="G4645" s="149">
        <v>55630</v>
      </c>
      <c r="H4645" s="150" t="str">
        <f t="shared" si="216"/>
        <v>5</v>
      </c>
      <c r="I4645" s="150" t="str">
        <f t="shared" si="217"/>
        <v>55</v>
      </c>
      <c r="J4645" s="150" t="str">
        <f t="shared" si="218"/>
        <v>556</v>
      </c>
      <c r="K4645" s="150" t="s">
        <v>8272</v>
      </c>
      <c r="L4645" s="149" t="s">
        <v>3243</v>
      </c>
      <c r="M4645" s="151">
        <v>277.11</v>
      </c>
    </row>
    <row r="4646" spans="1:13" s="149" customFormat="1" x14ac:dyDescent="0.25">
      <c r="A4646" s="149" t="s">
        <v>7640</v>
      </c>
      <c r="B4646" s="149" t="s">
        <v>3244</v>
      </c>
      <c r="C4646" s="149">
        <v>11</v>
      </c>
      <c r="D4646" s="149">
        <v>440</v>
      </c>
      <c r="E4646" s="149">
        <v>0</v>
      </c>
      <c r="F4646" s="149">
        <v>701021</v>
      </c>
      <c r="G4646" s="149">
        <v>55105</v>
      </c>
      <c r="H4646" s="150" t="str">
        <f t="shared" si="216"/>
        <v>5</v>
      </c>
      <c r="I4646" s="150" t="str">
        <f t="shared" si="217"/>
        <v>55</v>
      </c>
      <c r="J4646" s="150" t="str">
        <f t="shared" si="218"/>
        <v>551</v>
      </c>
      <c r="K4646" s="150" t="s">
        <v>8022</v>
      </c>
      <c r="L4646" s="149" t="s">
        <v>3245</v>
      </c>
      <c r="M4646" s="151">
        <v>15000</v>
      </c>
    </row>
    <row r="4647" spans="1:13" s="149" customFormat="1" x14ac:dyDescent="0.25">
      <c r="A4647" s="149" t="s">
        <v>7640</v>
      </c>
      <c r="B4647" s="149" t="s">
        <v>3246</v>
      </c>
      <c r="C4647" s="149">
        <v>11</v>
      </c>
      <c r="D4647" s="149">
        <v>500</v>
      </c>
      <c r="E4647" s="149">
        <v>0</v>
      </c>
      <c r="F4647" s="149">
        <v>673000</v>
      </c>
      <c r="G4647" s="149">
        <v>52120</v>
      </c>
      <c r="H4647" s="150" t="str">
        <f t="shared" si="216"/>
        <v>5</v>
      </c>
      <c r="I4647" s="150" t="str">
        <f t="shared" si="217"/>
        <v>52</v>
      </c>
      <c r="J4647" s="150" t="str">
        <f t="shared" si="218"/>
        <v>521</v>
      </c>
      <c r="K4647" s="150" t="s">
        <v>9513</v>
      </c>
      <c r="L4647" s="149" t="s">
        <v>3247</v>
      </c>
      <c r="M4647" s="151">
        <v>326479.42</v>
      </c>
    </row>
    <row r="4648" spans="1:13" s="149" customFormat="1" x14ac:dyDescent="0.25">
      <c r="A4648" s="149" t="s">
        <v>7640</v>
      </c>
      <c r="B4648" s="149" t="s">
        <v>3248</v>
      </c>
      <c r="C4648" s="149">
        <v>11</v>
      </c>
      <c r="D4648" s="149">
        <v>500</v>
      </c>
      <c r="E4648" s="149">
        <v>0</v>
      </c>
      <c r="F4648" s="149">
        <v>673000</v>
      </c>
      <c r="G4648" s="149">
        <v>52130</v>
      </c>
      <c r="H4648" s="150" t="str">
        <f t="shared" si="216"/>
        <v>5</v>
      </c>
      <c r="I4648" s="150" t="str">
        <f t="shared" si="217"/>
        <v>52</v>
      </c>
      <c r="J4648" s="150" t="str">
        <f t="shared" si="218"/>
        <v>521</v>
      </c>
      <c r="K4648" s="150" t="s">
        <v>9514</v>
      </c>
      <c r="L4648" s="149" t="s">
        <v>3249</v>
      </c>
      <c r="M4648" s="151">
        <v>135542.95000000001</v>
      </c>
    </row>
    <row r="4649" spans="1:13" s="149" customFormat="1" x14ac:dyDescent="0.25">
      <c r="A4649" s="149" t="s">
        <v>7640</v>
      </c>
      <c r="B4649" s="149" t="s">
        <v>3250</v>
      </c>
      <c r="C4649" s="149">
        <v>11</v>
      </c>
      <c r="D4649" s="149">
        <v>500</v>
      </c>
      <c r="E4649" s="149">
        <v>0</v>
      </c>
      <c r="F4649" s="149">
        <v>673000</v>
      </c>
      <c r="G4649" s="149">
        <v>52300</v>
      </c>
      <c r="H4649" s="150" t="str">
        <f t="shared" si="216"/>
        <v>5</v>
      </c>
      <c r="I4649" s="150" t="str">
        <f t="shared" si="217"/>
        <v>52</v>
      </c>
      <c r="J4649" s="150" t="str">
        <f t="shared" si="218"/>
        <v>523</v>
      </c>
      <c r="K4649" s="150" t="s">
        <v>7842</v>
      </c>
      <c r="L4649" s="149" t="s">
        <v>3251</v>
      </c>
      <c r="M4649" s="151">
        <v>35156.04</v>
      </c>
    </row>
    <row r="4650" spans="1:13" s="149" customFormat="1" x14ac:dyDescent="0.25">
      <c r="A4650" s="149" t="s">
        <v>7640</v>
      </c>
      <c r="B4650" s="149" t="s">
        <v>3252</v>
      </c>
      <c r="C4650" s="149">
        <v>11</v>
      </c>
      <c r="D4650" s="149">
        <v>500</v>
      </c>
      <c r="E4650" s="149">
        <v>0</v>
      </c>
      <c r="F4650" s="149">
        <v>673000</v>
      </c>
      <c r="G4650" s="149">
        <v>52360</v>
      </c>
      <c r="H4650" s="150" t="str">
        <f t="shared" si="216"/>
        <v>5</v>
      </c>
      <c r="I4650" s="150" t="str">
        <f t="shared" si="217"/>
        <v>52</v>
      </c>
      <c r="J4650" s="150" t="str">
        <f t="shared" si="218"/>
        <v>523</v>
      </c>
      <c r="K4650" s="150" t="s">
        <v>7885</v>
      </c>
      <c r="L4650" s="149" t="s">
        <v>3253</v>
      </c>
      <c r="M4650" s="151">
        <v>25605.56</v>
      </c>
    </row>
    <row r="4651" spans="1:13" s="149" customFormat="1" x14ac:dyDescent="0.25">
      <c r="A4651" s="149" t="s">
        <v>7640</v>
      </c>
      <c r="B4651" s="149" t="s">
        <v>3254</v>
      </c>
      <c r="C4651" s="149">
        <v>11</v>
      </c>
      <c r="D4651" s="149">
        <v>500</v>
      </c>
      <c r="E4651" s="149">
        <v>0</v>
      </c>
      <c r="F4651" s="149">
        <v>673000</v>
      </c>
      <c r="G4651" s="149">
        <v>53220</v>
      </c>
      <c r="H4651" s="150" t="str">
        <f t="shared" si="216"/>
        <v>5</v>
      </c>
      <c r="I4651" s="150" t="str">
        <f t="shared" si="217"/>
        <v>53</v>
      </c>
      <c r="J4651" s="150" t="str">
        <f t="shared" si="218"/>
        <v>532</v>
      </c>
      <c r="K4651" s="150" t="s">
        <v>9515</v>
      </c>
      <c r="L4651" s="149" t="s">
        <v>3255</v>
      </c>
      <c r="M4651" s="151">
        <v>94022.46</v>
      </c>
    </row>
    <row r="4652" spans="1:13" s="149" customFormat="1" x14ac:dyDescent="0.25">
      <c r="A4652" s="149" t="s">
        <v>7640</v>
      </c>
      <c r="B4652" s="149" t="s">
        <v>3256</v>
      </c>
      <c r="C4652" s="149">
        <v>11</v>
      </c>
      <c r="D4652" s="149">
        <v>500</v>
      </c>
      <c r="E4652" s="149">
        <v>0</v>
      </c>
      <c r="F4652" s="149">
        <v>673000</v>
      </c>
      <c r="G4652" s="149">
        <v>53320</v>
      </c>
      <c r="H4652" s="150" t="str">
        <f t="shared" si="216"/>
        <v>5</v>
      </c>
      <c r="I4652" s="150" t="str">
        <f t="shared" si="217"/>
        <v>53</v>
      </c>
      <c r="J4652" s="150" t="str">
        <f t="shared" si="218"/>
        <v>533</v>
      </c>
      <c r="K4652" s="150" t="s">
        <v>9516</v>
      </c>
      <c r="L4652" s="149" t="s">
        <v>3257</v>
      </c>
      <c r="M4652" s="151">
        <v>31846.15</v>
      </c>
    </row>
    <row r="4653" spans="1:13" s="149" customFormat="1" x14ac:dyDescent="0.25">
      <c r="A4653" s="149" t="s">
        <v>7640</v>
      </c>
      <c r="B4653" s="149" t="s">
        <v>3258</v>
      </c>
      <c r="C4653" s="149">
        <v>11</v>
      </c>
      <c r="D4653" s="149">
        <v>500</v>
      </c>
      <c r="E4653" s="149">
        <v>0</v>
      </c>
      <c r="F4653" s="149">
        <v>673000</v>
      </c>
      <c r="G4653" s="149">
        <v>53340</v>
      </c>
      <c r="H4653" s="150" t="str">
        <f t="shared" si="216"/>
        <v>5</v>
      </c>
      <c r="I4653" s="150" t="str">
        <f t="shared" si="217"/>
        <v>53</v>
      </c>
      <c r="J4653" s="150" t="str">
        <f t="shared" si="218"/>
        <v>533</v>
      </c>
      <c r="K4653" s="150" t="s">
        <v>9517</v>
      </c>
      <c r="L4653" s="149" t="s">
        <v>3259</v>
      </c>
      <c r="M4653" s="151">
        <v>7542.52</v>
      </c>
    </row>
    <row r="4654" spans="1:13" s="149" customFormat="1" x14ac:dyDescent="0.25">
      <c r="A4654" s="149" t="s">
        <v>7640</v>
      </c>
      <c r="B4654" s="149" t="s">
        <v>3260</v>
      </c>
      <c r="C4654" s="149">
        <v>11</v>
      </c>
      <c r="D4654" s="149">
        <v>500</v>
      </c>
      <c r="E4654" s="149">
        <v>0</v>
      </c>
      <c r="F4654" s="149">
        <v>673000</v>
      </c>
      <c r="G4654" s="149">
        <v>53420</v>
      </c>
      <c r="H4654" s="150" t="str">
        <f t="shared" si="216"/>
        <v>5</v>
      </c>
      <c r="I4654" s="150" t="str">
        <f t="shared" si="217"/>
        <v>53</v>
      </c>
      <c r="J4654" s="150" t="str">
        <f t="shared" si="218"/>
        <v>534</v>
      </c>
      <c r="K4654" s="150" t="s">
        <v>9518</v>
      </c>
      <c r="L4654" s="149" t="s">
        <v>3261</v>
      </c>
      <c r="M4654" s="151">
        <v>103662.83</v>
      </c>
    </row>
    <row r="4655" spans="1:13" s="149" customFormat="1" x14ac:dyDescent="0.25">
      <c r="A4655" s="149" t="s">
        <v>7640</v>
      </c>
      <c r="B4655" s="149" t="s">
        <v>3262</v>
      </c>
      <c r="C4655" s="149">
        <v>11</v>
      </c>
      <c r="D4655" s="149">
        <v>500</v>
      </c>
      <c r="E4655" s="149">
        <v>0</v>
      </c>
      <c r="F4655" s="149">
        <v>673000</v>
      </c>
      <c r="G4655" s="149">
        <v>53520</v>
      </c>
      <c r="H4655" s="150" t="str">
        <f t="shared" si="216"/>
        <v>5</v>
      </c>
      <c r="I4655" s="150" t="str">
        <f t="shared" si="217"/>
        <v>53</v>
      </c>
      <c r="J4655" s="150" t="str">
        <f t="shared" si="218"/>
        <v>535</v>
      </c>
      <c r="K4655" s="150" t="s">
        <v>9519</v>
      </c>
      <c r="L4655" s="149" t="s">
        <v>3263</v>
      </c>
      <c r="M4655" s="151">
        <v>260.60000000000002</v>
      </c>
    </row>
    <row r="4656" spans="1:13" s="149" customFormat="1" x14ac:dyDescent="0.25">
      <c r="A4656" s="149" t="s">
        <v>7640</v>
      </c>
      <c r="B4656" s="149" t="s">
        <v>3264</v>
      </c>
      <c r="C4656" s="149">
        <v>11</v>
      </c>
      <c r="D4656" s="149">
        <v>500</v>
      </c>
      <c r="E4656" s="149">
        <v>0</v>
      </c>
      <c r="F4656" s="149">
        <v>673000</v>
      </c>
      <c r="G4656" s="149">
        <v>53620</v>
      </c>
      <c r="H4656" s="150" t="str">
        <f t="shared" si="216"/>
        <v>5</v>
      </c>
      <c r="I4656" s="150" t="str">
        <f t="shared" si="217"/>
        <v>53</v>
      </c>
      <c r="J4656" s="150" t="str">
        <f t="shared" si="218"/>
        <v>536</v>
      </c>
      <c r="K4656" s="150" t="s">
        <v>9520</v>
      </c>
      <c r="L4656" s="149" t="s">
        <v>3265</v>
      </c>
      <c r="M4656" s="151">
        <v>9884.84</v>
      </c>
    </row>
    <row r="4657" spans="1:13" s="149" customFormat="1" x14ac:dyDescent="0.25">
      <c r="A4657" s="149" t="s">
        <v>7640</v>
      </c>
      <c r="B4657" s="149" t="s">
        <v>3266</v>
      </c>
      <c r="C4657" s="149">
        <v>11</v>
      </c>
      <c r="D4657" s="149">
        <v>500</v>
      </c>
      <c r="E4657" s="149">
        <v>0</v>
      </c>
      <c r="F4657" s="149">
        <v>673000</v>
      </c>
      <c r="G4657" s="149">
        <v>53920</v>
      </c>
      <c r="H4657" s="150" t="str">
        <f t="shared" si="216"/>
        <v>5</v>
      </c>
      <c r="I4657" s="150" t="str">
        <f t="shared" si="217"/>
        <v>53</v>
      </c>
      <c r="J4657" s="150" t="str">
        <f t="shared" si="218"/>
        <v>539</v>
      </c>
      <c r="K4657" s="150" t="s">
        <v>9521</v>
      </c>
      <c r="L4657" s="149" t="s">
        <v>3267</v>
      </c>
      <c r="M4657" s="151">
        <v>7448.84</v>
      </c>
    </row>
    <row r="4658" spans="1:13" s="149" customFormat="1" x14ac:dyDescent="0.25">
      <c r="A4658" s="149" t="s">
        <v>7640</v>
      </c>
      <c r="B4658" s="149" t="s">
        <v>3268</v>
      </c>
      <c r="C4658" s="149">
        <v>11</v>
      </c>
      <c r="D4658" s="149">
        <v>500</v>
      </c>
      <c r="E4658" s="149">
        <v>0</v>
      </c>
      <c r="F4658" s="149">
        <v>673000</v>
      </c>
      <c r="G4658" s="149">
        <v>54300</v>
      </c>
      <c r="H4658" s="150" t="str">
        <f t="shared" si="216"/>
        <v>5</v>
      </c>
      <c r="I4658" s="150" t="str">
        <f t="shared" si="217"/>
        <v>54</v>
      </c>
      <c r="J4658" s="150" t="str">
        <f t="shared" si="218"/>
        <v>543</v>
      </c>
      <c r="K4658" s="150" t="s">
        <v>7982</v>
      </c>
      <c r="L4658" s="149" t="s">
        <v>3269</v>
      </c>
      <c r="M4658" s="151">
        <v>969.75</v>
      </c>
    </row>
    <row r="4659" spans="1:13" s="149" customFormat="1" x14ac:dyDescent="0.25">
      <c r="A4659" s="149" t="s">
        <v>7640</v>
      </c>
      <c r="B4659" s="149" t="s">
        <v>3270</v>
      </c>
      <c r="C4659" s="149">
        <v>11</v>
      </c>
      <c r="D4659" s="149">
        <v>500</v>
      </c>
      <c r="E4659" s="149">
        <v>0</v>
      </c>
      <c r="F4659" s="149">
        <v>673000</v>
      </c>
      <c r="G4659" s="149">
        <v>55105</v>
      </c>
      <c r="H4659" s="150" t="str">
        <f t="shared" si="216"/>
        <v>5</v>
      </c>
      <c r="I4659" s="150" t="str">
        <f t="shared" si="217"/>
        <v>55</v>
      </c>
      <c r="J4659" s="150" t="str">
        <f t="shared" si="218"/>
        <v>551</v>
      </c>
      <c r="K4659" s="150" t="s">
        <v>8023</v>
      </c>
      <c r="L4659" s="149" t="s">
        <v>3271</v>
      </c>
      <c r="M4659" s="151">
        <v>384</v>
      </c>
    </row>
    <row r="4660" spans="1:13" s="149" customFormat="1" x14ac:dyDescent="0.25">
      <c r="A4660" s="149" t="s">
        <v>7640</v>
      </c>
      <c r="B4660" s="149" t="s">
        <v>3272</v>
      </c>
      <c r="C4660" s="149">
        <v>11</v>
      </c>
      <c r="D4660" s="149">
        <v>500</v>
      </c>
      <c r="E4660" s="149">
        <v>0</v>
      </c>
      <c r="F4660" s="149">
        <v>673000</v>
      </c>
      <c r="G4660" s="149">
        <v>55125</v>
      </c>
      <c r="H4660" s="150" t="str">
        <f t="shared" si="216"/>
        <v>5</v>
      </c>
      <c r="I4660" s="150" t="str">
        <f t="shared" si="217"/>
        <v>55</v>
      </c>
      <c r="J4660" s="150" t="str">
        <f t="shared" si="218"/>
        <v>551</v>
      </c>
      <c r="K4660" s="150" t="s">
        <v>8034</v>
      </c>
      <c r="L4660" s="149" t="s">
        <v>3273</v>
      </c>
      <c r="M4660" s="151">
        <v>19620</v>
      </c>
    </row>
    <row r="4661" spans="1:13" s="149" customFormat="1" x14ac:dyDescent="0.25">
      <c r="A4661" s="149" t="s">
        <v>7640</v>
      </c>
      <c r="B4661" s="149" t="s">
        <v>3274</v>
      </c>
      <c r="C4661" s="149">
        <v>11</v>
      </c>
      <c r="D4661" s="149">
        <v>500</v>
      </c>
      <c r="E4661" s="149">
        <v>0</v>
      </c>
      <c r="F4661" s="149">
        <v>673000</v>
      </c>
      <c r="G4661" s="149">
        <v>55200</v>
      </c>
      <c r="H4661" s="150" t="str">
        <f t="shared" si="216"/>
        <v>5</v>
      </c>
      <c r="I4661" s="150" t="str">
        <f t="shared" si="217"/>
        <v>55</v>
      </c>
      <c r="J4661" s="150" t="str">
        <f t="shared" si="218"/>
        <v>552</v>
      </c>
      <c r="K4661" s="150" t="s">
        <v>8071</v>
      </c>
      <c r="L4661" s="149" t="s">
        <v>3275</v>
      </c>
      <c r="M4661" s="151">
        <v>0</v>
      </c>
    </row>
    <row r="4662" spans="1:13" s="149" customFormat="1" x14ac:dyDescent="0.25">
      <c r="A4662" s="149" t="s">
        <v>7640</v>
      </c>
      <c r="B4662" s="149" t="s">
        <v>3276</v>
      </c>
      <c r="C4662" s="149">
        <v>11</v>
      </c>
      <c r="D4662" s="149">
        <v>500</v>
      </c>
      <c r="E4662" s="149">
        <v>0</v>
      </c>
      <c r="F4662" s="149">
        <v>673000</v>
      </c>
      <c r="G4662" s="149">
        <v>55300</v>
      </c>
      <c r="H4662" s="150" t="str">
        <f t="shared" si="216"/>
        <v>5</v>
      </c>
      <c r="I4662" s="150" t="str">
        <f t="shared" si="217"/>
        <v>55</v>
      </c>
      <c r="J4662" s="150" t="str">
        <f t="shared" si="218"/>
        <v>553</v>
      </c>
      <c r="K4662" s="150" t="s">
        <v>8101</v>
      </c>
      <c r="L4662" s="149" t="s">
        <v>3277</v>
      </c>
      <c r="M4662" s="151">
        <v>0</v>
      </c>
    </row>
    <row r="4663" spans="1:13" s="149" customFormat="1" x14ac:dyDescent="0.25">
      <c r="A4663" s="149" t="s">
        <v>7640</v>
      </c>
      <c r="B4663" s="149" t="s">
        <v>3278</v>
      </c>
      <c r="C4663" s="149">
        <v>11</v>
      </c>
      <c r="D4663" s="149">
        <v>500</v>
      </c>
      <c r="E4663" s="149">
        <v>0</v>
      </c>
      <c r="F4663" s="149">
        <v>673000</v>
      </c>
      <c r="G4663" s="149">
        <v>55625</v>
      </c>
      <c r="H4663" s="150" t="str">
        <f t="shared" si="216"/>
        <v>5</v>
      </c>
      <c r="I4663" s="150" t="str">
        <f t="shared" si="217"/>
        <v>55</v>
      </c>
      <c r="J4663" s="150" t="str">
        <f t="shared" si="218"/>
        <v>556</v>
      </c>
      <c r="K4663" s="150" t="s">
        <v>8158</v>
      </c>
      <c r="L4663" s="149" t="s">
        <v>3279</v>
      </c>
      <c r="M4663" s="151">
        <v>12380</v>
      </c>
    </row>
    <row r="4664" spans="1:13" s="149" customFormat="1" x14ac:dyDescent="0.25">
      <c r="A4664" s="149" t="s">
        <v>7640</v>
      </c>
      <c r="B4664" s="149" t="s">
        <v>3280</v>
      </c>
      <c r="C4664" s="149">
        <v>11</v>
      </c>
      <c r="D4664" s="149">
        <v>500</v>
      </c>
      <c r="E4664" s="149">
        <v>0</v>
      </c>
      <c r="F4664" s="149">
        <v>673000</v>
      </c>
      <c r="G4664" s="149">
        <v>55630</v>
      </c>
      <c r="H4664" s="150" t="str">
        <f t="shared" si="216"/>
        <v>5</v>
      </c>
      <c r="I4664" s="150" t="str">
        <f t="shared" si="217"/>
        <v>55</v>
      </c>
      <c r="J4664" s="150" t="str">
        <f t="shared" si="218"/>
        <v>556</v>
      </c>
      <c r="K4664" s="150" t="s">
        <v>8273</v>
      </c>
      <c r="L4664" s="149" t="s">
        <v>3281</v>
      </c>
      <c r="M4664" s="151">
        <v>1626.08</v>
      </c>
    </row>
    <row r="4665" spans="1:13" s="149" customFormat="1" x14ac:dyDescent="0.25">
      <c r="A4665" s="149" t="s">
        <v>7640</v>
      </c>
      <c r="B4665" s="149" t="s">
        <v>3282</v>
      </c>
      <c r="C4665" s="149">
        <v>11</v>
      </c>
      <c r="D4665" s="149">
        <v>500</v>
      </c>
      <c r="E4665" s="149">
        <v>0</v>
      </c>
      <c r="F4665" s="149">
        <v>673000</v>
      </c>
      <c r="G4665" s="149">
        <v>55635</v>
      </c>
      <c r="H4665" s="150" t="str">
        <f t="shared" si="216"/>
        <v>5</v>
      </c>
      <c r="I4665" s="150" t="str">
        <f t="shared" si="217"/>
        <v>55</v>
      </c>
      <c r="J4665" s="150" t="str">
        <f t="shared" si="218"/>
        <v>556</v>
      </c>
      <c r="K4665" s="150" t="s">
        <v>8285</v>
      </c>
      <c r="L4665" s="149" t="s">
        <v>3283</v>
      </c>
      <c r="M4665" s="151">
        <v>0</v>
      </c>
    </row>
    <row r="4666" spans="1:13" s="149" customFormat="1" x14ac:dyDescent="0.25">
      <c r="A4666" s="149" t="s">
        <v>7640</v>
      </c>
      <c r="B4666" s="149" t="s">
        <v>3284</v>
      </c>
      <c r="C4666" s="149">
        <v>11</v>
      </c>
      <c r="D4666" s="149">
        <v>500</v>
      </c>
      <c r="E4666" s="149">
        <v>0</v>
      </c>
      <c r="F4666" s="149">
        <v>673000</v>
      </c>
      <c r="G4666" s="149">
        <v>55700</v>
      </c>
      <c r="H4666" s="150" t="str">
        <f t="shared" si="216"/>
        <v>5</v>
      </c>
      <c r="I4666" s="150" t="str">
        <f t="shared" si="217"/>
        <v>55</v>
      </c>
      <c r="J4666" s="150" t="str">
        <f t="shared" si="218"/>
        <v>557</v>
      </c>
      <c r="K4666" s="150" t="s">
        <v>8329</v>
      </c>
      <c r="L4666" s="149" t="s">
        <v>3285</v>
      </c>
      <c r="M4666" s="151">
        <v>200665.3</v>
      </c>
    </row>
    <row r="4667" spans="1:13" s="149" customFormat="1" x14ac:dyDescent="0.25">
      <c r="A4667" s="149" t="s">
        <v>7640</v>
      </c>
      <c r="B4667" s="149" t="s">
        <v>3286</v>
      </c>
      <c r="C4667" s="149">
        <v>11</v>
      </c>
      <c r="D4667" s="149">
        <v>500</v>
      </c>
      <c r="E4667" s="149">
        <v>0</v>
      </c>
      <c r="F4667" s="149">
        <v>673000</v>
      </c>
      <c r="G4667" s="149">
        <v>55825</v>
      </c>
      <c r="H4667" s="150" t="str">
        <f t="shared" si="216"/>
        <v>5</v>
      </c>
      <c r="I4667" s="150" t="str">
        <f t="shared" si="217"/>
        <v>55</v>
      </c>
      <c r="J4667" s="150" t="str">
        <f t="shared" si="218"/>
        <v>558</v>
      </c>
      <c r="K4667" s="150" t="s">
        <v>8346</v>
      </c>
      <c r="L4667" s="149" t="s">
        <v>3287</v>
      </c>
      <c r="M4667" s="151">
        <v>10000.200000000001</v>
      </c>
    </row>
    <row r="4668" spans="1:13" s="149" customFormat="1" x14ac:dyDescent="0.25">
      <c r="A4668" s="149" t="s">
        <v>7640</v>
      </c>
      <c r="B4668" s="149" t="s">
        <v>3288</v>
      </c>
      <c r="C4668" s="149">
        <v>11</v>
      </c>
      <c r="D4668" s="149">
        <v>500</v>
      </c>
      <c r="E4668" s="149">
        <v>0</v>
      </c>
      <c r="F4668" s="149">
        <v>673000</v>
      </c>
      <c r="G4668" s="149">
        <v>56400</v>
      </c>
      <c r="H4668" s="150" t="str">
        <f t="shared" si="216"/>
        <v>5</v>
      </c>
      <c r="I4668" s="150" t="str">
        <f t="shared" si="217"/>
        <v>56</v>
      </c>
      <c r="J4668" s="150" t="str">
        <f t="shared" si="218"/>
        <v>564</v>
      </c>
      <c r="K4668" s="150" t="s">
        <v>8382</v>
      </c>
      <c r="L4668" s="149" t="s">
        <v>3289</v>
      </c>
      <c r="M4668" s="151">
        <v>0</v>
      </c>
    </row>
    <row r="4669" spans="1:13" s="149" customFormat="1" x14ac:dyDescent="0.25">
      <c r="A4669" s="149" t="s">
        <v>7640</v>
      </c>
      <c r="B4669" s="149" t="s">
        <v>3290</v>
      </c>
      <c r="C4669" s="149">
        <v>11</v>
      </c>
      <c r="D4669" s="149">
        <v>600</v>
      </c>
      <c r="E4669" s="149">
        <v>0</v>
      </c>
      <c r="F4669" s="149">
        <v>678000</v>
      </c>
      <c r="G4669" s="149">
        <v>52105</v>
      </c>
      <c r="H4669" s="150" t="str">
        <f t="shared" si="216"/>
        <v>5</v>
      </c>
      <c r="I4669" s="150" t="str">
        <f t="shared" si="217"/>
        <v>52</v>
      </c>
      <c r="J4669" s="150" t="str">
        <f t="shared" si="218"/>
        <v>521</v>
      </c>
      <c r="K4669" s="150" t="s">
        <v>9522</v>
      </c>
      <c r="L4669" s="149" t="s">
        <v>3291</v>
      </c>
      <c r="M4669" s="151">
        <v>1050225.17</v>
      </c>
    </row>
    <row r="4670" spans="1:13" s="149" customFormat="1" x14ac:dyDescent="0.25">
      <c r="A4670" s="149" t="s">
        <v>7640</v>
      </c>
      <c r="B4670" s="149" t="s">
        <v>3292</v>
      </c>
      <c r="C4670" s="149">
        <v>11</v>
      </c>
      <c r="D4670" s="149">
        <v>600</v>
      </c>
      <c r="E4670" s="149">
        <v>0</v>
      </c>
      <c r="F4670" s="149">
        <v>678000</v>
      </c>
      <c r="G4670" s="149">
        <v>52130</v>
      </c>
      <c r="H4670" s="150" t="str">
        <f t="shared" si="216"/>
        <v>5</v>
      </c>
      <c r="I4670" s="150" t="str">
        <f t="shared" si="217"/>
        <v>52</v>
      </c>
      <c r="J4670" s="150" t="str">
        <f t="shared" si="218"/>
        <v>521</v>
      </c>
      <c r="K4670" s="150" t="s">
        <v>9523</v>
      </c>
      <c r="L4670" s="149" t="s">
        <v>3293</v>
      </c>
      <c r="M4670" s="151">
        <v>260094.3</v>
      </c>
    </row>
    <row r="4671" spans="1:13" s="149" customFormat="1" x14ac:dyDescent="0.25">
      <c r="A4671" s="149" t="s">
        <v>7640</v>
      </c>
      <c r="B4671" s="149" t="s">
        <v>3294</v>
      </c>
      <c r="C4671" s="149">
        <v>11</v>
      </c>
      <c r="D4671" s="149">
        <v>600</v>
      </c>
      <c r="E4671" s="149">
        <v>0</v>
      </c>
      <c r="F4671" s="149">
        <v>678000</v>
      </c>
      <c r="G4671" s="149">
        <v>52300</v>
      </c>
      <c r="H4671" s="150" t="str">
        <f t="shared" si="216"/>
        <v>5</v>
      </c>
      <c r="I4671" s="150" t="str">
        <f t="shared" si="217"/>
        <v>52</v>
      </c>
      <c r="J4671" s="150" t="str">
        <f t="shared" si="218"/>
        <v>523</v>
      </c>
      <c r="K4671" s="150" t="s">
        <v>7843</v>
      </c>
      <c r="L4671" s="149" t="s">
        <v>3295</v>
      </c>
      <c r="M4671" s="151">
        <v>4666.8500000000004</v>
      </c>
    </row>
    <row r="4672" spans="1:13" s="149" customFormat="1" x14ac:dyDescent="0.25">
      <c r="A4672" s="149" t="s">
        <v>7640</v>
      </c>
      <c r="B4672" s="149" t="s">
        <v>3296</v>
      </c>
      <c r="C4672" s="149">
        <v>11</v>
      </c>
      <c r="D4672" s="149">
        <v>600</v>
      </c>
      <c r="E4672" s="149">
        <v>0</v>
      </c>
      <c r="F4672" s="149">
        <v>678000</v>
      </c>
      <c r="G4672" s="149">
        <v>52350</v>
      </c>
      <c r="H4672" s="150" t="str">
        <f t="shared" si="216"/>
        <v>5</v>
      </c>
      <c r="I4672" s="150" t="str">
        <f t="shared" si="217"/>
        <v>52</v>
      </c>
      <c r="J4672" s="150" t="str">
        <f t="shared" si="218"/>
        <v>523</v>
      </c>
      <c r="K4672" s="150" t="s">
        <v>7860</v>
      </c>
      <c r="L4672" s="149" t="s">
        <v>3297</v>
      </c>
      <c r="M4672" s="151">
        <v>986</v>
      </c>
    </row>
    <row r="4673" spans="1:13" s="149" customFormat="1" x14ac:dyDescent="0.25">
      <c r="A4673" s="149" t="s">
        <v>7640</v>
      </c>
      <c r="B4673" s="149" t="s">
        <v>3298</v>
      </c>
      <c r="C4673" s="149">
        <v>11</v>
      </c>
      <c r="D4673" s="149">
        <v>600</v>
      </c>
      <c r="E4673" s="149">
        <v>0</v>
      </c>
      <c r="F4673" s="149">
        <v>678000</v>
      </c>
      <c r="G4673" s="149">
        <v>53220</v>
      </c>
      <c r="H4673" s="150" t="str">
        <f t="shared" si="216"/>
        <v>5</v>
      </c>
      <c r="I4673" s="150" t="str">
        <f t="shared" si="217"/>
        <v>53</v>
      </c>
      <c r="J4673" s="150" t="str">
        <f t="shared" si="218"/>
        <v>532</v>
      </c>
      <c r="K4673" s="150" t="s">
        <v>9524</v>
      </c>
      <c r="L4673" s="149" t="s">
        <v>3299</v>
      </c>
      <c r="M4673" s="151">
        <v>266953.42</v>
      </c>
    </row>
    <row r="4674" spans="1:13" s="149" customFormat="1" x14ac:dyDescent="0.25">
      <c r="A4674" s="149" t="s">
        <v>7640</v>
      </c>
      <c r="B4674" s="149" t="s">
        <v>3300</v>
      </c>
      <c r="C4674" s="149">
        <v>11</v>
      </c>
      <c r="D4674" s="149">
        <v>600</v>
      </c>
      <c r="E4674" s="149">
        <v>0</v>
      </c>
      <c r="F4674" s="149">
        <v>678000</v>
      </c>
      <c r="G4674" s="149">
        <v>53320</v>
      </c>
      <c r="H4674" s="150" t="str">
        <f t="shared" si="216"/>
        <v>5</v>
      </c>
      <c r="I4674" s="150" t="str">
        <f t="shared" si="217"/>
        <v>53</v>
      </c>
      <c r="J4674" s="150" t="str">
        <f t="shared" si="218"/>
        <v>533</v>
      </c>
      <c r="K4674" s="150" t="s">
        <v>9525</v>
      </c>
      <c r="L4674" s="149" t="s">
        <v>3301</v>
      </c>
      <c r="M4674" s="151">
        <v>78587.990000000005</v>
      </c>
    </row>
    <row r="4675" spans="1:13" s="149" customFormat="1" x14ac:dyDescent="0.25">
      <c r="A4675" s="149" t="s">
        <v>7640</v>
      </c>
      <c r="B4675" s="149" t="s">
        <v>3302</v>
      </c>
      <c r="C4675" s="149">
        <v>11</v>
      </c>
      <c r="D4675" s="149">
        <v>600</v>
      </c>
      <c r="E4675" s="149">
        <v>0</v>
      </c>
      <c r="F4675" s="149">
        <v>678000</v>
      </c>
      <c r="G4675" s="149">
        <v>53340</v>
      </c>
      <c r="H4675" s="150" t="str">
        <f t="shared" ref="H4675:H4738" si="219">LEFT(G4675,1)</f>
        <v>5</v>
      </c>
      <c r="I4675" s="150" t="str">
        <f t="shared" ref="I4675:I4738" si="220">LEFT(G4675,2)</f>
        <v>53</v>
      </c>
      <c r="J4675" s="150" t="str">
        <f t="shared" ref="J4675:J4738" si="221">LEFT(G4675,3)</f>
        <v>533</v>
      </c>
      <c r="K4675" s="150" t="s">
        <v>9526</v>
      </c>
      <c r="L4675" s="149" t="s">
        <v>3303</v>
      </c>
      <c r="M4675" s="151">
        <v>18965.86</v>
      </c>
    </row>
    <row r="4676" spans="1:13" s="149" customFormat="1" x14ac:dyDescent="0.25">
      <c r="A4676" s="149" t="s">
        <v>7640</v>
      </c>
      <c r="B4676" s="149" t="s">
        <v>3304</v>
      </c>
      <c r="C4676" s="149">
        <v>11</v>
      </c>
      <c r="D4676" s="149">
        <v>600</v>
      </c>
      <c r="E4676" s="149">
        <v>0</v>
      </c>
      <c r="F4676" s="149">
        <v>678000</v>
      </c>
      <c r="G4676" s="149">
        <v>53420</v>
      </c>
      <c r="H4676" s="150" t="str">
        <f t="shared" si="219"/>
        <v>5</v>
      </c>
      <c r="I4676" s="150" t="str">
        <f t="shared" si="220"/>
        <v>53</v>
      </c>
      <c r="J4676" s="150" t="str">
        <f t="shared" si="221"/>
        <v>534</v>
      </c>
      <c r="K4676" s="150" t="s">
        <v>9527</v>
      </c>
      <c r="L4676" s="149" t="s">
        <v>3305</v>
      </c>
      <c r="M4676" s="151">
        <v>305419.64</v>
      </c>
    </row>
    <row r="4677" spans="1:13" s="149" customFormat="1" x14ac:dyDescent="0.25">
      <c r="A4677" s="149" t="s">
        <v>7640</v>
      </c>
      <c r="B4677" s="149" t="s">
        <v>3306</v>
      </c>
      <c r="C4677" s="149">
        <v>11</v>
      </c>
      <c r="D4677" s="149">
        <v>600</v>
      </c>
      <c r="E4677" s="149">
        <v>0</v>
      </c>
      <c r="F4677" s="149">
        <v>678000</v>
      </c>
      <c r="G4677" s="149">
        <v>53520</v>
      </c>
      <c r="H4677" s="150" t="str">
        <f t="shared" si="219"/>
        <v>5</v>
      </c>
      <c r="I4677" s="150" t="str">
        <f t="shared" si="220"/>
        <v>53</v>
      </c>
      <c r="J4677" s="150" t="str">
        <f t="shared" si="221"/>
        <v>535</v>
      </c>
      <c r="K4677" s="150" t="s">
        <v>9528</v>
      </c>
      <c r="L4677" s="149" t="s">
        <v>3307</v>
      </c>
      <c r="M4677" s="151">
        <v>657.03</v>
      </c>
    </row>
    <row r="4678" spans="1:13" s="149" customFormat="1" x14ac:dyDescent="0.25">
      <c r="A4678" s="149" t="s">
        <v>7640</v>
      </c>
      <c r="B4678" s="149" t="s">
        <v>3308</v>
      </c>
      <c r="C4678" s="149">
        <v>11</v>
      </c>
      <c r="D4678" s="149">
        <v>600</v>
      </c>
      <c r="E4678" s="149">
        <v>0</v>
      </c>
      <c r="F4678" s="149">
        <v>678000</v>
      </c>
      <c r="G4678" s="149">
        <v>53620</v>
      </c>
      <c r="H4678" s="150" t="str">
        <f t="shared" si="219"/>
        <v>5</v>
      </c>
      <c r="I4678" s="150" t="str">
        <f t="shared" si="220"/>
        <v>53</v>
      </c>
      <c r="J4678" s="150" t="str">
        <f t="shared" si="221"/>
        <v>536</v>
      </c>
      <c r="K4678" s="150" t="s">
        <v>9529</v>
      </c>
      <c r="L4678" s="149" t="s">
        <v>3309</v>
      </c>
      <c r="M4678" s="151">
        <v>24930.07</v>
      </c>
    </row>
    <row r="4679" spans="1:13" s="149" customFormat="1" x14ac:dyDescent="0.25">
      <c r="A4679" s="149" t="s">
        <v>7640</v>
      </c>
      <c r="B4679" s="149" t="s">
        <v>3310</v>
      </c>
      <c r="C4679" s="149">
        <v>11</v>
      </c>
      <c r="D4679" s="149">
        <v>600</v>
      </c>
      <c r="E4679" s="149">
        <v>0</v>
      </c>
      <c r="F4679" s="149">
        <v>678000</v>
      </c>
      <c r="G4679" s="149">
        <v>53920</v>
      </c>
      <c r="H4679" s="150" t="str">
        <f t="shared" si="219"/>
        <v>5</v>
      </c>
      <c r="I4679" s="150" t="str">
        <f t="shared" si="220"/>
        <v>53</v>
      </c>
      <c r="J4679" s="150" t="str">
        <f t="shared" si="221"/>
        <v>539</v>
      </c>
      <c r="K4679" s="150" t="s">
        <v>9530</v>
      </c>
      <c r="L4679" s="149" t="s">
        <v>3311</v>
      </c>
      <c r="M4679" s="151">
        <v>10800</v>
      </c>
    </row>
    <row r="4680" spans="1:13" s="149" customFormat="1" x14ac:dyDescent="0.25">
      <c r="A4680" s="149" t="s">
        <v>7640</v>
      </c>
      <c r="B4680" s="149" t="s">
        <v>3312</v>
      </c>
      <c r="C4680" s="149">
        <v>11</v>
      </c>
      <c r="D4680" s="149">
        <v>600</v>
      </c>
      <c r="E4680" s="149">
        <v>0</v>
      </c>
      <c r="F4680" s="149">
        <v>678000</v>
      </c>
      <c r="G4680" s="149">
        <v>54300</v>
      </c>
      <c r="H4680" s="150" t="str">
        <f t="shared" si="219"/>
        <v>5</v>
      </c>
      <c r="I4680" s="150" t="str">
        <f t="shared" si="220"/>
        <v>54</v>
      </c>
      <c r="J4680" s="150" t="str">
        <f t="shared" si="221"/>
        <v>543</v>
      </c>
      <c r="K4680" s="150" t="s">
        <v>7983</v>
      </c>
      <c r="L4680" s="149" t="s">
        <v>3313</v>
      </c>
      <c r="M4680" s="151">
        <v>5584.36</v>
      </c>
    </row>
    <row r="4681" spans="1:13" s="149" customFormat="1" x14ac:dyDescent="0.25">
      <c r="A4681" s="149" t="s">
        <v>7640</v>
      </c>
      <c r="B4681" s="149" t="s">
        <v>3314</v>
      </c>
      <c r="C4681" s="149">
        <v>11</v>
      </c>
      <c r="D4681" s="149">
        <v>600</v>
      </c>
      <c r="E4681" s="149">
        <v>0</v>
      </c>
      <c r="F4681" s="149">
        <v>678000</v>
      </c>
      <c r="G4681" s="149">
        <v>55105</v>
      </c>
      <c r="H4681" s="150" t="str">
        <f t="shared" si="219"/>
        <v>5</v>
      </c>
      <c r="I4681" s="150" t="str">
        <f t="shared" si="220"/>
        <v>55</v>
      </c>
      <c r="J4681" s="150" t="str">
        <f t="shared" si="221"/>
        <v>551</v>
      </c>
      <c r="K4681" s="150" t="s">
        <v>8024</v>
      </c>
      <c r="L4681" s="149" t="s">
        <v>3315</v>
      </c>
      <c r="M4681" s="151">
        <v>48505</v>
      </c>
    </row>
    <row r="4682" spans="1:13" s="149" customFormat="1" x14ac:dyDescent="0.25">
      <c r="A4682" s="149" t="s">
        <v>7640</v>
      </c>
      <c r="B4682" s="149" t="s">
        <v>3316</v>
      </c>
      <c r="C4682" s="149">
        <v>11</v>
      </c>
      <c r="D4682" s="149">
        <v>600</v>
      </c>
      <c r="E4682" s="149">
        <v>0</v>
      </c>
      <c r="F4682" s="149">
        <v>678000</v>
      </c>
      <c r="G4682" s="149">
        <v>55125</v>
      </c>
      <c r="H4682" s="150" t="str">
        <f t="shared" si="219"/>
        <v>5</v>
      </c>
      <c r="I4682" s="150" t="str">
        <f t="shared" si="220"/>
        <v>55</v>
      </c>
      <c r="J4682" s="150" t="str">
        <f t="shared" si="221"/>
        <v>551</v>
      </c>
      <c r="K4682" s="150" t="s">
        <v>8035</v>
      </c>
      <c r="L4682" s="149" t="s">
        <v>3317</v>
      </c>
      <c r="M4682" s="151">
        <v>0</v>
      </c>
    </row>
    <row r="4683" spans="1:13" s="149" customFormat="1" x14ac:dyDescent="0.25">
      <c r="A4683" s="149" t="s">
        <v>7640</v>
      </c>
      <c r="B4683" s="149" t="s">
        <v>3318</v>
      </c>
      <c r="C4683" s="149">
        <v>11</v>
      </c>
      <c r="D4683" s="149">
        <v>600</v>
      </c>
      <c r="E4683" s="149">
        <v>0</v>
      </c>
      <c r="F4683" s="149">
        <v>678000</v>
      </c>
      <c r="G4683" s="149">
        <v>55200</v>
      </c>
      <c r="H4683" s="150" t="str">
        <f t="shared" si="219"/>
        <v>5</v>
      </c>
      <c r="I4683" s="150" t="str">
        <f t="shared" si="220"/>
        <v>55</v>
      </c>
      <c r="J4683" s="150" t="str">
        <f t="shared" si="221"/>
        <v>552</v>
      </c>
      <c r="K4683" s="150" t="s">
        <v>8072</v>
      </c>
      <c r="L4683" s="149" t="s">
        <v>3319</v>
      </c>
      <c r="M4683" s="151">
        <v>617.94000000000005</v>
      </c>
    </row>
    <row r="4684" spans="1:13" s="149" customFormat="1" x14ac:dyDescent="0.25">
      <c r="A4684" s="149" t="s">
        <v>7640</v>
      </c>
      <c r="B4684" s="149" t="s">
        <v>3320</v>
      </c>
      <c r="C4684" s="149">
        <v>11</v>
      </c>
      <c r="D4684" s="149">
        <v>600</v>
      </c>
      <c r="E4684" s="149">
        <v>0</v>
      </c>
      <c r="F4684" s="149">
        <v>678000</v>
      </c>
      <c r="G4684" s="149">
        <v>55300</v>
      </c>
      <c r="H4684" s="150" t="str">
        <f t="shared" si="219"/>
        <v>5</v>
      </c>
      <c r="I4684" s="150" t="str">
        <f t="shared" si="220"/>
        <v>55</v>
      </c>
      <c r="J4684" s="150" t="str">
        <f t="shared" si="221"/>
        <v>553</v>
      </c>
      <c r="K4684" s="150" t="s">
        <v>8102</v>
      </c>
      <c r="L4684" s="149" t="s">
        <v>3321</v>
      </c>
      <c r="M4684" s="151">
        <v>1490</v>
      </c>
    </row>
    <row r="4685" spans="1:13" s="149" customFormat="1" x14ac:dyDescent="0.25">
      <c r="A4685" s="149" t="s">
        <v>7640</v>
      </c>
      <c r="B4685" s="149" t="s">
        <v>3322</v>
      </c>
      <c r="C4685" s="149">
        <v>11</v>
      </c>
      <c r="D4685" s="149">
        <v>600</v>
      </c>
      <c r="E4685" s="149">
        <v>0</v>
      </c>
      <c r="F4685" s="149">
        <v>678000</v>
      </c>
      <c r="G4685" s="149">
        <v>55550</v>
      </c>
      <c r="H4685" s="150" t="str">
        <f t="shared" si="219"/>
        <v>5</v>
      </c>
      <c r="I4685" s="150" t="str">
        <f t="shared" si="220"/>
        <v>55</v>
      </c>
      <c r="J4685" s="150" t="str">
        <f t="shared" si="221"/>
        <v>555</v>
      </c>
      <c r="K4685" s="150" t="s">
        <v>8132</v>
      </c>
      <c r="L4685" s="149" t="s">
        <v>3323</v>
      </c>
      <c r="M4685" s="151">
        <v>135051.1</v>
      </c>
    </row>
    <row r="4686" spans="1:13" s="149" customFormat="1" x14ac:dyDescent="0.25">
      <c r="A4686" s="149" t="s">
        <v>7640</v>
      </c>
      <c r="B4686" s="149" t="s">
        <v>3324</v>
      </c>
      <c r="C4686" s="149">
        <v>11</v>
      </c>
      <c r="D4686" s="149">
        <v>600</v>
      </c>
      <c r="E4686" s="149">
        <v>0</v>
      </c>
      <c r="F4686" s="149">
        <v>678000</v>
      </c>
      <c r="G4686" s="149">
        <v>55610</v>
      </c>
      <c r="H4686" s="150" t="str">
        <f t="shared" si="219"/>
        <v>5</v>
      </c>
      <c r="I4686" s="150" t="str">
        <f t="shared" si="220"/>
        <v>55</v>
      </c>
      <c r="J4686" s="150" t="str">
        <f t="shared" si="221"/>
        <v>556</v>
      </c>
      <c r="K4686" s="150" t="s">
        <v>8156</v>
      </c>
      <c r="L4686" s="149" t="s">
        <v>3325</v>
      </c>
      <c r="M4686" s="151">
        <v>18442.5</v>
      </c>
    </row>
    <row r="4687" spans="1:13" s="149" customFormat="1" x14ac:dyDescent="0.25">
      <c r="A4687" s="149" t="s">
        <v>7640</v>
      </c>
      <c r="B4687" s="149" t="s">
        <v>3326</v>
      </c>
      <c r="C4687" s="149">
        <v>11</v>
      </c>
      <c r="D4687" s="149">
        <v>600</v>
      </c>
      <c r="E4687" s="149">
        <v>0</v>
      </c>
      <c r="F4687" s="149">
        <v>678000</v>
      </c>
      <c r="G4687" s="149">
        <v>55630</v>
      </c>
      <c r="H4687" s="150" t="str">
        <f t="shared" si="219"/>
        <v>5</v>
      </c>
      <c r="I4687" s="150" t="str">
        <f t="shared" si="220"/>
        <v>55</v>
      </c>
      <c r="J4687" s="150" t="str">
        <f t="shared" si="221"/>
        <v>556</v>
      </c>
      <c r="K4687" s="150" t="s">
        <v>8274</v>
      </c>
      <c r="L4687" s="149" t="s">
        <v>3327</v>
      </c>
      <c r="M4687" s="151">
        <v>9.07</v>
      </c>
    </row>
    <row r="4688" spans="1:13" s="149" customFormat="1" x14ac:dyDescent="0.25">
      <c r="A4688" s="149" t="s">
        <v>7640</v>
      </c>
      <c r="B4688" s="149" t="s">
        <v>3328</v>
      </c>
      <c r="C4688" s="149">
        <v>11</v>
      </c>
      <c r="D4688" s="149">
        <v>600</v>
      </c>
      <c r="E4688" s="149">
        <v>0</v>
      </c>
      <c r="F4688" s="149">
        <v>678000</v>
      </c>
      <c r="G4688" s="149">
        <v>55650</v>
      </c>
      <c r="H4688" s="150" t="str">
        <f t="shared" si="219"/>
        <v>5</v>
      </c>
      <c r="I4688" s="150" t="str">
        <f t="shared" si="220"/>
        <v>55</v>
      </c>
      <c r="J4688" s="150" t="str">
        <f t="shared" si="221"/>
        <v>556</v>
      </c>
      <c r="K4688" s="150" t="s">
        <v>8311</v>
      </c>
      <c r="L4688" s="149" t="s">
        <v>3329</v>
      </c>
      <c r="M4688" s="151">
        <v>1189858.49</v>
      </c>
    </row>
    <row r="4689" spans="1:13" s="149" customFormat="1" x14ac:dyDescent="0.25">
      <c r="A4689" s="149" t="s">
        <v>7640</v>
      </c>
      <c r="B4689" s="149" t="s">
        <v>3330</v>
      </c>
      <c r="C4689" s="149">
        <v>11</v>
      </c>
      <c r="D4689" s="149">
        <v>600</v>
      </c>
      <c r="E4689" s="149">
        <v>0</v>
      </c>
      <c r="F4689" s="149">
        <v>678000</v>
      </c>
      <c r="G4689" s="149">
        <v>55653</v>
      </c>
      <c r="H4689" s="150" t="str">
        <f t="shared" si="219"/>
        <v>5</v>
      </c>
      <c r="I4689" s="150" t="str">
        <f t="shared" si="220"/>
        <v>55</v>
      </c>
      <c r="J4689" s="150" t="str">
        <f t="shared" si="221"/>
        <v>556</v>
      </c>
      <c r="K4689" s="150" t="s">
        <v>8326</v>
      </c>
      <c r="L4689" s="149" t="s">
        <v>3331</v>
      </c>
      <c r="M4689" s="151">
        <v>0</v>
      </c>
    </row>
    <row r="4690" spans="1:13" s="149" customFormat="1" x14ac:dyDescent="0.25">
      <c r="A4690" s="149" t="s">
        <v>7640</v>
      </c>
      <c r="B4690" s="149" t="s">
        <v>3332</v>
      </c>
      <c r="C4690" s="149">
        <v>11</v>
      </c>
      <c r="D4690" s="149">
        <v>600</v>
      </c>
      <c r="E4690" s="149">
        <v>0</v>
      </c>
      <c r="F4690" s="149">
        <v>678000</v>
      </c>
      <c r="G4690" s="149">
        <v>56400</v>
      </c>
      <c r="H4690" s="150" t="str">
        <f t="shared" si="219"/>
        <v>5</v>
      </c>
      <c r="I4690" s="150" t="str">
        <f t="shared" si="220"/>
        <v>56</v>
      </c>
      <c r="J4690" s="150" t="str">
        <f t="shared" si="221"/>
        <v>564</v>
      </c>
      <c r="K4690" s="150" t="s">
        <v>8383</v>
      </c>
      <c r="L4690" s="149" t="s">
        <v>3333</v>
      </c>
      <c r="M4690" s="151">
        <v>3095.4</v>
      </c>
    </row>
    <row r="4691" spans="1:13" s="149" customFormat="1" x14ac:dyDescent="0.25">
      <c r="A4691" s="149" t="s">
        <v>7640</v>
      </c>
      <c r="B4691" s="149" t="s">
        <v>9611</v>
      </c>
      <c r="C4691" s="149">
        <v>11</v>
      </c>
      <c r="D4691" s="149">
        <v>600</v>
      </c>
      <c r="E4691" s="149">
        <v>0</v>
      </c>
      <c r="F4691" s="149">
        <v>678001</v>
      </c>
      <c r="G4691" s="149">
        <v>55105</v>
      </c>
      <c r="H4691" s="150" t="str">
        <f t="shared" si="219"/>
        <v>5</v>
      </c>
      <c r="I4691" s="150" t="str">
        <f t="shared" si="220"/>
        <v>55</v>
      </c>
      <c r="J4691" s="150" t="str">
        <f t="shared" si="221"/>
        <v>551</v>
      </c>
      <c r="K4691" s="150" t="s">
        <v>8025</v>
      </c>
      <c r="L4691" s="149" t="s">
        <v>9612</v>
      </c>
      <c r="M4691" s="151">
        <v>0</v>
      </c>
    </row>
    <row r="4692" spans="1:13" s="149" customFormat="1" x14ac:dyDescent="0.25">
      <c r="A4692" s="149" t="s">
        <v>7640</v>
      </c>
      <c r="B4692" s="149" t="s">
        <v>9613</v>
      </c>
      <c r="C4692" s="149">
        <v>11</v>
      </c>
      <c r="D4692" s="149">
        <v>600</v>
      </c>
      <c r="E4692" s="149">
        <v>0</v>
      </c>
      <c r="F4692" s="149">
        <v>678001</v>
      </c>
      <c r="G4692" s="149">
        <v>56402</v>
      </c>
      <c r="H4692" s="150" t="str">
        <f t="shared" si="219"/>
        <v>5</v>
      </c>
      <c r="I4692" s="150" t="str">
        <f t="shared" si="220"/>
        <v>56</v>
      </c>
      <c r="J4692" s="150" t="str">
        <f t="shared" si="221"/>
        <v>564</v>
      </c>
      <c r="K4692" s="150" t="s">
        <v>8384</v>
      </c>
      <c r="L4692" s="149" t="s">
        <v>9614</v>
      </c>
      <c r="M4692" s="151">
        <v>0</v>
      </c>
    </row>
    <row r="4693" spans="1:13" s="149" customFormat="1" x14ac:dyDescent="0.25">
      <c r="A4693" s="149" t="s">
        <v>7640</v>
      </c>
      <c r="B4693" s="149" t="s">
        <v>6114</v>
      </c>
      <c r="C4693" s="149">
        <v>13</v>
      </c>
      <c r="D4693" s="149">
        <v>0</v>
      </c>
      <c r="E4693" s="149">
        <v>0</v>
      </c>
      <c r="F4693" s="149">
        <v>0</v>
      </c>
      <c r="G4693" s="149">
        <v>48891</v>
      </c>
      <c r="H4693" s="150" t="str">
        <f t="shared" si="219"/>
        <v>4</v>
      </c>
      <c r="I4693" s="150" t="str">
        <f t="shared" si="220"/>
        <v>48</v>
      </c>
      <c r="J4693" s="150" t="str">
        <f t="shared" si="221"/>
        <v>488</v>
      </c>
      <c r="K4693" s="150" t="s">
        <v>9615</v>
      </c>
      <c r="L4693" s="149" t="s">
        <v>6115</v>
      </c>
      <c r="M4693" s="151">
        <v>-13576</v>
      </c>
    </row>
    <row r="4694" spans="1:13" s="149" customFormat="1" x14ac:dyDescent="0.25">
      <c r="A4694" s="149" t="s">
        <v>7640</v>
      </c>
      <c r="B4694" s="149" t="s">
        <v>6116</v>
      </c>
      <c r="C4694" s="149">
        <v>13</v>
      </c>
      <c r="D4694" s="149">
        <v>0</v>
      </c>
      <c r="E4694" s="149">
        <v>0</v>
      </c>
      <c r="F4694" s="149">
        <v>695000</v>
      </c>
      <c r="G4694" s="149">
        <v>48881</v>
      </c>
      <c r="H4694" s="150" t="str">
        <f t="shared" si="219"/>
        <v>4</v>
      </c>
      <c r="I4694" s="150" t="str">
        <f t="shared" si="220"/>
        <v>48</v>
      </c>
      <c r="J4694" s="150" t="str">
        <f t="shared" si="221"/>
        <v>488</v>
      </c>
      <c r="K4694" s="150" t="s">
        <v>9616</v>
      </c>
      <c r="L4694" s="149" t="s">
        <v>6117</v>
      </c>
      <c r="M4694" s="151">
        <v>-1446.18</v>
      </c>
    </row>
    <row r="4695" spans="1:13" s="149" customFormat="1" x14ac:dyDescent="0.25">
      <c r="A4695" s="149" t="s">
        <v>7640</v>
      </c>
      <c r="B4695" s="149" t="s">
        <v>6118</v>
      </c>
      <c r="C4695" s="149">
        <v>13</v>
      </c>
      <c r="D4695" s="149">
        <v>210</v>
      </c>
      <c r="E4695" s="149">
        <v>0</v>
      </c>
      <c r="F4695" s="149">
        <v>695000</v>
      </c>
      <c r="G4695" s="149">
        <v>48881</v>
      </c>
      <c r="H4695" s="150" t="str">
        <f t="shared" si="219"/>
        <v>4</v>
      </c>
      <c r="I4695" s="150" t="str">
        <f t="shared" si="220"/>
        <v>48</v>
      </c>
      <c r="J4695" s="150" t="str">
        <f t="shared" si="221"/>
        <v>488</v>
      </c>
      <c r="K4695" s="150" t="s">
        <v>9617</v>
      </c>
      <c r="L4695" s="149" t="s">
        <v>6117</v>
      </c>
      <c r="M4695" s="151">
        <v>0</v>
      </c>
    </row>
    <row r="4696" spans="1:13" s="149" customFormat="1" x14ac:dyDescent="0.25">
      <c r="A4696" s="149" t="s">
        <v>7640</v>
      </c>
      <c r="B4696" s="149" t="s">
        <v>6119</v>
      </c>
      <c r="C4696" s="149">
        <v>13</v>
      </c>
      <c r="D4696" s="149">
        <v>210</v>
      </c>
      <c r="E4696" s="149">
        <v>0</v>
      </c>
      <c r="F4696" s="149">
        <v>695000</v>
      </c>
      <c r="G4696" s="149">
        <v>52350</v>
      </c>
      <c r="H4696" s="150" t="str">
        <f t="shared" si="219"/>
        <v>5</v>
      </c>
      <c r="I4696" s="150" t="str">
        <f t="shared" si="220"/>
        <v>52</v>
      </c>
      <c r="J4696" s="150" t="str">
        <f t="shared" si="221"/>
        <v>523</v>
      </c>
      <c r="K4696" s="150" t="s">
        <v>9618</v>
      </c>
      <c r="L4696" s="149" t="s">
        <v>6120</v>
      </c>
      <c r="M4696" s="151">
        <v>0</v>
      </c>
    </row>
    <row r="4697" spans="1:13" s="149" customFormat="1" x14ac:dyDescent="0.25">
      <c r="A4697" s="149" t="s">
        <v>7640</v>
      </c>
      <c r="B4697" s="149" t="s">
        <v>6121</v>
      </c>
      <c r="C4697" s="149">
        <v>13</v>
      </c>
      <c r="D4697" s="149">
        <v>210</v>
      </c>
      <c r="E4697" s="149">
        <v>0</v>
      </c>
      <c r="F4697" s="149">
        <v>695000</v>
      </c>
      <c r="G4697" s="149">
        <v>53620</v>
      </c>
      <c r="H4697" s="150" t="str">
        <f t="shared" si="219"/>
        <v>5</v>
      </c>
      <c r="I4697" s="150" t="str">
        <f t="shared" si="220"/>
        <v>53</v>
      </c>
      <c r="J4697" s="150" t="str">
        <f t="shared" si="221"/>
        <v>536</v>
      </c>
      <c r="K4697" s="150" t="s">
        <v>9619</v>
      </c>
      <c r="L4697" s="149" t="s">
        <v>6122</v>
      </c>
      <c r="M4697" s="151">
        <v>0</v>
      </c>
    </row>
    <row r="4698" spans="1:13" s="149" customFormat="1" x14ac:dyDescent="0.25">
      <c r="A4698" s="149" t="s">
        <v>7640</v>
      </c>
      <c r="B4698" s="149" t="s">
        <v>6123</v>
      </c>
      <c r="C4698" s="149">
        <v>13</v>
      </c>
      <c r="D4698" s="149">
        <v>210</v>
      </c>
      <c r="E4698" s="149">
        <v>0</v>
      </c>
      <c r="F4698" s="149">
        <v>695000</v>
      </c>
      <c r="G4698" s="149">
        <v>55105</v>
      </c>
      <c r="H4698" s="150" t="str">
        <f t="shared" si="219"/>
        <v>5</v>
      </c>
      <c r="I4698" s="150" t="str">
        <f t="shared" si="220"/>
        <v>55</v>
      </c>
      <c r="J4698" s="150" t="str">
        <f t="shared" si="221"/>
        <v>551</v>
      </c>
      <c r="K4698" s="150" t="s">
        <v>9620</v>
      </c>
      <c r="L4698" s="149" t="s">
        <v>811</v>
      </c>
      <c r="M4698" s="151">
        <v>181303.74</v>
      </c>
    </row>
    <row r="4699" spans="1:13" s="149" customFormat="1" x14ac:dyDescent="0.25">
      <c r="A4699" s="149" t="s">
        <v>7640</v>
      </c>
      <c r="B4699" s="149" t="s">
        <v>6124</v>
      </c>
      <c r="C4699" s="149">
        <v>13</v>
      </c>
      <c r="D4699" s="149">
        <v>210</v>
      </c>
      <c r="E4699" s="149">
        <v>0</v>
      </c>
      <c r="F4699" s="149">
        <v>695000</v>
      </c>
      <c r="G4699" s="149">
        <v>55650</v>
      </c>
      <c r="H4699" s="150" t="str">
        <f t="shared" si="219"/>
        <v>5</v>
      </c>
      <c r="I4699" s="150" t="str">
        <f t="shared" si="220"/>
        <v>55</v>
      </c>
      <c r="J4699" s="150" t="str">
        <f t="shared" si="221"/>
        <v>556</v>
      </c>
      <c r="K4699" s="150" t="s">
        <v>9621</v>
      </c>
      <c r="L4699" s="149" t="s">
        <v>6125</v>
      </c>
      <c r="M4699" s="151">
        <v>4500</v>
      </c>
    </row>
    <row r="4700" spans="1:13" s="149" customFormat="1" x14ac:dyDescent="0.25">
      <c r="A4700" s="149" t="s">
        <v>7640</v>
      </c>
      <c r="B4700" s="149" t="s">
        <v>6126</v>
      </c>
      <c r="C4700" s="149">
        <v>13</v>
      </c>
      <c r="D4700" s="149">
        <v>210</v>
      </c>
      <c r="E4700" s="149">
        <v>0</v>
      </c>
      <c r="F4700" s="149">
        <v>695000</v>
      </c>
      <c r="G4700" s="149">
        <v>55861</v>
      </c>
      <c r="H4700" s="150" t="str">
        <f t="shared" si="219"/>
        <v>5</v>
      </c>
      <c r="I4700" s="150" t="str">
        <f t="shared" si="220"/>
        <v>55</v>
      </c>
      <c r="J4700" s="150" t="str">
        <f t="shared" si="221"/>
        <v>558</v>
      </c>
      <c r="K4700" s="150" t="s">
        <v>9622</v>
      </c>
      <c r="L4700" s="149" t="s">
        <v>6127</v>
      </c>
      <c r="M4700" s="151">
        <v>444.74</v>
      </c>
    </row>
    <row r="4701" spans="1:13" s="149" customFormat="1" x14ac:dyDescent="0.25">
      <c r="A4701" s="149" t="s">
        <v>7640</v>
      </c>
      <c r="B4701" s="149" t="s">
        <v>6128</v>
      </c>
      <c r="C4701" s="149">
        <v>13</v>
      </c>
      <c r="D4701" s="149">
        <v>210</v>
      </c>
      <c r="E4701" s="149">
        <v>0</v>
      </c>
      <c r="F4701" s="149">
        <v>702810</v>
      </c>
      <c r="G4701" s="149">
        <v>48682</v>
      </c>
      <c r="H4701" s="150" t="str">
        <f t="shared" si="219"/>
        <v>4</v>
      </c>
      <c r="I4701" s="150" t="str">
        <f t="shared" si="220"/>
        <v>48</v>
      </c>
      <c r="J4701" s="150" t="str">
        <f t="shared" si="221"/>
        <v>486</v>
      </c>
      <c r="K4701" s="150" t="s">
        <v>9623</v>
      </c>
      <c r="L4701" s="149" t="s">
        <v>6129</v>
      </c>
      <c r="M4701" s="151">
        <v>-195006.43</v>
      </c>
    </row>
    <row r="4702" spans="1:13" s="149" customFormat="1" x14ac:dyDescent="0.25">
      <c r="A4702" s="149" t="s">
        <v>7640</v>
      </c>
      <c r="B4702" s="149" t="s">
        <v>6130</v>
      </c>
      <c r="C4702" s="149">
        <v>13</v>
      </c>
      <c r="D4702" s="149">
        <v>210</v>
      </c>
      <c r="E4702" s="149">
        <v>0</v>
      </c>
      <c r="F4702" s="149">
        <v>702810</v>
      </c>
      <c r="G4702" s="149">
        <v>54300</v>
      </c>
      <c r="H4702" s="150" t="str">
        <f t="shared" si="219"/>
        <v>5</v>
      </c>
      <c r="I4702" s="150" t="str">
        <f t="shared" si="220"/>
        <v>54</v>
      </c>
      <c r="J4702" s="150" t="str">
        <f t="shared" si="221"/>
        <v>543</v>
      </c>
      <c r="K4702" s="150" t="s">
        <v>9624</v>
      </c>
      <c r="L4702" s="149" t="s">
        <v>6131</v>
      </c>
      <c r="M4702" s="151">
        <v>52915.4</v>
      </c>
    </row>
    <row r="4703" spans="1:13" s="149" customFormat="1" x14ac:dyDescent="0.25">
      <c r="A4703" s="149" t="s">
        <v>7640</v>
      </c>
      <c r="B4703" s="149" t="s">
        <v>6132</v>
      </c>
      <c r="C4703" s="149">
        <v>13</v>
      </c>
      <c r="D4703" s="149">
        <v>210</v>
      </c>
      <c r="E4703" s="149">
        <v>0</v>
      </c>
      <c r="F4703" s="149">
        <v>702810</v>
      </c>
      <c r="G4703" s="149">
        <v>55105</v>
      </c>
      <c r="H4703" s="150" t="str">
        <f t="shared" si="219"/>
        <v>5</v>
      </c>
      <c r="I4703" s="150" t="str">
        <f t="shared" si="220"/>
        <v>55</v>
      </c>
      <c r="J4703" s="150" t="str">
        <f t="shared" si="221"/>
        <v>551</v>
      </c>
      <c r="K4703" s="150" t="s">
        <v>9625</v>
      </c>
      <c r="L4703" s="149" t="s">
        <v>6133</v>
      </c>
      <c r="M4703" s="151">
        <v>60805.24</v>
      </c>
    </row>
    <row r="4704" spans="1:13" s="149" customFormat="1" x14ac:dyDescent="0.25">
      <c r="A4704" s="149" t="s">
        <v>7640</v>
      </c>
      <c r="B4704" s="149" t="s">
        <v>6134</v>
      </c>
      <c r="C4704" s="149">
        <v>13</v>
      </c>
      <c r="D4704" s="149">
        <v>210</v>
      </c>
      <c r="E4704" s="149">
        <v>0</v>
      </c>
      <c r="F4704" s="149">
        <v>702810</v>
      </c>
      <c r="G4704" s="149">
        <v>56341</v>
      </c>
      <c r="H4704" s="150" t="str">
        <f t="shared" si="219"/>
        <v>5</v>
      </c>
      <c r="I4704" s="150" t="str">
        <f t="shared" si="220"/>
        <v>56</v>
      </c>
      <c r="J4704" s="150" t="str">
        <f t="shared" si="221"/>
        <v>563</v>
      </c>
      <c r="K4704" s="150" t="s">
        <v>9626</v>
      </c>
      <c r="L4704" s="149" t="s">
        <v>6135</v>
      </c>
      <c r="M4704" s="151">
        <v>78904.179999999993</v>
      </c>
    </row>
    <row r="4705" spans="1:13" s="149" customFormat="1" x14ac:dyDescent="0.25">
      <c r="A4705" s="149" t="s">
        <v>7640</v>
      </c>
      <c r="B4705" s="149" t="s">
        <v>6136</v>
      </c>
      <c r="C4705" s="149">
        <v>13</v>
      </c>
      <c r="D4705" s="149">
        <v>210</v>
      </c>
      <c r="E4705" s="149">
        <v>0</v>
      </c>
      <c r="F4705" s="149">
        <v>702810</v>
      </c>
      <c r="G4705" s="149">
        <v>56400</v>
      </c>
      <c r="H4705" s="150" t="str">
        <f t="shared" si="219"/>
        <v>5</v>
      </c>
      <c r="I4705" s="150" t="str">
        <f t="shared" si="220"/>
        <v>56</v>
      </c>
      <c r="J4705" s="150" t="str">
        <f t="shared" si="221"/>
        <v>564</v>
      </c>
      <c r="K4705" s="150" t="s">
        <v>9627</v>
      </c>
      <c r="L4705" s="149" t="s">
        <v>6137</v>
      </c>
      <c r="M4705" s="151">
        <v>0</v>
      </c>
    </row>
    <row r="4706" spans="1:13" s="149" customFormat="1" x14ac:dyDescent="0.25">
      <c r="A4706" s="149" t="s">
        <v>7640</v>
      </c>
      <c r="B4706" s="149" t="s">
        <v>6138</v>
      </c>
      <c r="C4706" s="149">
        <v>31</v>
      </c>
      <c r="D4706" s="149">
        <v>240</v>
      </c>
      <c r="E4706" s="149">
        <v>0</v>
      </c>
      <c r="F4706" s="149">
        <v>0</v>
      </c>
      <c r="G4706" s="149">
        <v>48850</v>
      </c>
      <c r="H4706" s="150" t="str">
        <f t="shared" si="219"/>
        <v>4</v>
      </c>
      <c r="I4706" s="150" t="str">
        <f t="shared" si="220"/>
        <v>48</v>
      </c>
      <c r="J4706" s="150" t="str">
        <f t="shared" si="221"/>
        <v>488</v>
      </c>
      <c r="K4706" s="150" t="s">
        <v>9628</v>
      </c>
      <c r="L4706" s="149" t="s">
        <v>6139</v>
      </c>
      <c r="M4706" s="151">
        <v>-41395.68</v>
      </c>
    </row>
    <row r="4707" spans="1:13" s="149" customFormat="1" x14ac:dyDescent="0.25">
      <c r="A4707" s="149" t="s">
        <v>7640</v>
      </c>
      <c r="B4707" s="149" t="s">
        <v>6140</v>
      </c>
      <c r="C4707" s="149">
        <v>31</v>
      </c>
      <c r="D4707" s="149">
        <v>240</v>
      </c>
      <c r="E4707" s="149">
        <v>0</v>
      </c>
      <c r="F4707" s="149">
        <v>0</v>
      </c>
      <c r="G4707" s="149">
        <v>48860</v>
      </c>
      <c r="H4707" s="150" t="str">
        <f t="shared" si="219"/>
        <v>4</v>
      </c>
      <c r="I4707" s="150" t="str">
        <f t="shared" si="220"/>
        <v>48</v>
      </c>
      <c r="J4707" s="150" t="str">
        <f t="shared" si="221"/>
        <v>488</v>
      </c>
      <c r="K4707" s="150" t="s">
        <v>9629</v>
      </c>
      <c r="L4707" s="149" t="s">
        <v>41</v>
      </c>
      <c r="M4707" s="151">
        <v>-3673.87</v>
      </c>
    </row>
    <row r="4708" spans="1:13" s="149" customFormat="1" x14ac:dyDescent="0.25">
      <c r="A4708" s="149" t="s">
        <v>7640</v>
      </c>
      <c r="B4708" s="149" t="s">
        <v>6141</v>
      </c>
      <c r="C4708" s="149">
        <v>31</v>
      </c>
      <c r="D4708" s="149">
        <v>240</v>
      </c>
      <c r="E4708" s="149">
        <v>0</v>
      </c>
      <c r="F4708" s="149">
        <v>0</v>
      </c>
      <c r="G4708" s="149">
        <v>57300</v>
      </c>
      <c r="H4708" s="150" t="str">
        <f t="shared" si="219"/>
        <v>5</v>
      </c>
      <c r="I4708" s="150" t="str">
        <f t="shared" si="220"/>
        <v>57</v>
      </c>
      <c r="J4708" s="150" t="str">
        <f t="shared" si="221"/>
        <v>573</v>
      </c>
      <c r="K4708" s="150" t="s">
        <v>9630</v>
      </c>
      <c r="L4708" s="149" t="s">
        <v>6142</v>
      </c>
      <c r="M4708" s="151">
        <v>0</v>
      </c>
    </row>
    <row r="4709" spans="1:13" s="149" customFormat="1" x14ac:dyDescent="0.25">
      <c r="A4709" s="149" t="s">
        <v>7640</v>
      </c>
      <c r="B4709" s="149" t="s">
        <v>6222</v>
      </c>
      <c r="C4709" s="149">
        <v>41</v>
      </c>
      <c r="D4709" s="149">
        <v>200</v>
      </c>
      <c r="E4709" s="149">
        <v>0</v>
      </c>
      <c r="F4709" s="149">
        <v>0</v>
      </c>
      <c r="G4709" s="149">
        <v>48816</v>
      </c>
      <c r="H4709" s="150" t="str">
        <f t="shared" si="219"/>
        <v>4</v>
      </c>
      <c r="I4709" s="150" t="str">
        <f t="shared" si="220"/>
        <v>48</v>
      </c>
      <c r="J4709" s="150" t="str">
        <f t="shared" si="221"/>
        <v>488</v>
      </c>
      <c r="K4709" s="150" t="s">
        <v>9631</v>
      </c>
      <c r="L4709" s="149" t="s">
        <v>6223</v>
      </c>
      <c r="M4709" s="151">
        <v>-44201</v>
      </c>
    </row>
    <row r="4710" spans="1:13" s="149" customFormat="1" x14ac:dyDescent="0.25">
      <c r="A4710" s="149" t="s">
        <v>7640</v>
      </c>
      <c r="B4710" s="149" t="s">
        <v>6224</v>
      </c>
      <c r="C4710" s="149">
        <v>41</v>
      </c>
      <c r="D4710" s="149">
        <v>200</v>
      </c>
      <c r="E4710" s="149">
        <v>0</v>
      </c>
      <c r="F4710" s="149">
        <v>0</v>
      </c>
      <c r="G4710" s="149">
        <v>48818</v>
      </c>
      <c r="H4710" s="150" t="str">
        <f t="shared" si="219"/>
        <v>4</v>
      </c>
      <c r="I4710" s="150" t="str">
        <f t="shared" si="220"/>
        <v>48</v>
      </c>
      <c r="J4710" s="150" t="str">
        <f t="shared" si="221"/>
        <v>488</v>
      </c>
      <c r="K4710" s="150" t="s">
        <v>9632</v>
      </c>
      <c r="L4710" s="149" t="s">
        <v>37</v>
      </c>
      <c r="M4710" s="151">
        <v>-98201.94</v>
      </c>
    </row>
    <row r="4711" spans="1:13" s="149" customFormat="1" x14ac:dyDescent="0.25">
      <c r="A4711" s="149" t="s">
        <v>7640</v>
      </c>
      <c r="B4711" s="149" t="s">
        <v>6225</v>
      </c>
      <c r="C4711" s="149">
        <v>41</v>
      </c>
      <c r="D4711" s="149">
        <v>200</v>
      </c>
      <c r="E4711" s="149">
        <v>0</v>
      </c>
      <c r="F4711" s="149">
        <v>0</v>
      </c>
      <c r="G4711" s="149">
        <v>48860</v>
      </c>
      <c r="H4711" s="150" t="str">
        <f t="shared" si="219"/>
        <v>4</v>
      </c>
      <c r="I4711" s="150" t="str">
        <f t="shared" si="220"/>
        <v>48</v>
      </c>
      <c r="J4711" s="150" t="str">
        <f t="shared" si="221"/>
        <v>488</v>
      </c>
      <c r="K4711" s="150" t="s">
        <v>9633</v>
      </c>
      <c r="L4711" s="149" t="s">
        <v>41</v>
      </c>
      <c r="M4711" s="151">
        <v>-9941.48</v>
      </c>
    </row>
    <row r="4712" spans="1:13" s="149" customFormat="1" x14ac:dyDescent="0.25">
      <c r="A4712" s="149" t="s">
        <v>7640</v>
      </c>
      <c r="B4712" s="149" t="s">
        <v>9634</v>
      </c>
      <c r="C4712" s="149">
        <v>41</v>
      </c>
      <c r="D4712" s="149">
        <v>200</v>
      </c>
      <c r="E4712" s="149">
        <v>0</v>
      </c>
      <c r="F4712" s="149">
        <v>659010</v>
      </c>
      <c r="G4712" s="149">
        <v>55105</v>
      </c>
      <c r="H4712" s="150" t="str">
        <f t="shared" si="219"/>
        <v>5</v>
      </c>
      <c r="I4712" s="150" t="str">
        <f t="shared" si="220"/>
        <v>55</v>
      </c>
      <c r="J4712" s="150" t="str">
        <f t="shared" si="221"/>
        <v>551</v>
      </c>
      <c r="K4712" s="150" t="s">
        <v>9635</v>
      </c>
      <c r="L4712" s="149" t="s">
        <v>931</v>
      </c>
      <c r="M4712" s="151">
        <v>0</v>
      </c>
    </row>
    <row r="4713" spans="1:13" s="149" customFormat="1" x14ac:dyDescent="0.25">
      <c r="A4713" s="149" t="s">
        <v>7640</v>
      </c>
      <c r="B4713" s="149" t="s">
        <v>9636</v>
      </c>
      <c r="C4713" s="149">
        <v>41</v>
      </c>
      <c r="D4713" s="149">
        <v>200</v>
      </c>
      <c r="E4713" s="149">
        <v>0</v>
      </c>
      <c r="F4713" s="149">
        <v>659010</v>
      </c>
      <c r="G4713" s="149">
        <v>56400</v>
      </c>
      <c r="H4713" s="150" t="str">
        <f t="shared" si="219"/>
        <v>5</v>
      </c>
      <c r="I4713" s="150" t="str">
        <f t="shared" si="220"/>
        <v>56</v>
      </c>
      <c r="J4713" s="150" t="str">
        <f t="shared" si="221"/>
        <v>564</v>
      </c>
      <c r="K4713" s="150" t="s">
        <v>9637</v>
      </c>
      <c r="L4713" s="149" t="s">
        <v>9638</v>
      </c>
      <c r="M4713" s="151">
        <v>0</v>
      </c>
    </row>
    <row r="4714" spans="1:13" s="149" customFormat="1" x14ac:dyDescent="0.25">
      <c r="A4714" s="149" t="s">
        <v>7640</v>
      </c>
      <c r="B4714" s="149" t="s">
        <v>6226</v>
      </c>
      <c r="C4714" s="149">
        <v>41</v>
      </c>
      <c r="D4714" s="149">
        <v>200</v>
      </c>
      <c r="E4714" s="149">
        <v>0</v>
      </c>
      <c r="F4714" s="149">
        <v>672020</v>
      </c>
      <c r="G4714" s="149">
        <v>55663</v>
      </c>
      <c r="H4714" s="150" t="str">
        <f t="shared" si="219"/>
        <v>5</v>
      </c>
      <c r="I4714" s="150" t="str">
        <f t="shared" si="220"/>
        <v>55</v>
      </c>
      <c r="J4714" s="150" t="str">
        <f t="shared" si="221"/>
        <v>556</v>
      </c>
      <c r="K4714" s="150" t="s">
        <v>9639</v>
      </c>
      <c r="L4714" s="149" t="s">
        <v>743</v>
      </c>
      <c r="M4714" s="151">
        <v>485.83</v>
      </c>
    </row>
    <row r="4715" spans="1:13" s="149" customFormat="1" x14ac:dyDescent="0.25">
      <c r="A4715" s="149" t="s">
        <v>7640</v>
      </c>
      <c r="B4715" s="149" t="s">
        <v>6227</v>
      </c>
      <c r="C4715" s="149">
        <v>41</v>
      </c>
      <c r="D4715" s="149">
        <v>200</v>
      </c>
      <c r="E4715" s="149">
        <v>0</v>
      </c>
      <c r="F4715" s="149">
        <v>672020</v>
      </c>
      <c r="G4715" s="149">
        <v>55800</v>
      </c>
      <c r="H4715" s="150" t="str">
        <f t="shared" si="219"/>
        <v>5</v>
      </c>
      <c r="I4715" s="150" t="str">
        <f t="shared" si="220"/>
        <v>55</v>
      </c>
      <c r="J4715" s="150" t="str">
        <f t="shared" si="221"/>
        <v>558</v>
      </c>
      <c r="K4715" s="150" t="s">
        <v>9640</v>
      </c>
      <c r="L4715" s="149" t="s">
        <v>747</v>
      </c>
      <c r="M4715" s="151">
        <v>467.5</v>
      </c>
    </row>
    <row r="4716" spans="1:13" s="149" customFormat="1" x14ac:dyDescent="0.25">
      <c r="A4716" s="149" t="s">
        <v>7640</v>
      </c>
      <c r="B4716" s="149" t="s">
        <v>6228</v>
      </c>
      <c r="C4716" s="149">
        <v>41</v>
      </c>
      <c r="D4716" s="149">
        <v>200</v>
      </c>
      <c r="E4716" s="149">
        <v>0</v>
      </c>
      <c r="F4716" s="149">
        <v>672020</v>
      </c>
      <c r="G4716" s="149">
        <v>56400</v>
      </c>
      <c r="H4716" s="150" t="str">
        <f t="shared" si="219"/>
        <v>5</v>
      </c>
      <c r="I4716" s="150" t="str">
        <f t="shared" si="220"/>
        <v>56</v>
      </c>
      <c r="J4716" s="150" t="str">
        <f t="shared" si="221"/>
        <v>564</v>
      </c>
      <c r="K4716" s="150" t="s">
        <v>9641</v>
      </c>
      <c r="L4716" s="149" t="s">
        <v>6229</v>
      </c>
      <c r="M4716" s="151">
        <v>2000.01</v>
      </c>
    </row>
    <row r="4717" spans="1:13" s="149" customFormat="1" x14ac:dyDescent="0.25">
      <c r="A4717" s="149" t="s">
        <v>7640</v>
      </c>
      <c r="B4717" s="149" t="s">
        <v>6230</v>
      </c>
      <c r="C4717" s="149">
        <v>41</v>
      </c>
      <c r="D4717" s="149">
        <v>210</v>
      </c>
      <c r="E4717" s="149">
        <v>0</v>
      </c>
      <c r="F4717" s="149">
        <v>672020</v>
      </c>
      <c r="G4717" s="149">
        <v>48890</v>
      </c>
      <c r="H4717" s="150" t="str">
        <f t="shared" si="219"/>
        <v>4</v>
      </c>
      <c r="I4717" s="150" t="str">
        <f t="shared" si="220"/>
        <v>48</v>
      </c>
      <c r="J4717" s="150" t="str">
        <f t="shared" si="221"/>
        <v>488</v>
      </c>
      <c r="K4717" s="150" t="s">
        <v>9642</v>
      </c>
      <c r="L4717" s="149" t="s">
        <v>6231</v>
      </c>
      <c r="M4717" s="151">
        <v>-26318.89</v>
      </c>
    </row>
    <row r="4718" spans="1:13" s="149" customFormat="1" x14ac:dyDescent="0.25">
      <c r="A4718" s="149" t="s">
        <v>7640</v>
      </c>
      <c r="B4718" s="149" t="s">
        <v>6232</v>
      </c>
      <c r="C4718" s="149">
        <v>41</v>
      </c>
      <c r="D4718" s="149">
        <v>210</v>
      </c>
      <c r="E4718" s="149">
        <v>0</v>
      </c>
      <c r="F4718" s="149">
        <v>672020</v>
      </c>
      <c r="G4718" s="149">
        <v>55105</v>
      </c>
      <c r="H4718" s="150" t="str">
        <f t="shared" si="219"/>
        <v>5</v>
      </c>
      <c r="I4718" s="150" t="str">
        <f t="shared" si="220"/>
        <v>55</v>
      </c>
      <c r="J4718" s="150" t="str">
        <f t="shared" si="221"/>
        <v>551</v>
      </c>
      <c r="K4718" s="150" t="s">
        <v>9643</v>
      </c>
      <c r="L4718" s="149" t="s">
        <v>727</v>
      </c>
      <c r="M4718" s="151">
        <v>-37</v>
      </c>
    </row>
    <row r="4719" spans="1:13" s="149" customFormat="1" x14ac:dyDescent="0.25">
      <c r="A4719" s="149" t="s">
        <v>7640</v>
      </c>
      <c r="B4719" s="149" t="s">
        <v>6233</v>
      </c>
      <c r="C4719" s="149">
        <v>41</v>
      </c>
      <c r="D4719" s="149">
        <v>210</v>
      </c>
      <c r="E4719" s="149">
        <v>0</v>
      </c>
      <c r="F4719" s="149">
        <v>672020</v>
      </c>
      <c r="G4719" s="149">
        <v>55600</v>
      </c>
      <c r="H4719" s="150" t="str">
        <f t="shared" si="219"/>
        <v>5</v>
      </c>
      <c r="I4719" s="150" t="str">
        <f t="shared" si="220"/>
        <v>55</v>
      </c>
      <c r="J4719" s="150" t="str">
        <f t="shared" si="221"/>
        <v>556</v>
      </c>
      <c r="K4719" s="150" t="s">
        <v>9644</v>
      </c>
      <c r="L4719" s="149" t="s">
        <v>737</v>
      </c>
      <c r="M4719" s="151">
        <v>82592.95</v>
      </c>
    </row>
    <row r="4720" spans="1:13" s="149" customFormat="1" x14ac:dyDescent="0.25">
      <c r="A4720" s="149" t="s">
        <v>7640</v>
      </c>
      <c r="B4720" s="149" t="s">
        <v>6234</v>
      </c>
      <c r="C4720" s="149">
        <v>41</v>
      </c>
      <c r="D4720" s="149">
        <v>220</v>
      </c>
      <c r="E4720" s="149">
        <v>0</v>
      </c>
      <c r="F4720" s="149">
        <v>651000</v>
      </c>
      <c r="G4720" s="149">
        <v>55105</v>
      </c>
      <c r="H4720" s="150" t="str">
        <f t="shared" si="219"/>
        <v>5</v>
      </c>
      <c r="I4720" s="150" t="str">
        <f t="shared" si="220"/>
        <v>55</v>
      </c>
      <c r="J4720" s="150" t="str">
        <f t="shared" si="221"/>
        <v>551</v>
      </c>
      <c r="K4720" s="150" t="s">
        <v>9645</v>
      </c>
      <c r="L4720" s="149" t="s">
        <v>6235</v>
      </c>
      <c r="M4720" s="151">
        <v>30000</v>
      </c>
    </row>
    <row r="4721" spans="1:13" s="149" customFormat="1" x14ac:dyDescent="0.25">
      <c r="A4721" s="149" t="s">
        <v>7640</v>
      </c>
      <c r="B4721" s="149" t="s">
        <v>6236</v>
      </c>
      <c r="C4721" s="149">
        <v>41</v>
      </c>
      <c r="D4721" s="149">
        <v>220</v>
      </c>
      <c r="E4721" s="149">
        <v>0</v>
      </c>
      <c r="F4721" s="149">
        <v>659010</v>
      </c>
      <c r="G4721" s="149">
        <v>48890</v>
      </c>
      <c r="H4721" s="150" t="str">
        <f t="shared" si="219"/>
        <v>4</v>
      </c>
      <c r="I4721" s="150" t="str">
        <f t="shared" si="220"/>
        <v>48</v>
      </c>
      <c r="J4721" s="150" t="str">
        <f t="shared" si="221"/>
        <v>488</v>
      </c>
      <c r="K4721" s="150" t="s">
        <v>9646</v>
      </c>
      <c r="L4721" s="149" t="s">
        <v>6237</v>
      </c>
      <c r="M4721" s="151">
        <v>0</v>
      </c>
    </row>
    <row r="4722" spans="1:13" s="149" customFormat="1" x14ac:dyDescent="0.25">
      <c r="A4722" s="149" t="s">
        <v>7640</v>
      </c>
      <c r="B4722" s="149" t="s">
        <v>6238</v>
      </c>
      <c r="C4722" s="149">
        <v>41</v>
      </c>
      <c r="D4722" s="149">
        <v>220</v>
      </c>
      <c r="E4722" s="149">
        <v>0</v>
      </c>
      <c r="F4722" s="149">
        <v>659010</v>
      </c>
      <c r="G4722" s="149">
        <v>55105</v>
      </c>
      <c r="H4722" s="150" t="str">
        <f t="shared" si="219"/>
        <v>5</v>
      </c>
      <c r="I4722" s="150" t="str">
        <f t="shared" si="220"/>
        <v>55</v>
      </c>
      <c r="J4722" s="150" t="str">
        <f t="shared" si="221"/>
        <v>551</v>
      </c>
      <c r="K4722" s="150" t="s">
        <v>9647</v>
      </c>
      <c r="L4722" s="149" t="s">
        <v>931</v>
      </c>
      <c r="M4722" s="151">
        <v>92400</v>
      </c>
    </row>
    <row r="4723" spans="1:13" s="149" customFormat="1" x14ac:dyDescent="0.25">
      <c r="A4723" s="149" t="s">
        <v>7640</v>
      </c>
      <c r="B4723" s="149" t="s">
        <v>6239</v>
      </c>
      <c r="C4723" s="149">
        <v>41</v>
      </c>
      <c r="D4723" s="149">
        <v>220</v>
      </c>
      <c r="E4723" s="149">
        <v>0</v>
      </c>
      <c r="F4723" s="149">
        <v>659010</v>
      </c>
      <c r="G4723" s="149">
        <v>56100</v>
      </c>
      <c r="H4723" s="150" t="str">
        <f t="shared" si="219"/>
        <v>5</v>
      </c>
      <c r="I4723" s="150" t="str">
        <f t="shared" si="220"/>
        <v>56</v>
      </c>
      <c r="J4723" s="150" t="str">
        <f t="shared" si="221"/>
        <v>561</v>
      </c>
      <c r="K4723" s="150" t="s">
        <v>9648</v>
      </c>
      <c r="L4723" s="149" t="s">
        <v>6240</v>
      </c>
      <c r="M4723" s="151">
        <v>0</v>
      </c>
    </row>
    <row r="4724" spans="1:13" s="149" customFormat="1" x14ac:dyDescent="0.25">
      <c r="A4724" s="149" t="s">
        <v>7640</v>
      </c>
      <c r="B4724" s="149" t="s">
        <v>6241</v>
      </c>
      <c r="C4724" s="149">
        <v>41</v>
      </c>
      <c r="D4724" s="149">
        <v>220</v>
      </c>
      <c r="E4724" s="149">
        <v>2</v>
      </c>
      <c r="F4724" s="149">
        <v>651000</v>
      </c>
      <c r="G4724" s="149">
        <v>55105</v>
      </c>
      <c r="H4724" s="150" t="str">
        <f t="shared" si="219"/>
        <v>5</v>
      </c>
      <c r="I4724" s="150" t="str">
        <f t="shared" si="220"/>
        <v>55</v>
      </c>
      <c r="J4724" s="150" t="str">
        <f t="shared" si="221"/>
        <v>551</v>
      </c>
      <c r="K4724" s="150" t="s">
        <v>9649</v>
      </c>
      <c r="L4724" s="149" t="s">
        <v>6235</v>
      </c>
      <c r="M4724" s="151">
        <v>0</v>
      </c>
    </row>
    <row r="4725" spans="1:13" s="149" customFormat="1" x14ac:dyDescent="0.25">
      <c r="A4725" s="149" t="s">
        <v>7640</v>
      </c>
      <c r="B4725" s="149" t="s">
        <v>6242</v>
      </c>
      <c r="C4725" s="149">
        <v>41</v>
      </c>
      <c r="D4725" s="149">
        <v>304</v>
      </c>
      <c r="E4725" s="149">
        <v>0</v>
      </c>
      <c r="F4725" s="149">
        <v>190200</v>
      </c>
      <c r="G4725" s="149">
        <v>56400</v>
      </c>
      <c r="H4725" s="150" t="str">
        <f t="shared" si="219"/>
        <v>5</v>
      </c>
      <c r="I4725" s="150" t="str">
        <f t="shared" si="220"/>
        <v>56</v>
      </c>
      <c r="J4725" s="150" t="str">
        <f t="shared" si="221"/>
        <v>564</v>
      </c>
      <c r="K4725" s="150" t="s">
        <v>9650</v>
      </c>
      <c r="L4725" s="149" t="s">
        <v>6243</v>
      </c>
      <c r="M4725" s="151">
        <v>0</v>
      </c>
    </row>
    <row r="4726" spans="1:13" s="149" customFormat="1" x14ac:dyDescent="0.25">
      <c r="A4726" s="149" t="s">
        <v>7640</v>
      </c>
      <c r="B4726" s="149" t="s">
        <v>6244</v>
      </c>
      <c r="C4726" s="149">
        <v>41</v>
      </c>
      <c r="D4726" s="149">
        <v>600</v>
      </c>
      <c r="E4726" s="149">
        <v>0</v>
      </c>
      <c r="F4726" s="149">
        <v>678000</v>
      </c>
      <c r="G4726" s="149">
        <v>55105</v>
      </c>
      <c r="H4726" s="150" t="str">
        <f t="shared" si="219"/>
        <v>5</v>
      </c>
      <c r="I4726" s="150" t="str">
        <f t="shared" si="220"/>
        <v>55</v>
      </c>
      <c r="J4726" s="150" t="str">
        <f t="shared" si="221"/>
        <v>551</v>
      </c>
      <c r="K4726" s="150" t="s">
        <v>9651</v>
      </c>
      <c r="L4726" s="149" t="s">
        <v>3315</v>
      </c>
      <c r="M4726" s="151">
        <v>2025</v>
      </c>
    </row>
    <row r="4727" spans="1:13" s="149" customFormat="1" x14ac:dyDescent="0.25">
      <c r="A4727" s="149" t="s">
        <v>7640</v>
      </c>
      <c r="B4727" s="149" t="s">
        <v>6245</v>
      </c>
      <c r="C4727" s="149">
        <v>41</v>
      </c>
      <c r="D4727" s="149">
        <v>600</v>
      </c>
      <c r="E4727" s="149">
        <v>0</v>
      </c>
      <c r="F4727" s="149">
        <v>678000</v>
      </c>
      <c r="G4727" s="149">
        <v>56400</v>
      </c>
      <c r="H4727" s="150" t="str">
        <f t="shared" si="219"/>
        <v>5</v>
      </c>
      <c r="I4727" s="150" t="str">
        <f t="shared" si="220"/>
        <v>56</v>
      </c>
      <c r="J4727" s="150" t="str">
        <f t="shared" si="221"/>
        <v>564</v>
      </c>
      <c r="K4727" s="150" t="s">
        <v>9652</v>
      </c>
      <c r="L4727" s="149" t="s">
        <v>3333</v>
      </c>
      <c r="M4727" s="151">
        <v>35083.85</v>
      </c>
    </row>
    <row r="4728" spans="1:13" s="149" customFormat="1" x14ac:dyDescent="0.25">
      <c r="A4728" s="149" t="s">
        <v>7640</v>
      </c>
      <c r="B4728" s="149" t="s">
        <v>6246</v>
      </c>
      <c r="C4728" s="149">
        <v>41</v>
      </c>
      <c r="D4728" s="149">
        <v>600</v>
      </c>
      <c r="E4728" s="149">
        <v>0</v>
      </c>
      <c r="F4728" s="149">
        <v>678000</v>
      </c>
      <c r="G4728" s="149">
        <v>56405</v>
      </c>
      <c r="H4728" s="150" t="str">
        <f t="shared" si="219"/>
        <v>5</v>
      </c>
      <c r="I4728" s="150" t="str">
        <f t="shared" si="220"/>
        <v>56</v>
      </c>
      <c r="J4728" s="150" t="str">
        <f t="shared" si="221"/>
        <v>564</v>
      </c>
      <c r="K4728" s="150" t="s">
        <v>9653</v>
      </c>
      <c r="L4728" s="149" t="s">
        <v>6247</v>
      </c>
      <c r="M4728" s="151">
        <v>0</v>
      </c>
    </row>
    <row r="4729" spans="1:13" s="149" customFormat="1" x14ac:dyDescent="0.25">
      <c r="A4729" s="149" t="s">
        <v>7640</v>
      </c>
      <c r="B4729" s="149" t="s">
        <v>6250</v>
      </c>
      <c r="C4729" s="149">
        <v>44</v>
      </c>
      <c r="D4729" s="149">
        <v>0</v>
      </c>
      <c r="E4729" s="149">
        <v>0</v>
      </c>
      <c r="F4729" s="149">
        <v>0</v>
      </c>
      <c r="G4729" s="149">
        <v>55105</v>
      </c>
      <c r="H4729" s="150" t="str">
        <f t="shared" si="219"/>
        <v>5</v>
      </c>
      <c r="I4729" s="150" t="str">
        <f t="shared" si="220"/>
        <v>55</v>
      </c>
      <c r="J4729" s="150" t="str">
        <f t="shared" si="221"/>
        <v>551</v>
      </c>
      <c r="K4729" s="150" t="s">
        <v>9654</v>
      </c>
      <c r="L4729" s="149" t="s">
        <v>6251</v>
      </c>
      <c r="M4729" s="151">
        <v>0</v>
      </c>
    </row>
    <row r="4730" spans="1:13" s="149" customFormat="1" x14ac:dyDescent="0.25">
      <c r="A4730" s="149" t="s">
        <v>7640</v>
      </c>
      <c r="B4730" s="149" t="s">
        <v>6252</v>
      </c>
      <c r="C4730" s="149">
        <v>44</v>
      </c>
      <c r="D4730" s="149">
        <v>200</v>
      </c>
      <c r="E4730" s="149">
        <v>0</v>
      </c>
      <c r="F4730" s="149">
        <v>0</v>
      </c>
      <c r="G4730" s="149">
        <v>48850</v>
      </c>
      <c r="H4730" s="150" t="str">
        <f t="shared" si="219"/>
        <v>4</v>
      </c>
      <c r="I4730" s="150" t="str">
        <f t="shared" si="220"/>
        <v>48</v>
      </c>
      <c r="J4730" s="150" t="str">
        <f t="shared" si="221"/>
        <v>488</v>
      </c>
      <c r="K4730" s="150" t="s">
        <v>9655</v>
      </c>
      <c r="L4730" s="149" t="s">
        <v>6139</v>
      </c>
      <c r="M4730" s="151">
        <v>-302850.61</v>
      </c>
    </row>
    <row r="4731" spans="1:13" s="149" customFormat="1" x14ac:dyDescent="0.25">
      <c r="A4731" s="149" t="s">
        <v>7640</v>
      </c>
      <c r="B4731" s="149" t="s">
        <v>6253</v>
      </c>
      <c r="C4731" s="149">
        <v>44</v>
      </c>
      <c r="D4731" s="149">
        <v>200</v>
      </c>
      <c r="E4731" s="149">
        <v>0</v>
      </c>
      <c r="F4731" s="149">
        <v>0</v>
      </c>
      <c r="G4731" s="149">
        <v>48860</v>
      </c>
      <c r="H4731" s="150" t="str">
        <f t="shared" si="219"/>
        <v>4</v>
      </c>
      <c r="I4731" s="150" t="str">
        <f t="shared" si="220"/>
        <v>48</v>
      </c>
      <c r="J4731" s="150" t="str">
        <f t="shared" si="221"/>
        <v>488</v>
      </c>
      <c r="K4731" s="150" t="s">
        <v>9656</v>
      </c>
      <c r="L4731" s="149" t="s">
        <v>41</v>
      </c>
      <c r="M4731" s="151">
        <v>-8806.3799999999992</v>
      </c>
    </row>
    <row r="4732" spans="1:13" s="149" customFormat="1" x14ac:dyDescent="0.25">
      <c r="A4732" s="149" t="s">
        <v>7640</v>
      </c>
      <c r="B4732" s="149" t="s">
        <v>6254</v>
      </c>
      <c r="C4732" s="149">
        <v>44</v>
      </c>
      <c r="D4732" s="149">
        <v>200</v>
      </c>
      <c r="E4732" s="149">
        <v>0</v>
      </c>
      <c r="F4732" s="149">
        <v>0</v>
      </c>
      <c r="G4732" s="149">
        <v>55105</v>
      </c>
      <c r="H4732" s="150" t="str">
        <f t="shared" si="219"/>
        <v>5</v>
      </c>
      <c r="I4732" s="150" t="str">
        <f t="shared" si="220"/>
        <v>55</v>
      </c>
      <c r="J4732" s="150" t="str">
        <f t="shared" si="221"/>
        <v>551</v>
      </c>
      <c r="K4732" s="150" t="s">
        <v>9657</v>
      </c>
      <c r="L4732" s="149" t="s">
        <v>6251</v>
      </c>
      <c r="M4732" s="151">
        <v>4319.75</v>
      </c>
    </row>
    <row r="4733" spans="1:13" s="149" customFormat="1" x14ac:dyDescent="0.25">
      <c r="A4733" s="149" t="s">
        <v>7640</v>
      </c>
      <c r="B4733" s="149" t="s">
        <v>6255</v>
      </c>
      <c r="C4733" s="149">
        <v>44</v>
      </c>
      <c r="D4733" s="149">
        <v>200</v>
      </c>
      <c r="E4733" s="149">
        <v>0</v>
      </c>
      <c r="F4733" s="149">
        <v>0</v>
      </c>
      <c r="G4733" s="149">
        <v>55540</v>
      </c>
      <c r="H4733" s="150" t="str">
        <f t="shared" si="219"/>
        <v>5</v>
      </c>
      <c r="I4733" s="150" t="str">
        <f t="shared" si="220"/>
        <v>55</v>
      </c>
      <c r="J4733" s="150" t="str">
        <f t="shared" si="221"/>
        <v>555</v>
      </c>
      <c r="K4733" s="150" t="s">
        <v>9658</v>
      </c>
      <c r="L4733" s="149" t="s">
        <v>6256</v>
      </c>
      <c r="M4733" s="151">
        <v>1005.67</v>
      </c>
    </row>
    <row r="4734" spans="1:13" s="149" customFormat="1" x14ac:dyDescent="0.25">
      <c r="A4734" s="149" t="s">
        <v>7640</v>
      </c>
      <c r="B4734" s="149" t="s">
        <v>6257</v>
      </c>
      <c r="C4734" s="149">
        <v>44</v>
      </c>
      <c r="D4734" s="149">
        <v>200</v>
      </c>
      <c r="E4734" s="149">
        <v>0</v>
      </c>
      <c r="F4734" s="149">
        <v>0</v>
      </c>
      <c r="G4734" s="149">
        <v>55560</v>
      </c>
      <c r="H4734" s="150" t="str">
        <f t="shared" si="219"/>
        <v>5</v>
      </c>
      <c r="I4734" s="150" t="str">
        <f t="shared" si="220"/>
        <v>55</v>
      </c>
      <c r="J4734" s="150" t="str">
        <f t="shared" si="221"/>
        <v>555</v>
      </c>
      <c r="K4734" s="150" t="s">
        <v>9659</v>
      </c>
      <c r="L4734" s="149" t="s">
        <v>6258</v>
      </c>
      <c r="M4734" s="151">
        <v>601.23</v>
      </c>
    </row>
    <row r="4735" spans="1:13" s="149" customFormat="1" x14ac:dyDescent="0.25">
      <c r="A4735" s="149" t="s">
        <v>7640</v>
      </c>
      <c r="B4735" s="149" t="s">
        <v>6259</v>
      </c>
      <c r="C4735" s="149">
        <v>44</v>
      </c>
      <c r="D4735" s="149">
        <v>200</v>
      </c>
      <c r="E4735" s="149">
        <v>0</v>
      </c>
      <c r="F4735" s="149">
        <v>0</v>
      </c>
      <c r="G4735" s="149">
        <v>55570</v>
      </c>
      <c r="H4735" s="150" t="str">
        <f t="shared" si="219"/>
        <v>5</v>
      </c>
      <c r="I4735" s="150" t="str">
        <f t="shared" si="220"/>
        <v>55</v>
      </c>
      <c r="J4735" s="150" t="str">
        <f t="shared" si="221"/>
        <v>555</v>
      </c>
      <c r="K4735" s="150" t="s">
        <v>9660</v>
      </c>
      <c r="L4735" s="149" t="s">
        <v>6260</v>
      </c>
      <c r="M4735" s="151">
        <v>2605.5</v>
      </c>
    </row>
    <row r="4736" spans="1:13" s="149" customFormat="1" x14ac:dyDescent="0.25">
      <c r="A4736" s="149" t="s">
        <v>7640</v>
      </c>
      <c r="B4736" s="149" t="s">
        <v>6261</v>
      </c>
      <c r="C4736" s="149">
        <v>44</v>
      </c>
      <c r="D4736" s="149">
        <v>200</v>
      </c>
      <c r="E4736" s="149">
        <v>0</v>
      </c>
      <c r="F4736" s="149">
        <v>0</v>
      </c>
      <c r="G4736" s="149">
        <v>55580</v>
      </c>
      <c r="H4736" s="150" t="str">
        <f t="shared" si="219"/>
        <v>5</v>
      </c>
      <c r="I4736" s="150" t="str">
        <f t="shared" si="220"/>
        <v>55</v>
      </c>
      <c r="J4736" s="150" t="str">
        <f t="shared" si="221"/>
        <v>555</v>
      </c>
      <c r="K4736" s="150" t="s">
        <v>9661</v>
      </c>
      <c r="L4736" s="149" t="s">
        <v>6262</v>
      </c>
      <c r="M4736" s="151">
        <v>573.57000000000005</v>
      </c>
    </row>
    <row r="4737" spans="1:13" s="149" customFormat="1" x14ac:dyDescent="0.25">
      <c r="A4737" s="149" t="s">
        <v>7640</v>
      </c>
      <c r="B4737" s="149" t="s">
        <v>6263</v>
      </c>
      <c r="C4737" s="149">
        <v>44</v>
      </c>
      <c r="D4737" s="149">
        <v>200</v>
      </c>
      <c r="E4737" s="149">
        <v>0</v>
      </c>
      <c r="F4737" s="149">
        <v>0</v>
      </c>
      <c r="G4737" s="149">
        <v>55600</v>
      </c>
      <c r="H4737" s="150" t="str">
        <f t="shared" si="219"/>
        <v>5</v>
      </c>
      <c r="I4737" s="150" t="str">
        <f t="shared" si="220"/>
        <v>55</v>
      </c>
      <c r="J4737" s="150" t="str">
        <f t="shared" si="221"/>
        <v>556</v>
      </c>
      <c r="K4737" s="150" t="s">
        <v>9662</v>
      </c>
      <c r="L4737" s="149" t="s">
        <v>6139</v>
      </c>
      <c r="M4737" s="151">
        <v>0</v>
      </c>
    </row>
    <row r="4738" spans="1:13" s="149" customFormat="1" x14ac:dyDescent="0.25">
      <c r="A4738" s="149" t="s">
        <v>7640</v>
      </c>
      <c r="B4738" s="149" t="s">
        <v>6264</v>
      </c>
      <c r="C4738" s="149">
        <v>44</v>
      </c>
      <c r="D4738" s="149">
        <v>200</v>
      </c>
      <c r="E4738" s="149">
        <v>0</v>
      </c>
      <c r="F4738" s="149">
        <v>0</v>
      </c>
      <c r="G4738" s="149">
        <v>55642</v>
      </c>
      <c r="H4738" s="150" t="str">
        <f t="shared" si="219"/>
        <v>5</v>
      </c>
      <c r="I4738" s="150" t="str">
        <f t="shared" si="220"/>
        <v>55</v>
      </c>
      <c r="J4738" s="150" t="str">
        <f t="shared" si="221"/>
        <v>556</v>
      </c>
      <c r="K4738" s="150" t="s">
        <v>9663</v>
      </c>
      <c r="L4738" s="149" t="s">
        <v>6265</v>
      </c>
      <c r="M4738" s="151">
        <v>1465.5</v>
      </c>
    </row>
    <row r="4739" spans="1:13" s="149" customFormat="1" x14ac:dyDescent="0.25">
      <c r="A4739" s="149" t="s">
        <v>7640</v>
      </c>
      <c r="B4739" s="149" t="s">
        <v>6266</v>
      </c>
      <c r="C4739" s="149">
        <v>44</v>
      </c>
      <c r="D4739" s="149">
        <v>200</v>
      </c>
      <c r="E4739" s="149">
        <v>0</v>
      </c>
      <c r="F4739" s="149">
        <v>0</v>
      </c>
      <c r="G4739" s="149">
        <v>55650</v>
      </c>
      <c r="H4739" s="150" t="str">
        <f t="shared" ref="H4739:H4802" si="222">LEFT(G4739,1)</f>
        <v>5</v>
      </c>
      <c r="I4739" s="150" t="str">
        <f t="shared" ref="I4739:I4802" si="223">LEFT(G4739,2)</f>
        <v>55</v>
      </c>
      <c r="J4739" s="150" t="str">
        <f t="shared" ref="J4739:J4802" si="224">LEFT(G4739,3)</f>
        <v>556</v>
      </c>
      <c r="K4739" s="150" t="s">
        <v>9664</v>
      </c>
      <c r="L4739" s="149" t="s">
        <v>6185</v>
      </c>
      <c r="M4739" s="151">
        <v>1099.8499999999999</v>
      </c>
    </row>
    <row r="4740" spans="1:13" s="149" customFormat="1" x14ac:dyDescent="0.25">
      <c r="A4740" s="149" t="s">
        <v>7640</v>
      </c>
      <c r="B4740" s="149" t="s">
        <v>6267</v>
      </c>
      <c r="C4740" s="149">
        <v>44</v>
      </c>
      <c r="D4740" s="149">
        <v>200</v>
      </c>
      <c r="E4740" s="149">
        <v>0</v>
      </c>
      <c r="F4740" s="149">
        <v>0</v>
      </c>
      <c r="G4740" s="149">
        <v>55651</v>
      </c>
      <c r="H4740" s="150" t="str">
        <f t="shared" si="222"/>
        <v>5</v>
      </c>
      <c r="I4740" s="150" t="str">
        <f t="shared" si="223"/>
        <v>55</v>
      </c>
      <c r="J4740" s="150" t="str">
        <f t="shared" si="224"/>
        <v>556</v>
      </c>
      <c r="K4740" s="150" t="s">
        <v>9665</v>
      </c>
      <c r="L4740" s="149" t="s">
        <v>6187</v>
      </c>
      <c r="M4740" s="151">
        <v>298</v>
      </c>
    </row>
    <row r="4741" spans="1:13" s="149" customFormat="1" x14ac:dyDescent="0.25">
      <c r="A4741" s="149" t="s">
        <v>7640</v>
      </c>
      <c r="B4741" s="149" t="s">
        <v>6268</v>
      </c>
      <c r="C4741" s="149">
        <v>44</v>
      </c>
      <c r="D4741" s="149">
        <v>200</v>
      </c>
      <c r="E4741" s="149">
        <v>0</v>
      </c>
      <c r="F4741" s="149">
        <v>0</v>
      </c>
      <c r="G4741" s="149">
        <v>55800</v>
      </c>
      <c r="H4741" s="150" t="str">
        <f t="shared" si="222"/>
        <v>5</v>
      </c>
      <c r="I4741" s="150" t="str">
        <f t="shared" si="223"/>
        <v>55</v>
      </c>
      <c r="J4741" s="150" t="str">
        <f t="shared" si="224"/>
        <v>558</v>
      </c>
      <c r="K4741" s="150" t="s">
        <v>9666</v>
      </c>
      <c r="L4741" s="149" t="s">
        <v>6269</v>
      </c>
      <c r="M4741" s="151">
        <v>11797.07</v>
      </c>
    </row>
    <row r="4742" spans="1:13" s="149" customFormat="1" x14ac:dyDescent="0.25">
      <c r="A4742" s="149" t="s">
        <v>7640</v>
      </c>
      <c r="B4742" s="149" t="s">
        <v>6270</v>
      </c>
      <c r="C4742" s="149">
        <v>44</v>
      </c>
      <c r="D4742" s="149">
        <v>200</v>
      </c>
      <c r="E4742" s="149">
        <v>0</v>
      </c>
      <c r="F4742" s="149">
        <v>0</v>
      </c>
      <c r="G4742" s="149">
        <v>56211</v>
      </c>
      <c r="H4742" s="150" t="str">
        <f t="shared" si="222"/>
        <v>5</v>
      </c>
      <c r="I4742" s="150" t="str">
        <f t="shared" si="223"/>
        <v>56</v>
      </c>
      <c r="J4742" s="150" t="str">
        <f t="shared" si="224"/>
        <v>562</v>
      </c>
      <c r="K4742" s="150" t="s">
        <v>9667</v>
      </c>
      <c r="L4742" s="149" t="s">
        <v>6271</v>
      </c>
      <c r="M4742" s="151">
        <v>0</v>
      </c>
    </row>
    <row r="4743" spans="1:13" s="149" customFormat="1" x14ac:dyDescent="0.25">
      <c r="A4743" s="149" t="s">
        <v>7640</v>
      </c>
      <c r="B4743" s="149" t="s">
        <v>6272</v>
      </c>
      <c r="C4743" s="149">
        <v>44</v>
      </c>
      <c r="D4743" s="149">
        <v>200</v>
      </c>
      <c r="E4743" s="149">
        <v>0</v>
      </c>
      <c r="F4743" s="149">
        <v>0</v>
      </c>
      <c r="G4743" s="149">
        <v>56400</v>
      </c>
      <c r="H4743" s="150" t="str">
        <f t="shared" si="222"/>
        <v>5</v>
      </c>
      <c r="I4743" s="150" t="str">
        <f t="shared" si="223"/>
        <v>56</v>
      </c>
      <c r="J4743" s="150" t="str">
        <f t="shared" si="224"/>
        <v>564</v>
      </c>
      <c r="K4743" s="150" t="s">
        <v>9668</v>
      </c>
      <c r="L4743" s="149" t="s">
        <v>6191</v>
      </c>
      <c r="M4743" s="151">
        <v>0</v>
      </c>
    </row>
    <row r="4744" spans="1:13" s="149" customFormat="1" x14ac:dyDescent="0.25">
      <c r="A4744" s="149" t="s">
        <v>7640</v>
      </c>
      <c r="B4744" s="149" t="s">
        <v>6273</v>
      </c>
      <c r="C4744" s="149">
        <v>44</v>
      </c>
      <c r="D4744" s="149">
        <v>200</v>
      </c>
      <c r="E4744" s="149">
        <v>1</v>
      </c>
      <c r="F4744" s="149">
        <v>0</v>
      </c>
      <c r="G4744" s="149">
        <v>55800</v>
      </c>
      <c r="H4744" s="150" t="str">
        <f t="shared" si="222"/>
        <v>5</v>
      </c>
      <c r="I4744" s="150" t="str">
        <f t="shared" si="223"/>
        <v>55</v>
      </c>
      <c r="J4744" s="150" t="str">
        <f t="shared" si="224"/>
        <v>558</v>
      </c>
      <c r="K4744" s="150" t="s">
        <v>9669</v>
      </c>
      <c r="L4744" s="149" t="s">
        <v>6269</v>
      </c>
      <c r="M4744" s="151">
        <v>7076.91</v>
      </c>
    </row>
    <row r="4745" spans="1:13" s="149" customFormat="1" x14ac:dyDescent="0.25">
      <c r="A4745" s="149" t="s">
        <v>7640</v>
      </c>
      <c r="B4745" s="149" t="s">
        <v>6274</v>
      </c>
      <c r="C4745" s="149">
        <v>44</v>
      </c>
      <c r="D4745" s="149">
        <v>200</v>
      </c>
      <c r="E4745" s="149">
        <v>5</v>
      </c>
      <c r="F4745" s="149">
        <v>0</v>
      </c>
      <c r="G4745" s="149">
        <v>55800</v>
      </c>
      <c r="H4745" s="150" t="str">
        <f t="shared" si="222"/>
        <v>5</v>
      </c>
      <c r="I4745" s="150" t="str">
        <f t="shared" si="223"/>
        <v>55</v>
      </c>
      <c r="J4745" s="150" t="str">
        <f t="shared" si="224"/>
        <v>558</v>
      </c>
      <c r="K4745" s="150" t="s">
        <v>9670</v>
      </c>
      <c r="L4745" s="149" t="s">
        <v>6269</v>
      </c>
      <c r="M4745" s="151">
        <v>246.94</v>
      </c>
    </row>
    <row r="4746" spans="1:13" s="149" customFormat="1" x14ac:dyDescent="0.25">
      <c r="A4746" s="149" t="s">
        <v>7640</v>
      </c>
      <c r="B4746" s="149" t="s">
        <v>6275</v>
      </c>
      <c r="C4746" s="149">
        <v>44</v>
      </c>
      <c r="D4746" s="149">
        <v>220</v>
      </c>
      <c r="E4746" s="149">
        <v>0</v>
      </c>
      <c r="F4746" s="149">
        <v>0</v>
      </c>
      <c r="G4746" s="149">
        <v>55105</v>
      </c>
      <c r="H4746" s="150" t="str">
        <f t="shared" si="222"/>
        <v>5</v>
      </c>
      <c r="I4746" s="150" t="str">
        <f t="shared" si="223"/>
        <v>55</v>
      </c>
      <c r="J4746" s="150" t="str">
        <f t="shared" si="224"/>
        <v>551</v>
      </c>
      <c r="K4746" s="150" t="s">
        <v>9671</v>
      </c>
      <c r="L4746" s="149" t="s">
        <v>6251</v>
      </c>
      <c r="M4746" s="151">
        <v>55146.68</v>
      </c>
    </row>
    <row r="4747" spans="1:13" s="149" customFormat="1" x14ac:dyDescent="0.25">
      <c r="A4747" s="149" t="s">
        <v>7640</v>
      </c>
      <c r="B4747" s="149" t="s">
        <v>6276</v>
      </c>
      <c r="C4747" s="149">
        <v>44</v>
      </c>
      <c r="D4747" s="149">
        <v>220</v>
      </c>
      <c r="E4747" s="149">
        <v>0</v>
      </c>
      <c r="F4747" s="149">
        <v>0</v>
      </c>
      <c r="G4747" s="149">
        <v>55800</v>
      </c>
      <c r="H4747" s="150" t="str">
        <f t="shared" si="222"/>
        <v>5</v>
      </c>
      <c r="I4747" s="150" t="str">
        <f t="shared" si="223"/>
        <v>55</v>
      </c>
      <c r="J4747" s="150" t="str">
        <f t="shared" si="224"/>
        <v>558</v>
      </c>
      <c r="K4747" s="150" t="s">
        <v>9672</v>
      </c>
      <c r="L4747" s="149" t="s">
        <v>6269</v>
      </c>
      <c r="M4747" s="151">
        <v>21706</v>
      </c>
    </row>
    <row r="4748" spans="1:13" s="149" customFormat="1" x14ac:dyDescent="0.25">
      <c r="A4748" s="149" t="s">
        <v>7640</v>
      </c>
      <c r="B4748" s="149" t="s">
        <v>6277</v>
      </c>
      <c r="C4748" s="149">
        <v>44</v>
      </c>
      <c r="D4748" s="149">
        <v>220</v>
      </c>
      <c r="E4748" s="149">
        <v>0</v>
      </c>
      <c r="F4748" s="149">
        <v>0</v>
      </c>
      <c r="G4748" s="149">
        <v>56203</v>
      </c>
      <c r="H4748" s="150" t="str">
        <f t="shared" si="222"/>
        <v>5</v>
      </c>
      <c r="I4748" s="150" t="str">
        <f t="shared" si="223"/>
        <v>56</v>
      </c>
      <c r="J4748" s="150" t="str">
        <f t="shared" si="224"/>
        <v>562</v>
      </c>
      <c r="K4748" s="150" t="s">
        <v>9673</v>
      </c>
      <c r="L4748" s="149" t="s">
        <v>6278</v>
      </c>
      <c r="M4748" s="151">
        <v>30267.75</v>
      </c>
    </row>
    <row r="4749" spans="1:13" s="149" customFormat="1" x14ac:dyDescent="0.25">
      <c r="A4749" s="149" t="s">
        <v>7640</v>
      </c>
      <c r="B4749" s="149" t="s">
        <v>6279</v>
      </c>
      <c r="C4749" s="149">
        <v>44</v>
      </c>
      <c r="D4749" s="149">
        <v>220</v>
      </c>
      <c r="E4749" s="149">
        <v>0</v>
      </c>
      <c r="F4749" s="149">
        <v>0</v>
      </c>
      <c r="G4749" s="149">
        <v>56225</v>
      </c>
      <c r="H4749" s="150" t="str">
        <f t="shared" si="222"/>
        <v>5</v>
      </c>
      <c r="I4749" s="150" t="str">
        <f t="shared" si="223"/>
        <v>56</v>
      </c>
      <c r="J4749" s="150" t="str">
        <f t="shared" si="224"/>
        <v>562</v>
      </c>
      <c r="K4749" s="150" t="s">
        <v>9674</v>
      </c>
      <c r="L4749" s="149" t="s">
        <v>6280</v>
      </c>
      <c r="M4749" s="151">
        <v>375462.3</v>
      </c>
    </row>
    <row r="4750" spans="1:13" s="149" customFormat="1" x14ac:dyDescent="0.25">
      <c r="A4750" s="149" t="s">
        <v>7640</v>
      </c>
      <c r="B4750" s="149" t="s">
        <v>6281</v>
      </c>
      <c r="C4750" s="149">
        <v>44</v>
      </c>
      <c r="D4750" s="149">
        <v>220</v>
      </c>
      <c r="E4750" s="149">
        <v>0</v>
      </c>
      <c r="F4750" s="149">
        <v>0</v>
      </c>
      <c r="G4750" s="149">
        <v>56400</v>
      </c>
      <c r="H4750" s="150" t="str">
        <f t="shared" si="222"/>
        <v>5</v>
      </c>
      <c r="I4750" s="150" t="str">
        <f t="shared" si="223"/>
        <v>56</v>
      </c>
      <c r="J4750" s="150" t="str">
        <f t="shared" si="224"/>
        <v>564</v>
      </c>
      <c r="K4750" s="150" t="s">
        <v>9675</v>
      </c>
      <c r="L4750" s="149" t="s">
        <v>6191</v>
      </c>
      <c r="M4750" s="151">
        <v>0</v>
      </c>
    </row>
    <row r="4751" spans="1:13" s="149" customFormat="1" x14ac:dyDescent="0.25">
      <c r="A4751" s="149" t="s">
        <v>7640</v>
      </c>
      <c r="B4751" s="149" t="s">
        <v>6282</v>
      </c>
      <c r="C4751" s="149">
        <v>44</v>
      </c>
      <c r="D4751" s="149">
        <v>220</v>
      </c>
      <c r="E4751" s="149">
        <v>0</v>
      </c>
      <c r="F4751" s="149">
        <v>0</v>
      </c>
      <c r="G4751" s="149">
        <v>56405</v>
      </c>
      <c r="H4751" s="150" t="str">
        <f t="shared" si="222"/>
        <v>5</v>
      </c>
      <c r="I4751" s="150" t="str">
        <f t="shared" si="223"/>
        <v>56</v>
      </c>
      <c r="J4751" s="150" t="str">
        <f t="shared" si="224"/>
        <v>564</v>
      </c>
      <c r="K4751" s="150" t="s">
        <v>9676</v>
      </c>
      <c r="L4751" s="149" t="s">
        <v>6283</v>
      </c>
      <c r="M4751" s="151">
        <v>37509.85</v>
      </c>
    </row>
    <row r="4752" spans="1:13" s="149" customFormat="1" x14ac:dyDescent="0.25">
      <c r="A4752" s="149" t="s">
        <v>7640</v>
      </c>
      <c r="B4752" s="149" t="s">
        <v>6284</v>
      </c>
      <c r="C4752" s="149">
        <v>44</v>
      </c>
      <c r="D4752" s="149">
        <v>340</v>
      </c>
      <c r="E4752" s="149">
        <v>0</v>
      </c>
      <c r="F4752" s="149">
        <v>0</v>
      </c>
      <c r="G4752" s="149">
        <v>56224</v>
      </c>
      <c r="H4752" s="150" t="str">
        <f t="shared" si="222"/>
        <v>5</v>
      </c>
      <c r="I4752" s="150" t="str">
        <f t="shared" si="223"/>
        <v>56</v>
      </c>
      <c r="J4752" s="150" t="str">
        <f t="shared" si="224"/>
        <v>562</v>
      </c>
      <c r="K4752" s="150" t="s">
        <v>9677</v>
      </c>
      <c r="L4752" s="149" t="s">
        <v>6285</v>
      </c>
      <c r="M4752" s="151">
        <v>0</v>
      </c>
    </row>
    <row r="4753" spans="1:13" s="149" customFormat="1" x14ac:dyDescent="0.25">
      <c r="A4753" s="149" t="s">
        <v>7640</v>
      </c>
      <c r="B4753" s="149" t="s">
        <v>9678</v>
      </c>
      <c r="C4753" s="149">
        <v>44</v>
      </c>
      <c r="D4753" s="149">
        <v>400</v>
      </c>
      <c r="E4753" s="149">
        <v>0</v>
      </c>
      <c r="F4753" s="149">
        <v>649000</v>
      </c>
      <c r="G4753" s="149">
        <v>56200</v>
      </c>
      <c r="H4753" s="150" t="str">
        <f t="shared" si="222"/>
        <v>5</v>
      </c>
      <c r="I4753" s="150" t="str">
        <f t="shared" si="223"/>
        <v>56</v>
      </c>
      <c r="J4753" s="150" t="str">
        <f t="shared" si="224"/>
        <v>562</v>
      </c>
      <c r="K4753" s="150" t="s">
        <v>9679</v>
      </c>
      <c r="L4753" s="149" t="s">
        <v>9680</v>
      </c>
      <c r="M4753" s="151">
        <v>0</v>
      </c>
    </row>
    <row r="4754" spans="1:13" s="149" customFormat="1" x14ac:dyDescent="0.25">
      <c r="A4754" s="149" t="s">
        <v>7640</v>
      </c>
      <c r="B4754" s="149" t="s">
        <v>6286</v>
      </c>
      <c r="C4754" s="149">
        <v>46</v>
      </c>
      <c r="D4754" s="149">
        <v>0</v>
      </c>
      <c r="E4754" s="149">
        <v>0</v>
      </c>
      <c r="F4754" s="149">
        <v>0</v>
      </c>
      <c r="G4754" s="149">
        <v>48860</v>
      </c>
      <c r="H4754" s="150" t="str">
        <f t="shared" si="222"/>
        <v>4</v>
      </c>
      <c r="I4754" s="150" t="str">
        <f t="shared" si="223"/>
        <v>48</v>
      </c>
      <c r="J4754" s="150" t="str">
        <f t="shared" si="224"/>
        <v>488</v>
      </c>
      <c r="K4754" s="150" t="s">
        <v>9681</v>
      </c>
      <c r="L4754" s="149" t="s">
        <v>41</v>
      </c>
      <c r="M4754" s="151">
        <v>-640983.54</v>
      </c>
    </row>
    <row r="4755" spans="1:13" s="149" customFormat="1" x14ac:dyDescent="0.25">
      <c r="A4755" s="149" t="s">
        <v>7640</v>
      </c>
      <c r="B4755" s="149" t="s">
        <v>6287</v>
      </c>
      <c r="C4755" s="149">
        <v>46</v>
      </c>
      <c r="D4755" s="149">
        <v>0</v>
      </c>
      <c r="E4755" s="149">
        <v>0</v>
      </c>
      <c r="F4755" s="149">
        <v>0</v>
      </c>
      <c r="G4755" s="149">
        <v>56400</v>
      </c>
      <c r="H4755" s="150" t="str">
        <f t="shared" si="222"/>
        <v>5</v>
      </c>
      <c r="I4755" s="150" t="str">
        <f t="shared" si="223"/>
        <v>56</v>
      </c>
      <c r="J4755" s="150" t="str">
        <f t="shared" si="224"/>
        <v>564</v>
      </c>
      <c r="K4755" s="150" t="s">
        <v>9682</v>
      </c>
      <c r="L4755" s="149" t="s">
        <v>6191</v>
      </c>
      <c r="M4755" s="151">
        <v>0</v>
      </c>
    </row>
    <row r="4756" spans="1:13" s="149" customFormat="1" x14ac:dyDescent="0.25">
      <c r="A4756" s="149" t="s">
        <v>7640</v>
      </c>
      <c r="B4756" s="149" t="s">
        <v>6288</v>
      </c>
      <c r="C4756" s="149">
        <v>46</v>
      </c>
      <c r="D4756" s="149">
        <v>0</v>
      </c>
      <c r="E4756" s="149">
        <v>0</v>
      </c>
      <c r="F4756" s="149">
        <v>801000</v>
      </c>
      <c r="G4756" s="149">
        <v>52105</v>
      </c>
      <c r="H4756" s="150" t="str">
        <f t="shared" si="222"/>
        <v>5</v>
      </c>
      <c r="I4756" s="150" t="str">
        <f t="shared" si="223"/>
        <v>52</v>
      </c>
      <c r="J4756" s="150" t="str">
        <f t="shared" si="224"/>
        <v>521</v>
      </c>
      <c r="K4756" s="150" t="s">
        <v>9683</v>
      </c>
      <c r="L4756" s="149" t="s">
        <v>6289</v>
      </c>
      <c r="M4756" s="151">
        <v>110358.19</v>
      </c>
    </row>
    <row r="4757" spans="1:13" s="149" customFormat="1" x14ac:dyDescent="0.25">
      <c r="A4757" s="149" t="s">
        <v>7640</v>
      </c>
      <c r="B4757" s="149" t="s">
        <v>6290</v>
      </c>
      <c r="C4757" s="149">
        <v>46</v>
      </c>
      <c r="D4757" s="149">
        <v>0</v>
      </c>
      <c r="E4757" s="149">
        <v>0</v>
      </c>
      <c r="F4757" s="149">
        <v>801000</v>
      </c>
      <c r="G4757" s="149">
        <v>52130</v>
      </c>
      <c r="H4757" s="150" t="str">
        <f t="shared" si="222"/>
        <v>5</v>
      </c>
      <c r="I4757" s="150" t="str">
        <f t="shared" si="223"/>
        <v>52</v>
      </c>
      <c r="J4757" s="150" t="str">
        <f t="shared" si="224"/>
        <v>521</v>
      </c>
      <c r="K4757" s="150" t="s">
        <v>9684</v>
      </c>
      <c r="L4757" s="149" t="s">
        <v>6291</v>
      </c>
      <c r="M4757" s="151">
        <v>114978.1</v>
      </c>
    </row>
    <row r="4758" spans="1:13" s="149" customFormat="1" x14ac:dyDescent="0.25">
      <c r="A4758" s="149" t="s">
        <v>7640</v>
      </c>
      <c r="B4758" s="149" t="s">
        <v>6292</v>
      </c>
      <c r="C4758" s="149">
        <v>46</v>
      </c>
      <c r="D4758" s="149">
        <v>0</v>
      </c>
      <c r="E4758" s="149">
        <v>0</v>
      </c>
      <c r="F4758" s="149">
        <v>801000</v>
      </c>
      <c r="G4758" s="149">
        <v>53000</v>
      </c>
      <c r="H4758" s="150" t="str">
        <f t="shared" si="222"/>
        <v>5</v>
      </c>
      <c r="I4758" s="150" t="str">
        <f t="shared" si="223"/>
        <v>53</v>
      </c>
      <c r="J4758" s="150" t="str">
        <f t="shared" si="224"/>
        <v>530</v>
      </c>
      <c r="K4758" s="150" t="s">
        <v>9685</v>
      </c>
      <c r="L4758" s="149" t="s">
        <v>6293</v>
      </c>
      <c r="M4758" s="151">
        <v>0</v>
      </c>
    </row>
    <row r="4759" spans="1:13" s="149" customFormat="1" x14ac:dyDescent="0.25">
      <c r="A4759" s="149" t="s">
        <v>7640</v>
      </c>
      <c r="B4759" s="149" t="s">
        <v>6294</v>
      </c>
      <c r="C4759" s="149">
        <v>46</v>
      </c>
      <c r="D4759" s="149">
        <v>0</v>
      </c>
      <c r="E4759" s="149">
        <v>0</v>
      </c>
      <c r="F4759" s="149">
        <v>801000</v>
      </c>
      <c r="G4759" s="149">
        <v>53220</v>
      </c>
      <c r="H4759" s="150" t="str">
        <f t="shared" si="222"/>
        <v>5</v>
      </c>
      <c r="I4759" s="150" t="str">
        <f t="shared" si="223"/>
        <v>53</v>
      </c>
      <c r="J4759" s="150" t="str">
        <f t="shared" si="224"/>
        <v>532</v>
      </c>
      <c r="K4759" s="150" t="s">
        <v>9686</v>
      </c>
      <c r="L4759" s="149" t="s">
        <v>6295</v>
      </c>
      <c r="M4759" s="151">
        <v>46647.01</v>
      </c>
    </row>
    <row r="4760" spans="1:13" s="149" customFormat="1" x14ac:dyDescent="0.25">
      <c r="A4760" s="149" t="s">
        <v>7640</v>
      </c>
      <c r="B4760" s="149" t="s">
        <v>6296</v>
      </c>
      <c r="C4760" s="149">
        <v>46</v>
      </c>
      <c r="D4760" s="149">
        <v>0</v>
      </c>
      <c r="E4760" s="149">
        <v>0</v>
      </c>
      <c r="F4760" s="149">
        <v>801000</v>
      </c>
      <c r="G4760" s="149">
        <v>53320</v>
      </c>
      <c r="H4760" s="150" t="str">
        <f t="shared" si="222"/>
        <v>5</v>
      </c>
      <c r="I4760" s="150" t="str">
        <f t="shared" si="223"/>
        <v>53</v>
      </c>
      <c r="J4760" s="150" t="str">
        <f t="shared" si="224"/>
        <v>533</v>
      </c>
      <c r="K4760" s="150" t="s">
        <v>9687</v>
      </c>
      <c r="L4760" s="149" t="s">
        <v>6297</v>
      </c>
      <c r="M4760" s="151">
        <v>12901.98</v>
      </c>
    </row>
    <row r="4761" spans="1:13" s="149" customFormat="1" x14ac:dyDescent="0.25">
      <c r="A4761" s="149" t="s">
        <v>7640</v>
      </c>
      <c r="B4761" s="149" t="s">
        <v>6298</v>
      </c>
      <c r="C4761" s="149">
        <v>46</v>
      </c>
      <c r="D4761" s="149">
        <v>0</v>
      </c>
      <c r="E4761" s="149">
        <v>0</v>
      </c>
      <c r="F4761" s="149">
        <v>801000</v>
      </c>
      <c r="G4761" s="149">
        <v>53340</v>
      </c>
      <c r="H4761" s="150" t="str">
        <f t="shared" si="222"/>
        <v>5</v>
      </c>
      <c r="I4761" s="150" t="str">
        <f t="shared" si="223"/>
        <v>53</v>
      </c>
      <c r="J4761" s="150" t="str">
        <f t="shared" si="224"/>
        <v>533</v>
      </c>
      <c r="K4761" s="150" t="s">
        <v>9688</v>
      </c>
      <c r="L4761" s="149" t="s">
        <v>6299</v>
      </c>
      <c r="M4761" s="151">
        <v>3237.21</v>
      </c>
    </row>
    <row r="4762" spans="1:13" s="149" customFormat="1" x14ac:dyDescent="0.25">
      <c r="A4762" s="149" t="s">
        <v>7640</v>
      </c>
      <c r="B4762" s="149" t="s">
        <v>6300</v>
      </c>
      <c r="C4762" s="149">
        <v>46</v>
      </c>
      <c r="D4762" s="149">
        <v>0</v>
      </c>
      <c r="E4762" s="149">
        <v>0</v>
      </c>
      <c r="F4762" s="149">
        <v>801000</v>
      </c>
      <c r="G4762" s="149">
        <v>53420</v>
      </c>
      <c r="H4762" s="150" t="str">
        <f t="shared" si="222"/>
        <v>5</v>
      </c>
      <c r="I4762" s="150" t="str">
        <f t="shared" si="223"/>
        <v>53</v>
      </c>
      <c r="J4762" s="150" t="str">
        <f t="shared" si="224"/>
        <v>534</v>
      </c>
      <c r="K4762" s="150" t="s">
        <v>9689</v>
      </c>
      <c r="L4762" s="149" t="s">
        <v>6301</v>
      </c>
      <c r="M4762" s="151">
        <v>63839.55</v>
      </c>
    </row>
    <row r="4763" spans="1:13" s="149" customFormat="1" x14ac:dyDescent="0.25">
      <c r="A4763" s="149" t="s">
        <v>7640</v>
      </c>
      <c r="B4763" s="149" t="s">
        <v>6302</v>
      </c>
      <c r="C4763" s="149">
        <v>46</v>
      </c>
      <c r="D4763" s="149">
        <v>0</v>
      </c>
      <c r="E4763" s="149">
        <v>0</v>
      </c>
      <c r="F4763" s="149">
        <v>801000</v>
      </c>
      <c r="G4763" s="149">
        <v>53520</v>
      </c>
      <c r="H4763" s="150" t="str">
        <f t="shared" si="222"/>
        <v>5</v>
      </c>
      <c r="I4763" s="150" t="str">
        <f t="shared" si="223"/>
        <v>53</v>
      </c>
      <c r="J4763" s="150" t="str">
        <f t="shared" si="224"/>
        <v>535</v>
      </c>
      <c r="K4763" s="150" t="s">
        <v>9690</v>
      </c>
      <c r="L4763" s="149" t="s">
        <v>6303</v>
      </c>
      <c r="M4763" s="151">
        <v>112.66</v>
      </c>
    </row>
    <row r="4764" spans="1:13" s="149" customFormat="1" x14ac:dyDescent="0.25">
      <c r="A4764" s="149" t="s">
        <v>7640</v>
      </c>
      <c r="B4764" s="149" t="s">
        <v>6304</v>
      </c>
      <c r="C4764" s="149">
        <v>46</v>
      </c>
      <c r="D4764" s="149">
        <v>0</v>
      </c>
      <c r="E4764" s="149">
        <v>0</v>
      </c>
      <c r="F4764" s="149">
        <v>801000</v>
      </c>
      <c r="G4764" s="149">
        <v>53620</v>
      </c>
      <c r="H4764" s="150" t="str">
        <f t="shared" si="222"/>
        <v>5</v>
      </c>
      <c r="I4764" s="150" t="str">
        <f t="shared" si="223"/>
        <v>53</v>
      </c>
      <c r="J4764" s="150" t="str">
        <f t="shared" si="224"/>
        <v>536</v>
      </c>
      <c r="K4764" s="150" t="s">
        <v>9691</v>
      </c>
      <c r="L4764" s="149" t="s">
        <v>6305</v>
      </c>
      <c r="M4764" s="151">
        <v>4265.8599999999997</v>
      </c>
    </row>
    <row r="4765" spans="1:13" s="149" customFormat="1" x14ac:dyDescent="0.25">
      <c r="A4765" s="149" t="s">
        <v>7640</v>
      </c>
      <c r="B4765" s="149" t="s">
        <v>6306</v>
      </c>
      <c r="C4765" s="149">
        <v>46</v>
      </c>
      <c r="D4765" s="149">
        <v>0</v>
      </c>
      <c r="E4765" s="149">
        <v>0</v>
      </c>
      <c r="F4765" s="149">
        <v>801000</v>
      </c>
      <c r="G4765" s="149">
        <v>55630</v>
      </c>
      <c r="H4765" s="150" t="str">
        <f t="shared" si="222"/>
        <v>5</v>
      </c>
      <c r="I4765" s="150" t="str">
        <f t="shared" si="223"/>
        <v>55</v>
      </c>
      <c r="J4765" s="150" t="str">
        <f t="shared" si="224"/>
        <v>556</v>
      </c>
      <c r="K4765" s="150" t="s">
        <v>9692</v>
      </c>
      <c r="L4765" s="149" t="s">
        <v>6307</v>
      </c>
      <c r="M4765" s="151">
        <v>645.26</v>
      </c>
    </row>
    <row r="4766" spans="1:13" s="149" customFormat="1" x14ac:dyDescent="0.25">
      <c r="A4766" s="149" t="s">
        <v>7640</v>
      </c>
      <c r="B4766" s="149" t="s">
        <v>6308</v>
      </c>
      <c r="C4766" s="149">
        <v>46</v>
      </c>
      <c r="D4766" s="149">
        <v>0</v>
      </c>
      <c r="E4766" s="149">
        <v>0</v>
      </c>
      <c r="F4766" s="149">
        <v>801000</v>
      </c>
      <c r="G4766" s="149">
        <v>55700</v>
      </c>
      <c r="H4766" s="150" t="str">
        <f t="shared" si="222"/>
        <v>5</v>
      </c>
      <c r="I4766" s="150" t="str">
        <f t="shared" si="223"/>
        <v>55</v>
      </c>
      <c r="J4766" s="150" t="str">
        <f t="shared" si="224"/>
        <v>557</v>
      </c>
      <c r="K4766" s="150" t="s">
        <v>9693</v>
      </c>
      <c r="L4766" s="149" t="s">
        <v>6309</v>
      </c>
      <c r="M4766" s="151">
        <v>0</v>
      </c>
    </row>
    <row r="4767" spans="1:13" s="149" customFormat="1" x14ac:dyDescent="0.25">
      <c r="A4767" s="149" t="s">
        <v>7640</v>
      </c>
      <c r="B4767" s="149" t="s">
        <v>6310</v>
      </c>
      <c r="C4767" s="149">
        <v>46</v>
      </c>
      <c r="D4767" s="149">
        <v>0</v>
      </c>
      <c r="E4767" s="149">
        <v>0</v>
      </c>
      <c r="F4767" s="149">
        <v>801000</v>
      </c>
      <c r="G4767" s="149">
        <v>55710</v>
      </c>
      <c r="H4767" s="150" t="str">
        <f t="shared" si="222"/>
        <v>5</v>
      </c>
      <c r="I4767" s="150" t="str">
        <f t="shared" si="223"/>
        <v>55</v>
      </c>
      <c r="J4767" s="150" t="str">
        <f t="shared" si="224"/>
        <v>557</v>
      </c>
      <c r="K4767" s="150" t="s">
        <v>9694</v>
      </c>
      <c r="L4767" s="149" t="s">
        <v>6311</v>
      </c>
      <c r="M4767" s="151">
        <v>-341515.21</v>
      </c>
    </row>
    <row r="4768" spans="1:13" s="149" customFormat="1" x14ac:dyDescent="0.25">
      <c r="A4768" s="149" t="s">
        <v>7640</v>
      </c>
      <c r="B4768" s="149" t="s">
        <v>6312</v>
      </c>
      <c r="C4768" s="149">
        <v>46</v>
      </c>
      <c r="D4768" s="149">
        <v>1</v>
      </c>
      <c r="E4768" s="149">
        <v>0</v>
      </c>
      <c r="F4768" s="149">
        <v>880000</v>
      </c>
      <c r="G4768" s="149">
        <v>54300</v>
      </c>
      <c r="H4768" s="150" t="str">
        <f t="shared" si="222"/>
        <v>5</v>
      </c>
      <c r="I4768" s="150" t="str">
        <f t="shared" si="223"/>
        <v>54</v>
      </c>
      <c r="J4768" s="150" t="str">
        <f t="shared" si="224"/>
        <v>543</v>
      </c>
      <c r="K4768" s="150" t="s">
        <v>9695</v>
      </c>
      <c r="L4768" s="149" t="s">
        <v>6313</v>
      </c>
      <c r="M4768" s="151">
        <v>335.57</v>
      </c>
    </row>
    <row r="4769" spans="1:13" s="149" customFormat="1" x14ac:dyDescent="0.25">
      <c r="A4769" s="149" t="s">
        <v>7640</v>
      </c>
      <c r="B4769" s="149" t="s">
        <v>6314</v>
      </c>
      <c r="C4769" s="149">
        <v>46</v>
      </c>
      <c r="D4769" s="149">
        <v>1</v>
      </c>
      <c r="E4769" s="149">
        <v>0</v>
      </c>
      <c r="F4769" s="149">
        <v>880000</v>
      </c>
      <c r="G4769" s="149">
        <v>55200</v>
      </c>
      <c r="H4769" s="150" t="str">
        <f t="shared" si="222"/>
        <v>5</v>
      </c>
      <c r="I4769" s="150" t="str">
        <f t="shared" si="223"/>
        <v>55</v>
      </c>
      <c r="J4769" s="150" t="str">
        <f t="shared" si="224"/>
        <v>552</v>
      </c>
      <c r="K4769" s="150" t="s">
        <v>9696</v>
      </c>
      <c r="L4769" s="149" t="s">
        <v>6315</v>
      </c>
      <c r="M4769" s="151">
        <v>761.86</v>
      </c>
    </row>
    <row r="4770" spans="1:13" s="149" customFormat="1" x14ac:dyDescent="0.25">
      <c r="A4770" s="149" t="s">
        <v>7640</v>
      </c>
      <c r="B4770" s="149" t="s">
        <v>6316</v>
      </c>
      <c r="C4770" s="149">
        <v>46</v>
      </c>
      <c r="D4770" s="149">
        <v>1</v>
      </c>
      <c r="E4770" s="149">
        <v>0</v>
      </c>
      <c r="F4770" s="149">
        <v>880000</v>
      </c>
      <c r="G4770" s="149">
        <v>55635</v>
      </c>
      <c r="H4770" s="150" t="str">
        <f t="shared" si="222"/>
        <v>5</v>
      </c>
      <c r="I4770" s="150" t="str">
        <f t="shared" si="223"/>
        <v>55</v>
      </c>
      <c r="J4770" s="150" t="str">
        <f t="shared" si="224"/>
        <v>556</v>
      </c>
      <c r="K4770" s="150" t="s">
        <v>9697</v>
      </c>
      <c r="L4770" s="149" t="s">
        <v>6317</v>
      </c>
      <c r="M4770" s="151">
        <v>21.48</v>
      </c>
    </row>
    <row r="4771" spans="1:13" s="149" customFormat="1" x14ac:dyDescent="0.25">
      <c r="A4771" s="149" t="s">
        <v>7640</v>
      </c>
      <c r="B4771" s="149" t="s">
        <v>6318</v>
      </c>
      <c r="C4771" s="149">
        <v>46</v>
      </c>
      <c r="D4771" s="149">
        <v>1</v>
      </c>
      <c r="E4771" s="149">
        <v>0</v>
      </c>
      <c r="F4771" s="149">
        <v>880000</v>
      </c>
      <c r="G4771" s="149">
        <v>55700</v>
      </c>
      <c r="H4771" s="150" t="str">
        <f t="shared" si="222"/>
        <v>5</v>
      </c>
      <c r="I4771" s="150" t="str">
        <f t="shared" si="223"/>
        <v>55</v>
      </c>
      <c r="J4771" s="150" t="str">
        <f t="shared" si="224"/>
        <v>557</v>
      </c>
      <c r="K4771" s="150" t="s">
        <v>9698</v>
      </c>
      <c r="L4771" s="149" t="s">
        <v>6319</v>
      </c>
      <c r="M4771" s="151">
        <v>9430.69</v>
      </c>
    </row>
    <row r="4772" spans="1:13" s="149" customFormat="1" x14ac:dyDescent="0.25">
      <c r="A4772" s="149" t="s">
        <v>7640</v>
      </c>
      <c r="B4772" s="149" t="s">
        <v>6320</v>
      </c>
      <c r="C4772" s="149">
        <v>46</v>
      </c>
      <c r="D4772" s="149">
        <v>1</v>
      </c>
      <c r="E4772" s="149">
        <v>0</v>
      </c>
      <c r="F4772" s="149">
        <v>880100</v>
      </c>
      <c r="G4772" s="149">
        <v>55200</v>
      </c>
      <c r="H4772" s="150" t="str">
        <f t="shared" si="222"/>
        <v>5</v>
      </c>
      <c r="I4772" s="150" t="str">
        <f t="shared" si="223"/>
        <v>55</v>
      </c>
      <c r="J4772" s="150" t="str">
        <f t="shared" si="224"/>
        <v>552</v>
      </c>
      <c r="K4772" s="150" t="s">
        <v>9699</v>
      </c>
      <c r="L4772" s="149" t="s">
        <v>6321</v>
      </c>
      <c r="M4772" s="151">
        <v>119.5</v>
      </c>
    </row>
    <row r="4773" spans="1:13" s="149" customFormat="1" x14ac:dyDescent="0.25">
      <c r="A4773" s="149" t="s">
        <v>7640</v>
      </c>
      <c r="B4773" s="149" t="s">
        <v>6322</v>
      </c>
      <c r="C4773" s="149">
        <v>46</v>
      </c>
      <c r="D4773" s="149">
        <v>1</v>
      </c>
      <c r="E4773" s="149">
        <v>0</v>
      </c>
      <c r="F4773" s="149">
        <v>880200</v>
      </c>
      <c r="G4773" s="149">
        <v>56203</v>
      </c>
      <c r="H4773" s="150" t="str">
        <f t="shared" si="222"/>
        <v>5</v>
      </c>
      <c r="I4773" s="150" t="str">
        <f t="shared" si="223"/>
        <v>56</v>
      </c>
      <c r="J4773" s="150" t="str">
        <f t="shared" si="224"/>
        <v>562</v>
      </c>
      <c r="K4773" s="150" t="s">
        <v>9700</v>
      </c>
      <c r="L4773" s="149" t="s">
        <v>6323</v>
      </c>
      <c r="M4773" s="151">
        <v>274200</v>
      </c>
    </row>
    <row r="4774" spans="1:13" s="149" customFormat="1" x14ac:dyDescent="0.25">
      <c r="A4774" s="149" t="s">
        <v>7640</v>
      </c>
      <c r="B4774" s="149" t="s">
        <v>6324</v>
      </c>
      <c r="C4774" s="149">
        <v>46</v>
      </c>
      <c r="D4774" s="149">
        <v>1</v>
      </c>
      <c r="E4774" s="149">
        <v>0</v>
      </c>
      <c r="F4774" s="149">
        <v>880200</v>
      </c>
      <c r="G4774" s="149">
        <v>56210</v>
      </c>
      <c r="H4774" s="150" t="str">
        <f t="shared" si="222"/>
        <v>5</v>
      </c>
      <c r="I4774" s="150" t="str">
        <f t="shared" si="223"/>
        <v>56</v>
      </c>
      <c r="J4774" s="150" t="str">
        <f t="shared" si="224"/>
        <v>562</v>
      </c>
      <c r="K4774" s="150" t="s">
        <v>9701</v>
      </c>
      <c r="L4774" s="149" t="s">
        <v>6325</v>
      </c>
      <c r="M4774" s="151">
        <v>177147.44</v>
      </c>
    </row>
    <row r="4775" spans="1:13" s="149" customFormat="1" x14ac:dyDescent="0.25">
      <c r="A4775" s="149" t="s">
        <v>7640</v>
      </c>
      <c r="B4775" s="149" t="s">
        <v>6326</v>
      </c>
      <c r="C4775" s="149">
        <v>46</v>
      </c>
      <c r="D4775" s="149">
        <v>1</v>
      </c>
      <c r="E4775" s="149">
        <v>0</v>
      </c>
      <c r="F4775" s="149">
        <v>880200</v>
      </c>
      <c r="G4775" s="149">
        <v>56220</v>
      </c>
      <c r="H4775" s="150" t="str">
        <f t="shared" si="222"/>
        <v>5</v>
      </c>
      <c r="I4775" s="150" t="str">
        <f t="shared" si="223"/>
        <v>56</v>
      </c>
      <c r="J4775" s="150" t="str">
        <f t="shared" si="224"/>
        <v>562</v>
      </c>
      <c r="K4775" s="150" t="s">
        <v>9702</v>
      </c>
      <c r="L4775" s="149" t="s">
        <v>6327</v>
      </c>
      <c r="M4775" s="151">
        <v>21390.12</v>
      </c>
    </row>
    <row r="4776" spans="1:13" s="149" customFormat="1" x14ac:dyDescent="0.25">
      <c r="A4776" s="149" t="s">
        <v>7640</v>
      </c>
      <c r="B4776" s="149" t="s">
        <v>6328</v>
      </c>
      <c r="C4776" s="149">
        <v>46</v>
      </c>
      <c r="D4776" s="149">
        <v>1</v>
      </c>
      <c r="E4776" s="149">
        <v>0</v>
      </c>
      <c r="F4776" s="149">
        <v>880200</v>
      </c>
      <c r="G4776" s="149">
        <v>56222</v>
      </c>
      <c r="H4776" s="150" t="str">
        <f t="shared" si="222"/>
        <v>5</v>
      </c>
      <c r="I4776" s="150" t="str">
        <f t="shared" si="223"/>
        <v>56</v>
      </c>
      <c r="J4776" s="150" t="str">
        <f t="shared" si="224"/>
        <v>562</v>
      </c>
      <c r="K4776" s="150" t="s">
        <v>9703</v>
      </c>
      <c r="L4776" s="149" t="s">
        <v>6329</v>
      </c>
      <c r="M4776" s="151">
        <v>21390.12</v>
      </c>
    </row>
    <row r="4777" spans="1:13" s="149" customFormat="1" x14ac:dyDescent="0.25">
      <c r="A4777" s="149" t="s">
        <v>7640</v>
      </c>
      <c r="B4777" s="149" t="s">
        <v>6330</v>
      </c>
      <c r="C4777" s="149">
        <v>46</v>
      </c>
      <c r="D4777" s="149">
        <v>1</v>
      </c>
      <c r="E4777" s="149">
        <v>0</v>
      </c>
      <c r="F4777" s="149">
        <v>880200</v>
      </c>
      <c r="G4777" s="149">
        <v>56223</v>
      </c>
      <c r="H4777" s="150" t="str">
        <f t="shared" si="222"/>
        <v>5</v>
      </c>
      <c r="I4777" s="150" t="str">
        <f t="shared" si="223"/>
        <v>56</v>
      </c>
      <c r="J4777" s="150" t="str">
        <f t="shared" si="224"/>
        <v>562</v>
      </c>
      <c r="K4777" s="150" t="s">
        <v>9704</v>
      </c>
      <c r="L4777" s="149" t="s">
        <v>6331</v>
      </c>
      <c r="M4777" s="151">
        <v>25620</v>
      </c>
    </row>
    <row r="4778" spans="1:13" s="149" customFormat="1" x14ac:dyDescent="0.25">
      <c r="A4778" s="149" t="s">
        <v>7640</v>
      </c>
      <c r="B4778" s="149" t="s">
        <v>6332</v>
      </c>
      <c r="C4778" s="149">
        <v>46</v>
      </c>
      <c r="D4778" s="149">
        <v>1</v>
      </c>
      <c r="E4778" s="149">
        <v>0</v>
      </c>
      <c r="F4778" s="149">
        <v>880200</v>
      </c>
      <c r="G4778" s="149">
        <v>56225</v>
      </c>
      <c r="H4778" s="150" t="str">
        <f t="shared" si="222"/>
        <v>5</v>
      </c>
      <c r="I4778" s="150" t="str">
        <f t="shared" si="223"/>
        <v>56</v>
      </c>
      <c r="J4778" s="150" t="str">
        <f t="shared" si="224"/>
        <v>562</v>
      </c>
      <c r="K4778" s="150" t="s">
        <v>9705</v>
      </c>
      <c r="L4778" s="149" t="s">
        <v>6333</v>
      </c>
      <c r="M4778" s="151">
        <v>11144411.59</v>
      </c>
    </row>
    <row r="4779" spans="1:13" s="149" customFormat="1" x14ac:dyDescent="0.25">
      <c r="A4779" s="149" t="s">
        <v>7640</v>
      </c>
      <c r="B4779" s="149" t="s">
        <v>6334</v>
      </c>
      <c r="C4779" s="149">
        <v>46</v>
      </c>
      <c r="D4779" s="149">
        <v>1</v>
      </c>
      <c r="E4779" s="149">
        <v>0</v>
      </c>
      <c r="F4779" s="149">
        <v>880200</v>
      </c>
      <c r="G4779" s="149">
        <v>56250</v>
      </c>
      <c r="H4779" s="150" t="str">
        <f t="shared" si="222"/>
        <v>5</v>
      </c>
      <c r="I4779" s="150" t="str">
        <f t="shared" si="223"/>
        <v>56</v>
      </c>
      <c r="J4779" s="150" t="str">
        <f t="shared" si="224"/>
        <v>562</v>
      </c>
      <c r="K4779" s="150" t="s">
        <v>9706</v>
      </c>
      <c r="L4779" s="149" t="s">
        <v>6335</v>
      </c>
      <c r="M4779" s="151">
        <v>261496.5</v>
      </c>
    </row>
    <row r="4780" spans="1:13" s="149" customFormat="1" x14ac:dyDescent="0.25">
      <c r="A4780" s="149" t="s">
        <v>7640</v>
      </c>
      <c r="B4780" s="149" t="s">
        <v>6336</v>
      </c>
      <c r="C4780" s="149">
        <v>46</v>
      </c>
      <c r="D4780" s="149">
        <v>1</v>
      </c>
      <c r="E4780" s="149">
        <v>0</v>
      </c>
      <c r="F4780" s="149">
        <v>880300</v>
      </c>
      <c r="G4780" s="149">
        <v>56215</v>
      </c>
      <c r="H4780" s="150" t="str">
        <f t="shared" si="222"/>
        <v>5</v>
      </c>
      <c r="I4780" s="150" t="str">
        <f t="shared" si="223"/>
        <v>56</v>
      </c>
      <c r="J4780" s="150" t="str">
        <f t="shared" si="224"/>
        <v>562</v>
      </c>
      <c r="K4780" s="150" t="s">
        <v>9707</v>
      </c>
      <c r="L4780" s="149" t="s">
        <v>6337</v>
      </c>
      <c r="M4780" s="151">
        <v>23278.799999999999</v>
      </c>
    </row>
    <row r="4781" spans="1:13" s="149" customFormat="1" x14ac:dyDescent="0.25">
      <c r="A4781" s="149" t="s">
        <v>7640</v>
      </c>
      <c r="B4781" s="149" t="s">
        <v>6338</v>
      </c>
      <c r="C4781" s="149">
        <v>46</v>
      </c>
      <c r="D4781" s="149">
        <v>1</v>
      </c>
      <c r="E4781" s="149">
        <v>0</v>
      </c>
      <c r="F4781" s="149">
        <v>880400</v>
      </c>
      <c r="G4781" s="149">
        <v>56203</v>
      </c>
      <c r="H4781" s="150" t="str">
        <f t="shared" si="222"/>
        <v>5</v>
      </c>
      <c r="I4781" s="150" t="str">
        <f t="shared" si="223"/>
        <v>56</v>
      </c>
      <c r="J4781" s="150" t="str">
        <f t="shared" si="224"/>
        <v>562</v>
      </c>
      <c r="K4781" s="150" t="s">
        <v>9708</v>
      </c>
      <c r="L4781" s="149" t="s">
        <v>6339</v>
      </c>
      <c r="M4781" s="151">
        <v>141040</v>
      </c>
    </row>
    <row r="4782" spans="1:13" s="149" customFormat="1" x14ac:dyDescent="0.25">
      <c r="A4782" s="149" t="s">
        <v>7640</v>
      </c>
      <c r="B4782" s="149" t="s">
        <v>6340</v>
      </c>
      <c r="C4782" s="149">
        <v>46</v>
      </c>
      <c r="D4782" s="149">
        <v>1</v>
      </c>
      <c r="E4782" s="149">
        <v>0</v>
      </c>
      <c r="F4782" s="149">
        <v>880400</v>
      </c>
      <c r="G4782" s="149">
        <v>56210</v>
      </c>
      <c r="H4782" s="150" t="str">
        <f t="shared" si="222"/>
        <v>5</v>
      </c>
      <c r="I4782" s="150" t="str">
        <f t="shared" si="223"/>
        <v>56</v>
      </c>
      <c r="J4782" s="150" t="str">
        <f t="shared" si="224"/>
        <v>562</v>
      </c>
      <c r="K4782" s="150" t="s">
        <v>9709</v>
      </c>
      <c r="L4782" s="149" t="s">
        <v>6341</v>
      </c>
      <c r="M4782" s="151">
        <v>214444.86</v>
      </c>
    </row>
    <row r="4783" spans="1:13" s="149" customFormat="1" x14ac:dyDescent="0.25">
      <c r="A4783" s="149" t="s">
        <v>7640</v>
      </c>
      <c r="B4783" s="149" t="s">
        <v>6342</v>
      </c>
      <c r="C4783" s="149">
        <v>46</v>
      </c>
      <c r="D4783" s="149">
        <v>1</v>
      </c>
      <c r="E4783" s="149">
        <v>0</v>
      </c>
      <c r="F4783" s="149">
        <v>880400</v>
      </c>
      <c r="G4783" s="149">
        <v>56217</v>
      </c>
      <c r="H4783" s="150" t="str">
        <f t="shared" si="222"/>
        <v>5</v>
      </c>
      <c r="I4783" s="150" t="str">
        <f t="shared" si="223"/>
        <v>56</v>
      </c>
      <c r="J4783" s="150" t="str">
        <f t="shared" si="224"/>
        <v>562</v>
      </c>
      <c r="K4783" s="150" t="s">
        <v>9710</v>
      </c>
      <c r="L4783" s="149" t="s">
        <v>6343</v>
      </c>
      <c r="M4783" s="151">
        <v>553</v>
      </c>
    </row>
    <row r="4784" spans="1:13" s="149" customFormat="1" x14ac:dyDescent="0.25">
      <c r="A4784" s="149" t="s">
        <v>7640</v>
      </c>
      <c r="B4784" s="149" t="s">
        <v>6344</v>
      </c>
      <c r="C4784" s="149">
        <v>46</v>
      </c>
      <c r="D4784" s="149">
        <v>1</v>
      </c>
      <c r="E4784" s="149">
        <v>0</v>
      </c>
      <c r="F4784" s="149">
        <v>880400</v>
      </c>
      <c r="G4784" s="149">
        <v>56218</v>
      </c>
      <c r="H4784" s="150" t="str">
        <f t="shared" si="222"/>
        <v>5</v>
      </c>
      <c r="I4784" s="150" t="str">
        <f t="shared" si="223"/>
        <v>56</v>
      </c>
      <c r="J4784" s="150" t="str">
        <f t="shared" si="224"/>
        <v>562</v>
      </c>
      <c r="K4784" s="150" t="s">
        <v>9711</v>
      </c>
      <c r="L4784" s="149" t="s">
        <v>6345</v>
      </c>
      <c r="M4784" s="151">
        <v>275606.09000000003</v>
      </c>
    </row>
    <row r="4785" spans="1:13" s="149" customFormat="1" x14ac:dyDescent="0.25">
      <c r="A4785" s="149" t="s">
        <v>7640</v>
      </c>
      <c r="B4785" s="149" t="s">
        <v>6346</v>
      </c>
      <c r="C4785" s="149">
        <v>46</v>
      </c>
      <c r="D4785" s="149">
        <v>1</v>
      </c>
      <c r="E4785" s="149">
        <v>0</v>
      </c>
      <c r="F4785" s="149">
        <v>880400</v>
      </c>
      <c r="G4785" s="149">
        <v>56223</v>
      </c>
      <c r="H4785" s="150" t="str">
        <f t="shared" si="222"/>
        <v>5</v>
      </c>
      <c r="I4785" s="150" t="str">
        <f t="shared" si="223"/>
        <v>56</v>
      </c>
      <c r="J4785" s="150" t="str">
        <f t="shared" si="224"/>
        <v>562</v>
      </c>
      <c r="K4785" s="150" t="s">
        <v>9712</v>
      </c>
      <c r="L4785" s="149" t="s">
        <v>6347</v>
      </c>
      <c r="M4785" s="151">
        <v>18273.75</v>
      </c>
    </row>
    <row r="4786" spans="1:13" s="149" customFormat="1" x14ac:dyDescent="0.25">
      <c r="A4786" s="149" t="s">
        <v>7640</v>
      </c>
      <c r="B4786" s="149" t="s">
        <v>6348</v>
      </c>
      <c r="C4786" s="149">
        <v>46</v>
      </c>
      <c r="D4786" s="149">
        <v>1</v>
      </c>
      <c r="E4786" s="149">
        <v>0</v>
      </c>
      <c r="F4786" s="149">
        <v>880400</v>
      </c>
      <c r="G4786" s="149">
        <v>56224</v>
      </c>
      <c r="H4786" s="150" t="str">
        <f t="shared" si="222"/>
        <v>5</v>
      </c>
      <c r="I4786" s="150" t="str">
        <f t="shared" si="223"/>
        <v>56</v>
      </c>
      <c r="J4786" s="150" t="str">
        <f t="shared" si="224"/>
        <v>562</v>
      </c>
      <c r="K4786" s="150" t="s">
        <v>9713</v>
      </c>
      <c r="L4786" s="149" t="s">
        <v>6349</v>
      </c>
      <c r="M4786" s="151">
        <v>5620339.4000000004</v>
      </c>
    </row>
    <row r="4787" spans="1:13" s="149" customFormat="1" x14ac:dyDescent="0.25">
      <c r="A4787" s="149" t="s">
        <v>7640</v>
      </c>
      <c r="B4787" s="149" t="s">
        <v>6350</v>
      </c>
      <c r="C4787" s="149">
        <v>46</v>
      </c>
      <c r="D4787" s="149">
        <v>1</v>
      </c>
      <c r="E4787" s="149">
        <v>0</v>
      </c>
      <c r="F4787" s="149">
        <v>880400</v>
      </c>
      <c r="G4787" s="149">
        <v>56250</v>
      </c>
      <c r="H4787" s="150" t="str">
        <f t="shared" si="222"/>
        <v>5</v>
      </c>
      <c r="I4787" s="150" t="str">
        <f t="shared" si="223"/>
        <v>56</v>
      </c>
      <c r="J4787" s="150" t="str">
        <f t="shared" si="224"/>
        <v>562</v>
      </c>
      <c r="K4787" s="150" t="s">
        <v>9714</v>
      </c>
      <c r="L4787" s="149" t="s">
        <v>6351</v>
      </c>
      <c r="M4787" s="151">
        <v>67778.28</v>
      </c>
    </row>
    <row r="4788" spans="1:13" s="149" customFormat="1" x14ac:dyDescent="0.25">
      <c r="A4788" s="149" t="s">
        <v>7640</v>
      </c>
      <c r="B4788" s="149" t="s">
        <v>6352</v>
      </c>
      <c r="C4788" s="149">
        <v>46</v>
      </c>
      <c r="D4788" s="149">
        <v>1</v>
      </c>
      <c r="E4788" s="149">
        <v>0</v>
      </c>
      <c r="F4788" s="149">
        <v>881100</v>
      </c>
      <c r="G4788" s="149">
        <v>56226</v>
      </c>
      <c r="H4788" s="150" t="str">
        <f t="shared" si="222"/>
        <v>5</v>
      </c>
      <c r="I4788" s="150" t="str">
        <f t="shared" si="223"/>
        <v>56</v>
      </c>
      <c r="J4788" s="150" t="str">
        <f t="shared" si="224"/>
        <v>562</v>
      </c>
      <c r="K4788" s="150" t="s">
        <v>9715</v>
      </c>
      <c r="L4788" s="149" t="s">
        <v>6353</v>
      </c>
      <c r="M4788" s="151">
        <v>146321.64000000001</v>
      </c>
    </row>
    <row r="4789" spans="1:13" s="149" customFormat="1" x14ac:dyDescent="0.25">
      <c r="A4789" s="149" t="s">
        <v>7640</v>
      </c>
      <c r="B4789" s="149" t="s">
        <v>6354</v>
      </c>
      <c r="C4789" s="149">
        <v>46</v>
      </c>
      <c r="D4789" s="149">
        <v>1</v>
      </c>
      <c r="E4789" s="149">
        <v>2</v>
      </c>
      <c r="F4789" s="149">
        <v>880500</v>
      </c>
      <c r="G4789" s="149">
        <v>56202</v>
      </c>
      <c r="H4789" s="150" t="str">
        <f t="shared" si="222"/>
        <v>5</v>
      </c>
      <c r="I4789" s="150" t="str">
        <f t="shared" si="223"/>
        <v>56</v>
      </c>
      <c r="J4789" s="150" t="str">
        <f t="shared" si="224"/>
        <v>562</v>
      </c>
      <c r="K4789" s="150" t="s">
        <v>9716</v>
      </c>
      <c r="L4789" s="149" t="s">
        <v>6355</v>
      </c>
      <c r="M4789" s="151">
        <v>1848</v>
      </c>
    </row>
    <row r="4790" spans="1:13" s="149" customFormat="1" x14ac:dyDescent="0.25">
      <c r="A4790" s="149" t="s">
        <v>7640</v>
      </c>
      <c r="B4790" s="149" t="s">
        <v>6356</v>
      </c>
      <c r="C4790" s="149">
        <v>46</v>
      </c>
      <c r="D4790" s="149">
        <v>1</v>
      </c>
      <c r="E4790" s="149">
        <v>2</v>
      </c>
      <c r="F4790" s="149">
        <v>880500</v>
      </c>
      <c r="G4790" s="149">
        <v>56203</v>
      </c>
      <c r="H4790" s="150" t="str">
        <f t="shared" si="222"/>
        <v>5</v>
      </c>
      <c r="I4790" s="150" t="str">
        <f t="shared" si="223"/>
        <v>56</v>
      </c>
      <c r="J4790" s="150" t="str">
        <f t="shared" si="224"/>
        <v>562</v>
      </c>
      <c r="K4790" s="150" t="s">
        <v>9717</v>
      </c>
      <c r="L4790" s="149" t="s">
        <v>6357</v>
      </c>
      <c r="M4790" s="151">
        <v>93200</v>
      </c>
    </row>
    <row r="4791" spans="1:13" s="149" customFormat="1" x14ac:dyDescent="0.25">
      <c r="A4791" s="149" t="s">
        <v>7640</v>
      </c>
      <c r="B4791" s="149" t="s">
        <v>6358</v>
      </c>
      <c r="C4791" s="149">
        <v>46</v>
      </c>
      <c r="D4791" s="149">
        <v>1</v>
      </c>
      <c r="E4791" s="149">
        <v>2</v>
      </c>
      <c r="F4791" s="149">
        <v>880500</v>
      </c>
      <c r="G4791" s="149">
        <v>56210</v>
      </c>
      <c r="H4791" s="150" t="str">
        <f t="shared" si="222"/>
        <v>5</v>
      </c>
      <c r="I4791" s="150" t="str">
        <f t="shared" si="223"/>
        <v>56</v>
      </c>
      <c r="J4791" s="150" t="str">
        <f t="shared" si="224"/>
        <v>562</v>
      </c>
      <c r="K4791" s="150" t="s">
        <v>9718</v>
      </c>
      <c r="L4791" s="149" t="s">
        <v>6359</v>
      </c>
      <c r="M4791" s="151">
        <v>215144.62</v>
      </c>
    </row>
    <row r="4792" spans="1:13" s="149" customFormat="1" x14ac:dyDescent="0.25">
      <c r="A4792" s="149" t="s">
        <v>7640</v>
      </c>
      <c r="B4792" s="149" t="s">
        <v>6360</v>
      </c>
      <c r="C4792" s="149">
        <v>46</v>
      </c>
      <c r="D4792" s="149">
        <v>1</v>
      </c>
      <c r="E4792" s="149">
        <v>2</v>
      </c>
      <c r="F4792" s="149">
        <v>880500</v>
      </c>
      <c r="G4792" s="149">
        <v>56218</v>
      </c>
      <c r="H4792" s="150" t="str">
        <f t="shared" si="222"/>
        <v>5</v>
      </c>
      <c r="I4792" s="150" t="str">
        <f t="shared" si="223"/>
        <v>56</v>
      </c>
      <c r="J4792" s="150" t="str">
        <f t="shared" si="224"/>
        <v>562</v>
      </c>
      <c r="K4792" s="150" t="s">
        <v>9719</v>
      </c>
      <c r="L4792" s="149" t="s">
        <v>6361</v>
      </c>
      <c r="M4792" s="151">
        <v>395004.88</v>
      </c>
    </row>
    <row r="4793" spans="1:13" s="149" customFormat="1" x14ac:dyDescent="0.25">
      <c r="A4793" s="149" t="s">
        <v>7640</v>
      </c>
      <c r="B4793" s="149" t="s">
        <v>6362</v>
      </c>
      <c r="C4793" s="149">
        <v>46</v>
      </c>
      <c r="D4793" s="149">
        <v>1</v>
      </c>
      <c r="E4793" s="149">
        <v>2</v>
      </c>
      <c r="F4793" s="149">
        <v>880500</v>
      </c>
      <c r="G4793" s="149">
        <v>56225</v>
      </c>
      <c r="H4793" s="150" t="str">
        <f t="shared" si="222"/>
        <v>5</v>
      </c>
      <c r="I4793" s="150" t="str">
        <f t="shared" si="223"/>
        <v>56</v>
      </c>
      <c r="J4793" s="150" t="str">
        <f t="shared" si="224"/>
        <v>562</v>
      </c>
      <c r="K4793" s="150" t="s">
        <v>9720</v>
      </c>
      <c r="L4793" s="149" t="s">
        <v>6363</v>
      </c>
      <c r="M4793" s="151">
        <v>6394913.3499999996</v>
      </c>
    </row>
    <row r="4794" spans="1:13" s="149" customFormat="1" x14ac:dyDescent="0.25">
      <c r="A4794" s="149" t="s">
        <v>7640</v>
      </c>
      <c r="B4794" s="149" t="s">
        <v>6364</v>
      </c>
      <c r="C4794" s="149">
        <v>46</v>
      </c>
      <c r="D4794" s="149">
        <v>1</v>
      </c>
      <c r="E4794" s="149">
        <v>2</v>
      </c>
      <c r="F4794" s="149">
        <v>880500</v>
      </c>
      <c r="G4794" s="149">
        <v>56250</v>
      </c>
      <c r="H4794" s="150" t="str">
        <f t="shared" si="222"/>
        <v>5</v>
      </c>
      <c r="I4794" s="150" t="str">
        <f t="shared" si="223"/>
        <v>56</v>
      </c>
      <c r="J4794" s="150" t="str">
        <f t="shared" si="224"/>
        <v>562</v>
      </c>
      <c r="K4794" s="150" t="s">
        <v>9721</v>
      </c>
      <c r="L4794" s="149" t="s">
        <v>6365</v>
      </c>
      <c r="M4794" s="151">
        <v>79993.8</v>
      </c>
    </row>
    <row r="4795" spans="1:13" s="149" customFormat="1" x14ac:dyDescent="0.25">
      <c r="A4795" s="149" t="s">
        <v>7640</v>
      </c>
      <c r="B4795" s="149" t="s">
        <v>6366</v>
      </c>
      <c r="C4795" s="149">
        <v>46</v>
      </c>
      <c r="D4795" s="149">
        <v>1</v>
      </c>
      <c r="E4795" s="149">
        <v>4</v>
      </c>
      <c r="F4795" s="149">
        <v>880100</v>
      </c>
      <c r="G4795" s="149">
        <v>56203</v>
      </c>
      <c r="H4795" s="150" t="str">
        <f t="shared" si="222"/>
        <v>5</v>
      </c>
      <c r="I4795" s="150" t="str">
        <f t="shared" si="223"/>
        <v>56</v>
      </c>
      <c r="J4795" s="150" t="str">
        <f t="shared" si="224"/>
        <v>562</v>
      </c>
      <c r="K4795" s="150" t="s">
        <v>9722</v>
      </c>
      <c r="L4795" s="149" t="s">
        <v>6367</v>
      </c>
      <c r="M4795" s="151">
        <v>84900</v>
      </c>
    </row>
    <row r="4796" spans="1:13" s="149" customFormat="1" x14ac:dyDescent="0.25">
      <c r="A4796" s="149" t="s">
        <v>7640</v>
      </c>
      <c r="B4796" s="149" t="s">
        <v>6368</v>
      </c>
      <c r="C4796" s="149">
        <v>46</v>
      </c>
      <c r="D4796" s="149">
        <v>1</v>
      </c>
      <c r="E4796" s="149">
        <v>4</v>
      </c>
      <c r="F4796" s="149">
        <v>880100</v>
      </c>
      <c r="G4796" s="149">
        <v>56210</v>
      </c>
      <c r="H4796" s="150" t="str">
        <f t="shared" si="222"/>
        <v>5</v>
      </c>
      <c r="I4796" s="150" t="str">
        <f t="shared" si="223"/>
        <v>56</v>
      </c>
      <c r="J4796" s="150" t="str">
        <f t="shared" si="224"/>
        <v>562</v>
      </c>
      <c r="K4796" s="150" t="s">
        <v>9723</v>
      </c>
      <c r="L4796" s="149" t="s">
        <v>6369</v>
      </c>
      <c r="M4796" s="151">
        <v>128836.88</v>
      </c>
    </row>
    <row r="4797" spans="1:13" s="149" customFormat="1" x14ac:dyDescent="0.25">
      <c r="A4797" s="149" t="s">
        <v>7640</v>
      </c>
      <c r="B4797" s="149" t="s">
        <v>6370</v>
      </c>
      <c r="C4797" s="149">
        <v>46</v>
      </c>
      <c r="D4797" s="149">
        <v>1</v>
      </c>
      <c r="E4797" s="149">
        <v>4</v>
      </c>
      <c r="F4797" s="149">
        <v>880100</v>
      </c>
      <c r="G4797" s="149">
        <v>56217</v>
      </c>
      <c r="H4797" s="150" t="str">
        <f t="shared" si="222"/>
        <v>5</v>
      </c>
      <c r="I4797" s="150" t="str">
        <f t="shared" si="223"/>
        <v>56</v>
      </c>
      <c r="J4797" s="150" t="str">
        <f t="shared" si="224"/>
        <v>562</v>
      </c>
      <c r="K4797" s="150" t="s">
        <v>9724</v>
      </c>
      <c r="L4797" s="149" t="s">
        <v>6371</v>
      </c>
      <c r="M4797" s="151">
        <v>553</v>
      </c>
    </row>
    <row r="4798" spans="1:13" s="149" customFormat="1" x14ac:dyDescent="0.25">
      <c r="A4798" s="149" t="s">
        <v>7640</v>
      </c>
      <c r="B4798" s="149" t="s">
        <v>6372</v>
      </c>
      <c r="C4798" s="149">
        <v>46</v>
      </c>
      <c r="D4798" s="149">
        <v>1</v>
      </c>
      <c r="E4798" s="149">
        <v>4</v>
      </c>
      <c r="F4798" s="149">
        <v>880100</v>
      </c>
      <c r="G4798" s="149">
        <v>56218</v>
      </c>
      <c r="H4798" s="150" t="str">
        <f t="shared" si="222"/>
        <v>5</v>
      </c>
      <c r="I4798" s="150" t="str">
        <f t="shared" si="223"/>
        <v>56</v>
      </c>
      <c r="J4798" s="150" t="str">
        <f t="shared" si="224"/>
        <v>562</v>
      </c>
      <c r="K4798" s="150" t="s">
        <v>9725</v>
      </c>
      <c r="L4798" s="149" t="s">
        <v>6373</v>
      </c>
      <c r="M4798" s="151">
        <v>523582.8</v>
      </c>
    </row>
    <row r="4799" spans="1:13" s="149" customFormat="1" x14ac:dyDescent="0.25">
      <c r="A4799" s="149" t="s">
        <v>7640</v>
      </c>
      <c r="B4799" s="149" t="s">
        <v>6374</v>
      </c>
      <c r="C4799" s="149">
        <v>46</v>
      </c>
      <c r="D4799" s="149">
        <v>1</v>
      </c>
      <c r="E4799" s="149">
        <v>4</v>
      </c>
      <c r="F4799" s="149">
        <v>880100</v>
      </c>
      <c r="G4799" s="149">
        <v>56220</v>
      </c>
      <c r="H4799" s="150" t="str">
        <f t="shared" si="222"/>
        <v>5</v>
      </c>
      <c r="I4799" s="150" t="str">
        <f t="shared" si="223"/>
        <v>56</v>
      </c>
      <c r="J4799" s="150" t="str">
        <f t="shared" si="224"/>
        <v>562</v>
      </c>
      <c r="K4799" s="150" t="s">
        <v>9726</v>
      </c>
      <c r="L4799" s="149" t="s">
        <v>6375</v>
      </c>
      <c r="M4799" s="151">
        <v>1611.9</v>
      </c>
    </row>
    <row r="4800" spans="1:13" s="149" customFormat="1" x14ac:dyDescent="0.25">
      <c r="A4800" s="149" t="s">
        <v>7640</v>
      </c>
      <c r="B4800" s="149" t="s">
        <v>6376</v>
      </c>
      <c r="C4800" s="149">
        <v>46</v>
      </c>
      <c r="D4800" s="149">
        <v>1</v>
      </c>
      <c r="E4800" s="149">
        <v>4</v>
      </c>
      <c r="F4800" s="149">
        <v>880100</v>
      </c>
      <c r="G4800" s="149">
        <v>56225</v>
      </c>
      <c r="H4800" s="150" t="str">
        <f t="shared" si="222"/>
        <v>5</v>
      </c>
      <c r="I4800" s="150" t="str">
        <f t="shared" si="223"/>
        <v>56</v>
      </c>
      <c r="J4800" s="150" t="str">
        <f t="shared" si="224"/>
        <v>562</v>
      </c>
      <c r="K4800" s="150" t="s">
        <v>9727</v>
      </c>
      <c r="L4800" s="149" t="s">
        <v>6377</v>
      </c>
      <c r="M4800" s="151">
        <v>6926402.2700000005</v>
      </c>
    </row>
    <row r="4801" spans="1:13" s="149" customFormat="1" x14ac:dyDescent="0.25">
      <c r="A4801" s="149" t="s">
        <v>7640</v>
      </c>
      <c r="B4801" s="149" t="s">
        <v>6378</v>
      </c>
      <c r="C4801" s="149">
        <v>46</v>
      </c>
      <c r="D4801" s="149">
        <v>1</v>
      </c>
      <c r="E4801" s="149">
        <v>4</v>
      </c>
      <c r="F4801" s="149">
        <v>880100</v>
      </c>
      <c r="G4801" s="149">
        <v>56250</v>
      </c>
      <c r="H4801" s="150" t="str">
        <f t="shared" si="222"/>
        <v>5</v>
      </c>
      <c r="I4801" s="150" t="str">
        <f t="shared" si="223"/>
        <v>56</v>
      </c>
      <c r="J4801" s="150" t="str">
        <f t="shared" si="224"/>
        <v>562</v>
      </c>
      <c r="K4801" s="150" t="s">
        <v>9728</v>
      </c>
      <c r="L4801" s="149" t="s">
        <v>6379</v>
      </c>
      <c r="M4801" s="151">
        <v>74849.3</v>
      </c>
    </row>
    <row r="4802" spans="1:13" s="149" customFormat="1" x14ac:dyDescent="0.25">
      <c r="A4802" s="149" t="s">
        <v>7640</v>
      </c>
      <c r="B4802" s="149" t="s">
        <v>6380</v>
      </c>
      <c r="C4802" s="149">
        <v>46</v>
      </c>
      <c r="D4802" s="149">
        <v>1</v>
      </c>
      <c r="E4802" s="149">
        <v>5</v>
      </c>
      <c r="F4802" s="149">
        <v>880300</v>
      </c>
      <c r="G4802" s="149">
        <v>56203</v>
      </c>
      <c r="H4802" s="150" t="str">
        <f t="shared" si="222"/>
        <v>5</v>
      </c>
      <c r="I4802" s="150" t="str">
        <f t="shared" si="223"/>
        <v>56</v>
      </c>
      <c r="J4802" s="150" t="str">
        <f t="shared" si="224"/>
        <v>562</v>
      </c>
      <c r="K4802" s="150" t="s">
        <v>9729</v>
      </c>
      <c r="L4802" s="149" t="s">
        <v>6381</v>
      </c>
      <c r="M4802" s="151">
        <v>192000</v>
      </c>
    </row>
    <row r="4803" spans="1:13" s="149" customFormat="1" x14ac:dyDescent="0.25">
      <c r="A4803" s="149" t="s">
        <v>7640</v>
      </c>
      <c r="B4803" s="149" t="s">
        <v>6382</v>
      </c>
      <c r="C4803" s="149">
        <v>46</v>
      </c>
      <c r="D4803" s="149">
        <v>1</v>
      </c>
      <c r="E4803" s="149">
        <v>5</v>
      </c>
      <c r="F4803" s="149">
        <v>880300</v>
      </c>
      <c r="G4803" s="149">
        <v>56211</v>
      </c>
      <c r="H4803" s="150" t="str">
        <f t="shared" ref="H4803:H4866" si="225">LEFT(G4803,1)</f>
        <v>5</v>
      </c>
      <c r="I4803" s="150" t="str">
        <f t="shared" ref="I4803:I4866" si="226">LEFT(G4803,2)</f>
        <v>56</v>
      </c>
      <c r="J4803" s="150" t="str">
        <f t="shared" ref="J4803:J4866" si="227">LEFT(G4803,3)</f>
        <v>562</v>
      </c>
      <c r="K4803" s="150" t="s">
        <v>9730</v>
      </c>
      <c r="L4803" s="149" t="s">
        <v>6383</v>
      </c>
      <c r="M4803" s="151">
        <v>59121.25</v>
      </c>
    </row>
    <row r="4804" spans="1:13" s="149" customFormat="1" x14ac:dyDescent="0.25">
      <c r="A4804" s="149" t="s">
        <v>7640</v>
      </c>
      <c r="B4804" s="149" t="s">
        <v>6384</v>
      </c>
      <c r="C4804" s="149">
        <v>46</v>
      </c>
      <c r="D4804" s="149">
        <v>1</v>
      </c>
      <c r="E4804" s="149">
        <v>5</v>
      </c>
      <c r="F4804" s="149">
        <v>880300</v>
      </c>
      <c r="G4804" s="149">
        <v>56215</v>
      </c>
      <c r="H4804" s="150" t="str">
        <f t="shared" si="225"/>
        <v>5</v>
      </c>
      <c r="I4804" s="150" t="str">
        <f t="shared" si="226"/>
        <v>56</v>
      </c>
      <c r="J4804" s="150" t="str">
        <f t="shared" si="227"/>
        <v>562</v>
      </c>
      <c r="K4804" s="150" t="s">
        <v>9731</v>
      </c>
      <c r="L4804" s="149" t="s">
        <v>6337</v>
      </c>
      <c r="M4804" s="151">
        <v>6150</v>
      </c>
    </row>
    <row r="4805" spans="1:13" s="149" customFormat="1" x14ac:dyDescent="0.25">
      <c r="A4805" s="149" t="s">
        <v>7640</v>
      </c>
      <c r="B4805" s="149" t="s">
        <v>6385</v>
      </c>
      <c r="C4805" s="149">
        <v>46</v>
      </c>
      <c r="D4805" s="149">
        <v>1</v>
      </c>
      <c r="E4805" s="149">
        <v>5</v>
      </c>
      <c r="F4805" s="149">
        <v>880300</v>
      </c>
      <c r="G4805" s="149">
        <v>56216</v>
      </c>
      <c r="H4805" s="150" t="str">
        <f t="shared" si="225"/>
        <v>5</v>
      </c>
      <c r="I4805" s="150" t="str">
        <f t="shared" si="226"/>
        <v>56</v>
      </c>
      <c r="J4805" s="150" t="str">
        <f t="shared" si="227"/>
        <v>562</v>
      </c>
      <c r="K4805" s="150" t="s">
        <v>9732</v>
      </c>
      <c r="L4805" s="149" t="s">
        <v>6386</v>
      </c>
      <c r="M4805" s="151">
        <v>6954.19</v>
      </c>
    </row>
    <row r="4806" spans="1:13" s="149" customFormat="1" x14ac:dyDescent="0.25">
      <c r="A4806" s="149" t="s">
        <v>7640</v>
      </c>
      <c r="B4806" s="149" t="s">
        <v>6387</v>
      </c>
      <c r="C4806" s="149">
        <v>46</v>
      </c>
      <c r="D4806" s="149">
        <v>1</v>
      </c>
      <c r="E4806" s="149">
        <v>5</v>
      </c>
      <c r="F4806" s="149">
        <v>880300</v>
      </c>
      <c r="G4806" s="149">
        <v>56217</v>
      </c>
      <c r="H4806" s="150" t="str">
        <f t="shared" si="225"/>
        <v>5</v>
      </c>
      <c r="I4806" s="150" t="str">
        <f t="shared" si="226"/>
        <v>56</v>
      </c>
      <c r="J4806" s="150" t="str">
        <f t="shared" si="227"/>
        <v>562</v>
      </c>
      <c r="K4806" s="150" t="s">
        <v>9733</v>
      </c>
      <c r="L4806" s="149" t="s">
        <v>6388</v>
      </c>
      <c r="M4806" s="151">
        <v>465</v>
      </c>
    </row>
    <row r="4807" spans="1:13" s="149" customFormat="1" x14ac:dyDescent="0.25">
      <c r="A4807" s="149" t="s">
        <v>7640</v>
      </c>
      <c r="B4807" s="149" t="s">
        <v>9734</v>
      </c>
      <c r="C4807" s="149">
        <v>46</v>
      </c>
      <c r="D4807" s="149">
        <v>1</v>
      </c>
      <c r="E4807" s="149">
        <v>5</v>
      </c>
      <c r="F4807" s="149">
        <v>880300</v>
      </c>
      <c r="G4807" s="149">
        <v>56218</v>
      </c>
      <c r="H4807" s="150" t="str">
        <f t="shared" si="225"/>
        <v>5</v>
      </c>
      <c r="I4807" s="150" t="str">
        <f t="shared" si="226"/>
        <v>56</v>
      </c>
      <c r="J4807" s="150" t="str">
        <f t="shared" si="227"/>
        <v>562</v>
      </c>
      <c r="K4807" s="150" t="s">
        <v>9735</v>
      </c>
      <c r="L4807" s="149" t="s">
        <v>9736</v>
      </c>
      <c r="M4807" s="151">
        <v>32832.080000000002</v>
      </c>
    </row>
    <row r="4808" spans="1:13" s="149" customFormat="1" x14ac:dyDescent="0.25">
      <c r="A4808" s="149" t="s">
        <v>7640</v>
      </c>
      <c r="B4808" s="149" t="s">
        <v>6389</v>
      </c>
      <c r="C4808" s="149">
        <v>46</v>
      </c>
      <c r="D4808" s="149">
        <v>1</v>
      </c>
      <c r="E4808" s="149">
        <v>5</v>
      </c>
      <c r="F4808" s="149">
        <v>880300</v>
      </c>
      <c r="G4808" s="149">
        <v>56220</v>
      </c>
      <c r="H4808" s="150" t="str">
        <f t="shared" si="225"/>
        <v>5</v>
      </c>
      <c r="I4808" s="150" t="str">
        <f t="shared" si="226"/>
        <v>56</v>
      </c>
      <c r="J4808" s="150" t="str">
        <f t="shared" si="227"/>
        <v>562</v>
      </c>
      <c r="K4808" s="150" t="s">
        <v>9737</v>
      </c>
      <c r="L4808" s="149" t="s">
        <v>6390</v>
      </c>
      <c r="M4808" s="151">
        <v>28121.11</v>
      </c>
    </row>
    <row r="4809" spans="1:13" s="149" customFormat="1" x14ac:dyDescent="0.25">
      <c r="A4809" s="149" t="s">
        <v>7640</v>
      </c>
      <c r="B4809" s="149" t="s">
        <v>6391</v>
      </c>
      <c r="C4809" s="149">
        <v>46</v>
      </c>
      <c r="D4809" s="149">
        <v>1</v>
      </c>
      <c r="E4809" s="149">
        <v>5</v>
      </c>
      <c r="F4809" s="149">
        <v>880300</v>
      </c>
      <c r="G4809" s="149">
        <v>56223</v>
      </c>
      <c r="H4809" s="150" t="str">
        <f t="shared" si="225"/>
        <v>5</v>
      </c>
      <c r="I4809" s="150" t="str">
        <f t="shared" si="226"/>
        <v>56</v>
      </c>
      <c r="J4809" s="150" t="str">
        <f t="shared" si="227"/>
        <v>562</v>
      </c>
      <c r="K4809" s="150" t="s">
        <v>9738</v>
      </c>
      <c r="L4809" s="149" t="s">
        <v>6392</v>
      </c>
      <c r="M4809" s="151">
        <v>7451.5</v>
      </c>
    </row>
    <row r="4810" spans="1:13" s="149" customFormat="1" x14ac:dyDescent="0.25">
      <c r="A4810" s="149" t="s">
        <v>7640</v>
      </c>
      <c r="B4810" s="149" t="s">
        <v>6393</v>
      </c>
      <c r="C4810" s="149">
        <v>46</v>
      </c>
      <c r="D4810" s="149">
        <v>1</v>
      </c>
      <c r="E4810" s="149">
        <v>5</v>
      </c>
      <c r="F4810" s="149">
        <v>880300</v>
      </c>
      <c r="G4810" s="149">
        <v>56225</v>
      </c>
      <c r="H4810" s="150" t="str">
        <f t="shared" si="225"/>
        <v>5</v>
      </c>
      <c r="I4810" s="150" t="str">
        <f t="shared" si="226"/>
        <v>56</v>
      </c>
      <c r="J4810" s="150" t="str">
        <f t="shared" si="227"/>
        <v>562</v>
      </c>
      <c r="K4810" s="150" t="s">
        <v>9739</v>
      </c>
      <c r="L4810" s="149" t="s">
        <v>6394</v>
      </c>
      <c r="M4810" s="151">
        <v>11120065.199999999</v>
      </c>
    </row>
    <row r="4811" spans="1:13" s="149" customFormat="1" x14ac:dyDescent="0.25">
      <c r="A4811" s="149" t="s">
        <v>7640</v>
      </c>
      <c r="B4811" s="149" t="s">
        <v>6395</v>
      </c>
      <c r="C4811" s="149">
        <v>46</v>
      </c>
      <c r="D4811" s="149">
        <v>1</v>
      </c>
      <c r="E4811" s="149">
        <v>5</v>
      </c>
      <c r="F4811" s="149">
        <v>880300</v>
      </c>
      <c r="G4811" s="149">
        <v>56250</v>
      </c>
      <c r="H4811" s="150" t="str">
        <f t="shared" si="225"/>
        <v>5</v>
      </c>
      <c r="I4811" s="150" t="str">
        <f t="shared" si="226"/>
        <v>56</v>
      </c>
      <c r="J4811" s="150" t="str">
        <f t="shared" si="227"/>
        <v>562</v>
      </c>
      <c r="K4811" s="150" t="s">
        <v>9740</v>
      </c>
      <c r="L4811" s="149" t="s">
        <v>6396</v>
      </c>
      <c r="M4811" s="151">
        <v>142248.5</v>
      </c>
    </row>
    <row r="4812" spans="1:13" s="149" customFormat="1" x14ac:dyDescent="0.25">
      <c r="A4812" s="149" t="s">
        <v>7640</v>
      </c>
      <c r="B4812" s="149" t="s">
        <v>6397</v>
      </c>
      <c r="C4812" s="149">
        <v>46</v>
      </c>
      <c r="D4812" s="149">
        <v>2</v>
      </c>
      <c r="E4812" s="149">
        <v>0</v>
      </c>
      <c r="F4812" s="149">
        <v>0</v>
      </c>
      <c r="G4812" s="149">
        <v>48940</v>
      </c>
      <c r="H4812" s="150" t="str">
        <f t="shared" si="225"/>
        <v>4</v>
      </c>
      <c r="I4812" s="150" t="str">
        <f t="shared" si="226"/>
        <v>48</v>
      </c>
      <c r="J4812" s="150" t="str">
        <f t="shared" si="227"/>
        <v>489</v>
      </c>
      <c r="K4812" s="150" t="s">
        <v>9741</v>
      </c>
      <c r="L4812" s="149" t="s">
        <v>6398</v>
      </c>
      <c r="M4812" s="151">
        <v>-69420484.790000007</v>
      </c>
    </row>
    <row r="4813" spans="1:13" s="149" customFormat="1" x14ac:dyDescent="0.25">
      <c r="A4813" s="149" t="s">
        <v>7640</v>
      </c>
      <c r="B4813" s="149" t="s">
        <v>6399</v>
      </c>
      <c r="C4813" s="149">
        <v>46</v>
      </c>
      <c r="D4813" s="149">
        <v>2</v>
      </c>
      <c r="E4813" s="149">
        <v>0</v>
      </c>
      <c r="F4813" s="149">
        <v>880250</v>
      </c>
      <c r="G4813" s="149">
        <v>56203</v>
      </c>
      <c r="H4813" s="150" t="str">
        <f t="shared" si="225"/>
        <v>5</v>
      </c>
      <c r="I4813" s="150" t="str">
        <f t="shared" si="226"/>
        <v>56</v>
      </c>
      <c r="J4813" s="150" t="str">
        <f t="shared" si="227"/>
        <v>562</v>
      </c>
      <c r="K4813" s="150" t="s">
        <v>9742</v>
      </c>
      <c r="L4813" s="149" t="s">
        <v>6400</v>
      </c>
      <c r="M4813" s="151">
        <v>0</v>
      </c>
    </row>
    <row r="4814" spans="1:13" s="149" customFormat="1" x14ac:dyDescent="0.25">
      <c r="A4814" s="149" t="s">
        <v>7640</v>
      </c>
      <c r="B4814" s="149" t="s">
        <v>6401</v>
      </c>
      <c r="C4814" s="149">
        <v>46</v>
      </c>
      <c r="D4814" s="149">
        <v>2</v>
      </c>
      <c r="E4814" s="149">
        <v>0</v>
      </c>
      <c r="F4814" s="149">
        <v>880250</v>
      </c>
      <c r="G4814" s="149">
        <v>56211</v>
      </c>
      <c r="H4814" s="150" t="str">
        <f t="shared" si="225"/>
        <v>5</v>
      </c>
      <c r="I4814" s="150" t="str">
        <f t="shared" si="226"/>
        <v>56</v>
      </c>
      <c r="J4814" s="150" t="str">
        <f t="shared" si="227"/>
        <v>562</v>
      </c>
      <c r="K4814" s="150" t="s">
        <v>9743</v>
      </c>
      <c r="L4814" s="149" t="s">
        <v>6402</v>
      </c>
      <c r="M4814" s="151">
        <v>64153.24</v>
      </c>
    </row>
    <row r="4815" spans="1:13" s="149" customFormat="1" x14ac:dyDescent="0.25">
      <c r="A4815" s="149" t="s">
        <v>7640</v>
      </c>
      <c r="B4815" s="149" t="s">
        <v>6403</v>
      </c>
      <c r="C4815" s="149">
        <v>46</v>
      </c>
      <c r="D4815" s="149">
        <v>2</v>
      </c>
      <c r="E4815" s="149">
        <v>0</v>
      </c>
      <c r="F4815" s="149">
        <v>880250</v>
      </c>
      <c r="G4815" s="149">
        <v>56224</v>
      </c>
      <c r="H4815" s="150" t="str">
        <f t="shared" si="225"/>
        <v>5</v>
      </c>
      <c r="I4815" s="150" t="str">
        <f t="shared" si="226"/>
        <v>56</v>
      </c>
      <c r="J4815" s="150" t="str">
        <f t="shared" si="227"/>
        <v>562</v>
      </c>
      <c r="K4815" s="150" t="s">
        <v>9744</v>
      </c>
      <c r="L4815" s="149" t="s">
        <v>6404</v>
      </c>
      <c r="M4815" s="151">
        <v>0</v>
      </c>
    </row>
    <row r="4816" spans="1:13" s="149" customFormat="1" x14ac:dyDescent="0.25">
      <c r="A4816" s="149" t="s">
        <v>7640</v>
      </c>
      <c r="B4816" s="149" t="s">
        <v>6405</v>
      </c>
      <c r="C4816" s="149">
        <v>46</v>
      </c>
      <c r="D4816" s="149">
        <v>2</v>
      </c>
      <c r="E4816" s="149">
        <v>0</v>
      </c>
      <c r="F4816" s="149">
        <v>880350</v>
      </c>
      <c r="G4816" s="149">
        <v>56200</v>
      </c>
      <c r="H4816" s="150" t="str">
        <f t="shared" si="225"/>
        <v>5</v>
      </c>
      <c r="I4816" s="150" t="str">
        <f t="shared" si="226"/>
        <v>56</v>
      </c>
      <c r="J4816" s="150" t="str">
        <f t="shared" si="227"/>
        <v>562</v>
      </c>
      <c r="K4816" s="150" t="s">
        <v>9745</v>
      </c>
      <c r="L4816" s="149" t="s">
        <v>6406</v>
      </c>
      <c r="M4816" s="151">
        <v>1507426</v>
      </c>
    </row>
    <row r="4817" spans="1:13" s="149" customFormat="1" x14ac:dyDescent="0.25">
      <c r="A4817" s="149" t="s">
        <v>7640</v>
      </c>
      <c r="B4817" s="149" t="s">
        <v>6407</v>
      </c>
      <c r="C4817" s="149">
        <v>46</v>
      </c>
      <c r="D4817" s="149">
        <v>2</v>
      </c>
      <c r="E4817" s="149">
        <v>0</v>
      </c>
      <c r="F4817" s="149">
        <v>880450</v>
      </c>
      <c r="G4817" s="149">
        <v>56216</v>
      </c>
      <c r="H4817" s="150" t="str">
        <f t="shared" si="225"/>
        <v>5</v>
      </c>
      <c r="I4817" s="150" t="str">
        <f t="shared" si="226"/>
        <v>56</v>
      </c>
      <c r="J4817" s="150" t="str">
        <f t="shared" si="227"/>
        <v>562</v>
      </c>
      <c r="K4817" s="150" t="s">
        <v>9746</v>
      </c>
      <c r="L4817" s="149" t="s">
        <v>6408</v>
      </c>
      <c r="M4817" s="151">
        <v>21.85</v>
      </c>
    </row>
    <row r="4818" spans="1:13" s="149" customFormat="1" x14ac:dyDescent="0.25">
      <c r="A4818" s="149" t="s">
        <v>7640</v>
      </c>
      <c r="B4818" s="149" t="s">
        <v>6409</v>
      </c>
      <c r="C4818" s="149">
        <v>46</v>
      </c>
      <c r="D4818" s="149">
        <v>2</v>
      </c>
      <c r="E4818" s="149">
        <v>0</v>
      </c>
      <c r="F4818" s="149">
        <v>880450</v>
      </c>
      <c r="G4818" s="149">
        <v>56250</v>
      </c>
      <c r="H4818" s="150" t="str">
        <f t="shared" si="225"/>
        <v>5</v>
      </c>
      <c r="I4818" s="150" t="str">
        <f t="shared" si="226"/>
        <v>56</v>
      </c>
      <c r="J4818" s="150" t="str">
        <f t="shared" si="227"/>
        <v>562</v>
      </c>
      <c r="K4818" s="150" t="s">
        <v>9747</v>
      </c>
      <c r="L4818" s="149" t="s">
        <v>6410</v>
      </c>
      <c r="M4818" s="151">
        <v>80700</v>
      </c>
    </row>
    <row r="4819" spans="1:13" s="149" customFormat="1" x14ac:dyDescent="0.25">
      <c r="A4819" s="149" t="s">
        <v>7640</v>
      </c>
      <c r="B4819" s="149" t="s">
        <v>6411</v>
      </c>
      <c r="C4819" s="149">
        <v>46</v>
      </c>
      <c r="D4819" s="149">
        <v>2</v>
      </c>
      <c r="E4819" s="149">
        <v>0</v>
      </c>
      <c r="F4819" s="149">
        <v>880700</v>
      </c>
      <c r="G4819" s="149">
        <v>56224</v>
      </c>
      <c r="H4819" s="150" t="str">
        <f t="shared" si="225"/>
        <v>5</v>
      </c>
      <c r="I4819" s="150" t="str">
        <f t="shared" si="226"/>
        <v>56</v>
      </c>
      <c r="J4819" s="150" t="str">
        <f t="shared" si="227"/>
        <v>562</v>
      </c>
      <c r="K4819" s="150" t="s">
        <v>9748</v>
      </c>
      <c r="L4819" s="149" t="s">
        <v>6412</v>
      </c>
      <c r="M4819" s="151">
        <v>0</v>
      </c>
    </row>
    <row r="4820" spans="1:13" s="149" customFormat="1" x14ac:dyDescent="0.25">
      <c r="A4820" s="149" t="s">
        <v>7640</v>
      </c>
      <c r="B4820" s="149" t="s">
        <v>6413</v>
      </c>
      <c r="C4820" s="149">
        <v>46</v>
      </c>
      <c r="D4820" s="149">
        <v>2</v>
      </c>
      <c r="E4820" s="149">
        <v>0</v>
      </c>
      <c r="F4820" s="149">
        <v>880750</v>
      </c>
      <c r="G4820" s="149">
        <v>56224</v>
      </c>
      <c r="H4820" s="150" t="str">
        <f t="shared" si="225"/>
        <v>5</v>
      </c>
      <c r="I4820" s="150" t="str">
        <f t="shared" si="226"/>
        <v>56</v>
      </c>
      <c r="J4820" s="150" t="str">
        <f t="shared" si="227"/>
        <v>562</v>
      </c>
      <c r="K4820" s="150" t="s">
        <v>9749</v>
      </c>
      <c r="L4820" s="149" t="s">
        <v>6414</v>
      </c>
      <c r="M4820" s="151">
        <v>0</v>
      </c>
    </row>
    <row r="4821" spans="1:13" s="149" customFormat="1" x14ac:dyDescent="0.25">
      <c r="A4821" s="149" t="s">
        <v>7640</v>
      </c>
      <c r="B4821" s="149" t="s">
        <v>6415</v>
      </c>
      <c r="C4821" s="149">
        <v>46</v>
      </c>
      <c r="D4821" s="149">
        <v>2</v>
      </c>
      <c r="E4821" s="149">
        <v>0</v>
      </c>
      <c r="F4821" s="149">
        <v>880800</v>
      </c>
      <c r="G4821" s="149">
        <v>56211</v>
      </c>
      <c r="H4821" s="150" t="str">
        <f t="shared" si="225"/>
        <v>5</v>
      </c>
      <c r="I4821" s="150" t="str">
        <f t="shared" si="226"/>
        <v>56</v>
      </c>
      <c r="J4821" s="150" t="str">
        <f t="shared" si="227"/>
        <v>562</v>
      </c>
      <c r="K4821" s="150" t="s">
        <v>9750</v>
      </c>
      <c r="L4821" s="149" t="s">
        <v>6416</v>
      </c>
      <c r="M4821" s="151">
        <v>856500</v>
      </c>
    </row>
    <row r="4822" spans="1:13" s="149" customFormat="1" x14ac:dyDescent="0.25">
      <c r="A4822" s="149" t="s">
        <v>7640</v>
      </c>
      <c r="B4822" s="149" t="s">
        <v>6417</v>
      </c>
      <c r="C4822" s="149">
        <v>46</v>
      </c>
      <c r="D4822" s="149">
        <v>2</v>
      </c>
      <c r="E4822" s="149">
        <v>0</v>
      </c>
      <c r="F4822" s="149">
        <v>880800</v>
      </c>
      <c r="G4822" s="149">
        <v>56215</v>
      </c>
      <c r="H4822" s="150" t="str">
        <f t="shared" si="225"/>
        <v>5</v>
      </c>
      <c r="I4822" s="150" t="str">
        <f t="shared" si="226"/>
        <v>56</v>
      </c>
      <c r="J4822" s="150" t="str">
        <f t="shared" si="227"/>
        <v>562</v>
      </c>
      <c r="K4822" s="150" t="s">
        <v>9751</v>
      </c>
      <c r="L4822" s="149" t="s">
        <v>6418</v>
      </c>
      <c r="M4822" s="151">
        <v>6530</v>
      </c>
    </row>
    <row r="4823" spans="1:13" s="149" customFormat="1" x14ac:dyDescent="0.25">
      <c r="A4823" s="149" t="s">
        <v>7640</v>
      </c>
      <c r="B4823" s="149" t="s">
        <v>6419</v>
      </c>
      <c r="C4823" s="149">
        <v>46</v>
      </c>
      <c r="D4823" s="149">
        <v>2</v>
      </c>
      <c r="E4823" s="149">
        <v>0</v>
      </c>
      <c r="F4823" s="149">
        <v>880800</v>
      </c>
      <c r="G4823" s="149">
        <v>56223</v>
      </c>
      <c r="H4823" s="150" t="str">
        <f t="shared" si="225"/>
        <v>5</v>
      </c>
      <c r="I4823" s="150" t="str">
        <f t="shared" si="226"/>
        <v>56</v>
      </c>
      <c r="J4823" s="150" t="str">
        <f t="shared" si="227"/>
        <v>562</v>
      </c>
      <c r="K4823" s="150" t="s">
        <v>9752</v>
      </c>
      <c r="L4823" s="149" t="s">
        <v>6420</v>
      </c>
      <c r="M4823" s="151">
        <v>2450</v>
      </c>
    </row>
    <row r="4824" spans="1:13" s="149" customFormat="1" x14ac:dyDescent="0.25">
      <c r="A4824" s="149" t="s">
        <v>7640</v>
      </c>
      <c r="B4824" s="149" t="s">
        <v>6421</v>
      </c>
      <c r="C4824" s="149">
        <v>46</v>
      </c>
      <c r="D4824" s="149">
        <v>2</v>
      </c>
      <c r="E4824" s="149">
        <v>0</v>
      </c>
      <c r="F4824" s="149">
        <v>880800</v>
      </c>
      <c r="G4824" s="149">
        <v>56224</v>
      </c>
      <c r="H4824" s="150" t="str">
        <f t="shared" si="225"/>
        <v>5</v>
      </c>
      <c r="I4824" s="150" t="str">
        <f t="shared" si="226"/>
        <v>56</v>
      </c>
      <c r="J4824" s="150" t="str">
        <f t="shared" si="227"/>
        <v>562</v>
      </c>
      <c r="K4824" s="150" t="s">
        <v>9753</v>
      </c>
      <c r="L4824" s="149" t="s">
        <v>6422</v>
      </c>
      <c r="M4824" s="151">
        <v>0</v>
      </c>
    </row>
    <row r="4825" spans="1:13" s="149" customFormat="1" x14ac:dyDescent="0.25">
      <c r="A4825" s="149" t="s">
        <v>7640</v>
      </c>
      <c r="B4825" s="149" t="s">
        <v>6423</v>
      </c>
      <c r="C4825" s="149">
        <v>46</v>
      </c>
      <c r="D4825" s="149">
        <v>2</v>
      </c>
      <c r="E4825" s="149">
        <v>0</v>
      </c>
      <c r="F4825" s="149">
        <v>880800</v>
      </c>
      <c r="G4825" s="149">
        <v>56250</v>
      </c>
      <c r="H4825" s="150" t="str">
        <f t="shared" si="225"/>
        <v>5</v>
      </c>
      <c r="I4825" s="150" t="str">
        <f t="shared" si="226"/>
        <v>56</v>
      </c>
      <c r="J4825" s="150" t="str">
        <f t="shared" si="227"/>
        <v>562</v>
      </c>
      <c r="K4825" s="150" t="s">
        <v>9754</v>
      </c>
      <c r="L4825" s="149" t="s">
        <v>6424</v>
      </c>
      <c r="M4825" s="151">
        <v>38000</v>
      </c>
    </row>
    <row r="4826" spans="1:13" s="149" customFormat="1" x14ac:dyDescent="0.25">
      <c r="A4826" s="149" t="s">
        <v>7640</v>
      </c>
      <c r="B4826" s="149" t="s">
        <v>6425</v>
      </c>
      <c r="C4826" s="149">
        <v>46</v>
      </c>
      <c r="D4826" s="149">
        <v>2</v>
      </c>
      <c r="E4826" s="149">
        <v>0</v>
      </c>
      <c r="F4826" s="149">
        <v>880900</v>
      </c>
      <c r="G4826" s="149">
        <v>56211</v>
      </c>
      <c r="H4826" s="150" t="str">
        <f t="shared" si="225"/>
        <v>5</v>
      </c>
      <c r="I4826" s="150" t="str">
        <f t="shared" si="226"/>
        <v>56</v>
      </c>
      <c r="J4826" s="150" t="str">
        <f t="shared" si="227"/>
        <v>562</v>
      </c>
      <c r="K4826" s="150" t="s">
        <v>9755</v>
      </c>
      <c r="L4826" s="149" t="s">
        <v>6426</v>
      </c>
      <c r="M4826" s="151">
        <v>605000</v>
      </c>
    </row>
    <row r="4827" spans="1:13" s="149" customFormat="1" x14ac:dyDescent="0.25">
      <c r="A4827" s="149" t="s">
        <v>7640</v>
      </c>
      <c r="B4827" s="149" t="s">
        <v>6427</v>
      </c>
      <c r="C4827" s="149">
        <v>46</v>
      </c>
      <c r="D4827" s="149">
        <v>2</v>
      </c>
      <c r="E4827" s="149">
        <v>0</v>
      </c>
      <c r="F4827" s="149">
        <v>880900</v>
      </c>
      <c r="G4827" s="149">
        <v>56215</v>
      </c>
      <c r="H4827" s="150" t="str">
        <f t="shared" si="225"/>
        <v>5</v>
      </c>
      <c r="I4827" s="150" t="str">
        <f t="shared" si="226"/>
        <v>56</v>
      </c>
      <c r="J4827" s="150" t="str">
        <f t="shared" si="227"/>
        <v>562</v>
      </c>
      <c r="K4827" s="150" t="s">
        <v>9756</v>
      </c>
      <c r="L4827" s="149" t="s">
        <v>6428</v>
      </c>
      <c r="M4827" s="151">
        <v>7020</v>
      </c>
    </row>
    <row r="4828" spans="1:13" s="149" customFormat="1" x14ac:dyDescent="0.25">
      <c r="A4828" s="149" t="s">
        <v>7640</v>
      </c>
      <c r="B4828" s="149" t="s">
        <v>9757</v>
      </c>
      <c r="C4828" s="149">
        <v>46</v>
      </c>
      <c r="D4828" s="149">
        <v>2</v>
      </c>
      <c r="E4828" s="149">
        <v>0</v>
      </c>
      <c r="F4828" s="149">
        <v>880900</v>
      </c>
      <c r="G4828" s="149">
        <v>56223</v>
      </c>
      <c r="H4828" s="150" t="str">
        <f t="shared" si="225"/>
        <v>5</v>
      </c>
      <c r="I4828" s="150" t="str">
        <f t="shared" si="226"/>
        <v>56</v>
      </c>
      <c r="J4828" s="150" t="str">
        <f t="shared" si="227"/>
        <v>562</v>
      </c>
      <c r="K4828" s="150" t="s">
        <v>9758</v>
      </c>
      <c r="L4828" s="149" t="s">
        <v>9759</v>
      </c>
      <c r="M4828" s="151">
        <v>0</v>
      </c>
    </row>
    <row r="4829" spans="1:13" s="149" customFormat="1" x14ac:dyDescent="0.25">
      <c r="A4829" s="149" t="s">
        <v>7640</v>
      </c>
      <c r="B4829" s="149" t="s">
        <v>6429</v>
      </c>
      <c r="C4829" s="149">
        <v>46</v>
      </c>
      <c r="D4829" s="149">
        <v>2</v>
      </c>
      <c r="E4829" s="149">
        <v>1</v>
      </c>
      <c r="F4829" s="149">
        <v>880600</v>
      </c>
      <c r="G4829" s="149">
        <v>56211</v>
      </c>
      <c r="H4829" s="150" t="str">
        <f t="shared" si="225"/>
        <v>5</v>
      </c>
      <c r="I4829" s="150" t="str">
        <f t="shared" si="226"/>
        <v>56</v>
      </c>
      <c r="J4829" s="150" t="str">
        <f t="shared" si="227"/>
        <v>562</v>
      </c>
      <c r="K4829" s="150" t="s">
        <v>9760</v>
      </c>
      <c r="L4829" s="149" t="s">
        <v>6430</v>
      </c>
      <c r="M4829" s="151">
        <v>0</v>
      </c>
    </row>
    <row r="4830" spans="1:13" s="149" customFormat="1" x14ac:dyDescent="0.25">
      <c r="A4830" s="149" t="s">
        <v>7640</v>
      </c>
      <c r="B4830" s="149" t="s">
        <v>6431</v>
      </c>
      <c r="C4830" s="149">
        <v>46</v>
      </c>
      <c r="D4830" s="149">
        <v>2</v>
      </c>
      <c r="E4830" s="149">
        <v>2</v>
      </c>
      <c r="F4830" s="149">
        <v>880500</v>
      </c>
      <c r="G4830" s="149">
        <v>55575</v>
      </c>
      <c r="H4830" s="150" t="str">
        <f t="shared" si="225"/>
        <v>5</v>
      </c>
      <c r="I4830" s="150" t="str">
        <f t="shared" si="226"/>
        <v>55</v>
      </c>
      <c r="J4830" s="150" t="str">
        <f t="shared" si="227"/>
        <v>555</v>
      </c>
      <c r="K4830" s="150" t="s">
        <v>9761</v>
      </c>
      <c r="L4830" s="149" t="s">
        <v>6432</v>
      </c>
      <c r="M4830" s="151">
        <v>0</v>
      </c>
    </row>
    <row r="4831" spans="1:13" s="149" customFormat="1" x14ac:dyDescent="0.25">
      <c r="A4831" s="149" t="s">
        <v>7640</v>
      </c>
      <c r="B4831" s="149" t="s">
        <v>6433</v>
      </c>
      <c r="C4831" s="149">
        <v>46</v>
      </c>
      <c r="D4831" s="149">
        <v>2</v>
      </c>
      <c r="E4831" s="149">
        <v>2</v>
      </c>
      <c r="F4831" s="149">
        <v>880500</v>
      </c>
      <c r="G4831" s="149">
        <v>56203</v>
      </c>
      <c r="H4831" s="150" t="str">
        <f t="shared" si="225"/>
        <v>5</v>
      </c>
      <c r="I4831" s="150" t="str">
        <f t="shared" si="226"/>
        <v>56</v>
      </c>
      <c r="J4831" s="150" t="str">
        <f t="shared" si="227"/>
        <v>562</v>
      </c>
      <c r="K4831" s="150" t="s">
        <v>9762</v>
      </c>
      <c r="L4831" s="149" t="s">
        <v>6357</v>
      </c>
      <c r="M4831" s="151">
        <v>0</v>
      </c>
    </row>
    <row r="4832" spans="1:13" s="149" customFormat="1" x14ac:dyDescent="0.25">
      <c r="A4832" s="149" t="s">
        <v>7640</v>
      </c>
      <c r="B4832" s="149" t="s">
        <v>6434</v>
      </c>
      <c r="C4832" s="149">
        <v>46</v>
      </c>
      <c r="D4832" s="149">
        <v>2</v>
      </c>
      <c r="E4832" s="149">
        <v>2</v>
      </c>
      <c r="F4832" s="149">
        <v>880500</v>
      </c>
      <c r="G4832" s="149">
        <v>56211</v>
      </c>
      <c r="H4832" s="150" t="str">
        <f t="shared" si="225"/>
        <v>5</v>
      </c>
      <c r="I4832" s="150" t="str">
        <f t="shared" si="226"/>
        <v>56</v>
      </c>
      <c r="J4832" s="150" t="str">
        <f t="shared" si="227"/>
        <v>562</v>
      </c>
      <c r="K4832" s="150" t="s">
        <v>9763</v>
      </c>
      <c r="L4832" s="149" t="s">
        <v>6435</v>
      </c>
      <c r="M4832" s="151">
        <v>0</v>
      </c>
    </row>
    <row r="4833" spans="1:13" s="149" customFormat="1" x14ac:dyDescent="0.25">
      <c r="A4833" s="149" t="s">
        <v>7640</v>
      </c>
      <c r="B4833" s="149" t="s">
        <v>6436</v>
      </c>
      <c r="C4833" s="149">
        <v>52</v>
      </c>
      <c r="D4833" s="149">
        <v>230</v>
      </c>
      <c r="E4833" s="149">
        <v>0</v>
      </c>
      <c r="F4833" s="149">
        <v>0</v>
      </c>
      <c r="G4833" s="149">
        <v>48844</v>
      </c>
      <c r="H4833" s="150" t="str">
        <f t="shared" si="225"/>
        <v>4</v>
      </c>
      <c r="I4833" s="150" t="str">
        <f t="shared" si="226"/>
        <v>48</v>
      </c>
      <c r="J4833" s="150" t="str">
        <f t="shared" si="227"/>
        <v>488</v>
      </c>
      <c r="K4833" s="150" t="s">
        <v>9764</v>
      </c>
      <c r="L4833" s="149" t="s">
        <v>6437</v>
      </c>
      <c r="M4833" s="151">
        <v>-10024.09</v>
      </c>
    </row>
    <row r="4834" spans="1:13" s="149" customFormat="1" x14ac:dyDescent="0.25">
      <c r="A4834" s="149" t="s">
        <v>7640</v>
      </c>
      <c r="B4834" s="149" t="s">
        <v>6438</v>
      </c>
      <c r="C4834" s="149">
        <v>52</v>
      </c>
      <c r="D4834" s="149">
        <v>230</v>
      </c>
      <c r="E4834" s="149">
        <v>0</v>
      </c>
      <c r="F4834" s="149">
        <v>0</v>
      </c>
      <c r="G4834" s="149">
        <v>48845</v>
      </c>
      <c r="H4834" s="150" t="str">
        <f t="shared" si="225"/>
        <v>4</v>
      </c>
      <c r="I4834" s="150" t="str">
        <f t="shared" si="226"/>
        <v>48</v>
      </c>
      <c r="J4834" s="150" t="str">
        <f t="shared" si="227"/>
        <v>488</v>
      </c>
      <c r="K4834" s="150" t="s">
        <v>9765</v>
      </c>
      <c r="L4834" s="149" t="s">
        <v>6439</v>
      </c>
      <c r="M4834" s="151">
        <v>-13419.01</v>
      </c>
    </row>
    <row r="4835" spans="1:13" s="149" customFormat="1" x14ac:dyDescent="0.25">
      <c r="A4835" s="149" t="s">
        <v>7640</v>
      </c>
      <c r="B4835" s="149" t="s">
        <v>6440</v>
      </c>
      <c r="C4835" s="149">
        <v>52</v>
      </c>
      <c r="D4835" s="149">
        <v>230</v>
      </c>
      <c r="E4835" s="149">
        <v>0</v>
      </c>
      <c r="F4835" s="149">
        <v>0</v>
      </c>
      <c r="G4835" s="149">
        <v>48849</v>
      </c>
      <c r="H4835" s="150" t="str">
        <f t="shared" si="225"/>
        <v>4</v>
      </c>
      <c r="I4835" s="150" t="str">
        <f t="shared" si="226"/>
        <v>48</v>
      </c>
      <c r="J4835" s="150" t="str">
        <f t="shared" si="227"/>
        <v>488</v>
      </c>
      <c r="K4835" s="150" t="s">
        <v>9766</v>
      </c>
      <c r="L4835" s="149" t="s">
        <v>6441</v>
      </c>
      <c r="M4835" s="151">
        <v>0</v>
      </c>
    </row>
    <row r="4836" spans="1:13" s="149" customFormat="1" x14ac:dyDescent="0.25">
      <c r="A4836" s="149" t="s">
        <v>7640</v>
      </c>
      <c r="B4836" s="149" t="s">
        <v>6442</v>
      </c>
      <c r="C4836" s="149">
        <v>52</v>
      </c>
      <c r="D4836" s="149">
        <v>230</v>
      </c>
      <c r="E4836" s="149">
        <v>0</v>
      </c>
      <c r="F4836" s="149">
        <v>0</v>
      </c>
      <c r="G4836" s="149">
        <v>48860</v>
      </c>
      <c r="H4836" s="150" t="str">
        <f t="shared" si="225"/>
        <v>4</v>
      </c>
      <c r="I4836" s="150" t="str">
        <f t="shared" si="226"/>
        <v>48</v>
      </c>
      <c r="J4836" s="150" t="str">
        <f t="shared" si="227"/>
        <v>488</v>
      </c>
      <c r="K4836" s="150" t="s">
        <v>9767</v>
      </c>
      <c r="L4836" s="149" t="s">
        <v>41</v>
      </c>
      <c r="M4836" s="151">
        <v>-709.7</v>
      </c>
    </row>
    <row r="4837" spans="1:13" s="149" customFormat="1" x14ac:dyDescent="0.25">
      <c r="A4837" s="149" t="s">
        <v>7640</v>
      </c>
      <c r="B4837" s="149" t="s">
        <v>6443</v>
      </c>
      <c r="C4837" s="149">
        <v>52</v>
      </c>
      <c r="D4837" s="149">
        <v>230</v>
      </c>
      <c r="E4837" s="149">
        <v>0</v>
      </c>
      <c r="F4837" s="149">
        <v>0</v>
      </c>
      <c r="G4837" s="149">
        <v>52105</v>
      </c>
      <c r="H4837" s="150" t="str">
        <f t="shared" si="225"/>
        <v>5</v>
      </c>
      <c r="I4837" s="150" t="str">
        <f t="shared" si="226"/>
        <v>52</v>
      </c>
      <c r="J4837" s="150" t="str">
        <f t="shared" si="227"/>
        <v>521</v>
      </c>
      <c r="K4837" s="150" t="s">
        <v>9768</v>
      </c>
      <c r="L4837" s="149" t="s">
        <v>6151</v>
      </c>
      <c r="M4837" s="151">
        <v>0</v>
      </c>
    </row>
    <row r="4838" spans="1:13" s="149" customFormat="1" x14ac:dyDescent="0.25">
      <c r="A4838" s="149" t="s">
        <v>7640</v>
      </c>
      <c r="B4838" s="149" t="s">
        <v>6444</v>
      </c>
      <c r="C4838" s="149">
        <v>52</v>
      </c>
      <c r="D4838" s="149">
        <v>230</v>
      </c>
      <c r="E4838" s="149">
        <v>0</v>
      </c>
      <c r="F4838" s="149">
        <v>0</v>
      </c>
      <c r="G4838" s="149">
        <v>52115</v>
      </c>
      <c r="H4838" s="150" t="str">
        <f t="shared" si="225"/>
        <v>5</v>
      </c>
      <c r="I4838" s="150" t="str">
        <f t="shared" si="226"/>
        <v>52</v>
      </c>
      <c r="J4838" s="150" t="str">
        <f t="shared" si="227"/>
        <v>521</v>
      </c>
      <c r="K4838" s="150" t="s">
        <v>9769</v>
      </c>
      <c r="L4838" s="149" t="s">
        <v>6445</v>
      </c>
      <c r="M4838" s="151">
        <v>2445.9</v>
      </c>
    </row>
    <row r="4839" spans="1:13" s="149" customFormat="1" x14ac:dyDescent="0.25">
      <c r="A4839" s="149" t="s">
        <v>7640</v>
      </c>
      <c r="B4839" s="149" t="s">
        <v>6446</v>
      </c>
      <c r="C4839" s="149">
        <v>52</v>
      </c>
      <c r="D4839" s="149">
        <v>230</v>
      </c>
      <c r="E4839" s="149">
        <v>0</v>
      </c>
      <c r="F4839" s="149">
        <v>0</v>
      </c>
      <c r="G4839" s="149">
        <v>52120</v>
      </c>
      <c r="H4839" s="150" t="str">
        <f t="shared" si="225"/>
        <v>5</v>
      </c>
      <c r="I4839" s="150" t="str">
        <f t="shared" si="226"/>
        <v>52</v>
      </c>
      <c r="J4839" s="150" t="str">
        <f t="shared" si="227"/>
        <v>521</v>
      </c>
      <c r="K4839" s="150" t="s">
        <v>9770</v>
      </c>
      <c r="L4839" s="149" t="s">
        <v>6447</v>
      </c>
      <c r="M4839" s="151">
        <v>1752.5</v>
      </c>
    </row>
    <row r="4840" spans="1:13" s="149" customFormat="1" x14ac:dyDescent="0.25">
      <c r="A4840" s="149" t="s">
        <v>7640</v>
      </c>
      <c r="B4840" s="149" t="s">
        <v>6448</v>
      </c>
      <c r="C4840" s="149">
        <v>52</v>
      </c>
      <c r="D4840" s="149">
        <v>230</v>
      </c>
      <c r="E4840" s="149">
        <v>0</v>
      </c>
      <c r="F4840" s="149">
        <v>0</v>
      </c>
      <c r="G4840" s="149">
        <v>52125</v>
      </c>
      <c r="H4840" s="150" t="str">
        <f t="shared" si="225"/>
        <v>5</v>
      </c>
      <c r="I4840" s="150" t="str">
        <f t="shared" si="226"/>
        <v>52</v>
      </c>
      <c r="J4840" s="150" t="str">
        <f t="shared" si="227"/>
        <v>521</v>
      </c>
      <c r="K4840" s="150" t="s">
        <v>9771</v>
      </c>
      <c r="L4840" s="149" t="s">
        <v>6449</v>
      </c>
      <c r="M4840" s="151">
        <v>0</v>
      </c>
    </row>
    <row r="4841" spans="1:13" s="149" customFormat="1" x14ac:dyDescent="0.25">
      <c r="A4841" s="149" t="s">
        <v>7640</v>
      </c>
      <c r="B4841" s="149" t="s">
        <v>6450</v>
      </c>
      <c r="C4841" s="149">
        <v>52</v>
      </c>
      <c r="D4841" s="149">
        <v>230</v>
      </c>
      <c r="E4841" s="149">
        <v>0</v>
      </c>
      <c r="F4841" s="149">
        <v>0</v>
      </c>
      <c r="G4841" s="149">
        <v>52130</v>
      </c>
      <c r="H4841" s="150" t="str">
        <f t="shared" si="225"/>
        <v>5</v>
      </c>
      <c r="I4841" s="150" t="str">
        <f t="shared" si="226"/>
        <v>52</v>
      </c>
      <c r="J4841" s="150" t="str">
        <f t="shared" si="227"/>
        <v>521</v>
      </c>
      <c r="K4841" s="150" t="s">
        <v>9772</v>
      </c>
      <c r="L4841" s="149" t="s">
        <v>6451</v>
      </c>
      <c r="M4841" s="151">
        <v>0</v>
      </c>
    </row>
    <row r="4842" spans="1:13" s="149" customFormat="1" x14ac:dyDescent="0.25">
      <c r="A4842" s="149" t="s">
        <v>7640</v>
      </c>
      <c r="B4842" s="149" t="s">
        <v>6452</v>
      </c>
      <c r="C4842" s="149">
        <v>52</v>
      </c>
      <c r="D4842" s="149">
        <v>230</v>
      </c>
      <c r="E4842" s="149">
        <v>0</v>
      </c>
      <c r="F4842" s="149">
        <v>0</v>
      </c>
      <c r="G4842" s="149">
        <v>52300</v>
      </c>
      <c r="H4842" s="150" t="str">
        <f t="shared" si="225"/>
        <v>5</v>
      </c>
      <c r="I4842" s="150" t="str">
        <f t="shared" si="226"/>
        <v>52</v>
      </c>
      <c r="J4842" s="150" t="str">
        <f t="shared" si="227"/>
        <v>523</v>
      </c>
      <c r="K4842" s="150" t="s">
        <v>9773</v>
      </c>
      <c r="L4842" s="149" t="s">
        <v>6453</v>
      </c>
      <c r="M4842" s="151">
        <v>535.91999999999996</v>
      </c>
    </row>
    <row r="4843" spans="1:13" s="149" customFormat="1" x14ac:dyDescent="0.25">
      <c r="A4843" s="149" t="s">
        <v>7640</v>
      </c>
      <c r="B4843" s="149" t="s">
        <v>6454</v>
      </c>
      <c r="C4843" s="149">
        <v>52</v>
      </c>
      <c r="D4843" s="149">
        <v>230</v>
      </c>
      <c r="E4843" s="149">
        <v>0</v>
      </c>
      <c r="F4843" s="149">
        <v>0</v>
      </c>
      <c r="G4843" s="149">
        <v>52310</v>
      </c>
      <c r="H4843" s="150" t="str">
        <f t="shared" si="225"/>
        <v>5</v>
      </c>
      <c r="I4843" s="150" t="str">
        <f t="shared" si="226"/>
        <v>52</v>
      </c>
      <c r="J4843" s="150" t="str">
        <f t="shared" si="227"/>
        <v>523</v>
      </c>
      <c r="K4843" s="150" t="s">
        <v>9774</v>
      </c>
      <c r="L4843" s="149" t="s">
        <v>6455</v>
      </c>
      <c r="M4843" s="151">
        <v>0</v>
      </c>
    </row>
    <row r="4844" spans="1:13" s="149" customFormat="1" x14ac:dyDescent="0.25">
      <c r="A4844" s="149" t="s">
        <v>7640</v>
      </c>
      <c r="B4844" s="149" t="s">
        <v>6456</v>
      </c>
      <c r="C4844" s="149">
        <v>52</v>
      </c>
      <c r="D4844" s="149">
        <v>230</v>
      </c>
      <c r="E4844" s="149">
        <v>0</v>
      </c>
      <c r="F4844" s="149">
        <v>0</v>
      </c>
      <c r="G4844" s="149">
        <v>52350</v>
      </c>
      <c r="H4844" s="150" t="str">
        <f t="shared" si="225"/>
        <v>5</v>
      </c>
      <c r="I4844" s="150" t="str">
        <f t="shared" si="226"/>
        <v>52</v>
      </c>
      <c r="J4844" s="150" t="str">
        <f t="shared" si="227"/>
        <v>523</v>
      </c>
      <c r="K4844" s="150" t="s">
        <v>9775</v>
      </c>
      <c r="L4844" s="149" t="s">
        <v>6153</v>
      </c>
      <c r="M4844" s="151">
        <v>0</v>
      </c>
    </row>
    <row r="4845" spans="1:13" s="149" customFormat="1" x14ac:dyDescent="0.25">
      <c r="A4845" s="149" t="s">
        <v>7640</v>
      </c>
      <c r="B4845" s="149" t="s">
        <v>6457</v>
      </c>
      <c r="C4845" s="149">
        <v>52</v>
      </c>
      <c r="D4845" s="149">
        <v>230</v>
      </c>
      <c r="E4845" s="149">
        <v>0</v>
      </c>
      <c r="F4845" s="149">
        <v>0</v>
      </c>
      <c r="G4845" s="149">
        <v>53220</v>
      </c>
      <c r="H4845" s="150" t="str">
        <f t="shared" si="225"/>
        <v>5</v>
      </c>
      <c r="I4845" s="150" t="str">
        <f t="shared" si="226"/>
        <v>53</v>
      </c>
      <c r="J4845" s="150" t="str">
        <f t="shared" si="227"/>
        <v>532</v>
      </c>
      <c r="K4845" s="150" t="s">
        <v>9776</v>
      </c>
      <c r="L4845" s="149" t="s">
        <v>6159</v>
      </c>
      <c r="M4845" s="151">
        <v>958.12</v>
      </c>
    </row>
    <row r="4846" spans="1:13" s="149" customFormat="1" x14ac:dyDescent="0.25">
      <c r="A4846" s="149" t="s">
        <v>7640</v>
      </c>
      <c r="B4846" s="149" t="s">
        <v>6458</v>
      </c>
      <c r="C4846" s="149">
        <v>52</v>
      </c>
      <c r="D4846" s="149">
        <v>230</v>
      </c>
      <c r="E4846" s="149">
        <v>0</v>
      </c>
      <c r="F4846" s="149">
        <v>0</v>
      </c>
      <c r="G4846" s="149">
        <v>53320</v>
      </c>
      <c r="H4846" s="150" t="str">
        <f t="shared" si="225"/>
        <v>5</v>
      </c>
      <c r="I4846" s="150" t="str">
        <f t="shared" si="226"/>
        <v>53</v>
      </c>
      <c r="J4846" s="150" t="str">
        <f t="shared" si="227"/>
        <v>533</v>
      </c>
      <c r="K4846" s="150" t="s">
        <v>9777</v>
      </c>
      <c r="L4846" s="149" t="s">
        <v>6161</v>
      </c>
      <c r="M4846" s="151">
        <v>284.19</v>
      </c>
    </row>
    <row r="4847" spans="1:13" s="149" customFormat="1" x14ac:dyDescent="0.25">
      <c r="A4847" s="149" t="s">
        <v>7640</v>
      </c>
      <c r="B4847" s="149" t="s">
        <v>6459</v>
      </c>
      <c r="C4847" s="149">
        <v>52</v>
      </c>
      <c r="D4847" s="149">
        <v>230</v>
      </c>
      <c r="E4847" s="149">
        <v>0</v>
      </c>
      <c r="F4847" s="149">
        <v>0</v>
      </c>
      <c r="G4847" s="149">
        <v>53340</v>
      </c>
      <c r="H4847" s="150" t="str">
        <f t="shared" si="225"/>
        <v>5</v>
      </c>
      <c r="I4847" s="150" t="str">
        <f t="shared" si="226"/>
        <v>53</v>
      </c>
      <c r="J4847" s="150" t="str">
        <f t="shared" si="227"/>
        <v>533</v>
      </c>
      <c r="K4847" s="150" t="s">
        <v>9778</v>
      </c>
      <c r="L4847" s="149" t="s">
        <v>6163</v>
      </c>
      <c r="M4847" s="151">
        <v>66.53</v>
      </c>
    </row>
    <row r="4848" spans="1:13" s="149" customFormat="1" x14ac:dyDescent="0.25">
      <c r="A4848" s="149" t="s">
        <v>7640</v>
      </c>
      <c r="B4848" s="149" t="s">
        <v>6460</v>
      </c>
      <c r="C4848" s="149">
        <v>52</v>
      </c>
      <c r="D4848" s="149">
        <v>230</v>
      </c>
      <c r="E4848" s="149">
        <v>0</v>
      </c>
      <c r="F4848" s="149">
        <v>0</v>
      </c>
      <c r="G4848" s="149">
        <v>53420</v>
      </c>
      <c r="H4848" s="150" t="str">
        <f t="shared" si="225"/>
        <v>5</v>
      </c>
      <c r="I4848" s="150" t="str">
        <f t="shared" si="226"/>
        <v>53</v>
      </c>
      <c r="J4848" s="150" t="str">
        <f t="shared" si="227"/>
        <v>534</v>
      </c>
      <c r="K4848" s="150" t="s">
        <v>9779</v>
      </c>
      <c r="L4848" s="149" t="s">
        <v>6165</v>
      </c>
      <c r="M4848" s="151">
        <v>1279.8499999999999</v>
      </c>
    </row>
    <row r="4849" spans="1:13" s="149" customFormat="1" x14ac:dyDescent="0.25">
      <c r="A4849" s="149" t="s">
        <v>7640</v>
      </c>
      <c r="B4849" s="149" t="s">
        <v>6461</v>
      </c>
      <c r="C4849" s="149">
        <v>52</v>
      </c>
      <c r="D4849" s="149">
        <v>230</v>
      </c>
      <c r="E4849" s="149">
        <v>0</v>
      </c>
      <c r="F4849" s="149">
        <v>0</v>
      </c>
      <c r="G4849" s="149">
        <v>53520</v>
      </c>
      <c r="H4849" s="150" t="str">
        <f t="shared" si="225"/>
        <v>5</v>
      </c>
      <c r="I4849" s="150" t="str">
        <f t="shared" si="226"/>
        <v>53</v>
      </c>
      <c r="J4849" s="150" t="str">
        <f t="shared" si="227"/>
        <v>535</v>
      </c>
      <c r="K4849" s="150" t="s">
        <v>9780</v>
      </c>
      <c r="L4849" s="149" t="s">
        <v>6167</v>
      </c>
      <c r="M4849" s="151">
        <v>2.31</v>
      </c>
    </row>
    <row r="4850" spans="1:13" s="149" customFormat="1" x14ac:dyDescent="0.25">
      <c r="A4850" s="149" t="s">
        <v>7640</v>
      </c>
      <c r="B4850" s="149" t="s">
        <v>6462</v>
      </c>
      <c r="C4850" s="149">
        <v>52</v>
      </c>
      <c r="D4850" s="149">
        <v>230</v>
      </c>
      <c r="E4850" s="149">
        <v>0</v>
      </c>
      <c r="F4850" s="149">
        <v>0</v>
      </c>
      <c r="G4850" s="149">
        <v>53620</v>
      </c>
      <c r="H4850" s="150" t="str">
        <f t="shared" si="225"/>
        <v>5</v>
      </c>
      <c r="I4850" s="150" t="str">
        <f t="shared" si="226"/>
        <v>53</v>
      </c>
      <c r="J4850" s="150" t="str">
        <f t="shared" si="227"/>
        <v>536</v>
      </c>
      <c r="K4850" s="150" t="s">
        <v>9781</v>
      </c>
      <c r="L4850" s="149" t="s">
        <v>6169</v>
      </c>
      <c r="M4850" s="151">
        <v>89.51</v>
      </c>
    </row>
    <row r="4851" spans="1:13" s="149" customFormat="1" x14ac:dyDescent="0.25">
      <c r="A4851" s="149" t="s">
        <v>7640</v>
      </c>
      <c r="B4851" s="149" t="s">
        <v>6463</v>
      </c>
      <c r="C4851" s="149">
        <v>52</v>
      </c>
      <c r="D4851" s="149">
        <v>230</v>
      </c>
      <c r="E4851" s="149">
        <v>0</v>
      </c>
      <c r="F4851" s="149">
        <v>0</v>
      </c>
      <c r="G4851" s="149">
        <v>53920</v>
      </c>
      <c r="H4851" s="150" t="str">
        <f t="shared" si="225"/>
        <v>5</v>
      </c>
      <c r="I4851" s="150" t="str">
        <f t="shared" si="226"/>
        <v>53</v>
      </c>
      <c r="J4851" s="150" t="str">
        <f t="shared" si="227"/>
        <v>539</v>
      </c>
      <c r="K4851" s="150" t="s">
        <v>9782</v>
      </c>
      <c r="L4851" s="149" t="s">
        <v>6464</v>
      </c>
      <c r="M4851" s="151">
        <v>54</v>
      </c>
    </row>
    <row r="4852" spans="1:13" s="149" customFormat="1" x14ac:dyDescent="0.25">
      <c r="A4852" s="149" t="s">
        <v>7640</v>
      </c>
      <c r="B4852" s="149" t="s">
        <v>6465</v>
      </c>
      <c r="C4852" s="149">
        <v>52</v>
      </c>
      <c r="D4852" s="149">
        <v>230</v>
      </c>
      <c r="E4852" s="149">
        <v>0</v>
      </c>
      <c r="F4852" s="149">
        <v>0</v>
      </c>
      <c r="G4852" s="149">
        <v>54210</v>
      </c>
      <c r="H4852" s="150" t="str">
        <f t="shared" si="225"/>
        <v>5</v>
      </c>
      <c r="I4852" s="150" t="str">
        <f t="shared" si="226"/>
        <v>54</v>
      </c>
      <c r="J4852" s="150" t="str">
        <f t="shared" si="227"/>
        <v>542</v>
      </c>
      <c r="K4852" s="150" t="s">
        <v>9783</v>
      </c>
      <c r="L4852" s="149" t="s">
        <v>6171</v>
      </c>
      <c r="M4852" s="151">
        <v>832.02</v>
      </c>
    </row>
    <row r="4853" spans="1:13" s="149" customFormat="1" x14ac:dyDescent="0.25">
      <c r="A4853" s="149" t="s">
        <v>7640</v>
      </c>
      <c r="B4853" s="149" t="s">
        <v>6466</v>
      </c>
      <c r="C4853" s="149">
        <v>52</v>
      </c>
      <c r="D4853" s="149">
        <v>230</v>
      </c>
      <c r="E4853" s="149">
        <v>0</v>
      </c>
      <c r="F4853" s="149">
        <v>0</v>
      </c>
      <c r="G4853" s="149">
        <v>54300</v>
      </c>
      <c r="H4853" s="150" t="str">
        <f t="shared" si="225"/>
        <v>5</v>
      </c>
      <c r="I4853" s="150" t="str">
        <f t="shared" si="226"/>
        <v>54</v>
      </c>
      <c r="J4853" s="150" t="str">
        <f t="shared" si="227"/>
        <v>543</v>
      </c>
      <c r="K4853" s="150" t="s">
        <v>9784</v>
      </c>
      <c r="L4853" s="149" t="s">
        <v>6173</v>
      </c>
      <c r="M4853" s="151">
        <v>746.85</v>
      </c>
    </row>
    <row r="4854" spans="1:13" s="149" customFormat="1" x14ac:dyDescent="0.25">
      <c r="A4854" s="149" t="s">
        <v>7640</v>
      </c>
      <c r="B4854" s="149" t="s">
        <v>6467</v>
      </c>
      <c r="C4854" s="149">
        <v>52</v>
      </c>
      <c r="D4854" s="149">
        <v>230</v>
      </c>
      <c r="E4854" s="149">
        <v>0</v>
      </c>
      <c r="F4854" s="149">
        <v>0</v>
      </c>
      <c r="G4854" s="149">
        <v>54320</v>
      </c>
      <c r="H4854" s="150" t="str">
        <f t="shared" si="225"/>
        <v>5</v>
      </c>
      <c r="I4854" s="150" t="str">
        <f t="shared" si="226"/>
        <v>54</v>
      </c>
      <c r="J4854" s="150" t="str">
        <f t="shared" si="227"/>
        <v>543</v>
      </c>
      <c r="K4854" s="150" t="s">
        <v>9785</v>
      </c>
      <c r="L4854" s="149" t="s">
        <v>6468</v>
      </c>
      <c r="M4854" s="151">
        <v>0</v>
      </c>
    </row>
    <row r="4855" spans="1:13" s="149" customFormat="1" x14ac:dyDescent="0.25">
      <c r="A4855" s="149" t="s">
        <v>7640</v>
      </c>
      <c r="B4855" s="149" t="s">
        <v>6469</v>
      </c>
      <c r="C4855" s="149">
        <v>52</v>
      </c>
      <c r="D4855" s="149">
        <v>230</v>
      </c>
      <c r="E4855" s="149">
        <v>0</v>
      </c>
      <c r="F4855" s="149">
        <v>0</v>
      </c>
      <c r="G4855" s="149">
        <v>55200</v>
      </c>
      <c r="H4855" s="150" t="str">
        <f t="shared" si="225"/>
        <v>5</v>
      </c>
      <c r="I4855" s="150" t="str">
        <f t="shared" si="226"/>
        <v>55</v>
      </c>
      <c r="J4855" s="150" t="str">
        <f t="shared" si="227"/>
        <v>552</v>
      </c>
      <c r="K4855" s="150" t="s">
        <v>9786</v>
      </c>
      <c r="L4855" s="149" t="s">
        <v>6175</v>
      </c>
      <c r="M4855" s="151">
        <v>0</v>
      </c>
    </row>
    <row r="4856" spans="1:13" s="149" customFormat="1" x14ac:dyDescent="0.25">
      <c r="A4856" s="149" t="s">
        <v>7640</v>
      </c>
      <c r="B4856" s="149" t="s">
        <v>6470</v>
      </c>
      <c r="C4856" s="149">
        <v>52</v>
      </c>
      <c r="D4856" s="149">
        <v>230</v>
      </c>
      <c r="E4856" s="149">
        <v>0</v>
      </c>
      <c r="F4856" s="149">
        <v>0</v>
      </c>
      <c r="G4856" s="149">
        <v>55600</v>
      </c>
      <c r="H4856" s="150" t="str">
        <f t="shared" si="225"/>
        <v>5</v>
      </c>
      <c r="I4856" s="150" t="str">
        <f t="shared" si="226"/>
        <v>55</v>
      </c>
      <c r="J4856" s="150" t="str">
        <f t="shared" si="227"/>
        <v>556</v>
      </c>
      <c r="K4856" s="150" t="s">
        <v>9787</v>
      </c>
      <c r="L4856" s="149" t="s">
        <v>6139</v>
      </c>
      <c r="M4856" s="151">
        <v>30</v>
      </c>
    </row>
    <row r="4857" spans="1:13" s="149" customFormat="1" x14ac:dyDescent="0.25">
      <c r="A4857" s="149" t="s">
        <v>7640</v>
      </c>
      <c r="B4857" s="149" t="s">
        <v>6471</v>
      </c>
      <c r="C4857" s="149">
        <v>52</v>
      </c>
      <c r="D4857" s="149">
        <v>230</v>
      </c>
      <c r="E4857" s="149">
        <v>0</v>
      </c>
      <c r="F4857" s="149">
        <v>0</v>
      </c>
      <c r="G4857" s="149">
        <v>55630</v>
      </c>
      <c r="H4857" s="150" t="str">
        <f t="shared" si="225"/>
        <v>5</v>
      </c>
      <c r="I4857" s="150" t="str">
        <f t="shared" si="226"/>
        <v>55</v>
      </c>
      <c r="J4857" s="150" t="str">
        <f t="shared" si="227"/>
        <v>556</v>
      </c>
      <c r="K4857" s="150" t="s">
        <v>9788</v>
      </c>
      <c r="L4857" s="149" t="s">
        <v>6181</v>
      </c>
      <c r="M4857" s="151">
        <v>21.12</v>
      </c>
    </row>
    <row r="4858" spans="1:13" s="149" customFormat="1" x14ac:dyDescent="0.25">
      <c r="A4858" s="149" t="s">
        <v>7640</v>
      </c>
      <c r="B4858" s="149" t="s">
        <v>6472</v>
      </c>
      <c r="C4858" s="149">
        <v>52</v>
      </c>
      <c r="D4858" s="149">
        <v>230</v>
      </c>
      <c r="E4858" s="149">
        <v>0</v>
      </c>
      <c r="F4858" s="149">
        <v>0</v>
      </c>
      <c r="G4858" s="149">
        <v>55651</v>
      </c>
      <c r="H4858" s="150" t="str">
        <f t="shared" si="225"/>
        <v>5</v>
      </c>
      <c r="I4858" s="150" t="str">
        <f t="shared" si="226"/>
        <v>55</v>
      </c>
      <c r="J4858" s="150" t="str">
        <f t="shared" si="227"/>
        <v>556</v>
      </c>
      <c r="K4858" s="150" t="s">
        <v>9789</v>
      </c>
      <c r="L4858" s="149" t="s">
        <v>6187</v>
      </c>
      <c r="M4858" s="151">
        <v>0</v>
      </c>
    </row>
    <row r="4859" spans="1:13" s="149" customFormat="1" x14ac:dyDescent="0.25">
      <c r="A4859" s="149" t="s">
        <v>7640</v>
      </c>
      <c r="B4859" s="149" t="s">
        <v>6473</v>
      </c>
      <c r="C4859" s="149">
        <v>52</v>
      </c>
      <c r="D4859" s="149">
        <v>230</v>
      </c>
      <c r="E4859" s="149">
        <v>0</v>
      </c>
      <c r="F4859" s="149">
        <v>0</v>
      </c>
      <c r="G4859" s="149">
        <v>55800</v>
      </c>
      <c r="H4859" s="150" t="str">
        <f t="shared" si="225"/>
        <v>5</v>
      </c>
      <c r="I4859" s="150" t="str">
        <f t="shared" si="226"/>
        <v>55</v>
      </c>
      <c r="J4859" s="150" t="str">
        <f t="shared" si="227"/>
        <v>558</v>
      </c>
      <c r="K4859" s="150" t="s">
        <v>9790</v>
      </c>
      <c r="L4859" s="149" t="s">
        <v>6269</v>
      </c>
      <c r="M4859" s="151">
        <v>1086</v>
      </c>
    </row>
    <row r="4860" spans="1:13" s="149" customFormat="1" x14ac:dyDescent="0.25">
      <c r="A4860" s="149" t="s">
        <v>7640</v>
      </c>
      <c r="B4860" s="149" t="s">
        <v>6474</v>
      </c>
      <c r="C4860" s="149">
        <v>52</v>
      </c>
      <c r="D4860" s="149">
        <v>230</v>
      </c>
      <c r="E4860" s="149">
        <v>0</v>
      </c>
      <c r="F4860" s="149">
        <v>0</v>
      </c>
      <c r="G4860" s="149">
        <v>55805</v>
      </c>
      <c r="H4860" s="150" t="str">
        <f t="shared" si="225"/>
        <v>5</v>
      </c>
      <c r="I4860" s="150" t="str">
        <f t="shared" si="226"/>
        <v>55</v>
      </c>
      <c r="J4860" s="150" t="str">
        <f t="shared" si="227"/>
        <v>558</v>
      </c>
      <c r="K4860" s="150" t="s">
        <v>9791</v>
      </c>
      <c r="L4860" s="149" t="s">
        <v>6475</v>
      </c>
      <c r="M4860" s="151">
        <v>0</v>
      </c>
    </row>
    <row r="4861" spans="1:13" s="149" customFormat="1" x14ac:dyDescent="0.25">
      <c r="A4861" s="149" t="s">
        <v>7640</v>
      </c>
      <c r="B4861" s="149" t="s">
        <v>6476</v>
      </c>
      <c r="C4861" s="149">
        <v>52</v>
      </c>
      <c r="D4861" s="149">
        <v>230</v>
      </c>
      <c r="E4861" s="149">
        <v>0</v>
      </c>
      <c r="F4861" s="149">
        <v>0</v>
      </c>
      <c r="G4861" s="149">
        <v>55861</v>
      </c>
      <c r="H4861" s="150" t="str">
        <f t="shared" si="225"/>
        <v>5</v>
      </c>
      <c r="I4861" s="150" t="str">
        <f t="shared" si="226"/>
        <v>55</v>
      </c>
      <c r="J4861" s="150" t="str">
        <f t="shared" si="227"/>
        <v>558</v>
      </c>
      <c r="K4861" s="150" t="s">
        <v>9792</v>
      </c>
      <c r="L4861" s="149" t="s">
        <v>6477</v>
      </c>
      <c r="M4861" s="151">
        <v>1350.3</v>
      </c>
    </row>
    <row r="4862" spans="1:13" s="149" customFormat="1" x14ac:dyDescent="0.25">
      <c r="A4862" s="149" t="s">
        <v>7640</v>
      </c>
      <c r="B4862" s="149" t="s">
        <v>6478</v>
      </c>
      <c r="C4862" s="149">
        <v>52</v>
      </c>
      <c r="D4862" s="149">
        <v>230</v>
      </c>
      <c r="E4862" s="149">
        <v>0</v>
      </c>
      <c r="F4862" s="149">
        <v>0</v>
      </c>
      <c r="G4862" s="149">
        <v>56217</v>
      </c>
      <c r="H4862" s="150" t="str">
        <f t="shared" si="225"/>
        <v>5</v>
      </c>
      <c r="I4862" s="150" t="str">
        <f t="shared" si="226"/>
        <v>56</v>
      </c>
      <c r="J4862" s="150" t="str">
        <f t="shared" si="227"/>
        <v>562</v>
      </c>
      <c r="K4862" s="150" t="s">
        <v>9793</v>
      </c>
      <c r="L4862" s="149" t="s">
        <v>6479</v>
      </c>
      <c r="M4862" s="151">
        <v>948</v>
      </c>
    </row>
    <row r="4863" spans="1:13" s="149" customFormat="1" x14ac:dyDescent="0.25">
      <c r="A4863" s="149" t="s">
        <v>7640</v>
      </c>
      <c r="B4863" s="149" t="s">
        <v>6480</v>
      </c>
      <c r="C4863" s="149">
        <v>52</v>
      </c>
      <c r="D4863" s="149">
        <v>230</v>
      </c>
      <c r="E4863" s="149">
        <v>0</v>
      </c>
      <c r="F4863" s="149">
        <v>0</v>
      </c>
      <c r="G4863" s="149">
        <v>57300</v>
      </c>
      <c r="H4863" s="150" t="str">
        <f t="shared" si="225"/>
        <v>5</v>
      </c>
      <c r="I4863" s="150" t="str">
        <f t="shared" si="226"/>
        <v>57</v>
      </c>
      <c r="J4863" s="150" t="str">
        <f t="shared" si="227"/>
        <v>573</v>
      </c>
      <c r="K4863" s="150" t="s">
        <v>9794</v>
      </c>
      <c r="L4863" s="149" t="s">
        <v>6142</v>
      </c>
      <c r="M4863" s="151">
        <v>16148.92</v>
      </c>
    </row>
    <row r="4864" spans="1:13" s="149" customFormat="1" x14ac:dyDescent="0.25">
      <c r="A4864" s="149" t="s">
        <v>7640</v>
      </c>
      <c r="B4864" s="149" t="s">
        <v>6481</v>
      </c>
      <c r="C4864" s="149">
        <v>55</v>
      </c>
      <c r="D4864" s="149">
        <v>230</v>
      </c>
      <c r="E4864" s="149">
        <v>0</v>
      </c>
      <c r="F4864" s="149">
        <v>0</v>
      </c>
      <c r="G4864" s="149">
        <v>48844</v>
      </c>
      <c r="H4864" s="150" t="str">
        <f t="shared" si="225"/>
        <v>4</v>
      </c>
      <c r="I4864" s="150" t="str">
        <f t="shared" si="226"/>
        <v>48</v>
      </c>
      <c r="J4864" s="150" t="str">
        <f t="shared" si="227"/>
        <v>488</v>
      </c>
      <c r="K4864" s="150" t="s">
        <v>9795</v>
      </c>
      <c r="L4864" s="149" t="s">
        <v>6437</v>
      </c>
      <c r="M4864" s="151">
        <v>0</v>
      </c>
    </row>
    <row r="4865" spans="1:13" s="149" customFormat="1" x14ac:dyDescent="0.25">
      <c r="A4865" s="149" t="s">
        <v>7640</v>
      </c>
      <c r="B4865" s="149" t="s">
        <v>6482</v>
      </c>
      <c r="C4865" s="149">
        <v>55</v>
      </c>
      <c r="D4865" s="149">
        <v>230</v>
      </c>
      <c r="E4865" s="149">
        <v>0</v>
      </c>
      <c r="F4865" s="149">
        <v>0</v>
      </c>
      <c r="G4865" s="149">
        <v>48860</v>
      </c>
      <c r="H4865" s="150" t="str">
        <f t="shared" si="225"/>
        <v>4</v>
      </c>
      <c r="I4865" s="150" t="str">
        <f t="shared" si="226"/>
        <v>48</v>
      </c>
      <c r="J4865" s="150" t="str">
        <f t="shared" si="227"/>
        <v>488</v>
      </c>
      <c r="K4865" s="150" t="s">
        <v>9796</v>
      </c>
      <c r="L4865" s="149" t="s">
        <v>41</v>
      </c>
      <c r="M4865" s="151">
        <v>1025.18</v>
      </c>
    </row>
    <row r="4866" spans="1:13" s="149" customFormat="1" x14ac:dyDescent="0.25">
      <c r="A4866" s="149" t="s">
        <v>7640</v>
      </c>
      <c r="B4866" s="149" t="s">
        <v>6483</v>
      </c>
      <c r="C4866" s="149">
        <v>55</v>
      </c>
      <c r="D4866" s="149">
        <v>230</v>
      </c>
      <c r="E4866" s="149">
        <v>0</v>
      </c>
      <c r="F4866" s="149">
        <v>0</v>
      </c>
      <c r="G4866" s="149">
        <v>48862</v>
      </c>
      <c r="H4866" s="150" t="str">
        <f t="shared" si="225"/>
        <v>4</v>
      </c>
      <c r="I4866" s="150" t="str">
        <f t="shared" si="226"/>
        <v>48</v>
      </c>
      <c r="J4866" s="150" t="str">
        <f t="shared" si="227"/>
        <v>488</v>
      </c>
      <c r="K4866" s="150" t="s">
        <v>9797</v>
      </c>
      <c r="L4866" s="149" t="s">
        <v>6484</v>
      </c>
      <c r="M4866" s="151">
        <v>0</v>
      </c>
    </row>
    <row r="4867" spans="1:13" s="149" customFormat="1" x14ac:dyDescent="0.25">
      <c r="A4867" s="149" t="s">
        <v>7640</v>
      </c>
      <c r="B4867" s="149" t="s">
        <v>6485</v>
      </c>
      <c r="C4867" s="149">
        <v>55</v>
      </c>
      <c r="D4867" s="149">
        <v>230</v>
      </c>
      <c r="E4867" s="149">
        <v>0</v>
      </c>
      <c r="F4867" s="149">
        <v>0</v>
      </c>
      <c r="G4867" s="149">
        <v>48863</v>
      </c>
      <c r="H4867" s="150" t="str">
        <f t="shared" ref="H4867:H4930" si="228">LEFT(G4867,1)</f>
        <v>4</v>
      </c>
      <c r="I4867" s="150" t="str">
        <f t="shared" ref="I4867:I4930" si="229">LEFT(G4867,2)</f>
        <v>48</v>
      </c>
      <c r="J4867" s="150" t="str">
        <f t="shared" ref="J4867:J4930" si="230">LEFT(G4867,3)</f>
        <v>488</v>
      </c>
      <c r="K4867" s="150" t="s">
        <v>9798</v>
      </c>
      <c r="L4867" s="149" t="s">
        <v>6486</v>
      </c>
      <c r="M4867" s="151">
        <v>0</v>
      </c>
    </row>
    <row r="4868" spans="1:13" s="149" customFormat="1" x14ac:dyDescent="0.25">
      <c r="A4868" s="149" t="s">
        <v>7640</v>
      </c>
      <c r="B4868" s="149" t="s">
        <v>6487</v>
      </c>
      <c r="C4868" s="149">
        <v>55</v>
      </c>
      <c r="D4868" s="149">
        <v>230</v>
      </c>
      <c r="E4868" s="149">
        <v>0</v>
      </c>
      <c r="F4868" s="149">
        <v>0</v>
      </c>
      <c r="G4868" s="149">
        <v>48864</v>
      </c>
      <c r="H4868" s="150" t="str">
        <f t="shared" si="228"/>
        <v>4</v>
      </c>
      <c r="I4868" s="150" t="str">
        <f t="shared" si="229"/>
        <v>48</v>
      </c>
      <c r="J4868" s="150" t="str">
        <f t="shared" si="230"/>
        <v>488</v>
      </c>
      <c r="K4868" s="150" t="s">
        <v>9799</v>
      </c>
      <c r="L4868" s="149" t="s">
        <v>6488</v>
      </c>
      <c r="M4868" s="151">
        <v>0</v>
      </c>
    </row>
    <row r="4869" spans="1:13" s="149" customFormat="1" x14ac:dyDescent="0.25">
      <c r="A4869" s="149" t="s">
        <v>7640</v>
      </c>
      <c r="B4869" s="149" t="s">
        <v>6489</v>
      </c>
      <c r="C4869" s="149">
        <v>55</v>
      </c>
      <c r="D4869" s="149">
        <v>230</v>
      </c>
      <c r="E4869" s="149">
        <v>0</v>
      </c>
      <c r="F4869" s="149">
        <v>0</v>
      </c>
      <c r="G4869" s="149">
        <v>48980</v>
      </c>
      <c r="H4869" s="150" t="str">
        <f t="shared" si="228"/>
        <v>4</v>
      </c>
      <c r="I4869" s="150" t="str">
        <f t="shared" si="229"/>
        <v>48</v>
      </c>
      <c r="J4869" s="150" t="str">
        <f t="shared" si="230"/>
        <v>489</v>
      </c>
      <c r="K4869" s="150" t="s">
        <v>9800</v>
      </c>
      <c r="L4869" s="149" t="s">
        <v>55</v>
      </c>
      <c r="M4869" s="151">
        <v>-16148.92</v>
      </c>
    </row>
    <row r="4870" spans="1:13" s="149" customFormat="1" x14ac:dyDescent="0.25">
      <c r="A4870" s="149" t="s">
        <v>7640</v>
      </c>
      <c r="B4870" s="149" t="s">
        <v>6490</v>
      </c>
      <c r="C4870" s="149">
        <v>55</v>
      </c>
      <c r="D4870" s="149">
        <v>230</v>
      </c>
      <c r="E4870" s="149">
        <v>0</v>
      </c>
      <c r="F4870" s="149">
        <v>0</v>
      </c>
      <c r="G4870" s="149">
        <v>52105</v>
      </c>
      <c r="H4870" s="150" t="str">
        <f t="shared" si="228"/>
        <v>5</v>
      </c>
      <c r="I4870" s="150" t="str">
        <f t="shared" si="229"/>
        <v>52</v>
      </c>
      <c r="J4870" s="150" t="str">
        <f t="shared" si="230"/>
        <v>521</v>
      </c>
      <c r="K4870" s="150" t="s">
        <v>9801</v>
      </c>
      <c r="L4870" s="149" t="s">
        <v>6151</v>
      </c>
      <c r="M4870" s="151">
        <v>0</v>
      </c>
    </row>
    <row r="4871" spans="1:13" s="149" customFormat="1" x14ac:dyDescent="0.25">
      <c r="A4871" s="149" t="s">
        <v>7640</v>
      </c>
      <c r="B4871" s="149" t="s">
        <v>6491</v>
      </c>
      <c r="C4871" s="149">
        <v>55</v>
      </c>
      <c r="D4871" s="149">
        <v>230</v>
      </c>
      <c r="E4871" s="149">
        <v>0</v>
      </c>
      <c r="F4871" s="149">
        <v>0</v>
      </c>
      <c r="G4871" s="149">
        <v>52115</v>
      </c>
      <c r="H4871" s="150" t="str">
        <f t="shared" si="228"/>
        <v>5</v>
      </c>
      <c r="I4871" s="150" t="str">
        <f t="shared" si="229"/>
        <v>52</v>
      </c>
      <c r="J4871" s="150" t="str">
        <f t="shared" si="230"/>
        <v>521</v>
      </c>
      <c r="K4871" s="150" t="s">
        <v>9802</v>
      </c>
      <c r="L4871" s="149" t="s">
        <v>6445</v>
      </c>
      <c r="M4871" s="151">
        <v>0</v>
      </c>
    </row>
    <row r="4872" spans="1:13" s="149" customFormat="1" x14ac:dyDescent="0.25">
      <c r="A4872" s="149" t="s">
        <v>7640</v>
      </c>
      <c r="B4872" s="149" t="s">
        <v>6492</v>
      </c>
      <c r="C4872" s="149">
        <v>55</v>
      </c>
      <c r="D4872" s="149">
        <v>230</v>
      </c>
      <c r="E4872" s="149">
        <v>0</v>
      </c>
      <c r="F4872" s="149">
        <v>0</v>
      </c>
      <c r="G4872" s="149">
        <v>52300</v>
      </c>
      <c r="H4872" s="150" t="str">
        <f t="shared" si="228"/>
        <v>5</v>
      </c>
      <c r="I4872" s="150" t="str">
        <f t="shared" si="229"/>
        <v>52</v>
      </c>
      <c r="J4872" s="150" t="str">
        <f t="shared" si="230"/>
        <v>523</v>
      </c>
      <c r="K4872" s="150" t="s">
        <v>9803</v>
      </c>
      <c r="L4872" s="149" t="s">
        <v>6453</v>
      </c>
      <c r="M4872" s="151">
        <v>430.56</v>
      </c>
    </row>
    <row r="4873" spans="1:13" s="149" customFormat="1" x14ac:dyDescent="0.25">
      <c r="A4873" s="149" t="s">
        <v>7640</v>
      </c>
      <c r="B4873" s="149" t="s">
        <v>6493</v>
      </c>
      <c r="C4873" s="149">
        <v>55</v>
      </c>
      <c r="D4873" s="149">
        <v>230</v>
      </c>
      <c r="E4873" s="149">
        <v>0</v>
      </c>
      <c r="F4873" s="149">
        <v>0</v>
      </c>
      <c r="G4873" s="149">
        <v>53220</v>
      </c>
      <c r="H4873" s="150" t="str">
        <f t="shared" si="228"/>
        <v>5</v>
      </c>
      <c r="I4873" s="150" t="str">
        <f t="shared" si="229"/>
        <v>53</v>
      </c>
      <c r="J4873" s="150" t="str">
        <f t="shared" si="230"/>
        <v>532</v>
      </c>
      <c r="K4873" s="150" t="s">
        <v>9804</v>
      </c>
      <c r="L4873" s="149" t="s">
        <v>6159</v>
      </c>
      <c r="M4873" s="151">
        <v>89.13</v>
      </c>
    </row>
    <row r="4874" spans="1:13" s="149" customFormat="1" x14ac:dyDescent="0.25">
      <c r="A4874" s="149" t="s">
        <v>7640</v>
      </c>
      <c r="B4874" s="149" t="s">
        <v>6494</v>
      </c>
      <c r="C4874" s="149">
        <v>55</v>
      </c>
      <c r="D4874" s="149">
        <v>230</v>
      </c>
      <c r="E4874" s="149">
        <v>0</v>
      </c>
      <c r="F4874" s="149">
        <v>0</v>
      </c>
      <c r="G4874" s="149">
        <v>53320</v>
      </c>
      <c r="H4874" s="150" t="str">
        <f t="shared" si="228"/>
        <v>5</v>
      </c>
      <c r="I4874" s="150" t="str">
        <f t="shared" si="229"/>
        <v>53</v>
      </c>
      <c r="J4874" s="150" t="str">
        <f t="shared" si="230"/>
        <v>533</v>
      </c>
      <c r="K4874" s="150" t="s">
        <v>9805</v>
      </c>
      <c r="L4874" s="149" t="s">
        <v>6161</v>
      </c>
      <c r="M4874" s="151">
        <v>26.69</v>
      </c>
    </row>
    <row r="4875" spans="1:13" s="149" customFormat="1" x14ac:dyDescent="0.25">
      <c r="A4875" s="149" t="s">
        <v>7640</v>
      </c>
      <c r="B4875" s="149" t="s">
        <v>6495</v>
      </c>
      <c r="C4875" s="149">
        <v>55</v>
      </c>
      <c r="D4875" s="149">
        <v>230</v>
      </c>
      <c r="E4875" s="149">
        <v>0</v>
      </c>
      <c r="F4875" s="149">
        <v>0</v>
      </c>
      <c r="G4875" s="149">
        <v>53340</v>
      </c>
      <c r="H4875" s="150" t="str">
        <f t="shared" si="228"/>
        <v>5</v>
      </c>
      <c r="I4875" s="150" t="str">
        <f t="shared" si="229"/>
        <v>53</v>
      </c>
      <c r="J4875" s="150" t="str">
        <f t="shared" si="230"/>
        <v>533</v>
      </c>
      <c r="K4875" s="150" t="s">
        <v>9806</v>
      </c>
      <c r="L4875" s="149" t="s">
        <v>6163</v>
      </c>
      <c r="M4875" s="151">
        <v>6.25</v>
      </c>
    </row>
    <row r="4876" spans="1:13" s="149" customFormat="1" x14ac:dyDescent="0.25">
      <c r="A4876" s="149" t="s">
        <v>7640</v>
      </c>
      <c r="B4876" s="149" t="s">
        <v>6496</v>
      </c>
      <c r="C4876" s="149">
        <v>55</v>
      </c>
      <c r="D4876" s="149">
        <v>230</v>
      </c>
      <c r="E4876" s="149">
        <v>0</v>
      </c>
      <c r="F4876" s="149">
        <v>0</v>
      </c>
      <c r="G4876" s="149">
        <v>53420</v>
      </c>
      <c r="H4876" s="150" t="str">
        <f t="shared" si="228"/>
        <v>5</v>
      </c>
      <c r="I4876" s="150" t="str">
        <f t="shared" si="229"/>
        <v>53</v>
      </c>
      <c r="J4876" s="150" t="str">
        <f t="shared" si="230"/>
        <v>534</v>
      </c>
      <c r="K4876" s="150" t="s">
        <v>9807</v>
      </c>
      <c r="L4876" s="149" t="s">
        <v>6165</v>
      </c>
      <c r="M4876" s="151">
        <v>2.04</v>
      </c>
    </row>
    <row r="4877" spans="1:13" s="149" customFormat="1" x14ac:dyDescent="0.25">
      <c r="A4877" s="149" t="s">
        <v>7640</v>
      </c>
      <c r="B4877" s="149" t="s">
        <v>6497</v>
      </c>
      <c r="C4877" s="149">
        <v>55</v>
      </c>
      <c r="D4877" s="149">
        <v>230</v>
      </c>
      <c r="E4877" s="149">
        <v>0</v>
      </c>
      <c r="F4877" s="149">
        <v>0</v>
      </c>
      <c r="G4877" s="149">
        <v>53520</v>
      </c>
      <c r="H4877" s="150" t="str">
        <f t="shared" si="228"/>
        <v>5</v>
      </c>
      <c r="I4877" s="150" t="str">
        <f t="shared" si="229"/>
        <v>53</v>
      </c>
      <c r="J4877" s="150" t="str">
        <f t="shared" si="230"/>
        <v>535</v>
      </c>
      <c r="K4877" s="150" t="s">
        <v>9808</v>
      </c>
      <c r="L4877" s="149" t="s">
        <v>6167</v>
      </c>
      <c r="M4877" s="151">
        <v>0.21</v>
      </c>
    </row>
    <row r="4878" spans="1:13" s="149" customFormat="1" x14ac:dyDescent="0.25">
      <c r="A4878" s="149" t="s">
        <v>7640</v>
      </c>
      <c r="B4878" s="149" t="s">
        <v>6498</v>
      </c>
      <c r="C4878" s="149">
        <v>55</v>
      </c>
      <c r="D4878" s="149">
        <v>230</v>
      </c>
      <c r="E4878" s="149">
        <v>0</v>
      </c>
      <c r="F4878" s="149">
        <v>0</v>
      </c>
      <c r="G4878" s="149">
        <v>53620</v>
      </c>
      <c r="H4878" s="150" t="str">
        <f t="shared" si="228"/>
        <v>5</v>
      </c>
      <c r="I4878" s="150" t="str">
        <f t="shared" si="229"/>
        <v>53</v>
      </c>
      <c r="J4878" s="150" t="str">
        <f t="shared" si="230"/>
        <v>536</v>
      </c>
      <c r="K4878" s="150" t="s">
        <v>9809</v>
      </c>
      <c r="L4878" s="149" t="s">
        <v>6169</v>
      </c>
      <c r="M4878" s="151">
        <v>8.1300000000000008</v>
      </c>
    </row>
    <row r="4879" spans="1:13" s="149" customFormat="1" x14ac:dyDescent="0.25">
      <c r="A4879" s="149" t="s">
        <v>7640</v>
      </c>
      <c r="B4879" s="149" t="s">
        <v>6499</v>
      </c>
      <c r="C4879" s="149">
        <v>55</v>
      </c>
      <c r="D4879" s="149">
        <v>230</v>
      </c>
      <c r="E4879" s="149">
        <v>0</v>
      </c>
      <c r="F4879" s="149">
        <v>0</v>
      </c>
      <c r="G4879" s="149">
        <v>53920</v>
      </c>
      <c r="H4879" s="150" t="str">
        <f t="shared" si="228"/>
        <v>5</v>
      </c>
      <c r="I4879" s="150" t="str">
        <f t="shared" si="229"/>
        <v>53</v>
      </c>
      <c r="J4879" s="150" t="str">
        <f t="shared" si="230"/>
        <v>539</v>
      </c>
      <c r="K4879" s="150" t="s">
        <v>9810</v>
      </c>
      <c r="L4879" s="149" t="s">
        <v>6464</v>
      </c>
      <c r="M4879" s="151">
        <v>0</v>
      </c>
    </row>
    <row r="4880" spans="1:13" s="149" customFormat="1" x14ac:dyDescent="0.25">
      <c r="A4880" s="149" t="s">
        <v>7640</v>
      </c>
      <c r="B4880" s="149" t="s">
        <v>6500</v>
      </c>
      <c r="C4880" s="149">
        <v>55</v>
      </c>
      <c r="D4880" s="149">
        <v>230</v>
      </c>
      <c r="E4880" s="149">
        <v>0</v>
      </c>
      <c r="F4880" s="149">
        <v>0</v>
      </c>
      <c r="G4880" s="149">
        <v>54210</v>
      </c>
      <c r="H4880" s="150" t="str">
        <f t="shared" si="228"/>
        <v>5</v>
      </c>
      <c r="I4880" s="150" t="str">
        <f t="shared" si="229"/>
        <v>54</v>
      </c>
      <c r="J4880" s="150" t="str">
        <f t="shared" si="230"/>
        <v>542</v>
      </c>
      <c r="K4880" s="150" t="s">
        <v>9811</v>
      </c>
      <c r="L4880" s="149" t="s">
        <v>6171</v>
      </c>
      <c r="M4880" s="151">
        <v>528.36</v>
      </c>
    </row>
    <row r="4881" spans="1:13" s="149" customFormat="1" x14ac:dyDescent="0.25">
      <c r="A4881" s="149" t="s">
        <v>7640</v>
      </c>
      <c r="B4881" s="149" t="s">
        <v>6501</v>
      </c>
      <c r="C4881" s="149">
        <v>55</v>
      </c>
      <c r="D4881" s="149">
        <v>230</v>
      </c>
      <c r="E4881" s="149">
        <v>0</v>
      </c>
      <c r="F4881" s="149">
        <v>0</v>
      </c>
      <c r="G4881" s="149">
        <v>54300</v>
      </c>
      <c r="H4881" s="150" t="str">
        <f t="shared" si="228"/>
        <v>5</v>
      </c>
      <c r="I4881" s="150" t="str">
        <f t="shared" si="229"/>
        <v>54</v>
      </c>
      <c r="J4881" s="150" t="str">
        <f t="shared" si="230"/>
        <v>543</v>
      </c>
      <c r="K4881" s="150" t="s">
        <v>9812</v>
      </c>
      <c r="L4881" s="149" t="s">
        <v>6173</v>
      </c>
      <c r="M4881" s="151">
        <v>144.29</v>
      </c>
    </row>
    <row r="4882" spans="1:13" s="149" customFormat="1" x14ac:dyDescent="0.25">
      <c r="A4882" s="149" t="s">
        <v>7640</v>
      </c>
      <c r="B4882" s="149" t="s">
        <v>6502</v>
      </c>
      <c r="C4882" s="149">
        <v>55</v>
      </c>
      <c r="D4882" s="149">
        <v>230</v>
      </c>
      <c r="E4882" s="149">
        <v>0</v>
      </c>
      <c r="F4882" s="149">
        <v>0</v>
      </c>
      <c r="G4882" s="149">
        <v>54320</v>
      </c>
      <c r="H4882" s="150" t="str">
        <f t="shared" si="228"/>
        <v>5</v>
      </c>
      <c r="I4882" s="150" t="str">
        <f t="shared" si="229"/>
        <v>54</v>
      </c>
      <c r="J4882" s="150" t="str">
        <f t="shared" si="230"/>
        <v>543</v>
      </c>
      <c r="K4882" s="150" t="s">
        <v>9813</v>
      </c>
      <c r="L4882" s="149" t="s">
        <v>6468</v>
      </c>
      <c r="M4882" s="151">
        <v>0</v>
      </c>
    </row>
    <row r="4883" spans="1:13" s="149" customFormat="1" x14ac:dyDescent="0.25">
      <c r="A4883" s="149" t="s">
        <v>7640</v>
      </c>
      <c r="B4883" s="149" t="s">
        <v>6503</v>
      </c>
      <c r="C4883" s="149">
        <v>55</v>
      </c>
      <c r="D4883" s="149">
        <v>230</v>
      </c>
      <c r="E4883" s="149">
        <v>0</v>
      </c>
      <c r="F4883" s="149">
        <v>0</v>
      </c>
      <c r="G4883" s="149">
        <v>55105</v>
      </c>
      <c r="H4883" s="150" t="str">
        <f t="shared" si="228"/>
        <v>5</v>
      </c>
      <c r="I4883" s="150" t="str">
        <f t="shared" si="229"/>
        <v>55</v>
      </c>
      <c r="J4883" s="150" t="str">
        <f t="shared" si="230"/>
        <v>551</v>
      </c>
      <c r="K4883" s="150" t="s">
        <v>9814</v>
      </c>
      <c r="L4883" s="149" t="s">
        <v>6251</v>
      </c>
      <c r="M4883" s="151">
        <v>161.68</v>
      </c>
    </row>
    <row r="4884" spans="1:13" s="149" customFormat="1" x14ac:dyDescent="0.25">
      <c r="A4884" s="149" t="s">
        <v>7640</v>
      </c>
      <c r="B4884" s="149" t="s">
        <v>6504</v>
      </c>
      <c r="C4884" s="149">
        <v>55</v>
      </c>
      <c r="D4884" s="149">
        <v>230</v>
      </c>
      <c r="E4884" s="149">
        <v>0</v>
      </c>
      <c r="F4884" s="149">
        <v>0</v>
      </c>
      <c r="G4884" s="149">
        <v>55200</v>
      </c>
      <c r="H4884" s="150" t="str">
        <f t="shared" si="228"/>
        <v>5</v>
      </c>
      <c r="I4884" s="150" t="str">
        <f t="shared" si="229"/>
        <v>55</v>
      </c>
      <c r="J4884" s="150" t="str">
        <f t="shared" si="230"/>
        <v>552</v>
      </c>
      <c r="K4884" s="150" t="s">
        <v>9815</v>
      </c>
      <c r="L4884" s="149" t="s">
        <v>6175</v>
      </c>
      <c r="M4884" s="151">
        <v>0</v>
      </c>
    </row>
    <row r="4885" spans="1:13" s="149" customFormat="1" x14ac:dyDescent="0.25">
      <c r="A4885" s="149" t="s">
        <v>7640</v>
      </c>
      <c r="B4885" s="149" t="s">
        <v>6505</v>
      </c>
      <c r="C4885" s="149">
        <v>55</v>
      </c>
      <c r="D4885" s="149">
        <v>230</v>
      </c>
      <c r="E4885" s="149">
        <v>0</v>
      </c>
      <c r="F4885" s="149">
        <v>0</v>
      </c>
      <c r="G4885" s="149">
        <v>55630</v>
      </c>
      <c r="H4885" s="150" t="str">
        <f t="shared" si="228"/>
        <v>5</v>
      </c>
      <c r="I4885" s="150" t="str">
        <f t="shared" si="229"/>
        <v>55</v>
      </c>
      <c r="J4885" s="150" t="str">
        <f t="shared" si="230"/>
        <v>556</v>
      </c>
      <c r="K4885" s="150" t="s">
        <v>9816</v>
      </c>
      <c r="L4885" s="149" t="s">
        <v>6181</v>
      </c>
      <c r="M4885" s="151">
        <v>0</v>
      </c>
    </row>
    <row r="4886" spans="1:13" s="149" customFormat="1" x14ac:dyDescent="0.25">
      <c r="A4886" s="149" t="s">
        <v>7640</v>
      </c>
      <c r="B4886" s="149" t="s">
        <v>6506</v>
      </c>
      <c r="C4886" s="149">
        <v>55</v>
      </c>
      <c r="D4886" s="149">
        <v>230</v>
      </c>
      <c r="E4886" s="149">
        <v>0</v>
      </c>
      <c r="F4886" s="149">
        <v>0</v>
      </c>
      <c r="G4886" s="149">
        <v>55640</v>
      </c>
      <c r="H4886" s="150" t="str">
        <f t="shared" si="228"/>
        <v>5</v>
      </c>
      <c r="I4886" s="150" t="str">
        <f t="shared" si="229"/>
        <v>55</v>
      </c>
      <c r="J4886" s="150" t="str">
        <f t="shared" si="230"/>
        <v>556</v>
      </c>
      <c r="K4886" s="150" t="s">
        <v>9817</v>
      </c>
      <c r="L4886" s="149" t="s">
        <v>6507</v>
      </c>
      <c r="M4886" s="151">
        <v>0</v>
      </c>
    </row>
    <row r="4887" spans="1:13" s="149" customFormat="1" x14ac:dyDescent="0.25">
      <c r="A4887" s="149" t="s">
        <v>7640</v>
      </c>
      <c r="B4887" s="149" t="s">
        <v>6508</v>
      </c>
      <c r="C4887" s="149">
        <v>55</v>
      </c>
      <c r="D4887" s="149">
        <v>230</v>
      </c>
      <c r="E4887" s="149">
        <v>0</v>
      </c>
      <c r="F4887" s="149">
        <v>0</v>
      </c>
      <c r="G4887" s="149">
        <v>55650</v>
      </c>
      <c r="H4887" s="150" t="str">
        <f t="shared" si="228"/>
        <v>5</v>
      </c>
      <c r="I4887" s="150" t="str">
        <f t="shared" si="229"/>
        <v>55</v>
      </c>
      <c r="J4887" s="150" t="str">
        <f t="shared" si="230"/>
        <v>556</v>
      </c>
      <c r="K4887" s="150" t="s">
        <v>9818</v>
      </c>
      <c r="L4887" s="149" t="s">
        <v>6185</v>
      </c>
      <c r="M4887" s="151">
        <v>-4751.32</v>
      </c>
    </row>
    <row r="4888" spans="1:13" s="149" customFormat="1" x14ac:dyDescent="0.25">
      <c r="A4888" s="149" t="s">
        <v>7640</v>
      </c>
      <c r="B4888" s="149" t="s">
        <v>6509</v>
      </c>
      <c r="C4888" s="149">
        <v>55</v>
      </c>
      <c r="D4888" s="149">
        <v>230</v>
      </c>
      <c r="E4888" s="149">
        <v>0</v>
      </c>
      <c r="F4888" s="149">
        <v>0</v>
      </c>
      <c r="G4888" s="149">
        <v>55651</v>
      </c>
      <c r="H4888" s="150" t="str">
        <f t="shared" si="228"/>
        <v>5</v>
      </c>
      <c r="I4888" s="150" t="str">
        <f t="shared" si="229"/>
        <v>55</v>
      </c>
      <c r="J4888" s="150" t="str">
        <f t="shared" si="230"/>
        <v>556</v>
      </c>
      <c r="K4888" s="150" t="s">
        <v>9819</v>
      </c>
      <c r="L4888" s="149" t="s">
        <v>6187</v>
      </c>
      <c r="M4888" s="151">
        <v>0</v>
      </c>
    </row>
    <row r="4889" spans="1:13" s="149" customFormat="1" x14ac:dyDescent="0.25">
      <c r="A4889" s="149" t="s">
        <v>7640</v>
      </c>
      <c r="B4889" s="149" t="s">
        <v>6510</v>
      </c>
      <c r="C4889" s="149">
        <v>55</v>
      </c>
      <c r="D4889" s="149">
        <v>230</v>
      </c>
      <c r="E4889" s="149">
        <v>0</v>
      </c>
      <c r="F4889" s="149">
        <v>0</v>
      </c>
      <c r="G4889" s="149">
        <v>55800</v>
      </c>
      <c r="H4889" s="150" t="str">
        <f t="shared" si="228"/>
        <v>5</v>
      </c>
      <c r="I4889" s="150" t="str">
        <f t="shared" si="229"/>
        <v>55</v>
      </c>
      <c r="J4889" s="150" t="str">
        <f t="shared" si="230"/>
        <v>558</v>
      </c>
      <c r="K4889" s="150" t="s">
        <v>9820</v>
      </c>
      <c r="L4889" s="149" t="s">
        <v>6269</v>
      </c>
      <c r="M4889" s="151">
        <v>107</v>
      </c>
    </row>
    <row r="4890" spans="1:13" s="149" customFormat="1" x14ac:dyDescent="0.25">
      <c r="A4890" s="149" t="s">
        <v>7640</v>
      </c>
      <c r="B4890" s="149" t="s">
        <v>6511</v>
      </c>
      <c r="C4890" s="149">
        <v>55</v>
      </c>
      <c r="D4890" s="149">
        <v>230</v>
      </c>
      <c r="E4890" s="149">
        <v>0</v>
      </c>
      <c r="F4890" s="149">
        <v>0</v>
      </c>
      <c r="G4890" s="149">
        <v>55861</v>
      </c>
      <c r="H4890" s="150" t="str">
        <f t="shared" si="228"/>
        <v>5</v>
      </c>
      <c r="I4890" s="150" t="str">
        <f t="shared" si="229"/>
        <v>55</v>
      </c>
      <c r="J4890" s="150" t="str">
        <f t="shared" si="230"/>
        <v>558</v>
      </c>
      <c r="K4890" s="150" t="s">
        <v>9821</v>
      </c>
      <c r="L4890" s="149" t="s">
        <v>6477</v>
      </c>
      <c r="M4890" s="151">
        <v>4425.17</v>
      </c>
    </row>
    <row r="4891" spans="1:13" s="149" customFormat="1" x14ac:dyDescent="0.25">
      <c r="A4891" s="149" t="s">
        <v>7640</v>
      </c>
      <c r="B4891" s="149" t="s">
        <v>6512</v>
      </c>
      <c r="C4891" s="149">
        <v>55</v>
      </c>
      <c r="D4891" s="149">
        <v>230</v>
      </c>
      <c r="E4891" s="149">
        <v>0</v>
      </c>
      <c r="F4891" s="149">
        <v>0</v>
      </c>
      <c r="G4891" s="149">
        <v>56217</v>
      </c>
      <c r="H4891" s="150" t="str">
        <f t="shared" si="228"/>
        <v>5</v>
      </c>
      <c r="I4891" s="150" t="str">
        <f t="shared" si="229"/>
        <v>56</v>
      </c>
      <c r="J4891" s="150" t="str">
        <f t="shared" si="230"/>
        <v>562</v>
      </c>
      <c r="K4891" s="150" t="s">
        <v>9822</v>
      </c>
      <c r="L4891" s="149" t="s">
        <v>6479</v>
      </c>
      <c r="M4891" s="151">
        <v>994</v>
      </c>
    </row>
    <row r="4892" spans="1:13" s="149" customFormat="1" x14ac:dyDescent="0.25">
      <c r="A4892" s="149" t="s">
        <v>7640</v>
      </c>
      <c r="B4892" s="149" t="s">
        <v>6513</v>
      </c>
      <c r="C4892" s="149">
        <v>55</v>
      </c>
      <c r="D4892" s="149">
        <v>230</v>
      </c>
      <c r="E4892" s="149">
        <v>0</v>
      </c>
      <c r="F4892" s="149">
        <v>0</v>
      </c>
      <c r="G4892" s="149">
        <v>56400</v>
      </c>
      <c r="H4892" s="150" t="str">
        <f t="shared" si="228"/>
        <v>5</v>
      </c>
      <c r="I4892" s="150" t="str">
        <f t="shared" si="229"/>
        <v>56</v>
      </c>
      <c r="J4892" s="150" t="str">
        <f t="shared" si="230"/>
        <v>564</v>
      </c>
      <c r="K4892" s="150" t="s">
        <v>9823</v>
      </c>
      <c r="L4892" s="149" t="s">
        <v>6191</v>
      </c>
      <c r="M4892" s="151">
        <v>141.94999999999999</v>
      </c>
    </row>
    <row r="4893" spans="1:13" s="149" customFormat="1" x14ac:dyDescent="0.25">
      <c r="A4893" s="149" t="s">
        <v>7640</v>
      </c>
      <c r="B4893" s="149" t="s">
        <v>6517</v>
      </c>
      <c r="C4893" s="149">
        <v>61</v>
      </c>
      <c r="D4893" s="149">
        <v>0</v>
      </c>
      <c r="E4893" s="149">
        <v>0</v>
      </c>
      <c r="F4893" s="149">
        <v>0</v>
      </c>
      <c r="G4893" s="149">
        <v>53600</v>
      </c>
      <c r="H4893" s="150" t="str">
        <f t="shared" si="228"/>
        <v>5</v>
      </c>
      <c r="I4893" s="150" t="str">
        <f t="shared" si="229"/>
        <v>53</v>
      </c>
      <c r="J4893" s="150" t="str">
        <f t="shared" si="230"/>
        <v>536</v>
      </c>
      <c r="K4893" s="150" t="s">
        <v>9824</v>
      </c>
      <c r="L4893" s="149" t="s">
        <v>6518</v>
      </c>
      <c r="M4893" s="151">
        <v>-1359.42</v>
      </c>
    </row>
    <row r="4894" spans="1:13" s="149" customFormat="1" x14ac:dyDescent="0.25">
      <c r="A4894" s="149" t="s">
        <v>7640</v>
      </c>
      <c r="B4894" s="149" t="s">
        <v>6519</v>
      </c>
      <c r="C4894" s="149">
        <v>61</v>
      </c>
      <c r="D4894" s="149">
        <v>0</v>
      </c>
      <c r="E4894" s="149">
        <v>0</v>
      </c>
      <c r="F4894" s="149">
        <v>0</v>
      </c>
      <c r="G4894" s="149">
        <v>55400</v>
      </c>
      <c r="H4894" s="150" t="str">
        <f t="shared" si="228"/>
        <v>5</v>
      </c>
      <c r="I4894" s="150" t="str">
        <f t="shared" si="229"/>
        <v>55</v>
      </c>
      <c r="J4894" s="150" t="str">
        <f t="shared" si="230"/>
        <v>554</v>
      </c>
      <c r="K4894" s="150" t="s">
        <v>9825</v>
      </c>
      <c r="L4894" s="149" t="s">
        <v>6520</v>
      </c>
      <c r="M4894" s="151">
        <v>13651.44</v>
      </c>
    </row>
    <row r="4895" spans="1:13" s="149" customFormat="1" x14ac:dyDescent="0.25">
      <c r="A4895" s="149" t="s">
        <v>7640</v>
      </c>
      <c r="B4895" s="149" t="s">
        <v>6521</v>
      </c>
      <c r="C4895" s="149">
        <v>61</v>
      </c>
      <c r="D4895" s="149">
        <v>0</v>
      </c>
      <c r="E4895" s="149">
        <v>0</v>
      </c>
      <c r="F4895" s="149">
        <v>0</v>
      </c>
      <c r="G4895" s="149">
        <v>55800</v>
      </c>
      <c r="H4895" s="150" t="str">
        <f t="shared" si="228"/>
        <v>5</v>
      </c>
      <c r="I4895" s="150" t="str">
        <f t="shared" si="229"/>
        <v>55</v>
      </c>
      <c r="J4895" s="150" t="str">
        <f t="shared" si="230"/>
        <v>558</v>
      </c>
      <c r="K4895" s="150" t="s">
        <v>9826</v>
      </c>
      <c r="L4895" s="149" t="s">
        <v>6269</v>
      </c>
      <c r="M4895" s="151">
        <v>250</v>
      </c>
    </row>
    <row r="4896" spans="1:13" s="149" customFormat="1" x14ac:dyDescent="0.25">
      <c r="A4896" s="149" t="s">
        <v>7640</v>
      </c>
      <c r="B4896" s="149" t="s">
        <v>6522</v>
      </c>
      <c r="C4896" s="149">
        <v>61</v>
      </c>
      <c r="D4896" s="149">
        <v>200</v>
      </c>
      <c r="E4896" s="149">
        <v>0</v>
      </c>
      <c r="F4896" s="149">
        <v>0</v>
      </c>
      <c r="G4896" s="149">
        <v>48860</v>
      </c>
      <c r="H4896" s="150" t="str">
        <f t="shared" si="228"/>
        <v>4</v>
      </c>
      <c r="I4896" s="150" t="str">
        <f t="shared" si="229"/>
        <v>48</v>
      </c>
      <c r="J4896" s="150" t="str">
        <f t="shared" si="230"/>
        <v>488</v>
      </c>
      <c r="K4896" s="150" t="s">
        <v>9827</v>
      </c>
      <c r="L4896" s="149" t="s">
        <v>41</v>
      </c>
      <c r="M4896" s="151">
        <v>4.5999999999999996</v>
      </c>
    </row>
    <row r="4897" spans="1:13" s="149" customFormat="1" x14ac:dyDescent="0.25">
      <c r="A4897" s="149" t="s">
        <v>7640</v>
      </c>
      <c r="B4897" s="149" t="s">
        <v>6523</v>
      </c>
      <c r="C4897" s="149">
        <v>62</v>
      </c>
      <c r="D4897" s="149">
        <v>0</v>
      </c>
      <c r="E4897" s="149">
        <v>0</v>
      </c>
      <c r="F4897" s="149">
        <v>0</v>
      </c>
      <c r="G4897" s="149">
        <v>48860</v>
      </c>
      <c r="H4897" s="150" t="str">
        <f t="shared" si="228"/>
        <v>4</v>
      </c>
      <c r="I4897" s="150" t="str">
        <f t="shared" si="229"/>
        <v>48</v>
      </c>
      <c r="J4897" s="150" t="str">
        <f t="shared" si="230"/>
        <v>488</v>
      </c>
      <c r="K4897" s="150" t="s">
        <v>9828</v>
      </c>
      <c r="L4897" s="149" t="s">
        <v>41</v>
      </c>
      <c r="M4897" s="151">
        <v>-1078122.4099999999</v>
      </c>
    </row>
    <row r="4898" spans="1:13" s="149" customFormat="1" x14ac:dyDescent="0.25">
      <c r="A4898" s="149" t="s">
        <v>7640</v>
      </c>
      <c r="B4898" s="149" t="s">
        <v>6524</v>
      </c>
      <c r="C4898" s="149">
        <v>62</v>
      </c>
      <c r="D4898" s="149">
        <v>0</v>
      </c>
      <c r="E4898" s="149">
        <v>0</v>
      </c>
      <c r="F4898" s="149">
        <v>0</v>
      </c>
      <c r="G4898" s="149">
        <v>55709</v>
      </c>
      <c r="H4898" s="150" t="str">
        <f t="shared" si="228"/>
        <v>5</v>
      </c>
      <c r="I4898" s="150" t="str">
        <f t="shared" si="229"/>
        <v>55</v>
      </c>
      <c r="J4898" s="150" t="str">
        <f t="shared" si="230"/>
        <v>557</v>
      </c>
      <c r="K4898" s="150" t="s">
        <v>9829</v>
      </c>
      <c r="L4898" s="149" t="s">
        <v>6525</v>
      </c>
      <c r="M4898" s="151">
        <v>2249.7399999999998</v>
      </c>
    </row>
    <row r="4899" spans="1:13" s="149" customFormat="1" x14ac:dyDescent="0.25">
      <c r="A4899" s="149" t="s">
        <v>7640</v>
      </c>
      <c r="B4899" s="149" t="s">
        <v>6526</v>
      </c>
      <c r="C4899" s="149">
        <v>62</v>
      </c>
      <c r="D4899" s="149">
        <v>0</v>
      </c>
      <c r="E4899" s="149">
        <v>0</v>
      </c>
      <c r="F4899" s="149">
        <v>0</v>
      </c>
      <c r="G4899" s="149">
        <v>55800</v>
      </c>
      <c r="H4899" s="150" t="str">
        <f t="shared" si="228"/>
        <v>5</v>
      </c>
      <c r="I4899" s="150" t="str">
        <f t="shared" si="229"/>
        <v>55</v>
      </c>
      <c r="J4899" s="150" t="str">
        <f t="shared" si="230"/>
        <v>558</v>
      </c>
      <c r="K4899" s="150" t="s">
        <v>9830</v>
      </c>
      <c r="L4899" s="149" t="s">
        <v>6269</v>
      </c>
      <c r="M4899" s="151">
        <v>1814.85</v>
      </c>
    </row>
    <row r="4900" spans="1:13" s="149" customFormat="1" x14ac:dyDescent="0.25">
      <c r="A4900" s="149" t="s">
        <v>7640</v>
      </c>
      <c r="B4900" s="149" t="s">
        <v>6527</v>
      </c>
      <c r="C4900" s="149">
        <v>63</v>
      </c>
      <c r="D4900" s="149">
        <v>0</v>
      </c>
      <c r="E4900" s="149">
        <v>0</v>
      </c>
      <c r="F4900" s="149">
        <v>0</v>
      </c>
      <c r="G4900" s="149">
        <v>48860</v>
      </c>
      <c r="H4900" s="150" t="str">
        <f t="shared" si="228"/>
        <v>4</v>
      </c>
      <c r="I4900" s="150" t="str">
        <f t="shared" si="229"/>
        <v>48</v>
      </c>
      <c r="J4900" s="150" t="str">
        <f t="shared" si="230"/>
        <v>488</v>
      </c>
      <c r="K4900" s="150" t="s">
        <v>9831</v>
      </c>
      <c r="L4900" s="149" t="s">
        <v>41</v>
      </c>
      <c r="M4900" s="151">
        <v>-391477.59</v>
      </c>
    </row>
    <row r="4901" spans="1:13" s="149" customFormat="1" x14ac:dyDescent="0.25">
      <c r="A4901" s="149" t="s">
        <v>7640</v>
      </c>
      <c r="B4901" s="149" t="s">
        <v>6528</v>
      </c>
      <c r="C4901" s="149">
        <v>63</v>
      </c>
      <c r="D4901" s="149">
        <v>0</v>
      </c>
      <c r="E4901" s="149">
        <v>0</v>
      </c>
      <c r="F4901" s="149">
        <v>0</v>
      </c>
      <c r="G4901" s="149">
        <v>55709</v>
      </c>
      <c r="H4901" s="150" t="str">
        <f t="shared" si="228"/>
        <v>5</v>
      </c>
      <c r="I4901" s="150" t="str">
        <f t="shared" si="229"/>
        <v>55</v>
      </c>
      <c r="J4901" s="150" t="str">
        <f t="shared" si="230"/>
        <v>557</v>
      </c>
      <c r="K4901" s="150" t="s">
        <v>9832</v>
      </c>
      <c r="L4901" s="149" t="s">
        <v>6525</v>
      </c>
      <c r="M4901" s="151">
        <v>5298.48</v>
      </c>
    </row>
    <row r="4902" spans="1:13" s="149" customFormat="1" x14ac:dyDescent="0.25">
      <c r="A4902" s="149" t="s">
        <v>7640</v>
      </c>
      <c r="B4902" s="149" t="s">
        <v>6529</v>
      </c>
      <c r="C4902" s="149">
        <v>63</v>
      </c>
      <c r="D4902" s="149">
        <v>0</v>
      </c>
      <c r="E4902" s="149">
        <v>0</v>
      </c>
      <c r="F4902" s="149">
        <v>0</v>
      </c>
      <c r="G4902" s="149">
        <v>57300</v>
      </c>
      <c r="H4902" s="150" t="str">
        <f t="shared" si="228"/>
        <v>5</v>
      </c>
      <c r="I4902" s="150" t="str">
        <f t="shared" si="229"/>
        <v>57</v>
      </c>
      <c r="J4902" s="150" t="str">
        <f t="shared" si="230"/>
        <v>573</v>
      </c>
      <c r="K4902" s="150" t="s">
        <v>9833</v>
      </c>
      <c r="L4902" s="149" t="s">
        <v>6142</v>
      </c>
      <c r="M4902" s="151">
        <v>0</v>
      </c>
    </row>
    <row r="4903" spans="1:13" s="149" customFormat="1" x14ac:dyDescent="0.25">
      <c r="A4903" s="149" t="s">
        <v>7640</v>
      </c>
      <c r="B4903" s="149" t="s">
        <v>6530</v>
      </c>
      <c r="C4903" s="149">
        <v>71</v>
      </c>
      <c r="D4903" s="149">
        <v>400</v>
      </c>
      <c r="E4903" s="149">
        <v>0</v>
      </c>
      <c r="F4903" s="149">
        <v>0</v>
      </c>
      <c r="G4903" s="149">
        <v>48843</v>
      </c>
      <c r="H4903" s="150" t="str">
        <f t="shared" si="228"/>
        <v>4</v>
      </c>
      <c r="I4903" s="150" t="str">
        <f t="shared" si="229"/>
        <v>48</v>
      </c>
      <c r="J4903" s="150" t="str">
        <f t="shared" si="230"/>
        <v>488</v>
      </c>
      <c r="K4903" s="150" t="s">
        <v>9834</v>
      </c>
      <c r="L4903" s="149" t="s">
        <v>6531</v>
      </c>
      <c r="M4903" s="151">
        <v>-62088.07</v>
      </c>
    </row>
    <row r="4904" spans="1:13" s="149" customFormat="1" x14ac:dyDescent="0.25">
      <c r="A4904" s="149" t="s">
        <v>7640</v>
      </c>
      <c r="B4904" s="149" t="s">
        <v>6532</v>
      </c>
      <c r="C4904" s="149">
        <v>71</v>
      </c>
      <c r="D4904" s="149">
        <v>400</v>
      </c>
      <c r="E4904" s="149">
        <v>0</v>
      </c>
      <c r="F4904" s="149">
        <v>0</v>
      </c>
      <c r="G4904" s="149">
        <v>48860</v>
      </c>
      <c r="H4904" s="150" t="str">
        <f t="shared" si="228"/>
        <v>4</v>
      </c>
      <c r="I4904" s="150" t="str">
        <f t="shared" si="229"/>
        <v>48</v>
      </c>
      <c r="J4904" s="150" t="str">
        <f t="shared" si="230"/>
        <v>488</v>
      </c>
      <c r="K4904" s="150" t="s">
        <v>9835</v>
      </c>
      <c r="L4904" s="149" t="s">
        <v>41</v>
      </c>
      <c r="M4904" s="151">
        <v>-1231.73</v>
      </c>
    </row>
    <row r="4905" spans="1:13" s="149" customFormat="1" x14ac:dyDescent="0.25">
      <c r="A4905" s="149" t="s">
        <v>7640</v>
      </c>
      <c r="B4905" s="149" t="s">
        <v>6533</v>
      </c>
      <c r="C4905" s="149">
        <v>71</v>
      </c>
      <c r="D4905" s="149">
        <v>400</v>
      </c>
      <c r="E4905" s="149">
        <v>0</v>
      </c>
      <c r="F4905" s="149">
        <v>0</v>
      </c>
      <c r="G4905" s="149">
        <v>48890</v>
      </c>
      <c r="H4905" s="150" t="str">
        <f t="shared" si="228"/>
        <v>4</v>
      </c>
      <c r="I4905" s="150" t="str">
        <f t="shared" si="229"/>
        <v>48</v>
      </c>
      <c r="J4905" s="150" t="str">
        <f t="shared" si="230"/>
        <v>488</v>
      </c>
      <c r="K4905" s="150" t="s">
        <v>9836</v>
      </c>
      <c r="L4905" s="149" t="s">
        <v>51</v>
      </c>
      <c r="M4905" s="151">
        <v>-3.78</v>
      </c>
    </row>
    <row r="4906" spans="1:13" s="149" customFormat="1" x14ac:dyDescent="0.25">
      <c r="A4906" s="149" t="s">
        <v>7640</v>
      </c>
      <c r="B4906" s="149" t="s">
        <v>6534</v>
      </c>
      <c r="C4906" s="149">
        <v>71</v>
      </c>
      <c r="D4906" s="149">
        <v>400</v>
      </c>
      <c r="E4906" s="149">
        <v>0</v>
      </c>
      <c r="F4906" s="149">
        <v>0</v>
      </c>
      <c r="G4906" s="149">
        <v>48980</v>
      </c>
      <c r="H4906" s="150" t="str">
        <f t="shared" si="228"/>
        <v>4</v>
      </c>
      <c r="I4906" s="150" t="str">
        <f t="shared" si="229"/>
        <v>48</v>
      </c>
      <c r="J4906" s="150" t="str">
        <f t="shared" si="230"/>
        <v>489</v>
      </c>
      <c r="K4906" s="150" t="s">
        <v>9837</v>
      </c>
      <c r="L4906" s="149" t="s">
        <v>55</v>
      </c>
      <c r="M4906" s="151">
        <v>0</v>
      </c>
    </row>
    <row r="4907" spans="1:13" s="149" customFormat="1" x14ac:dyDescent="0.25">
      <c r="A4907" s="149" t="s">
        <v>7640</v>
      </c>
      <c r="B4907" s="149" t="s">
        <v>6535</v>
      </c>
      <c r="C4907" s="149">
        <v>71</v>
      </c>
      <c r="D4907" s="149">
        <v>400</v>
      </c>
      <c r="E4907" s="149">
        <v>0</v>
      </c>
      <c r="F4907" s="149">
        <v>0</v>
      </c>
      <c r="G4907" s="149">
        <v>52105</v>
      </c>
      <c r="H4907" s="150" t="str">
        <f t="shared" si="228"/>
        <v>5</v>
      </c>
      <c r="I4907" s="150" t="str">
        <f t="shared" si="229"/>
        <v>52</v>
      </c>
      <c r="J4907" s="150" t="str">
        <f t="shared" si="230"/>
        <v>521</v>
      </c>
      <c r="K4907" s="150" t="s">
        <v>9838</v>
      </c>
      <c r="L4907" s="149" t="s">
        <v>6151</v>
      </c>
      <c r="M4907" s="151">
        <v>23186.95</v>
      </c>
    </row>
    <row r="4908" spans="1:13" s="149" customFormat="1" x14ac:dyDescent="0.25">
      <c r="A4908" s="149" t="s">
        <v>7640</v>
      </c>
      <c r="B4908" s="149" t="s">
        <v>6536</v>
      </c>
      <c r="C4908" s="149">
        <v>71</v>
      </c>
      <c r="D4908" s="149">
        <v>400</v>
      </c>
      <c r="E4908" s="149">
        <v>0</v>
      </c>
      <c r="F4908" s="149">
        <v>0</v>
      </c>
      <c r="G4908" s="149">
        <v>52350</v>
      </c>
      <c r="H4908" s="150" t="str">
        <f t="shared" si="228"/>
        <v>5</v>
      </c>
      <c r="I4908" s="150" t="str">
        <f t="shared" si="229"/>
        <v>52</v>
      </c>
      <c r="J4908" s="150" t="str">
        <f t="shared" si="230"/>
        <v>523</v>
      </c>
      <c r="K4908" s="150" t="s">
        <v>9839</v>
      </c>
      <c r="L4908" s="149" t="s">
        <v>6153</v>
      </c>
      <c r="M4908" s="151">
        <v>0</v>
      </c>
    </row>
    <row r="4909" spans="1:13" s="149" customFormat="1" x14ac:dyDescent="0.25">
      <c r="A4909" s="149" t="s">
        <v>7640</v>
      </c>
      <c r="B4909" s="149" t="s">
        <v>9840</v>
      </c>
      <c r="C4909" s="149">
        <v>71</v>
      </c>
      <c r="D4909" s="149">
        <v>400</v>
      </c>
      <c r="E4909" s="149">
        <v>0</v>
      </c>
      <c r="F4909" s="149">
        <v>0</v>
      </c>
      <c r="G4909" s="149">
        <v>52360</v>
      </c>
      <c r="H4909" s="150" t="str">
        <f t="shared" si="228"/>
        <v>5</v>
      </c>
      <c r="I4909" s="150" t="str">
        <f t="shared" si="229"/>
        <v>52</v>
      </c>
      <c r="J4909" s="150" t="str">
        <f t="shared" si="230"/>
        <v>523</v>
      </c>
      <c r="K4909" s="150" t="s">
        <v>9841</v>
      </c>
      <c r="L4909" s="149" t="s">
        <v>6155</v>
      </c>
      <c r="M4909" s="151">
        <v>425.7</v>
      </c>
    </row>
    <row r="4910" spans="1:13" s="149" customFormat="1" x14ac:dyDescent="0.25">
      <c r="A4910" s="149" t="s">
        <v>7640</v>
      </c>
      <c r="B4910" s="149" t="s">
        <v>6537</v>
      </c>
      <c r="C4910" s="149">
        <v>71</v>
      </c>
      <c r="D4910" s="149">
        <v>400</v>
      </c>
      <c r="E4910" s="149">
        <v>0</v>
      </c>
      <c r="F4910" s="149">
        <v>0</v>
      </c>
      <c r="G4910" s="149">
        <v>53220</v>
      </c>
      <c r="H4910" s="150" t="str">
        <f t="shared" si="228"/>
        <v>5</v>
      </c>
      <c r="I4910" s="150" t="str">
        <f t="shared" si="229"/>
        <v>53</v>
      </c>
      <c r="J4910" s="150" t="str">
        <f t="shared" si="230"/>
        <v>532</v>
      </c>
      <c r="K4910" s="150" t="s">
        <v>9842</v>
      </c>
      <c r="L4910" s="149" t="s">
        <v>6159</v>
      </c>
      <c r="M4910" s="151">
        <v>4754.0200000000004</v>
      </c>
    </row>
    <row r="4911" spans="1:13" s="149" customFormat="1" x14ac:dyDescent="0.25">
      <c r="A4911" s="149" t="s">
        <v>7640</v>
      </c>
      <c r="B4911" s="149" t="s">
        <v>6538</v>
      </c>
      <c r="C4911" s="149">
        <v>71</v>
      </c>
      <c r="D4911" s="149">
        <v>400</v>
      </c>
      <c r="E4911" s="149">
        <v>0</v>
      </c>
      <c r="F4911" s="149">
        <v>0</v>
      </c>
      <c r="G4911" s="149">
        <v>53320</v>
      </c>
      <c r="H4911" s="150" t="str">
        <f t="shared" si="228"/>
        <v>5</v>
      </c>
      <c r="I4911" s="150" t="str">
        <f t="shared" si="229"/>
        <v>53</v>
      </c>
      <c r="J4911" s="150" t="str">
        <f t="shared" si="230"/>
        <v>533</v>
      </c>
      <c r="K4911" s="150" t="s">
        <v>9843</v>
      </c>
      <c r="L4911" s="149" t="s">
        <v>6161</v>
      </c>
      <c r="M4911" s="151">
        <v>1414.83</v>
      </c>
    </row>
    <row r="4912" spans="1:13" s="149" customFormat="1" x14ac:dyDescent="0.25">
      <c r="A4912" s="149" t="s">
        <v>7640</v>
      </c>
      <c r="B4912" s="149" t="s">
        <v>6539</v>
      </c>
      <c r="C4912" s="149">
        <v>71</v>
      </c>
      <c r="D4912" s="149">
        <v>400</v>
      </c>
      <c r="E4912" s="149">
        <v>0</v>
      </c>
      <c r="F4912" s="149">
        <v>0</v>
      </c>
      <c r="G4912" s="149">
        <v>53340</v>
      </c>
      <c r="H4912" s="150" t="str">
        <f t="shared" si="228"/>
        <v>5</v>
      </c>
      <c r="I4912" s="150" t="str">
        <f t="shared" si="229"/>
        <v>53</v>
      </c>
      <c r="J4912" s="150" t="str">
        <f t="shared" si="230"/>
        <v>533</v>
      </c>
      <c r="K4912" s="150" t="s">
        <v>9844</v>
      </c>
      <c r="L4912" s="149" t="s">
        <v>6163</v>
      </c>
      <c r="M4912" s="151">
        <v>330.91</v>
      </c>
    </row>
    <row r="4913" spans="1:13" s="149" customFormat="1" x14ac:dyDescent="0.25">
      <c r="A4913" s="149" t="s">
        <v>7640</v>
      </c>
      <c r="B4913" s="149" t="s">
        <v>6540</v>
      </c>
      <c r="C4913" s="149">
        <v>71</v>
      </c>
      <c r="D4913" s="149">
        <v>400</v>
      </c>
      <c r="E4913" s="149">
        <v>0</v>
      </c>
      <c r="F4913" s="149">
        <v>0</v>
      </c>
      <c r="G4913" s="149">
        <v>53420</v>
      </c>
      <c r="H4913" s="150" t="str">
        <f t="shared" si="228"/>
        <v>5</v>
      </c>
      <c r="I4913" s="150" t="str">
        <f t="shared" si="229"/>
        <v>53</v>
      </c>
      <c r="J4913" s="150" t="str">
        <f t="shared" si="230"/>
        <v>534</v>
      </c>
      <c r="K4913" s="150" t="s">
        <v>9845</v>
      </c>
      <c r="L4913" s="149" t="s">
        <v>6165</v>
      </c>
      <c r="M4913" s="151">
        <v>14930.44</v>
      </c>
    </row>
    <row r="4914" spans="1:13" s="149" customFormat="1" x14ac:dyDescent="0.25">
      <c r="A4914" s="149" t="s">
        <v>7640</v>
      </c>
      <c r="B4914" s="149" t="s">
        <v>6541</v>
      </c>
      <c r="C4914" s="149">
        <v>71</v>
      </c>
      <c r="D4914" s="149">
        <v>400</v>
      </c>
      <c r="E4914" s="149">
        <v>0</v>
      </c>
      <c r="F4914" s="149">
        <v>0</v>
      </c>
      <c r="G4914" s="149">
        <v>53520</v>
      </c>
      <c r="H4914" s="150" t="str">
        <f t="shared" si="228"/>
        <v>5</v>
      </c>
      <c r="I4914" s="150" t="str">
        <f t="shared" si="229"/>
        <v>53</v>
      </c>
      <c r="J4914" s="150" t="str">
        <f t="shared" si="230"/>
        <v>535</v>
      </c>
      <c r="K4914" s="150" t="s">
        <v>9846</v>
      </c>
      <c r="L4914" s="149" t="s">
        <v>6167</v>
      </c>
      <c r="M4914" s="151">
        <v>11.65</v>
      </c>
    </row>
    <row r="4915" spans="1:13" s="149" customFormat="1" x14ac:dyDescent="0.25">
      <c r="A4915" s="149" t="s">
        <v>7640</v>
      </c>
      <c r="B4915" s="149" t="s">
        <v>6542</v>
      </c>
      <c r="C4915" s="149">
        <v>71</v>
      </c>
      <c r="D4915" s="149">
        <v>400</v>
      </c>
      <c r="E4915" s="149">
        <v>0</v>
      </c>
      <c r="F4915" s="149">
        <v>0</v>
      </c>
      <c r="G4915" s="149">
        <v>53620</v>
      </c>
      <c r="H4915" s="150" t="str">
        <f t="shared" si="228"/>
        <v>5</v>
      </c>
      <c r="I4915" s="150" t="str">
        <f t="shared" si="229"/>
        <v>53</v>
      </c>
      <c r="J4915" s="150" t="str">
        <f t="shared" si="230"/>
        <v>536</v>
      </c>
      <c r="K4915" s="150" t="s">
        <v>9847</v>
      </c>
      <c r="L4915" s="149" t="s">
        <v>6169</v>
      </c>
      <c r="M4915" s="151">
        <v>447.77</v>
      </c>
    </row>
    <row r="4916" spans="1:13" s="149" customFormat="1" x14ac:dyDescent="0.25">
      <c r="A4916" s="149" t="s">
        <v>7640</v>
      </c>
      <c r="B4916" s="149" t="s">
        <v>6543</v>
      </c>
      <c r="C4916" s="149">
        <v>71</v>
      </c>
      <c r="D4916" s="149">
        <v>400</v>
      </c>
      <c r="E4916" s="149">
        <v>0</v>
      </c>
      <c r="F4916" s="149">
        <v>0</v>
      </c>
      <c r="G4916" s="149">
        <v>54300</v>
      </c>
      <c r="H4916" s="150" t="str">
        <f t="shared" si="228"/>
        <v>5</v>
      </c>
      <c r="I4916" s="150" t="str">
        <f t="shared" si="229"/>
        <v>54</v>
      </c>
      <c r="J4916" s="150" t="str">
        <f t="shared" si="230"/>
        <v>543</v>
      </c>
      <c r="K4916" s="150" t="s">
        <v>9848</v>
      </c>
      <c r="L4916" s="149" t="s">
        <v>6173</v>
      </c>
      <c r="M4916" s="151">
        <v>594.19000000000005</v>
      </c>
    </row>
    <row r="4917" spans="1:13" s="149" customFormat="1" x14ac:dyDescent="0.25">
      <c r="A4917" s="149" t="s">
        <v>7640</v>
      </c>
      <c r="B4917" s="149" t="s">
        <v>6544</v>
      </c>
      <c r="C4917" s="149">
        <v>71</v>
      </c>
      <c r="D4917" s="149">
        <v>400</v>
      </c>
      <c r="E4917" s="149">
        <v>0</v>
      </c>
      <c r="F4917" s="149">
        <v>0</v>
      </c>
      <c r="G4917" s="149">
        <v>55200</v>
      </c>
      <c r="H4917" s="150" t="str">
        <f t="shared" si="228"/>
        <v>5</v>
      </c>
      <c r="I4917" s="150" t="str">
        <f t="shared" si="229"/>
        <v>55</v>
      </c>
      <c r="J4917" s="150" t="str">
        <f t="shared" si="230"/>
        <v>552</v>
      </c>
      <c r="K4917" s="150" t="s">
        <v>9849</v>
      </c>
      <c r="L4917" s="149" t="s">
        <v>6175</v>
      </c>
      <c r="M4917" s="151">
        <v>1000</v>
      </c>
    </row>
    <row r="4918" spans="1:13" s="149" customFormat="1" x14ac:dyDescent="0.25">
      <c r="A4918" s="149" t="s">
        <v>7640</v>
      </c>
      <c r="B4918" s="149" t="s">
        <v>6545</v>
      </c>
      <c r="C4918" s="149">
        <v>71</v>
      </c>
      <c r="D4918" s="149">
        <v>400</v>
      </c>
      <c r="E4918" s="149">
        <v>0</v>
      </c>
      <c r="F4918" s="149">
        <v>0</v>
      </c>
      <c r="G4918" s="149">
        <v>55240</v>
      </c>
      <c r="H4918" s="150" t="str">
        <f t="shared" si="228"/>
        <v>5</v>
      </c>
      <c r="I4918" s="150" t="str">
        <f t="shared" si="229"/>
        <v>55</v>
      </c>
      <c r="J4918" s="150" t="str">
        <f t="shared" si="230"/>
        <v>552</v>
      </c>
      <c r="K4918" s="150" t="s">
        <v>9850</v>
      </c>
      <c r="L4918" s="149" t="s">
        <v>6177</v>
      </c>
      <c r="M4918" s="151">
        <v>0</v>
      </c>
    </row>
    <row r="4919" spans="1:13" s="149" customFormat="1" x14ac:dyDescent="0.25">
      <c r="A4919" s="149" t="s">
        <v>7640</v>
      </c>
      <c r="B4919" s="149" t="s">
        <v>6546</v>
      </c>
      <c r="C4919" s="149">
        <v>71</v>
      </c>
      <c r="D4919" s="149">
        <v>400</v>
      </c>
      <c r="E4919" s="149">
        <v>0</v>
      </c>
      <c r="F4919" s="149">
        <v>0</v>
      </c>
      <c r="G4919" s="149">
        <v>55243</v>
      </c>
      <c r="H4919" s="150" t="str">
        <f t="shared" si="228"/>
        <v>5</v>
      </c>
      <c r="I4919" s="150" t="str">
        <f t="shared" si="229"/>
        <v>55</v>
      </c>
      <c r="J4919" s="150" t="str">
        <f t="shared" si="230"/>
        <v>552</v>
      </c>
      <c r="K4919" s="150" t="s">
        <v>9851</v>
      </c>
      <c r="L4919" s="149" t="s">
        <v>6547</v>
      </c>
      <c r="M4919" s="151">
        <v>1450.32</v>
      </c>
    </row>
    <row r="4920" spans="1:13" s="149" customFormat="1" x14ac:dyDescent="0.25">
      <c r="A4920" s="149" t="s">
        <v>7640</v>
      </c>
      <c r="B4920" s="149" t="s">
        <v>6548</v>
      </c>
      <c r="C4920" s="149">
        <v>71</v>
      </c>
      <c r="D4920" s="149">
        <v>400</v>
      </c>
      <c r="E4920" s="149">
        <v>0</v>
      </c>
      <c r="F4920" s="149">
        <v>0</v>
      </c>
      <c r="G4920" s="149">
        <v>55244</v>
      </c>
      <c r="H4920" s="150" t="str">
        <f t="shared" si="228"/>
        <v>5</v>
      </c>
      <c r="I4920" s="150" t="str">
        <f t="shared" si="229"/>
        <v>55</v>
      </c>
      <c r="J4920" s="150" t="str">
        <f t="shared" si="230"/>
        <v>552</v>
      </c>
      <c r="K4920" s="150" t="s">
        <v>9852</v>
      </c>
      <c r="L4920" s="149" t="s">
        <v>6549</v>
      </c>
      <c r="M4920" s="151">
        <v>108.4</v>
      </c>
    </row>
    <row r="4921" spans="1:13" s="149" customFormat="1" x14ac:dyDescent="0.25">
      <c r="A4921" s="149" t="s">
        <v>7640</v>
      </c>
      <c r="B4921" s="149" t="s">
        <v>6550</v>
      </c>
      <c r="C4921" s="149">
        <v>71</v>
      </c>
      <c r="D4921" s="149">
        <v>400</v>
      </c>
      <c r="E4921" s="149">
        <v>0</v>
      </c>
      <c r="F4921" s="149">
        <v>0</v>
      </c>
      <c r="G4921" s="149">
        <v>55247</v>
      </c>
      <c r="H4921" s="150" t="str">
        <f t="shared" si="228"/>
        <v>5</v>
      </c>
      <c r="I4921" s="150" t="str">
        <f t="shared" si="229"/>
        <v>55</v>
      </c>
      <c r="J4921" s="150" t="str">
        <f t="shared" si="230"/>
        <v>552</v>
      </c>
      <c r="K4921" s="150" t="s">
        <v>9853</v>
      </c>
      <c r="L4921" s="149" t="s">
        <v>6551</v>
      </c>
      <c r="M4921" s="151">
        <v>0</v>
      </c>
    </row>
    <row r="4922" spans="1:13" s="149" customFormat="1" x14ac:dyDescent="0.25">
      <c r="A4922" s="149" t="s">
        <v>7640</v>
      </c>
      <c r="B4922" s="149" t="s">
        <v>6552</v>
      </c>
      <c r="C4922" s="149">
        <v>71</v>
      </c>
      <c r="D4922" s="149">
        <v>400</v>
      </c>
      <c r="E4922" s="149">
        <v>0</v>
      </c>
      <c r="F4922" s="149">
        <v>0</v>
      </c>
      <c r="G4922" s="149">
        <v>55300</v>
      </c>
      <c r="H4922" s="150" t="str">
        <f t="shared" si="228"/>
        <v>5</v>
      </c>
      <c r="I4922" s="150" t="str">
        <f t="shared" si="229"/>
        <v>55</v>
      </c>
      <c r="J4922" s="150" t="str">
        <f t="shared" si="230"/>
        <v>553</v>
      </c>
      <c r="K4922" s="150" t="s">
        <v>9854</v>
      </c>
      <c r="L4922" s="149" t="s">
        <v>6179</v>
      </c>
      <c r="M4922" s="151">
        <v>175</v>
      </c>
    </row>
    <row r="4923" spans="1:13" s="149" customFormat="1" x14ac:dyDescent="0.25">
      <c r="A4923" s="149" t="s">
        <v>7640</v>
      </c>
      <c r="B4923" s="149" t="s">
        <v>6553</v>
      </c>
      <c r="C4923" s="149">
        <v>71</v>
      </c>
      <c r="D4923" s="149">
        <v>400</v>
      </c>
      <c r="E4923" s="149">
        <v>0</v>
      </c>
      <c r="F4923" s="149">
        <v>0</v>
      </c>
      <c r="G4923" s="149">
        <v>55600</v>
      </c>
      <c r="H4923" s="150" t="str">
        <f t="shared" si="228"/>
        <v>5</v>
      </c>
      <c r="I4923" s="150" t="str">
        <f t="shared" si="229"/>
        <v>55</v>
      </c>
      <c r="J4923" s="150" t="str">
        <f t="shared" si="230"/>
        <v>556</v>
      </c>
      <c r="K4923" s="150" t="s">
        <v>9855</v>
      </c>
      <c r="L4923" s="149" t="s">
        <v>6139</v>
      </c>
      <c r="M4923" s="151">
        <v>1308.6400000000001</v>
      </c>
    </row>
    <row r="4924" spans="1:13" s="149" customFormat="1" x14ac:dyDescent="0.25">
      <c r="A4924" s="149" t="s">
        <v>7640</v>
      </c>
      <c r="B4924" s="149" t="s">
        <v>6554</v>
      </c>
      <c r="C4924" s="149">
        <v>71</v>
      </c>
      <c r="D4924" s="149">
        <v>400</v>
      </c>
      <c r="E4924" s="149">
        <v>0</v>
      </c>
      <c r="F4924" s="149">
        <v>0</v>
      </c>
      <c r="G4924" s="149">
        <v>55635</v>
      </c>
      <c r="H4924" s="150" t="str">
        <f t="shared" si="228"/>
        <v>5</v>
      </c>
      <c r="I4924" s="150" t="str">
        <f t="shared" si="229"/>
        <v>55</v>
      </c>
      <c r="J4924" s="150" t="str">
        <f t="shared" si="230"/>
        <v>556</v>
      </c>
      <c r="K4924" s="150" t="s">
        <v>9856</v>
      </c>
      <c r="L4924" s="149" t="s">
        <v>6183</v>
      </c>
      <c r="M4924" s="151">
        <v>0</v>
      </c>
    </row>
    <row r="4925" spans="1:13" s="149" customFormat="1" x14ac:dyDescent="0.25">
      <c r="A4925" s="149" t="s">
        <v>7640</v>
      </c>
      <c r="B4925" s="149" t="s">
        <v>6555</v>
      </c>
      <c r="C4925" s="149">
        <v>71</v>
      </c>
      <c r="D4925" s="149">
        <v>400</v>
      </c>
      <c r="E4925" s="149">
        <v>0</v>
      </c>
      <c r="F4925" s="149">
        <v>0</v>
      </c>
      <c r="G4925" s="149">
        <v>55650</v>
      </c>
      <c r="H4925" s="150" t="str">
        <f t="shared" si="228"/>
        <v>5</v>
      </c>
      <c r="I4925" s="150" t="str">
        <f t="shared" si="229"/>
        <v>55</v>
      </c>
      <c r="J4925" s="150" t="str">
        <f t="shared" si="230"/>
        <v>556</v>
      </c>
      <c r="K4925" s="150" t="s">
        <v>9857</v>
      </c>
      <c r="L4925" s="149" t="s">
        <v>6185</v>
      </c>
      <c r="M4925" s="151">
        <v>137.9</v>
      </c>
    </row>
    <row r="4926" spans="1:13" s="149" customFormat="1" x14ac:dyDescent="0.25">
      <c r="A4926" s="149" t="s">
        <v>7640</v>
      </c>
      <c r="B4926" s="149" t="s">
        <v>6556</v>
      </c>
      <c r="C4926" s="149">
        <v>71</v>
      </c>
      <c r="D4926" s="149">
        <v>400</v>
      </c>
      <c r="E4926" s="149">
        <v>0</v>
      </c>
      <c r="F4926" s="149">
        <v>0</v>
      </c>
      <c r="G4926" s="149">
        <v>57510</v>
      </c>
      <c r="H4926" s="150" t="str">
        <f t="shared" si="228"/>
        <v>5</v>
      </c>
      <c r="I4926" s="150" t="str">
        <f t="shared" si="229"/>
        <v>57</v>
      </c>
      <c r="J4926" s="150" t="str">
        <f t="shared" si="230"/>
        <v>575</v>
      </c>
      <c r="K4926" s="150" t="s">
        <v>9858</v>
      </c>
      <c r="L4926" s="149" t="s">
        <v>6557</v>
      </c>
      <c r="M4926" s="151">
        <v>3900</v>
      </c>
    </row>
    <row r="4927" spans="1:13" s="149" customFormat="1" x14ac:dyDescent="0.25">
      <c r="A4927" s="149" t="s">
        <v>7640</v>
      </c>
      <c r="B4927" s="149" t="s">
        <v>6558</v>
      </c>
      <c r="C4927" s="149">
        <v>72</v>
      </c>
      <c r="D4927" s="149">
        <v>400</v>
      </c>
      <c r="E4927" s="149">
        <v>0</v>
      </c>
      <c r="F4927" s="149">
        <v>0</v>
      </c>
      <c r="G4927" s="149">
        <v>48844</v>
      </c>
      <c r="H4927" s="150" t="str">
        <f t="shared" si="228"/>
        <v>4</v>
      </c>
      <c r="I4927" s="150" t="str">
        <f t="shared" si="229"/>
        <v>48</v>
      </c>
      <c r="J4927" s="150" t="str">
        <f t="shared" si="230"/>
        <v>488</v>
      </c>
      <c r="K4927" s="150" t="s">
        <v>9859</v>
      </c>
      <c r="L4927" s="149" t="s">
        <v>6437</v>
      </c>
      <c r="M4927" s="151">
        <v>1237.44</v>
      </c>
    </row>
    <row r="4928" spans="1:13" s="149" customFormat="1" x14ac:dyDescent="0.25">
      <c r="A4928" s="149" t="s">
        <v>7640</v>
      </c>
      <c r="B4928" s="149" t="s">
        <v>6559</v>
      </c>
      <c r="C4928" s="149">
        <v>72</v>
      </c>
      <c r="D4928" s="149">
        <v>400</v>
      </c>
      <c r="E4928" s="149">
        <v>0</v>
      </c>
      <c r="F4928" s="149">
        <v>0</v>
      </c>
      <c r="G4928" s="149">
        <v>48860</v>
      </c>
      <c r="H4928" s="150" t="str">
        <f t="shared" si="228"/>
        <v>4</v>
      </c>
      <c r="I4928" s="150" t="str">
        <f t="shared" si="229"/>
        <v>48</v>
      </c>
      <c r="J4928" s="150" t="str">
        <f t="shared" si="230"/>
        <v>488</v>
      </c>
      <c r="K4928" s="150" t="s">
        <v>9860</v>
      </c>
      <c r="L4928" s="149" t="s">
        <v>41</v>
      </c>
      <c r="M4928" s="151">
        <v>-106.26</v>
      </c>
    </row>
    <row r="4929" spans="1:13" s="149" customFormat="1" x14ac:dyDescent="0.25">
      <c r="A4929" s="149" t="s">
        <v>7640</v>
      </c>
      <c r="B4929" s="149" t="s">
        <v>6560</v>
      </c>
      <c r="C4929" s="149">
        <v>72</v>
      </c>
      <c r="D4929" s="149">
        <v>400</v>
      </c>
      <c r="E4929" s="149">
        <v>0</v>
      </c>
      <c r="F4929" s="149">
        <v>0</v>
      </c>
      <c r="G4929" s="149">
        <v>48884</v>
      </c>
      <c r="H4929" s="150" t="str">
        <f t="shared" si="228"/>
        <v>4</v>
      </c>
      <c r="I4929" s="150" t="str">
        <f t="shared" si="229"/>
        <v>48</v>
      </c>
      <c r="J4929" s="150" t="str">
        <f t="shared" si="230"/>
        <v>488</v>
      </c>
      <c r="K4929" s="150" t="s">
        <v>9861</v>
      </c>
      <c r="L4929" s="149" t="s">
        <v>6561</v>
      </c>
      <c r="M4929" s="151">
        <v>-27135.42</v>
      </c>
    </row>
    <row r="4930" spans="1:13" s="149" customFormat="1" x14ac:dyDescent="0.25">
      <c r="A4930" s="149" t="s">
        <v>7640</v>
      </c>
      <c r="B4930" s="149" t="s">
        <v>6562</v>
      </c>
      <c r="C4930" s="149">
        <v>72</v>
      </c>
      <c r="D4930" s="149">
        <v>400</v>
      </c>
      <c r="E4930" s="149">
        <v>0</v>
      </c>
      <c r="F4930" s="149">
        <v>0</v>
      </c>
      <c r="G4930" s="149">
        <v>55200</v>
      </c>
      <c r="H4930" s="150" t="str">
        <f t="shared" si="228"/>
        <v>5</v>
      </c>
      <c r="I4930" s="150" t="str">
        <f t="shared" si="229"/>
        <v>55</v>
      </c>
      <c r="J4930" s="150" t="str">
        <f t="shared" si="230"/>
        <v>552</v>
      </c>
      <c r="K4930" s="150" t="s">
        <v>9862</v>
      </c>
      <c r="L4930" s="149" t="s">
        <v>6175</v>
      </c>
      <c r="M4930" s="151">
        <v>0</v>
      </c>
    </row>
    <row r="4931" spans="1:13" s="149" customFormat="1" x14ac:dyDescent="0.25">
      <c r="A4931" s="149" t="s">
        <v>7640</v>
      </c>
      <c r="B4931" s="149" t="s">
        <v>6563</v>
      </c>
      <c r="C4931" s="149">
        <v>72</v>
      </c>
      <c r="D4931" s="149">
        <v>400</v>
      </c>
      <c r="E4931" s="149">
        <v>0</v>
      </c>
      <c r="F4931" s="149">
        <v>0</v>
      </c>
      <c r="G4931" s="149">
        <v>55800</v>
      </c>
      <c r="H4931" s="150" t="str">
        <f t="shared" ref="H4931:H4966" si="231">LEFT(G4931,1)</f>
        <v>5</v>
      </c>
      <c r="I4931" s="150" t="str">
        <f t="shared" ref="I4931:I4966" si="232">LEFT(G4931,2)</f>
        <v>55</v>
      </c>
      <c r="J4931" s="150" t="str">
        <f t="shared" ref="J4931:J4966" si="233">LEFT(G4931,3)</f>
        <v>558</v>
      </c>
      <c r="K4931" s="150" t="s">
        <v>9863</v>
      </c>
      <c r="L4931" s="149" t="s">
        <v>6269</v>
      </c>
      <c r="M4931" s="151">
        <v>908.5</v>
      </c>
    </row>
    <row r="4932" spans="1:13" s="149" customFormat="1" x14ac:dyDescent="0.25">
      <c r="A4932" s="149" t="s">
        <v>7640</v>
      </c>
      <c r="B4932" s="149" t="s">
        <v>6564</v>
      </c>
      <c r="C4932" s="149">
        <v>72</v>
      </c>
      <c r="D4932" s="149">
        <v>400</v>
      </c>
      <c r="E4932" s="149">
        <v>0</v>
      </c>
      <c r="F4932" s="149">
        <v>0</v>
      </c>
      <c r="G4932" s="149">
        <v>57351</v>
      </c>
      <c r="H4932" s="150" t="str">
        <f t="shared" si="231"/>
        <v>5</v>
      </c>
      <c r="I4932" s="150" t="str">
        <f t="shared" si="232"/>
        <v>57</v>
      </c>
      <c r="J4932" s="150" t="str">
        <f t="shared" si="233"/>
        <v>573</v>
      </c>
      <c r="K4932" s="150" t="s">
        <v>9864</v>
      </c>
      <c r="L4932" s="149" t="s">
        <v>6565</v>
      </c>
      <c r="M4932" s="151">
        <v>1765</v>
      </c>
    </row>
    <row r="4933" spans="1:13" s="149" customFormat="1" x14ac:dyDescent="0.25">
      <c r="A4933" s="149" t="s">
        <v>7640</v>
      </c>
      <c r="B4933" s="149" t="s">
        <v>6607</v>
      </c>
      <c r="C4933" s="149">
        <v>75</v>
      </c>
      <c r="D4933" s="149">
        <v>0</v>
      </c>
      <c r="E4933" s="149">
        <v>0</v>
      </c>
      <c r="F4933" s="149">
        <v>0</v>
      </c>
      <c r="G4933" s="149">
        <v>48860</v>
      </c>
      <c r="H4933" s="150" t="str">
        <f t="shared" si="231"/>
        <v>4</v>
      </c>
      <c r="I4933" s="150" t="str">
        <f t="shared" si="232"/>
        <v>48</v>
      </c>
      <c r="J4933" s="150" t="str">
        <f t="shared" si="233"/>
        <v>488</v>
      </c>
      <c r="K4933" s="150" t="s">
        <v>9865</v>
      </c>
      <c r="L4933" s="149" t="s">
        <v>41</v>
      </c>
      <c r="M4933" s="151">
        <v>-1499.17</v>
      </c>
    </row>
    <row r="4934" spans="1:13" s="149" customFormat="1" x14ac:dyDescent="0.25">
      <c r="A4934" s="149" t="s">
        <v>7640</v>
      </c>
      <c r="B4934" s="149" t="s">
        <v>6608</v>
      </c>
      <c r="C4934" s="149">
        <v>75</v>
      </c>
      <c r="D4934" s="149">
        <v>0</v>
      </c>
      <c r="E4934" s="149">
        <v>0</v>
      </c>
      <c r="F4934" s="149">
        <v>0</v>
      </c>
      <c r="G4934" s="149">
        <v>55800</v>
      </c>
      <c r="H4934" s="150" t="str">
        <f t="shared" si="231"/>
        <v>5</v>
      </c>
      <c r="I4934" s="150" t="str">
        <f t="shared" si="232"/>
        <v>55</v>
      </c>
      <c r="J4934" s="150" t="str">
        <f t="shared" si="233"/>
        <v>558</v>
      </c>
      <c r="K4934" s="150" t="s">
        <v>9866</v>
      </c>
      <c r="L4934" s="149" t="s">
        <v>6269</v>
      </c>
      <c r="M4934" s="151">
        <v>0</v>
      </c>
    </row>
    <row r="4935" spans="1:13" s="149" customFormat="1" x14ac:dyDescent="0.25">
      <c r="A4935" s="149" t="s">
        <v>7640</v>
      </c>
      <c r="B4935" s="149" t="s">
        <v>6609</v>
      </c>
      <c r="C4935" s="149">
        <v>75</v>
      </c>
      <c r="D4935" s="149">
        <v>200</v>
      </c>
      <c r="E4935" s="149">
        <v>0</v>
      </c>
      <c r="F4935" s="149">
        <v>0</v>
      </c>
      <c r="G4935" s="149">
        <v>55105</v>
      </c>
      <c r="H4935" s="150" t="str">
        <f t="shared" si="231"/>
        <v>5</v>
      </c>
      <c r="I4935" s="150" t="str">
        <f t="shared" si="232"/>
        <v>55</v>
      </c>
      <c r="J4935" s="150" t="str">
        <f t="shared" si="233"/>
        <v>551</v>
      </c>
      <c r="K4935" s="150" t="s">
        <v>9867</v>
      </c>
      <c r="L4935" s="149" t="s">
        <v>6251</v>
      </c>
      <c r="M4935" s="151">
        <v>5909.19</v>
      </c>
    </row>
    <row r="4936" spans="1:13" s="149" customFormat="1" x14ac:dyDescent="0.25">
      <c r="A4936" s="149" t="s">
        <v>7640</v>
      </c>
      <c r="B4936" s="149" t="s">
        <v>6610</v>
      </c>
      <c r="C4936" s="149">
        <v>75</v>
      </c>
      <c r="D4936" s="149">
        <v>200</v>
      </c>
      <c r="E4936" s="149">
        <v>0</v>
      </c>
      <c r="F4936" s="149">
        <v>975109</v>
      </c>
      <c r="G4936" s="149">
        <v>48000</v>
      </c>
      <c r="H4936" s="150" t="str">
        <f t="shared" si="231"/>
        <v>4</v>
      </c>
      <c r="I4936" s="150" t="str">
        <f t="shared" si="232"/>
        <v>48</v>
      </c>
      <c r="J4936" s="150" t="str">
        <f t="shared" si="233"/>
        <v>480</v>
      </c>
      <c r="K4936" s="150" t="s">
        <v>9868</v>
      </c>
      <c r="L4936" s="149" t="s">
        <v>6611</v>
      </c>
      <c r="M4936" s="151">
        <v>-370</v>
      </c>
    </row>
    <row r="4937" spans="1:13" s="149" customFormat="1" x14ac:dyDescent="0.25">
      <c r="A4937" s="149" t="s">
        <v>7640</v>
      </c>
      <c r="B4937" s="149" t="s">
        <v>6612</v>
      </c>
      <c r="C4937" s="149">
        <v>75</v>
      </c>
      <c r="D4937" s="149">
        <v>200</v>
      </c>
      <c r="E4937" s="149">
        <v>0</v>
      </c>
      <c r="F4937" s="149">
        <v>975109</v>
      </c>
      <c r="G4937" s="149">
        <v>55000</v>
      </c>
      <c r="H4937" s="150" t="str">
        <f t="shared" si="231"/>
        <v>5</v>
      </c>
      <c r="I4937" s="150" t="str">
        <f t="shared" si="232"/>
        <v>55</v>
      </c>
      <c r="J4937" s="150" t="str">
        <f t="shared" si="233"/>
        <v>550</v>
      </c>
      <c r="K4937" s="150" t="s">
        <v>9869</v>
      </c>
      <c r="L4937" s="149" t="s">
        <v>6613</v>
      </c>
      <c r="M4937" s="151">
        <v>600</v>
      </c>
    </row>
    <row r="4938" spans="1:13" s="149" customFormat="1" x14ac:dyDescent="0.25">
      <c r="A4938" s="149" t="s">
        <v>7640</v>
      </c>
      <c r="B4938" s="149" t="s">
        <v>6614</v>
      </c>
      <c r="C4938" s="149">
        <v>75</v>
      </c>
      <c r="D4938" s="149">
        <v>400</v>
      </c>
      <c r="E4938" s="149">
        <v>0</v>
      </c>
      <c r="F4938" s="149">
        <v>0</v>
      </c>
      <c r="G4938" s="149">
        <v>48885</v>
      </c>
      <c r="H4938" s="150" t="str">
        <f t="shared" si="231"/>
        <v>4</v>
      </c>
      <c r="I4938" s="150" t="str">
        <f t="shared" si="232"/>
        <v>48</v>
      </c>
      <c r="J4938" s="150" t="str">
        <f t="shared" si="233"/>
        <v>488</v>
      </c>
      <c r="K4938" s="150" t="s">
        <v>9870</v>
      </c>
      <c r="L4938" s="149" t="s">
        <v>6615</v>
      </c>
      <c r="M4938" s="151">
        <v>-32045.200000000001</v>
      </c>
    </row>
    <row r="4939" spans="1:13" s="149" customFormat="1" x14ac:dyDescent="0.25">
      <c r="A4939" s="149" t="s">
        <v>7640</v>
      </c>
      <c r="B4939" s="149" t="s">
        <v>6616</v>
      </c>
      <c r="C4939" s="149">
        <v>79</v>
      </c>
      <c r="D4939" s="149">
        <v>320</v>
      </c>
      <c r="E4939" s="149">
        <v>0</v>
      </c>
      <c r="F4939" s="149">
        <v>0</v>
      </c>
      <c r="G4939" s="149">
        <v>48840</v>
      </c>
      <c r="H4939" s="150" t="str">
        <f t="shared" si="231"/>
        <v>4</v>
      </c>
      <c r="I4939" s="150" t="str">
        <f t="shared" si="232"/>
        <v>48</v>
      </c>
      <c r="J4939" s="150" t="str">
        <f t="shared" si="233"/>
        <v>488</v>
      </c>
      <c r="K4939" s="150" t="s">
        <v>9871</v>
      </c>
      <c r="L4939" s="149" t="s">
        <v>6617</v>
      </c>
      <c r="M4939" s="151">
        <v>0</v>
      </c>
    </row>
    <row r="4940" spans="1:13" s="149" customFormat="1" x14ac:dyDescent="0.25">
      <c r="A4940" s="149" t="s">
        <v>7640</v>
      </c>
      <c r="B4940" s="149" t="s">
        <v>6618</v>
      </c>
      <c r="C4940" s="149">
        <v>79</v>
      </c>
      <c r="D4940" s="149">
        <v>320</v>
      </c>
      <c r="E4940" s="149">
        <v>0</v>
      </c>
      <c r="F4940" s="149">
        <v>0</v>
      </c>
      <c r="G4940" s="149">
        <v>48841</v>
      </c>
      <c r="H4940" s="150" t="str">
        <f t="shared" si="231"/>
        <v>4</v>
      </c>
      <c r="I4940" s="150" t="str">
        <f t="shared" si="232"/>
        <v>48</v>
      </c>
      <c r="J4940" s="150" t="str">
        <f t="shared" si="233"/>
        <v>488</v>
      </c>
      <c r="K4940" s="150" t="s">
        <v>9872</v>
      </c>
      <c r="L4940" s="149" t="s">
        <v>6619</v>
      </c>
      <c r="M4940" s="151">
        <v>0</v>
      </c>
    </row>
    <row r="4941" spans="1:13" s="149" customFormat="1" x14ac:dyDescent="0.25">
      <c r="A4941" s="149" t="s">
        <v>7640</v>
      </c>
      <c r="B4941" s="149" t="s">
        <v>6620</v>
      </c>
      <c r="C4941" s="149">
        <v>79</v>
      </c>
      <c r="D4941" s="149">
        <v>320</v>
      </c>
      <c r="E4941" s="149">
        <v>0</v>
      </c>
      <c r="F4941" s="149">
        <v>0</v>
      </c>
      <c r="G4941" s="149">
        <v>48846</v>
      </c>
      <c r="H4941" s="150" t="str">
        <f t="shared" si="231"/>
        <v>4</v>
      </c>
      <c r="I4941" s="150" t="str">
        <f t="shared" si="232"/>
        <v>48</v>
      </c>
      <c r="J4941" s="150" t="str">
        <f t="shared" si="233"/>
        <v>488</v>
      </c>
      <c r="K4941" s="150" t="s">
        <v>9873</v>
      </c>
      <c r="L4941" s="149" t="s">
        <v>6621</v>
      </c>
      <c r="M4941" s="151">
        <v>-15039.18</v>
      </c>
    </row>
    <row r="4942" spans="1:13" s="149" customFormat="1" x14ac:dyDescent="0.25">
      <c r="A4942" s="149" t="s">
        <v>7640</v>
      </c>
      <c r="B4942" s="149" t="s">
        <v>6622</v>
      </c>
      <c r="C4942" s="149">
        <v>79</v>
      </c>
      <c r="D4942" s="149">
        <v>320</v>
      </c>
      <c r="E4942" s="149">
        <v>0</v>
      </c>
      <c r="F4942" s="149">
        <v>0</v>
      </c>
      <c r="G4942" s="149">
        <v>48847</v>
      </c>
      <c r="H4942" s="150" t="str">
        <f t="shared" si="231"/>
        <v>4</v>
      </c>
      <c r="I4942" s="150" t="str">
        <f t="shared" si="232"/>
        <v>48</v>
      </c>
      <c r="J4942" s="150" t="str">
        <f t="shared" si="233"/>
        <v>488</v>
      </c>
      <c r="K4942" s="150" t="s">
        <v>9874</v>
      </c>
      <c r="L4942" s="149" t="s">
        <v>6623</v>
      </c>
      <c r="M4942" s="151">
        <v>0</v>
      </c>
    </row>
    <row r="4943" spans="1:13" s="149" customFormat="1" x14ac:dyDescent="0.25">
      <c r="A4943" s="149" t="s">
        <v>7640</v>
      </c>
      <c r="B4943" s="149" t="s">
        <v>6624</v>
      </c>
      <c r="C4943" s="149">
        <v>79</v>
      </c>
      <c r="D4943" s="149">
        <v>320</v>
      </c>
      <c r="E4943" s="149">
        <v>0</v>
      </c>
      <c r="F4943" s="149">
        <v>0</v>
      </c>
      <c r="G4943" s="149">
        <v>48848</v>
      </c>
      <c r="H4943" s="150" t="str">
        <f t="shared" si="231"/>
        <v>4</v>
      </c>
      <c r="I4943" s="150" t="str">
        <f t="shared" si="232"/>
        <v>48</v>
      </c>
      <c r="J4943" s="150" t="str">
        <f t="shared" si="233"/>
        <v>488</v>
      </c>
      <c r="K4943" s="150" t="s">
        <v>9875</v>
      </c>
      <c r="L4943" s="149" t="s">
        <v>6625</v>
      </c>
      <c r="M4943" s="151">
        <v>0</v>
      </c>
    </row>
    <row r="4944" spans="1:13" s="149" customFormat="1" x14ac:dyDescent="0.25">
      <c r="A4944" s="149" t="s">
        <v>7640</v>
      </c>
      <c r="B4944" s="149" t="s">
        <v>6626</v>
      </c>
      <c r="C4944" s="149">
        <v>79</v>
      </c>
      <c r="D4944" s="149">
        <v>320</v>
      </c>
      <c r="E4944" s="149">
        <v>0</v>
      </c>
      <c r="F4944" s="149">
        <v>0</v>
      </c>
      <c r="G4944" s="149">
        <v>48860</v>
      </c>
      <c r="H4944" s="150" t="str">
        <f t="shared" si="231"/>
        <v>4</v>
      </c>
      <c r="I4944" s="150" t="str">
        <f t="shared" si="232"/>
        <v>48</v>
      </c>
      <c r="J4944" s="150" t="str">
        <f t="shared" si="233"/>
        <v>488</v>
      </c>
      <c r="K4944" s="150" t="s">
        <v>9876</v>
      </c>
      <c r="L4944" s="149" t="s">
        <v>41</v>
      </c>
      <c r="M4944" s="151">
        <v>-245.41</v>
      </c>
    </row>
    <row r="4945" spans="1:13" s="149" customFormat="1" x14ac:dyDescent="0.25">
      <c r="A4945" s="149" t="s">
        <v>7640</v>
      </c>
      <c r="B4945" s="149" t="s">
        <v>6627</v>
      </c>
      <c r="C4945" s="149">
        <v>79</v>
      </c>
      <c r="D4945" s="149">
        <v>320</v>
      </c>
      <c r="E4945" s="149">
        <v>0</v>
      </c>
      <c r="F4945" s="149">
        <v>0</v>
      </c>
      <c r="G4945" s="149">
        <v>48890</v>
      </c>
      <c r="H4945" s="150" t="str">
        <f t="shared" si="231"/>
        <v>4</v>
      </c>
      <c r="I4945" s="150" t="str">
        <f t="shared" si="232"/>
        <v>48</v>
      </c>
      <c r="J4945" s="150" t="str">
        <f t="shared" si="233"/>
        <v>488</v>
      </c>
      <c r="K4945" s="150" t="s">
        <v>9877</v>
      </c>
      <c r="L4945" s="149" t="s">
        <v>51</v>
      </c>
      <c r="M4945" s="151">
        <v>-8000</v>
      </c>
    </row>
    <row r="4946" spans="1:13" s="149" customFormat="1" x14ac:dyDescent="0.25">
      <c r="A4946" s="149" t="s">
        <v>7640</v>
      </c>
      <c r="B4946" s="149" t="s">
        <v>6628</v>
      </c>
      <c r="C4946" s="149">
        <v>79</v>
      </c>
      <c r="D4946" s="149">
        <v>320</v>
      </c>
      <c r="E4946" s="149">
        <v>0</v>
      </c>
      <c r="F4946" s="149">
        <v>0</v>
      </c>
      <c r="G4946" s="149">
        <v>52360</v>
      </c>
      <c r="H4946" s="150" t="str">
        <f t="shared" si="231"/>
        <v>5</v>
      </c>
      <c r="I4946" s="150" t="str">
        <f t="shared" si="232"/>
        <v>52</v>
      </c>
      <c r="J4946" s="150" t="str">
        <f t="shared" si="233"/>
        <v>523</v>
      </c>
      <c r="K4946" s="150" t="s">
        <v>9878</v>
      </c>
      <c r="L4946" s="149" t="s">
        <v>6155</v>
      </c>
      <c r="M4946" s="151">
        <v>0</v>
      </c>
    </row>
    <row r="4947" spans="1:13" s="149" customFormat="1" x14ac:dyDescent="0.25">
      <c r="A4947" s="149" t="s">
        <v>7640</v>
      </c>
      <c r="B4947" s="149" t="s">
        <v>6629</v>
      </c>
      <c r="C4947" s="149">
        <v>79</v>
      </c>
      <c r="D4947" s="149">
        <v>320</v>
      </c>
      <c r="E4947" s="149">
        <v>0</v>
      </c>
      <c r="F4947" s="149">
        <v>0</v>
      </c>
      <c r="G4947" s="149">
        <v>53320</v>
      </c>
      <c r="H4947" s="150" t="str">
        <f t="shared" si="231"/>
        <v>5</v>
      </c>
      <c r="I4947" s="150" t="str">
        <f t="shared" si="232"/>
        <v>53</v>
      </c>
      <c r="J4947" s="150" t="str">
        <f t="shared" si="233"/>
        <v>533</v>
      </c>
      <c r="K4947" s="150" t="s">
        <v>9879</v>
      </c>
      <c r="L4947" s="149" t="s">
        <v>6161</v>
      </c>
      <c r="M4947" s="151">
        <v>0</v>
      </c>
    </row>
    <row r="4948" spans="1:13" s="149" customFormat="1" x14ac:dyDescent="0.25">
      <c r="A4948" s="149" t="s">
        <v>7640</v>
      </c>
      <c r="B4948" s="149" t="s">
        <v>6630</v>
      </c>
      <c r="C4948" s="149">
        <v>79</v>
      </c>
      <c r="D4948" s="149">
        <v>320</v>
      </c>
      <c r="E4948" s="149">
        <v>0</v>
      </c>
      <c r="F4948" s="149">
        <v>0</v>
      </c>
      <c r="G4948" s="149">
        <v>53340</v>
      </c>
      <c r="H4948" s="150" t="str">
        <f t="shared" si="231"/>
        <v>5</v>
      </c>
      <c r="I4948" s="150" t="str">
        <f t="shared" si="232"/>
        <v>53</v>
      </c>
      <c r="J4948" s="150" t="str">
        <f t="shared" si="233"/>
        <v>533</v>
      </c>
      <c r="K4948" s="150" t="s">
        <v>9880</v>
      </c>
      <c r="L4948" s="149" t="s">
        <v>6163</v>
      </c>
      <c r="M4948" s="151">
        <v>0</v>
      </c>
    </row>
    <row r="4949" spans="1:13" s="149" customFormat="1" x14ac:dyDescent="0.25">
      <c r="A4949" s="149" t="s">
        <v>7640</v>
      </c>
      <c r="B4949" s="149" t="s">
        <v>6631</v>
      </c>
      <c r="C4949" s="149">
        <v>79</v>
      </c>
      <c r="D4949" s="149">
        <v>320</v>
      </c>
      <c r="E4949" s="149">
        <v>0</v>
      </c>
      <c r="F4949" s="149">
        <v>0</v>
      </c>
      <c r="G4949" s="149">
        <v>53520</v>
      </c>
      <c r="H4949" s="150" t="str">
        <f t="shared" si="231"/>
        <v>5</v>
      </c>
      <c r="I4949" s="150" t="str">
        <f t="shared" si="232"/>
        <v>53</v>
      </c>
      <c r="J4949" s="150" t="str">
        <f t="shared" si="233"/>
        <v>535</v>
      </c>
      <c r="K4949" s="150" t="s">
        <v>9881</v>
      </c>
      <c r="L4949" s="149" t="s">
        <v>6167</v>
      </c>
      <c r="M4949" s="151">
        <v>0</v>
      </c>
    </row>
    <row r="4950" spans="1:13" s="149" customFormat="1" x14ac:dyDescent="0.25">
      <c r="A4950" s="149" t="s">
        <v>7640</v>
      </c>
      <c r="B4950" s="149" t="s">
        <v>6632</v>
      </c>
      <c r="C4950" s="149">
        <v>79</v>
      </c>
      <c r="D4950" s="149">
        <v>320</v>
      </c>
      <c r="E4950" s="149">
        <v>0</v>
      </c>
      <c r="F4950" s="149">
        <v>0</v>
      </c>
      <c r="G4950" s="149">
        <v>53620</v>
      </c>
      <c r="H4950" s="150" t="str">
        <f t="shared" si="231"/>
        <v>5</v>
      </c>
      <c r="I4950" s="150" t="str">
        <f t="shared" si="232"/>
        <v>53</v>
      </c>
      <c r="J4950" s="150" t="str">
        <f t="shared" si="233"/>
        <v>536</v>
      </c>
      <c r="K4950" s="150" t="s">
        <v>9882</v>
      </c>
      <c r="L4950" s="149" t="s">
        <v>6169</v>
      </c>
      <c r="M4950" s="151">
        <v>0</v>
      </c>
    </row>
    <row r="4951" spans="1:13" s="149" customFormat="1" x14ac:dyDescent="0.25">
      <c r="A4951" s="149" t="s">
        <v>7640</v>
      </c>
      <c r="B4951" s="149" t="s">
        <v>6633</v>
      </c>
      <c r="C4951" s="149">
        <v>79</v>
      </c>
      <c r="D4951" s="149">
        <v>320</v>
      </c>
      <c r="E4951" s="149">
        <v>0</v>
      </c>
      <c r="F4951" s="149">
        <v>0</v>
      </c>
      <c r="G4951" s="149">
        <v>54210</v>
      </c>
      <c r="H4951" s="150" t="str">
        <f t="shared" si="231"/>
        <v>5</v>
      </c>
      <c r="I4951" s="150" t="str">
        <f t="shared" si="232"/>
        <v>54</v>
      </c>
      <c r="J4951" s="150" t="str">
        <f t="shared" si="233"/>
        <v>542</v>
      </c>
      <c r="K4951" s="150" t="s">
        <v>9883</v>
      </c>
      <c r="L4951" s="149" t="s">
        <v>6171</v>
      </c>
      <c r="M4951" s="151">
        <v>1000</v>
      </c>
    </row>
    <row r="4952" spans="1:13" s="149" customFormat="1" x14ac:dyDescent="0.25">
      <c r="A4952" s="149" t="s">
        <v>7640</v>
      </c>
      <c r="B4952" s="149" t="s">
        <v>6634</v>
      </c>
      <c r="C4952" s="149">
        <v>79</v>
      </c>
      <c r="D4952" s="149">
        <v>320</v>
      </c>
      <c r="E4952" s="149">
        <v>0</v>
      </c>
      <c r="F4952" s="149">
        <v>0</v>
      </c>
      <c r="G4952" s="149">
        <v>55140</v>
      </c>
      <c r="H4952" s="150" t="str">
        <f t="shared" si="231"/>
        <v>5</v>
      </c>
      <c r="I4952" s="150" t="str">
        <f t="shared" si="232"/>
        <v>55</v>
      </c>
      <c r="J4952" s="150" t="str">
        <f t="shared" si="233"/>
        <v>551</v>
      </c>
      <c r="K4952" s="150" t="s">
        <v>9884</v>
      </c>
      <c r="L4952" s="149" t="s">
        <v>6635</v>
      </c>
      <c r="M4952" s="151">
        <v>0</v>
      </c>
    </row>
    <row r="4953" spans="1:13" s="149" customFormat="1" x14ac:dyDescent="0.25">
      <c r="A4953" s="149" t="s">
        <v>7640</v>
      </c>
      <c r="B4953" s="149" t="s">
        <v>6636</v>
      </c>
      <c r="C4953" s="149">
        <v>79</v>
      </c>
      <c r="D4953" s="149">
        <v>320</v>
      </c>
      <c r="E4953" s="149">
        <v>0</v>
      </c>
      <c r="F4953" s="149">
        <v>0</v>
      </c>
      <c r="G4953" s="149">
        <v>55250</v>
      </c>
      <c r="H4953" s="150" t="str">
        <f t="shared" si="231"/>
        <v>5</v>
      </c>
      <c r="I4953" s="150" t="str">
        <f t="shared" si="232"/>
        <v>55</v>
      </c>
      <c r="J4953" s="150" t="str">
        <f t="shared" si="233"/>
        <v>552</v>
      </c>
      <c r="K4953" s="150" t="s">
        <v>9885</v>
      </c>
      <c r="L4953" s="149" t="s">
        <v>6637</v>
      </c>
      <c r="M4953" s="151">
        <v>0</v>
      </c>
    </row>
    <row r="4954" spans="1:13" s="149" customFormat="1" x14ac:dyDescent="0.25">
      <c r="A4954" s="149" t="s">
        <v>7640</v>
      </c>
      <c r="B4954" s="149" t="s">
        <v>6638</v>
      </c>
      <c r="C4954" s="149">
        <v>79</v>
      </c>
      <c r="D4954" s="149">
        <v>320</v>
      </c>
      <c r="E4954" s="149">
        <v>0</v>
      </c>
      <c r="F4954" s="149">
        <v>0</v>
      </c>
      <c r="G4954" s="149">
        <v>55251</v>
      </c>
      <c r="H4954" s="150" t="str">
        <f t="shared" si="231"/>
        <v>5</v>
      </c>
      <c r="I4954" s="150" t="str">
        <f t="shared" si="232"/>
        <v>55</v>
      </c>
      <c r="J4954" s="150" t="str">
        <f t="shared" si="233"/>
        <v>552</v>
      </c>
      <c r="K4954" s="150" t="s">
        <v>9886</v>
      </c>
      <c r="L4954" s="149" t="s">
        <v>6639</v>
      </c>
      <c r="M4954" s="151">
        <v>0</v>
      </c>
    </row>
    <row r="4955" spans="1:13" s="149" customFormat="1" x14ac:dyDescent="0.25">
      <c r="A4955" s="149" t="s">
        <v>7640</v>
      </c>
      <c r="B4955" s="149" t="s">
        <v>6640</v>
      </c>
      <c r="C4955" s="149">
        <v>79</v>
      </c>
      <c r="D4955" s="149">
        <v>320</v>
      </c>
      <c r="E4955" s="149">
        <v>0</v>
      </c>
      <c r="F4955" s="149">
        <v>0</v>
      </c>
      <c r="G4955" s="149">
        <v>55252</v>
      </c>
      <c r="H4955" s="150" t="str">
        <f t="shared" si="231"/>
        <v>5</v>
      </c>
      <c r="I4955" s="150" t="str">
        <f t="shared" si="232"/>
        <v>55</v>
      </c>
      <c r="J4955" s="150" t="str">
        <f t="shared" si="233"/>
        <v>552</v>
      </c>
      <c r="K4955" s="150" t="s">
        <v>9887</v>
      </c>
      <c r="L4955" s="149" t="s">
        <v>6641</v>
      </c>
      <c r="M4955" s="151">
        <v>0</v>
      </c>
    </row>
    <row r="4956" spans="1:13" s="149" customFormat="1" x14ac:dyDescent="0.25">
      <c r="A4956" s="149" t="s">
        <v>7640</v>
      </c>
      <c r="B4956" s="149" t="s">
        <v>6642</v>
      </c>
      <c r="C4956" s="149">
        <v>79</v>
      </c>
      <c r="D4956" s="149">
        <v>320</v>
      </c>
      <c r="E4956" s="149">
        <v>0</v>
      </c>
      <c r="F4956" s="149">
        <v>0</v>
      </c>
      <c r="G4956" s="149">
        <v>55253</v>
      </c>
      <c r="H4956" s="150" t="str">
        <f t="shared" si="231"/>
        <v>5</v>
      </c>
      <c r="I4956" s="150" t="str">
        <f t="shared" si="232"/>
        <v>55</v>
      </c>
      <c r="J4956" s="150" t="str">
        <f t="shared" si="233"/>
        <v>552</v>
      </c>
      <c r="K4956" s="150" t="s">
        <v>9888</v>
      </c>
      <c r="L4956" s="149" t="s">
        <v>6643</v>
      </c>
      <c r="M4956" s="151">
        <v>0</v>
      </c>
    </row>
    <row r="4957" spans="1:13" s="149" customFormat="1" x14ac:dyDescent="0.25">
      <c r="A4957" s="149" t="s">
        <v>7640</v>
      </c>
      <c r="B4957" s="149" t="s">
        <v>6644</v>
      </c>
      <c r="C4957" s="149">
        <v>79</v>
      </c>
      <c r="D4957" s="149">
        <v>320</v>
      </c>
      <c r="E4957" s="149">
        <v>0</v>
      </c>
      <c r="F4957" s="149">
        <v>0</v>
      </c>
      <c r="G4957" s="149">
        <v>55254</v>
      </c>
      <c r="H4957" s="150" t="str">
        <f t="shared" si="231"/>
        <v>5</v>
      </c>
      <c r="I4957" s="150" t="str">
        <f t="shared" si="232"/>
        <v>55</v>
      </c>
      <c r="J4957" s="150" t="str">
        <f t="shared" si="233"/>
        <v>552</v>
      </c>
      <c r="K4957" s="150" t="s">
        <v>9889</v>
      </c>
      <c r="L4957" s="149" t="s">
        <v>6645</v>
      </c>
      <c r="M4957" s="151">
        <v>0</v>
      </c>
    </row>
    <row r="4958" spans="1:13" s="149" customFormat="1" x14ac:dyDescent="0.25">
      <c r="A4958" s="149" t="s">
        <v>7640</v>
      </c>
      <c r="B4958" s="149" t="s">
        <v>6646</v>
      </c>
      <c r="C4958" s="149">
        <v>79</v>
      </c>
      <c r="D4958" s="149">
        <v>320</v>
      </c>
      <c r="E4958" s="149">
        <v>0</v>
      </c>
      <c r="F4958" s="149">
        <v>0</v>
      </c>
      <c r="G4958" s="149">
        <v>55255</v>
      </c>
      <c r="H4958" s="150" t="str">
        <f t="shared" si="231"/>
        <v>5</v>
      </c>
      <c r="I4958" s="150" t="str">
        <f t="shared" si="232"/>
        <v>55</v>
      </c>
      <c r="J4958" s="150" t="str">
        <f t="shared" si="233"/>
        <v>552</v>
      </c>
      <c r="K4958" s="150" t="s">
        <v>9890</v>
      </c>
      <c r="L4958" s="149" t="s">
        <v>6647</v>
      </c>
      <c r="M4958" s="151">
        <v>0</v>
      </c>
    </row>
    <row r="4959" spans="1:13" s="149" customFormat="1" x14ac:dyDescent="0.25">
      <c r="A4959" s="149" t="s">
        <v>7640</v>
      </c>
      <c r="B4959" s="149" t="s">
        <v>6648</v>
      </c>
      <c r="C4959" s="149">
        <v>79</v>
      </c>
      <c r="D4959" s="149">
        <v>320</v>
      </c>
      <c r="E4959" s="149">
        <v>0</v>
      </c>
      <c r="F4959" s="149">
        <v>0</v>
      </c>
      <c r="G4959" s="149">
        <v>55256</v>
      </c>
      <c r="H4959" s="150" t="str">
        <f t="shared" si="231"/>
        <v>5</v>
      </c>
      <c r="I4959" s="150" t="str">
        <f t="shared" si="232"/>
        <v>55</v>
      </c>
      <c r="J4959" s="150" t="str">
        <f t="shared" si="233"/>
        <v>552</v>
      </c>
      <c r="K4959" s="150" t="s">
        <v>9891</v>
      </c>
      <c r="L4959" s="149" t="s">
        <v>6649</v>
      </c>
      <c r="M4959" s="151">
        <v>0</v>
      </c>
    </row>
    <row r="4960" spans="1:13" s="149" customFormat="1" x14ac:dyDescent="0.25">
      <c r="A4960" s="149" t="s">
        <v>7640</v>
      </c>
      <c r="B4960" s="149" t="s">
        <v>6650</v>
      </c>
      <c r="C4960" s="149">
        <v>79</v>
      </c>
      <c r="D4960" s="149">
        <v>320</v>
      </c>
      <c r="E4960" s="149">
        <v>0</v>
      </c>
      <c r="F4960" s="149">
        <v>0</v>
      </c>
      <c r="G4960" s="149">
        <v>55257</v>
      </c>
      <c r="H4960" s="150" t="str">
        <f t="shared" si="231"/>
        <v>5</v>
      </c>
      <c r="I4960" s="150" t="str">
        <f t="shared" si="232"/>
        <v>55</v>
      </c>
      <c r="J4960" s="150" t="str">
        <f t="shared" si="233"/>
        <v>552</v>
      </c>
      <c r="K4960" s="150" t="s">
        <v>9892</v>
      </c>
      <c r="L4960" s="149" t="s">
        <v>6651</v>
      </c>
      <c r="M4960" s="151">
        <v>0</v>
      </c>
    </row>
    <row r="4961" spans="1:13" s="149" customFormat="1" x14ac:dyDescent="0.25">
      <c r="A4961" s="149" t="s">
        <v>7640</v>
      </c>
      <c r="B4961" s="149" t="s">
        <v>6652</v>
      </c>
      <c r="C4961" s="149">
        <v>79</v>
      </c>
      <c r="D4961" s="149">
        <v>320</v>
      </c>
      <c r="E4961" s="149">
        <v>0</v>
      </c>
      <c r="F4961" s="149">
        <v>0</v>
      </c>
      <c r="G4961" s="149">
        <v>55258</v>
      </c>
      <c r="H4961" s="150" t="str">
        <f t="shared" si="231"/>
        <v>5</v>
      </c>
      <c r="I4961" s="150" t="str">
        <f t="shared" si="232"/>
        <v>55</v>
      </c>
      <c r="J4961" s="150" t="str">
        <f t="shared" si="233"/>
        <v>552</v>
      </c>
      <c r="K4961" s="150" t="s">
        <v>9893</v>
      </c>
      <c r="L4961" s="149" t="s">
        <v>6653</v>
      </c>
      <c r="M4961" s="151">
        <v>0</v>
      </c>
    </row>
    <row r="4962" spans="1:13" s="149" customFormat="1" x14ac:dyDescent="0.25">
      <c r="A4962" s="149" t="s">
        <v>7640</v>
      </c>
      <c r="B4962" s="149" t="s">
        <v>6654</v>
      </c>
      <c r="C4962" s="149">
        <v>79</v>
      </c>
      <c r="D4962" s="149">
        <v>320</v>
      </c>
      <c r="E4962" s="149">
        <v>0</v>
      </c>
      <c r="F4962" s="149">
        <v>0</v>
      </c>
      <c r="G4962" s="149">
        <v>55261</v>
      </c>
      <c r="H4962" s="150" t="str">
        <f t="shared" si="231"/>
        <v>5</v>
      </c>
      <c r="I4962" s="150" t="str">
        <f t="shared" si="232"/>
        <v>55</v>
      </c>
      <c r="J4962" s="150" t="str">
        <f t="shared" si="233"/>
        <v>552</v>
      </c>
      <c r="K4962" s="150" t="s">
        <v>9894</v>
      </c>
      <c r="L4962" s="149" t="s">
        <v>6655</v>
      </c>
      <c r="M4962" s="151">
        <v>0</v>
      </c>
    </row>
    <row r="4963" spans="1:13" s="149" customFormat="1" x14ac:dyDescent="0.25">
      <c r="A4963" s="149" t="s">
        <v>7640</v>
      </c>
      <c r="B4963" s="149" t="s">
        <v>6656</v>
      </c>
      <c r="C4963" s="149">
        <v>79</v>
      </c>
      <c r="D4963" s="149">
        <v>320</v>
      </c>
      <c r="E4963" s="149">
        <v>0</v>
      </c>
      <c r="F4963" s="149">
        <v>0</v>
      </c>
      <c r="G4963" s="149">
        <v>55262</v>
      </c>
      <c r="H4963" s="150" t="str">
        <f t="shared" si="231"/>
        <v>5</v>
      </c>
      <c r="I4963" s="150" t="str">
        <f t="shared" si="232"/>
        <v>55</v>
      </c>
      <c r="J4963" s="150" t="str">
        <f t="shared" si="233"/>
        <v>552</v>
      </c>
      <c r="K4963" s="150" t="s">
        <v>9895</v>
      </c>
      <c r="L4963" s="149" t="s">
        <v>6657</v>
      </c>
      <c r="M4963" s="151">
        <v>0</v>
      </c>
    </row>
    <row r="4964" spans="1:13" s="149" customFormat="1" x14ac:dyDescent="0.25">
      <c r="A4964" s="149" t="s">
        <v>7640</v>
      </c>
      <c r="B4964" s="149" t="s">
        <v>6658</v>
      </c>
      <c r="C4964" s="149">
        <v>79</v>
      </c>
      <c r="D4964" s="149">
        <v>320</v>
      </c>
      <c r="E4964" s="149">
        <v>0</v>
      </c>
      <c r="F4964" s="149">
        <v>0</v>
      </c>
      <c r="G4964" s="149">
        <v>55264</v>
      </c>
      <c r="H4964" s="150" t="str">
        <f t="shared" si="231"/>
        <v>5</v>
      </c>
      <c r="I4964" s="150" t="str">
        <f t="shared" si="232"/>
        <v>55</v>
      </c>
      <c r="J4964" s="150" t="str">
        <f t="shared" si="233"/>
        <v>552</v>
      </c>
      <c r="K4964" s="150" t="s">
        <v>9896</v>
      </c>
      <c r="L4964" s="149" t="s">
        <v>6659</v>
      </c>
      <c r="M4964" s="151">
        <v>0</v>
      </c>
    </row>
    <row r="4965" spans="1:13" s="149" customFormat="1" x14ac:dyDescent="0.25">
      <c r="A4965" s="149" t="s">
        <v>7640</v>
      </c>
      <c r="B4965" s="149" t="s">
        <v>6660</v>
      </c>
      <c r="C4965" s="149">
        <v>79</v>
      </c>
      <c r="D4965" s="149">
        <v>320</v>
      </c>
      <c r="E4965" s="149">
        <v>0</v>
      </c>
      <c r="F4965" s="149">
        <v>0</v>
      </c>
      <c r="G4965" s="149">
        <v>55800</v>
      </c>
      <c r="H4965" s="150" t="str">
        <f t="shared" si="231"/>
        <v>5</v>
      </c>
      <c r="I4965" s="150" t="str">
        <f t="shared" si="232"/>
        <v>55</v>
      </c>
      <c r="J4965" s="150" t="str">
        <f t="shared" si="233"/>
        <v>558</v>
      </c>
      <c r="K4965" s="150" t="s">
        <v>9897</v>
      </c>
      <c r="L4965" s="149" t="s">
        <v>6269</v>
      </c>
      <c r="M4965" s="151">
        <v>27</v>
      </c>
    </row>
    <row r="4966" spans="1:13" s="149" customFormat="1" x14ac:dyDescent="0.25">
      <c r="A4966" s="149" t="s">
        <v>7640</v>
      </c>
      <c r="B4966" s="149" t="s">
        <v>6661</v>
      </c>
      <c r="C4966" s="149">
        <v>79</v>
      </c>
      <c r="D4966" s="149">
        <v>320</v>
      </c>
      <c r="E4966" s="149">
        <v>0</v>
      </c>
      <c r="F4966" s="149">
        <v>0</v>
      </c>
      <c r="G4966" s="149">
        <v>55861</v>
      </c>
      <c r="H4966" s="150" t="str">
        <f t="shared" si="231"/>
        <v>5</v>
      </c>
      <c r="I4966" s="150" t="str">
        <f t="shared" si="232"/>
        <v>55</v>
      </c>
      <c r="J4966" s="150" t="str">
        <f t="shared" si="233"/>
        <v>558</v>
      </c>
      <c r="K4966" s="150" t="s">
        <v>9898</v>
      </c>
      <c r="L4966" s="149" t="s">
        <v>6477</v>
      </c>
      <c r="M4966" s="151">
        <v>233.55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F22"/>
  <sheetViews>
    <sheetView workbookViewId="0">
      <selection activeCell="B22" sqref="B22"/>
    </sheetView>
  </sheetViews>
  <sheetFormatPr defaultRowHeight="15" x14ac:dyDescent="0.25"/>
  <cols>
    <col min="2" max="2" width="15" bestFit="1" customWidth="1"/>
    <col min="3" max="3" width="85.85546875" bestFit="1" customWidth="1"/>
  </cols>
  <sheetData>
    <row r="2" spans="1:6" x14ac:dyDescent="0.25">
      <c r="A2" t="s">
        <v>9972</v>
      </c>
    </row>
    <row r="4" spans="1:6" x14ac:dyDescent="0.25">
      <c r="B4" s="236" t="s">
        <v>9535</v>
      </c>
      <c r="C4" s="236" t="s">
        <v>9956</v>
      </c>
    </row>
    <row r="5" spans="1:6" x14ac:dyDescent="0.25">
      <c r="B5" s="231">
        <v>-744859</v>
      </c>
      <c r="C5" t="s">
        <v>9974</v>
      </c>
    </row>
    <row r="6" spans="1:6" x14ac:dyDescent="0.25">
      <c r="B6" s="231">
        <v>-96222.76</v>
      </c>
      <c r="C6" t="s">
        <v>9979</v>
      </c>
    </row>
    <row r="7" spans="1:6" x14ac:dyDescent="0.25">
      <c r="B7" s="231">
        <v>-54894</v>
      </c>
      <c r="C7" t="s">
        <v>9986</v>
      </c>
    </row>
    <row r="8" spans="1:6" x14ac:dyDescent="0.25">
      <c r="B8" s="238">
        <v>-365129.49</v>
      </c>
      <c r="C8" s="236" t="s">
        <v>9987</v>
      </c>
    </row>
    <row r="9" spans="1:6" x14ac:dyDescent="0.25">
      <c r="B9" s="237">
        <f>SUM(B5:B8)</f>
        <v>-1261105.25</v>
      </c>
      <c r="C9" s="120" t="s">
        <v>9984</v>
      </c>
      <c r="F9" t="str">
        <f>CONCATENATE('Actions to reduce $1.7M deficit'!C5,"; ",'Actions to reduce $1.7M deficit'!C6,"; ",'Actions to reduce $1.7M deficit'!C7,"; ")</f>
        <v xml:space="preserve">From vacancies previously budgeted; 6% reduction in NIC Teaching (sal + bens); 33% reductin in NIC Nonteaching (counseling, sal + bens).; </v>
      </c>
    </row>
    <row r="11" spans="1:6" x14ac:dyDescent="0.25">
      <c r="B11" s="231">
        <v>-40000</v>
      </c>
      <c r="C11" t="s">
        <v>9973</v>
      </c>
    </row>
    <row r="12" spans="1:6" x14ac:dyDescent="0.25">
      <c r="B12" s="231">
        <v>-169170</v>
      </c>
      <c r="C12" t="s">
        <v>9977</v>
      </c>
    </row>
    <row r="13" spans="1:6" x14ac:dyDescent="0.25">
      <c r="B13" s="231">
        <f>-189366+60001</f>
        <v>-129365</v>
      </c>
      <c r="C13" t="s">
        <v>9978</v>
      </c>
    </row>
    <row r="14" spans="1:6" x14ac:dyDescent="0.25">
      <c r="B14" s="231">
        <v>-68556.649999999994</v>
      </c>
      <c r="C14" t="s">
        <v>9980</v>
      </c>
    </row>
    <row r="15" spans="1:6" x14ac:dyDescent="0.25">
      <c r="B15" s="238">
        <v>-32340</v>
      </c>
      <c r="C15" s="236" t="s">
        <v>9981</v>
      </c>
    </row>
    <row r="16" spans="1:6" s="120" customFormat="1" x14ac:dyDescent="0.25">
      <c r="B16" s="237">
        <f>SUM(B11:B15)</f>
        <v>-439431.65</v>
      </c>
      <c r="C16" s="120" t="s">
        <v>9985</v>
      </c>
    </row>
    <row r="17" spans="2:3" x14ac:dyDescent="0.25">
      <c r="B17" s="231"/>
    </row>
    <row r="18" spans="2:3" x14ac:dyDescent="0.25">
      <c r="B18" s="223">
        <f>+B16+B9</f>
        <v>-1700536.9</v>
      </c>
      <c r="C18" t="s">
        <v>9976</v>
      </c>
    </row>
    <row r="20" spans="2:3" x14ac:dyDescent="0.25">
      <c r="B20" s="125">
        <v>1700537</v>
      </c>
      <c r="C20" t="s">
        <v>9975</v>
      </c>
    </row>
    <row r="22" spans="2:3" x14ac:dyDescent="0.25">
      <c r="B22" s="223">
        <f>SUM(B18:B21)</f>
        <v>0.10000000009313226</v>
      </c>
      <c r="C22" t="s">
        <v>9970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3639"/>
  <sheetViews>
    <sheetView topLeftCell="H7" workbookViewId="0">
      <selection activeCell="K3636" sqref="K3636"/>
    </sheetView>
  </sheetViews>
  <sheetFormatPr defaultRowHeight="15" x14ac:dyDescent="0.25"/>
  <cols>
    <col min="1" max="1" width="22.28515625" style="3" bestFit="1" customWidth="1"/>
    <col min="2" max="2" width="7.5703125" style="3" bestFit="1" customWidth="1"/>
    <col min="3" max="3" width="7.28515625" style="5" bestFit="1" customWidth="1"/>
    <col min="4" max="4" width="10.5703125" style="6" bestFit="1" customWidth="1"/>
    <col min="5" max="5" width="7" style="7" bestFit="1" customWidth="1"/>
    <col min="6" max="6" width="9" style="3" bestFit="1" customWidth="1"/>
    <col min="7" max="7" width="10.28515625" style="3" bestFit="1" customWidth="1"/>
    <col min="8" max="8" width="72.85546875" style="3" bestFit="1" customWidth="1"/>
    <col min="9" max="9" width="16.42578125" style="8" bestFit="1" customWidth="1"/>
    <col min="10" max="10" width="16.7109375" style="8" bestFit="1" customWidth="1"/>
    <col min="11" max="11" width="17.7109375" style="8" bestFit="1" customWidth="1"/>
    <col min="12" max="12" width="49.140625" style="8" bestFit="1" customWidth="1"/>
    <col min="13" max="13" width="19.7109375" style="3" bestFit="1" customWidth="1"/>
    <col min="14" max="16384" width="9.140625" style="3"/>
  </cols>
  <sheetData>
    <row r="1" spans="1:13" s="9" customFormat="1" ht="30" x14ac:dyDescent="0.25">
      <c r="A1" s="12" t="s">
        <v>0</v>
      </c>
      <c r="B1" s="12" t="s">
        <v>6665</v>
      </c>
      <c r="C1" s="14" t="s">
        <v>6667</v>
      </c>
      <c r="D1" s="15" t="s">
        <v>6666</v>
      </c>
      <c r="E1" s="16" t="s">
        <v>6668</v>
      </c>
      <c r="F1" s="12" t="s">
        <v>6669</v>
      </c>
      <c r="G1" s="12" t="s">
        <v>6670</v>
      </c>
      <c r="H1" s="12" t="s">
        <v>1</v>
      </c>
      <c r="I1" s="13" t="s">
        <v>6663</v>
      </c>
      <c r="J1" s="13" t="s">
        <v>6662</v>
      </c>
      <c r="K1" s="13" t="s">
        <v>6664</v>
      </c>
      <c r="L1" s="13" t="s">
        <v>6672</v>
      </c>
      <c r="M1" s="9" t="s">
        <v>6683</v>
      </c>
    </row>
    <row r="2" spans="1:13" x14ac:dyDescent="0.25">
      <c r="A2" s="3" t="s">
        <v>2</v>
      </c>
      <c r="B2" s="3">
        <v>11</v>
      </c>
      <c r="C2" s="5">
        <v>0</v>
      </c>
      <c r="D2" s="6">
        <v>0</v>
      </c>
      <c r="E2" s="7">
        <v>0</v>
      </c>
      <c r="F2" s="3">
        <v>48110</v>
      </c>
      <c r="G2" s="3" t="str">
        <f>LEFT(F2,1)</f>
        <v>4</v>
      </c>
      <c r="H2" s="3" t="s">
        <v>3</v>
      </c>
      <c r="I2" s="8">
        <v>-3500</v>
      </c>
      <c r="J2" s="8">
        <v>0</v>
      </c>
      <c r="K2" s="2">
        <v>0</v>
      </c>
    </row>
    <row r="3" spans="1:13" x14ac:dyDescent="0.25">
      <c r="A3" s="3" t="s">
        <v>4</v>
      </c>
      <c r="B3" s="3">
        <v>11</v>
      </c>
      <c r="C3" s="5">
        <v>0</v>
      </c>
      <c r="D3" s="6">
        <v>0</v>
      </c>
      <c r="E3" s="7">
        <v>0</v>
      </c>
      <c r="F3" s="3">
        <v>48160</v>
      </c>
      <c r="G3" s="3" t="str">
        <f t="shared" ref="G3:G66" si="0">LEFT(F3,1)</f>
        <v>4</v>
      </c>
      <c r="H3" s="3" t="s">
        <v>5</v>
      </c>
      <c r="I3" s="8">
        <v>-1500</v>
      </c>
      <c r="J3" s="8">
        <v>-1472</v>
      </c>
      <c r="K3" s="2">
        <v>-1500</v>
      </c>
    </row>
    <row r="4" spans="1:13" x14ac:dyDescent="0.25">
      <c r="A4" s="3" t="s">
        <v>6</v>
      </c>
      <c r="B4" s="3">
        <v>11</v>
      </c>
      <c r="C4" s="5">
        <v>0</v>
      </c>
      <c r="D4" s="6">
        <v>0</v>
      </c>
      <c r="E4" s="7">
        <v>0</v>
      </c>
      <c r="F4" s="3">
        <v>48180</v>
      </c>
      <c r="G4" s="3" t="str">
        <f t="shared" si="0"/>
        <v>4</v>
      </c>
      <c r="H4" s="3" t="s">
        <v>7</v>
      </c>
      <c r="I4" s="8">
        <v>-12000</v>
      </c>
      <c r="J4" s="8">
        <v>0</v>
      </c>
      <c r="K4" s="2">
        <f>-3089*5</f>
        <v>-15445</v>
      </c>
      <c r="L4" s="8" t="s">
        <v>9937</v>
      </c>
    </row>
    <row r="5" spans="1:13" x14ac:dyDescent="0.25">
      <c r="A5" s="3" t="s">
        <v>8</v>
      </c>
      <c r="B5" s="17">
        <f>-SUM('Fund 11 Revenue'!K14:K29)</f>
        <v>30320684.059999999</v>
      </c>
      <c r="C5" s="5">
        <v>0</v>
      </c>
      <c r="D5" s="6">
        <v>0</v>
      </c>
      <c r="E5" s="7">
        <v>0</v>
      </c>
      <c r="F5" s="3">
        <v>48611</v>
      </c>
      <c r="G5" s="3" t="str">
        <f t="shared" si="0"/>
        <v>4</v>
      </c>
      <c r="H5" s="3" t="s">
        <v>9</v>
      </c>
      <c r="I5" s="8">
        <v>-13535611</v>
      </c>
      <c r="J5" s="8">
        <v>-5071663</v>
      </c>
      <c r="K5" s="1">
        <f>-52650091-K14-K23-K1609-K12</f>
        <v>-14530177</v>
      </c>
      <c r="L5" s="8" t="s">
        <v>9992</v>
      </c>
      <c r="M5" s="18">
        <f>+K5+K1609+K14+K23+K12</f>
        <v>-52650091</v>
      </c>
    </row>
    <row r="6" spans="1:13" x14ac:dyDescent="0.25">
      <c r="A6" s="3" t="s">
        <v>10</v>
      </c>
      <c r="B6" s="3">
        <v>11</v>
      </c>
      <c r="C6" s="5">
        <v>0</v>
      </c>
      <c r="D6" s="6">
        <v>0</v>
      </c>
      <c r="E6" s="7">
        <v>0</v>
      </c>
      <c r="F6" s="3">
        <v>48613</v>
      </c>
      <c r="G6" s="3" t="str">
        <f t="shared" si="0"/>
        <v>4</v>
      </c>
      <c r="H6" s="3" t="s">
        <v>11</v>
      </c>
      <c r="I6" s="8">
        <v>-118400</v>
      </c>
      <c r="J6" s="8">
        <v>-118400</v>
      </c>
      <c r="K6" s="2">
        <v>-118400</v>
      </c>
      <c r="L6" s="8" t="s">
        <v>9933</v>
      </c>
      <c r="M6" s="8">
        <v>52650091</v>
      </c>
    </row>
    <row r="7" spans="1:13" x14ac:dyDescent="0.25">
      <c r="A7" s="3" t="s">
        <v>12</v>
      </c>
      <c r="B7" s="3">
        <v>11</v>
      </c>
      <c r="C7" s="5">
        <v>0</v>
      </c>
      <c r="D7" s="6">
        <v>0</v>
      </c>
      <c r="E7" s="7">
        <v>0</v>
      </c>
      <c r="F7" s="3">
        <v>48614</v>
      </c>
      <c r="G7" s="3" t="str">
        <f t="shared" si="0"/>
        <v>4</v>
      </c>
      <c r="H7" s="3" t="s">
        <v>13</v>
      </c>
      <c r="I7" s="8">
        <v>-75533</v>
      </c>
      <c r="J7" s="8">
        <v>-51362</v>
      </c>
      <c r="K7" s="2">
        <f>ROUND(I7*101.552795031055%,0)</f>
        <v>-76706</v>
      </c>
      <c r="L7" s="8" t="s">
        <v>9993</v>
      </c>
    </row>
    <row r="8" spans="1:13" x14ac:dyDescent="0.25">
      <c r="A8" s="3" t="s">
        <v>14</v>
      </c>
      <c r="B8" s="3">
        <v>11</v>
      </c>
      <c r="C8" s="5">
        <v>0</v>
      </c>
      <c r="D8" s="6">
        <v>0</v>
      </c>
      <c r="E8" s="7">
        <v>0</v>
      </c>
      <c r="F8" s="3">
        <v>48616</v>
      </c>
      <c r="G8" s="3" t="str">
        <f t="shared" si="0"/>
        <v>4</v>
      </c>
      <c r="H8" s="3" t="s">
        <v>15</v>
      </c>
      <c r="I8" s="8">
        <v>-206857</v>
      </c>
      <c r="J8" s="8">
        <v>-206857</v>
      </c>
      <c r="K8" s="8">
        <v>-206857</v>
      </c>
      <c r="L8" s="8" t="s">
        <v>9994</v>
      </c>
    </row>
    <row r="9" spans="1:13" x14ac:dyDescent="0.25">
      <c r="A9" s="3" t="s">
        <v>16</v>
      </c>
      <c r="B9" s="3">
        <v>11</v>
      </c>
      <c r="C9" s="5">
        <v>0</v>
      </c>
      <c r="D9" s="6">
        <v>0</v>
      </c>
      <c r="E9" s="7">
        <v>0</v>
      </c>
      <c r="F9" s="3">
        <v>48617</v>
      </c>
      <c r="G9" s="3" t="str">
        <f t="shared" si="0"/>
        <v>4</v>
      </c>
      <c r="H9" s="3" t="s">
        <v>17</v>
      </c>
      <c r="I9" s="8">
        <v>0</v>
      </c>
      <c r="J9" s="8">
        <v>-547386</v>
      </c>
      <c r="K9" s="8">
        <v>0</v>
      </c>
    </row>
    <row r="10" spans="1:13" x14ac:dyDescent="0.25">
      <c r="A10" s="3" t="s">
        <v>18</v>
      </c>
      <c r="B10" s="3">
        <v>11</v>
      </c>
      <c r="C10" s="5">
        <v>0</v>
      </c>
      <c r="D10" s="6">
        <v>0</v>
      </c>
      <c r="E10" s="7">
        <v>0</v>
      </c>
      <c r="F10" s="3">
        <v>48630</v>
      </c>
      <c r="G10" s="3" t="str">
        <f t="shared" si="0"/>
        <v>4</v>
      </c>
      <c r="H10" s="3" t="s">
        <v>19</v>
      </c>
      <c r="I10" s="8">
        <v>0</v>
      </c>
      <c r="J10" s="8">
        <v>0</v>
      </c>
      <c r="M10" s="184"/>
    </row>
    <row r="11" spans="1:13" x14ac:dyDescent="0.25">
      <c r="A11" s="3" t="s">
        <v>20</v>
      </c>
      <c r="B11" s="3">
        <v>11</v>
      </c>
      <c r="C11" s="5">
        <v>0</v>
      </c>
      <c r="D11" s="6">
        <v>0</v>
      </c>
      <c r="E11" s="7">
        <v>0</v>
      </c>
      <c r="F11" s="3">
        <v>48668</v>
      </c>
      <c r="G11" s="3" t="str">
        <f t="shared" si="0"/>
        <v>4</v>
      </c>
      <c r="H11" s="3" t="s">
        <v>21</v>
      </c>
      <c r="I11" s="8">
        <v>-326873</v>
      </c>
      <c r="J11" s="8">
        <v>-326873</v>
      </c>
      <c r="K11" s="8">
        <v>-326873</v>
      </c>
      <c r="L11" s="8" t="s">
        <v>9994</v>
      </c>
    </row>
    <row r="12" spans="1:13" x14ac:dyDescent="0.25">
      <c r="A12" s="3" t="s">
        <v>22</v>
      </c>
      <c r="B12" s="3">
        <v>11</v>
      </c>
      <c r="C12" s="5">
        <v>0</v>
      </c>
      <c r="D12" s="6">
        <v>0</v>
      </c>
      <c r="E12" s="7">
        <v>0</v>
      </c>
      <c r="F12" s="3">
        <v>48670</v>
      </c>
      <c r="G12" s="3" t="str">
        <f t="shared" si="0"/>
        <v>4</v>
      </c>
      <c r="H12" s="3" t="s">
        <v>23</v>
      </c>
      <c r="I12" s="8">
        <v>-105000</v>
      </c>
      <c r="J12" s="8">
        <v>-52240.5</v>
      </c>
      <c r="K12" s="1">
        <v>-105000</v>
      </c>
      <c r="L12" s="8" t="s">
        <v>9933</v>
      </c>
    </row>
    <row r="13" spans="1:13" x14ac:dyDescent="0.25">
      <c r="A13" s="3" t="s">
        <v>24</v>
      </c>
      <c r="B13" s="3">
        <v>11</v>
      </c>
      <c r="C13" s="5">
        <v>0</v>
      </c>
      <c r="D13" s="6">
        <v>0</v>
      </c>
      <c r="E13" s="7">
        <v>0</v>
      </c>
      <c r="F13" s="3">
        <v>48681</v>
      </c>
      <c r="G13" s="3" t="str">
        <f t="shared" si="0"/>
        <v>4</v>
      </c>
      <c r="H13" s="3" t="s">
        <v>25</v>
      </c>
      <c r="I13" s="8">
        <v>-222046</v>
      </c>
      <c r="J13" s="8">
        <v>-222046</v>
      </c>
      <c r="K13" s="2">
        <f>ROUND(I13*100%,0)</f>
        <v>-222046</v>
      </c>
      <c r="L13" s="8" t="s">
        <v>9995</v>
      </c>
    </row>
    <row r="14" spans="1:13" x14ac:dyDescent="0.25">
      <c r="A14" s="3" t="s">
        <v>26</v>
      </c>
      <c r="B14" s="3">
        <v>11</v>
      </c>
      <c r="C14" s="5">
        <v>0</v>
      </c>
      <c r="D14" s="6">
        <v>0</v>
      </c>
      <c r="E14" s="7">
        <v>0</v>
      </c>
      <c r="F14" s="3">
        <v>48811</v>
      </c>
      <c r="G14" s="3" t="str">
        <f t="shared" si="0"/>
        <v>4</v>
      </c>
      <c r="H14" s="3" t="s">
        <v>27</v>
      </c>
      <c r="I14" s="8">
        <v>-26452404</v>
      </c>
      <c r="J14" s="8">
        <v>-15425207.970000001</v>
      </c>
      <c r="K14" s="1">
        <f>-26941100*102%</f>
        <v>-27479922</v>
      </c>
      <c r="L14" s="8" t="s">
        <v>9936</v>
      </c>
    </row>
    <row r="15" spans="1:13" x14ac:dyDescent="0.25">
      <c r="A15" s="3" t="s">
        <v>28</v>
      </c>
      <c r="B15" s="3">
        <v>11</v>
      </c>
      <c r="C15" s="5">
        <v>0</v>
      </c>
      <c r="D15" s="6">
        <v>0</v>
      </c>
      <c r="E15" s="7">
        <v>0</v>
      </c>
      <c r="F15" s="3">
        <v>48812</v>
      </c>
      <c r="G15" s="3" t="str">
        <f t="shared" si="0"/>
        <v>4</v>
      </c>
      <c r="H15" s="3" t="s">
        <v>29</v>
      </c>
      <c r="I15" s="8">
        <v>0</v>
      </c>
      <c r="J15" s="8">
        <v>-845444.62</v>
      </c>
      <c r="K15" s="8">
        <v>0</v>
      </c>
    </row>
    <row r="16" spans="1:13" x14ac:dyDescent="0.25">
      <c r="A16" s="3" t="s">
        <v>30</v>
      </c>
      <c r="B16" s="3">
        <v>11</v>
      </c>
      <c r="C16" s="5">
        <v>0</v>
      </c>
      <c r="D16" s="6">
        <v>0</v>
      </c>
      <c r="E16" s="7">
        <v>0</v>
      </c>
      <c r="F16" s="3">
        <v>48813</v>
      </c>
      <c r="G16" s="3" t="str">
        <f t="shared" si="0"/>
        <v>4</v>
      </c>
      <c r="H16" s="3" t="s">
        <v>31</v>
      </c>
      <c r="I16" s="8">
        <v>0</v>
      </c>
      <c r="J16" s="8">
        <v>-315071.8</v>
      </c>
      <c r="K16" s="8">
        <v>0</v>
      </c>
    </row>
    <row r="17" spans="1:12" x14ac:dyDescent="0.25">
      <c r="A17" s="3" t="s">
        <v>32</v>
      </c>
      <c r="B17" s="3">
        <v>11</v>
      </c>
      <c r="C17" s="5">
        <v>0</v>
      </c>
      <c r="D17" s="6">
        <v>0</v>
      </c>
      <c r="E17" s="7">
        <v>0</v>
      </c>
      <c r="F17" s="3">
        <v>48814</v>
      </c>
      <c r="G17" s="3" t="str">
        <f t="shared" si="0"/>
        <v>4</v>
      </c>
      <c r="H17" s="3" t="s">
        <v>33</v>
      </c>
      <c r="I17" s="8">
        <v>0</v>
      </c>
      <c r="J17" s="8">
        <v>-160464.07999999999</v>
      </c>
      <c r="K17" s="8">
        <v>0</v>
      </c>
    </row>
    <row r="18" spans="1:12" x14ac:dyDescent="0.25">
      <c r="A18" s="3" t="s">
        <v>34</v>
      </c>
      <c r="B18" s="3">
        <v>11</v>
      </c>
      <c r="C18" s="5">
        <v>0</v>
      </c>
      <c r="D18" s="6">
        <v>0</v>
      </c>
      <c r="E18" s="7">
        <v>0</v>
      </c>
      <c r="F18" s="3">
        <v>48817</v>
      </c>
      <c r="G18" s="3" t="str">
        <f t="shared" si="0"/>
        <v>4</v>
      </c>
      <c r="H18" s="3" t="s">
        <v>35</v>
      </c>
      <c r="I18" s="8">
        <v>0</v>
      </c>
      <c r="J18" s="8">
        <v>-1119.52</v>
      </c>
      <c r="K18" s="8">
        <v>0</v>
      </c>
    </row>
    <row r="19" spans="1:12" x14ac:dyDescent="0.25">
      <c r="A19" s="3" t="s">
        <v>36</v>
      </c>
      <c r="B19" s="3">
        <v>11</v>
      </c>
      <c r="C19" s="5">
        <v>0</v>
      </c>
      <c r="D19" s="6">
        <v>0</v>
      </c>
      <c r="E19" s="7">
        <v>0</v>
      </c>
      <c r="F19" s="3">
        <v>48818</v>
      </c>
      <c r="G19" s="3" t="str">
        <f t="shared" si="0"/>
        <v>4</v>
      </c>
      <c r="H19" s="3" t="s">
        <v>37</v>
      </c>
      <c r="I19" s="8">
        <v>0</v>
      </c>
      <c r="J19" s="8">
        <v>-88849.38</v>
      </c>
      <c r="K19" s="8">
        <v>0</v>
      </c>
    </row>
    <row r="20" spans="1:12" x14ac:dyDescent="0.25">
      <c r="A20" s="3" t="s">
        <v>38</v>
      </c>
      <c r="B20" s="3">
        <v>11</v>
      </c>
      <c r="C20" s="5">
        <v>0</v>
      </c>
      <c r="D20" s="6">
        <v>0</v>
      </c>
      <c r="E20" s="7">
        <v>0</v>
      </c>
      <c r="F20" s="3">
        <v>48819</v>
      </c>
      <c r="G20" s="3" t="str">
        <f t="shared" si="0"/>
        <v>4</v>
      </c>
      <c r="H20" s="3" t="s">
        <v>39</v>
      </c>
      <c r="I20" s="8">
        <v>0</v>
      </c>
      <c r="J20" s="8">
        <v>-619207.35</v>
      </c>
      <c r="K20" s="8">
        <v>0</v>
      </c>
    </row>
    <row r="21" spans="1:12" x14ac:dyDescent="0.25">
      <c r="A21" s="3" t="s">
        <v>40</v>
      </c>
      <c r="B21" s="3">
        <v>11</v>
      </c>
      <c r="C21" s="5">
        <v>0</v>
      </c>
      <c r="D21" s="6">
        <v>0</v>
      </c>
      <c r="E21" s="7">
        <v>0</v>
      </c>
      <c r="F21" s="3">
        <v>48860</v>
      </c>
      <c r="G21" s="3" t="str">
        <f t="shared" si="0"/>
        <v>4</v>
      </c>
      <c r="H21" s="3" t="s">
        <v>41</v>
      </c>
      <c r="I21" s="8">
        <v>-243587.23</v>
      </c>
      <c r="J21" s="8">
        <v>-94640.03</v>
      </c>
      <c r="K21" s="8">
        <f>J21*2</f>
        <v>-189280.06</v>
      </c>
      <c r="L21" s="8" t="s">
        <v>6685</v>
      </c>
    </row>
    <row r="22" spans="1:12" x14ac:dyDescent="0.25">
      <c r="A22" s="3" t="s">
        <v>42</v>
      </c>
      <c r="B22" s="3">
        <v>11</v>
      </c>
      <c r="C22" s="5">
        <v>0</v>
      </c>
      <c r="D22" s="6">
        <v>0</v>
      </c>
      <c r="E22" s="7">
        <v>0</v>
      </c>
      <c r="F22" s="3">
        <v>48872</v>
      </c>
      <c r="G22" s="3" t="str">
        <f t="shared" si="0"/>
        <v>4</v>
      </c>
      <c r="H22" s="3" t="s">
        <v>43</v>
      </c>
      <c r="I22" s="8">
        <v>0</v>
      </c>
      <c r="J22" s="8">
        <v>0</v>
      </c>
      <c r="K22" s="173">
        <v>-13000</v>
      </c>
      <c r="L22" s="173" t="s">
        <v>9934</v>
      </c>
    </row>
    <row r="23" spans="1:12" x14ac:dyDescent="0.25">
      <c r="A23" s="3" t="s">
        <v>44</v>
      </c>
      <c r="B23" s="3">
        <v>11</v>
      </c>
      <c r="C23" s="5">
        <v>0</v>
      </c>
      <c r="D23" s="6">
        <v>0</v>
      </c>
      <c r="E23" s="7">
        <v>0</v>
      </c>
      <c r="F23" s="3">
        <v>48874</v>
      </c>
      <c r="G23" s="3" t="str">
        <f t="shared" si="0"/>
        <v>4</v>
      </c>
      <c r="H23" s="3" t="s">
        <v>45</v>
      </c>
      <c r="I23" s="8">
        <v>-2150000</v>
      </c>
      <c r="J23" s="8">
        <v>-1603047.42</v>
      </c>
      <c r="K23" s="1">
        <v>-2110000</v>
      </c>
      <c r="L23" s="8" t="s">
        <v>9932</v>
      </c>
    </row>
    <row r="24" spans="1:12" x14ac:dyDescent="0.25">
      <c r="A24" s="3" t="s">
        <v>46</v>
      </c>
      <c r="B24" s="3">
        <v>11</v>
      </c>
      <c r="C24" s="5">
        <v>0</v>
      </c>
      <c r="D24" s="6">
        <v>0</v>
      </c>
      <c r="E24" s="7">
        <v>0</v>
      </c>
      <c r="F24" s="3">
        <v>48879</v>
      </c>
      <c r="G24" s="3" t="str">
        <f t="shared" si="0"/>
        <v>4</v>
      </c>
      <c r="H24" s="3" t="s">
        <v>47</v>
      </c>
      <c r="I24" s="8">
        <v>-54000</v>
      </c>
      <c r="J24" s="8">
        <v>-30371</v>
      </c>
      <c r="K24" s="8">
        <v>-54000</v>
      </c>
      <c r="L24" s="8" t="s">
        <v>9933</v>
      </c>
    </row>
    <row r="25" spans="1:12" x14ac:dyDescent="0.25">
      <c r="A25" s="3" t="s">
        <v>48</v>
      </c>
      <c r="B25" s="3">
        <v>11</v>
      </c>
      <c r="C25" s="5">
        <v>0</v>
      </c>
      <c r="D25" s="6">
        <v>0</v>
      </c>
      <c r="E25" s="7">
        <v>0</v>
      </c>
      <c r="F25" s="3">
        <v>48880</v>
      </c>
      <c r="G25" s="3" t="str">
        <f t="shared" si="0"/>
        <v>4</v>
      </c>
      <c r="H25" s="3" t="s">
        <v>49</v>
      </c>
      <c r="I25" s="8">
        <v>-116618</v>
      </c>
      <c r="J25" s="8">
        <v>-189935</v>
      </c>
      <c r="K25" s="8">
        <v>-180000</v>
      </c>
      <c r="L25" s="8" t="s">
        <v>9932</v>
      </c>
    </row>
    <row r="26" spans="1:12" x14ac:dyDescent="0.25">
      <c r="A26" s="3" t="s">
        <v>50</v>
      </c>
      <c r="B26" s="3">
        <v>11</v>
      </c>
      <c r="C26" s="5">
        <v>0</v>
      </c>
      <c r="D26" s="6">
        <v>0</v>
      </c>
      <c r="E26" s="7">
        <v>0</v>
      </c>
      <c r="F26" s="3">
        <v>48890</v>
      </c>
      <c r="G26" s="3" t="str">
        <f t="shared" si="0"/>
        <v>4</v>
      </c>
      <c r="H26" s="3" t="s">
        <v>51</v>
      </c>
      <c r="I26" s="8">
        <v>-20000</v>
      </c>
      <c r="J26" s="8">
        <v>-95072.79</v>
      </c>
      <c r="K26" s="8">
        <f>-5000-128482</f>
        <v>-133482</v>
      </c>
      <c r="L26" s="8" t="s">
        <v>9935</v>
      </c>
    </row>
    <row r="27" spans="1:12" x14ac:dyDescent="0.25">
      <c r="A27" s="3" t="s">
        <v>52</v>
      </c>
      <c r="B27" s="3">
        <v>11</v>
      </c>
      <c r="C27" s="5">
        <v>0</v>
      </c>
      <c r="D27" s="6">
        <v>0</v>
      </c>
      <c r="E27" s="7">
        <v>0</v>
      </c>
      <c r="F27" s="3">
        <v>48892</v>
      </c>
      <c r="G27" s="3" t="str">
        <f t="shared" si="0"/>
        <v>4</v>
      </c>
      <c r="H27" s="3" t="s">
        <v>53</v>
      </c>
      <c r="I27" s="8">
        <v>0</v>
      </c>
      <c r="J27" s="8">
        <v>-38984.92</v>
      </c>
      <c r="K27" s="173">
        <v>-61000</v>
      </c>
      <c r="L27" s="173" t="s">
        <v>9934</v>
      </c>
    </row>
    <row r="28" spans="1:12" x14ac:dyDescent="0.25">
      <c r="A28" s="3" t="s">
        <v>54</v>
      </c>
      <c r="B28" s="3">
        <v>11</v>
      </c>
      <c r="C28" s="5">
        <v>0</v>
      </c>
      <c r="D28" s="6">
        <v>0</v>
      </c>
      <c r="E28" s="7">
        <v>0</v>
      </c>
      <c r="F28" s="3">
        <v>48980</v>
      </c>
      <c r="G28" s="3" t="str">
        <f t="shared" si="0"/>
        <v>4</v>
      </c>
      <c r="H28" s="3" t="s">
        <v>55</v>
      </c>
      <c r="I28" s="8">
        <v>-100000</v>
      </c>
      <c r="J28" s="8">
        <v>0</v>
      </c>
      <c r="K28" s="8">
        <v>-100000</v>
      </c>
      <c r="L28" s="8" t="s">
        <v>6684</v>
      </c>
    </row>
    <row r="29" spans="1:12" x14ac:dyDescent="0.25">
      <c r="A29" s="3" t="s">
        <v>56</v>
      </c>
      <c r="B29" s="3">
        <v>11</v>
      </c>
      <c r="C29" s="5">
        <v>0</v>
      </c>
      <c r="D29" s="6">
        <v>0</v>
      </c>
      <c r="E29" s="7">
        <v>677010</v>
      </c>
      <c r="F29" s="3">
        <v>48887</v>
      </c>
      <c r="G29" s="3" t="str">
        <f t="shared" si="0"/>
        <v>4</v>
      </c>
      <c r="H29" s="3" t="s">
        <v>57</v>
      </c>
      <c r="I29" s="8">
        <v>0</v>
      </c>
      <c r="J29" s="8">
        <v>0</v>
      </c>
      <c r="K29" s="8">
        <v>0</v>
      </c>
    </row>
    <row r="30" spans="1:12" hidden="1" x14ac:dyDescent="0.25">
      <c r="A30" s="3" t="s">
        <v>58</v>
      </c>
      <c r="B30" s="3">
        <v>11</v>
      </c>
      <c r="C30" s="5">
        <v>100</v>
      </c>
      <c r="D30" s="6">
        <v>0</v>
      </c>
      <c r="E30" s="7">
        <v>661000</v>
      </c>
      <c r="F30" s="3">
        <v>51205</v>
      </c>
      <c r="G30" s="3" t="str">
        <f t="shared" si="0"/>
        <v>5</v>
      </c>
      <c r="H30" s="3" t="s">
        <v>59</v>
      </c>
      <c r="I30" s="8">
        <v>191917.39</v>
      </c>
      <c r="J30" s="8">
        <v>163229.9</v>
      </c>
      <c r="K30" s="8">
        <v>191917.39</v>
      </c>
    </row>
    <row r="31" spans="1:12" hidden="1" x14ac:dyDescent="0.25">
      <c r="A31" s="3" t="s">
        <v>60</v>
      </c>
      <c r="B31" s="3">
        <v>11</v>
      </c>
      <c r="C31" s="5">
        <v>100</v>
      </c>
      <c r="D31" s="6">
        <v>0</v>
      </c>
      <c r="E31" s="7">
        <v>661000</v>
      </c>
      <c r="F31" s="3">
        <v>52120</v>
      </c>
      <c r="G31" s="3" t="str">
        <f t="shared" si="0"/>
        <v>5</v>
      </c>
      <c r="H31" s="3" t="s">
        <v>61</v>
      </c>
      <c r="I31" s="8">
        <v>64103.14</v>
      </c>
      <c r="J31" s="8">
        <v>47563.59</v>
      </c>
      <c r="K31" s="8">
        <v>64103.14</v>
      </c>
    </row>
    <row r="32" spans="1:12" hidden="1" x14ac:dyDescent="0.25">
      <c r="A32" s="3" t="s">
        <v>62</v>
      </c>
      <c r="B32" s="3">
        <v>11</v>
      </c>
      <c r="C32" s="5">
        <v>100</v>
      </c>
      <c r="D32" s="6">
        <v>0</v>
      </c>
      <c r="E32" s="7">
        <v>661000</v>
      </c>
      <c r="F32" s="3">
        <v>52300</v>
      </c>
      <c r="G32" s="3" t="str">
        <f t="shared" si="0"/>
        <v>5</v>
      </c>
      <c r="H32" s="3" t="s">
        <v>63</v>
      </c>
      <c r="I32" s="8">
        <v>3120</v>
      </c>
      <c r="J32" s="8">
        <v>529.66999999999996</v>
      </c>
      <c r="K32" s="8">
        <v>3120</v>
      </c>
    </row>
    <row r="33" spans="1:11" hidden="1" x14ac:dyDescent="0.25">
      <c r="A33" s="3" t="s">
        <v>64</v>
      </c>
      <c r="B33" s="3">
        <v>11</v>
      </c>
      <c r="C33" s="5">
        <v>100</v>
      </c>
      <c r="D33" s="6">
        <v>0</v>
      </c>
      <c r="E33" s="7">
        <v>661000</v>
      </c>
      <c r="F33" s="3">
        <v>53120</v>
      </c>
      <c r="G33" s="3" t="str">
        <f t="shared" si="0"/>
        <v>5</v>
      </c>
      <c r="H33" s="3" t="s">
        <v>65</v>
      </c>
      <c r="I33" s="8">
        <v>24736.5</v>
      </c>
      <c r="J33" s="8">
        <v>969</v>
      </c>
      <c r="K33" s="8">
        <v>24736.5</v>
      </c>
    </row>
    <row r="34" spans="1:11" hidden="1" x14ac:dyDescent="0.25">
      <c r="A34" s="3" t="s">
        <v>66</v>
      </c>
      <c r="B34" s="3">
        <v>11</v>
      </c>
      <c r="C34" s="5">
        <v>100</v>
      </c>
      <c r="D34" s="6">
        <v>0</v>
      </c>
      <c r="E34" s="7">
        <v>661000</v>
      </c>
      <c r="F34" s="3">
        <v>53220</v>
      </c>
      <c r="G34" s="3" t="str">
        <f t="shared" si="0"/>
        <v>5</v>
      </c>
      <c r="H34" s="3" t="s">
        <v>67</v>
      </c>
      <c r="I34" s="8">
        <v>13269.35</v>
      </c>
      <c r="J34" s="8">
        <v>27574.37</v>
      </c>
      <c r="K34" s="8">
        <v>13269.35</v>
      </c>
    </row>
    <row r="35" spans="1:11" hidden="1" x14ac:dyDescent="0.25">
      <c r="A35" s="3" t="s">
        <v>68</v>
      </c>
      <c r="B35" s="3">
        <v>11</v>
      </c>
      <c r="C35" s="5">
        <v>100</v>
      </c>
      <c r="D35" s="6">
        <v>0</v>
      </c>
      <c r="E35" s="7">
        <v>661000</v>
      </c>
      <c r="F35" s="3">
        <v>53320</v>
      </c>
      <c r="G35" s="3" t="str">
        <f t="shared" si="0"/>
        <v>5</v>
      </c>
      <c r="H35" s="3" t="s">
        <v>69</v>
      </c>
      <c r="I35" s="8">
        <v>11576.83</v>
      </c>
      <c r="J35" s="8">
        <v>8193.44</v>
      </c>
      <c r="K35" s="8">
        <v>11576.83</v>
      </c>
    </row>
    <row r="36" spans="1:11" hidden="1" x14ac:dyDescent="0.25">
      <c r="A36" s="3" t="s">
        <v>70</v>
      </c>
      <c r="B36" s="3">
        <v>11</v>
      </c>
      <c r="C36" s="5">
        <v>100</v>
      </c>
      <c r="D36" s="6">
        <v>0</v>
      </c>
      <c r="E36" s="7">
        <v>661000</v>
      </c>
      <c r="F36" s="3">
        <v>53340</v>
      </c>
      <c r="G36" s="3" t="str">
        <f t="shared" si="0"/>
        <v>5</v>
      </c>
      <c r="H36" s="3" t="s">
        <v>71</v>
      </c>
      <c r="I36" s="8">
        <v>3757.53</v>
      </c>
      <c r="J36" s="8">
        <v>3053.22</v>
      </c>
      <c r="K36" s="8">
        <v>3757.53</v>
      </c>
    </row>
    <row r="37" spans="1:11" hidden="1" x14ac:dyDescent="0.25">
      <c r="A37" s="3" t="s">
        <v>72</v>
      </c>
      <c r="B37" s="3">
        <v>11</v>
      </c>
      <c r="C37" s="5">
        <v>100</v>
      </c>
      <c r="D37" s="6">
        <v>0</v>
      </c>
      <c r="E37" s="7">
        <v>661000</v>
      </c>
      <c r="F37" s="3">
        <v>53420</v>
      </c>
      <c r="G37" s="3" t="str">
        <f t="shared" si="0"/>
        <v>5</v>
      </c>
      <c r="H37" s="3" t="s">
        <v>73</v>
      </c>
      <c r="I37" s="8">
        <v>41611.279999999999</v>
      </c>
      <c r="J37" s="8">
        <v>31849.599999999999</v>
      </c>
      <c r="K37" s="8">
        <v>41611.279999999999</v>
      </c>
    </row>
    <row r="38" spans="1:11" hidden="1" x14ac:dyDescent="0.25">
      <c r="A38" s="3" t="s">
        <v>74</v>
      </c>
      <c r="B38" s="3">
        <v>11</v>
      </c>
      <c r="C38" s="5">
        <v>100</v>
      </c>
      <c r="D38" s="6">
        <v>0</v>
      </c>
      <c r="E38" s="7">
        <v>661000</v>
      </c>
      <c r="F38" s="3">
        <v>53520</v>
      </c>
      <c r="G38" s="3" t="str">
        <f t="shared" si="0"/>
        <v>5</v>
      </c>
      <c r="H38" s="3" t="s">
        <v>75</v>
      </c>
      <c r="I38" s="8">
        <v>129.57</v>
      </c>
      <c r="J38" s="8">
        <v>105.63</v>
      </c>
      <c r="K38" s="8">
        <v>129.57</v>
      </c>
    </row>
    <row r="39" spans="1:11" hidden="1" x14ac:dyDescent="0.25">
      <c r="A39" s="3" t="s">
        <v>76</v>
      </c>
      <c r="B39" s="3">
        <v>11</v>
      </c>
      <c r="C39" s="5">
        <v>100</v>
      </c>
      <c r="D39" s="6">
        <v>0</v>
      </c>
      <c r="E39" s="7">
        <v>661000</v>
      </c>
      <c r="F39" s="3">
        <v>53620</v>
      </c>
      <c r="G39" s="3" t="str">
        <f t="shared" si="0"/>
        <v>5</v>
      </c>
      <c r="H39" s="3" t="s">
        <v>77</v>
      </c>
      <c r="I39" s="8">
        <v>4899.84</v>
      </c>
      <c r="J39" s="8">
        <v>4011.48</v>
      </c>
      <c r="K39" s="8">
        <v>4899.84</v>
      </c>
    </row>
    <row r="40" spans="1:11" hidden="1" x14ac:dyDescent="0.25">
      <c r="A40" s="3" t="s">
        <v>78</v>
      </c>
      <c r="B40" s="3">
        <v>11</v>
      </c>
      <c r="C40" s="5">
        <v>100</v>
      </c>
      <c r="D40" s="6">
        <v>0</v>
      </c>
      <c r="E40" s="7">
        <v>661000</v>
      </c>
      <c r="F40" s="3">
        <v>53902</v>
      </c>
      <c r="G40" s="3" t="str">
        <f t="shared" si="0"/>
        <v>5</v>
      </c>
      <c r="H40" s="3" t="s">
        <v>79</v>
      </c>
      <c r="I40" s="8">
        <v>0</v>
      </c>
      <c r="J40" s="8">
        <v>308.39999999999998</v>
      </c>
      <c r="K40" s="8">
        <v>0</v>
      </c>
    </row>
    <row r="41" spans="1:11" hidden="1" x14ac:dyDescent="0.25">
      <c r="A41" s="3" t="s">
        <v>80</v>
      </c>
      <c r="B41" s="3">
        <v>11</v>
      </c>
      <c r="C41" s="5">
        <v>100</v>
      </c>
      <c r="D41" s="6">
        <v>0</v>
      </c>
      <c r="E41" s="7">
        <v>661000</v>
      </c>
      <c r="F41" s="3">
        <v>53920</v>
      </c>
      <c r="G41" s="3" t="str">
        <f t="shared" si="0"/>
        <v>5</v>
      </c>
      <c r="H41" s="3" t="s">
        <v>81</v>
      </c>
      <c r="I41" s="8">
        <v>960</v>
      </c>
      <c r="J41" s="8">
        <v>620.47</v>
      </c>
      <c r="K41" s="8">
        <v>960</v>
      </c>
    </row>
    <row r="42" spans="1:11" hidden="1" x14ac:dyDescent="0.25">
      <c r="A42" s="3" t="s">
        <v>82</v>
      </c>
      <c r="B42" s="3">
        <v>11</v>
      </c>
      <c r="C42" s="5">
        <v>100</v>
      </c>
      <c r="D42" s="6">
        <v>0</v>
      </c>
      <c r="E42" s="7">
        <v>661000</v>
      </c>
      <c r="F42" s="3">
        <v>54210</v>
      </c>
      <c r="G42" s="3" t="str">
        <f t="shared" si="0"/>
        <v>5</v>
      </c>
      <c r="H42" s="3" t="s">
        <v>83</v>
      </c>
      <c r="I42" s="8">
        <v>5000</v>
      </c>
      <c r="J42" s="8">
        <v>0</v>
      </c>
      <c r="K42" s="8">
        <v>5000</v>
      </c>
    </row>
    <row r="43" spans="1:11" hidden="1" x14ac:dyDescent="0.25">
      <c r="A43" s="3" t="s">
        <v>84</v>
      </c>
      <c r="B43" s="3">
        <v>11</v>
      </c>
      <c r="C43" s="5">
        <v>100</v>
      </c>
      <c r="D43" s="6">
        <v>0</v>
      </c>
      <c r="E43" s="7">
        <v>661000</v>
      </c>
      <c r="F43" s="3">
        <v>54300</v>
      </c>
      <c r="G43" s="3" t="str">
        <f t="shared" si="0"/>
        <v>5</v>
      </c>
      <c r="H43" s="3" t="s">
        <v>85</v>
      </c>
      <c r="I43" s="8">
        <v>4000</v>
      </c>
      <c r="J43" s="8">
        <v>2175.5500000000002</v>
      </c>
      <c r="K43" s="8">
        <v>4000</v>
      </c>
    </row>
    <row r="44" spans="1:11" hidden="1" x14ac:dyDescent="0.25">
      <c r="A44" s="3" t="s">
        <v>86</v>
      </c>
      <c r="B44" s="3">
        <v>11</v>
      </c>
      <c r="C44" s="5">
        <v>100</v>
      </c>
      <c r="D44" s="6">
        <v>0</v>
      </c>
      <c r="E44" s="7">
        <v>661000</v>
      </c>
      <c r="F44" s="3">
        <v>55100</v>
      </c>
      <c r="G44" s="3" t="str">
        <f t="shared" si="0"/>
        <v>5</v>
      </c>
      <c r="H44" s="3" t="s">
        <v>87</v>
      </c>
      <c r="I44" s="8">
        <v>12000</v>
      </c>
      <c r="J44" s="8">
        <v>12000</v>
      </c>
      <c r="K44" s="8">
        <v>12000</v>
      </c>
    </row>
    <row r="45" spans="1:11" hidden="1" x14ac:dyDescent="0.25">
      <c r="A45" s="3" t="s">
        <v>88</v>
      </c>
      <c r="B45" s="3">
        <v>11</v>
      </c>
      <c r="C45" s="5">
        <v>100</v>
      </c>
      <c r="D45" s="6">
        <v>0</v>
      </c>
      <c r="E45" s="7">
        <v>661000</v>
      </c>
      <c r="F45" s="3">
        <v>55105</v>
      </c>
      <c r="G45" s="3" t="str">
        <f t="shared" si="0"/>
        <v>5</v>
      </c>
      <c r="H45" s="3" t="s">
        <v>89</v>
      </c>
      <c r="I45" s="8">
        <v>48387</v>
      </c>
      <c r="J45" s="8">
        <v>8000</v>
      </c>
      <c r="K45" s="8">
        <v>48387</v>
      </c>
    </row>
    <row r="46" spans="1:11" hidden="1" x14ac:dyDescent="0.25">
      <c r="A46" s="3" t="s">
        <v>90</v>
      </c>
      <c r="B46" s="3">
        <v>11</v>
      </c>
      <c r="C46" s="5">
        <v>100</v>
      </c>
      <c r="D46" s="6">
        <v>0</v>
      </c>
      <c r="E46" s="7">
        <v>661000</v>
      </c>
      <c r="F46" s="3">
        <v>55200</v>
      </c>
      <c r="G46" s="3" t="str">
        <f t="shared" si="0"/>
        <v>5</v>
      </c>
      <c r="H46" s="3" t="s">
        <v>91</v>
      </c>
      <c r="I46" s="8">
        <v>11000</v>
      </c>
      <c r="J46" s="8">
        <v>441.6</v>
      </c>
      <c r="K46" s="8">
        <v>11000</v>
      </c>
    </row>
    <row r="47" spans="1:11" hidden="1" x14ac:dyDescent="0.25">
      <c r="A47" s="3" t="s">
        <v>92</v>
      </c>
      <c r="B47" s="3">
        <v>11</v>
      </c>
      <c r="C47" s="5">
        <v>100</v>
      </c>
      <c r="D47" s="6">
        <v>0</v>
      </c>
      <c r="E47" s="7">
        <v>661000</v>
      </c>
      <c r="F47" s="3">
        <v>55300</v>
      </c>
      <c r="G47" s="3" t="str">
        <f t="shared" si="0"/>
        <v>5</v>
      </c>
      <c r="H47" s="3" t="s">
        <v>93</v>
      </c>
      <c r="I47" s="8">
        <v>92000</v>
      </c>
      <c r="J47" s="8">
        <v>79168.5</v>
      </c>
      <c r="K47" s="8">
        <v>92000</v>
      </c>
    </row>
    <row r="48" spans="1:11" hidden="1" x14ac:dyDescent="0.25">
      <c r="A48" s="3" t="s">
        <v>94</v>
      </c>
      <c r="B48" s="3">
        <v>11</v>
      </c>
      <c r="C48" s="5">
        <v>100</v>
      </c>
      <c r="D48" s="6">
        <v>0</v>
      </c>
      <c r="E48" s="7">
        <v>661000</v>
      </c>
      <c r="F48" s="3">
        <v>55550</v>
      </c>
      <c r="G48" s="3" t="str">
        <f t="shared" si="0"/>
        <v>5</v>
      </c>
      <c r="H48" s="3" t="s">
        <v>95</v>
      </c>
      <c r="I48" s="8">
        <v>600</v>
      </c>
      <c r="J48" s="8">
        <v>500</v>
      </c>
      <c r="K48" s="8">
        <v>600</v>
      </c>
    </row>
    <row r="49" spans="1:11" hidden="1" x14ac:dyDescent="0.25">
      <c r="A49" s="3" t="s">
        <v>96</v>
      </c>
      <c r="B49" s="3">
        <v>11</v>
      </c>
      <c r="C49" s="5">
        <v>100</v>
      </c>
      <c r="D49" s="6">
        <v>0</v>
      </c>
      <c r="E49" s="7">
        <v>661000</v>
      </c>
      <c r="F49" s="3">
        <v>55560</v>
      </c>
      <c r="G49" s="3" t="str">
        <f t="shared" si="0"/>
        <v>5</v>
      </c>
      <c r="H49" s="3" t="s">
        <v>97</v>
      </c>
      <c r="I49" s="8">
        <v>450</v>
      </c>
      <c r="J49" s="8">
        <v>356.84</v>
      </c>
      <c r="K49" s="8">
        <v>450</v>
      </c>
    </row>
    <row r="50" spans="1:11" hidden="1" x14ac:dyDescent="0.25">
      <c r="A50" s="3" t="s">
        <v>98</v>
      </c>
      <c r="B50" s="3">
        <v>11</v>
      </c>
      <c r="C50" s="5">
        <v>100</v>
      </c>
      <c r="D50" s="6">
        <v>0</v>
      </c>
      <c r="E50" s="7">
        <v>661000</v>
      </c>
      <c r="F50" s="3">
        <v>55630</v>
      </c>
      <c r="G50" s="3" t="str">
        <f t="shared" si="0"/>
        <v>5</v>
      </c>
      <c r="H50" s="3" t="s">
        <v>99</v>
      </c>
      <c r="I50" s="8">
        <v>2200</v>
      </c>
      <c r="J50" s="8">
        <v>258.39</v>
      </c>
      <c r="K50" s="8">
        <v>2200</v>
      </c>
    </row>
    <row r="51" spans="1:11" hidden="1" x14ac:dyDescent="0.25">
      <c r="A51" s="3" t="s">
        <v>100</v>
      </c>
      <c r="B51" s="3">
        <v>11</v>
      </c>
      <c r="C51" s="5">
        <v>100</v>
      </c>
      <c r="D51" s="6">
        <v>0</v>
      </c>
      <c r="E51" s="7">
        <v>661000</v>
      </c>
      <c r="F51" s="3">
        <v>55635</v>
      </c>
      <c r="G51" s="3" t="str">
        <f t="shared" si="0"/>
        <v>5</v>
      </c>
      <c r="H51" s="3" t="s">
        <v>101</v>
      </c>
      <c r="I51" s="8">
        <v>1500</v>
      </c>
      <c r="J51" s="8">
        <v>74.89</v>
      </c>
      <c r="K51" s="8">
        <v>1500</v>
      </c>
    </row>
    <row r="52" spans="1:11" hidden="1" x14ac:dyDescent="0.25">
      <c r="A52" s="3" t="s">
        <v>102</v>
      </c>
      <c r="B52" s="3">
        <v>11</v>
      </c>
      <c r="C52" s="5">
        <v>100</v>
      </c>
      <c r="D52" s="6">
        <v>0</v>
      </c>
      <c r="E52" s="7">
        <v>661000</v>
      </c>
      <c r="F52" s="3">
        <v>55800</v>
      </c>
      <c r="G52" s="3" t="str">
        <f t="shared" si="0"/>
        <v>5</v>
      </c>
      <c r="H52" s="3" t="s">
        <v>103</v>
      </c>
      <c r="I52" s="8">
        <v>10900</v>
      </c>
      <c r="J52" s="8">
        <v>967.35</v>
      </c>
      <c r="K52" s="8">
        <v>10900</v>
      </c>
    </row>
    <row r="53" spans="1:11" hidden="1" x14ac:dyDescent="0.25">
      <c r="A53" s="3" t="s">
        <v>104</v>
      </c>
      <c r="B53" s="3">
        <v>11</v>
      </c>
      <c r="C53" s="5">
        <v>100</v>
      </c>
      <c r="D53" s="6">
        <v>0</v>
      </c>
      <c r="E53" s="7">
        <v>661100</v>
      </c>
      <c r="F53" s="3">
        <v>55300</v>
      </c>
      <c r="G53" s="3" t="str">
        <f t="shared" si="0"/>
        <v>5</v>
      </c>
      <c r="H53" s="3" t="s">
        <v>105</v>
      </c>
      <c r="I53" s="8">
        <v>800</v>
      </c>
      <c r="J53" s="8">
        <v>0</v>
      </c>
      <c r="K53" s="8">
        <v>800</v>
      </c>
    </row>
    <row r="54" spans="1:11" hidden="1" x14ac:dyDescent="0.25">
      <c r="A54" s="3" t="s">
        <v>106</v>
      </c>
      <c r="B54" s="3">
        <v>11</v>
      </c>
      <c r="C54" s="5">
        <v>100</v>
      </c>
      <c r="D54" s="6">
        <v>0</v>
      </c>
      <c r="E54" s="7">
        <v>662000</v>
      </c>
      <c r="F54" s="3">
        <v>52130</v>
      </c>
      <c r="G54" s="3" t="str">
        <f t="shared" si="0"/>
        <v>5</v>
      </c>
      <c r="H54" s="3" t="s">
        <v>107</v>
      </c>
      <c r="I54" s="8">
        <v>20160</v>
      </c>
      <c r="J54" s="8">
        <v>15360</v>
      </c>
      <c r="K54" s="8">
        <v>20160</v>
      </c>
    </row>
    <row r="55" spans="1:11" hidden="1" x14ac:dyDescent="0.25">
      <c r="A55" s="3" t="s">
        <v>108</v>
      </c>
      <c r="B55" s="3">
        <v>11</v>
      </c>
      <c r="C55" s="5">
        <v>100</v>
      </c>
      <c r="D55" s="6">
        <v>0</v>
      </c>
      <c r="E55" s="7">
        <v>662000</v>
      </c>
      <c r="F55" s="3">
        <v>53220</v>
      </c>
      <c r="G55" s="3" t="str">
        <f t="shared" si="0"/>
        <v>5</v>
      </c>
      <c r="H55" s="3" t="s">
        <v>109</v>
      </c>
      <c r="I55" s="8">
        <v>0</v>
      </c>
      <c r="J55" s="8">
        <v>99.36</v>
      </c>
      <c r="K55" s="8">
        <v>0</v>
      </c>
    </row>
    <row r="56" spans="1:11" hidden="1" x14ac:dyDescent="0.25">
      <c r="A56" s="3" t="s">
        <v>110</v>
      </c>
      <c r="B56" s="3">
        <v>11</v>
      </c>
      <c r="C56" s="5">
        <v>100</v>
      </c>
      <c r="D56" s="6">
        <v>0</v>
      </c>
      <c r="E56" s="7">
        <v>662000</v>
      </c>
      <c r="F56" s="3">
        <v>53320</v>
      </c>
      <c r="G56" s="3" t="str">
        <f t="shared" si="0"/>
        <v>5</v>
      </c>
      <c r="H56" s="3" t="s">
        <v>111</v>
      </c>
      <c r="I56" s="8">
        <v>1071.3599999999999</v>
      </c>
      <c r="J56" s="8">
        <v>715.58</v>
      </c>
      <c r="K56" s="8">
        <v>1071.3599999999999</v>
      </c>
    </row>
    <row r="57" spans="1:11" hidden="1" x14ac:dyDescent="0.25">
      <c r="A57" s="3" t="s">
        <v>112</v>
      </c>
      <c r="B57" s="3">
        <v>11</v>
      </c>
      <c r="C57" s="5">
        <v>100</v>
      </c>
      <c r="D57" s="6">
        <v>0</v>
      </c>
      <c r="E57" s="7">
        <v>662000</v>
      </c>
      <c r="F57" s="3">
        <v>53340</v>
      </c>
      <c r="G57" s="3" t="str">
        <f t="shared" si="0"/>
        <v>5</v>
      </c>
      <c r="H57" s="3" t="s">
        <v>113</v>
      </c>
      <c r="I57" s="8">
        <v>292.32</v>
      </c>
      <c r="J57" s="8">
        <v>167.36</v>
      </c>
      <c r="K57" s="8">
        <v>292.32</v>
      </c>
    </row>
    <row r="58" spans="1:11" hidden="1" x14ac:dyDescent="0.25">
      <c r="A58" s="3" t="s">
        <v>114</v>
      </c>
      <c r="B58" s="3">
        <v>11</v>
      </c>
      <c r="C58" s="5">
        <v>100</v>
      </c>
      <c r="D58" s="6">
        <v>0</v>
      </c>
      <c r="E58" s="7">
        <v>662000</v>
      </c>
      <c r="F58" s="3">
        <v>53420</v>
      </c>
      <c r="G58" s="3" t="str">
        <f t="shared" si="0"/>
        <v>5</v>
      </c>
      <c r="H58" s="3" t="s">
        <v>115</v>
      </c>
      <c r="I58" s="8">
        <v>154698.5</v>
      </c>
      <c r="J58" s="8">
        <v>101457.7</v>
      </c>
      <c r="K58" s="8">
        <v>154698.5</v>
      </c>
    </row>
    <row r="59" spans="1:11" hidden="1" x14ac:dyDescent="0.25">
      <c r="A59" s="3" t="s">
        <v>116</v>
      </c>
      <c r="B59" s="3">
        <v>11</v>
      </c>
      <c r="C59" s="5">
        <v>100</v>
      </c>
      <c r="D59" s="6">
        <v>0</v>
      </c>
      <c r="E59" s="7">
        <v>662000</v>
      </c>
      <c r="F59" s="3">
        <v>53430</v>
      </c>
      <c r="G59" s="3" t="str">
        <f t="shared" si="0"/>
        <v>5</v>
      </c>
      <c r="H59" s="3" t="s">
        <v>117</v>
      </c>
      <c r="I59" s="8">
        <v>0</v>
      </c>
      <c r="J59" s="8">
        <v>1647</v>
      </c>
      <c r="K59" s="8">
        <v>0</v>
      </c>
    </row>
    <row r="60" spans="1:11" hidden="1" x14ac:dyDescent="0.25">
      <c r="A60" s="3" t="s">
        <v>118</v>
      </c>
      <c r="B60" s="3">
        <v>11</v>
      </c>
      <c r="C60" s="5">
        <v>100</v>
      </c>
      <c r="D60" s="6">
        <v>0</v>
      </c>
      <c r="E60" s="7">
        <v>662000</v>
      </c>
      <c r="F60" s="3">
        <v>53520</v>
      </c>
      <c r="G60" s="3" t="str">
        <f t="shared" si="0"/>
        <v>5</v>
      </c>
      <c r="H60" s="3" t="s">
        <v>119</v>
      </c>
      <c r="I60" s="8">
        <v>10.08</v>
      </c>
      <c r="J60" s="8">
        <v>6.9</v>
      </c>
      <c r="K60" s="8">
        <v>10.08</v>
      </c>
    </row>
    <row r="61" spans="1:11" hidden="1" x14ac:dyDescent="0.25">
      <c r="A61" s="3" t="s">
        <v>120</v>
      </c>
      <c r="B61" s="3">
        <v>11</v>
      </c>
      <c r="C61" s="5">
        <v>100</v>
      </c>
      <c r="D61" s="6">
        <v>0</v>
      </c>
      <c r="E61" s="7">
        <v>662000</v>
      </c>
      <c r="F61" s="3">
        <v>53620</v>
      </c>
      <c r="G61" s="3" t="str">
        <f t="shared" si="0"/>
        <v>5</v>
      </c>
      <c r="H61" s="3" t="s">
        <v>121</v>
      </c>
      <c r="I61" s="8">
        <v>381.22</v>
      </c>
      <c r="J61" s="8">
        <v>290.56</v>
      </c>
      <c r="K61" s="8">
        <v>381.22</v>
      </c>
    </row>
    <row r="62" spans="1:11" hidden="1" x14ac:dyDescent="0.25">
      <c r="A62" s="3" t="s">
        <v>122</v>
      </c>
      <c r="B62" s="3">
        <v>11</v>
      </c>
      <c r="C62" s="5">
        <v>100</v>
      </c>
      <c r="D62" s="6">
        <v>0</v>
      </c>
      <c r="E62" s="7">
        <v>662000</v>
      </c>
      <c r="F62" s="3">
        <v>54210</v>
      </c>
      <c r="G62" s="3" t="str">
        <f t="shared" si="0"/>
        <v>5</v>
      </c>
      <c r="H62" s="3" t="s">
        <v>123</v>
      </c>
      <c r="I62" s="8">
        <v>4800</v>
      </c>
      <c r="J62" s="8">
        <v>1680</v>
      </c>
      <c r="K62" s="8">
        <v>4800</v>
      </c>
    </row>
    <row r="63" spans="1:11" hidden="1" x14ac:dyDescent="0.25">
      <c r="A63" s="3" t="s">
        <v>124</v>
      </c>
      <c r="B63" s="3">
        <v>11</v>
      </c>
      <c r="C63" s="5">
        <v>100</v>
      </c>
      <c r="D63" s="6">
        <v>0</v>
      </c>
      <c r="E63" s="7">
        <v>662000</v>
      </c>
      <c r="F63" s="3">
        <v>54300</v>
      </c>
      <c r="G63" s="3" t="str">
        <f t="shared" si="0"/>
        <v>5</v>
      </c>
      <c r="H63" s="3" t="s">
        <v>125</v>
      </c>
      <c r="I63" s="8">
        <v>610</v>
      </c>
      <c r="J63" s="8">
        <v>461.08</v>
      </c>
      <c r="K63" s="8">
        <v>610</v>
      </c>
    </row>
    <row r="64" spans="1:11" hidden="1" x14ac:dyDescent="0.25">
      <c r="A64" s="3" t="s">
        <v>126</v>
      </c>
      <c r="B64" s="3">
        <v>11</v>
      </c>
      <c r="C64" s="5">
        <v>100</v>
      </c>
      <c r="D64" s="6">
        <v>0</v>
      </c>
      <c r="E64" s="7">
        <v>662000</v>
      </c>
      <c r="F64" s="3">
        <v>55200</v>
      </c>
      <c r="G64" s="3" t="str">
        <f t="shared" si="0"/>
        <v>5</v>
      </c>
      <c r="H64" s="3" t="s">
        <v>127</v>
      </c>
      <c r="I64" s="8">
        <v>17500</v>
      </c>
      <c r="J64" s="8">
        <v>2045.66</v>
      </c>
      <c r="K64" s="8">
        <v>17500</v>
      </c>
    </row>
    <row r="65" spans="1:11" hidden="1" x14ac:dyDescent="0.25">
      <c r="A65" s="3" t="s">
        <v>128</v>
      </c>
      <c r="B65" s="3">
        <v>11</v>
      </c>
      <c r="C65" s="5">
        <v>100</v>
      </c>
      <c r="D65" s="6">
        <v>0</v>
      </c>
      <c r="E65" s="7">
        <v>662000</v>
      </c>
      <c r="F65" s="3">
        <v>55300</v>
      </c>
      <c r="G65" s="3" t="str">
        <f t="shared" si="0"/>
        <v>5</v>
      </c>
      <c r="H65" s="3" t="s">
        <v>129</v>
      </c>
      <c r="I65" s="8">
        <v>600</v>
      </c>
      <c r="J65" s="8">
        <v>150</v>
      </c>
      <c r="K65" s="8">
        <v>600</v>
      </c>
    </row>
    <row r="66" spans="1:11" hidden="1" x14ac:dyDescent="0.25">
      <c r="A66" s="3" t="s">
        <v>130</v>
      </c>
      <c r="B66" s="3">
        <v>11</v>
      </c>
      <c r="C66" s="5">
        <v>100</v>
      </c>
      <c r="D66" s="6">
        <v>0</v>
      </c>
      <c r="E66" s="7">
        <v>662000</v>
      </c>
      <c r="F66" s="3">
        <v>55710</v>
      </c>
      <c r="G66" s="3" t="str">
        <f t="shared" si="0"/>
        <v>5</v>
      </c>
      <c r="H66" s="3" t="s">
        <v>131</v>
      </c>
      <c r="I66" s="8">
        <v>350000</v>
      </c>
      <c r="J66" s="8">
        <v>0</v>
      </c>
      <c r="K66" s="8">
        <v>350000</v>
      </c>
    </row>
    <row r="67" spans="1:11" hidden="1" x14ac:dyDescent="0.25">
      <c r="A67" s="3" t="s">
        <v>132</v>
      </c>
      <c r="B67" s="3">
        <v>11</v>
      </c>
      <c r="C67" s="5">
        <v>100</v>
      </c>
      <c r="D67" s="6">
        <v>0</v>
      </c>
      <c r="E67" s="7">
        <v>662000</v>
      </c>
      <c r="F67" s="3">
        <v>55800</v>
      </c>
      <c r="G67" s="3" t="str">
        <f t="shared" ref="G67:G130" si="1">LEFT(F67,1)</f>
        <v>5</v>
      </c>
      <c r="H67" s="3" t="s">
        <v>133</v>
      </c>
      <c r="I67" s="8">
        <v>1000</v>
      </c>
      <c r="J67" s="8">
        <v>495.81</v>
      </c>
      <c r="K67" s="8">
        <v>1000</v>
      </c>
    </row>
    <row r="68" spans="1:11" hidden="1" x14ac:dyDescent="0.25">
      <c r="A68" s="3" t="s">
        <v>134</v>
      </c>
      <c r="B68" s="3">
        <v>11</v>
      </c>
      <c r="C68" s="5">
        <v>100</v>
      </c>
      <c r="D68" s="6">
        <v>0</v>
      </c>
      <c r="E68" s="7">
        <v>662000</v>
      </c>
      <c r="F68" s="3">
        <v>57552</v>
      </c>
      <c r="G68" s="3" t="str">
        <f t="shared" si="1"/>
        <v>5</v>
      </c>
      <c r="H68" s="3" t="s">
        <v>135</v>
      </c>
      <c r="I68" s="8">
        <v>2500</v>
      </c>
      <c r="J68" s="8">
        <v>0</v>
      </c>
      <c r="K68" s="8">
        <v>2500</v>
      </c>
    </row>
    <row r="69" spans="1:11" hidden="1" x14ac:dyDescent="0.25">
      <c r="A69" s="3" t="s">
        <v>136</v>
      </c>
      <c r="B69" s="3">
        <v>11</v>
      </c>
      <c r="C69" s="5">
        <v>100</v>
      </c>
      <c r="D69" s="6">
        <v>0</v>
      </c>
      <c r="E69" s="7">
        <v>671020</v>
      </c>
      <c r="F69" s="3">
        <v>55105</v>
      </c>
      <c r="G69" s="3" t="str">
        <f t="shared" si="1"/>
        <v>5</v>
      </c>
      <c r="H69" s="3" t="s">
        <v>137</v>
      </c>
      <c r="I69" s="8">
        <v>0</v>
      </c>
      <c r="J69" s="8">
        <v>22669.200000000001</v>
      </c>
      <c r="K69" s="8">
        <v>0</v>
      </c>
    </row>
    <row r="70" spans="1:11" hidden="1" x14ac:dyDescent="0.25">
      <c r="A70" s="3" t="s">
        <v>138</v>
      </c>
      <c r="B70" s="3">
        <v>11</v>
      </c>
      <c r="C70" s="5">
        <v>100</v>
      </c>
      <c r="D70" s="6">
        <v>0</v>
      </c>
      <c r="E70" s="7">
        <v>675020</v>
      </c>
      <c r="F70" s="3">
        <v>55200</v>
      </c>
      <c r="G70" s="3" t="str">
        <f t="shared" si="1"/>
        <v>5</v>
      </c>
      <c r="H70" s="3" t="s">
        <v>139</v>
      </c>
      <c r="I70" s="8">
        <v>10000</v>
      </c>
      <c r="J70" s="8">
        <v>2100</v>
      </c>
      <c r="K70" s="8">
        <v>10000</v>
      </c>
    </row>
    <row r="71" spans="1:11" hidden="1" x14ac:dyDescent="0.25">
      <c r="A71" s="3" t="s">
        <v>140</v>
      </c>
      <c r="B71" s="3">
        <v>11</v>
      </c>
      <c r="C71" s="5">
        <v>100</v>
      </c>
      <c r="D71" s="6">
        <v>0</v>
      </c>
      <c r="E71" s="7">
        <v>675020</v>
      </c>
      <c r="F71" s="3">
        <v>55300</v>
      </c>
      <c r="G71" s="3" t="str">
        <f t="shared" si="1"/>
        <v>5</v>
      </c>
      <c r="H71" s="3" t="s">
        <v>141</v>
      </c>
      <c r="I71" s="8">
        <v>3000</v>
      </c>
      <c r="J71" s="8">
        <v>2865</v>
      </c>
      <c r="K71" s="8">
        <v>3000</v>
      </c>
    </row>
    <row r="72" spans="1:11" hidden="1" x14ac:dyDescent="0.25">
      <c r="A72" s="3" t="s">
        <v>142</v>
      </c>
      <c r="B72" s="3">
        <v>11</v>
      </c>
      <c r="C72" s="5">
        <v>100</v>
      </c>
      <c r="D72" s="6">
        <v>0</v>
      </c>
      <c r="E72" s="7">
        <v>675020</v>
      </c>
      <c r="F72" s="3">
        <v>55630</v>
      </c>
      <c r="G72" s="3" t="str">
        <f t="shared" si="1"/>
        <v>5</v>
      </c>
      <c r="H72" s="3" t="s">
        <v>143</v>
      </c>
      <c r="I72" s="8">
        <v>350</v>
      </c>
      <c r="J72" s="8">
        <v>0</v>
      </c>
      <c r="K72" s="8">
        <v>350</v>
      </c>
    </row>
    <row r="73" spans="1:11" hidden="1" x14ac:dyDescent="0.25">
      <c r="A73" s="3" t="s">
        <v>144</v>
      </c>
      <c r="B73" s="3">
        <v>11</v>
      </c>
      <c r="C73" s="5">
        <v>100</v>
      </c>
      <c r="D73" s="6">
        <v>0</v>
      </c>
      <c r="E73" s="7">
        <v>680500</v>
      </c>
      <c r="F73" s="3">
        <v>51205</v>
      </c>
      <c r="G73" s="3" t="str">
        <f t="shared" si="1"/>
        <v>5</v>
      </c>
      <c r="H73" s="3" t="s">
        <v>145</v>
      </c>
      <c r="I73" s="8">
        <v>143938.04</v>
      </c>
      <c r="J73" s="8">
        <v>122422.39999999999</v>
      </c>
      <c r="K73" s="8">
        <v>143938.04</v>
      </c>
    </row>
    <row r="74" spans="1:11" hidden="1" x14ac:dyDescent="0.25">
      <c r="A74" s="3" t="s">
        <v>146</v>
      </c>
      <c r="B74" s="3">
        <v>11</v>
      </c>
      <c r="C74" s="5">
        <v>100</v>
      </c>
      <c r="D74" s="6">
        <v>0</v>
      </c>
      <c r="E74" s="7">
        <v>680500</v>
      </c>
      <c r="F74" s="3">
        <v>52120</v>
      </c>
      <c r="G74" s="3" t="str">
        <f t="shared" si="1"/>
        <v>5</v>
      </c>
      <c r="H74" s="3" t="s">
        <v>147</v>
      </c>
      <c r="I74" s="8">
        <v>48077.36</v>
      </c>
      <c r="J74" s="8">
        <v>35672.69</v>
      </c>
      <c r="K74" s="8">
        <v>48077.36</v>
      </c>
    </row>
    <row r="75" spans="1:11" hidden="1" x14ac:dyDescent="0.25">
      <c r="A75" s="3" t="s">
        <v>148</v>
      </c>
      <c r="B75" s="3">
        <v>11</v>
      </c>
      <c r="C75" s="5">
        <v>100</v>
      </c>
      <c r="D75" s="6">
        <v>0</v>
      </c>
      <c r="E75" s="7">
        <v>680500</v>
      </c>
      <c r="F75" s="3">
        <v>52300</v>
      </c>
      <c r="G75" s="3" t="str">
        <f t="shared" si="1"/>
        <v>5</v>
      </c>
      <c r="H75" s="3" t="s">
        <v>149</v>
      </c>
      <c r="I75" s="8">
        <v>2340</v>
      </c>
      <c r="J75" s="8">
        <v>397.26</v>
      </c>
      <c r="K75" s="8">
        <v>2340</v>
      </c>
    </row>
    <row r="76" spans="1:11" hidden="1" x14ac:dyDescent="0.25">
      <c r="A76" s="3" t="s">
        <v>150</v>
      </c>
      <c r="B76" s="3">
        <v>11</v>
      </c>
      <c r="C76" s="5">
        <v>100</v>
      </c>
      <c r="D76" s="6">
        <v>0</v>
      </c>
      <c r="E76" s="7">
        <v>680500</v>
      </c>
      <c r="F76" s="3">
        <v>53120</v>
      </c>
      <c r="G76" s="3" t="str">
        <f t="shared" si="1"/>
        <v>5</v>
      </c>
      <c r="H76" s="3" t="s">
        <v>151</v>
      </c>
      <c r="I76" s="8">
        <v>18552.38</v>
      </c>
      <c r="J76" s="8">
        <v>726.75</v>
      </c>
      <c r="K76" s="8">
        <v>18552.38</v>
      </c>
    </row>
    <row r="77" spans="1:11" hidden="1" x14ac:dyDescent="0.25">
      <c r="A77" s="3" t="s">
        <v>152</v>
      </c>
      <c r="B77" s="3">
        <v>11</v>
      </c>
      <c r="C77" s="5">
        <v>100</v>
      </c>
      <c r="D77" s="6">
        <v>0</v>
      </c>
      <c r="E77" s="7">
        <v>680500</v>
      </c>
      <c r="F77" s="3">
        <v>53220</v>
      </c>
      <c r="G77" s="3" t="str">
        <f t="shared" si="1"/>
        <v>5</v>
      </c>
      <c r="H77" s="3" t="s">
        <v>153</v>
      </c>
      <c r="I77" s="8">
        <v>9952.01</v>
      </c>
      <c r="J77" s="8">
        <v>20680.830000000002</v>
      </c>
      <c r="K77" s="8">
        <v>9952.01</v>
      </c>
    </row>
    <row r="78" spans="1:11" hidden="1" x14ac:dyDescent="0.25">
      <c r="A78" s="3" t="s">
        <v>154</v>
      </c>
      <c r="B78" s="3">
        <v>11</v>
      </c>
      <c r="C78" s="5">
        <v>100</v>
      </c>
      <c r="D78" s="6">
        <v>0</v>
      </c>
      <c r="E78" s="7">
        <v>680500</v>
      </c>
      <c r="F78" s="3">
        <v>53320</v>
      </c>
      <c r="G78" s="3" t="str">
        <f t="shared" si="1"/>
        <v>5</v>
      </c>
      <c r="H78" s="3" t="s">
        <v>155</v>
      </c>
      <c r="I78" s="8">
        <v>8682.6200000000008</v>
      </c>
      <c r="J78" s="8">
        <v>6145.07</v>
      </c>
      <c r="K78" s="8">
        <v>8682.6200000000008</v>
      </c>
    </row>
    <row r="79" spans="1:11" hidden="1" x14ac:dyDescent="0.25">
      <c r="A79" s="3" t="s">
        <v>156</v>
      </c>
      <c r="B79" s="3">
        <v>11</v>
      </c>
      <c r="C79" s="5">
        <v>100</v>
      </c>
      <c r="D79" s="6">
        <v>0</v>
      </c>
      <c r="E79" s="7">
        <v>680500</v>
      </c>
      <c r="F79" s="3">
        <v>53340</v>
      </c>
      <c r="G79" s="3" t="str">
        <f t="shared" si="1"/>
        <v>5</v>
      </c>
      <c r="H79" s="3" t="s">
        <v>157</v>
      </c>
      <c r="I79" s="8">
        <v>2818.16</v>
      </c>
      <c r="J79" s="8">
        <v>2289.91</v>
      </c>
      <c r="K79" s="8">
        <v>2818.16</v>
      </c>
    </row>
    <row r="80" spans="1:11" hidden="1" x14ac:dyDescent="0.25">
      <c r="A80" s="3" t="s">
        <v>158</v>
      </c>
      <c r="B80" s="3">
        <v>11</v>
      </c>
      <c r="C80" s="5">
        <v>100</v>
      </c>
      <c r="D80" s="6">
        <v>0</v>
      </c>
      <c r="E80" s="7">
        <v>680500</v>
      </c>
      <c r="F80" s="3">
        <v>53420</v>
      </c>
      <c r="G80" s="3" t="str">
        <f t="shared" si="1"/>
        <v>5</v>
      </c>
      <c r="H80" s="3" t="s">
        <v>159</v>
      </c>
      <c r="I80" s="8">
        <v>31208.45</v>
      </c>
      <c r="J80" s="8">
        <v>23913.07</v>
      </c>
      <c r="K80" s="8">
        <v>31208.45</v>
      </c>
    </row>
    <row r="81" spans="1:11" hidden="1" x14ac:dyDescent="0.25">
      <c r="A81" s="3" t="s">
        <v>160</v>
      </c>
      <c r="B81" s="3">
        <v>11</v>
      </c>
      <c r="C81" s="5">
        <v>100</v>
      </c>
      <c r="D81" s="6">
        <v>0</v>
      </c>
      <c r="E81" s="7">
        <v>680500</v>
      </c>
      <c r="F81" s="3">
        <v>53520</v>
      </c>
      <c r="G81" s="3" t="str">
        <f t="shared" si="1"/>
        <v>5</v>
      </c>
      <c r="H81" s="3" t="s">
        <v>161</v>
      </c>
      <c r="I81" s="8">
        <v>97.18</v>
      </c>
      <c r="J81" s="8">
        <v>79.099999999999994</v>
      </c>
      <c r="K81" s="8">
        <v>97.18</v>
      </c>
    </row>
    <row r="82" spans="1:11" hidden="1" x14ac:dyDescent="0.25">
      <c r="A82" s="3" t="s">
        <v>162</v>
      </c>
      <c r="B82" s="3">
        <v>11</v>
      </c>
      <c r="C82" s="5">
        <v>100</v>
      </c>
      <c r="D82" s="6">
        <v>0</v>
      </c>
      <c r="E82" s="7">
        <v>680500</v>
      </c>
      <c r="F82" s="3">
        <v>53620</v>
      </c>
      <c r="G82" s="3" t="str">
        <f t="shared" si="1"/>
        <v>5</v>
      </c>
      <c r="H82" s="3" t="s">
        <v>163</v>
      </c>
      <c r="I82" s="8">
        <v>3674.87</v>
      </c>
      <c r="J82" s="8">
        <v>3008.58</v>
      </c>
      <c r="K82" s="8">
        <v>3674.87</v>
      </c>
    </row>
    <row r="83" spans="1:11" hidden="1" x14ac:dyDescent="0.25">
      <c r="A83" s="3" t="s">
        <v>164</v>
      </c>
      <c r="B83" s="3">
        <v>11</v>
      </c>
      <c r="C83" s="5">
        <v>100</v>
      </c>
      <c r="D83" s="6">
        <v>0</v>
      </c>
      <c r="E83" s="7">
        <v>680500</v>
      </c>
      <c r="F83" s="3">
        <v>53902</v>
      </c>
      <c r="G83" s="3" t="str">
        <f t="shared" si="1"/>
        <v>5</v>
      </c>
      <c r="H83" s="3" t="s">
        <v>165</v>
      </c>
      <c r="I83" s="8">
        <v>0</v>
      </c>
      <c r="J83" s="8">
        <v>231.3</v>
      </c>
      <c r="K83" s="8">
        <v>0</v>
      </c>
    </row>
    <row r="84" spans="1:11" hidden="1" x14ac:dyDescent="0.25">
      <c r="A84" s="3" t="s">
        <v>166</v>
      </c>
      <c r="B84" s="3">
        <v>11</v>
      </c>
      <c r="C84" s="5">
        <v>100</v>
      </c>
      <c r="D84" s="6">
        <v>0</v>
      </c>
      <c r="E84" s="7">
        <v>680500</v>
      </c>
      <c r="F84" s="3">
        <v>53920</v>
      </c>
      <c r="G84" s="3" t="str">
        <f t="shared" si="1"/>
        <v>5</v>
      </c>
      <c r="H84" s="3" t="s">
        <v>167</v>
      </c>
      <c r="I84" s="8">
        <v>720</v>
      </c>
      <c r="J84" s="8">
        <v>465.35</v>
      </c>
      <c r="K84" s="8">
        <v>720</v>
      </c>
    </row>
    <row r="85" spans="1:11" hidden="1" x14ac:dyDescent="0.25">
      <c r="A85" s="3" t="s">
        <v>168</v>
      </c>
      <c r="B85" s="3">
        <v>11</v>
      </c>
      <c r="C85" s="5">
        <v>100</v>
      </c>
      <c r="D85" s="6">
        <v>0</v>
      </c>
      <c r="E85" s="7">
        <v>680500</v>
      </c>
      <c r="F85" s="3">
        <v>55550</v>
      </c>
      <c r="G85" s="3" t="str">
        <f t="shared" si="1"/>
        <v>5</v>
      </c>
      <c r="H85" s="3" t="s">
        <v>169</v>
      </c>
      <c r="I85" s="8">
        <v>307</v>
      </c>
      <c r="J85" s="8">
        <v>175</v>
      </c>
      <c r="K85" s="8">
        <v>307</v>
      </c>
    </row>
    <row r="86" spans="1:11" hidden="1" x14ac:dyDescent="0.25">
      <c r="A86" s="3" t="s">
        <v>170</v>
      </c>
      <c r="B86" s="3">
        <v>11</v>
      </c>
      <c r="C86" s="5">
        <v>100</v>
      </c>
      <c r="D86" s="6">
        <v>0</v>
      </c>
      <c r="E86" s="7">
        <v>680500</v>
      </c>
      <c r="F86" s="3">
        <v>55630</v>
      </c>
      <c r="G86" s="3" t="str">
        <f t="shared" si="1"/>
        <v>5</v>
      </c>
      <c r="H86" s="3" t="s">
        <v>171</v>
      </c>
      <c r="I86" s="8">
        <v>700</v>
      </c>
      <c r="J86" s="8">
        <v>193.8</v>
      </c>
      <c r="K86" s="8">
        <v>700</v>
      </c>
    </row>
    <row r="87" spans="1:11" hidden="1" x14ac:dyDescent="0.25">
      <c r="A87" s="3" t="s">
        <v>172</v>
      </c>
      <c r="B87" s="3">
        <v>11</v>
      </c>
      <c r="C87" s="5">
        <v>100</v>
      </c>
      <c r="D87" s="6">
        <v>0</v>
      </c>
      <c r="E87" s="7">
        <v>682000</v>
      </c>
      <c r="F87" s="3">
        <v>52120</v>
      </c>
      <c r="G87" s="3" t="str">
        <f t="shared" si="1"/>
        <v>5</v>
      </c>
      <c r="H87" s="3" t="s">
        <v>173</v>
      </c>
      <c r="I87" s="8">
        <v>20037</v>
      </c>
      <c r="J87" s="8">
        <v>14642.66</v>
      </c>
      <c r="K87" s="8">
        <v>20037</v>
      </c>
    </row>
    <row r="88" spans="1:11" hidden="1" x14ac:dyDescent="0.25">
      <c r="A88" s="3" t="s">
        <v>174</v>
      </c>
      <c r="B88" s="3">
        <v>11</v>
      </c>
      <c r="C88" s="5">
        <v>100</v>
      </c>
      <c r="D88" s="6">
        <v>0</v>
      </c>
      <c r="E88" s="7">
        <v>682000</v>
      </c>
      <c r="F88" s="3">
        <v>52300</v>
      </c>
      <c r="G88" s="3" t="str">
        <f t="shared" si="1"/>
        <v>5</v>
      </c>
      <c r="H88" s="3" t="s">
        <v>175</v>
      </c>
      <c r="I88" s="8">
        <v>0</v>
      </c>
      <c r="J88" s="8">
        <v>43.35</v>
      </c>
      <c r="K88" s="8">
        <v>0</v>
      </c>
    </row>
    <row r="89" spans="1:11" hidden="1" x14ac:dyDescent="0.25">
      <c r="A89" s="3" t="s">
        <v>176</v>
      </c>
      <c r="B89" s="3">
        <v>11</v>
      </c>
      <c r="C89" s="5">
        <v>100</v>
      </c>
      <c r="D89" s="6">
        <v>0</v>
      </c>
      <c r="E89" s="7">
        <v>682000</v>
      </c>
      <c r="F89" s="3">
        <v>53220</v>
      </c>
      <c r="G89" s="3" t="str">
        <f t="shared" si="1"/>
        <v>5</v>
      </c>
      <c r="H89" s="3" t="s">
        <v>177</v>
      </c>
      <c r="I89" s="8">
        <v>4147.66</v>
      </c>
      <c r="J89" s="8">
        <v>3031.03</v>
      </c>
      <c r="K89" s="8">
        <v>4147.66</v>
      </c>
    </row>
    <row r="90" spans="1:11" hidden="1" x14ac:dyDescent="0.25">
      <c r="A90" s="3" t="s">
        <v>178</v>
      </c>
      <c r="B90" s="3">
        <v>11</v>
      </c>
      <c r="C90" s="5">
        <v>100</v>
      </c>
      <c r="D90" s="6">
        <v>0</v>
      </c>
      <c r="E90" s="7">
        <v>682000</v>
      </c>
      <c r="F90" s="3">
        <v>53320</v>
      </c>
      <c r="G90" s="3" t="str">
        <f t="shared" si="1"/>
        <v>5</v>
      </c>
      <c r="H90" s="3" t="s">
        <v>179</v>
      </c>
      <c r="I90" s="8">
        <v>1242.29</v>
      </c>
      <c r="J90" s="8">
        <v>894.62</v>
      </c>
      <c r="K90" s="8">
        <v>1242.29</v>
      </c>
    </row>
    <row r="91" spans="1:11" hidden="1" x14ac:dyDescent="0.25">
      <c r="A91" s="3" t="s">
        <v>180</v>
      </c>
      <c r="B91" s="3">
        <v>11</v>
      </c>
      <c r="C91" s="5">
        <v>100</v>
      </c>
      <c r="D91" s="6">
        <v>0</v>
      </c>
      <c r="E91" s="7">
        <v>682000</v>
      </c>
      <c r="F91" s="3">
        <v>53340</v>
      </c>
      <c r="G91" s="3" t="str">
        <f t="shared" si="1"/>
        <v>5</v>
      </c>
      <c r="H91" s="3" t="s">
        <v>181</v>
      </c>
      <c r="I91" s="8">
        <v>290.54000000000002</v>
      </c>
      <c r="J91" s="8">
        <v>209.26</v>
      </c>
      <c r="K91" s="8">
        <v>290.54000000000002</v>
      </c>
    </row>
    <row r="92" spans="1:11" hidden="1" x14ac:dyDescent="0.25">
      <c r="A92" s="3" t="s">
        <v>182</v>
      </c>
      <c r="B92" s="3">
        <v>11</v>
      </c>
      <c r="C92" s="5">
        <v>100</v>
      </c>
      <c r="D92" s="6">
        <v>0</v>
      </c>
      <c r="E92" s="7">
        <v>682000</v>
      </c>
      <c r="F92" s="3">
        <v>53420</v>
      </c>
      <c r="G92" s="3" t="str">
        <f t="shared" si="1"/>
        <v>5</v>
      </c>
      <c r="H92" s="3" t="s">
        <v>183</v>
      </c>
      <c r="I92" s="8">
        <v>6931.98</v>
      </c>
      <c r="J92" s="8">
        <v>4930.83</v>
      </c>
      <c r="K92" s="8">
        <v>6931.98</v>
      </c>
    </row>
    <row r="93" spans="1:11" hidden="1" x14ac:dyDescent="0.25">
      <c r="A93" s="3" t="s">
        <v>184</v>
      </c>
      <c r="B93" s="3">
        <v>11</v>
      </c>
      <c r="C93" s="5">
        <v>100</v>
      </c>
      <c r="D93" s="6">
        <v>0</v>
      </c>
      <c r="E93" s="7">
        <v>682000</v>
      </c>
      <c r="F93" s="3">
        <v>53520</v>
      </c>
      <c r="G93" s="3" t="str">
        <f t="shared" si="1"/>
        <v>5</v>
      </c>
      <c r="H93" s="3" t="s">
        <v>185</v>
      </c>
      <c r="I93" s="8">
        <v>10.02</v>
      </c>
      <c r="J93" s="8">
        <v>7.22</v>
      </c>
      <c r="K93" s="8">
        <v>10.02</v>
      </c>
    </row>
    <row r="94" spans="1:11" hidden="1" x14ac:dyDescent="0.25">
      <c r="A94" s="3" t="s">
        <v>186</v>
      </c>
      <c r="B94" s="3">
        <v>11</v>
      </c>
      <c r="C94" s="5">
        <v>100</v>
      </c>
      <c r="D94" s="6">
        <v>0</v>
      </c>
      <c r="E94" s="7">
        <v>682000</v>
      </c>
      <c r="F94" s="3">
        <v>53620</v>
      </c>
      <c r="G94" s="3" t="str">
        <f t="shared" si="1"/>
        <v>5</v>
      </c>
      <c r="H94" s="3" t="s">
        <v>187</v>
      </c>
      <c r="I94" s="8">
        <v>378.86</v>
      </c>
      <c r="J94" s="8">
        <v>277.66000000000003</v>
      </c>
      <c r="K94" s="8">
        <v>378.86</v>
      </c>
    </row>
    <row r="95" spans="1:11" hidden="1" x14ac:dyDescent="0.25">
      <c r="A95" s="3" t="s">
        <v>188</v>
      </c>
      <c r="B95" s="3">
        <v>11</v>
      </c>
      <c r="C95" s="5">
        <v>100</v>
      </c>
      <c r="D95" s="6">
        <v>0</v>
      </c>
      <c r="E95" s="7">
        <v>682000</v>
      </c>
      <c r="F95" s="3">
        <v>53920</v>
      </c>
      <c r="G95" s="3" t="str">
        <f t="shared" si="1"/>
        <v>5</v>
      </c>
      <c r="H95" s="3" t="s">
        <v>189</v>
      </c>
      <c r="I95" s="8">
        <v>720</v>
      </c>
      <c r="J95" s="8">
        <v>465.34</v>
      </c>
      <c r="K95" s="8">
        <v>720</v>
      </c>
    </row>
    <row r="96" spans="1:11" hidden="1" x14ac:dyDescent="0.25">
      <c r="A96" s="3" t="s">
        <v>190</v>
      </c>
      <c r="B96" s="3">
        <v>11</v>
      </c>
      <c r="C96" s="5">
        <v>100</v>
      </c>
      <c r="D96" s="6">
        <v>0</v>
      </c>
      <c r="E96" s="7">
        <v>682000</v>
      </c>
      <c r="F96" s="3">
        <v>55630</v>
      </c>
      <c r="G96" s="3" t="str">
        <f t="shared" si="1"/>
        <v>5</v>
      </c>
      <c r="H96" s="3" t="s">
        <v>191</v>
      </c>
      <c r="I96" s="8">
        <v>222</v>
      </c>
      <c r="J96" s="8">
        <v>15.23</v>
      </c>
      <c r="K96" s="8">
        <v>222</v>
      </c>
    </row>
    <row r="97" spans="1:11" hidden="1" x14ac:dyDescent="0.25">
      <c r="A97" s="3" t="s">
        <v>192</v>
      </c>
      <c r="B97" s="3">
        <v>11</v>
      </c>
      <c r="C97" s="5">
        <v>100</v>
      </c>
      <c r="D97" s="6">
        <v>0</v>
      </c>
      <c r="E97" s="7">
        <v>684000</v>
      </c>
      <c r="F97" s="3">
        <v>51205</v>
      </c>
      <c r="G97" s="3" t="str">
        <f t="shared" si="1"/>
        <v>5</v>
      </c>
      <c r="H97" s="3" t="s">
        <v>193</v>
      </c>
      <c r="I97" s="8">
        <v>143938.04</v>
      </c>
      <c r="J97" s="8">
        <v>122422.39</v>
      </c>
      <c r="K97" s="8">
        <v>143938.04</v>
      </c>
    </row>
    <row r="98" spans="1:11" hidden="1" x14ac:dyDescent="0.25">
      <c r="A98" s="3" t="s">
        <v>194</v>
      </c>
      <c r="B98" s="3">
        <v>11</v>
      </c>
      <c r="C98" s="5">
        <v>100</v>
      </c>
      <c r="D98" s="6">
        <v>0</v>
      </c>
      <c r="E98" s="7">
        <v>684000</v>
      </c>
      <c r="F98" s="3">
        <v>52300</v>
      </c>
      <c r="G98" s="3" t="str">
        <f t="shared" si="1"/>
        <v>5</v>
      </c>
      <c r="H98" s="3" t="s">
        <v>195</v>
      </c>
      <c r="I98" s="8">
        <v>2340</v>
      </c>
      <c r="J98" s="8">
        <v>353.91</v>
      </c>
      <c r="K98" s="8">
        <v>2340</v>
      </c>
    </row>
    <row r="99" spans="1:11" hidden="1" x14ac:dyDescent="0.25">
      <c r="A99" s="3" t="s">
        <v>196</v>
      </c>
      <c r="B99" s="3">
        <v>11</v>
      </c>
      <c r="C99" s="5">
        <v>100</v>
      </c>
      <c r="D99" s="6">
        <v>0</v>
      </c>
      <c r="E99" s="7">
        <v>684000</v>
      </c>
      <c r="F99" s="3">
        <v>53120</v>
      </c>
      <c r="G99" s="3" t="str">
        <f t="shared" si="1"/>
        <v>5</v>
      </c>
      <c r="H99" s="3" t="s">
        <v>197</v>
      </c>
      <c r="I99" s="8">
        <v>18552.38</v>
      </c>
      <c r="J99" s="8">
        <v>726.75</v>
      </c>
      <c r="K99" s="8">
        <v>18552.38</v>
      </c>
    </row>
    <row r="100" spans="1:11" hidden="1" x14ac:dyDescent="0.25">
      <c r="A100" s="3" t="s">
        <v>198</v>
      </c>
      <c r="B100" s="3">
        <v>11</v>
      </c>
      <c r="C100" s="5">
        <v>100</v>
      </c>
      <c r="D100" s="6">
        <v>0</v>
      </c>
      <c r="E100" s="7">
        <v>684000</v>
      </c>
      <c r="F100" s="3">
        <v>53220</v>
      </c>
      <c r="G100" s="3" t="str">
        <f t="shared" si="1"/>
        <v>5</v>
      </c>
      <c r="H100" s="3" t="s">
        <v>199</v>
      </c>
      <c r="I100" s="8">
        <v>0</v>
      </c>
      <c r="J100" s="8">
        <v>13296.56</v>
      </c>
      <c r="K100" s="8">
        <v>0</v>
      </c>
    </row>
    <row r="101" spans="1:11" hidden="1" x14ac:dyDescent="0.25">
      <c r="A101" s="3" t="s">
        <v>200</v>
      </c>
      <c r="B101" s="3">
        <v>11</v>
      </c>
      <c r="C101" s="5">
        <v>100</v>
      </c>
      <c r="D101" s="6">
        <v>0</v>
      </c>
      <c r="E101" s="7">
        <v>684000</v>
      </c>
      <c r="F101" s="3">
        <v>53320</v>
      </c>
      <c r="G101" s="3" t="str">
        <f t="shared" si="1"/>
        <v>5</v>
      </c>
      <c r="H101" s="3" t="s">
        <v>201</v>
      </c>
      <c r="I101" s="8">
        <v>5701.83</v>
      </c>
      <c r="J101" s="8">
        <v>3990.21</v>
      </c>
      <c r="K101" s="8">
        <v>5701.83</v>
      </c>
    </row>
    <row r="102" spans="1:11" hidden="1" x14ac:dyDescent="0.25">
      <c r="A102" s="3" t="s">
        <v>202</v>
      </c>
      <c r="B102" s="3">
        <v>11</v>
      </c>
      <c r="C102" s="5">
        <v>100</v>
      </c>
      <c r="D102" s="6">
        <v>0</v>
      </c>
      <c r="E102" s="7">
        <v>684000</v>
      </c>
      <c r="F102" s="3">
        <v>53340</v>
      </c>
      <c r="G102" s="3" t="str">
        <f t="shared" si="1"/>
        <v>5</v>
      </c>
      <c r="H102" s="3" t="s">
        <v>203</v>
      </c>
      <c r="I102" s="8">
        <v>2121.0300000000002</v>
      </c>
      <c r="J102" s="8">
        <v>1785.96</v>
      </c>
      <c r="K102" s="8">
        <v>2121.0300000000002</v>
      </c>
    </row>
    <row r="103" spans="1:11" hidden="1" x14ac:dyDescent="0.25">
      <c r="A103" s="3" t="s">
        <v>204</v>
      </c>
      <c r="B103" s="3">
        <v>11</v>
      </c>
      <c r="C103" s="5">
        <v>100</v>
      </c>
      <c r="D103" s="6">
        <v>0</v>
      </c>
      <c r="E103" s="7">
        <v>684000</v>
      </c>
      <c r="F103" s="3">
        <v>53420</v>
      </c>
      <c r="G103" s="3" t="str">
        <f t="shared" si="1"/>
        <v>5</v>
      </c>
      <c r="H103" s="3" t="s">
        <v>205</v>
      </c>
      <c r="I103" s="8">
        <v>14340.04</v>
      </c>
      <c r="J103" s="8">
        <v>11706.72</v>
      </c>
      <c r="K103" s="8">
        <v>14340.04</v>
      </c>
    </row>
    <row r="104" spans="1:11" hidden="1" x14ac:dyDescent="0.25">
      <c r="A104" s="3" t="s">
        <v>206</v>
      </c>
      <c r="B104" s="3">
        <v>11</v>
      </c>
      <c r="C104" s="5">
        <v>100</v>
      </c>
      <c r="D104" s="6">
        <v>0</v>
      </c>
      <c r="E104" s="7">
        <v>684000</v>
      </c>
      <c r="F104" s="3">
        <v>53520</v>
      </c>
      <c r="G104" s="3" t="str">
        <f t="shared" si="1"/>
        <v>5</v>
      </c>
      <c r="H104" s="3" t="s">
        <v>207</v>
      </c>
      <c r="I104" s="8">
        <v>73.14</v>
      </c>
      <c r="J104" s="8">
        <v>61.76</v>
      </c>
      <c r="K104" s="8">
        <v>73.14</v>
      </c>
    </row>
    <row r="105" spans="1:11" hidden="1" x14ac:dyDescent="0.25">
      <c r="A105" s="3" t="s">
        <v>208</v>
      </c>
      <c r="B105" s="3">
        <v>11</v>
      </c>
      <c r="C105" s="5">
        <v>100</v>
      </c>
      <c r="D105" s="6">
        <v>0</v>
      </c>
      <c r="E105" s="7">
        <v>684000</v>
      </c>
      <c r="F105" s="3">
        <v>53620</v>
      </c>
      <c r="G105" s="3" t="str">
        <f t="shared" si="1"/>
        <v>5</v>
      </c>
      <c r="H105" s="3" t="s">
        <v>209</v>
      </c>
      <c r="I105" s="8">
        <v>2765.82</v>
      </c>
      <c r="J105" s="8">
        <v>2333.3000000000002</v>
      </c>
      <c r="K105" s="8">
        <v>2765.82</v>
      </c>
    </row>
    <row r="106" spans="1:11" hidden="1" x14ac:dyDescent="0.25">
      <c r="A106" s="3" t="s">
        <v>210</v>
      </c>
      <c r="B106" s="3">
        <v>11</v>
      </c>
      <c r="C106" s="5">
        <v>100</v>
      </c>
      <c r="D106" s="6">
        <v>0</v>
      </c>
      <c r="E106" s="7">
        <v>684000</v>
      </c>
      <c r="F106" s="3">
        <v>53902</v>
      </c>
      <c r="G106" s="3" t="str">
        <f t="shared" si="1"/>
        <v>5</v>
      </c>
      <c r="H106" s="3" t="s">
        <v>211</v>
      </c>
      <c r="I106" s="8">
        <v>0</v>
      </c>
      <c r="J106" s="8">
        <v>231.3</v>
      </c>
      <c r="K106" s="8">
        <v>0</v>
      </c>
    </row>
    <row r="107" spans="1:11" hidden="1" x14ac:dyDescent="0.25">
      <c r="A107" s="3" t="s">
        <v>212</v>
      </c>
      <c r="B107" s="3">
        <v>11</v>
      </c>
      <c r="C107" s="5">
        <v>100</v>
      </c>
      <c r="D107" s="6">
        <v>0</v>
      </c>
      <c r="E107" s="7">
        <v>684000</v>
      </c>
      <c r="F107" s="3">
        <v>55550</v>
      </c>
      <c r="G107" s="3" t="str">
        <f t="shared" si="1"/>
        <v>5</v>
      </c>
      <c r="H107" s="3" t="s">
        <v>213</v>
      </c>
      <c r="I107" s="8">
        <v>306</v>
      </c>
      <c r="J107" s="8">
        <v>175</v>
      </c>
      <c r="K107" s="8">
        <v>306</v>
      </c>
    </row>
    <row r="108" spans="1:11" hidden="1" x14ac:dyDescent="0.25">
      <c r="A108" s="3" t="s">
        <v>214</v>
      </c>
      <c r="B108" s="3">
        <v>11</v>
      </c>
      <c r="C108" s="5">
        <v>100</v>
      </c>
      <c r="D108" s="6">
        <v>0</v>
      </c>
      <c r="E108" s="7">
        <v>684000</v>
      </c>
      <c r="F108" s="3">
        <v>55630</v>
      </c>
      <c r="G108" s="3" t="str">
        <f t="shared" si="1"/>
        <v>5</v>
      </c>
      <c r="H108" s="3" t="s">
        <v>215</v>
      </c>
      <c r="I108" s="8">
        <v>0</v>
      </c>
      <c r="J108" s="8">
        <v>178.57</v>
      </c>
      <c r="K108" s="8">
        <v>0</v>
      </c>
    </row>
    <row r="109" spans="1:11" hidden="1" x14ac:dyDescent="0.25">
      <c r="A109" s="3" t="s">
        <v>216</v>
      </c>
      <c r="B109" s="3">
        <v>11</v>
      </c>
      <c r="C109" s="5">
        <v>120</v>
      </c>
      <c r="D109" s="6">
        <v>2</v>
      </c>
      <c r="E109" s="7">
        <v>40110</v>
      </c>
      <c r="F109" s="3">
        <v>51311</v>
      </c>
      <c r="G109" s="3" t="str">
        <f t="shared" si="1"/>
        <v>5</v>
      </c>
      <c r="H109" s="3" t="s">
        <v>217</v>
      </c>
      <c r="I109" s="8">
        <v>32269</v>
      </c>
      <c r="J109" s="8">
        <v>15524.32</v>
      </c>
      <c r="K109" s="8">
        <v>32269</v>
      </c>
    </row>
    <row r="110" spans="1:11" hidden="1" x14ac:dyDescent="0.25">
      <c r="A110" s="3" t="s">
        <v>218</v>
      </c>
      <c r="B110" s="3">
        <v>11</v>
      </c>
      <c r="C110" s="5">
        <v>120</v>
      </c>
      <c r="D110" s="6">
        <v>2</v>
      </c>
      <c r="E110" s="7">
        <v>40110</v>
      </c>
      <c r="F110" s="3">
        <v>53110</v>
      </c>
      <c r="G110" s="3" t="str">
        <f t="shared" si="1"/>
        <v>5</v>
      </c>
      <c r="H110" s="3" t="s">
        <v>219</v>
      </c>
      <c r="I110" s="8">
        <v>5211.4399999999996</v>
      </c>
      <c r="J110" s="8">
        <v>447.48</v>
      </c>
      <c r="K110" s="8">
        <v>5211.4399999999996</v>
      </c>
    </row>
    <row r="111" spans="1:11" hidden="1" x14ac:dyDescent="0.25">
      <c r="A111" s="3" t="s">
        <v>220</v>
      </c>
      <c r="B111" s="3">
        <v>11</v>
      </c>
      <c r="C111" s="5">
        <v>120</v>
      </c>
      <c r="D111" s="6">
        <v>2</v>
      </c>
      <c r="E111" s="7">
        <v>40110</v>
      </c>
      <c r="F111" s="3">
        <v>53310</v>
      </c>
      <c r="G111" s="3" t="str">
        <f t="shared" si="1"/>
        <v>5</v>
      </c>
      <c r="H111" s="3" t="s">
        <v>221</v>
      </c>
      <c r="I111" s="8">
        <v>0</v>
      </c>
      <c r="J111" s="8">
        <v>96.58</v>
      </c>
      <c r="K111" s="8">
        <v>0</v>
      </c>
    </row>
    <row r="112" spans="1:11" hidden="1" x14ac:dyDescent="0.25">
      <c r="A112" s="3" t="s">
        <v>222</v>
      </c>
      <c r="B112" s="3">
        <v>11</v>
      </c>
      <c r="C112" s="5">
        <v>120</v>
      </c>
      <c r="D112" s="6">
        <v>2</v>
      </c>
      <c r="E112" s="7">
        <v>40110</v>
      </c>
      <c r="F112" s="3">
        <v>53330</v>
      </c>
      <c r="G112" s="3" t="str">
        <f t="shared" si="1"/>
        <v>5</v>
      </c>
      <c r="H112" s="3" t="s">
        <v>223</v>
      </c>
      <c r="I112" s="8">
        <v>467.9</v>
      </c>
      <c r="J112" s="8">
        <v>225.11</v>
      </c>
      <c r="K112" s="8">
        <v>467.9</v>
      </c>
    </row>
    <row r="113" spans="1:11" hidden="1" x14ac:dyDescent="0.25">
      <c r="A113" s="3" t="s">
        <v>224</v>
      </c>
      <c r="B113" s="3">
        <v>11</v>
      </c>
      <c r="C113" s="5">
        <v>120</v>
      </c>
      <c r="D113" s="6">
        <v>2</v>
      </c>
      <c r="E113" s="7">
        <v>40110</v>
      </c>
      <c r="F113" s="3">
        <v>53510</v>
      </c>
      <c r="G113" s="3" t="str">
        <f t="shared" si="1"/>
        <v>5</v>
      </c>
      <c r="H113" s="3" t="s">
        <v>225</v>
      </c>
      <c r="I113" s="8">
        <v>16.13</v>
      </c>
      <c r="J113" s="8">
        <v>7.78</v>
      </c>
      <c r="K113" s="8">
        <v>16.13</v>
      </c>
    </row>
    <row r="114" spans="1:11" hidden="1" x14ac:dyDescent="0.25">
      <c r="A114" s="3" t="s">
        <v>226</v>
      </c>
      <c r="B114" s="3">
        <v>11</v>
      </c>
      <c r="C114" s="5">
        <v>120</v>
      </c>
      <c r="D114" s="6">
        <v>2</v>
      </c>
      <c r="E114" s="7">
        <v>40110</v>
      </c>
      <c r="F114" s="3">
        <v>53610</v>
      </c>
      <c r="G114" s="3" t="str">
        <f t="shared" si="1"/>
        <v>5</v>
      </c>
      <c r="H114" s="3" t="s">
        <v>227</v>
      </c>
      <c r="I114" s="8">
        <v>610.14</v>
      </c>
      <c r="J114" s="8">
        <v>293.55</v>
      </c>
      <c r="K114" s="8">
        <v>610.14</v>
      </c>
    </row>
    <row r="115" spans="1:11" hidden="1" x14ac:dyDescent="0.25">
      <c r="A115" s="3" t="s">
        <v>228</v>
      </c>
      <c r="B115" s="3">
        <v>11</v>
      </c>
      <c r="C115" s="5">
        <v>120</v>
      </c>
      <c r="D115" s="6">
        <v>2</v>
      </c>
      <c r="E115" s="7">
        <v>50000</v>
      </c>
      <c r="F115" s="3">
        <v>51310</v>
      </c>
      <c r="G115" s="3" t="str">
        <f t="shared" si="1"/>
        <v>5</v>
      </c>
      <c r="H115" s="3" t="s">
        <v>229</v>
      </c>
      <c r="I115" s="8">
        <v>0</v>
      </c>
      <c r="J115" s="8">
        <v>2387.16</v>
      </c>
      <c r="K115" s="8">
        <v>0</v>
      </c>
    </row>
    <row r="116" spans="1:11" hidden="1" x14ac:dyDescent="0.25">
      <c r="A116" s="3" t="s">
        <v>230</v>
      </c>
      <c r="B116" s="3">
        <v>11</v>
      </c>
      <c r="C116" s="5">
        <v>120</v>
      </c>
      <c r="D116" s="6">
        <v>2</v>
      </c>
      <c r="E116" s="7">
        <v>50000</v>
      </c>
      <c r="F116" s="3">
        <v>51311</v>
      </c>
      <c r="G116" s="3" t="str">
        <f t="shared" si="1"/>
        <v>5</v>
      </c>
      <c r="H116" s="3" t="s">
        <v>231</v>
      </c>
      <c r="I116" s="8">
        <v>21502</v>
      </c>
      <c r="J116" s="8">
        <v>18504.830000000002</v>
      </c>
      <c r="K116" s="8">
        <v>21502</v>
      </c>
    </row>
    <row r="117" spans="1:11" hidden="1" x14ac:dyDescent="0.25">
      <c r="A117" s="3" t="s">
        <v>232</v>
      </c>
      <c r="B117" s="3">
        <v>11</v>
      </c>
      <c r="C117" s="5">
        <v>120</v>
      </c>
      <c r="D117" s="6">
        <v>2</v>
      </c>
      <c r="E117" s="7">
        <v>50000</v>
      </c>
      <c r="F117" s="3">
        <v>53110</v>
      </c>
      <c r="G117" s="3" t="str">
        <f t="shared" si="1"/>
        <v>5</v>
      </c>
      <c r="H117" s="3" t="s">
        <v>233</v>
      </c>
      <c r="I117" s="8">
        <v>3472.57</v>
      </c>
      <c r="J117" s="8">
        <v>3374.07</v>
      </c>
      <c r="K117" s="8">
        <v>3472.57</v>
      </c>
    </row>
    <row r="118" spans="1:11" hidden="1" x14ac:dyDescent="0.25">
      <c r="A118" s="3" t="s">
        <v>234</v>
      </c>
      <c r="B118" s="3">
        <v>11</v>
      </c>
      <c r="C118" s="5">
        <v>120</v>
      </c>
      <c r="D118" s="6">
        <v>2</v>
      </c>
      <c r="E118" s="7">
        <v>50000</v>
      </c>
      <c r="F118" s="3">
        <v>53330</v>
      </c>
      <c r="G118" s="3" t="str">
        <f t="shared" si="1"/>
        <v>5</v>
      </c>
      <c r="H118" s="3" t="s">
        <v>235</v>
      </c>
      <c r="I118" s="8">
        <v>311.77999999999997</v>
      </c>
      <c r="J118" s="8">
        <v>302.98</v>
      </c>
      <c r="K118" s="8">
        <v>311.77999999999997</v>
      </c>
    </row>
    <row r="119" spans="1:11" hidden="1" x14ac:dyDescent="0.25">
      <c r="A119" s="3" t="s">
        <v>236</v>
      </c>
      <c r="B119" s="3">
        <v>11</v>
      </c>
      <c r="C119" s="5">
        <v>120</v>
      </c>
      <c r="D119" s="6">
        <v>2</v>
      </c>
      <c r="E119" s="7">
        <v>50000</v>
      </c>
      <c r="F119" s="3">
        <v>53510</v>
      </c>
      <c r="G119" s="3" t="str">
        <f t="shared" si="1"/>
        <v>5</v>
      </c>
      <c r="H119" s="3" t="s">
        <v>237</v>
      </c>
      <c r="I119" s="8">
        <v>10.75</v>
      </c>
      <c r="J119" s="8">
        <v>10.44</v>
      </c>
      <c r="K119" s="8">
        <v>10.75</v>
      </c>
    </row>
    <row r="120" spans="1:11" hidden="1" x14ac:dyDescent="0.25">
      <c r="A120" s="3" t="s">
        <v>238</v>
      </c>
      <c r="B120" s="3">
        <v>11</v>
      </c>
      <c r="C120" s="5">
        <v>120</v>
      </c>
      <c r="D120" s="6">
        <v>2</v>
      </c>
      <c r="E120" s="7">
        <v>50000</v>
      </c>
      <c r="F120" s="3">
        <v>53610</v>
      </c>
      <c r="G120" s="3" t="str">
        <f t="shared" si="1"/>
        <v>5</v>
      </c>
      <c r="H120" s="3" t="s">
        <v>239</v>
      </c>
      <c r="I120" s="8">
        <v>406.56</v>
      </c>
      <c r="J120" s="8">
        <v>395.01</v>
      </c>
      <c r="K120" s="8">
        <v>406.56</v>
      </c>
    </row>
    <row r="121" spans="1:11" hidden="1" x14ac:dyDescent="0.25">
      <c r="A121" s="3" t="s">
        <v>240</v>
      </c>
      <c r="B121" s="3">
        <v>11</v>
      </c>
      <c r="C121" s="5">
        <v>120</v>
      </c>
      <c r="D121" s="6">
        <v>2</v>
      </c>
      <c r="E121" s="7">
        <v>70100</v>
      </c>
      <c r="F121" s="3">
        <v>51311</v>
      </c>
      <c r="G121" s="3" t="str">
        <f t="shared" si="1"/>
        <v>5</v>
      </c>
      <c r="H121" s="3" t="s">
        <v>241</v>
      </c>
      <c r="I121" s="8">
        <v>24352</v>
      </c>
      <c r="J121" s="8">
        <v>15583.3</v>
      </c>
      <c r="K121" s="8">
        <v>24352</v>
      </c>
    </row>
    <row r="122" spans="1:11" hidden="1" x14ac:dyDescent="0.25">
      <c r="A122" s="3" t="s">
        <v>242</v>
      </c>
      <c r="B122" s="3">
        <v>11</v>
      </c>
      <c r="C122" s="5">
        <v>120</v>
      </c>
      <c r="D122" s="6">
        <v>2</v>
      </c>
      <c r="E122" s="7">
        <v>70100</v>
      </c>
      <c r="F122" s="3">
        <v>53110</v>
      </c>
      <c r="G122" s="3" t="str">
        <f t="shared" si="1"/>
        <v>5</v>
      </c>
      <c r="H122" s="3" t="s">
        <v>243</v>
      </c>
      <c r="I122" s="8">
        <v>3932.85</v>
      </c>
      <c r="J122" s="8">
        <v>2516.75</v>
      </c>
      <c r="K122" s="8">
        <v>3932.85</v>
      </c>
    </row>
    <row r="123" spans="1:11" hidden="1" x14ac:dyDescent="0.25">
      <c r="A123" s="3" t="s">
        <v>244</v>
      </c>
      <c r="B123" s="3">
        <v>11</v>
      </c>
      <c r="C123" s="5">
        <v>120</v>
      </c>
      <c r="D123" s="6">
        <v>2</v>
      </c>
      <c r="E123" s="7">
        <v>70100</v>
      </c>
      <c r="F123" s="3">
        <v>53330</v>
      </c>
      <c r="G123" s="3" t="str">
        <f t="shared" si="1"/>
        <v>5</v>
      </c>
      <c r="H123" s="3" t="s">
        <v>245</v>
      </c>
      <c r="I123" s="8">
        <v>353.1</v>
      </c>
      <c r="J123" s="8">
        <v>225.95</v>
      </c>
      <c r="K123" s="8">
        <v>353.1</v>
      </c>
    </row>
    <row r="124" spans="1:11" hidden="1" x14ac:dyDescent="0.25">
      <c r="A124" s="3" t="s">
        <v>246</v>
      </c>
      <c r="B124" s="3">
        <v>11</v>
      </c>
      <c r="C124" s="5">
        <v>120</v>
      </c>
      <c r="D124" s="6">
        <v>2</v>
      </c>
      <c r="E124" s="7">
        <v>70100</v>
      </c>
      <c r="F124" s="3">
        <v>53510</v>
      </c>
      <c r="G124" s="3" t="str">
        <f t="shared" si="1"/>
        <v>5</v>
      </c>
      <c r="H124" s="3" t="s">
        <v>247</v>
      </c>
      <c r="I124" s="8">
        <v>12.18</v>
      </c>
      <c r="J124" s="8">
        <v>7.8</v>
      </c>
      <c r="K124" s="8">
        <v>12.18</v>
      </c>
    </row>
    <row r="125" spans="1:11" hidden="1" x14ac:dyDescent="0.25">
      <c r="A125" s="3" t="s">
        <v>248</v>
      </c>
      <c r="B125" s="3">
        <v>11</v>
      </c>
      <c r="C125" s="5">
        <v>120</v>
      </c>
      <c r="D125" s="6">
        <v>2</v>
      </c>
      <c r="E125" s="7">
        <v>70100</v>
      </c>
      <c r="F125" s="3">
        <v>53610</v>
      </c>
      <c r="G125" s="3" t="str">
        <f t="shared" si="1"/>
        <v>5</v>
      </c>
      <c r="H125" s="3" t="s">
        <v>249</v>
      </c>
      <c r="I125" s="8">
        <v>460.45</v>
      </c>
      <c r="J125" s="8">
        <v>294.66000000000003</v>
      </c>
      <c r="K125" s="8">
        <v>460.45</v>
      </c>
    </row>
    <row r="126" spans="1:11" hidden="1" x14ac:dyDescent="0.25">
      <c r="A126" s="3" t="s">
        <v>250</v>
      </c>
      <c r="B126" s="3">
        <v>11</v>
      </c>
      <c r="C126" s="5">
        <v>120</v>
      </c>
      <c r="D126" s="6">
        <v>2</v>
      </c>
      <c r="E126" s="7">
        <v>100200</v>
      </c>
      <c r="F126" s="3">
        <v>51311</v>
      </c>
      <c r="G126" s="3" t="str">
        <f t="shared" si="1"/>
        <v>5</v>
      </c>
      <c r="H126" s="3" t="s">
        <v>251</v>
      </c>
      <c r="I126" s="8">
        <v>6738</v>
      </c>
      <c r="J126" s="8">
        <v>0</v>
      </c>
      <c r="K126" s="8">
        <v>6738</v>
      </c>
    </row>
    <row r="127" spans="1:11" hidden="1" x14ac:dyDescent="0.25">
      <c r="A127" s="3" t="s">
        <v>252</v>
      </c>
      <c r="B127" s="3">
        <v>11</v>
      </c>
      <c r="C127" s="5">
        <v>120</v>
      </c>
      <c r="D127" s="6">
        <v>2</v>
      </c>
      <c r="E127" s="7">
        <v>100200</v>
      </c>
      <c r="F127" s="3">
        <v>53110</v>
      </c>
      <c r="G127" s="3" t="str">
        <f t="shared" si="1"/>
        <v>5</v>
      </c>
      <c r="H127" s="3" t="s">
        <v>253</v>
      </c>
      <c r="I127" s="8">
        <v>2218.69</v>
      </c>
      <c r="J127" s="8">
        <v>0</v>
      </c>
      <c r="K127" s="8">
        <v>2218.69</v>
      </c>
    </row>
    <row r="128" spans="1:11" hidden="1" x14ac:dyDescent="0.25">
      <c r="A128" s="3" t="s">
        <v>254</v>
      </c>
      <c r="B128" s="3">
        <v>11</v>
      </c>
      <c r="C128" s="5">
        <v>120</v>
      </c>
      <c r="D128" s="6">
        <v>2</v>
      </c>
      <c r="E128" s="7">
        <v>100200</v>
      </c>
      <c r="F128" s="3">
        <v>53330</v>
      </c>
      <c r="G128" s="3" t="str">
        <f t="shared" si="1"/>
        <v>5</v>
      </c>
      <c r="H128" s="3" t="s">
        <v>255</v>
      </c>
      <c r="I128" s="8">
        <v>199.2</v>
      </c>
      <c r="J128" s="8">
        <v>0</v>
      </c>
      <c r="K128" s="8">
        <v>199.2</v>
      </c>
    </row>
    <row r="129" spans="1:11" hidden="1" x14ac:dyDescent="0.25">
      <c r="A129" s="3" t="s">
        <v>256</v>
      </c>
      <c r="B129" s="3">
        <v>11</v>
      </c>
      <c r="C129" s="5">
        <v>120</v>
      </c>
      <c r="D129" s="6">
        <v>2</v>
      </c>
      <c r="E129" s="7">
        <v>100200</v>
      </c>
      <c r="F129" s="3">
        <v>53510</v>
      </c>
      <c r="G129" s="3" t="str">
        <f t="shared" si="1"/>
        <v>5</v>
      </c>
      <c r="H129" s="3" t="s">
        <v>257</v>
      </c>
      <c r="I129" s="8">
        <v>6.87</v>
      </c>
      <c r="J129" s="8">
        <v>0</v>
      </c>
      <c r="K129" s="8">
        <v>6.87</v>
      </c>
    </row>
    <row r="130" spans="1:11" hidden="1" x14ac:dyDescent="0.25">
      <c r="A130" s="3" t="s">
        <v>258</v>
      </c>
      <c r="B130" s="3">
        <v>11</v>
      </c>
      <c r="C130" s="5">
        <v>120</v>
      </c>
      <c r="D130" s="6">
        <v>2</v>
      </c>
      <c r="E130" s="7">
        <v>100200</v>
      </c>
      <c r="F130" s="3">
        <v>53610</v>
      </c>
      <c r="G130" s="3" t="str">
        <f t="shared" si="1"/>
        <v>5</v>
      </c>
      <c r="H130" s="3" t="s">
        <v>259</v>
      </c>
      <c r="I130" s="8">
        <v>259.76</v>
      </c>
      <c r="J130" s="8">
        <v>0</v>
      </c>
      <c r="K130" s="8">
        <v>259.76</v>
      </c>
    </row>
    <row r="131" spans="1:11" hidden="1" x14ac:dyDescent="0.25">
      <c r="A131" s="3" t="s">
        <v>260</v>
      </c>
      <c r="B131" s="3">
        <v>11</v>
      </c>
      <c r="C131" s="5">
        <v>120</v>
      </c>
      <c r="D131" s="6">
        <v>2</v>
      </c>
      <c r="E131" s="7">
        <v>100400</v>
      </c>
      <c r="F131" s="3">
        <v>51311</v>
      </c>
      <c r="G131" s="3" t="str">
        <f t="shared" ref="G131:G194" si="2">LEFT(F131,1)</f>
        <v>5</v>
      </c>
      <c r="H131" s="3" t="s">
        <v>261</v>
      </c>
      <c r="I131" s="8">
        <v>21635</v>
      </c>
      <c r="J131" s="8">
        <v>5216.3999999999996</v>
      </c>
      <c r="K131" s="8">
        <v>21635</v>
      </c>
    </row>
    <row r="132" spans="1:11" hidden="1" x14ac:dyDescent="0.25">
      <c r="A132" s="3" t="s">
        <v>262</v>
      </c>
      <c r="B132" s="3">
        <v>11</v>
      </c>
      <c r="C132" s="5">
        <v>120</v>
      </c>
      <c r="D132" s="6">
        <v>2</v>
      </c>
      <c r="E132" s="7">
        <v>100400</v>
      </c>
      <c r="F132" s="3">
        <v>53110</v>
      </c>
      <c r="G132" s="3" t="str">
        <f t="shared" si="2"/>
        <v>5</v>
      </c>
      <c r="H132" s="3" t="s">
        <v>263</v>
      </c>
      <c r="I132" s="8">
        <v>3494.05</v>
      </c>
      <c r="J132" s="8">
        <v>842.46</v>
      </c>
      <c r="K132" s="8">
        <v>3494.05</v>
      </c>
    </row>
    <row r="133" spans="1:11" hidden="1" x14ac:dyDescent="0.25">
      <c r="A133" s="3" t="s">
        <v>264</v>
      </c>
      <c r="B133" s="3">
        <v>11</v>
      </c>
      <c r="C133" s="5">
        <v>120</v>
      </c>
      <c r="D133" s="6">
        <v>2</v>
      </c>
      <c r="E133" s="7">
        <v>100400</v>
      </c>
      <c r="F133" s="3">
        <v>53330</v>
      </c>
      <c r="G133" s="3" t="str">
        <f t="shared" si="2"/>
        <v>5</v>
      </c>
      <c r="H133" s="3" t="s">
        <v>265</v>
      </c>
      <c r="I133" s="8">
        <v>313.70999999999998</v>
      </c>
      <c r="J133" s="8">
        <v>75.64</v>
      </c>
      <c r="K133" s="8">
        <v>313.70999999999998</v>
      </c>
    </row>
    <row r="134" spans="1:11" hidden="1" x14ac:dyDescent="0.25">
      <c r="A134" s="3" t="s">
        <v>266</v>
      </c>
      <c r="B134" s="3">
        <v>11</v>
      </c>
      <c r="C134" s="5">
        <v>120</v>
      </c>
      <c r="D134" s="6">
        <v>2</v>
      </c>
      <c r="E134" s="7">
        <v>100400</v>
      </c>
      <c r="F134" s="3">
        <v>53510</v>
      </c>
      <c r="G134" s="3" t="str">
        <f t="shared" si="2"/>
        <v>5</v>
      </c>
      <c r="H134" s="3" t="s">
        <v>267</v>
      </c>
      <c r="I134" s="8">
        <v>10.82</v>
      </c>
      <c r="J134" s="8">
        <v>2.62</v>
      </c>
      <c r="K134" s="8">
        <v>10.82</v>
      </c>
    </row>
    <row r="135" spans="1:11" hidden="1" x14ac:dyDescent="0.25">
      <c r="A135" s="3" t="s">
        <v>268</v>
      </c>
      <c r="B135" s="3">
        <v>11</v>
      </c>
      <c r="C135" s="5">
        <v>120</v>
      </c>
      <c r="D135" s="6">
        <v>2</v>
      </c>
      <c r="E135" s="7">
        <v>100400</v>
      </c>
      <c r="F135" s="3">
        <v>53610</v>
      </c>
      <c r="G135" s="3" t="str">
        <f t="shared" si="2"/>
        <v>5</v>
      </c>
      <c r="H135" s="3" t="s">
        <v>269</v>
      </c>
      <c r="I135" s="8">
        <v>409.07</v>
      </c>
      <c r="J135" s="8">
        <v>98.62</v>
      </c>
      <c r="K135" s="8">
        <v>409.07</v>
      </c>
    </row>
    <row r="136" spans="1:11" hidden="1" x14ac:dyDescent="0.25">
      <c r="A136" s="3" t="s">
        <v>270</v>
      </c>
      <c r="B136" s="3">
        <v>11</v>
      </c>
      <c r="C136" s="5">
        <v>120</v>
      </c>
      <c r="D136" s="6">
        <v>2</v>
      </c>
      <c r="E136" s="7">
        <v>101100</v>
      </c>
      <c r="F136" s="3">
        <v>51311</v>
      </c>
      <c r="G136" s="3" t="str">
        <f t="shared" si="2"/>
        <v>5</v>
      </c>
      <c r="H136" s="3" t="s">
        <v>271</v>
      </c>
      <c r="I136" s="8">
        <v>4024</v>
      </c>
      <c r="J136" s="8">
        <v>6481.26</v>
      </c>
      <c r="K136" s="8">
        <v>4024</v>
      </c>
    </row>
    <row r="137" spans="1:11" hidden="1" x14ac:dyDescent="0.25">
      <c r="A137" s="3" t="s">
        <v>272</v>
      </c>
      <c r="B137" s="3">
        <v>11</v>
      </c>
      <c r="C137" s="5">
        <v>120</v>
      </c>
      <c r="D137" s="6">
        <v>2</v>
      </c>
      <c r="E137" s="7">
        <v>101100</v>
      </c>
      <c r="F137" s="3">
        <v>53110</v>
      </c>
      <c r="G137" s="3" t="str">
        <f t="shared" si="2"/>
        <v>5</v>
      </c>
      <c r="H137" s="3" t="s">
        <v>273</v>
      </c>
      <c r="I137" s="8">
        <v>649.88</v>
      </c>
      <c r="J137" s="8">
        <v>1046.72</v>
      </c>
      <c r="K137" s="8">
        <v>649.88</v>
      </c>
    </row>
    <row r="138" spans="1:11" hidden="1" x14ac:dyDescent="0.25">
      <c r="A138" s="3" t="s">
        <v>274</v>
      </c>
      <c r="B138" s="3">
        <v>11</v>
      </c>
      <c r="C138" s="5">
        <v>120</v>
      </c>
      <c r="D138" s="6">
        <v>2</v>
      </c>
      <c r="E138" s="7">
        <v>101100</v>
      </c>
      <c r="F138" s="3">
        <v>53330</v>
      </c>
      <c r="G138" s="3" t="str">
        <f t="shared" si="2"/>
        <v>5</v>
      </c>
      <c r="H138" s="3" t="s">
        <v>275</v>
      </c>
      <c r="I138" s="8">
        <v>58.35</v>
      </c>
      <c r="J138" s="8">
        <v>93.96</v>
      </c>
      <c r="K138" s="8">
        <v>58.35</v>
      </c>
    </row>
    <row r="139" spans="1:11" hidden="1" x14ac:dyDescent="0.25">
      <c r="A139" s="3" t="s">
        <v>276</v>
      </c>
      <c r="B139" s="3">
        <v>11</v>
      </c>
      <c r="C139" s="5">
        <v>120</v>
      </c>
      <c r="D139" s="6">
        <v>2</v>
      </c>
      <c r="E139" s="7">
        <v>101100</v>
      </c>
      <c r="F139" s="3">
        <v>53510</v>
      </c>
      <c r="G139" s="3" t="str">
        <f t="shared" si="2"/>
        <v>5</v>
      </c>
      <c r="H139" s="3" t="s">
        <v>277</v>
      </c>
      <c r="I139" s="8">
        <v>2.0099999999999998</v>
      </c>
      <c r="J139" s="8">
        <v>3.24</v>
      </c>
      <c r="K139" s="8">
        <v>2.0099999999999998</v>
      </c>
    </row>
    <row r="140" spans="1:11" hidden="1" x14ac:dyDescent="0.25">
      <c r="A140" s="3" t="s">
        <v>278</v>
      </c>
      <c r="B140" s="3">
        <v>11</v>
      </c>
      <c r="C140" s="5">
        <v>120</v>
      </c>
      <c r="D140" s="6">
        <v>2</v>
      </c>
      <c r="E140" s="7">
        <v>101100</v>
      </c>
      <c r="F140" s="3">
        <v>53610</v>
      </c>
      <c r="G140" s="3" t="str">
        <f t="shared" si="2"/>
        <v>5</v>
      </c>
      <c r="H140" s="3" t="s">
        <v>279</v>
      </c>
      <c r="I140" s="8">
        <v>76.09</v>
      </c>
      <c r="J140" s="8">
        <v>122.56</v>
      </c>
      <c r="K140" s="8">
        <v>76.09</v>
      </c>
    </row>
    <row r="141" spans="1:11" hidden="1" x14ac:dyDescent="0.25">
      <c r="A141" s="3" t="s">
        <v>280</v>
      </c>
      <c r="B141" s="3">
        <v>11</v>
      </c>
      <c r="C141" s="5">
        <v>120</v>
      </c>
      <c r="D141" s="6">
        <v>2</v>
      </c>
      <c r="E141" s="7">
        <v>110500</v>
      </c>
      <c r="F141" s="3">
        <v>51311</v>
      </c>
      <c r="G141" s="3" t="str">
        <f t="shared" si="2"/>
        <v>5</v>
      </c>
      <c r="H141" s="3" t="s">
        <v>281</v>
      </c>
      <c r="I141" s="8">
        <v>38563</v>
      </c>
      <c r="J141" s="8">
        <v>29838.240000000002</v>
      </c>
      <c r="K141" s="8">
        <v>38563</v>
      </c>
    </row>
    <row r="142" spans="1:11" hidden="1" x14ac:dyDescent="0.25">
      <c r="A142" s="3" t="s">
        <v>282</v>
      </c>
      <c r="B142" s="3">
        <v>11</v>
      </c>
      <c r="C142" s="5">
        <v>120</v>
      </c>
      <c r="D142" s="6">
        <v>2</v>
      </c>
      <c r="E142" s="7">
        <v>110500</v>
      </c>
      <c r="F142" s="3">
        <v>53110</v>
      </c>
      <c r="G142" s="3" t="str">
        <f t="shared" si="2"/>
        <v>5</v>
      </c>
      <c r="H142" s="3" t="s">
        <v>283</v>
      </c>
      <c r="I142" s="8">
        <v>6227.92</v>
      </c>
      <c r="J142" s="8">
        <v>4818.87</v>
      </c>
      <c r="K142" s="8">
        <v>6227.92</v>
      </c>
    </row>
    <row r="143" spans="1:11" hidden="1" x14ac:dyDescent="0.25">
      <c r="A143" s="3" t="s">
        <v>284</v>
      </c>
      <c r="B143" s="3">
        <v>11</v>
      </c>
      <c r="C143" s="5">
        <v>120</v>
      </c>
      <c r="D143" s="6">
        <v>2</v>
      </c>
      <c r="E143" s="7">
        <v>110500</v>
      </c>
      <c r="F143" s="3">
        <v>53330</v>
      </c>
      <c r="G143" s="3" t="str">
        <f t="shared" si="2"/>
        <v>5</v>
      </c>
      <c r="H143" s="3" t="s">
        <v>285</v>
      </c>
      <c r="I143" s="8">
        <v>559.16</v>
      </c>
      <c r="J143" s="8">
        <v>432.62</v>
      </c>
      <c r="K143" s="8">
        <v>559.16</v>
      </c>
    </row>
    <row r="144" spans="1:11" hidden="1" x14ac:dyDescent="0.25">
      <c r="A144" s="3" t="s">
        <v>286</v>
      </c>
      <c r="B144" s="3">
        <v>11</v>
      </c>
      <c r="C144" s="5">
        <v>120</v>
      </c>
      <c r="D144" s="6">
        <v>2</v>
      </c>
      <c r="E144" s="7">
        <v>110500</v>
      </c>
      <c r="F144" s="3">
        <v>53510</v>
      </c>
      <c r="G144" s="3" t="str">
        <f t="shared" si="2"/>
        <v>5</v>
      </c>
      <c r="H144" s="3" t="s">
        <v>287</v>
      </c>
      <c r="I144" s="8">
        <v>19.28</v>
      </c>
      <c r="J144" s="8">
        <v>14.91</v>
      </c>
      <c r="K144" s="8">
        <v>19.28</v>
      </c>
    </row>
    <row r="145" spans="1:11" hidden="1" x14ac:dyDescent="0.25">
      <c r="A145" s="3" t="s">
        <v>288</v>
      </c>
      <c r="B145" s="3">
        <v>11</v>
      </c>
      <c r="C145" s="5">
        <v>120</v>
      </c>
      <c r="D145" s="6">
        <v>2</v>
      </c>
      <c r="E145" s="7">
        <v>110500</v>
      </c>
      <c r="F145" s="3">
        <v>53610</v>
      </c>
      <c r="G145" s="3" t="str">
        <f t="shared" si="2"/>
        <v>5</v>
      </c>
      <c r="H145" s="3" t="s">
        <v>289</v>
      </c>
      <c r="I145" s="8">
        <v>729.15</v>
      </c>
      <c r="J145" s="8">
        <v>564.17999999999995</v>
      </c>
      <c r="K145" s="8">
        <v>729.15</v>
      </c>
    </row>
    <row r="146" spans="1:11" hidden="1" x14ac:dyDescent="0.25">
      <c r="A146" s="3" t="s">
        <v>290</v>
      </c>
      <c r="B146" s="3">
        <v>11</v>
      </c>
      <c r="C146" s="5">
        <v>120</v>
      </c>
      <c r="D146" s="6">
        <v>2</v>
      </c>
      <c r="E146" s="7">
        <v>130500</v>
      </c>
      <c r="F146" s="3">
        <v>51311</v>
      </c>
      <c r="G146" s="3" t="str">
        <f t="shared" si="2"/>
        <v>5</v>
      </c>
      <c r="H146" s="3" t="s">
        <v>291</v>
      </c>
      <c r="I146" s="8">
        <v>4258</v>
      </c>
      <c r="J146" s="8">
        <v>4846.7299999999996</v>
      </c>
      <c r="K146" s="8">
        <v>4258</v>
      </c>
    </row>
    <row r="147" spans="1:11" hidden="1" x14ac:dyDescent="0.25">
      <c r="A147" s="3" t="s">
        <v>292</v>
      </c>
      <c r="B147" s="3">
        <v>11</v>
      </c>
      <c r="C147" s="5">
        <v>120</v>
      </c>
      <c r="D147" s="6">
        <v>2</v>
      </c>
      <c r="E147" s="7">
        <v>130500</v>
      </c>
      <c r="F147" s="3">
        <v>53110</v>
      </c>
      <c r="G147" s="3" t="str">
        <f t="shared" si="2"/>
        <v>5</v>
      </c>
      <c r="H147" s="3" t="s">
        <v>293</v>
      </c>
      <c r="I147" s="8">
        <v>687.67</v>
      </c>
      <c r="J147" s="8">
        <v>0</v>
      </c>
      <c r="K147" s="8">
        <v>687.67</v>
      </c>
    </row>
    <row r="148" spans="1:11" hidden="1" x14ac:dyDescent="0.25">
      <c r="A148" s="3" t="s">
        <v>294</v>
      </c>
      <c r="B148" s="3">
        <v>11</v>
      </c>
      <c r="C148" s="5">
        <v>120</v>
      </c>
      <c r="D148" s="6">
        <v>2</v>
      </c>
      <c r="E148" s="7">
        <v>130500</v>
      </c>
      <c r="F148" s="3">
        <v>53310</v>
      </c>
      <c r="G148" s="3" t="str">
        <f t="shared" si="2"/>
        <v>5</v>
      </c>
      <c r="H148" s="3" t="s">
        <v>295</v>
      </c>
      <c r="I148" s="8">
        <v>0</v>
      </c>
      <c r="J148" s="8">
        <v>300.51</v>
      </c>
      <c r="K148" s="8">
        <v>0</v>
      </c>
    </row>
    <row r="149" spans="1:11" hidden="1" x14ac:dyDescent="0.25">
      <c r="A149" s="3" t="s">
        <v>296</v>
      </c>
      <c r="B149" s="3">
        <v>11</v>
      </c>
      <c r="C149" s="5">
        <v>120</v>
      </c>
      <c r="D149" s="6">
        <v>2</v>
      </c>
      <c r="E149" s="7">
        <v>130500</v>
      </c>
      <c r="F149" s="3">
        <v>53330</v>
      </c>
      <c r="G149" s="3" t="str">
        <f t="shared" si="2"/>
        <v>5</v>
      </c>
      <c r="H149" s="3" t="s">
        <v>297</v>
      </c>
      <c r="I149" s="8">
        <v>61.74</v>
      </c>
      <c r="J149" s="8">
        <v>70.28</v>
      </c>
      <c r="K149" s="8">
        <v>61.74</v>
      </c>
    </row>
    <row r="150" spans="1:11" hidden="1" x14ac:dyDescent="0.25">
      <c r="A150" s="3" t="s">
        <v>298</v>
      </c>
      <c r="B150" s="3">
        <v>11</v>
      </c>
      <c r="C150" s="5">
        <v>120</v>
      </c>
      <c r="D150" s="6">
        <v>2</v>
      </c>
      <c r="E150" s="7">
        <v>130500</v>
      </c>
      <c r="F150" s="3">
        <v>53510</v>
      </c>
      <c r="G150" s="3" t="str">
        <f t="shared" si="2"/>
        <v>5</v>
      </c>
      <c r="H150" s="3" t="s">
        <v>299</v>
      </c>
      <c r="I150" s="8">
        <v>2.13</v>
      </c>
      <c r="J150" s="8">
        <v>2.4500000000000002</v>
      </c>
      <c r="K150" s="8">
        <v>2.13</v>
      </c>
    </row>
    <row r="151" spans="1:11" hidden="1" x14ac:dyDescent="0.25">
      <c r="A151" s="3" t="s">
        <v>300</v>
      </c>
      <c r="B151" s="3">
        <v>11</v>
      </c>
      <c r="C151" s="5">
        <v>120</v>
      </c>
      <c r="D151" s="6">
        <v>2</v>
      </c>
      <c r="E151" s="7">
        <v>130500</v>
      </c>
      <c r="F151" s="3">
        <v>53610</v>
      </c>
      <c r="G151" s="3" t="str">
        <f t="shared" si="2"/>
        <v>5</v>
      </c>
      <c r="H151" s="3" t="s">
        <v>301</v>
      </c>
      <c r="I151" s="8">
        <v>80.510000000000005</v>
      </c>
      <c r="J151" s="8">
        <v>91.63</v>
      </c>
      <c r="K151" s="8">
        <v>80.510000000000005</v>
      </c>
    </row>
    <row r="152" spans="1:11" hidden="1" x14ac:dyDescent="0.25">
      <c r="A152" s="3" t="s">
        <v>302</v>
      </c>
      <c r="B152" s="3">
        <v>11</v>
      </c>
      <c r="C152" s="5">
        <v>120</v>
      </c>
      <c r="D152" s="6">
        <v>2</v>
      </c>
      <c r="E152" s="7">
        <v>150100</v>
      </c>
      <c r="F152" s="3">
        <v>51311</v>
      </c>
      <c r="G152" s="3" t="str">
        <f t="shared" si="2"/>
        <v>5</v>
      </c>
      <c r="H152" s="3" t="s">
        <v>303</v>
      </c>
      <c r="I152" s="8">
        <v>132074</v>
      </c>
      <c r="J152" s="8">
        <v>49827.45</v>
      </c>
      <c r="K152" s="8">
        <v>132074</v>
      </c>
    </row>
    <row r="153" spans="1:11" hidden="1" x14ac:dyDescent="0.25">
      <c r="A153" s="3" t="s">
        <v>304</v>
      </c>
      <c r="B153" s="3">
        <v>11</v>
      </c>
      <c r="C153" s="5">
        <v>120</v>
      </c>
      <c r="D153" s="6">
        <v>2</v>
      </c>
      <c r="E153" s="7">
        <v>150100</v>
      </c>
      <c r="F153" s="3">
        <v>53110</v>
      </c>
      <c r="G153" s="3" t="str">
        <f t="shared" si="2"/>
        <v>5</v>
      </c>
      <c r="H153" s="3" t="s">
        <v>305</v>
      </c>
      <c r="I153" s="8">
        <v>21329.95</v>
      </c>
      <c r="J153" s="8">
        <v>7814.52</v>
      </c>
      <c r="K153" s="8">
        <v>21329.95</v>
      </c>
    </row>
    <row r="154" spans="1:11" hidden="1" x14ac:dyDescent="0.25">
      <c r="A154" s="3" t="s">
        <v>306</v>
      </c>
      <c r="B154" s="3">
        <v>11</v>
      </c>
      <c r="C154" s="5">
        <v>120</v>
      </c>
      <c r="D154" s="6">
        <v>2</v>
      </c>
      <c r="E154" s="7">
        <v>150100</v>
      </c>
      <c r="F154" s="3">
        <v>53310</v>
      </c>
      <c r="G154" s="3" t="str">
        <f t="shared" si="2"/>
        <v>5</v>
      </c>
      <c r="H154" s="3" t="s">
        <v>307</v>
      </c>
      <c r="I154" s="8">
        <v>0</v>
      </c>
      <c r="J154" s="8">
        <v>89.3</v>
      </c>
      <c r="K154" s="8">
        <v>0</v>
      </c>
    </row>
    <row r="155" spans="1:11" hidden="1" x14ac:dyDescent="0.25">
      <c r="A155" s="3" t="s">
        <v>308</v>
      </c>
      <c r="B155" s="3">
        <v>11</v>
      </c>
      <c r="C155" s="5">
        <v>120</v>
      </c>
      <c r="D155" s="6">
        <v>2</v>
      </c>
      <c r="E155" s="7">
        <v>150100</v>
      </c>
      <c r="F155" s="3">
        <v>53330</v>
      </c>
      <c r="G155" s="3" t="str">
        <f t="shared" si="2"/>
        <v>5</v>
      </c>
      <c r="H155" s="3" t="s">
        <v>309</v>
      </c>
      <c r="I155" s="8">
        <v>1915.07</v>
      </c>
      <c r="J155" s="8">
        <v>722.5</v>
      </c>
      <c r="K155" s="8">
        <v>1915.07</v>
      </c>
    </row>
    <row r="156" spans="1:11" hidden="1" x14ac:dyDescent="0.25">
      <c r="A156" s="3" t="s">
        <v>310</v>
      </c>
      <c r="B156" s="3">
        <v>11</v>
      </c>
      <c r="C156" s="5">
        <v>120</v>
      </c>
      <c r="D156" s="6">
        <v>2</v>
      </c>
      <c r="E156" s="7">
        <v>150100</v>
      </c>
      <c r="F156" s="3">
        <v>53510</v>
      </c>
      <c r="G156" s="3" t="str">
        <f t="shared" si="2"/>
        <v>5</v>
      </c>
      <c r="H156" s="3" t="s">
        <v>311</v>
      </c>
      <c r="I156" s="8">
        <v>66.040000000000006</v>
      </c>
      <c r="J156" s="8">
        <v>24.91</v>
      </c>
      <c r="K156" s="8">
        <v>66.040000000000006</v>
      </c>
    </row>
    <row r="157" spans="1:11" hidden="1" x14ac:dyDescent="0.25">
      <c r="A157" s="3" t="s">
        <v>312</v>
      </c>
      <c r="B157" s="3">
        <v>11</v>
      </c>
      <c r="C157" s="5">
        <v>120</v>
      </c>
      <c r="D157" s="6">
        <v>2</v>
      </c>
      <c r="E157" s="7">
        <v>150100</v>
      </c>
      <c r="F157" s="3">
        <v>53610</v>
      </c>
      <c r="G157" s="3" t="str">
        <f t="shared" si="2"/>
        <v>5</v>
      </c>
      <c r="H157" s="3" t="s">
        <v>313</v>
      </c>
      <c r="I157" s="8">
        <v>2497.2600000000002</v>
      </c>
      <c r="J157" s="8">
        <v>942.17</v>
      </c>
      <c r="K157" s="8">
        <v>2497.2600000000002</v>
      </c>
    </row>
    <row r="158" spans="1:11" hidden="1" x14ac:dyDescent="0.25">
      <c r="A158" s="3" t="s">
        <v>314</v>
      </c>
      <c r="B158" s="3">
        <v>11</v>
      </c>
      <c r="C158" s="5">
        <v>120</v>
      </c>
      <c r="D158" s="6">
        <v>2</v>
      </c>
      <c r="E158" s="7">
        <v>150100</v>
      </c>
      <c r="F158" s="3">
        <v>55630</v>
      </c>
      <c r="G158" s="3" t="str">
        <f t="shared" si="2"/>
        <v>5</v>
      </c>
      <c r="H158" s="3" t="s">
        <v>315</v>
      </c>
      <c r="I158" s="8">
        <v>120</v>
      </c>
      <c r="J158" s="8">
        <v>0</v>
      </c>
      <c r="K158" s="8">
        <v>120</v>
      </c>
    </row>
    <row r="159" spans="1:11" hidden="1" x14ac:dyDescent="0.25">
      <c r="A159" s="3" t="s">
        <v>316</v>
      </c>
      <c r="B159" s="3">
        <v>11</v>
      </c>
      <c r="C159" s="5">
        <v>120</v>
      </c>
      <c r="D159" s="6">
        <v>2</v>
      </c>
      <c r="E159" s="7">
        <v>150600</v>
      </c>
      <c r="F159" s="3">
        <v>51311</v>
      </c>
      <c r="G159" s="3" t="str">
        <f t="shared" si="2"/>
        <v>5</v>
      </c>
      <c r="H159" s="3" t="s">
        <v>317</v>
      </c>
      <c r="I159" s="8">
        <v>12958</v>
      </c>
      <c r="J159" s="8">
        <v>28686.27</v>
      </c>
      <c r="K159" s="8">
        <v>12958</v>
      </c>
    </row>
    <row r="160" spans="1:11" hidden="1" x14ac:dyDescent="0.25">
      <c r="A160" s="3" t="s">
        <v>318</v>
      </c>
      <c r="B160" s="3">
        <v>11</v>
      </c>
      <c r="C160" s="5">
        <v>120</v>
      </c>
      <c r="D160" s="6">
        <v>2</v>
      </c>
      <c r="E160" s="7">
        <v>150600</v>
      </c>
      <c r="F160" s="3">
        <v>53110</v>
      </c>
      <c r="G160" s="3" t="str">
        <f t="shared" si="2"/>
        <v>5</v>
      </c>
      <c r="H160" s="3" t="s">
        <v>319</v>
      </c>
      <c r="I160" s="8">
        <v>2092.7199999999998</v>
      </c>
      <c r="J160" s="8">
        <v>4632.8599999999997</v>
      </c>
      <c r="K160" s="8">
        <v>2092.7199999999998</v>
      </c>
    </row>
    <row r="161" spans="1:11" hidden="1" x14ac:dyDescent="0.25">
      <c r="A161" s="3" t="s">
        <v>320</v>
      </c>
      <c r="B161" s="3">
        <v>11</v>
      </c>
      <c r="C161" s="5">
        <v>120</v>
      </c>
      <c r="D161" s="6">
        <v>2</v>
      </c>
      <c r="E161" s="7">
        <v>150600</v>
      </c>
      <c r="F161" s="3">
        <v>53330</v>
      </c>
      <c r="G161" s="3" t="str">
        <f t="shared" si="2"/>
        <v>5</v>
      </c>
      <c r="H161" s="3" t="s">
        <v>321</v>
      </c>
      <c r="I161" s="8">
        <v>187.89</v>
      </c>
      <c r="J161" s="8">
        <v>415.97</v>
      </c>
      <c r="K161" s="8">
        <v>187.89</v>
      </c>
    </row>
    <row r="162" spans="1:11" hidden="1" x14ac:dyDescent="0.25">
      <c r="A162" s="3" t="s">
        <v>322</v>
      </c>
      <c r="B162" s="3">
        <v>11</v>
      </c>
      <c r="C162" s="5">
        <v>120</v>
      </c>
      <c r="D162" s="6">
        <v>2</v>
      </c>
      <c r="E162" s="7">
        <v>150600</v>
      </c>
      <c r="F162" s="3">
        <v>53510</v>
      </c>
      <c r="G162" s="3" t="str">
        <f t="shared" si="2"/>
        <v>5</v>
      </c>
      <c r="H162" s="3" t="s">
        <v>323</v>
      </c>
      <c r="I162" s="8">
        <v>6.48</v>
      </c>
      <c r="J162" s="8">
        <v>14.34</v>
      </c>
      <c r="K162" s="8">
        <v>6.48</v>
      </c>
    </row>
    <row r="163" spans="1:11" hidden="1" x14ac:dyDescent="0.25">
      <c r="A163" s="3" t="s">
        <v>324</v>
      </c>
      <c r="B163" s="3">
        <v>11</v>
      </c>
      <c r="C163" s="5">
        <v>120</v>
      </c>
      <c r="D163" s="6">
        <v>2</v>
      </c>
      <c r="E163" s="7">
        <v>150600</v>
      </c>
      <c r="F163" s="3">
        <v>53610</v>
      </c>
      <c r="G163" s="3" t="str">
        <f t="shared" si="2"/>
        <v>5</v>
      </c>
      <c r="H163" s="3" t="s">
        <v>325</v>
      </c>
      <c r="I163" s="8">
        <v>245.01</v>
      </c>
      <c r="J163" s="8">
        <v>542.41999999999996</v>
      </c>
      <c r="K163" s="8">
        <v>245.01</v>
      </c>
    </row>
    <row r="164" spans="1:11" hidden="1" x14ac:dyDescent="0.25">
      <c r="A164" s="3" t="s">
        <v>326</v>
      </c>
      <c r="B164" s="3">
        <v>11</v>
      </c>
      <c r="C164" s="5">
        <v>120</v>
      </c>
      <c r="D164" s="6">
        <v>2</v>
      </c>
      <c r="E164" s="7">
        <v>150600</v>
      </c>
      <c r="F164" s="3">
        <v>55630</v>
      </c>
      <c r="G164" s="3" t="str">
        <f t="shared" si="2"/>
        <v>5</v>
      </c>
      <c r="H164" s="3" t="s">
        <v>327</v>
      </c>
      <c r="I164" s="8">
        <v>8</v>
      </c>
      <c r="J164" s="8">
        <v>0</v>
      </c>
      <c r="K164" s="8">
        <v>8</v>
      </c>
    </row>
    <row r="165" spans="1:11" hidden="1" x14ac:dyDescent="0.25">
      <c r="A165" s="3" t="s">
        <v>328</v>
      </c>
      <c r="B165" s="3">
        <v>11</v>
      </c>
      <c r="C165" s="5">
        <v>120</v>
      </c>
      <c r="D165" s="6">
        <v>2</v>
      </c>
      <c r="E165" s="7">
        <v>170100</v>
      </c>
      <c r="F165" s="3">
        <v>51311</v>
      </c>
      <c r="G165" s="3" t="str">
        <f t="shared" si="2"/>
        <v>5</v>
      </c>
      <c r="H165" s="3" t="s">
        <v>329</v>
      </c>
      <c r="I165" s="8">
        <v>34636</v>
      </c>
      <c r="J165" s="8">
        <v>9229.92</v>
      </c>
      <c r="K165" s="8">
        <v>34636</v>
      </c>
    </row>
    <row r="166" spans="1:11" hidden="1" x14ac:dyDescent="0.25">
      <c r="A166" s="3" t="s">
        <v>330</v>
      </c>
      <c r="B166" s="3">
        <v>11</v>
      </c>
      <c r="C166" s="5">
        <v>120</v>
      </c>
      <c r="D166" s="6">
        <v>2</v>
      </c>
      <c r="E166" s="7">
        <v>170100</v>
      </c>
      <c r="F166" s="3">
        <v>53110</v>
      </c>
      <c r="G166" s="3" t="str">
        <f t="shared" si="2"/>
        <v>5</v>
      </c>
      <c r="H166" s="3" t="s">
        <v>331</v>
      </c>
      <c r="I166" s="8">
        <v>5593.71</v>
      </c>
      <c r="J166" s="8">
        <v>1490.61</v>
      </c>
      <c r="K166" s="8">
        <v>5593.71</v>
      </c>
    </row>
    <row r="167" spans="1:11" hidden="1" x14ac:dyDescent="0.25">
      <c r="A167" s="3" t="s">
        <v>332</v>
      </c>
      <c r="B167" s="3">
        <v>11</v>
      </c>
      <c r="C167" s="5">
        <v>120</v>
      </c>
      <c r="D167" s="6">
        <v>2</v>
      </c>
      <c r="E167" s="7">
        <v>170100</v>
      </c>
      <c r="F167" s="3">
        <v>53330</v>
      </c>
      <c r="G167" s="3" t="str">
        <f t="shared" si="2"/>
        <v>5</v>
      </c>
      <c r="H167" s="3" t="s">
        <v>333</v>
      </c>
      <c r="I167" s="8">
        <v>502.22</v>
      </c>
      <c r="J167" s="8">
        <v>133.83000000000001</v>
      </c>
      <c r="K167" s="8">
        <v>502.22</v>
      </c>
    </row>
    <row r="168" spans="1:11" hidden="1" x14ac:dyDescent="0.25">
      <c r="A168" s="3" t="s">
        <v>334</v>
      </c>
      <c r="B168" s="3">
        <v>11</v>
      </c>
      <c r="C168" s="5">
        <v>120</v>
      </c>
      <c r="D168" s="6">
        <v>2</v>
      </c>
      <c r="E168" s="7">
        <v>170100</v>
      </c>
      <c r="F168" s="3">
        <v>53510</v>
      </c>
      <c r="G168" s="3" t="str">
        <f t="shared" si="2"/>
        <v>5</v>
      </c>
      <c r="H168" s="3" t="s">
        <v>335</v>
      </c>
      <c r="I168" s="8">
        <v>17.32</v>
      </c>
      <c r="J168" s="8">
        <v>4.5999999999999996</v>
      </c>
      <c r="K168" s="8">
        <v>17.32</v>
      </c>
    </row>
    <row r="169" spans="1:11" hidden="1" x14ac:dyDescent="0.25">
      <c r="A169" s="3" t="s">
        <v>336</v>
      </c>
      <c r="B169" s="3">
        <v>11</v>
      </c>
      <c r="C169" s="5">
        <v>120</v>
      </c>
      <c r="D169" s="6">
        <v>2</v>
      </c>
      <c r="E169" s="7">
        <v>170100</v>
      </c>
      <c r="F169" s="3">
        <v>53610</v>
      </c>
      <c r="G169" s="3" t="str">
        <f t="shared" si="2"/>
        <v>5</v>
      </c>
      <c r="H169" s="3" t="s">
        <v>337</v>
      </c>
      <c r="I169" s="8">
        <v>654.9</v>
      </c>
      <c r="J169" s="8">
        <v>174.52</v>
      </c>
      <c r="K169" s="8">
        <v>654.9</v>
      </c>
    </row>
    <row r="170" spans="1:11" hidden="1" x14ac:dyDescent="0.25">
      <c r="A170" s="3" t="s">
        <v>338</v>
      </c>
      <c r="B170" s="3">
        <v>11</v>
      </c>
      <c r="C170" s="5">
        <v>120</v>
      </c>
      <c r="D170" s="6">
        <v>2</v>
      </c>
      <c r="E170" s="7">
        <v>170100</v>
      </c>
      <c r="F170" s="3">
        <v>55630</v>
      </c>
      <c r="G170" s="3" t="str">
        <f t="shared" si="2"/>
        <v>5</v>
      </c>
      <c r="H170" s="3" t="s">
        <v>339</v>
      </c>
      <c r="I170" s="8">
        <v>88</v>
      </c>
      <c r="J170" s="8">
        <v>0</v>
      </c>
      <c r="K170" s="8">
        <v>88</v>
      </c>
    </row>
    <row r="171" spans="1:11" hidden="1" x14ac:dyDescent="0.25">
      <c r="A171" s="3" t="s">
        <v>340</v>
      </c>
      <c r="B171" s="3">
        <v>11</v>
      </c>
      <c r="C171" s="5">
        <v>120</v>
      </c>
      <c r="D171" s="6">
        <v>2</v>
      </c>
      <c r="E171" s="7">
        <v>190200</v>
      </c>
      <c r="F171" s="3">
        <v>51311</v>
      </c>
      <c r="G171" s="3" t="str">
        <f t="shared" si="2"/>
        <v>5</v>
      </c>
      <c r="H171" s="3" t="s">
        <v>341</v>
      </c>
      <c r="I171" s="8">
        <v>10280</v>
      </c>
      <c r="J171" s="8">
        <v>2987.72</v>
      </c>
      <c r="K171" s="8">
        <v>10280</v>
      </c>
    </row>
    <row r="172" spans="1:11" hidden="1" x14ac:dyDescent="0.25">
      <c r="A172" s="3" t="s">
        <v>342</v>
      </c>
      <c r="B172" s="3">
        <v>11</v>
      </c>
      <c r="C172" s="5">
        <v>120</v>
      </c>
      <c r="D172" s="6">
        <v>2</v>
      </c>
      <c r="E172" s="7">
        <v>190200</v>
      </c>
      <c r="F172" s="3">
        <v>53110</v>
      </c>
      <c r="G172" s="3" t="str">
        <f t="shared" si="2"/>
        <v>5</v>
      </c>
      <c r="H172" s="3" t="s">
        <v>343</v>
      </c>
      <c r="I172" s="8">
        <v>1660.22</v>
      </c>
      <c r="J172" s="8">
        <v>482.52</v>
      </c>
      <c r="K172" s="8">
        <v>1660.22</v>
      </c>
    </row>
    <row r="173" spans="1:11" hidden="1" x14ac:dyDescent="0.25">
      <c r="A173" s="3" t="s">
        <v>344</v>
      </c>
      <c r="B173" s="3">
        <v>11</v>
      </c>
      <c r="C173" s="5">
        <v>120</v>
      </c>
      <c r="D173" s="6">
        <v>2</v>
      </c>
      <c r="E173" s="7">
        <v>190200</v>
      </c>
      <c r="F173" s="3">
        <v>53330</v>
      </c>
      <c r="G173" s="3" t="str">
        <f t="shared" si="2"/>
        <v>5</v>
      </c>
      <c r="H173" s="3" t="s">
        <v>345</v>
      </c>
      <c r="I173" s="8">
        <v>149.06</v>
      </c>
      <c r="J173" s="8">
        <v>43.32</v>
      </c>
      <c r="K173" s="8">
        <v>149.06</v>
      </c>
    </row>
    <row r="174" spans="1:11" hidden="1" x14ac:dyDescent="0.25">
      <c r="A174" s="3" t="s">
        <v>346</v>
      </c>
      <c r="B174" s="3">
        <v>11</v>
      </c>
      <c r="C174" s="5">
        <v>120</v>
      </c>
      <c r="D174" s="6">
        <v>2</v>
      </c>
      <c r="E174" s="7">
        <v>190200</v>
      </c>
      <c r="F174" s="3">
        <v>53510</v>
      </c>
      <c r="G174" s="3" t="str">
        <f t="shared" si="2"/>
        <v>5</v>
      </c>
      <c r="H174" s="3" t="s">
        <v>347</v>
      </c>
      <c r="I174" s="8">
        <v>5.14</v>
      </c>
      <c r="J174" s="8">
        <v>1.48</v>
      </c>
      <c r="K174" s="8">
        <v>5.14</v>
      </c>
    </row>
    <row r="175" spans="1:11" hidden="1" x14ac:dyDescent="0.25">
      <c r="A175" s="3" t="s">
        <v>348</v>
      </c>
      <c r="B175" s="3">
        <v>11</v>
      </c>
      <c r="C175" s="5">
        <v>120</v>
      </c>
      <c r="D175" s="6">
        <v>2</v>
      </c>
      <c r="E175" s="7">
        <v>190200</v>
      </c>
      <c r="F175" s="3">
        <v>53610</v>
      </c>
      <c r="G175" s="3" t="str">
        <f t="shared" si="2"/>
        <v>5</v>
      </c>
      <c r="H175" s="3" t="s">
        <v>349</v>
      </c>
      <c r="I175" s="8">
        <v>194.37</v>
      </c>
      <c r="J175" s="8">
        <v>56.5</v>
      </c>
      <c r="K175" s="8">
        <v>194.37</v>
      </c>
    </row>
    <row r="176" spans="1:11" hidden="1" x14ac:dyDescent="0.25">
      <c r="A176" s="3" t="s">
        <v>350</v>
      </c>
      <c r="B176" s="3">
        <v>11</v>
      </c>
      <c r="C176" s="5">
        <v>120</v>
      </c>
      <c r="D176" s="6">
        <v>2</v>
      </c>
      <c r="E176" s="7">
        <v>190200</v>
      </c>
      <c r="F176" s="3">
        <v>55630</v>
      </c>
      <c r="G176" s="3" t="str">
        <f t="shared" si="2"/>
        <v>5</v>
      </c>
      <c r="H176" s="3" t="s">
        <v>351</v>
      </c>
      <c r="I176" s="8">
        <v>28</v>
      </c>
      <c r="J176" s="8">
        <v>0</v>
      </c>
      <c r="K176" s="8">
        <v>28</v>
      </c>
    </row>
    <row r="177" spans="1:11" hidden="1" x14ac:dyDescent="0.25">
      <c r="A177" s="3" t="s">
        <v>352</v>
      </c>
      <c r="B177" s="3">
        <v>11</v>
      </c>
      <c r="C177" s="5">
        <v>120</v>
      </c>
      <c r="D177" s="6">
        <v>2</v>
      </c>
      <c r="E177" s="7">
        <v>191900</v>
      </c>
      <c r="F177" s="3">
        <v>51311</v>
      </c>
      <c r="G177" s="3" t="str">
        <f t="shared" si="2"/>
        <v>5</v>
      </c>
      <c r="H177" s="3" t="s">
        <v>353</v>
      </c>
      <c r="I177" s="8">
        <v>2668</v>
      </c>
      <c r="J177" s="8">
        <v>0</v>
      </c>
      <c r="K177" s="8">
        <v>2668</v>
      </c>
    </row>
    <row r="178" spans="1:11" hidden="1" x14ac:dyDescent="0.25">
      <c r="A178" s="3" t="s">
        <v>354</v>
      </c>
      <c r="B178" s="3">
        <v>11</v>
      </c>
      <c r="C178" s="5">
        <v>120</v>
      </c>
      <c r="D178" s="6">
        <v>2</v>
      </c>
      <c r="E178" s="7">
        <v>191900</v>
      </c>
      <c r="F178" s="3">
        <v>53110</v>
      </c>
      <c r="G178" s="3" t="str">
        <f t="shared" si="2"/>
        <v>5</v>
      </c>
      <c r="H178" s="3" t="s">
        <v>355</v>
      </c>
      <c r="I178" s="8">
        <v>430.88</v>
      </c>
      <c r="J178" s="8">
        <v>0</v>
      </c>
      <c r="K178" s="8">
        <v>430.88</v>
      </c>
    </row>
    <row r="179" spans="1:11" hidden="1" x14ac:dyDescent="0.25">
      <c r="A179" s="3" t="s">
        <v>356</v>
      </c>
      <c r="B179" s="3">
        <v>11</v>
      </c>
      <c r="C179" s="5">
        <v>120</v>
      </c>
      <c r="D179" s="6">
        <v>2</v>
      </c>
      <c r="E179" s="7">
        <v>191900</v>
      </c>
      <c r="F179" s="3">
        <v>53330</v>
      </c>
      <c r="G179" s="3" t="str">
        <f t="shared" si="2"/>
        <v>5</v>
      </c>
      <c r="H179" s="3" t="s">
        <v>357</v>
      </c>
      <c r="I179" s="8">
        <v>38.69</v>
      </c>
      <c r="J179" s="8">
        <v>0</v>
      </c>
      <c r="K179" s="8">
        <v>38.69</v>
      </c>
    </row>
    <row r="180" spans="1:11" hidden="1" x14ac:dyDescent="0.25">
      <c r="A180" s="3" t="s">
        <v>358</v>
      </c>
      <c r="B180" s="3">
        <v>11</v>
      </c>
      <c r="C180" s="5">
        <v>120</v>
      </c>
      <c r="D180" s="6">
        <v>2</v>
      </c>
      <c r="E180" s="7">
        <v>191900</v>
      </c>
      <c r="F180" s="3">
        <v>53510</v>
      </c>
      <c r="G180" s="3" t="str">
        <f t="shared" si="2"/>
        <v>5</v>
      </c>
      <c r="H180" s="3" t="s">
        <v>359</v>
      </c>
      <c r="I180" s="8">
        <v>1.33</v>
      </c>
      <c r="J180" s="8">
        <v>0</v>
      </c>
      <c r="K180" s="8">
        <v>1.33</v>
      </c>
    </row>
    <row r="181" spans="1:11" hidden="1" x14ac:dyDescent="0.25">
      <c r="A181" s="3" t="s">
        <v>360</v>
      </c>
      <c r="B181" s="3">
        <v>11</v>
      </c>
      <c r="C181" s="5">
        <v>120</v>
      </c>
      <c r="D181" s="6">
        <v>2</v>
      </c>
      <c r="E181" s="7">
        <v>191900</v>
      </c>
      <c r="F181" s="3">
        <v>53610</v>
      </c>
      <c r="G181" s="3" t="str">
        <f t="shared" si="2"/>
        <v>5</v>
      </c>
      <c r="H181" s="3" t="s">
        <v>361</v>
      </c>
      <c r="I181" s="8">
        <v>50.45</v>
      </c>
      <c r="J181" s="8">
        <v>0</v>
      </c>
      <c r="K181" s="8">
        <v>50.45</v>
      </c>
    </row>
    <row r="182" spans="1:11" hidden="1" x14ac:dyDescent="0.25">
      <c r="A182" s="3" t="s">
        <v>362</v>
      </c>
      <c r="B182" s="3">
        <v>11</v>
      </c>
      <c r="C182" s="5">
        <v>120</v>
      </c>
      <c r="D182" s="6">
        <v>2</v>
      </c>
      <c r="E182" s="7">
        <v>200100</v>
      </c>
      <c r="F182" s="3">
        <v>51311</v>
      </c>
      <c r="G182" s="3" t="str">
        <f t="shared" si="2"/>
        <v>5</v>
      </c>
      <c r="H182" s="3" t="s">
        <v>363</v>
      </c>
      <c r="I182" s="8">
        <v>31812</v>
      </c>
      <c r="J182" s="8">
        <v>26358.959999999999</v>
      </c>
      <c r="K182" s="8">
        <v>31812</v>
      </c>
    </row>
    <row r="183" spans="1:11" hidden="1" x14ac:dyDescent="0.25">
      <c r="A183" s="3" t="s">
        <v>364</v>
      </c>
      <c r="B183" s="3">
        <v>11</v>
      </c>
      <c r="C183" s="5">
        <v>120</v>
      </c>
      <c r="D183" s="6">
        <v>2</v>
      </c>
      <c r="E183" s="7">
        <v>200100</v>
      </c>
      <c r="F183" s="3">
        <v>53110</v>
      </c>
      <c r="G183" s="3" t="str">
        <f t="shared" si="2"/>
        <v>5</v>
      </c>
      <c r="H183" s="3" t="s">
        <v>365</v>
      </c>
      <c r="I183" s="8">
        <v>5137.6400000000003</v>
      </c>
      <c r="J183" s="8">
        <v>3046.38</v>
      </c>
      <c r="K183" s="8">
        <v>5137.6400000000003</v>
      </c>
    </row>
    <row r="184" spans="1:11" hidden="1" x14ac:dyDescent="0.25">
      <c r="A184" s="3" t="s">
        <v>366</v>
      </c>
      <c r="B184" s="3">
        <v>11</v>
      </c>
      <c r="C184" s="5">
        <v>120</v>
      </c>
      <c r="D184" s="6">
        <v>2</v>
      </c>
      <c r="E184" s="7">
        <v>200100</v>
      </c>
      <c r="F184" s="3">
        <v>53310</v>
      </c>
      <c r="G184" s="3" t="str">
        <f t="shared" si="2"/>
        <v>5</v>
      </c>
      <c r="H184" s="3" t="s">
        <v>367</v>
      </c>
      <c r="I184" s="8">
        <v>0</v>
      </c>
      <c r="J184" s="8">
        <v>464.76</v>
      </c>
      <c r="K184" s="8">
        <v>0</v>
      </c>
    </row>
    <row r="185" spans="1:11" hidden="1" x14ac:dyDescent="0.25">
      <c r="A185" s="3" t="s">
        <v>368</v>
      </c>
      <c r="B185" s="3">
        <v>11</v>
      </c>
      <c r="C185" s="5">
        <v>120</v>
      </c>
      <c r="D185" s="6">
        <v>2</v>
      </c>
      <c r="E185" s="7">
        <v>200100</v>
      </c>
      <c r="F185" s="3">
        <v>53330</v>
      </c>
      <c r="G185" s="3" t="str">
        <f t="shared" si="2"/>
        <v>5</v>
      </c>
      <c r="H185" s="3" t="s">
        <v>369</v>
      </c>
      <c r="I185" s="8">
        <v>461.27</v>
      </c>
      <c r="J185" s="8">
        <v>382.16</v>
      </c>
      <c r="K185" s="8">
        <v>461.27</v>
      </c>
    </row>
    <row r="186" spans="1:11" hidden="1" x14ac:dyDescent="0.25">
      <c r="A186" s="3" t="s">
        <v>370</v>
      </c>
      <c r="B186" s="3">
        <v>11</v>
      </c>
      <c r="C186" s="5">
        <v>120</v>
      </c>
      <c r="D186" s="6">
        <v>2</v>
      </c>
      <c r="E186" s="7">
        <v>200100</v>
      </c>
      <c r="F186" s="3">
        <v>53510</v>
      </c>
      <c r="G186" s="3" t="str">
        <f t="shared" si="2"/>
        <v>5</v>
      </c>
      <c r="H186" s="3" t="s">
        <v>371</v>
      </c>
      <c r="I186" s="8">
        <v>15.91</v>
      </c>
      <c r="J186" s="8">
        <v>13.21</v>
      </c>
      <c r="K186" s="8">
        <v>15.91</v>
      </c>
    </row>
    <row r="187" spans="1:11" hidden="1" x14ac:dyDescent="0.25">
      <c r="A187" s="3" t="s">
        <v>372</v>
      </c>
      <c r="B187" s="3">
        <v>11</v>
      </c>
      <c r="C187" s="5">
        <v>120</v>
      </c>
      <c r="D187" s="6">
        <v>2</v>
      </c>
      <c r="E187" s="7">
        <v>200100</v>
      </c>
      <c r="F187" s="3">
        <v>53610</v>
      </c>
      <c r="G187" s="3" t="str">
        <f t="shared" si="2"/>
        <v>5</v>
      </c>
      <c r="H187" s="3" t="s">
        <v>373</v>
      </c>
      <c r="I187" s="8">
        <v>601.5</v>
      </c>
      <c r="J187" s="8">
        <v>498.44</v>
      </c>
      <c r="K187" s="8">
        <v>601.5</v>
      </c>
    </row>
    <row r="188" spans="1:11" hidden="1" x14ac:dyDescent="0.25">
      <c r="A188" s="3" t="s">
        <v>374</v>
      </c>
      <c r="B188" s="3">
        <v>11</v>
      </c>
      <c r="C188" s="5">
        <v>120</v>
      </c>
      <c r="D188" s="6">
        <v>2</v>
      </c>
      <c r="E188" s="7">
        <v>210500</v>
      </c>
      <c r="F188" s="3">
        <v>51311</v>
      </c>
      <c r="G188" s="3" t="str">
        <f t="shared" si="2"/>
        <v>5</v>
      </c>
      <c r="H188" s="3" t="s">
        <v>375</v>
      </c>
      <c r="I188" s="8">
        <v>27695</v>
      </c>
      <c r="J188" s="8">
        <v>13233.88</v>
      </c>
      <c r="K188" s="8">
        <v>27695</v>
      </c>
    </row>
    <row r="189" spans="1:11" hidden="1" x14ac:dyDescent="0.25">
      <c r="A189" s="3" t="s">
        <v>376</v>
      </c>
      <c r="B189" s="3">
        <v>11</v>
      </c>
      <c r="C189" s="5">
        <v>120</v>
      </c>
      <c r="D189" s="6">
        <v>2</v>
      </c>
      <c r="E189" s="7">
        <v>210500</v>
      </c>
      <c r="F189" s="3">
        <v>53110</v>
      </c>
      <c r="G189" s="3" t="str">
        <f t="shared" si="2"/>
        <v>5</v>
      </c>
      <c r="H189" s="3" t="s">
        <v>377</v>
      </c>
      <c r="I189" s="8">
        <v>4472.74</v>
      </c>
      <c r="J189" s="8">
        <v>0</v>
      </c>
      <c r="K189" s="8">
        <v>4472.74</v>
      </c>
    </row>
    <row r="190" spans="1:11" hidden="1" x14ac:dyDescent="0.25">
      <c r="A190" s="3" t="s">
        <v>378</v>
      </c>
      <c r="B190" s="3">
        <v>11</v>
      </c>
      <c r="C190" s="5">
        <v>120</v>
      </c>
      <c r="D190" s="6">
        <v>2</v>
      </c>
      <c r="E190" s="7">
        <v>210500</v>
      </c>
      <c r="F190" s="3">
        <v>53310</v>
      </c>
      <c r="G190" s="3" t="str">
        <f t="shared" si="2"/>
        <v>5</v>
      </c>
      <c r="H190" s="3" t="s">
        <v>379</v>
      </c>
      <c r="I190" s="8">
        <v>0</v>
      </c>
      <c r="J190" s="8">
        <v>820.51</v>
      </c>
      <c r="K190" s="8">
        <v>0</v>
      </c>
    </row>
    <row r="191" spans="1:11" hidden="1" x14ac:dyDescent="0.25">
      <c r="A191" s="3" t="s">
        <v>380</v>
      </c>
      <c r="B191" s="3">
        <v>11</v>
      </c>
      <c r="C191" s="5">
        <v>120</v>
      </c>
      <c r="D191" s="6">
        <v>2</v>
      </c>
      <c r="E191" s="7">
        <v>210500</v>
      </c>
      <c r="F191" s="3">
        <v>53330</v>
      </c>
      <c r="G191" s="3" t="str">
        <f t="shared" si="2"/>
        <v>5</v>
      </c>
      <c r="H191" s="3" t="s">
        <v>381</v>
      </c>
      <c r="I191" s="8">
        <v>401.58</v>
      </c>
      <c r="J191" s="8">
        <v>191.87</v>
      </c>
      <c r="K191" s="8">
        <v>401.58</v>
      </c>
    </row>
    <row r="192" spans="1:11" hidden="1" x14ac:dyDescent="0.25">
      <c r="A192" s="3" t="s">
        <v>382</v>
      </c>
      <c r="B192" s="3">
        <v>11</v>
      </c>
      <c r="C192" s="5">
        <v>120</v>
      </c>
      <c r="D192" s="6">
        <v>2</v>
      </c>
      <c r="E192" s="7">
        <v>210500</v>
      </c>
      <c r="F192" s="3">
        <v>53510</v>
      </c>
      <c r="G192" s="3" t="str">
        <f t="shared" si="2"/>
        <v>5</v>
      </c>
      <c r="H192" s="3" t="s">
        <v>383</v>
      </c>
      <c r="I192" s="8">
        <v>13.85</v>
      </c>
      <c r="J192" s="8">
        <v>6.62</v>
      </c>
      <c r="K192" s="8">
        <v>13.85</v>
      </c>
    </row>
    <row r="193" spans="1:11" hidden="1" x14ac:dyDescent="0.25">
      <c r="A193" s="3" t="s">
        <v>384</v>
      </c>
      <c r="B193" s="3">
        <v>11</v>
      </c>
      <c r="C193" s="5">
        <v>120</v>
      </c>
      <c r="D193" s="6">
        <v>2</v>
      </c>
      <c r="E193" s="7">
        <v>210500</v>
      </c>
      <c r="F193" s="3">
        <v>53610</v>
      </c>
      <c r="G193" s="3" t="str">
        <f t="shared" si="2"/>
        <v>5</v>
      </c>
      <c r="H193" s="3" t="s">
        <v>385</v>
      </c>
      <c r="I193" s="8">
        <v>523.66</v>
      </c>
      <c r="J193" s="8">
        <v>250.25</v>
      </c>
      <c r="K193" s="8">
        <v>523.66</v>
      </c>
    </row>
    <row r="194" spans="1:11" hidden="1" x14ac:dyDescent="0.25">
      <c r="A194" s="3" t="s">
        <v>386</v>
      </c>
      <c r="B194" s="3">
        <v>11</v>
      </c>
      <c r="C194" s="5">
        <v>120</v>
      </c>
      <c r="D194" s="6">
        <v>2</v>
      </c>
      <c r="E194" s="7">
        <v>210500</v>
      </c>
      <c r="F194" s="3">
        <v>55630</v>
      </c>
      <c r="G194" s="3" t="str">
        <f t="shared" si="2"/>
        <v>5</v>
      </c>
      <c r="H194" s="3" t="s">
        <v>387</v>
      </c>
      <c r="I194" s="8">
        <v>10</v>
      </c>
      <c r="J194" s="8">
        <v>0</v>
      </c>
      <c r="K194" s="8">
        <v>10</v>
      </c>
    </row>
    <row r="195" spans="1:11" hidden="1" x14ac:dyDescent="0.25">
      <c r="A195" s="3" t="s">
        <v>388</v>
      </c>
      <c r="B195" s="3">
        <v>11</v>
      </c>
      <c r="C195" s="5">
        <v>120</v>
      </c>
      <c r="D195" s="6">
        <v>2</v>
      </c>
      <c r="E195" s="7">
        <v>220200</v>
      </c>
      <c r="F195" s="3">
        <v>51311</v>
      </c>
      <c r="G195" s="3" t="str">
        <f t="shared" ref="G195:G258" si="3">LEFT(F195,1)</f>
        <v>5</v>
      </c>
      <c r="H195" s="3" t="s">
        <v>389</v>
      </c>
      <c r="I195" s="8">
        <v>13612</v>
      </c>
      <c r="J195" s="8">
        <v>8424</v>
      </c>
      <c r="K195" s="8">
        <v>13612</v>
      </c>
    </row>
    <row r="196" spans="1:11" hidden="1" x14ac:dyDescent="0.25">
      <c r="A196" s="3" t="s">
        <v>390</v>
      </c>
      <c r="B196" s="3">
        <v>11</v>
      </c>
      <c r="C196" s="5">
        <v>120</v>
      </c>
      <c r="D196" s="6">
        <v>2</v>
      </c>
      <c r="E196" s="7">
        <v>220200</v>
      </c>
      <c r="F196" s="3">
        <v>53110</v>
      </c>
      <c r="G196" s="3" t="str">
        <f t="shared" si="3"/>
        <v>5</v>
      </c>
      <c r="H196" s="3" t="s">
        <v>391</v>
      </c>
      <c r="I196" s="8">
        <v>2198.34</v>
      </c>
      <c r="J196" s="8">
        <v>0</v>
      </c>
      <c r="K196" s="8">
        <v>2198.34</v>
      </c>
    </row>
    <row r="197" spans="1:11" hidden="1" x14ac:dyDescent="0.25">
      <c r="A197" s="3" t="s">
        <v>392</v>
      </c>
      <c r="B197" s="3">
        <v>11</v>
      </c>
      <c r="C197" s="5">
        <v>120</v>
      </c>
      <c r="D197" s="6">
        <v>2</v>
      </c>
      <c r="E197" s="7">
        <v>220200</v>
      </c>
      <c r="F197" s="3">
        <v>53330</v>
      </c>
      <c r="G197" s="3" t="str">
        <f t="shared" si="3"/>
        <v>5</v>
      </c>
      <c r="H197" s="3" t="s">
        <v>393</v>
      </c>
      <c r="I197" s="8">
        <v>197.37</v>
      </c>
      <c r="J197" s="8">
        <v>122.16</v>
      </c>
      <c r="K197" s="8">
        <v>197.37</v>
      </c>
    </row>
    <row r="198" spans="1:11" hidden="1" x14ac:dyDescent="0.25">
      <c r="A198" s="3" t="s">
        <v>394</v>
      </c>
      <c r="B198" s="3">
        <v>11</v>
      </c>
      <c r="C198" s="5">
        <v>120</v>
      </c>
      <c r="D198" s="6">
        <v>2</v>
      </c>
      <c r="E198" s="7">
        <v>220200</v>
      </c>
      <c r="F198" s="3">
        <v>53510</v>
      </c>
      <c r="G198" s="3" t="str">
        <f t="shared" si="3"/>
        <v>5</v>
      </c>
      <c r="H198" s="3" t="s">
        <v>395</v>
      </c>
      <c r="I198" s="8">
        <v>6.81</v>
      </c>
      <c r="J198" s="8">
        <v>4.21</v>
      </c>
      <c r="K198" s="8">
        <v>6.81</v>
      </c>
    </row>
    <row r="199" spans="1:11" hidden="1" x14ac:dyDescent="0.25">
      <c r="A199" s="3" t="s">
        <v>396</v>
      </c>
      <c r="B199" s="3">
        <v>11</v>
      </c>
      <c r="C199" s="5">
        <v>120</v>
      </c>
      <c r="D199" s="6">
        <v>2</v>
      </c>
      <c r="E199" s="7">
        <v>220200</v>
      </c>
      <c r="F199" s="3">
        <v>53610</v>
      </c>
      <c r="G199" s="3" t="str">
        <f t="shared" si="3"/>
        <v>5</v>
      </c>
      <c r="H199" s="3" t="s">
        <v>397</v>
      </c>
      <c r="I199" s="8">
        <v>257.38</v>
      </c>
      <c r="J199" s="8">
        <v>159.29</v>
      </c>
      <c r="K199" s="8">
        <v>257.38</v>
      </c>
    </row>
    <row r="200" spans="1:11" hidden="1" x14ac:dyDescent="0.25">
      <c r="A200" s="3" t="s">
        <v>398</v>
      </c>
      <c r="B200" s="3">
        <v>11</v>
      </c>
      <c r="C200" s="5">
        <v>120</v>
      </c>
      <c r="D200" s="6">
        <v>2</v>
      </c>
      <c r="E200" s="7">
        <v>220200</v>
      </c>
      <c r="F200" s="3">
        <v>55630</v>
      </c>
      <c r="G200" s="3" t="str">
        <f t="shared" si="3"/>
        <v>5</v>
      </c>
      <c r="H200" s="3" t="s">
        <v>399</v>
      </c>
      <c r="I200" s="8">
        <v>42</v>
      </c>
      <c r="J200" s="8">
        <v>0</v>
      </c>
      <c r="K200" s="8">
        <v>42</v>
      </c>
    </row>
    <row r="201" spans="1:11" hidden="1" x14ac:dyDescent="0.25">
      <c r="A201" s="3" t="s">
        <v>400</v>
      </c>
      <c r="B201" s="3">
        <v>11</v>
      </c>
      <c r="C201" s="5">
        <v>120</v>
      </c>
      <c r="D201" s="6">
        <v>2</v>
      </c>
      <c r="E201" s="7">
        <v>220210</v>
      </c>
      <c r="F201" s="3">
        <v>51311</v>
      </c>
      <c r="G201" s="3" t="str">
        <f t="shared" si="3"/>
        <v>5</v>
      </c>
      <c r="H201" s="3" t="s">
        <v>401</v>
      </c>
      <c r="I201" s="8">
        <v>57590</v>
      </c>
      <c r="J201" s="8">
        <v>6922.44</v>
      </c>
      <c r="K201" s="8">
        <v>57590</v>
      </c>
    </row>
    <row r="202" spans="1:11" hidden="1" x14ac:dyDescent="0.25">
      <c r="A202" s="3" t="s">
        <v>402</v>
      </c>
      <c r="B202" s="3">
        <v>11</v>
      </c>
      <c r="C202" s="5">
        <v>120</v>
      </c>
      <c r="D202" s="6">
        <v>2</v>
      </c>
      <c r="E202" s="7">
        <v>220210</v>
      </c>
      <c r="F202" s="3">
        <v>53110</v>
      </c>
      <c r="G202" s="3" t="str">
        <f t="shared" si="3"/>
        <v>5</v>
      </c>
      <c r="H202" s="3" t="s">
        <v>403</v>
      </c>
      <c r="I202" s="8">
        <v>9300.7900000000009</v>
      </c>
      <c r="J202" s="8">
        <v>1117.97</v>
      </c>
      <c r="K202" s="8">
        <v>9300.7900000000009</v>
      </c>
    </row>
    <row r="203" spans="1:11" hidden="1" x14ac:dyDescent="0.25">
      <c r="A203" s="3" t="s">
        <v>404</v>
      </c>
      <c r="B203" s="3">
        <v>11</v>
      </c>
      <c r="C203" s="5">
        <v>120</v>
      </c>
      <c r="D203" s="6">
        <v>2</v>
      </c>
      <c r="E203" s="7">
        <v>220210</v>
      </c>
      <c r="F203" s="3">
        <v>53330</v>
      </c>
      <c r="G203" s="3" t="str">
        <f t="shared" si="3"/>
        <v>5</v>
      </c>
      <c r="H203" s="3" t="s">
        <v>405</v>
      </c>
      <c r="I203" s="8">
        <v>835.06</v>
      </c>
      <c r="J203" s="8">
        <v>100.37</v>
      </c>
      <c r="K203" s="8">
        <v>835.06</v>
      </c>
    </row>
    <row r="204" spans="1:11" hidden="1" x14ac:dyDescent="0.25">
      <c r="A204" s="3" t="s">
        <v>406</v>
      </c>
      <c r="B204" s="3">
        <v>11</v>
      </c>
      <c r="C204" s="5">
        <v>120</v>
      </c>
      <c r="D204" s="6">
        <v>2</v>
      </c>
      <c r="E204" s="7">
        <v>220210</v>
      </c>
      <c r="F204" s="3">
        <v>53510</v>
      </c>
      <c r="G204" s="3" t="str">
        <f t="shared" si="3"/>
        <v>5</v>
      </c>
      <c r="H204" s="3" t="s">
        <v>407</v>
      </c>
      <c r="I204" s="8">
        <v>28.8</v>
      </c>
      <c r="J204" s="8">
        <v>3.46</v>
      </c>
      <c r="K204" s="8">
        <v>28.8</v>
      </c>
    </row>
    <row r="205" spans="1:11" hidden="1" x14ac:dyDescent="0.25">
      <c r="A205" s="3" t="s">
        <v>408</v>
      </c>
      <c r="B205" s="3">
        <v>11</v>
      </c>
      <c r="C205" s="5">
        <v>120</v>
      </c>
      <c r="D205" s="6">
        <v>2</v>
      </c>
      <c r="E205" s="7">
        <v>220210</v>
      </c>
      <c r="F205" s="3">
        <v>53610</v>
      </c>
      <c r="G205" s="3" t="str">
        <f t="shared" si="3"/>
        <v>5</v>
      </c>
      <c r="H205" s="3" t="s">
        <v>409</v>
      </c>
      <c r="I205" s="8">
        <v>1088.9100000000001</v>
      </c>
      <c r="J205" s="8">
        <v>130.88</v>
      </c>
      <c r="K205" s="8">
        <v>1088.9100000000001</v>
      </c>
    </row>
    <row r="206" spans="1:11" hidden="1" x14ac:dyDescent="0.25">
      <c r="A206" s="3" t="s">
        <v>410</v>
      </c>
      <c r="B206" s="3">
        <v>11</v>
      </c>
      <c r="C206" s="5">
        <v>120</v>
      </c>
      <c r="D206" s="6">
        <v>2</v>
      </c>
      <c r="E206" s="7">
        <v>220500</v>
      </c>
      <c r="F206" s="3">
        <v>51311</v>
      </c>
      <c r="G206" s="3" t="str">
        <f t="shared" si="3"/>
        <v>5</v>
      </c>
      <c r="H206" s="3" t="s">
        <v>411</v>
      </c>
      <c r="I206" s="8">
        <v>17512</v>
      </c>
      <c r="J206" s="8">
        <v>15303.14</v>
      </c>
      <c r="K206" s="8">
        <v>17512</v>
      </c>
    </row>
    <row r="207" spans="1:11" hidden="1" x14ac:dyDescent="0.25">
      <c r="A207" s="3" t="s">
        <v>412</v>
      </c>
      <c r="B207" s="3">
        <v>11</v>
      </c>
      <c r="C207" s="5">
        <v>120</v>
      </c>
      <c r="D207" s="6">
        <v>2</v>
      </c>
      <c r="E207" s="7">
        <v>220500</v>
      </c>
      <c r="F207" s="3">
        <v>53110</v>
      </c>
      <c r="G207" s="3" t="str">
        <f t="shared" si="3"/>
        <v>5</v>
      </c>
      <c r="H207" s="3" t="s">
        <v>413</v>
      </c>
      <c r="I207" s="8">
        <v>2828.19</v>
      </c>
      <c r="J207" s="8">
        <v>2471.4899999999998</v>
      </c>
      <c r="K207" s="8">
        <v>2828.19</v>
      </c>
    </row>
    <row r="208" spans="1:11" hidden="1" x14ac:dyDescent="0.25">
      <c r="A208" s="3" t="s">
        <v>414</v>
      </c>
      <c r="B208" s="3">
        <v>11</v>
      </c>
      <c r="C208" s="5">
        <v>120</v>
      </c>
      <c r="D208" s="6">
        <v>2</v>
      </c>
      <c r="E208" s="7">
        <v>220500</v>
      </c>
      <c r="F208" s="3">
        <v>53330</v>
      </c>
      <c r="G208" s="3" t="str">
        <f t="shared" si="3"/>
        <v>5</v>
      </c>
      <c r="H208" s="3" t="s">
        <v>415</v>
      </c>
      <c r="I208" s="8">
        <v>253.92</v>
      </c>
      <c r="J208" s="8">
        <v>221.92</v>
      </c>
      <c r="K208" s="8">
        <v>253.92</v>
      </c>
    </row>
    <row r="209" spans="1:11" hidden="1" x14ac:dyDescent="0.25">
      <c r="A209" s="3" t="s">
        <v>416</v>
      </c>
      <c r="B209" s="3">
        <v>11</v>
      </c>
      <c r="C209" s="5">
        <v>120</v>
      </c>
      <c r="D209" s="6">
        <v>2</v>
      </c>
      <c r="E209" s="7">
        <v>220500</v>
      </c>
      <c r="F209" s="3">
        <v>53510</v>
      </c>
      <c r="G209" s="3" t="str">
        <f t="shared" si="3"/>
        <v>5</v>
      </c>
      <c r="H209" s="3" t="s">
        <v>417</v>
      </c>
      <c r="I209" s="8">
        <v>8.76</v>
      </c>
      <c r="J209" s="8">
        <v>7.63</v>
      </c>
      <c r="K209" s="8">
        <v>8.76</v>
      </c>
    </row>
    <row r="210" spans="1:11" hidden="1" x14ac:dyDescent="0.25">
      <c r="A210" s="3" t="s">
        <v>418</v>
      </c>
      <c r="B210" s="3">
        <v>11</v>
      </c>
      <c r="C210" s="5">
        <v>120</v>
      </c>
      <c r="D210" s="6">
        <v>2</v>
      </c>
      <c r="E210" s="7">
        <v>220500</v>
      </c>
      <c r="F210" s="3">
        <v>53610</v>
      </c>
      <c r="G210" s="3" t="str">
        <f t="shared" si="3"/>
        <v>5</v>
      </c>
      <c r="H210" s="3" t="s">
        <v>419</v>
      </c>
      <c r="I210" s="8">
        <v>331.12</v>
      </c>
      <c r="J210" s="8">
        <v>289.33999999999997</v>
      </c>
      <c r="K210" s="8">
        <v>331.12</v>
      </c>
    </row>
    <row r="211" spans="1:11" hidden="1" x14ac:dyDescent="0.25">
      <c r="A211" s="3" t="s">
        <v>420</v>
      </c>
      <c r="B211" s="3">
        <v>11</v>
      </c>
      <c r="C211" s="5">
        <v>120</v>
      </c>
      <c r="D211" s="6">
        <v>2</v>
      </c>
      <c r="E211" s="7">
        <v>220500</v>
      </c>
      <c r="F211" s="3">
        <v>55630</v>
      </c>
      <c r="G211" s="3" t="str">
        <f t="shared" si="3"/>
        <v>5</v>
      </c>
      <c r="H211" s="3" t="s">
        <v>421</v>
      </c>
      <c r="I211" s="8">
        <v>32</v>
      </c>
      <c r="J211" s="8">
        <v>0</v>
      </c>
      <c r="K211" s="8">
        <v>32</v>
      </c>
    </row>
    <row r="212" spans="1:11" hidden="1" x14ac:dyDescent="0.25">
      <c r="A212" s="3" t="s">
        <v>422</v>
      </c>
      <c r="B212" s="3">
        <v>11</v>
      </c>
      <c r="C212" s="5">
        <v>120</v>
      </c>
      <c r="D212" s="6">
        <v>2</v>
      </c>
      <c r="E212" s="7">
        <v>220600</v>
      </c>
      <c r="F212" s="3">
        <v>51311</v>
      </c>
      <c r="G212" s="3" t="str">
        <f t="shared" si="3"/>
        <v>5</v>
      </c>
      <c r="H212" s="3" t="s">
        <v>423</v>
      </c>
      <c r="I212" s="8">
        <v>3167</v>
      </c>
      <c r="J212" s="8">
        <v>0</v>
      </c>
      <c r="K212" s="8">
        <v>3167</v>
      </c>
    </row>
    <row r="213" spans="1:11" hidden="1" x14ac:dyDescent="0.25">
      <c r="A213" s="3" t="s">
        <v>424</v>
      </c>
      <c r="B213" s="3">
        <v>11</v>
      </c>
      <c r="C213" s="5">
        <v>120</v>
      </c>
      <c r="D213" s="6">
        <v>2</v>
      </c>
      <c r="E213" s="7">
        <v>220600</v>
      </c>
      <c r="F213" s="3">
        <v>53110</v>
      </c>
      <c r="G213" s="3" t="str">
        <f t="shared" si="3"/>
        <v>5</v>
      </c>
      <c r="H213" s="3" t="s">
        <v>425</v>
      </c>
      <c r="I213" s="8">
        <v>511.47</v>
      </c>
      <c r="J213" s="8">
        <v>0</v>
      </c>
      <c r="K213" s="8">
        <v>511.47</v>
      </c>
    </row>
    <row r="214" spans="1:11" hidden="1" x14ac:dyDescent="0.25">
      <c r="A214" s="3" t="s">
        <v>426</v>
      </c>
      <c r="B214" s="3">
        <v>11</v>
      </c>
      <c r="C214" s="5">
        <v>120</v>
      </c>
      <c r="D214" s="6">
        <v>2</v>
      </c>
      <c r="E214" s="7">
        <v>220600</v>
      </c>
      <c r="F214" s="3">
        <v>53330</v>
      </c>
      <c r="G214" s="3" t="str">
        <f t="shared" si="3"/>
        <v>5</v>
      </c>
      <c r="H214" s="3" t="s">
        <v>427</v>
      </c>
      <c r="I214" s="8">
        <v>45.92</v>
      </c>
      <c r="J214" s="8">
        <v>0</v>
      </c>
      <c r="K214" s="8">
        <v>45.92</v>
      </c>
    </row>
    <row r="215" spans="1:11" hidden="1" x14ac:dyDescent="0.25">
      <c r="A215" s="3" t="s">
        <v>428</v>
      </c>
      <c r="B215" s="3">
        <v>11</v>
      </c>
      <c r="C215" s="5">
        <v>120</v>
      </c>
      <c r="D215" s="6">
        <v>2</v>
      </c>
      <c r="E215" s="7">
        <v>220600</v>
      </c>
      <c r="F215" s="3">
        <v>53510</v>
      </c>
      <c r="G215" s="3" t="str">
        <f t="shared" si="3"/>
        <v>5</v>
      </c>
      <c r="H215" s="3" t="s">
        <v>429</v>
      </c>
      <c r="I215" s="8">
        <v>1.58</v>
      </c>
      <c r="J215" s="8">
        <v>0</v>
      </c>
      <c r="K215" s="8">
        <v>1.58</v>
      </c>
    </row>
    <row r="216" spans="1:11" hidden="1" x14ac:dyDescent="0.25">
      <c r="A216" s="3" t="s">
        <v>430</v>
      </c>
      <c r="B216" s="3">
        <v>11</v>
      </c>
      <c r="C216" s="5">
        <v>120</v>
      </c>
      <c r="D216" s="6">
        <v>2</v>
      </c>
      <c r="E216" s="7">
        <v>220600</v>
      </c>
      <c r="F216" s="3">
        <v>53610</v>
      </c>
      <c r="G216" s="3" t="str">
        <f t="shared" si="3"/>
        <v>5</v>
      </c>
      <c r="H216" s="3" t="s">
        <v>431</v>
      </c>
      <c r="I216" s="8">
        <v>59.88</v>
      </c>
      <c r="J216" s="8">
        <v>0</v>
      </c>
      <c r="K216" s="8">
        <v>59.88</v>
      </c>
    </row>
    <row r="217" spans="1:11" hidden="1" x14ac:dyDescent="0.25">
      <c r="A217" s="3" t="s">
        <v>432</v>
      </c>
      <c r="B217" s="3">
        <v>11</v>
      </c>
      <c r="C217" s="5">
        <v>120</v>
      </c>
      <c r="D217" s="6">
        <v>2</v>
      </c>
      <c r="E217" s="7">
        <v>220700</v>
      </c>
      <c r="F217" s="3">
        <v>51311</v>
      </c>
      <c r="G217" s="3" t="str">
        <f t="shared" si="3"/>
        <v>5</v>
      </c>
      <c r="H217" s="3" t="s">
        <v>433</v>
      </c>
      <c r="I217" s="8">
        <v>4262</v>
      </c>
      <c r="J217" s="8">
        <v>3369.6</v>
      </c>
      <c r="K217" s="8">
        <v>4262</v>
      </c>
    </row>
    <row r="218" spans="1:11" hidden="1" x14ac:dyDescent="0.25">
      <c r="A218" s="3" t="s">
        <v>434</v>
      </c>
      <c r="B218" s="3">
        <v>11</v>
      </c>
      <c r="C218" s="5">
        <v>120</v>
      </c>
      <c r="D218" s="6">
        <v>2</v>
      </c>
      <c r="E218" s="7">
        <v>220700</v>
      </c>
      <c r="F218" s="3">
        <v>53110</v>
      </c>
      <c r="G218" s="3" t="str">
        <f t="shared" si="3"/>
        <v>5</v>
      </c>
      <c r="H218" s="3" t="s">
        <v>435</v>
      </c>
      <c r="I218" s="8">
        <v>688.31</v>
      </c>
      <c r="J218" s="8">
        <v>0</v>
      </c>
      <c r="K218" s="8">
        <v>688.31</v>
      </c>
    </row>
    <row r="219" spans="1:11" hidden="1" x14ac:dyDescent="0.25">
      <c r="A219" s="3" t="s">
        <v>436</v>
      </c>
      <c r="B219" s="3">
        <v>11</v>
      </c>
      <c r="C219" s="5">
        <v>120</v>
      </c>
      <c r="D219" s="6">
        <v>2</v>
      </c>
      <c r="E219" s="7">
        <v>220700</v>
      </c>
      <c r="F219" s="3">
        <v>53330</v>
      </c>
      <c r="G219" s="3" t="str">
        <f t="shared" si="3"/>
        <v>5</v>
      </c>
      <c r="H219" s="3" t="s">
        <v>437</v>
      </c>
      <c r="I219" s="8">
        <v>61.8</v>
      </c>
      <c r="J219" s="8">
        <v>48.85</v>
      </c>
      <c r="K219" s="8">
        <v>61.8</v>
      </c>
    </row>
    <row r="220" spans="1:11" hidden="1" x14ac:dyDescent="0.25">
      <c r="A220" s="3" t="s">
        <v>438</v>
      </c>
      <c r="B220" s="3">
        <v>11</v>
      </c>
      <c r="C220" s="5">
        <v>120</v>
      </c>
      <c r="D220" s="6">
        <v>2</v>
      </c>
      <c r="E220" s="7">
        <v>220700</v>
      </c>
      <c r="F220" s="3">
        <v>53510</v>
      </c>
      <c r="G220" s="3" t="str">
        <f t="shared" si="3"/>
        <v>5</v>
      </c>
      <c r="H220" s="3" t="s">
        <v>439</v>
      </c>
      <c r="I220" s="8">
        <v>2.13</v>
      </c>
      <c r="J220" s="8">
        <v>1.68</v>
      </c>
      <c r="K220" s="8">
        <v>2.13</v>
      </c>
    </row>
    <row r="221" spans="1:11" hidden="1" x14ac:dyDescent="0.25">
      <c r="A221" s="3" t="s">
        <v>440</v>
      </c>
      <c r="B221" s="3">
        <v>11</v>
      </c>
      <c r="C221" s="5">
        <v>120</v>
      </c>
      <c r="D221" s="6">
        <v>2</v>
      </c>
      <c r="E221" s="7">
        <v>220700</v>
      </c>
      <c r="F221" s="3">
        <v>53610</v>
      </c>
      <c r="G221" s="3" t="str">
        <f t="shared" si="3"/>
        <v>5</v>
      </c>
      <c r="H221" s="3" t="s">
        <v>441</v>
      </c>
      <c r="I221" s="8">
        <v>80.59</v>
      </c>
      <c r="J221" s="8">
        <v>63.72</v>
      </c>
      <c r="K221" s="8">
        <v>80.59</v>
      </c>
    </row>
    <row r="222" spans="1:11" hidden="1" x14ac:dyDescent="0.25">
      <c r="A222" s="3" t="s">
        <v>442</v>
      </c>
      <c r="B222" s="3">
        <v>11</v>
      </c>
      <c r="C222" s="5">
        <v>120</v>
      </c>
      <c r="D222" s="6">
        <v>2</v>
      </c>
      <c r="E222" s="7">
        <v>220700</v>
      </c>
      <c r="F222" s="3">
        <v>55630</v>
      </c>
      <c r="G222" s="3" t="str">
        <f t="shared" si="3"/>
        <v>5</v>
      </c>
      <c r="H222" s="3" t="s">
        <v>443</v>
      </c>
      <c r="I222" s="8">
        <v>122</v>
      </c>
      <c r="J222" s="8">
        <v>0</v>
      </c>
      <c r="K222" s="8">
        <v>122</v>
      </c>
    </row>
    <row r="223" spans="1:11" hidden="1" x14ac:dyDescent="0.25">
      <c r="A223" s="3" t="s">
        <v>444</v>
      </c>
      <c r="B223" s="3">
        <v>11</v>
      </c>
      <c r="C223" s="5">
        <v>120</v>
      </c>
      <c r="D223" s="6">
        <v>2</v>
      </c>
      <c r="E223" s="7">
        <v>220800</v>
      </c>
      <c r="F223" s="3">
        <v>51311</v>
      </c>
      <c r="G223" s="3" t="str">
        <f t="shared" si="3"/>
        <v>5</v>
      </c>
      <c r="H223" s="3" t="s">
        <v>445</v>
      </c>
      <c r="I223" s="8">
        <v>14066</v>
      </c>
      <c r="J223" s="8">
        <v>8986.44</v>
      </c>
      <c r="K223" s="8">
        <v>14066</v>
      </c>
    </row>
    <row r="224" spans="1:11" hidden="1" x14ac:dyDescent="0.25">
      <c r="A224" s="3" t="s">
        <v>446</v>
      </c>
      <c r="B224" s="3">
        <v>11</v>
      </c>
      <c r="C224" s="5">
        <v>120</v>
      </c>
      <c r="D224" s="6">
        <v>2</v>
      </c>
      <c r="E224" s="7">
        <v>220800</v>
      </c>
      <c r="F224" s="3">
        <v>53110</v>
      </c>
      <c r="G224" s="3" t="str">
        <f t="shared" si="3"/>
        <v>5</v>
      </c>
      <c r="H224" s="3" t="s">
        <v>447</v>
      </c>
      <c r="I224" s="8">
        <v>2271.66</v>
      </c>
      <c r="J224" s="8">
        <v>1451.29</v>
      </c>
      <c r="K224" s="8">
        <v>2271.66</v>
      </c>
    </row>
    <row r="225" spans="1:11" hidden="1" x14ac:dyDescent="0.25">
      <c r="A225" s="3" t="s">
        <v>448</v>
      </c>
      <c r="B225" s="3">
        <v>11</v>
      </c>
      <c r="C225" s="5">
        <v>120</v>
      </c>
      <c r="D225" s="6">
        <v>2</v>
      </c>
      <c r="E225" s="7">
        <v>220800</v>
      </c>
      <c r="F225" s="3">
        <v>53330</v>
      </c>
      <c r="G225" s="3" t="str">
        <f t="shared" si="3"/>
        <v>5</v>
      </c>
      <c r="H225" s="3" t="s">
        <v>449</v>
      </c>
      <c r="I225" s="8">
        <v>203.96</v>
      </c>
      <c r="J225" s="8">
        <v>130.32</v>
      </c>
      <c r="K225" s="8">
        <v>203.96</v>
      </c>
    </row>
    <row r="226" spans="1:11" hidden="1" x14ac:dyDescent="0.25">
      <c r="A226" s="3" t="s">
        <v>450</v>
      </c>
      <c r="B226" s="3">
        <v>11</v>
      </c>
      <c r="C226" s="5">
        <v>120</v>
      </c>
      <c r="D226" s="6">
        <v>2</v>
      </c>
      <c r="E226" s="7">
        <v>220800</v>
      </c>
      <c r="F226" s="3">
        <v>53510</v>
      </c>
      <c r="G226" s="3" t="str">
        <f t="shared" si="3"/>
        <v>5</v>
      </c>
      <c r="H226" s="3" t="s">
        <v>451</v>
      </c>
      <c r="I226" s="8">
        <v>7.03</v>
      </c>
      <c r="J226" s="8">
        <v>4.45</v>
      </c>
      <c r="K226" s="8">
        <v>7.03</v>
      </c>
    </row>
    <row r="227" spans="1:11" hidden="1" x14ac:dyDescent="0.25">
      <c r="A227" s="3" t="s">
        <v>452</v>
      </c>
      <c r="B227" s="3">
        <v>11</v>
      </c>
      <c r="C227" s="5">
        <v>120</v>
      </c>
      <c r="D227" s="6">
        <v>2</v>
      </c>
      <c r="E227" s="7">
        <v>220800</v>
      </c>
      <c r="F227" s="3">
        <v>53610</v>
      </c>
      <c r="G227" s="3" t="str">
        <f t="shared" si="3"/>
        <v>5</v>
      </c>
      <c r="H227" s="3" t="s">
        <v>453</v>
      </c>
      <c r="I227" s="8">
        <v>265.95999999999998</v>
      </c>
      <c r="J227" s="8">
        <v>169.92</v>
      </c>
      <c r="K227" s="8">
        <v>265.95999999999998</v>
      </c>
    </row>
    <row r="228" spans="1:11" hidden="1" x14ac:dyDescent="0.25">
      <c r="A228" s="3" t="s">
        <v>454</v>
      </c>
      <c r="B228" s="3">
        <v>11</v>
      </c>
      <c r="C228" s="5">
        <v>120</v>
      </c>
      <c r="D228" s="6">
        <v>2</v>
      </c>
      <c r="E228" s="7">
        <v>220800</v>
      </c>
      <c r="F228" s="3">
        <v>55630</v>
      </c>
      <c r="G228" s="3" t="str">
        <f t="shared" si="3"/>
        <v>5</v>
      </c>
      <c r="H228" s="3" t="s">
        <v>455</v>
      </c>
      <c r="I228" s="8">
        <v>192</v>
      </c>
      <c r="J228" s="8">
        <v>4.09</v>
      </c>
      <c r="K228" s="8">
        <v>192</v>
      </c>
    </row>
    <row r="229" spans="1:11" hidden="1" x14ac:dyDescent="0.25">
      <c r="A229" s="3" t="s">
        <v>456</v>
      </c>
      <c r="B229" s="3">
        <v>11</v>
      </c>
      <c r="C229" s="5">
        <v>120</v>
      </c>
      <c r="D229" s="6">
        <v>2</v>
      </c>
      <c r="E229" s="7">
        <v>493010</v>
      </c>
      <c r="F229" s="3">
        <v>51311</v>
      </c>
      <c r="G229" s="3" t="str">
        <f t="shared" si="3"/>
        <v>5</v>
      </c>
      <c r="H229" s="3" t="s">
        <v>457</v>
      </c>
      <c r="I229" s="8">
        <v>10958</v>
      </c>
      <c r="J229" s="8">
        <v>0</v>
      </c>
      <c r="K229" s="8">
        <v>10958</v>
      </c>
    </row>
    <row r="230" spans="1:11" hidden="1" x14ac:dyDescent="0.25">
      <c r="A230" s="3" t="s">
        <v>458</v>
      </c>
      <c r="B230" s="3">
        <v>11</v>
      </c>
      <c r="C230" s="5">
        <v>120</v>
      </c>
      <c r="D230" s="6">
        <v>2</v>
      </c>
      <c r="E230" s="7">
        <v>493010</v>
      </c>
      <c r="F230" s="3">
        <v>53110</v>
      </c>
      <c r="G230" s="3" t="str">
        <f t="shared" si="3"/>
        <v>5</v>
      </c>
      <c r="H230" s="3" t="s">
        <v>459</v>
      </c>
      <c r="I230" s="8">
        <v>1769.72</v>
      </c>
      <c r="J230" s="8">
        <v>0</v>
      </c>
      <c r="K230" s="8">
        <v>1769.72</v>
      </c>
    </row>
    <row r="231" spans="1:11" hidden="1" x14ac:dyDescent="0.25">
      <c r="A231" s="3" t="s">
        <v>460</v>
      </c>
      <c r="B231" s="3">
        <v>11</v>
      </c>
      <c r="C231" s="5">
        <v>120</v>
      </c>
      <c r="D231" s="6">
        <v>2</v>
      </c>
      <c r="E231" s="7">
        <v>493010</v>
      </c>
      <c r="F231" s="3">
        <v>53330</v>
      </c>
      <c r="G231" s="3" t="str">
        <f t="shared" si="3"/>
        <v>5</v>
      </c>
      <c r="H231" s="3" t="s">
        <v>461</v>
      </c>
      <c r="I231" s="8">
        <v>158.88999999999999</v>
      </c>
      <c r="J231" s="8">
        <v>0</v>
      </c>
      <c r="K231" s="8">
        <v>158.88999999999999</v>
      </c>
    </row>
    <row r="232" spans="1:11" hidden="1" x14ac:dyDescent="0.25">
      <c r="A232" s="3" t="s">
        <v>462</v>
      </c>
      <c r="B232" s="3">
        <v>11</v>
      </c>
      <c r="C232" s="5">
        <v>120</v>
      </c>
      <c r="D232" s="6">
        <v>2</v>
      </c>
      <c r="E232" s="7">
        <v>493010</v>
      </c>
      <c r="F232" s="3">
        <v>53510</v>
      </c>
      <c r="G232" s="3" t="str">
        <f t="shared" si="3"/>
        <v>5</v>
      </c>
      <c r="H232" s="3" t="s">
        <v>463</v>
      </c>
      <c r="I232" s="8">
        <v>5.48</v>
      </c>
      <c r="J232" s="8">
        <v>0</v>
      </c>
      <c r="K232" s="8">
        <v>5.48</v>
      </c>
    </row>
    <row r="233" spans="1:11" hidden="1" x14ac:dyDescent="0.25">
      <c r="A233" s="3" t="s">
        <v>464</v>
      </c>
      <c r="B233" s="3">
        <v>11</v>
      </c>
      <c r="C233" s="5">
        <v>120</v>
      </c>
      <c r="D233" s="6">
        <v>2</v>
      </c>
      <c r="E233" s="7">
        <v>493010</v>
      </c>
      <c r="F233" s="3">
        <v>53610</v>
      </c>
      <c r="G233" s="3" t="str">
        <f t="shared" si="3"/>
        <v>5</v>
      </c>
      <c r="H233" s="3" t="s">
        <v>465</v>
      </c>
      <c r="I233" s="8">
        <v>207.19</v>
      </c>
      <c r="J233" s="8">
        <v>0</v>
      </c>
      <c r="K233" s="8">
        <v>207.19</v>
      </c>
    </row>
    <row r="234" spans="1:11" hidden="1" x14ac:dyDescent="0.25">
      <c r="A234" s="3" t="s">
        <v>466</v>
      </c>
      <c r="B234" s="3">
        <v>11</v>
      </c>
      <c r="C234" s="5">
        <v>120</v>
      </c>
      <c r="D234" s="6">
        <v>2</v>
      </c>
      <c r="E234" s="7">
        <v>493080</v>
      </c>
      <c r="F234" s="3">
        <v>51311</v>
      </c>
      <c r="G234" s="3" t="str">
        <f t="shared" si="3"/>
        <v>5</v>
      </c>
      <c r="H234" s="3" t="s">
        <v>467</v>
      </c>
      <c r="I234" s="8">
        <v>40554</v>
      </c>
      <c r="J234" s="8">
        <v>13713.2</v>
      </c>
      <c r="K234" s="8">
        <v>40554</v>
      </c>
    </row>
    <row r="235" spans="1:11" hidden="1" x14ac:dyDescent="0.25">
      <c r="A235" s="3" t="s">
        <v>468</v>
      </c>
      <c r="B235" s="3">
        <v>11</v>
      </c>
      <c r="C235" s="5">
        <v>120</v>
      </c>
      <c r="D235" s="6">
        <v>2</v>
      </c>
      <c r="E235" s="7">
        <v>493080</v>
      </c>
      <c r="F235" s="3">
        <v>53110</v>
      </c>
      <c r="G235" s="3" t="str">
        <f t="shared" si="3"/>
        <v>5</v>
      </c>
      <c r="H235" s="3" t="s">
        <v>469</v>
      </c>
      <c r="I235" s="8">
        <v>6549.47</v>
      </c>
      <c r="J235" s="8">
        <v>2214.69</v>
      </c>
      <c r="K235" s="8">
        <v>6549.47</v>
      </c>
    </row>
    <row r="236" spans="1:11" hidden="1" x14ac:dyDescent="0.25">
      <c r="A236" s="3" t="s">
        <v>470</v>
      </c>
      <c r="B236" s="3">
        <v>11</v>
      </c>
      <c r="C236" s="5">
        <v>120</v>
      </c>
      <c r="D236" s="6">
        <v>2</v>
      </c>
      <c r="E236" s="7">
        <v>493080</v>
      </c>
      <c r="F236" s="3">
        <v>53330</v>
      </c>
      <c r="G236" s="3" t="str">
        <f t="shared" si="3"/>
        <v>5</v>
      </c>
      <c r="H236" s="3" t="s">
        <v>471</v>
      </c>
      <c r="I236" s="8">
        <v>588.03</v>
      </c>
      <c r="J236" s="8">
        <v>198.86</v>
      </c>
      <c r="K236" s="8">
        <v>588.03</v>
      </c>
    </row>
    <row r="237" spans="1:11" hidden="1" x14ac:dyDescent="0.25">
      <c r="A237" s="3" t="s">
        <v>472</v>
      </c>
      <c r="B237" s="3">
        <v>11</v>
      </c>
      <c r="C237" s="5">
        <v>120</v>
      </c>
      <c r="D237" s="6">
        <v>2</v>
      </c>
      <c r="E237" s="7">
        <v>493080</v>
      </c>
      <c r="F237" s="3">
        <v>53510</v>
      </c>
      <c r="G237" s="3" t="str">
        <f t="shared" si="3"/>
        <v>5</v>
      </c>
      <c r="H237" s="3" t="s">
        <v>473</v>
      </c>
      <c r="I237" s="8">
        <v>20.28</v>
      </c>
      <c r="J237" s="8">
        <v>6.87</v>
      </c>
      <c r="K237" s="8">
        <v>20.28</v>
      </c>
    </row>
    <row r="238" spans="1:11" hidden="1" x14ac:dyDescent="0.25">
      <c r="A238" s="3" t="s">
        <v>474</v>
      </c>
      <c r="B238" s="3">
        <v>11</v>
      </c>
      <c r="C238" s="5">
        <v>120</v>
      </c>
      <c r="D238" s="6">
        <v>2</v>
      </c>
      <c r="E238" s="7">
        <v>493080</v>
      </c>
      <c r="F238" s="3">
        <v>53610</v>
      </c>
      <c r="G238" s="3" t="str">
        <f t="shared" si="3"/>
        <v>5</v>
      </c>
      <c r="H238" s="3" t="s">
        <v>475</v>
      </c>
      <c r="I238" s="8">
        <v>766.8</v>
      </c>
      <c r="J238" s="8">
        <v>259.27</v>
      </c>
      <c r="K238" s="8">
        <v>766.8</v>
      </c>
    </row>
    <row r="239" spans="1:11" hidden="1" x14ac:dyDescent="0.25">
      <c r="A239" s="3" t="s">
        <v>476</v>
      </c>
      <c r="B239" s="3">
        <v>11</v>
      </c>
      <c r="C239" s="5">
        <v>120</v>
      </c>
      <c r="D239" s="6">
        <v>2</v>
      </c>
      <c r="E239" s="7">
        <v>601000</v>
      </c>
      <c r="F239" s="3">
        <v>51210</v>
      </c>
      <c r="G239" s="3" t="str">
        <f t="shared" si="3"/>
        <v>5</v>
      </c>
      <c r="H239" s="3" t="s">
        <v>477</v>
      </c>
      <c r="I239" s="8">
        <v>131204</v>
      </c>
      <c r="J239" s="8">
        <v>107400.78</v>
      </c>
      <c r="K239" s="8">
        <v>131204</v>
      </c>
    </row>
    <row r="240" spans="1:11" hidden="1" x14ac:dyDescent="0.25">
      <c r="A240" s="3" t="s">
        <v>478</v>
      </c>
      <c r="B240" s="3">
        <v>11</v>
      </c>
      <c r="C240" s="5">
        <v>120</v>
      </c>
      <c r="D240" s="6">
        <v>2</v>
      </c>
      <c r="E240" s="7">
        <v>601000</v>
      </c>
      <c r="F240" s="3">
        <v>51412</v>
      </c>
      <c r="G240" s="3" t="str">
        <f t="shared" si="3"/>
        <v>5</v>
      </c>
      <c r="H240" s="3" t="s">
        <v>479</v>
      </c>
      <c r="I240" s="8">
        <v>7000</v>
      </c>
      <c r="J240" s="8">
        <v>0</v>
      </c>
      <c r="K240" s="8">
        <v>7000</v>
      </c>
    </row>
    <row r="241" spans="1:11" hidden="1" x14ac:dyDescent="0.25">
      <c r="A241" s="3" t="s">
        <v>480</v>
      </c>
      <c r="B241" s="3">
        <v>11</v>
      </c>
      <c r="C241" s="5">
        <v>120</v>
      </c>
      <c r="D241" s="6">
        <v>2</v>
      </c>
      <c r="E241" s="7">
        <v>601000</v>
      </c>
      <c r="F241" s="3">
        <v>52105</v>
      </c>
      <c r="G241" s="3" t="str">
        <f t="shared" si="3"/>
        <v>5</v>
      </c>
      <c r="H241" s="3" t="s">
        <v>481</v>
      </c>
      <c r="I241" s="8">
        <v>120358.6</v>
      </c>
      <c r="J241" s="8">
        <v>92081.45</v>
      </c>
      <c r="K241" s="8">
        <v>120358.6</v>
      </c>
    </row>
    <row r="242" spans="1:11" hidden="1" x14ac:dyDescent="0.25">
      <c r="A242" s="3" t="s">
        <v>482</v>
      </c>
      <c r="B242" s="3">
        <v>11</v>
      </c>
      <c r="C242" s="5">
        <v>120</v>
      </c>
      <c r="D242" s="6">
        <v>2</v>
      </c>
      <c r="E242" s="7">
        <v>601000</v>
      </c>
      <c r="F242" s="3">
        <v>52300</v>
      </c>
      <c r="G242" s="3" t="str">
        <f t="shared" si="3"/>
        <v>5</v>
      </c>
      <c r="H242" s="3" t="s">
        <v>483</v>
      </c>
      <c r="I242" s="8">
        <v>0</v>
      </c>
      <c r="J242" s="8">
        <v>429.97</v>
      </c>
      <c r="K242" s="8">
        <v>0</v>
      </c>
    </row>
    <row r="243" spans="1:11" hidden="1" x14ac:dyDescent="0.25">
      <c r="A243" s="3" t="s">
        <v>484</v>
      </c>
      <c r="B243" s="3">
        <v>11</v>
      </c>
      <c r="C243" s="5">
        <v>120</v>
      </c>
      <c r="D243" s="6">
        <v>2</v>
      </c>
      <c r="E243" s="7">
        <v>601000</v>
      </c>
      <c r="F243" s="3">
        <v>53120</v>
      </c>
      <c r="G243" s="3" t="str">
        <f t="shared" si="3"/>
        <v>5</v>
      </c>
      <c r="H243" s="3" t="s">
        <v>485</v>
      </c>
      <c r="I243" s="8">
        <v>21189.45</v>
      </c>
      <c r="J243" s="8">
        <v>0</v>
      </c>
      <c r="K243" s="8">
        <v>21189.45</v>
      </c>
    </row>
    <row r="244" spans="1:11" hidden="1" x14ac:dyDescent="0.25">
      <c r="A244" s="3" t="s">
        <v>486</v>
      </c>
      <c r="B244" s="3">
        <v>11</v>
      </c>
      <c r="C244" s="5">
        <v>120</v>
      </c>
      <c r="D244" s="6">
        <v>2</v>
      </c>
      <c r="E244" s="7">
        <v>601000</v>
      </c>
      <c r="F244" s="3">
        <v>53220</v>
      </c>
      <c r="G244" s="3" t="str">
        <f t="shared" si="3"/>
        <v>5</v>
      </c>
      <c r="H244" s="3" t="s">
        <v>487</v>
      </c>
      <c r="I244" s="8">
        <v>24914.23</v>
      </c>
      <c r="J244" s="8">
        <v>41195.230000000003</v>
      </c>
      <c r="K244" s="8">
        <v>24914.23</v>
      </c>
    </row>
    <row r="245" spans="1:11" hidden="1" x14ac:dyDescent="0.25">
      <c r="A245" s="3" t="s">
        <v>488</v>
      </c>
      <c r="B245" s="3">
        <v>11</v>
      </c>
      <c r="C245" s="5">
        <v>120</v>
      </c>
      <c r="D245" s="6">
        <v>2</v>
      </c>
      <c r="E245" s="7">
        <v>601000</v>
      </c>
      <c r="F245" s="3">
        <v>53320</v>
      </c>
      <c r="G245" s="3" t="str">
        <f t="shared" si="3"/>
        <v>5</v>
      </c>
      <c r="H245" s="3" t="s">
        <v>489</v>
      </c>
      <c r="I245" s="8">
        <v>7462.23</v>
      </c>
      <c r="J245" s="8">
        <v>11982.19</v>
      </c>
      <c r="K245" s="8">
        <v>7462.23</v>
      </c>
    </row>
    <row r="246" spans="1:11" hidden="1" x14ac:dyDescent="0.25">
      <c r="A246" s="3" t="s">
        <v>490</v>
      </c>
      <c r="B246" s="3">
        <v>11</v>
      </c>
      <c r="C246" s="5">
        <v>120</v>
      </c>
      <c r="D246" s="6">
        <v>2</v>
      </c>
      <c r="E246" s="7">
        <v>601000</v>
      </c>
      <c r="F246" s="3">
        <v>53340</v>
      </c>
      <c r="G246" s="3" t="str">
        <f t="shared" si="3"/>
        <v>5</v>
      </c>
      <c r="H246" s="3" t="s">
        <v>491</v>
      </c>
      <c r="I246" s="8">
        <v>3647.66</v>
      </c>
      <c r="J246" s="8">
        <v>2879.63</v>
      </c>
      <c r="K246" s="8">
        <v>3647.66</v>
      </c>
    </row>
    <row r="247" spans="1:11" hidden="1" x14ac:dyDescent="0.25">
      <c r="A247" s="3" t="s">
        <v>492</v>
      </c>
      <c r="B247" s="3">
        <v>11</v>
      </c>
      <c r="C247" s="5">
        <v>120</v>
      </c>
      <c r="D247" s="6">
        <v>2</v>
      </c>
      <c r="E247" s="7">
        <v>601000</v>
      </c>
      <c r="F247" s="3">
        <v>53420</v>
      </c>
      <c r="G247" s="3" t="str">
        <f t="shared" si="3"/>
        <v>5</v>
      </c>
      <c r="H247" s="3" t="s">
        <v>493</v>
      </c>
      <c r="I247" s="8">
        <v>73502.58</v>
      </c>
      <c r="J247" s="8">
        <v>61578.42</v>
      </c>
      <c r="K247" s="8">
        <v>73502.58</v>
      </c>
    </row>
    <row r="248" spans="1:11" hidden="1" x14ac:dyDescent="0.25">
      <c r="A248" s="3" t="s">
        <v>494</v>
      </c>
      <c r="B248" s="3">
        <v>11</v>
      </c>
      <c r="C248" s="5">
        <v>120</v>
      </c>
      <c r="D248" s="6">
        <v>2</v>
      </c>
      <c r="E248" s="7">
        <v>601000</v>
      </c>
      <c r="F248" s="3">
        <v>53520</v>
      </c>
      <c r="G248" s="3" t="str">
        <f t="shared" si="3"/>
        <v>5</v>
      </c>
      <c r="H248" s="3" t="s">
        <v>495</v>
      </c>
      <c r="I248" s="8">
        <v>125.78</v>
      </c>
      <c r="J248" s="8">
        <v>99.99</v>
      </c>
      <c r="K248" s="8">
        <v>125.78</v>
      </c>
    </row>
    <row r="249" spans="1:11" hidden="1" x14ac:dyDescent="0.25">
      <c r="A249" s="3" t="s">
        <v>496</v>
      </c>
      <c r="B249" s="3">
        <v>11</v>
      </c>
      <c r="C249" s="5">
        <v>120</v>
      </c>
      <c r="D249" s="6">
        <v>2</v>
      </c>
      <c r="E249" s="7">
        <v>601000</v>
      </c>
      <c r="F249" s="3">
        <v>53620</v>
      </c>
      <c r="G249" s="3" t="str">
        <f t="shared" si="3"/>
        <v>5</v>
      </c>
      <c r="H249" s="3" t="s">
        <v>497</v>
      </c>
      <c r="I249" s="8">
        <v>4756.55</v>
      </c>
      <c r="J249" s="8">
        <v>3784.67</v>
      </c>
      <c r="K249" s="8">
        <v>4756.55</v>
      </c>
    </row>
    <row r="250" spans="1:11" hidden="1" x14ac:dyDescent="0.25">
      <c r="A250" s="3" t="s">
        <v>498</v>
      </c>
      <c r="B250" s="3">
        <v>11</v>
      </c>
      <c r="C250" s="5">
        <v>120</v>
      </c>
      <c r="D250" s="6">
        <v>2</v>
      </c>
      <c r="E250" s="7">
        <v>601000</v>
      </c>
      <c r="F250" s="3">
        <v>53920</v>
      </c>
      <c r="G250" s="3" t="str">
        <f t="shared" si="3"/>
        <v>5</v>
      </c>
      <c r="H250" s="3" t="s">
        <v>499</v>
      </c>
      <c r="I250" s="8">
        <v>0</v>
      </c>
      <c r="J250" s="8">
        <v>1600</v>
      </c>
      <c r="K250" s="8">
        <v>0</v>
      </c>
    </row>
    <row r="251" spans="1:11" hidden="1" x14ac:dyDescent="0.25">
      <c r="A251" s="3" t="s">
        <v>500</v>
      </c>
      <c r="B251" s="3">
        <v>11</v>
      </c>
      <c r="C251" s="5">
        <v>120</v>
      </c>
      <c r="D251" s="6">
        <v>2</v>
      </c>
      <c r="E251" s="7">
        <v>601000</v>
      </c>
      <c r="F251" s="3">
        <v>54300</v>
      </c>
      <c r="G251" s="3" t="str">
        <f t="shared" si="3"/>
        <v>5</v>
      </c>
      <c r="H251" s="3" t="s">
        <v>501</v>
      </c>
      <c r="I251" s="8">
        <v>10000</v>
      </c>
      <c r="J251" s="8">
        <v>1788.48</v>
      </c>
      <c r="K251" s="8">
        <v>10000</v>
      </c>
    </row>
    <row r="252" spans="1:11" hidden="1" x14ac:dyDescent="0.25">
      <c r="A252" s="3" t="s">
        <v>502</v>
      </c>
      <c r="B252" s="3">
        <v>11</v>
      </c>
      <c r="C252" s="5">
        <v>120</v>
      </c>
      <c r="D252" s="6">
        <v>2</v>
      </c>
      <c r="E252" s="7">
        <v>601000</v>
      </c>
      <c r="F252" s="3">
        <v>55125</v>
      </c>
      <c r="G252" s="3" t="str">
        <f t="shared" si="3"/>
        <v>5</v>
      </c>
      <c r="H252" s="3" t="s">
        <v>503</v>
      </c>
      <c r="I252" s="8">
        <v>500</v>
      </c>
      <c r="J252" s="8">
        <v>0</v>
      </c>
      <c r="K252" s="8">
        <v>500</v>
      </c>
    </row>
    <row r="253" spans="1:11" hidden="1" x14ac:dyDescent="0.25">
      <c r="A253" s="3" t="s">
        <v>504</v>
      </c>
      <c r="B253" s="3">
        <v>11</v>
      </c>
      <c r="C253" s="5">
        <v>120</v>
      </c>
      <c r="D253" s="6">
        <v>2</v>
      </c>
      <c r="E253" s="7">
        <v>601000</v>
      </c>
      <c r="F253" s="3">
        <v>55200</v>
      </c>
      <c r="G253" s="3" t="str">
        <f t="shared" si="3"/>
        <v>5</v>
      </c>
      <c r="H253" s="3" t="s">
        <v>505</v>
      </c>
      <c r="I253" s="8">
        <v>4500</v>
      </c>
      <c r="J253" s="8">
        <v>50</v>
      </c>
      <c r="K253" s="8">
        <v>4500</v>
      </c>
    </row>
    <row r="254" spans="1:11" hidden="1" x14ac:dyDescent="0.25">
      <c r="A254" s="3" t="s">
        <v>506</v>
      </c>
      <c r="B254" s="3">
        <v>11</v>
      </c>
      <c r="C254" s="5">
        <v>120</v>
      </c>
      <c r="D254" s="6">
        <v>2</v>
      </c>
      <c r="E254" s="7">
        <v>601000</v>
      </c>
      <c r="F254" s="3">
        <v>55210</v>
      </c>
      <c r="G254" s="3" t="str">
        <f t="shared" si="3"/>
        <v>5</v>
      </c>
      <c r="H254" s="3" t="s">
        <v>507</v>
      </c>
      <c r="I254" s="8">
        <v>10000</v>
      </c>
      <c r="J254" s="8">
        <v>0</v>
      </c>
      <c r="K254" s="8">
        <v>10000</v>
      </c>
    </row>
    <row r="255" spans="1:11" hidden="1" x14ac:dyDescent="0.25">
      <c r="A255" s="3" t="s">
        <v>508</v>
      </c>
      <c r="B255" s="3">
        <v>11</v>
      </c>
      <c r="C255" s="5">
        <v>120</v>
      </c>
      <c r="D255" s="6">
        <v>2</v>
      </c>
      <c r="E255" s="7">
        <v>601000</v>
      </c>
      <c r="F255" s="3">
        <v>55630</v>
      </c>
      <c r="G255" s="3" t="str">
        <f t="shared" si="3"/>
        <v>5</v>
      </c>
      <c r="H255" s="3" t="s">
        <v>509</v>
      </c>
      <c r="I255" s="8">
        <v>1500</v>
      </c>
      <c r="J255" s="8">
        <v>271.44</v>
      </c>
      <c r="K255" s="8">
        <v>1500</v>
      </c>
    </row>
    <row r="256" spans="1:11" hidden="1" x14ac:dyDescent="0.25">
      <c r="A256" s="3" t="s">
        <v>510</v>
      </c>
      <c r="B256" s="3">
        <v>11</v>
      </c>
      <c r="C256" s="5">
        <v>120</v>
      </c>
      <c r="D256" s="6">
        <v>2</v>
      </c>
      <c r="E256" s="7">
        <v>601000</v>
      </c>
      <c r="F256" s="3">
        <v>55650</v>
      </c>
      <c r="G256" s="3" t="str">
        <f t="shared" si="3"/>
        <v>5</v>
      </c>
      <c r="H256" s="3" t="s">
        <v>511</v>
      </c>
      <c r="I256" s="8">
        <v>42340</v>
      </c>
      <c r="J256" s="8">
        <v>10527.08</v>
      </c>
      <c r="K256" s="8">
        <v>42340</v>
      </c>
    </row>
    <row r="257" spans="1:11" hidden="1" x14ac:dyDescent="0.25">
      <c r="A257" s="3" t="s">
        <v>512</v>
      </c>
      <c r="B257" s="3">
        <v>11</v>
      </c>
      <c r="C257" s="5">
        <v>120</v>
      </c>
      <c r="D257" s="6">
        <v>2</v>
      </c>
      <c r="E257" s="7">
        <v>601000</v>
      </c>
      <c r="F257" s="3">
        <v>55830</v>
      </c>
      <c r="G257" s="3" t="str">
        <f t="shared" si="3"/>
        <v>5</v>
      </c>
      <c r="H257" s="3" t="s">
        <v>513</v>
      </c>
      <c r="I257" s="8">
        <v>10000</v>
      </c>
      <c r="J257" s="8">
        <v>0</v>
      </c>
      <c r="K257" s="8">
        <v>10000</v>
      </c>
    </row>
    <row r="258" spans="1:11" hidden="1" x14ac:dyDescent="0.25">
      <c r="A258" s="3" t="s">
        <v>514</v>
      </c>
      <c r="B258" s="3">
        <v>11</v>
      </c>
      <c r="C258" s="5">
        <v>120</v>
      </c>
      <c r="D258" s="6">
        <v>2</v>
      </c>
      <c r="E258" s="7">
        <v>601000</v>
      </c>
      <c r="F258" s="3">
        <v>56400</v>
      </c>
      <c r="G258" s="3" t="str">
        <f t="shared" si="3"/>
        <v>5</v>
      </c>
      <c r="H258" s="3" t="s">
        <v>515</v>
      </c>
      <c r="I258" s="8">
        <v>6000</v>
      </c>
      <c r="J258" s="8">
        <v>0</v>
      </c>
      <c r="K258" s="8">
        <v>6000</v>
      </c>
    </row>
    <row r="259" spans="1:11" hidden="1" x14ac:dyDescent="0.25">
      <c r="A259" s="3" t="s">
        <v>516</v>
      </c>
      <c r="B259" s="3">
        <v>11</v>
      </c>
      <c r="C259" s="5">
        <v>120</v>
      </c>
      <c r="D259" s="6">
        <v>2</v>
      </c>
      <c r="E259" s="7">
        <v>612000</v>
      </c>
      <c r="F259" s="3">
        <v>51411</v>
      </c>
      <c r="G259" s="3" t="str">
        <f t="shared" ref="G259:G322" si="4">LEFT(F259,1)</f>
        <v>5</v>
      </c>
      <c r="H259" s="3" t="s">
        <v>517</v>
      </c>
      <c r="I259" s="8">
        <v>15324</v>
      </c>
      <c r="J259" s="8">
        <v>0</v>
      </c>
      <c r="K259" s="8">
        <v>15324</v>
      </c>
    </row>
    <row r="260" spans="1:11" hidden="1" x14ac:dyDescent="0.25">
      <c r="A260" s="3" t="s">
        <v>518</v>
      </c>
      <c r="B260" s="3">
        <v>11</v>
      </c>
      <c r="C260" s="5">
        <v>120</v>
      </c>
      <c r="D260" s="6">
        <v>2</v>
      </c>
      <c r="E260" s="7">
        <v>612000</v>
      </c>
      <c r="F260" s="3">
        <v>53120</v>
      </c>
      <c r="G260" s="3" t="str">
        <f t="shared" si="4"/>
        <v>5</v>
      </c>
      <c r="H260" s="3" t="s">
        <v>519</v>
      </c>
      <c r="I260" s="8">
        <v>2474.83</v>
      </c>
      <c r="J260" s="8">
        <v>0</v>
      </c>
      <c r="K260" s="8">
        <v>2474.83</v>
      </c>
    </row>
    <row r="261" spans="1:11" hidden="1" x14ac:dyDescent="0.25">
      <c r="A261" s="3" t="s">
        <v>520</v>
      </c>
      <c r="B261" s="3">
        <v>11</v>
      </c>
      <c r="C261" s="5">
        <v>120</v>
      </c>
      <c r="D261" s="6">
        <v>2</v>
      </c>
      <c r="E261" s="7">
        <v>612000</v>
      </c>
      <c r="F261" s="3">
        <v>53340</v>
      </c>
      <c r="G261" s="3" t="str">
        <f t="shared" si="4"/>
        <v>5</v>
      </c>
      <c r="H261" s="3" t="s">
        <v>521</v>
      </c>
      <c r="I261" s="8">
        <v>222.2</v>
      </c>
      <c r="J261" s="8">
        <v>0</v>
      </c>
      <c r="K261" s="8">
        <v>222.2</v>
      </c>
    </row>
    <row r="262" spans="1:11" hidden="1" x14ac:dyDescent="0.25">
      <c r="A262" s="3" t="s">
        <v>522</v>
      </c>
      <c r="B262" s="3">
        <v>11</v>
      </c>
      <c r="C262" s="5">
        <v>120</v>
      </c>
      <c r="D262" s="6">
        <v>2</v>
      </c>
      <c r="E262" s="7">
        <v>612000</v>
      </c>
      <c r="F262" s="3">
        <v>53520</v>
      </c>
      <c r="G262" s="3" t="str">
        <f t="shared" si="4"/>
        <v>5</v>
      </c>
      <c r="H262" s="3" t="s">
        <v>523</v>
      </c>
      <c r="I262" s="8">
        <v>7.66</v>
      </c>
      <c r="J262" s="8">
        <v>0</v>
      </c>
      <c r="K262" s="8">
        <v>7.66</v>
      </c>
    </row>
    <row r="263" spans="1:11" hidden="1" x14ac:dyDescent="0.25">
      <c r="A263" s="3" t="s">
        <v>524</v>
      </c>
      <c r="B263" s="3">
        <v>11</v>
      </c>
      <c r="C263" s="5">
        <v>120</v>
      </c>
      <c r="D263" s="6">
        <v>2</v>
      </c>
      <c r="E263" s="7">
        <v>612000</v>
      </c>
      <c r="F263" s="3">
        <v>53620</v>
      </c>
      <c r="G263" s="3" t="str">
        <f t="shared" si="4"/>
        <v>5</v>
      </c>
      <c r="H263" s="3" t="s">
        <v>525</v>
      </c>
      <c r="I263" s="8">
        <v>289.75</v>
      </c>
      <c r="J263" s="8">
        <v>0</v>
      </c>
      <c r="K263" s="8">
        <v>289.75</v>
      </c>
    </row>
    <row r="264" spans="1:11" hidden="1" x14ac:dyDescent="0.25">
      <c r="A264" s="3" t="s">
        <v>526</v>
      </c>
      <c r="B264" s="3">
        <v>11</v>
      </c>
      <c r="C264" s="5">
        <v>120</v>
      </c>
      <c r="D264" s="6">
        <v>2</v>
      </c>
      <c r="E264" s="7">
        <v>612000</v>
      </c>
      <c r="F264" s="3">
        <v>55630</v>
      </c>
      <c r="G264" s="3" t="str">
        <f t="shared" si="4"/>
        <v>5</v>
      </c>
      <c r="H264" s="3" t="s">
        <v>527</v>
      </c>
      <c r="I264" s="8">
        <v>82</v>
      </c>
      <c r="J264" s="8">
        <v>0</v>
      </c>
      <c r="K264" s="8">
        <v>82</v>
      </c>
    </row>
    <row r="265" spans="1:11" hidden="1" x14ac:dyDescent="0.25">
      <c r="A265" s="3" t="s">
        <v>528</v>
      </c>
      <c r="B265" s="3">
        <v>11</v>
      </c>
      <c r="C265" s="5">
        <v>120</v>
      </c>
      <c r="D265" s="6">
        <v>2</v>
      </c>
      <c r="E265" s="7">
        <v>631000</v>
      </c>
      <c r="F265" s="3">
        <v>51311</v>
      </c>
      <c r="G265" s="3" t="str">
        <f t="shared" si="4"/>
        <v>5</v>
      </c>
      <c r="H265" s="3" t="s">
        <v>529</v>
      </c>
      <c r="I265" s="8">
        <v>6000</v>
      </c>
      <c r="J265" s="8">
        <v>16638.009999999998</v>
      </c>
      <c r="K265" s="8">
        <v>6000</v>
      </c>
    </row>
    <row r="266" spans="1:11" hidden="1" x14ac:dyDescent="0.25">
      <c r="A266" s="3" t="s">
        <v>530</v>
      </c>
      <c r="B266" s="3">
        <v>11</v>
      </c>
      <c r="C266" s="5">
        <v>120</v>
      </c>
      <c r="D266" s="6">
        <v>2</v>
      </c>
      <c r="E266" s="7">
        <v>631000</v>
      </c>
      <c r="F266" s="3">
        <v>51411</v>
      </c>
      <c r="G266" s="3" t="str">
        <f t="shared" si="4"/>
        <v>5</v>
      </c>
      <c r="H266" s="3" t="s">
        <v>531</v>
      </c>
      <c r="I266" s="8">
        <v>35769</v>
      </c>
      <c r="J266" s="8">
        <v>1930.6</v>
      </c>
      <c r="K266" s="8">
        <v>35769</v>
      </c>
    </row>
    <row r="267" spans="1:11" hidden="1" x14ac:dyDescent="0.25">
      <c r="A267" s="3" t="s">
        <v>532</v>
      </c>
      <c r="B267" s="3">
        <v>11</v>
      </c>
      <c r="C267" s="5">
        <v>120</v>
      </c>
      <c r="D267" s="6">
        <v>2</v>
      </c>
      <c r="E267" s="7">
        <v>631000</v>
      </c>
      <c r="F267" s="3">
        <v>53110</v>
      </c>
      <c r="G267" s="3" t="str">
        <f t="shared" si="4"/>
        <v>5</v>
      </c>
      <c r="H267" s="3" t="s">
        <v>533</v>
      </c>
      <c r="I267" s="8">
        <v>969</v>
      </c>
      <c r="J267" s="8">
        <v>2687.07</v>
      </c>
      <c r="K267" s="8">
        <v>969</v>
      </c>
    </row>
    <row r="268" spans="1:11" hidden="1" x14ac:dyDescent="0.25">
      <c r="A268" s="3" t="s">
        <v>534</v>
      </c>
      <c r="B268" s="3">
        <v>11</v>
      </c>
      <c r="C268" s="5">
        <v>120</v>
      </c>
      <c r="D268" s="6">
        <v>2</v>
      </c>
      <c r="E268" s="7">
        <v>631000</v>
      </c>
      <c r="F268" s="3">
        <v>53120</v>
      </c>
      <c r="G268" s="3" t="str">
        <f t="shared" si="4"/>
        <v>5</v>
      </c>
      <c r="H268" s="3" t="s">
        <v>535</v>
      </c>
      <c r="I268" s="8">
        <v>5776.69</v>
      </c>
      <c r="J268" s="8">
        <v>311.79000000000002</v>
      </c>
      <c r="K268" s="8">
        <v>5776.69</v>
      </c>
    </row>
    <row r="269" spans="1:11" hidden="1" x14ac:dyDescent="0.25">
      <c r="A269" s="3" t="s">
        <v>536</v>
      </c>
      <c r="B269" s="3">
        <v>11</v>
      </c>
      <c r="C269" s="5">
        <v>120</v>
      </c>
      <c r="D269" s="6">
        <v>2</v>
      </c>
      <c r="E269" s="7">
        <v>631000</v>
      </c>
      <c r="F269" s="3">
        <v>53330</v>
      </c>
      <c r="G269" s="3" t="str">
        <f t="shared" si="4"/>
        <v>5</v>
      </c>
      <c r="H269" s="3" t="s">
        <v>537</v>
      </c>
      <c r="I269" s="8">
        <v>87</v>
      </c>
      <c r="J269" s="8">
        <v>241.28</v>
      </c>
      <c r="K269" s="8">
        <v>87</v>
      </c>
    </row>
    <row r="270" spans="1:11" hidden="1" x14ac:dyDescent="0.25">
      <c r="A270" s="3" t="s">
        <v>538</v>
      </c>
      <c r="B270" s="3">
        <v>11</v>
      </c>
      <c r="C270" s="5">
        <v>120</v>
      </c>
      <c r="D270" s="6">
        <v>2</v>
      </c>
      <c r="E270" s="7">
        <v>631000</v>
      </c>
      <c r="F270" s="3">
        <v>53340</v>
      </c>
      <c r="G270" s="3" t="str">
        <f t="shared" si="4"/>
        <v>5</v>
      </c>
      <c r="H270" s="3" t="s">
        <v>539</v>
      </c>
      <c r="I270" s="8">
        <v>518.65</v>
      </c>
      <c r="J270" s="8">
        <v>28</v>
      </c>
      <c r="K270" s="8">
        <v>518.65</v>
      </c>
    </row>
    <row r="271" spans="1:11" hidden="1" x14ac:dyDescent="0.25">
      <c r="A271" s="3" t="s">
        <v>540</v>
      </c>
      <c r="B271" s="3">
        <v>11</v>
      </c>
      <c r="C271" s="5">
        <v>120</v>
      </c>
      <c r="D271" s="6">
        <v>2</v>
      </c>
      <c r="E271" s="7">
        <v>631000</v>
      </c>
      <c r="F271" s="3">
        <v>53510</v>
      </c>
      <c r="G271" s="3" t="str">
        <f t="shared" si="4"/>
        <v>5</v>
      </c>
      <c r="H271" s="3" t="s">
        <v>541</v>
      </c>
      <c r="I271" s="8">
        <v>3</v>
      </c>
      <c r="J271" s="8">
        <v>8.2799999999999994</v>
      </c>
      <c r="K271" s="8">
        <v>3</v>
      </c>
    </row>
    <row r="272" spans="1:11" hidden="1" x14ac:dyDescent="0.25">
      <c r="A272" s="3" t="s">
        <v>542</v>
      </c>
      <c r="B272" s="3">
        <v>11</v>
      </c>
      <c r="C272" s="5">
        <v>120</v>
      </c>
      <c r="D272" s="6">
        <v>2</v>
      </c>
      <c r="E272" s="7">
        <v>631000</v>
      </c>
      <c r="F272" s="3">
        <v>53520</v>
      </c>
      <c r="G272" s="3" t="str">
        <f t="shared" si="4"/>
        <v>5</v>
      </c>
      <c r="H272" s="3" t="s">
        <v>543</v>
      </c>
      <c r="I272" s="8">
        <v>17.88</v>
      </c>
      <c r="J272" s="8">
        <v>0.97</v>
      </c>
      <c r="K272" s="8">
        <v>17.88</v>
      </c>
    </row>
    <row r="273" spans="1:11" hidden="1" x14ac:dyDescent="0.25">
      <c r="A273" s="3" t="s">
        <v>544</v>
      </c>
      <c r="B273" s="3">
        <v>11</v>
      </c>
      <c r="C273" s="5">
        <v>120</v>
      </c>
      <c r="D273" s="6">
        <v>2</v>
      </c>
      <c r="E273" s="7">
        <v>631000</v>
      </c>
      <c r="F273" s="3">
        <v>53610</v>
      </c>
      <c r="G273" s="3" t="str">
        <f t="shared" si="4"/>
        <v>5</v>
      </c>
      <c r="H273" s="3" t="s">
        <v>545</v>
      </c>
      <c r="I273" s="8">
        <v>113.45</v>
      </c>
      <c r="J273" s="8">
        <v>314.60000000000002</v>
      </c>
      <c r="K273" s="8">
        <v>113.45</v>
      </c>
    </row>
    <row r="274" spans="1:11" hidden="1" x14ac:dyDescent="0.25">
      <c r="A274" s="3" t="s">
        <v>546</v>
      </c>
      <c r="B274" s="3">
        <v>11</v>
      </c>
      <c r="C274" s="5">
        <v>120</v>
      </c>
      <c r="D274" s="6">
        <v>2</v>
      </c>
      <c r="E274" s="7">
        <v>631000</v>
      </c>
      <c r="F274" s="3">
        <v>53620</v>
      </c>
      <c r="G274" s="3" t="str">
        <f t="shared" si="4"/>
        <v>5</v>
      </c>
      <c r="H274" s="3" t="s">
        <v>547</v>
      </c>
      <c r="I274" s="8">
        <v>676.32</v>
      </c>
      <c r="J274" s="8">
        <v>36.5</v>
      </c>
      <c r="K274" s="8">
        <v>676.32</v>
      </c>
    </row>
    <row r="275" spans="1:11" hidden="1" x14ac:dyDescent="0.25">
      <c r="A275" s="3" t="s">
        <v>548</v>
      </c>
      <c r="B275" s="3">
        <v>11</v>
      </c>
      <c r="C275" s="5">
        <v>120</v>
      </c>
      <c r="D275" s="6">
        <v>2</v>
      </c>
      <c r="E275" s="7">
        <v>631000</v>
      </c>
      <c r="F275" s="3">
        <v>55630</v>
      </c>
      <c r="G275" s="3" t="str">
        <f t="shared" si="4"/>
        <v>5</v>
      </c>
      <c r="H275" s="3" t="s">
        <v>549</v>
      </c>
      <c r="I275" s="8">
        <v>182</v>
      </c>
      <c r="J275" s="8">
        <v>159.51</v>
      </c>
      <c r="K275" s="8">
        <v>182</v>
      </c>
    </row>
    <row r="276" spans="1:11" hidden="1" x14ac:dyDescent="0.25">
      <c r="A276" s="3" t="s">
        <v>550</v>
      </c>
      <c r="B276" s="3">
        <v>11</v>
      </c>
      <c r="C276" s="5">
        <v>120</v>
      </c>
      <c r="D276" s="6">
        <v>2</v>
      </c>
      <c r="E276" s="7">
        <v>657000</v>
      </c>
      <c r="F276" s="3">
        <v>55530</v>
      </c>
      <c r="G276" s="3" t="str">
        <f t="shared" si="4"/>
        <v>5</v>
      </c>
      <c r="H276" s="3" t="s">
        <v>551</v>
      </c>
      <c r="I276" s="8">
        <v>22290</v>
      </c>
      <c r="J276" s="8">
        <v>12854.96</v>
      </c>
      <c r="K276" s="8">
        <v>22290</v>
      </c>
    </row>
    <row r="277" spans="1:11" hidden="1" x14ac:dyDescent="0.25">
      <c r="A277" s="3" t="s">
        <v>552</v>
      </c>
      <c r="B277" s="3">
        <v>11</v>
      </c>
      <c r="C277" s="5">
        <v>120</v>
      </c>
      <c r="D277" s="6">
        <v>2</v>
      </c>
      <c r="E277" s="7">
        <v>657000</v>
      </c>
      <c r="F277" s="3">
        <v>55540</v>
      </c>
      <c r="G277" s="3" t="str">
        <f t="shared" si="4"/>
        <v>5</v>
      </c>
      <c r="H277" s="3" t="s">
        <v>553</v>
      </c>
      <c r="I277" s="8">
        <v>1161</v>
      </c>
      <c r="J277" s="8">
        <v>1542.55</v>
      </c>
      <c r="K277" s="8">
        <v>1161</v>
      </c>
    </row>
    <row r="278" spans="1:11" hidden="1" x14ac:dyDescent="0.25">
      <c r="A278" s="3" t="s">
        <v>554</v>
      </c>
      <c r="B278" s="3">
        <v>11</v>
      </c>
      <c r="C278" s="5">
        <v>120</v>
      </c>
      <c r="D278" s="6">
        <v>2</v>
      </c>
      <c r="E278" s="7">
        <v>657000</v>
      </c>
      <c r="F278" s="3">
        <v>55560</v>
      </c>
      <c r="G278" s="3" t="str">
        <f t="shared" si="4"/>
        <v>5</v>
      </c>
      <c r="H278" s="3" t="s">
        <v>555</v>
      </c>
      <c r="I278" s="8">
        <v>7769</v>
      </c>
      <c r="J278" s="8">
        <v>5933.87</v>
      </c>
      <c r="K278" s="8">
        <v>7769</v>
      </c>
    </row>
    <row r="279" spans="1:11" hidden="1" x14ac:dyDescent="0.25">
      <c r="A279" s="3" t="s">
        <v>556</v>
      </c>
      <c r="B279" s="3">
        <v>11</v>
      </c>
      <c r="C279" s="5">
        <v>120</v>
      </c>
      <c r="D279" s="6">
        <v>2</v>
      </c>
      <c r="E279" s="7">
        <v>657000</v>
      </c>
      <c r="F279" s="3">
        <v>55580</v>
      </c>
      <c r="G279" s="3" t="str">
        <f t="shared" si="4"/>
        <v>5</v>
      </c>
      <c r="H279" s="3" t="s">
        <v>557</v>
      </c>
      <c r="I279" s="8">
        <v>4597</v>
      </c>
      <c r="J279" s="8">
        <v>4170.54</v>
      </c>
      <c r="K279" s="8">
        <v>4597</v>
      </c>
    </row>
    <row r="280" spans="1:11" hidden="1" x14ac:dyDescent="0.25">
      <c r="A280" s="3" t="s">
        <v>558</v>
      </c>
      <c r="B280" s="3">
        <v>11</v>
      </c>
      <c r="C280" s="5">
        <v>120</v>
      </c>
      <c r="D280" s="6">
        <v>2</v>
      </c>
      <c r="E280" s="7">
        <v>700400</v>
      </c>
      <c r="F280" s="3">
        <v>55630</v>
      </c>
      <c r="G280" s="3" t="str">
        <f t="shared" si="4"/>
        <v>5</v>
      </c>
      <c r="H280" s="3" t="s">
        <v>559</v>
      </c>
      <c r="I280" s="8">
        <v>0</v>
      </c>
      <c r="J280" s="8">
        <v>159.51</v>
      </c>
      <c r="K280" s="8">
        <v>0</v>
      </c>
    </row>
    <row r="281" spans="1:11" hidden="1" x14ac:dyDescent="0.25">
      <c r="A281" s="3" t="s">
        <v>560</v>
      </c>
      <c r="B281" s="3">
        <v>11</v>
      </c>
      <c r="C281" s="5">
        <v>140</v>
      </c>
      <c r="D281" s="6">
        <v>0</v>
      </c>
      <c r="E281" s="7">
        <v>671020</v>
      </c>
      <c r="F281" s="3">
        <v>55630</v>
      </c>
      <c r="G281" s="3" t="str">
        <f t="shared" si="4"/>
        <v>5</v>
      </c>
      <c r="H281" s="3" t="s">
        <v>561</v>
      </c>
      <c r="I281" s="8">
        <v>0</v>
      </c>
      <c r="J281" s="8">
        <v>18.78</v>
      </c>
      <c r="K281" s="8">
        <v>0</v>
      </c>
    </row>
    <row r="282" spans="1:11" hidden="1" x14ac:dyDescent="0.25">
      <c r="A282" s="3" t="s">
        <v>562</v>
      </c>
      <c r="B282" s="3">
        <v>11</v>
      </c>
      <c r="C282" s="5">
        <v>140</v>
      </c>
      <c r="D282" s="6">
        <v>0</v>
      </c>
      <c r="E282" s="7">
        <v>684000</v>
      </c>
      <c r="F282" s="3">
        <v>52120</v>
      </c>
      <c r="G282" s="3" t="str">
        <f t="shared" si="4"/>
        <v>5</v>
      </c>
      <c r="H282" s="3" t="s">
        <v>563</v>
      </c>
      <c r="I282" s="8">
        <v>99920.36</v>
      </c>
      <c r="J282" s="8">
        <v>74940.03</v>
      </c>
      <c r="K282" s="8">
        <v>99920.36</v>
      </c>
    </row>
    <row r="283" spans="1:11" hidden="1" x14ac:dyDescent="0.25">
      <c r="A283" s="3" t="s">
        <v>564</v>
      </c>
      <c r="B283" s="3">
        <v>11</v>
      </c>
      <c r="C283" s="5">
        <v>140</v>
      </c>
      <c r="D283" s="6">
        <v>0</v>
      </c>
      <c r="E283" s="7">
        <v>684000</v>
      </c>
      <c r="F283" s="3">
        <v>52130</v>
      </c>
      <c r="G283" s="3" t="str">
        <f t="shared" si="4"/>
        <v>5</v>
      </c>
      <c r="H283" s="3" t="s">
        <v>565</v>
      </c>
      <c r="I283" s="8">
        <v>423117</v>
      </c>
      <c r="J283" s="8">
        <v>322699.67</v>
      </c>
      <c r="K283" s="8">
        <v>423117</v>
      </c>
    </row>
    <row r="284" spans="1:11" hidden="1" x14ac:dyDescent="0.25">
      <c r="A284" s="3" t="s">
        <v>566</v>
      </c>
      <c r="B284" s="3">
        <v>11</v>
      </c>
      <c r="C284" s="5">
        <v>140</v>
      </c>
      <c r="D284" s="6">
        <v>0</v>
      </c>
      <c r="E284" s="7">
        <v>684000</v>
      </c>
      <c r="F284" s="3">
        <v>52350</v>
      </c>
      <c r="G284" s="3" t="str">
        <f t="shared" si="4"/>
        <v>5</v>
      </c>
      <c r="H284" s="3" t="s">
        <v>567</v>
      </c>
      <c r="I284" s="8">
        <v>7385</v>
      </c>
      <c r="J284" s="8">
        <v>0</v>
      </c>
      <c r="K284" s="8">
        <v>7385</v>
      </c>
    </row>
    <row r="285" spans="1:11" hidden="1" x14ac:dyDescent="0.25">
      <c r="A285" s="3" t="s">
        <v>568</v>
      </c>
      <c r="B285" s="3">
        <v>11</v>
      </c>
      <c r="C285" s="5">
        <v>140</v>
      </c>
      <c r="D285" s="6">
        <v>0</v>
      </c>
      <c r="E285" s="7">
        <v>684000</v>
      </c>
      <c r="F285" s="3">
        <v>53220</v>
      </c>
      <c r="G285" s="3" t="str">
        <f t="shared" si="4"/>
        <v>5</v>
      </c>
      <c r="H285" s="3" t="s">
        <v>199</v>
      </c>
      <c r="I285" s="8">
        <v>108268.73</v>
      </c>
      <c r="J285" s="8">
        <v>80011.11</v>
      </c>
      <c r="K285" s="8">
        <v>108268.73</v>
      </c>
    </row>
    <row r="286" spans="1:11" hidden="1" x14ac:dyDescent="0.25">
      <c r="A286" s="3" t="s">
        <v>569</v>
      </c>
      <c r="B286" s="3">
        <v>11</v>
      </c>
      <c r="C286" s="5">
        <v>140</v>
      </c>
      <c r="D286" s="6">
        <v>0</v>
      </c>
      <c r="E286" s="7">
        <v>684000</v>
      </c>
      <c r="F286" s="3">
        <v>53320</v>
      </c>
      <c r="G286" s="3" t="str">
        <f t="shared" si="4"/>
        <v>5</v>
      </c>
      <c r="H286" s="3" t="s">
        <v>201</v>
      </c>
      <c r="I286" s="8">
        <v>32428.32</v>
      </c>
      <c r="J286" s="8">
        <v>22307.93</v>
      </c>
      <c r="K286" s="8">
        <v>32428.32</v>
      </c>
    </row>
    <row r="287" spans="1:11" hidden="1" x14ac:dyDescent="0.25">
      <c r="A287" s="3" t="s">
        <v>570</v>
      </c>
      <c r="B287" s="3">
        <v>11</v>
      </c>
      <c r="C287" s="5">
        <v>140</v>
      </c>
      <c r="D287" s="6">
        <v>0</v>
      </c>
      <c r="E287" s="7">
        <v>684000</v>
      </c>
      <c r="F287" s="3">
        <v>53340</v>
      </c>
      <c r="G287" s="3" t="str">
        <f t="shared" si="4"/>
        <v>5</v>
      </c>
      <c r="H287" s="3" t="s">
        <v>203</v>
      </c>
      <c r="I287" s="8">
        <v>7584.05</v>
      </c>
      <c r="J287" s="8">
        <v>5716.27</v>
      </c>
      <c r="K287" s="8">
        <v>7584.05</v>
      </c>
    </row>
    <row r="288" spans="1:11" hidden="1" x14ac:dyDescent="0.25">
      <c r="A288" s="3" t="s">
        <v>571</v>
      </c>
      <c r="B288" s="3">
        <v>11</v>
      </c>
      <c r="C288" s="5">
        <v>140</v>
      </c>
      <c r="D288" s="6">
        <v>0</v>
      </c>
      <c r="E288" s="7">
        <v>684000</v>
      </c>
      <c r="F288" s="3">
        <v>53420</v>
      </c>
      <c r="G288" s="3" t="str">
        <f t="shared" si="4"/>
        <v>5</v>
      </c>
      <c r="H288" s="3" t="s">
        <v>205</v>
      </c>
      <c r="I288" s="8">
        <v>135546.35999999999</v>
      </c>
      <c r="J288" s="8">
        <v>99246.5</v>
      </c>
      <c r="K288" s="8">
        <v>135546.35999999999</v>
      </c>
    </row>
    <row r="289" spans="1:11" hidden="1" x14ac:dyDescent="0.25">
      <c r="A289" s="3" t="s">
        <v>572</v>
      </c>
      <c r="B289" s="3">
        <v>11</v>
      </c>
      <c r="C289" s="5">
        <v>140</v>
      </c>
      <c r="D289" s="6">
        <v>0</v>
      </c>
      <c r="E289" s="7">
        <v>684000</v>
      </c>
      <c r="F289" s="3">
        <v>53520</v>
      </c>
      <c r="G289" s="3" t="str">
        <f t="shared" si="4"/>
        <v>5</v>
      </c>
      <c r="H289" s="3" t="s">
        <v>207</v>
      </c>
      <c r="I289" s="8">
        <v>261.52</v>
      </c>
      <c r="J289" s="8">
        <v>198.62</v>
      </c>
      <c r="K289" s="8">
        <v>261.52</v>
      </c>
    </row>
    <row r="290" spans="1:11" hidden="1" x14ac:dyDescent="0.25">
      <c r="A290" s="3" t="s">
        <v>573</v>
      </c>
      <c r="B290" s="3">
        <v>11</v>
      </c>
      <c r="C290" s="5">
        <v>140</v>
      </c>
      <c r="D290" s="6">
        <v>0</v>
      </c>
      <c r="E290" s="7">
        <v>684000</v>
      </c>
      <c r="F290" s="3">
        <v>53620</v>
      </c>
      <c r="G290" s="3" t="str">
        <f t="shared" si="4"/>
        <v>5</v>
      </c>
      <c r="H290" s="3" t="s">
        <v>209</v>
      </c>
      <c r="I290" s="8">
        <v>10029.24</v>
      </c>
      <c r="J290" s="8">
        <v>7518.62</v>
      </c>
      <c r="K290" s="8">
        <v>10029.24</v>
      </c>
    </row>
    <row r="291" spans="1:11" hidden="1" x14ac:dyDescent="0.25">
      <c r="A291" s="3" t="s">
        <v>574</v>
      </c>
      <c r="B291" s="3">
        <v>11</v>
      </c>
      <c r="C291" s="5">
        <v>140</v>
      </c>
      <c r="D291" s="6">
        <v>0</v>
      </c>
      <c r="E291" s="7">
        <v>684000</v>
      </c>
      <c r="F291" s="3">
        <v>54300</v>
      </c>
      <c r="G291" s="3" t="str">
        <f t="shared" si="4"/>
        <v>5</v>
      </c>
      <c r="H291" s="3" t="s">
        <v>575</v>
      </c>
      <c r="I291" s="8">
        <v>3000</v>
      </c>
      <c r="J291" s="8">
        <v>247.39</v>
      </c>
      <c r="K291" s="8">
        <v>3000</v>
      </c>
    </row>
    <row r="292" spans="1:11" hidden="1" x14ac:dyDescent="0.25">
      <c r="A292" s="3" t="s">
        <v>576</v>
      </c>
      <c r="B292" s="3">
        <v>11</v>
      </c>
      <c r="C292" s="5">
        <v>140</v>
      </c>
      <c r="D292" s="6">
        <v>0</v>
      </c>
      <c r="E292" s="7">
        <v>684000</v>
      </c>
      <c r="F292" s="3">
        <v>55100</v>
      </c>
      <c r="G292" s="3" t="str">
        <f t="shared" si="4"/>
        <v>5</v>
      </c>
      <c r="H292" s="3" t="s">
        <v>577</v>
      </c>
      <c r="I292" s="8">
        <v>130</v>
      </c>
      <c r="J292" s="8">
        <v>130</v>
      </c>
      <c r="K292" s="8">
        <v>130</v>
      </c>
    </row>
    <row r="293" spans="1:11" hidden="1" x14ac:dyDescent="0.25">
      <c r="A293" s="3" t="s">
        <v>578</v>
      </c>
      <c r="B293" s="3">
        <v>11</v>
      </c>
      <c r="C293" s="5">
        <v>140</v>
      </c>
      <c r="D293" s="6">
        <v>0</v>
      </c>
      <c r="E293" s="7">
        <v>684000</v>
      </c>
      <c r="F293" s="3">
        <v>55105</v>
      </c>
      <c r="G293" s="3" t="str">
        <f t="shared" si="4"/>
        <v>5</v>
      </c>
      <c r="H293" s="3" t="s">
        <v>579</v>
      </c>
      <c r="I293" s="8">
        <v>71792</v>
      </c>
      <c r="J293" s="8">
        <v>20839.099999999999</v>
      </c>
      <c r="K293" s="8">
        <v>71792</v>
      </c>
    </row>
    <row r="294" spans="1:11" hidden="1" x14ac:dyDescent="0.25">
      <c r="A294" s="3" t="s">
        <v>580</v>
      </c>
      <c r="B294" s="3">
        <v>11</v>
      </c>
      <c r="C294" s="5">
        <v>140</v>
      </c>
      <c r="D294" s="6">
        <v>0</v>
      </c>
      <c r="E294" s="7">
        <v>684000</v>
      </c>
      <c r="F294" s="3">
        <v>55200</v>
      </c>
      <c r="G294" s="3" t="str">
        <f t="shared" si="4"/>
        <v>5</v>
      </c>
      <c r="H294" s="3" t="s">
        <v>581</v>
      </c>
      <c r="I294" s="8">
        <v>1300</v>
      </c>
      <c r="J294" s="8">
        <v>258.58999999999997</v>
      </c>
      <c r="K294" s="8">
        <v>1300</v>
      </c>
    </row>
    <row r="295" spans="1:11" hidden="1" x14ac:dyDescent="0.25">
      <c r="A295" s="3" t="s">
        <v>582</v>
      </c>
      <c r="B295" s="3">
        <v>11</v>
      </c>
      <c r="C295" s="5">
        <v>140</v>
      </c>
      <c r="D295" s="6">
        <v>0</v>
      </c>
      <c r="E295" s="7">
        <v>684000</v>
      </c>
      <c r="F295" s="3">
        <v>55300</v>
      </c>
      <c r="G295" s="3" t="str">
        <f t="shared" si="4"/>
        <v>5</v>
      </c>
      <c r="H295" s="3" t="s">
        <v>583</v>
      </c>
      <c r="I295" s="8">
        <v>500</v>
      </c>
      <c r="J295" s="8">
        <v>395</v>
      </c>
      <c r="K295" s="8">
        <v>500</v>
      </c>
    </row>
    <row r="296" spans="1:11" hidden="1" x14ac:dyDescent="0.25">
      <c r="A296" s="3" t="s">
        <v>584</v>
      </c>
      <c r="B296" s="3">
        <v>11</v>
      </c>
      <c r="C296" s="5">
        <v>140</v>
      </c>
      <c r="D296" s="6">
        <v>0</v>
      </c>
      <c r="E296" s="7">
        <v>684000</v>
      </c>
      <c r="F296" s="3">
        <v>55630</v>
      </c>
      <c r="G296" s="3" t="str">
        <f t="shared" si="4"/>
        <v>5</v>
      </c>
      <c r="H296" s="3" t="s">
        <v>215</v>
      </c>
      <c r="I296" s="8">
        <v>1000</v>
      </c>
      <c r="J296" s="8">
        <v>1058.31</v>
      </c>
      <c r="K296" s="8">
        <v>1000</v>
      </c>
    </row>
    <row r="297" spans="1:11" hidden="1" x14ac:dyDescent="0.25">
      <c r="A297" s="3" t="s">
        <v>585</v>
      </c>
      <c r="B297" s="3">
        <v>11</v>
      </c>
      <c r="C297" s="5">
        <v>140</v>
      </c>
      <c r="D297" s="6">
        <v>0</v>
      </c>
      <c r="E297" s="7">
        <v>684000</v>
      </c>
      <c r="F297" s="3">
        <v>55635</v>
      </c>
      <c r="G297" s="3" t="str">
        <f t="shared" si="4"/>
        <v>5</v>
      </c>
      <c r="H297" s="3" t="s">
        <v>586</v>
      </c>
      <c r="I297" s="8">
        <v>800</v>
      </c>
      <c r="J297" s="8">
        <v>0</v>
      </c>
      <c r="K297" s="8">
        <v>800</v>
      </c>
    </row>
    <row r="298" spans="1:11" hidden="1" x14ac:dyDescent="0.25">
      <c r="A298" s="3" t="s">
        <v>587</v>
      </c>
      <c r="B298" s="3">
        <v>11</v>
      </c>
      <c r="C298" s="5">
        <v>140</v>
      </c>
      <c r="D298" s="6">
        <v>0</v>
      </c>
      <c r="E298" s="7">
        <v>684000</v>
      </c>
      <c r="F298" s="3">
        <v>55810</v>
      </c>
      <c r="G298" s="3" t="str">
        <f t="shared" si="4"/>
        <v>5</v>
      </c>
      <c r="H298" s="3" t="s">
        <v>588</v>
      </c>
      <c r="I298" s="8">
        <v>500</v>
      </c>
      <c r="J298" s="8">
        <v>0</v>
      </c>
      <c r="K298" s="8">
        <v>500</v>
      </c>
    </row>
    <row r="299" spans="1:11" hidden="1" x14ac:dyDescent="0.25">
      <c r="A299" s="3" t="s">
        <v>589</v>
      </c>
      <c r="B299" s="3">
        <v>11</v>
      </c>
      <c r="C299" s="5">
        <v>140</v>
      </c>
      <c r="D299" s="6">
        <v>0</v>
      </c>
      <c r="E299" s="7">
        <v>684000</v>
      </c>
      <c r="F299" s="3">
        <v>55830</v>
      </c>
      <c r="G299" s="3" t="str">
        <f t="shared" si="4"/>
        <v>5</v>
      </c>
      <c r="H299" s="3" t="s">
        <v>590</v>
      </c>
      <c r="I299" s="8">
        <v>282000</v>
      </c>
      <c r="J299" s="8">
        <v>245075.78</v>
      </c>
      <c r="K299" s="8">
        <v>282000</v>
      </c>
    </row>
    <row r="300" spans="1:11" hidden="1" x14ac:dyDescent="0.25">
      <c r="A300" s="3" t="s">
        <v>591</v>
      </c>
      <c r="B300" s="3">
        <v>11</v>
      </c>
      <c r="C300" s="5">
        <v>140</v>
      </c>
      <c r="D300" s="6">
        <v>0</v>
      </c>
      <c r="E300" s="7">
        <v>684000</v>
      </c>
      <c r="F300" s="3">
        <v>56400</v>
      </c>
      <c r="G300" s="3" t="str">
        <f t="shared" si="4"/>
        <v>5</v>
      </c>
      <c r="H300" s="3" t="s">
        <v>592</v>
      </c>
      <c r="I300" s="8">
        <v>2794</v>
      </c>
      <c r="J300" s="8">
        <v>0</v>
      </c>
      <c r="K300" s="8">
        <v>2794</v>
      </c>
    </row>
    <row r="301" spans="1:11" hidden="1" x14ac:dyDescent="0.25">
      <c r="A301" s="3" t="s">
        <v>593</v>
      </c>
      <c r="B301" s="3">
        <v>11</v>
      </c>
      <c r="C301" s="5">
        <v>150</v>
      </c>
      <c r="D301" s="6">
        <v>0</v>
      </c>
      <c r="E301" s="7">
        <v>663000</v>
      </c>
      <c r="F301" s="3">
        <v>51210</v>
      </c>
      <c r="G301" s="3" t="str">
        <f t="shared" si="4"/>
        <v>5</v>
      </c>
      <c r="H301" s="3" t="s">
        <v>594</v>
      </c>
      <c r="I301" s="8">
        <v>148907</v>
      </c>
      <c r="J301" s="8">
        <v>111501.51</v>
      </c>
      <c r="K301" s="8">
        <v>148907</v>
      </c>
    </row>
    <row r="302" spans="1:11" hidden="1" x14ac:dyDescent="0.25">
      <c r="A302" s="3" t="s">
        <v>595</v>
      </c>
      <c r="B302" s="3">
        <v>11</v>
      </c>
      <c r="C302" s="5">
        <v>150</v>
      </c>
      <c r="D302" s="6">
        <v>0</v>
      </c>
      <c r="E302" s="7">
        <v>663000</v>
      </c>
      <c r="F302" s="3">
        <v>52105</v>
      </c>
      <c r="G302" s="3" t="str">
        <f t="shared" si="4"/>
        <v>5</v>
      </c>
      <c r="H302" s="3" t="s">
        <v>596</v>
      </c>
      <c r="I302" s="8">
        <v>84633</v>
      </c>
      <c r="J302" s="8">
        <v>64926.92</v>
      </c>
      <c r="K302" s="8">
        <v>84633</v>
      </c>
    </row>
    <row r="303" spans="1:11" hidden="1" x14ac:dyDescent="0.25">
      <c r="A303" s="3" t="s">
        <v>597</v>
      </c>
      <c r="B303" s="3">
        <v>11</v>
      </c>
      <c r="C303" s="5">
        <v>150</v>
      </c>
      <c r="D303" s="6">
        <v>0</v>
      </c>
      <c r="E303" s="7">
        <v>663000</v>
      </c>
      <c r="F303" s="3">
        <v>52130</v>
      </c>
      <c r="G303" s="3" t="str">
        <f t="shared" si="4"/>
        <v>5</v>
      </c>
      <c r="H303" s="3" t="s">
        <v>598</v>
      </c>
      <c r="I303" s="8">
        <v>80072.2</v>
      </c>
      <c r="J303" s="8">
        <v>59668.78</v>
      </c>
      <c r="K303" s="8">
        <v>80072.2</v>
      </c>
    </row>
    <row r="304" spans="1:11" hidden="1" x14ac:dyDescent="0.25">
      <c r="A304" s="3" t="s">
        <v>599</v>
      </c>
      <c r="B304" s="3">
        <v>11</v>
      </c>
      <c r="C304" s="5">
        <v>150</v>
      </c>
      <c r="D304" s="6">
        <v>0</v>
      </c>
      <c r="E304" s="7">
        <v>663000</v>
      </c>
      <c r="F304" s="3">
        <v>53120</v>
      </c>
      <c r="G304" s="3" t="str">
        <f t="shared" si="4"/>
        <v>5</v>
      </c>
      <c r="H304" s="3" t="s">
        <v>600</v>
      </c>
      <c r="I304" s="8">
        <v>24048.48</v>
      </c>
      <c r="J304" s="8">
        <v>18036.36</v>
      </c>
      <c r="K304" s="8">
        <v>24048.48</v>
      </c>
    </row>
    <row r="305" spans="1:11" hidden="1" x14ac:dyDescent="0.25">
      <c r="A305" s="3" t="s">
        <v>601</v>
      </c>
      <c r="B305" s="3">
        <v>11</v>
      </c>
      <c r="C305" s="5">
        <v>150</v>
      </c>
      <c r="D305" s="6">
        <v>0</v>
      </c>
      <c r="E305" s="7">
        <v>663000</v>
      </c>
      <c r="F305" s="3">
        <v>53220</v>
      </c>
      <c r="G305" s="3" t="str">
        <f t="shared" si="4"/>
        <v>5</v>
      </c>
      <c r="H305" s="3" t="s">
        <v>602</v>
      </c>
      <c r="I305" s="8">
        <v>34093.980000000003</v>
      </c>
      <c r="J305" s="8">
        <v>25660.63</v>
      </c>
      <c r="K305" s="8">
        <v>34093.980000000003</v>
      </c>
    </row>
    <row r="306" spans="1:11" hidden="1" x14ac:dyDescent="0.25">
      <c r="A306" s="3" t="s">
        <v>603</v>
      </c>
      <c r="B306" s="3">
        <v>11</v>
      </c>
      <c r="C306" s="5">
        <v>150</v>
      </c>
      <c r="D306" s="6">
        <v>0</v>
      </c>
      <c r="E306" s="7">
        <v>663000</v>
      </c>
      <c r="F306" s="3">
        <v>53320</v>
      </c>
      <c r="G306" s="3" t="str">
        <f t="shared" si="4"/>
        <v>5</v>
      </c>
      <c r="H306" s="3" t="s">
        <v>604</v>
      </c>
      <c r="I306" s="8">
        <v>10211.73</v>
      </c>
      <c r="J306" s="8">
        <v>7698.6</v>
      </c>
      <c r="K306" s="8">
        <v>10211.73</v>
      </c>
    </row>
    <row r="307" spans="1:11" hidden="1" x14ac:dyDescent="0.25">
      <c r="A307" s="3" t="s">
        <v>605</v>
      </c>
      <c r="B307" s="3">
        <v>11</v>
      </c>
      <c r="C307" s="5">
        <v>150</v>
      </c>
      <c r="D307" s="6">
        <v>0</v>
      </c>
      <c r="E307" s="7">
        <v>663000</v>
      </c>
      <c r="F307" s="3">
        <v>53340</v>
      </c>
      <c r="G307" s="3" t="str">
        <f t="shared" si="4"/>
        <v>5</v>
      </c>
      <c r="H307" s="3" t="s">
        <v>606</v>
      </c>
      <c r="I307" s="8">
        <v>4547.38</v>
      </c>
      <c r="J307" s="8">
        <v>3417.27</v>
      </c>
      <c r="K307" s="8">
        <v>4547.38</v>
      </c>
    </row>
    <row r="308" spans="1:11" hidden="1" x14ac:dyDescent="0.25">
      <c r="A308" s="3" t="s">
        <v>607</v>
      </c>
      <c r="B308" s="3">
        <v>11</v>
      </c>
      <c r="C308" s="5">
        <v>150</v>
      </c>
      <c r="D308" s="6">
        <v>0</v>
      </c>
      <c r="E308" s="7">
        <v>663000</v>
      </c>
      <c r="F308" s="3">
        <v>53420</v>
      </c>
      <c r="G308" s="3" t="str">
        <f t="shared" si="4"/>
        <v>5</v>
      </c>
      <c r="H308" s="3" t="s">
        <v>608</v>
      </c>
      <c r="I308" s="8">
        <v>43367.83</v>
      </c>
      <c r="J308" s="8">
        <v>33502.160000000003</v>
      </c>
      <c r="K308" s="8">
        <v>43367.83</v>
      </c>
    </row>
    <row r="309" spans="1:11" hidden="1" x14ac:dyDescent="0.25">
      <c r="A309" s="3" t="s">
        <v>609</v>
      </c>
      <c r="B309" s="3">
        <v>11</v>
      </c>
      <c r="C309" s="5">
        <v>150</v>
      </c>
      <c r="D309" s="6">
        <v>0</v>
      </c>
      <c r="E309" s="7">
        <v>663000</v>
      </c>
      <c r="F309" s="3">
        <v>53520</v>
      </c>
      <c r="G309" s="3" t="str">
        <f t="shared" si="4"/>
        <v>5</v>
      </c>
      <c r="H309" s="3" t="s">
        <v>610</v>
      </c>
      <c r="I309" s="8">
        <v>156.81</v>
      </c>
      <c r="J309" s="8">
        <v>117.98</v>
      </c>
      <c r="K309" s="8">
        <v>156.81</v>
      </c>
    </row>
    <row r="310" spans="1:11" hidden="1" x14ac:dyDescent="0.25">
      <c r="A310" s="3" t="s">
        <v>611</v>
      </c>
      <c r="B310" s="3">
        <v>11</v>
      </c>
      <c r="C310" s="5">
        <v>150</v>
      </c>
      <c r="D310" s="6">
        <v>0</v>
      </c>
      <c r="E310" s="7">
        <v>663000</v>
      </c>
      <c r="F310" s="3">
        <v>53620</v>
      </c>
      <c r="G310" s="3" t="str">
        <f t="shared" si="4"/>
        <v>5</v>
      </c>
      <c r="H310" s="3" t="s">
        <v>612</v>
      </c>
      <c r="I310" s="8">
        <v>5929.78</v>
      </c>
      <c r="J310" s="8">
        <v>4470.8599999999997</v>
      </c>
      <c r="K310" s="8">
        <v>5929.78</v>
      </c>
    </row>
    <row r="311" spans="1:11" hidden="1" x14ac:dyDescent="0.25">
      <c r="A311" s="3" t="s">
        <v>613</v>
      </c>
      <c r="B311" s="3">
        <v>11</v>
      </c>
      <c r="C311" s="5">
        <v>150</v>
      </c>
      <c r="D311" s="6">
        <v>0</v>
      </c>
      <c r="E311" s="7">
        <v>663000</v>
      </c>
      <c r="F311" s="3">
        <v>53920</v>
      </c>
      <c r="G311" s="3" t="str">
        <f t="shared" si="4"/>
        <v>5</v>
      </c>
      <c r="H311" s="3" t="s">
        <v>614</v>
      </c>
      <c r="I311" s="8">
        <v>2400</v>
      </c>
      <c r="J311" s="8">
        <v>1600</v>
      </c>
      <c r="K311" s="8">
        <v>2400</v>
      </c>
    </row>
    <row r="312" spans="1:11" hidden="1" x14ac:dyDescent="0.25">
      <c r="A312" s="3" t="s">
        <v>615</v>
      </c>
      <c r="B312" s="3">
        <v>11</v>
      </c>
      <c r="C312" s="5">
        <v>150</v>
      </c>
      <c r="D312" s="6">
        <v>0</v>
      </c>
      <c r="E312" s="7">
        <v>663000</v>
      </c>
      <c r="F312" s="3">
        <v>54300</v>
      </c>
      <c r="G312" s="3" t="str">
        <f t="shared" si="4"/>
        <v>5</v>
      </c>
      <c r="H312" s="3" t="s">
        <v>616</v>
      </c>
      <c r="I312" s="8">
        <v>1000</v>
      </c>
      <c r="J312" s="8">
        <v>0</v>
      </c>
      <c r="K312" s="8">
        <v>1000</v>
      </c>
    </row>
    <row r="313" spans="1:11" hidden="1" x14ac:dyDescent="0.25">
      <c r="A313" s="3" t="s">
        <v>617</v>
      </c>
      <c r="B313" s="3">
        <v>11</v>
      </c>
      <c r="C313" s="5">
        <v>150</v>
      </c>
      <c r="D313" s="6">
        <v>0</v>
      </c>
      <c r="E313" s="7">
        <v>663000</v>
      </c>
      <c r="F313" s="3">
        <v>55200</v>
      </c>
      <c r="G313" s="3" t="str">
        <f t="shared" si="4"/>
        <v>5</v>
      </c>
      <c r="H313" s="3" t="s">
        <v>618</v>
      </c>
      <c r="I313" s="8">
        <v>6500</v>
      </c>
      <c r="J313" s="8">
        <v>0</v>
      </c>
      <c r="K313" s="8">
        <v>6500</v>
      </c>
    </row>
    <row r="314" spans="1:11" hidden="1" x14ac:dyDescent="0.25">
      <c r="A314" s="3" t="s">
        <v>619</v>
      </c>
      <c r="B314" s="3">
        <v>11</v>
      </c>
      <c r="C314" s="5">
        <v>150</v>
      </c>
      <c r="D314" s="6">
        <v>0</v>
      </c>
      <c r="E314" s="7">
        <v>663000</v>
      </c>
      <c r="F314" s="3">
        <v>55300</v>
      </c>
      <c r="G314" s="3" t="str">
        <f t="shared" si="4"/>
        <v>5</v>
      </c>
      <c r="H314" s="3" t="s">
        <v>620</v>
      </c>
      <c r="I314" s="8">
        <v>700</v>
      </c>
      <c r="J314" s="8">
        <v>0</v>
      </c>
      <c r="K314" s="8">
        <v>700</v>
      </c>
    </row>
    <row r="315" spans="1:11" hidden="1" x14ac:dyDescent="0.25">
      <c r="A315" s="3" t="s">
        <v>621</v>
      </c>
      <c r="B315" s="3">
        <v>11</v>
      </c>
      <c r="C315" s="5">
        <v>150</v>
      </c>
      <c r="D315" s="6">
        <v>0</v>
      </c>
      <c r="E315" s="7">
        <v>663000</v>
      </c>
      <c r="F315" s="3">
        <v>55309</v>
      </c>
      <c r="G315" s="3" t="str">
        <f t="shared" si="4"/>
        <v>5</v>
      </c>
      <c r="H315" s="3" t="s">
        <v>622</v>
      </c>
      <c r="I315" s="8">
        <v>11000</v>
      </c>
      <c r="J315" s="8">
        <v>10400</v>
      </c>
      <c r="K315" s="8">
        <v>11000</v>
      </c>
    </row>
    <row r="316" spans="1:11" hidden="1" x14ac:dyDescent="0.25">
      <c r="A316" s="3" t="s">
        <v>623</v>
      </c>
      <c r="B316" s="3">
        <v>11</v>
      </c>
      <c r="C316" s="5">
        <v>150</v>
      </c>
      <c r="D316" s="6">
        <v>0</v>
      </c>
      <c r="E316" s="7">
        <v>663000</v>
      </c>
      <c r="F316" s="3">
        <v>55610</v>
      </c>
      <c r="G316" s="3" t="str">
        <f t="shared" si="4"/>
        <v>5</v>
      </c>
      <c r="H316" s="3" t="s">
        <v>624</v>
      </c>
      <c r="I316" s="8">
        <v>0</v>
      </c>
      <c r="J316" s="8">
        <v>4167.17</v>
      </c>
      <c r="K316" s="8">
        <v>0</v>
      </c>
    </row>
    <row r="317" spans="1:11" hidden="1" x14ac:dyDescent="0.25">
      <c r="A317" s="3" t="s">
        <v>625</v>
      </c>
      <c r="B317" s="3">
        <v>11</v>
      </c>
      <c r="C317" s="5">
        <v>150</v>
      </c>
      <c r="D317" s="6">
        <v>0</v>
      </c>
      <c r="E317" s="7">
        <v>663000</v>
      </c>
      <c r="F317" s="3">
        <v>55630</v>
      </c>
      <c r="G317" s="3" t="str">
        <f t="shared" si="4"/>
        <v>5</v>
      </c>
      <c r="H317" s="3" t="s">
        <v>626</v>
      </c>
      <c r="I317" s="8">
        <v>556</v>
      </c>
      <c r="J317" s="8">
        <v>10.55</v>
      </c>
      <c r="K317" s="8">
        <v>556</v>
      </c>
    </row>
    <row r="318" spans="1:11" hidden="1" x14ac:dyDescent="0.25">
      <c r="A318" s="3" t="s">
        <v>627</v>
      </c>
      <c r="B318" s="3">
        <v>11</v>
      </c>
      <c r="C318" s="5">
        <v>200</v>
      </c>
      <c r="D318" s="6">
        <v>0</v>
      </c>
      <c r="E318" s="7">
        <v>590000</v>
      </c>
      <c r="F318" s="3">
        <v>53410</v>
      </c>
      <c r="G318" s="3" t="str">
        <f t="shared" si="4"/>
        <v>5</v>
      </c>
      <c r="H318" s="3" t="s">
        <v>628</v>
      </c>
      <c r="I318" s="8">
        <v>110000</v>
      </c>
      <c r="J318" s="8">
        <v>0</v>
      </c>
      <c r="K318" s="8">
        <v>110000</v>
      </c>
    </row>
    <row r="319" spans="1:11" hidden="1" x14ac:dyDescent="0.25">
      <c r="A319" s="3" t="s">
        <v>629</v>
      </c>
      <c r="B319" s="3">
        <v>11</v>
      </c>
      <c r="C319" s="5">
        <v>200</v>
      </c>
      <c r="D319" s="6">
        <v>0</v>
      </c>
      <c r="E319" s="7">
        <v>590000</v>
      </c>
      <c r="F319" s="3">
        <v>53411</v>
      </c>
      <c r="G319" s="3" t="str">
        <f t="shared" si="4"/>
        <v>5</v>
      </c>
      <c r="H319" s="3" t="s">
        <v>630</v>
      </c>
      <c r="I319" s="8">
        <v>0</v>
      </c>
      <c r="J319" s="8">
        <v>69974.64</v>
      </c>
      <c r="K319" s="8">
        <v>0</v>
      </c>
    </row>
    <row r="320" spans="1:11" hidden="1" x14ac:dyDescent="0.25">
      <c r="A320" s="3" t="s">
        <v>631</v>
      </c>
      <c r="B320" s="3">
        <v>11</v>
      </c>
      <c r="C320" s="5">
        <v>200</v>
      </c>
      <c r="D320" s="6">
        <v>0</v>
      </c>
      <c r="E320" s="7">
        <v>672020</v>
      </c>
      <c r="F320" s="3">
        <v>53420</v>
      </c>
      <c r="G320" s="3" t="str">
        <f t="shared" si="4"/>
        <v>5</v>
      </c>
      <c r="H320" s="3" t="s">
        <v>632</v>
      </c>
      <c r="I320" s="8">
        <v>0</v>
      </c>
      <c r="J320" s="8">
        <v>0</v>
      </c>
      <c r="K320" s="8">
        <v>0</v>
      </c>
    </row>
    <row r="321" spans="1:11" hidden="1" x14ac:dyDescent="0.25">
      <c r="A321" s="3" t="s">
        <v>633</v>
      </c>
      <c r="B321" s="3">
        <v>11</v>
      </c>
      <c r="C321" s="5">
        <v>200</v>
      </c>
      <c r="D321" s="6">
        <v>0</v>
      </c>
      <c r="E321" s="7">
        <v>674000</v>
      </c>
      <c r="F321" s="3">
        <v>53420</v>
      </c>
      <c r="G321" s="3" t="str">
        <f t="shared" si="4"/>
        <v>5</v>
      </c>
      <c r="H321" s="3" t="s">
        <v>634</v>
      </c>
      <c r="I321" s="8">
        <v>125000</v>
      </c>
      <c r="J321" s="8">
        <v>0</v>
      </c>
      <c r="K321" s="8">
        <v>125000</v>
      </c>
    </row>
    <row r="322" spans="1:11" hidden="1" x14ac:dyDescent="0.25">
      <c r="A322" s="3" t="s">
        <v>635</v>
      </c>
      <c r="B322" s="3">
        <v>11</v>
      </c>
      <c r="C322" s="5">
        <v>200</v>
      </c>
      <c r="D322" s="6">
        <v>0</v>
      </c>
      <c r="E322" s="7">
        <v>674000</v>
      </c>
      <c r="F322" s="3">
        <v>53421</v>
      </c>
      <c r="G322" s="3" t="str">
        <f t="shared" si="4"/>
        <v>5</v>
      </c>
      <c r="H322" s="3" t="s">
        <v>636</v>
      </c>
      <c r="I322" s="8">
        <v>0</v>
      </c>
      <c r="J322" s="8">
        <v>123393.23</v>
      </c>
      <c r="K322" s="8">
        <v>0</v>
      </c>
    </row>
    <row r="323" spans="1:11" hidden="1" x14ac:dyDescent="0.25">
      <c r="A323" s="3" t="s">
        <v>637</v>
      </c>
      <c r="B323" s="3">
        <v>11</v>
      </c>
      <c r="C323" s="5">
        <v>200</v>
      </c>
      <c r="D323" s="6">
        <v>0</v>
      </c>
      <c r="E323" s="7">
        <v>675000</v>
      </c>
      <c r="F323" s="3">
        <v>55125</v>
      </c>
      <c r="G323" s="3" t="str">
        <f t="shared" ref="G323:G386" si="5">LEFT(F323,1)</f>
        <v>5</v>
      </c>
      <c r="H323" s="3" t="s">
        <v>638</v>
      </c>
      <c r="I323" s="8">
        <v>50000</v>
      </c>
      <c r="J323" s="8">
        <v>8754.64</v>
      </c>
      <c r="K323" s="8">
        <v>50000</v>
      </c>
    </row>
    <row r="324" spans="1:11" hidden="1" x14ac:dyDescent="0.25">
      <c r="A324" s="3" t="s">
        <v>639</v>
      </c>
      <c r="B324" s="3">
        <v>11</v>
      </c>
      <c r="C324" s="5">
        <v>200</v>
      </c>
      <c r="D324" s="6">
        <v>0</v>
      </c>
      <c r="E324" s="7">
        <v>677000</v>
      </c>
      <c r="F324" s="3">
        <v>55821</v>
      </c>
      <c r="G324" s="3" t="str">
        <f t="shared" si="5"/>
        <v>5</v>
      </c>
      <c r="H324" s="3" t="s">
        <v>640</v>
      </c>
      <c r="I324" s="8">
        <v>3245</v>
      </c>
      <c r="J324" s="8">
        <v>3656.38</v>
      </c>
      <c r="K324" s="8">
        <v>3245</v>
      </c>
    </row>
    <row r="325" spans="1:11" hidden="1" x14ac:dyDescent="0.25">
      <c r="A325" s="3" t="s">
        <v>641</v>
      </c>
      <c r="B325" s="3">
        <v>11</v>
      </c>
      <c r="C325" s="5">
        <v>200</v>
      </c>
      <c r="D325" s="6">
        <v>0</v>
      </c>
      <c r="E325" s="7">
        <v>677010</v>
      </c>
      <c r="F325" s="3">
        <v>55555</v>
      </c>
      <c r="G325" s="3" t="str">
        <f t="shared" si="5"/>
        <v>5</v>
      </c>
      <c r="H325" s="3" t="s">
        <v>642</v>
      </c>
      <c r="I325" s="8">
        <v>0</v>
      </c>
      <c r="J325" s="8">
        <v>15280</v>
      </c>
      <c r="K325" s="8">
        <v>0</v>
      </c>
    </row>
    <row r="326" spans="1:11" hidden="1" x14ac:dyDescent="0.25">
      <c r="A326" s="3" t="s">
        <v>643</v>
      </c>
      <c r="B326" s="3">
        <v>11</v>
      </c>
      <c r="C326" s="5">
        <v>200</v>
      </c>
      <c r="D326" s="6">
        <v>0</v>
      </c>
      <c r="E326" s="7">
        <v>677100</v>
      </c>
      <c r="F326" s="3">
        <v>54300</v>
      </c>
      <c r="G326" s="3" t="str">
        <f t="shared" si="5"/>
        <v>5</v>
      </c>
      <c r="H326" s="3" t="s">
        <v>644</v>
      </c>
      <c r="I326" s="8">
        <v>956</v>
      </c>
      <c r="J326" s="8">
        <v>0</v>
      </c>
      <c r="K326" s="8">
        <v>956</v>
      </c>
    </row>
    <row r="327" spans="1:11" hidden="1" x14ac:dyDescent="0.25">
      <c r="A327" s="3" t="s">
        <v>645</v>
      </c>
      <c r="B327" s="3">
        <v>11</v>
      </c>
      <c r="C327" s="5">
        <v>200</v>
      </c>
      <c r="D327" s="6">
        <v>0</v>
      </c>
      <c r="E327" s="7">
        <v>677100</v>
      </c>
      <c r="F327" s="3">
        <v>55105</v>
      </c>
      <c r="G327" s="3" t="str">
        <f t="shared" si="5"/>
        <v>5</v>
      </c>
      <c r="H327" s="3" t="s">
        <v>646</v>
      </c>
      <c r="I327" s="8">
        <v>630185</v>
      </c>
      <c r="J327" s="8">
        <v>335178.78000000003</v>
      </c>
      <c r="K327" s="8">
        <v>630185</v>
      </c>
    </row>
    <row r="328" spans="1:11" hidden="1" x14ac:dyDescent="0.25">
      <c r="A328" s="3" t="s">
        <v>647</v>
      </c>
      <c r="B328" s="3">
        <v>11</v>
      </c>
      <c r="C328" s="5">
        <v>200</v>
      </c>
      <c r="D328" s="6">
        <v>0</v>
      </c>
      <c r="E328" s="7">
        <v>677100</v>
      </c>
      <c r="F328" s="3">
        <v>55630</v>
      </c>
      <c r="G328" s="3" t="str">
        <f t="shared" si="5"/>
        <v>5</v>
      </c>
      <c r="H328" s="3" t="s">
        <v>648</v>
      </c>
      <c r="I328" s="8">
        <v>6</v>
      </c>
      <c r="J328" s="8">
        <v>0</v>
      </c>
      <c r="K328" s="8">
        <v>6</v>
      </c>
    </row>
    <row r="329" spans="1:11" hidden="1" x14ac:dyDescent="0.25">
      <c r="A329" s="3" t="s">
        <v>649</v>
      </c>
      <c r="B329" s="3">
        <v>11</v>
      </c>
      <c r="C329" s="5">
        <v>200</v>
      </c>
      <c r="D329" s="6">
        <v>0</v>
      </c>
      <c r="E329" s="7">
        <v>695000</v>
      </c>
      <c r="F329" s="3">
        <v>55800</v>
      </c>
      <c r="G329" s="3" t="str">
        <f t="shared" si="5"/>
        <v>5</v>
      </c>
      <c r="H329" s="3" t="s">
        <v>650</v>
      </c>
      <c r="I329" s="8">
        <v>27455</v>
      </c>
      <c r="J329" s="8">
        <v>0</v>
      </c>
      <c r="K329" s="8">
        <v>27455</v>
      </c>
    </row>
    <row r="330" spans="1:11" hidden="1" x14ac:dyDescent="0.25">
      <c r="A330" s="3" t="s">
        <v>651</v>
      </c>
      <c r="B330" s="3">
        <v>11</v>
      </c>
      <c r="C330" s="5">
        <v>200</v>
      </c>
      <c r="D330" s="6">
        <v>4</v>
      </c>
      <c r="E330" s="7">
        <v>657000</v>
      </c>
      <c r="F330" s="3">
        <v>55530</v>
      </c>
      <c r="G330" s="3" t="str">
        <f t="shared" si="5"/>
        <v>5</v>
      </c>
      <c r="H330" s="3" t="s">
        <v>551</v>
      </c>
      <c r="I330" s="8">
        <v>34656</v>
      </c>
      <c r="J330" s="8">
        <v>1444.98</v>
      </c>
      <c r="K330" s="8">
        <v>34656</v>
      </c>
    </row>
    <row r="331" spans="1:11" hidden="1" x14ac:dyDescent="0.25">
      <c r="A331" s="3" t="s">
        <v>652</v>
      </c>
      <c r="B331" s="3">
        <v>11</v>
      </c>
      <c r="C331" s="5">
        <v>200</v>
      </c>
      <c r="D331" s="6">
        <v>4</v>
      </c>
      <c r="E331" s="7">
        <v>657000</v>
      </c>
      <c r="F331" s="3">
        <v>55540</v>
      </c>
      <c r="G331" s="3" t="str">
        <f t="shared" si="5"/>
        <v>5</v>
      </c>
      <c r="H331" s="3" t="s">
        <v>553</v>
      </c>
      <c r="I331" s="8">
        <v>1161</v>
      </c>
      <c r="J331" s="8">
        <v>0</v>
      </c>
      <c r="K331" s="8">
        <v>1161</v>
      </c>
    </row>
    <row r="332" spans="1:11" hidden="1" x14ac:dyDescent="0.25">
      <c r="A332" s="3" t="s">
        <v>653</v>
      </c>
      <c r="B332" s="3">
        <v>11</v>
      </c>
      <c r="C332" s="5">
        <v>210</v>
      </c>
      <c r="D332" s="6">
        <v>0</v>
      </c>
      <c r="E332" s="7">
        <v>657000</v>
      </c>
      <c r="F332" s="3">
        <v>55530</v>
      </c>
      <c r="G332" s="3" t="str">
        <f t="shared" si="5"/>
        <v>5</v>
      </c>
      <c r="H332" s="3" t="s">
        <v>551</v>
      </c>
      <c r="I332" s="8">
        <v>845000</v>
      </c>
      <c r="J332" s="8">
        <v>276114.11</v>
      </c>
      <c r="K332" s="8">
        <v>845000</v>
      </c>
    </row>
    <row r="333" spans="1:11" hidden="1" x14ac:dyDescent="0.25">
      <c r="A333" s="3" t="s">
        <v>654</v>
      </c>
      <c r="B333" s="3">
        <v>11</v>
      </c>
      <c r="C333" s="5">
        <v>210</v>
      </c>
      <c r="D333" s="6">
        <v>0</v>
      </c>
      <c r="E333" s="7">
        <v>657000</v>
      </c>
      <c r="F333" s="3">
        <v>55540</v>
      </c>
      <c r="G333" s="3" t="str">
        <f t="shared" si="5"/>
        <v>5</v>
      </c>
      <c r="H333" s="3" t="s">
        <v>553</v>
      </c>
      <c r="I333" s="8">
        <v>155661</v>
      </c>
      <c r="J333" s="8">
        <v>169181.11</v>
      </c>
      <c r="K333" s="8">
        <v>155661</v>
      </c>
    </row>
    <row r="334" spans="1:11" hidden="1" x14ac:dyDescent="0.25">
      <c r="A334" s="3" t="s">
        <v>655</v>
      </c>
      <c r="B334" s="3">
        <v>11</v>
      </c>
      <c r="C334" s="5">
        <v>210</v>
      </c>
      <c r="D334" s="6">
        <v>0</v>
      </c>
      <c r="E334" s="7">
        <v>657000</v>
      </c>
      <c r="F334" s="3">
        <v>55560</v>
      </c>
      <c r="G334" s="3" t="str">
        <f t="shared" si="5"/>
        <v>5</v>
      </c>
      <c r="H334" s="3" t="s">
        <v>555</v>
      </c>
      <c r="I334" s="8">
        <v>59200</v>
      </c>
      <c r="J334" s="8">
        <v>35710.870000000003</v>
      </c>
      <c r="K334" s="8">
        <v>59200</v>
      </c>
    </row>
    <row r="335" spans="1:11" hidden="1" x14ac:dyDescent="0.25">
      <c r="A335" s="3" t="s">
        <v>656</v>
      </c>
      <c r="B335" s="3">
        <v>11</v>
      </c>
      <c r="C335" s="5">
        <v>210</v>
      </c>
      <c r="D335" s="6">
        <v>0</v>
      </c>
      <c r="E335" s="7">
        <v>657000</v>
      </c>
      <c r="F335" s="3">
        <v>55570</v>
      </c>
      <c r="G335" s="3" t="str">
        <f t="shared" si="5"/>
        <v>5</v>
      </c>
      <c r="H335" s="3" t="s">
        <v>657</v>
      </c>
      <c r="I335" s="8">
        <v>31838</v>
      </c>
      <c r="J335" s="8">
        <v>26418.52</v>
      </c>
      <c r="K335" s="8">
        <v>31838</v>
      </c>
    </row>
    <row r="336" spans="1:11" hidden="1" x14ac:dyDescent="0.25">
      <c r="A336" s="3" t="s">
        <v>658</v>
      </c>
      <c r="B336" s="3">
        <v>11</v>
      </c>
      <c r="C336" s="5">
        <v>210</v>
      </c>
      <c r="D336" s="6">
        <v>0</v>
      </c>
      <c r="E336" s="7">
        <v>657000</v>
      </c>
      <c r="F336" s="3">
        <v>55575</v>
      </c>
      <c r="G336" s="3" t="str">
        <f t="shared" si="5"/>
        <v>5</v>
      </c>
      <c r="H336" s="3" t="s">
        <v>659</v>
      </c>
      <c r="I336" s="8">
        <v>2000</v>
      </c>
      <c r="J336" s="8">
        <v>0</v>
      </c>
      <c r="K336" s="8">
        <v>2000</v>
      </c>
    </row>
    <row r="337" spans="1:11" hidden="1" x14ac:dyDescent="0.25">
      <c r="A337" s="3" t="s">
        <v>660</v>
      </c>
      <c r="B337" s="3">
        <v>11</v>
      </c>
      <c r="C337" s="5">
        <v>210</v>
      </c>
      <c r="D337" s="6">
        <v>0</v>
      </c>
      <c r="E337" s="7">
        <v>657000</v>
      </c>
      <c r="F337" s="3">
        <v>55580</v>
      </c>
      <c r="G337" s="3" t="str">
        <f t="shared" si="5"/>
        <v>5</v>
      </c>
      <c r="H337" s="3" t="s">
        <v>557</v>
      </c>
      <c r="I337" s="8">
        <v>50000</v>
      </c>
      <c r="J337" s="8">
        <v>20572.66</v>
      </c>
      <c r="K337" s="8">
        <v>50000</v>
      </c>
    </row>
    <row r="338" spans="1:11" hidden="1" x14ac:dyDescent="0.25">
      <c r="A338" s="3" t="s">
        <v>661</v>
      </c>
      <c r="B338" s="3">
        <v>11</v>
      </c>
      <c r="C338" s="5">
        <v>210</v>
      </c>
      <c r="D338" s="6">
        <v>0</v>
      </c>
      <c r="E338" s="7">
        <v>672010</v>
      </c>
      <c r="F338" s="3">
        <v>52105</v>
      </c>
      <c r="G338" s="3" t="str">
        <f t="shared" si="5"/>
        <v>5</v>
      </c>
      <c r="H338" s="3" t="s">
        <v>662</v>
      </c>
      <c r="I338" s="8">
        <v>440950.1</v>
      </c>
      <c r="J338" s="8">
        <v>328247.87</v>
      </c>
      <c r="K338" s="8">
        <v>440950.1</v>
      </c>
    </row>
    <row r="339" spans="1:11" hidden="1" x14ac:dyDescent="0.25">
      <c r="A339" s="3" t="s">
        <v>663</v>
      </c>
      <c r="B339" s="3">
        <v>11</v>
      </c>
      <c r="C339" s="5">
        <v>210</v>
      </c>
      <c r="D339" s="6">
        <v>0</v>
      </c>
      <c r="E339" s="7">
        <v>672010</v>
      </c>
      <c r="F339" s="3">
        <v>52115</v>
      </c>
      <c r="G339" s="3" t="str">
        <f t="shared" si="5"/>
        <v>5</v>
      </c>
      <c r="H339" s="3" t="s">
        <v>664</v>
      </c>
      <c r="I339" s="8">
        <v>94895.1</v>
      </c>
      <c r="J339" s="8">
        <v>71175.69</v>
      </c>
      <c r="K339" s="8">
        <v>94895.1</v>
      </c>
    </row>
    <row r="340" spans="1:11" hidden="1" x14ac:dyDescent="0.25">
      <c r="A340" s="3" t="s">
        <v>665</v>
      </c>
      <c r="B340" s="3">
        <v>11</v>
      </c>
      <c r="C340" s="5">
        <v>210</v>
      </c>
      <c r="D340" s="6">
        <v>0</v>
      </c>
      <c r="E340" s="7">
        <v>672010</v>
      </c>
      <c r="F340" s="3">
        <v>52120</v>
      </c>
      <c r="G340" s="3" t="str">
        <f t="shared" si="5"/>
        <v>5</v>
      </c>
      <c r="H340" s="3" t="s">
        <v>666</v>
      </c>
      <c r="I340" s="8">
        <v>136446.51999999999</v>
      </c>
      <c r="J340" s="8">
        <v>101911.95</v>
      </c>
      <c r="K340" s="8">
        <v>136446.51999999999</v>
      </c>
    </row>
    <row r="341" spans="1:11" hidden="1" x14ac:dyDescent="0.25">
      <c r="A341" s="3" t="s">
        <v>667</v>
      </c>
      <c r="B341" s="3">
        <v>11</v>
      </c>
      <c r="C341" s="5">
        <v>210</v>
      </c>
      <c r="D341" s="6">
        <v>0</v>
      </c>
      <c r="E341" s="7">
        <v>672010</v>
      </c>
      <c r="F341" s="3">
        <v>52130</v>
      </c>
      <c r="G341" s="3" t="str">
        <f t="shared" si="5"/>
        <v>5</v>
      </c>
      <c r="H341" s="3" t="s">
        <v>668</v>
      </c>
      <c r="I341" s="8">
        <v>295114.38</v>
      </c>
      <c r="J341" s="8">
        <v>205605.49</v>
      </c>
      <c r="K341" s="8">
        <v>295114.38</v>
      </c>
    </row>
    <row r="342" spans="1:11" hidden="1" x14ac:dyDescent="0.25">
      <c r="A342" s="3" t="s">
        <v>669</v>
      </c>
      <c r="B342" s="3">
        <v>11</v>
      </c>
      <c r="C342" s="5">
        <v>210</v>
      </c>
      <c r="D342" s="6">
        <v>0</v>
      </c>
      <c r="E342" s="7">
        <v>672010</v>
      </c>
      <c r="F342" s="3">
        <v>52300</v>
      </c>
      <c r="G342" s="3" t="str">
        <f t="shared" si="5"/>
        <v>5</v>
      </c>
      <c r="H342" s="3" t="s">
        <v>670</v>
      </c>
      <c r="I342" s="8">
        <v>10000</v>
      </c>
      <c r="J342" s="8">
        <v>5818.8</v>
      </c>
      <c r="K342" s="8">
        <v>10000</v>
      </c>
    </row>
    <row r="343" spans="1:11" hidden="1" x14ac:dyDescent="0.25">
      <c r="A343" s="3" t="s">
        <v>671</v>
      </c>
      <c r="B343" s="3">
        <v>11</v>
      </c>
      <c r="C343" s="5">
        <v>210</v>
      </c>
      <c r="D343" s="6">
        <v>0</v>
      </c>
      <c r="E343" s="7">
        <v>672010</v>
      </c>
      <c r="F343" s="3">
        <v>52350</v>
      </c>
      <c r="G343" s="3" t="str">
        <f t="shared" si="5"/>
        <v>5</v>
      </c>
      <c r="H343" s="3" t="s">
        <v>672</v>
      </c>
      <c r="I343" s="8">
        <v>2500</v>
      </c>
      <c r="J343" s="8">
        <v>0</v>
      </c>
      <c r="K343" s="8">
        <v>2500</v>
      </c>
    </row>
    <row r="344" spans="1:11" hidden="1" x14ac:dyDescent="0.25">
      <c r="A344" s="3" t="s">
        <v>673</v>
      </c>
      <c r="B344" s="3">
        <v>11</v>
      </c>
      <c r="C344" s="5">
        <v>210</v>
      </c>
      <c r="D344" s="6">
        <v>0</v>
      </c>
      <c r="E344" s="7">
        <v>672010</v>
      </c>
      <c r="F344" s="3">
        <v>52360</v>
      </c>
      <c r="G344" s="3" t="str">
        <f t="shared" si="5"/>
        <v>5</v>
      </c>
      <c r="H344" s="3" t="s">
        <v>674</v>
      </c>
      <c r="I344" s="8">
        <v>10000</v>
      </c>
      <c r="J344" s="8">
        <v>0</v>
      </c>
      <c r="K344" s="8">
        <v>10000</v>
      </c>
    </row>
    <row r="345" spans="1:11" hidden="1" x14ac:dyDescent="0.25">
      <c r="A345" s="3" t="s">
        <v>675</v>
      </c>
      <c r="B345" s="3">
        <v>11</v>
      </c>
      <c r="C345" s="5">
        <v>210</v>
      </c>
      <c r="D345" s="6">
        <v>0</v>
      </c>
      <c r="E345" s="7">
        <v>672010</v>
      </c>
      <c r="F345" s="3">
        <v>53220</v>
      </c>
      <c r="G345" s="3" t="str">
        <f t="shared" si="5"/>
        <v>5</v>
      </c>
      <c r="H345" s="3" t="s">
        <v>676</v>
      </c>
      <c r="I345" s="8">
        <v>200253.07</v>
      </c>
      <c r="J345" s="8">
        <v>138551.44</v>
      </c>
      <c r="K345" s="8">
        <v>200253.07</v>
      </c>
    </row>
    <row r="346" spans="1:11" hidden="1" x14ac:dyDescent="0.25">
      <c r="A346" s="3" t="s">
        <v>677</v>
      </c>
      <c r="B346" s="3">
        <v>11</v>
      </c>
      <c r="C346" s="5">
        <v>210</v>
      </c>
      <c r="D346" s="6">
        <v>0</v>
      </c>
      <c r="E346" s="7">
        <v>672010</v>
      </c>
      <c r="F346" s="3">
        <v>53320</v>
      </c>
      <c r="G346" s="3" t="str">
        <f t="shared" si="5"/>
        <v>5</v>
      </c>
      <c r="H346" s="3" t="s">
        <v>678</v>
      </c>
      <c r="I346" s="8">
        <v>61219.19</v>
      </c>
      <c r="J346" s="8">
        <v>42144.28</v>
      </c>
      <c r="K346" s="8">
        <v>61219.19</v>
      </c>
    </row>
    <row r="347" spans="1:11" hidden="1" x14ac:dyDescent="0.25">
      <c r="A347" s="3" t="s">
        <v>679</v>
      </c>
      <c r="B347" s="3">
        <v>11</v>
      </c>
      <c r="C347" s="5">
        <v>210</v>
      </c>
      <c r="D347" s="6">
        <v>0</v>
      </c>
      <c r="E347" s="7">
        <v>672010</v>
      </c>
      <c r="F347" s="3">
        <v>53340</v>
      </c>
      <c r="G347" s="3" t="str">
        <f t="shared" si="5"/>
        <v>5</v>
      </c>
      <c r="H347" s="3" t="s">
        <v>680</v>
      </c>
      <c r="I347" s="8">
        <v>14317.39</v>
      </c>
      <c r="J347" s="8">
        <v>10190.5</v>
      </c>
      <c r="K347" s="8">
        <v>14317.39</v>
      </c>
    </row>
    <row r="348" spans="1:11" hidden="1" x14ac:dyDescent="0.25">
      <c r="A348" s="3" t="s">
        <v>681</v>
      </c>
      <c r="B348" s="3">
        <v>11</v>
      </c>
      <c r="C348" s="5">
        <v>210</v>
      </c>
      <c r="D348" s="6">
        <v>0</v>
      </c>
      <c r="E348" s="7">
        <v>672010</v>
      </c>
      <c r="F348" s="3">
        <v>53420</v>
      </c>
      <c r="G348" s="3" t="str">
        <f t="shared" si="5"/>
        <v>5</v>
      </c>
      <c r="H348" s="3" t="s">
        <v>682</v>
      </c>
      <c r="I348" s="8">
        <v>345875.63</v>
      </c>
      <c r="J348" s="8">
        <v>236478.54</v>
      </c>
      <c r="K348" s="8">
        <v>345875.63</v>
      </c>
    </row>
    <row r="349" spans="1:11" hidden="1" x14ac:dyDescent="0.25">
      <c r="A349" s="3" t="s">
        <v>683</v>
      </c>
      <c r="B349" s="3">
        <v>11</v>
      </c>
      <c r="C349" s="5">
        <v>210</v>
      </c>
      <c r="D349" s="6">
        <v>0</v>
      </c>
      <c r="E349" s="7">
        <v>672010</v>
      </c>
      <c r="F349" s="3">
        <v>53520</v>
      </c>
      <c r="G349" s="3" t="str">
        <f t="shared" si="5"/>
        <v>5</v>
      </c>
      <c r="H349" s="3" t="s">
        <v>684</v>
      </c>
      <c r="I349" s="8">
        <v>493.7</v>
      </c>
      <c r="J349" s="8">
        <v>354.19</v>
      </c>
      <c r="K349" s="8">
        <v>493.7</v>
      </c>
    </row>
    <row r="350" spans="1:11" hidden="1" x14ac:dyDescent="0.25">
      <c r="A350" s="3" t="s">
        <v>685</v>
      </c>
      <c r="B350" s="3">
        <v>11</v>
      </c>
      <c r="C350" s="5">
        <v>210</v>
      </c>
      <c r="D350" s="6">
        <v>0</v>
      </c>
      <c r="E350" s="7">
        <v>672010</v>
      </c>
      <c r="F350" s="3">
        <v>53620</v>
      </c>
      <c r="G350" s="3" t="str">
        <f t="shared" si="5"/>
        <v>5</v>
      </c>
      <c r="H350" s="3" t="s">
        <v>686</v>
      </c>
      <c r="I350" s="8">
        <v>18717.14</v>
      </c>
      <c r="J350" s="8">
        <v>13490.69</v>
      </c>
      <c r="K350" s="8">
        <v>18717.14</v>
      </c>
    </row>
    <row r="351" spans="1:11" hidden="1" x14ac:dyDescent="0.25">
      <c r="A351" s="3" t="s">
        <v>687</v>
      </c>
      <c r="B351" s="3">
        <v>11</v>
      </c>
      <c r="C351" s="5">
        <v>210</v>
      </c>
      <c r="D351" s="6">
        <v>0</v>
      </c>
      <c r="E351" s="7">
        <v>672010</v>
      </c>
      <c r="F351" s="3">
        <v>53904</v>
      </c>
      <c r="G351" s="3" t="str">
        <f t="shared" si="5"/>
        <v>5</v>
      </c>
      <c r="H351" s="3" t="s">
        <v>688</v>
      </c>
      <c r="I351" s="8">
        <v>0</v>
      </c>
      <c r="J351" s="8">
        <v>-9.7200000000000006</v>
      </c>
      <c r="K351" s="8">
        <v>0</v>
      </c>
    </row>
    <row r="352" spans="1:11" hidden="1" x14ac:dyDescent="0.25">
      <c r="A352" s="3" t="s">
        <v>689</v>
      </c>
      <c r="B352" s="3">
        <v>11</v>
      </c>
      <c r="C352" s="5">
        <v>210</v>
      </c>
      <c r="D352" s="6">
        <v>0</v>
      </c>
      <c r="E352" s="7">
        <v>672010</v>
      </c>
      <c r="F352" s="3">
        <v>53920</v>
      </c>
      <c r="G352" s="3" t="str">
        <f t="shared" si="5"/>
        <v>5</v>
      </c>
      <c r="H352" s="3" t="s">
        <v>690</v>
      </c>
      <c r="I352" s="8">
        <v>4728</v>
      </c>
      <c r="J352" s="8">
        <v>3152</v>
      </c>
      <c r="K352" s="8">
        <v>4728</v>
      </c>
    </row>
    <row r="353" spans="1:11" hidden="1" x14ac:dyDescent="0.25">
      <c r="A353" s="3" t="s">
        <v>691</v>
      </c>
      <c r="B353" s="3">
        <v>11</v>
      </c>
      <c r="C353" s="5">
        <v>210</v>
      </c>
      <c r="D353" s="6">
        <v>0</v>
      </c>
      <c r="E353" s="7">
        <v>672010</v>
      </c>
      <c r="F353" s="3">
        <v>54300</v>
      </c>
      <c r="G353" s="3" t="str">
        <f t="shared" si="5"/>
        <v>5</v>
      </c>
      <c r="H353" s="3" t="s">
        <v>692</v>
      </c>
      <c r="I353" s="8">
        <v>7000</v>
      </c>
      <c r="J353" s="8">
        <v>4197.2299999999996</v>
      </c>
      <c r="K353" s="8">
        <v>7000</v>
      </c>
    </row>
    <row r="354" spans="1:11" hidden="1" x14ac:dyDescent="0.25">
      <c r="A354" s="3" t="s">
        <v>693</v>
      </c>
      <c r="B354" s="3">
        <v>11</v>
      </c>
      <c r="C354" s="5">
        <v>210</v>
      </c>
      <c r="D354" s="6">
        <v>0</v>
      </c>
      <c r="E354" s="7">
        <v>672010</v>
      </c>
      <c r="F354" s="3">
        <v>55105</v>
      </c>
      <c r="G354" s="3" t="str">
        <f t="shared" si="5"/>
        <v>5</v>
      </c>
      <c r="H354" s="3" t="s">
        <v>694</v>
      </c>
      <c r="I354" s="8">
        <v>11000</v>
      </c>
      <c r="J354" s="8">
        <v>10774.6</v>
      </c>
      <c r="K354" s="8">
        <v>11000</v>
      </c>
    </row>
    <row r="355" spans="1:11" hidden="1" x14ac:dyDescent="0.25">
      <c r="A355" s="3" t="s">
        <v>695</v>
      </c>
      <c r="B355" s="3">
        <v>11</v>
      </c>
      <c r="C355" s="5">
        <v>210</v>
      </c>
      <c r="D355" s="6">
        <v>0</v>
      </c>
      <c r="E355" s="7">
        <v>672010</v>
      </c>
      <c r="F355" s="3">
        <v>55200</v>
      </c>
      <c r="G355" s="3" t="str">
        <f t="shared" si="5"/>
        <v>5</v>
      </c>
      <c r="H355" s="3" t="s">
        <v>696</v>
      </c>
      <c r="I355" s="8">
        <v>10000</v>
      </c>
      <c r="J355" s="8">
        <v>756.33</v>
      </c>
      <c r="K355" s="8">
        <v>10000</v>
      </c>
    </row>
    <row r="356" spans="1:11" hidden="1" x14ac:dyDescent="0.25">
      <c r="A356" s="3" t="s">
        <v>697</v>
      </c>
      <c r="B356" s="3">
        <v>11</v>
      </c>
      <c r="C356" s="5">
        <v>210</v>
      </c>
      <c r="D356" s="6">
        <v>0</v>
      </c>
      <c r="E356" s="7">
        <v>672010</v>
      </c>
      <c r="F356" s="3">
        <v>55309</v>
      </c>
      <c r="G356" s="3" t="str">
        <f t="shared" si="5"/>
        <v>5</v>
      </c>
      <c r="H356" s="3" t="s">
        <v>698</v>
      </c>
      <c r="I356" s="8">
        <v>0</v>
      </c>
      <c r="J356" s="8">
        <v>199</v>
      </c>
      <c r="K356" s="8">
        <v>0</v>
      </c>
    </row>
    <row r="357" spans="1:11" hidden="1" x14ac:dyDescent="0.25">
      <c r="A357" s="3" t="s">
        <v>699</v>
      </c>
      <c r="B357" s="3">
        <v>11</v>
      </c>
      <c r="C357" s="5">
        <v>210</v>
      </c>
      <c r="D357" s="6">
        <v>0</v>
      </c>
      <c r="E357" s="7">
        <v>672010</v>
      </c>
      <c r="F357" s="3">
        <v>55630</v>
      </c>
      <c r="G357" s="3" t="str">
        <f t="shared" si="5"/>
        <v>5</v>
      </c>
      <c r="H357" s="3" t="s">
        <v>700</v>
      </c>
      <c r="I357" s="8">
        <v>8700</v>
      </c>
      <c r="J357" s="8">
        <v>4057.3</v>
      </c>
      <c r="K357" s="8">
        <v>8700</v>
      </c>
    </row>
    <row r="358" spans="1:11" hidden="1" x14ac:dyDescent="0.25">
      <c r="A358" s="3" t="s">
        <v>701</v>
      </c>
      <c r="B358" s="3">
        <v>11</v>
      </c>
      <c r="C358" s="5">
        <v>210</v>
      </c>
      <c r="D358" s="6">
        <v>0</v>
      </c>
      <c r="E358" s="7">
        <v>672010</v>
      </c>
      <c r="F358" s="3">
        <v>55800</v>
      </c>
      <c r="G358" s="3" t="str">
        <f t="shared" si="5"/>
        <v>5</v>
      </c>
      <c r="H358" s="3" t="s">
        <v>702</v>
      </c>
      <c r="I358" s="8">
        <v>1500</v>
      </c>
      <c r="J358" s="8">
        <v>-5873.57</v>
      </c>
      <c r="K358" s="8">
        <v>1500</v>
      </c>
    </row>
    <row r="359" spans="1:11" hidden="1" x14ac:dyDescent="0.25">
      <c r="A359" s="3" t="s">
        <v>703</v>
      </c>
      <c r="B359" s="3">
        <v>11</v>
      </c>
      <c r="C359" s="5">
        <v>210</v>
      </c>
      <c r="D359" s="6">
        <v>0</v>
      </c>
      <c r="E359" s="7">
        <v>672010</v>
      </c>
      <c r="F359" s="3">
        <v>56400</v>
      </c>
      <c r="G359" s="3" t="str">
        <f t="shared" si="5"/>
        <v>5</v>
      </c>
      <c r="H359" s="3" t="s">
        <v>704</v>
      </c>
      <c r="I359" s="8">
        <v>2500</v>
      </c>
      <c r="J359" s="8">
        <v>0</v>
      </c>
      <c r="K359" s="8">
        <v>2500</v>
      </c>
    </row>
    <row r="360" spans="1:11" hidden="1" x14ac:dyDescent="0.25">
      <c r="A360" s="3" t="s">
        <v>705</v>
      </c>
      <c r="B360" s="3">
        <v>11</v>
      </c>
      <c r="C360" s="5">
        <v>210</v>
      </c>
      <c r="D360" s="6">
        <v>0</v>
      </c>
      <c r="E360" s="7">
        <v>672020</v>
      </c>
      <c r="F360" s="3">
        <v>52130</v>
      </c>
      <c r="G360" s="3" t="str">
        <f t="shared" si="5"/>
        <v>5</v>
      </c>
      <c r="H360" s="3" t="s">
        <v>706</v>
      </c>
      <c r="I360" s="8">
        <v>120688</v>
      </c>
      <c r="J360" s="8">
        <v>89933</v>
      </c>
      <c r="K360" s="8">
        <v>120688</v>
      </c>
    </row>
    <row r="361" spans="1:11" hidden="1" x14ac:dyDescent="0.25">
      <c r="A361" s="3" t="s">
        <v>707</v>
      </c>
      <c r="B361" s="3">
        <v>11</v>
      </c>
      <c r="C361" s="5">
        <v>210</v>
      </c>
      <c r="D361" s="6">
        <v>0</v>
      </c>
      <c r="E361" s="7">
        <v>672020</v>
      </c>
      <c r="F361" s="3">
        <v>53220</v>
      </c>
      <c r="G361" s="3" t="str">
        <f t="shared" si="5"/>
        <v>5</v>
      </c>
      <c r="H361" s="3" t="s">
        <v>708</v>
      </c>
      <c r="I361" s="8">
        <v>24982.42</v>
      </c>
      <c r="J361" s="8">
        <v>18616.13</v>
      </c>
      <c r="K361" s="8">
        <v>24982.42</v>
      </c>
    </row>
    <row r="362" spans="1:11" hidden="1" x14ac:dyDescent="0.25">
      <c r="A362" s="3" t="s">
        <v>709</v>
      </c>
      <c r="B362" s="3">
        <v>11</v>
      </c>
      <c r="C362" s="5">
        <v>210</v>
      </c>
      <c r="D362" s="6">
        <v>0</v>
      </c>
      <c r="E362" s="7">
        <v>672020</v>
      </c>
      <c r="F362" s="3">
        <v>53320</v>
      </c>
      <c r="G362" s="3" t="str">
        <f t="shared" si="5"/>
        <v>5</v>
      </c>
      <c r="H362" s="3" t="s">
        <v>710</v>
      </c>
      <c r="I362" s="8">
        <v>7482.66</v>
      </c>
      <c r="J362" s="8">
        <v>5530.16</v>
      </c>
      <c r="K362" s="8">
        <v>7482.66</v>
      </c>
    </row>
    <row r="363" spans="1:11" hidden="1" x14ac:dyDescent="0.25">
      <c r="A363" s="3" t="s">
        <v>711</v>
      </c>
      <c r="B363" s="3">
        <v>11</v>
      </c>
      <c r="C363" s="5">
        <v>210</v>
      </c>
      <c r="D363" s="6">
        <v>0</v>
      </c>
      <c r="E363" s="7">
        <v>672020</v>
      </c>
      <c r="F363" s="3">
        <v>53340</v>
      </c>
      <c r="G363" s="3" t="str">
        <f t="shared" si="5"/>
        <v>5</v>
      </c>
      <c r="H363" s="3" t="s">
        <v>712</v>
      </c>
      <c r="I363" s="8">
        <v>1749.98</v>
      </c>
      <c r="J363" s="8">
        <v>1293.3599999999999</v>
      </c>
      <c r="K363" s="8">
        <v>1749.98</v>
      </c>
    </row>
    <row r="364" spans="1:11" hidden="1" x14ac:dyDescent="0.25">
      <c r="A364" s="3" t="s">
        <v>713</v>
      </c>
      <c r="B364" s="3">
        <v>11</v>
      </c>
      <c r="C364" s="5">
        <v>210</v>
      </c>
      <c r="D364" s="6">
        <v>0</v>
      </c>
      <c r="E364" s="7">
        <v>672020</v>
      </c>
      <c r="F364" s="3">
        <v>53420</v>
      </c>
      <c r="G364" s="3" t="str">
        <f t="shared" si="5"/>
        <v>5</v>
      </c>
      <c r="H364" s="3" t="s">
        <v>632</v>
      </c>
      <c r="I364" s="8">
        <v>33121.43</v>
      </c>
      <c r="J364" s="8">
        <v>24252.59</v>
      </c>
      <c r="K364" s="8">
        <v>33121.43</v>
      </c>
    </row>
    <row r="365" spans="1:11" hidden="1" x14ac:dyDescent="0.25">
      <c r="A365" s="3" t="s">
        <v>714</v>
      </c>
      <c r="B365" s="3">
        <v>11</v>
      </c>
      <c r="C365" s="5">
        <v>210</v>
      </c>
      <c r="D365" s="6">
        <v>0</v>
      </c>
      <c r="E365" s="7">
        <v>672020</v>
      </c>
      <c r="F365" s="3">
        <v>53501</v>
      </c>
      <c r="G365" s="3" t="str">
        <f t="shared" si="5"/>
        <v>5</v>
      </c>
      <c r="H365" s="3" t="s">
        <v>715</v>
      </c>
      <c r="I365" s="8">
        <v>0</v>
      </c>
      <c r="J365" s="8">
        <v>998.14</v>
      </c>
      <c r="K365" s="8">
        <v>0</v>
      </c>
    </row>
    <row r="366" spans="1:11" hidden="1" x14ac:dyDescent="0.25">
      <c r="A366" s="3" t="s">
        <v>716</v>
      </c>
      <c r="B366" s="3">
        <v>11</v>
      </c>
      <c r="C366" s="5">
        <v>210</v>
      </c>
      <c r="D366" s="6">
        <v>0</v>
      </c>
      <c r="E366" s="7">
        <v>672020</v>
      </c>
      <c r="F366" s="3">
        <v>53520</v>
      </c>
      <c r="G366" s="3" t="str">
        <f t="shared" si="5"/>
        <v>5</v>
      </c>
      <c r="H366" s="3" t="s">
        <v>717</v>
      </c>
      <c r="I366" s="8">
        <v>60.34</v>
      </c>
      <c r="J366" s="8">
        <v>44.98</v>
      </c>
      <c r="K366" s="8">
        <v>60.34</v>
      </c>
    </row>
    <row r="367" spans="1:11" hidden="1" x14ac:dyDescent="0.25">
      <c r="A367" s="3" t="s">
        <v>718</v>
      </c>
      <c r="B367" s="3">
        <v>11</v>
      </c>
      <c r="C367" s="5">
        <v>210</v>
      </c>
      <c r="D367" s="6">
        <v>0</v>
      </c>
      <c r="E367" s="7">
        <v>672020</v>
      </c>
      <c r="F367" s="3">
        <v>53620</v>
      </c>
      <c r="G367" s="3" t="str">
        <f t="shared" si="5"/>
        <v>5</v>
      </c>
      <c r="H367" s="3" t="s">
        <v>719</v>
      </c>
      <c r="I367" s="8">
        <v>2281.9699999999998</v>
      </c>
      <c r="J367" s="8">
        <v>1700.46</v>
      </c>
      <c r="K367" s="8">
        <v>2281.9699999999998</v>
      </c>
    </row>
    <row r="368" spans="1:11" hidden="1" x14ac:dyDescent="0.25">
      <c r="A368" s="3" t="s">
        <v>720</v>
      </c>
      <c r="B368" s="3">
        <v>11</v>
      </c>
      <c r="C368" s="5">
        <v>210</v>
      </c>
      <c r="D368" s="6">
        <v>0</v>
      </c>
      <c r="E368" s="7">
        <v>672020</v>
      </c>
      <c r="F368" s="3">
        <v>53900</v>
      </c>
      <c r="G368" s="3" t="str">
        <f t="shared" si="5"/>
        <v>5</v>
      </c>
      <c r="H368" s="3" t="s">
        <v>721</v>
      </c>
      <c r="I368" s="8">
        <v>0</v>
      </c>
      <c r="J368" s="8">
        <v>0</v>
      </c>
      <c r="K368" s="8">
        <v>0</v>
      </c>
    </row>
    <row r="369" spans="1:11" hidden="1" x14ac:dyDescent="0.25">
      <c r="A369" s="3" t="s">
        <v>722</v>
      </c>
      <c r="B369" s="3">
        <v>11</v>
      </c>
      <c r="C369" s="5">
        <v>210</v>
      </c>
      <c r="D369" s="6">
        <v>0</v>
      </c>
      <c r="E369" s="7">
        <v>672020</v>
      </c>
      <c r="F369" s="3">
        <v>53904</v>
      </c>
      <c r="G369" s="3" t="str">
        <f t="shared" si="5"/>
        <v>5</v>
      </c>
      <c r="H369" s="3" t="s">
        <v>723</v>
      </c>
      <c r="I369" s="8">
        <v>0</v>
      </c>
      <c r="J369" s="8">
        <v>-235084.96</v>
      </c>
      <c r="K369" s="8">
        <v>0</v>
      </c>
    </row>
    <row r="370" spans="1:11" hidden="1" x14ac:dyDescent="0.25">
      <c r="A370" s="3" t="s">
        <v>724</v>
      </c>
      <c r="B370" s="3">
        <v>11</v>
      </c>
      <c r="C370" s="5">
        <v>210</v>
      </c>
      <c r="D370" s="6">
        <v>0</v>
      </c>
      <c r="E370" s="7">
        <v>672020</v>
      </c>
      <c r="F370" s="3">
        <v>54300</v>
      </c>
      <c r="G370" s="3" t="str">
        <f t="shared" si="5"/>
        <v>5</v>
      </c>
      <c r="H370" s="3" t="s">
        <v>725</v>
      </c>
      <c r="I370" s="8">
        <v>2000</v>
      </c>
      <c r="J370" s="8">
        <v>124.53</v>
      </c>
      <c r="K370" s="8">
        <v>2000</v>
      </c>
    </row>
    <row r="371" spans="1:11" hidden="1" x14ac:dyDescent="0.25">
      <c r="A371" s="3" t="s">
        <v>726</v>
      </c>
      <c r="B371" s="3">
        <v>11</v>
      </c>
      <c r="C371" s="5">
        <v>210</v>
      </c>
      <c r="D371" s="6">
        <v>0</v>
      </c>
      <c r="E371" s="7">
        <v>672020</v>
      </c>
      <c r="F371" s="3">
        <v>55105</v>
      </c>
      <c r="G371" s="3" t="str">
        <f t="shared" si="5"/>
        <v>5</v>
      </c>
      <c r="H371" s="3" t="s">
        <v>727</v>
      </c>
      <c r="I371" s="8">
        <v>45000</v>
      </c>
      <c r="J371" s="8">
        <v>4611</v>
      </c>
      <c r="K371" s="8">
        <v>45000</v>
      </c>
    </row>
    <row r="372" spans="1:11" hidden="1" x14ac:dyDescent="0.25">
      <c r="A372" s="3" t="s">
        <v>728</v>
      </c>
      <c r="B372" s="3">
        <v>11</v>
      </c>
      <c r="C372" s="5">
        <v>210</v>
      </c>
      <c r="D372" s="6">
        <v>0</v>
      </c>
      <c r="E372" s="7">
        <v>672020</v>
      </c>
      <c r="F372" s="3">
        <v>55125</v>
      </c>
      <c r="G372" s="3" t="str">
        <f t="shared" si="5"/>
        <v>5</v>
      </c>
      <c r="H372" s="3" t="s">
        <v>729</v>
      </c>
      <c r="I372" s="8">
        <v>0</v>
      </c>
      <c r="J372" s="8">
        <v>550</v>
      </c>
      <c r="K372" s="8">
        <v>0</v>
      </c>
    </row>
    <row r="373" spans="1:11" hidden="1" x14ac:dyDescent="0.25">
      <c r="A373" s="3" t="s">
        <v>730</v>
      </c>
      <c r="B373" s="3">
        <v>11</v>
      </c>
      <c r="C373" s="5">
        <v>210</v>
      </c>
      <c r="D373" s="6">
        <v>0</v>
      </c>
      <c r="E373" s="7">
        <v>672020</v>
      </c>
      <c r="F373" s="3">
        <v>55300</v>
      </c>
      <c r="G373" s="3" t="str">
        <f t="shared" si="5"/>
        <v>5</v>
      </c>
      <c r="H373" s="3" t="s">
        <v>731</v>
      </c>
      <c r="I373" s="8">
        <v>10500</v>
      </c>
      <c r="J373" s="8">
        <v>5020.67</v>
      </c>
      <c r="K373" s="8">
        <v>10500</v>
      </c>
    </row>
    <row r="374" spans="1:11" hidden="1" x14ac:dyDescent="0.25">
      <c r="A374" s="3" t="s">
        <v>732</v>
      </c>
      <c r="B374" s="3">
        <v>11</v>
      </c>
      <c r="C374" s="5">
        <v>210</v>
      </c>
      <c r="D374" s="6">
        <v>0</v>
      </c>
      <c r="E374" s="7">
        <v>672020</v>
      </c>
      <c r="F374" s="3">
        <v>55400</v>
      </c>
      <c r="G374" s="3" t="str">
        <f t="shared" si="5"/>
        <v>5</v>
      </c>
      <c r="H374" s="3" t="s">
        <v>733</v>
      </c>
      <c r="I374" s="8">
        <v>315430</v>
      </c>
      <c r="J374" s="8">
        <v>341378.23</v>
      </c>
      <c r="K374" s="8">
        <v>315430</v>
      </c>
    </row>
    <row r="375" spans="1:11" hidden="1" x14ac:dyDescent="0.25">
      <c r="A375" s="3" t="s">
        <v>734</v>
      </c>
      <c r="B375" s="3">
        <v>11</v>
      </c>
      <c r="C375" s="5">
        <v>210</v>
      </c>
      <c r="D375" s="6">
        <v>0</v>
      </c>
      <c r="E375" s="7">
        <v>672020</v>
      </c>
      <c r="F375" s="3">
        <v>55550</v>
      </c>
      <c r="G375" s="3" t="str">
        <f t="shared" si="5"/>
        <v>5</v>
      </c>
      <c r="H375" s="3" t="s">
        <v>735</v>
      </c>
      <c r="I375" s="8">
        <v>0</v>
      </c>
      <c r="J375" s="8">
        <v>95.59</v>
      </c>
      <c r="K375" s="8">
        <v>0</v>
      </c>
    </row>
    <row r="376" spans="1:11" hidden="1" x14ac:dyDescent="0.25">
      <c r="A376" s="3" t="s">
        <v>736</v>
      </c>
      <c r="B376" s="3">
        <v>11</v>
      </c>
      <c r="C376" s="5">
        <v>210</v>
      </c>
      <c r="D376" s="6">
        <v>0</v>
      </c>
      <c r="E376" s="7">
        <v>672020</v>
      </c>
      <c r="F376" s="3">
        <v>55600</v>
      </c>
      <c r="G376" s="3" t="str">
        <f t="shared" si="5"/>
        <v>5</v>
      </c>
      <c r="H376" s="3" t="s">
        <v>737</v>
      </c>
      <c r="I376" s="8">
        <v>6940</v>
      </c>
      <c r="J376" s="8">
        <v>40757.19</v>
      </c>
      <c r="K376" s="8">
        <v>6940</v>
      </c>
    </row>
    <row r="377" spans="1:11" hidden="1" x14ac:dyDescent="0.25">
      <c r="A377" s="3" t="s">
        <v>738</v>
      </c>
      <c r="B377" s="3">
        <v>11</v>
      </c>
      <c r="C377" s="5">
        <v>210</v>
      </c>
      <c r="D377" s="6">
        <v>0</v>
      </c>
      <c r="E377" s="7">
        <v>672020</v>
      </c>
      <c r="F377" s="3">
        <v>55635</v>
      </c>
      <c r="G377" s="3" t="str">
        <f t="shared" si="5"/>
        <v>5</v>
      </c>
      <c r="H377" s="3" t="s">
        <v>739</v>
      </c>
      <c r="I377" s="8">
        <v>20000</v>
      </c>
      <c r="J377" s="8">
        <v>30392.639999999999</v>
      </c>
      <c r="K377" s="8">
        <v>20000</v>
      </c>
    </row>
    <row r="378" spans="1:11" hidden="1" x14ac:dyDescent="0.25">
      <c r="A378" s="3" t="s">
        <v>740</v>
      </c>
      <c r="B378" s="3">
        <v>11</v>
      </c>
      <c r="C378" s="5">
        <v>210</v>
      </c>
      <c r="D378" s="6">
        <v>0</v>
      </c>
      <c r="E378" s="7">
        <v>672020</v>
      </c>
      <c r="F378" s="3">
        <v>55650</v>
      </c>
      <c r="G378" s="3" t="str">
        <f t="shared" si="5"/>
        <v>5</v>
      </c>
      <c r="H378" s="3" t="s">
        <v>741</v>
      </c>
      <c r="I378" s="8">
        <v>12000</v>
      </c>
      <c r="J378" s="8">
        <v>2847.73</v>
      </c>
      <c r="K378" s="8">
        <v>12000</v>
      </c>
    </row>
    <row r="379" spans="1:11" hidden="1" x14ac:dyDescent="0.25">
      <c r="A379" s="3" t="s">
        <v>742</v>
      </c>
      <c r="B379" s="3">
        <v>11</v>
      </c>
      <c r="C379" s="5">
        <v>210</v>
      </c>
      <c r="D379" s="6">
        <v>0</v>
      </c>
      <c r="E379" s="7">
        <v>672020</v>
      </c>
      <c r="F379" s="3">
        <v>55663</v>
      </c>
      <c r="G379" s="3" t="str">
        <f t="shared" si="5"/>
        <v>5</v>
      </c>
      <c r="H379" s="3" t="s">
        <v>743</v>
      </c>
      <c r="I379" s="8">
        <v>15000</v>
      </c>
      <c r="J379" s="8">
        <v>10210.49</v>
      </c>
      <c r="K379" s="8">
        <v>15000</v>
      </c>
    </row>
    <row r="380" spans="1:11" hidden="1" x14ac:dyDescent="0.25">
      <c r="A380" s="3" t="s">
        <v>744</v>
      </c>
      <c r="B380" s="3">
        <v>11</v>
      </c>
      <c r="C380" s="5">
        <v>210</v>
      </c>
      <c r="D380" s="6">
        <v>0</v>
      </c>
      <c r="E380" s="7">
        <v>672020</v>
      </c>
      <c r="F380" s="3">
        <v>55700</v>
      </c>
      <c r="G380" s="3" t="str">
        <f t="shared" si="5"/>
        <v>5</v>
      </c>
      <c r="H380" s="3" t="s">
        <v>745</v>
      </c>
      <c r="I380" s="8">
        <v>206665</v>
      </c>
      <c r="J380" s="8">
        <v>145703.01</v>
      </c>
      <c r="K380" s="8">
        <v>206665</v>
      </c>
    </row>
    <row r="381" spans="1:11" hidden="1" x14ac:dyDescent="0.25">
      <c r="A381" s="3" t="s">
        <v>746</v>
      </c>
      <c r="B381" s="3">
        <v>11</v>
      </c>
      <c r="C381" s="5">
        <v>210</v>
      </c>
      <c r="D381" s="6">
        <v>0</v>
      </c>
      <c r="E381" s="7">
        <v>672020</v>
      </c>
      <c r="F381" s="3">
        <v>55800</v>
      </c>
      <c r="G381" s="3" t="str">
        <f t="shared" si="5"/>
        <v>5</v>
      </c>
      <c r="H381" s="3" t="s">
        <v>747</v>
      </c>
      <c r="I381" s="8">
        <v>422464.15</v>
      </c>
      <c r="J381" s="8">
        <v>1695.83</v>
      </c>
      <c r="K381" s="8">
        <v>422464.15</v>
      </c>
    </row>
    <row r="382" spans="1:11" hidden="1" x14ac:dyDescent="0.25">
      <c r="A382" s="3" t="s">
        <v>748</v>
      </c>
      <c r="B382" s="3">
        <v>11</v>
      </c>
      <c r="C382" s="5">
        <v>210</v>
      </c>
      <c r="D382" s="6">
        <v>0</v>
      </c>
      <c r="E382" s="7">
        <v>672020</v>
      </c>
      <c r="F382" s="3">
        <v>55820</v>
      </c>
      <c r="G382" s="3" t="str">
        <f t="shared" si="5"/>
        <v>5</v>
      </c>
      <c r="H382" s="3" t="s">
        <v>749</v>
      </c>
      <c r="I382" s="8">
        <v>50000</v>
      </c>
      <c r="J382" s="8">
        <v>20000</v>
      </c>
      <c r="K382" s="8">
        <v>50000</v>
      </c>
    </row>
    <row r="383" spans="1:11" hidden="1" x14ac:dyDescent="0.25">
      <c r="A383" s="3" t="s">
        <v>750</v>
      </c>
      <c r="B383" s="3">
        <v>11</v>
      </c>
      <c r="C383" s="5">
        <v>210</v>
      </c>
      <c r="D383" s="6">
        <v>0</v>
      </c>
      <c r="E383" s="7">
        <v>672020</v>
      </c>
      <c r="F383" s="3">
        <v>55835</v>
      </c>
      <c r="G383" s="3" t="str">
        <f t="shared" si="5"/>
        <v>5</v>
      </c>
      <c r="H383" s="3" t="s">
        <v>751</v>
      </c>
      <c r="I383" s="8">
        <v>0</v>
      </c>
      <c r="J383" s="8">
        <v>98.2</v>
      </c>
      <c r="K383" s="8">
        <v>0</v>
      </c>
    </row>
    <row r="384" spans="1:11" hidden="1" x14ac:dyDescent="0.25">
      <c r="A384" s="3" t="s">
        <v>752</v>
      </c>
      <c r="B384" s="3">
        <v>11</v>
      </c>
      <c r="C384" s="5">
        <v>210</v>
      </c>
      <c r="D384" s="6">
        <v>0</v>
      </c>
      <c r="E384" s="7">
        <v>672020</v>
      </c>
      <c r="F384" s="3">
        <v>55861</v>
      </c>
      <c r="G384" s="3" t="str">
        <f t="shared" si="5"/>
        <v>5</v>
      </c>
      <c r="H384" s="3" t="s">
        <v>753</v>
      </c>
      <c r="I384" s="8">
        <v>50000</v>
      </c>
      <c r="J384" s="8">
        <v>38209.199999999997</v>
      </c>
      <c r="K384" s="8">
        <v>50000</v>
      </c>
    </row>
    <row r="385" spans="1:11" hidden="1" x14ac:dyDescent="0.25">
      <c r="A385" s="3" t="s">
        <v>754</v>
      </c>
      <c r="B385" s="3">
        <v>11</v>
      </c>
      <c r="C385" s="5">
        <v>210</v>
      </c>
      <c r="D385" s="6">
        <v>0</v>
      </c>
      <c r="E385" s="7">
        <v>672020</v>
      </c>
      <c r="F385" s="3">
        <v>55862</v>
      </c>
      <c r="G385" s="3" t="str">
        <f t="shared" si="5"/>
        <v>5</v>
      </c>
      <c r="H385" s="3" t="s">
        <v>755</v>
      </c>
      <c r="I385" s="8">
        <v>0</v>
      </c>
      <c r="J385" s="8">
        <v>0</v>
      </c>
      <c r="K385" s="8">
        <v>0</v>
      </c>
    </row>
    <row r="386" spans="1:11" hidden="1" x14ac:dyDescent="0.25">
      <c r="A386" s="3" t="s">
        <v>756</v>
      </c>
      <c r="B386" s="3">
        <v>11</v>
      </c>
      <c r="C386" s="5">
        <v>210</v>
      </c>
      <c r="D386" s="6">
        <v>0</v>
      </c>
      <c r="E386" s="7">
        <v>672020</v>
      </c>
      <c r="F386" s="3">
        <v>57300</v>
      </c>
      <c r="G386" s="3" t="str">
        <f t="shared" si="5"/>
        <v>5</v>
      </c>
      <c r="H386" s="3" t="s">
        <v>757</v>
      </c>
      <c r="I386" s="8">
        <v>0</v>
      </c>
      <c r="J386" s="8">
        <v>0</v>
      </c>
      <c r="K386" s="8">
        <v>0</v>
      </c>
    </row>
    <row r="387" spans="1:11" hidden="1" x14ac:dyDescent="0.25">
      <c r="A387" s="3" t="s">
        <v>758</v>
      </c>
      <c r="B387" s="3">
        <v>11</v>
      </c>
      <c r="C387" s="5">
        <v>210</v>
      </c>
      <c r="D387" s="6">
        <v>0</v>
      </c>
      <c r="E387" s="7">
        <v>672020</v>
      </c>
      <c r="F387" s="3">
        <v>57350</v>
      </c>
      <c r="G387" s="3" t="str">
        <f t="shared" ref="G387:G450" si="6">LEFT(F387,1)</f>
        <v>5</v>
      </c>
      <c r="H387" s="3" t="s">
        <v>759</v>
      </c>
      <c r="I387" s="8">
        <v>-500000</v>
      </c>
      <c r="J387" s="8">
        <v>-184651.08</v>
      </c>
      <c r="K387" s="8">
        <v>-500000</v>
      </c>
    </row>
    <row r="388" spans="1:11" hidden="1" x14ac:dyDescent="0.25">
      <c r="A388" s="3" t="s">
        <v>760</v>
      </c>
      <c r="B388" s="3">
        <v>11</v>
      </c>
      <c r="C388" s="5">
        <v>210</v>
      </c>
      <c r="D388" s="6">
        <v>0</v>
      </c>
      <c r="E388" s="7">
        <v>672020</v>
      </c>
      <c r="F388" s="3">
        <v>57351</v>
      </c>
      <c r="G388" s="3" t="str">
        <f t="shared" si="6"/>
        <v>5</v>
      </c>
      <c r="H388" s="3" t="s">
        <v>761</v>
      </c>
      <c r="I388" s="8">
        <v>0</v>
      </c>
      <c r="J388" s="8">
        <v>-1765</v>
      </c>
      <c r="K388" s="8">
        <v>0</v>
      </c>
    </row>
    <row r="389" spans="1:11" hidden="1" x14ac:dyDescent="0.25">
      <c r="A389" s="3" t="s">
        <v>762</v>
      </c>
      <c r="B389" s="3">
        <v>11</v>
      </c>
      <c r="C389" s="5">
        <v>210</v>
      </c>
      <c r="D389" s="6">
        <v>0</v>
      </c>
      <c r="E389" s="7">
        <v>672040</v>
      </c>
      <c r="F389" s="3">
        <v>52105</v>
      </c>
      <c r="G389" s="3" t="str">
        <f t="shared" si="6"/>
        <v>5</v>
      </c>
      <c r="H389" s="3" t="s">
        <v>763</v>
      </c>
      <c r="I389" s="8">
        <v>126438</v>
      </c>
      <c r="J389" s="8">
        <v>93369.8</v>
      </c>
      <c r="K389" s="8">
        <v>126438</v>
      </c>
    </row>
    <row r="390" spans="1:11" hidden="1" x14ac:dyDescent="0.25">
      <c r="A390" s="3" t="s">
        <v>764</v>
      </c>
      <c r="B390" s="3">
        <v>11</v>
      </c>
      <c r="C390" s="5">
        <v>210</v>
      </c>
      <c r="D390" s="6">
        <v>0</v>
      </c>
      <c r="E390" s="7">
        <v>672040</v>
      </c>
      <c r="F390" s="3">
        <v>52130</v>
      </c>
      <c r="G390" s="3" t="str">
        <f t="shared" si="6"/>
        <v>5</v>
      </c>
      <c r="H390" s="3" t="s">
        <v>765</v>
      </c>
      <c r="I390" s="8">
        <v>10493.5</v>
      </c>
      <c r="J390" s="8">
        <v>9357.8799999999992</v>
      </c>
      <c r="K390" s="8">
        <v>10493.5</v>
      </c>
    </row>
    <row r="391" spans="1:11" hidden="1" x14ac:dyDescent="0.25">
      <c r="A391" s="3" t="s">
        <v>766</v>
      </c>
      <c r="B391" s="3">
        <v>11</v>
      </c>
      <c r="C391" s="5">
        <v>210</v>
      </c>
      <c r="D391" s="6">
        <v>0</v>
      </c>
      <c r="E391" s="7">
        <v>672040</v>
      </c>
      <c r="F391" s="3">
        <v>52300</v>
      </c>
      <c r="G391" s="3" t="str">
        <f t="shared" si="6"/>
        <v>5</v>
      </c>
      <c r="H391" s="3" t="s">
        <v>767</v>
      </c>
      <c r="I391" s="8">
        <v>0</v>
      </c>
      <c r="J391" s="8">
        <v>395.08</v>
      </c>
      <c r="K391" s="8">
        <v>0</v>
      </c>
    </row>
    <row r="392" spans="1:11" hidden="1" x14ac:dyDescent="0.25">
      <c r="A392" s="3" t="s">
        <v>768</v>
      </c>
      <c r="B392" s="3">
        <v>11</v>
      </c>
      <c r="C392" s="5">
        <v>210</v>
      </c>
      <c r="D392" s="6">
        <v>0</v>
      </c>
      <c r="E392" s="7">
        <v>672040</v>
      </c>
      <c r="F392" s="3">
        <v>53220</v>
      </c>
      <c r="G392" s="3" t="str">
        <f t="shared" si="6"/>
        <v>5</v>
      </c>
      <c r="H392" s="3" t="s">
        <v>769</v>
      </c>
      <c r="I392" s="8">
        <v>28344.82</v>
      </c>
      <c r="J392" s="8">
        <v>21185.71</v>
      </c>
      <c r="K392" s="8">
        <v>28344.82</v>
      </c>
    </row>
    <row r="393" spans="1:11" hidden="1" x14ac:dyDescent="0.25">
      <c r="A393" s="3" t="s">
        <v>770</v>
      </c>
      <c r="B393" s="3">
        <v>11</v>
      </c>
      <c r="C393" s="5">
        <v>210</v>
      </c>
      <c r="D393" s="6">
        <v>0</v>
      </c>
      <c r="E393" s="7">
        <v>672040</v>
      </c>
      <c r="F393" s="3">
        <v>53320</v>
      </c>
      <c r="G393" s="3" t="str">
        <f t="shared" si="6"/>
        <v>5</v>
      </c>
      <c r="H393" s="3" t="s">
        <v>771</v>
      </c>
      <c r="I393" s="8">
        <v>8489.76</v>
      </c>
      <c r="J393" s="8">
        <v>6368.4</v>
      </c>
      <c r="K393" s="8">
        <v>8489.76</v>
      </c>
    </row>
    <row r="394" spans="1:11" hidden="1" x14ac:dyDescent="0.25">
      <c r="A394" s="3" t="s">
        <v>772</v>
      </c>
      <c r="B394" s="3">
        <v>11</v>
      </c>
      <c r="C394" s="5">
        <v>210</v>
      </c>
      <c r="D394" s="6">
        <v>0</v>
      </c>
      <c r="E394" s="7">
        <v>672040</v>
      </c>
      <c r="F394" s="3">
        <v>53340</v>
      </c>
      <c r="G394" s="3" t="str">
        <f t="shared" si="6"/>
        <v>5</v>
      </c>
      <c r="H394" s="3" t="s">
        <v>773</v>
      </c>
      <c r="I394" s="8">
        <v>1985.51</v>
      </c>
      <c r="J394" s="8">
        <v>1489.43</v>
      </c>
      <c r="K394" s="8">
        <v>1985.51</v>
      </c>
    </row>
    <row r="395" spans="1:11" hidden="1" x14ac:dyDescent="0.25">
      <c r="A395" s="3" t="s">
        <v>774</v>
      </c>
      <c r="B395" s="3">
        <v>11</v>
      </c>
      <c r="C395" s="5">
        <v>210</v>
      </c>
      <c r="D395" s="6">
        <v>0</v>
      </c>
      <c r="E395" s="7">
        <v>672040</v>
      </c>
      <c r="F395" s="3">
        <v>53420</v>
      </c>
      <c r="G395" s="3" t="str">
        <f t="shared" si="6"/>
        <v>5</v>
      </c>
      <c r="H395" s="3" t="s">
        <v>775</v>
      </c>
      <c r="I395" s="8">
        <v>46611.32</v>
      </c>
      <c r="J395" s="8">
        <v>34629.75</v>
      </c>
      <c r="K395" s="8">
        <v>46611.32</v>
      </c>
    </row>
    <row r="396" spans="1:11" hidden="1" x14ac:dyDescent="0.25">
      <c r="A396" s="3" t="s">
        <v>776</v>
      </c>
      <c r="B396" s="3">
        <v>11</v>
      </c>
      <c r="C396" s="5">
        <v>210</v>
      </c>
      <c r="D396" s="6">
        <v>0</v>
      </c>
      <c r="E396" s="7">
        <v>672040</v>
      </c>
      <c r="F396" s="3">
        <v>53520</v>
      </c>
      <c r="G396" s="3" t="str">
        <f t="shared" si="6"/>
        <v>5</v>
      </c>
      <c r="H396" s="3" t="s">
        <v>777</v>
      </c>
      <c r="I396" s="8">
        <v>68.47</v>
      </c>
      <c r="J396" s="8">
        <v>51.52</v>
      </c>
      <c r="K396" s="8">
        <v>68.47</v>
      </c>
    </row>
    <row r="397" spans="1:11" hidden="1" x14ac:dyDescent="0.25">
      <c r="A397" s="3" t="s">
        <v>778</v>
      </c>
      <c r="B397" s="3">
        <v>11</v>
      </c>
      <c r="C397" s="5">
        <v>210</v>
      </c>
      <c r="D397" s="6">
        <v>0</v>
      </c>
      <c r="E397" s="7">
        <v>672040</v>
      </c>
      <c r="F397" s="3">
        <v>53620</v>
      </c>
      <c r="G397" s="3" t="str">
        <f t="shared" si="6"/>
        <v>5</v>
      </c>
      <c r="H397" s="3" t="s">
        <v>779</v>
      </c>
      <c r="I397" s="8">
        <v>2589.1</v>
      </c>
      <c r="J397" s="8">
        <v>1954.83</v>
      </c>
      <c r="K397" s="8">
        <v>2589.1</v>
      </c>
    </row>
    <row r="398" spans="1:11" hidden="1" x14ac:dyDescent="0.25">
      <c r="A398" s="3" t="s">
        <v>780</v>
      </c>
      <c r="B398" s="3">
        <v>11</v>
      </c>
      <c r="C398" s="5">
        <v>210</v>
      </c>
      <c r="D398" s="6">
        <v>0</v>
      </c>
      <c r="E398" s="7">
        <v>672040</v>
      </c>
      <c r="F398" s="3">
        <v>53920</v>
      </c>
      <c r="G398" s="3" t="str">
        <f t="shared" si="6"/>
        <v>5</v>
      </c>
      <c r="H398" s="3" t="s">
        <v>781</v>
      </c>
      <c r="I398" s="8">
        <v>0</v>
      </c>
      <c r="J398" s="8">
        <v>1600</v>
      </c>
      <c r="K398" s="8">
        <v>0</v>
      </c>
    </row>
    <row r="399" spans="1:11" hidden="1" x14ac:dyDescent="0.25">
      <c r="A399" s="3" t="s">
        <v>782</v>
      </c>
      <c r="B399" s="3">
        <v>11</v>
      </c>
      <c r="C399" s="5">
        <v>210</v>
      </c>
      <c r="D399" s="6">
        <v>0</v>
      </c>
      <c r="E399" s="7">
        <v>672040</v>
      </c>
      <c r="F399" s="3">
        <v>55630</v>
      </c>
      <c r="G399" s="3" t="str">
        <f t="shared" si="6"/>
        <v>5</v>
      </c>
      <c r="H399" s="3" t="s">
        <v>783</v>
      </c>
      <c r="I399" s="8">
        <v>500</v>
      </c>
      <c r="J399" s="8">
        <v>305.66000000000003</v>
      </c>
      <c r="K399" s="8">
        <v>500</v>
      </c>
    </row>
    <row r="400" spans="1:11" hidden="1" x14ac:dyDescent="0.25">
      <c r="A400" s="3" t="s">
        <v>784</v>
      </c>
      <c r="B400" s="3">
        <v>11</v>
      </c>
      <c r="C400" s="5">
        <v>210</v>
      </c>
      <c r="D400" s="6">
        <v>0</v>
      </c>
      <c r="E400" s="7">
        <v>677000</v>
      </c>
      <c r="F400" s="3">
        <v>52105</v>
      </c>
      <c r="G400" s="3" t="str">
        <f t="shared" si="6"/>
        <v>5</v>
      </c>
      <c r="H400" s="3" t="s">
        <v>785</v>
      </c>
      <c r="I400" s="8">
        <v>59443.88</v>
      </c>
      <c r="J400" s="8">
        <v>44447.17</v>
      </c>
      <c r="K400" s="8">
        <v>59443.88</v>
      </c>
    </row>
    <row r="401" spans="1:11" hidden="1" x14ac:dyDescent="0.25">
      <c r="A401" s="3" t="s">
        <v>786</v>
      </c>
      <c r="B401" s="3">
        <v>11</v>
      </c>
      <c r="C401" s="5">
        <v>210</v>
      </c>
      <c r="D401" s="6">
        <v>0</v>
      </c>
      <c r="E401" s="7">
        <v>677000</v>
      </c>
      <c r="F401" s="3">
        <v>53220</v>
      </c>
      <c r="G401" s="3" t="str">
        <f t="shared" si="6"/>
        <v>5</v>
      </c>
      <c r="H401" s="3" t="s">
        <v>787</v>
      </c>
      <c r="I401" s="8">
        <v>12304.88</v>
      </c>
      <c r="J401" s="8">
        <v>9201.09</v>
      </c>
      <c r="K401" s="8">
        <v>12304.88</v>
      </c>
    </row>
    <row r="402" spans="1:11" hidden="1" x14ac:dyDescent="0.25">
      <c r="A402" s="3" t="s">
        <v>788</v>
      </c>
      <c r="B402" s="3">
        <v>11</v>
      </c>
      <c r="C402" s="5">
        <v>210</v>
      </c>
      <c r="D402" s="6">
        <v>0</v>
      </c>
      <c r="E402" s="7">
        <v>677000</v>
      </c>
      <c r="F402" s="3">
        <v>53320</v>
      </c>
      <c r="G402" s="3" t="str">
        <f t="shared" si="6"/>
        <v>5</v>
      </c>
      <c r="H402" s="3" t="s">
        <v>789</v>
      </c>
      <c r="I402" s="8">
        <v>3685.52</v>
      </c>
      <c r="J402" s="8">
        <v>2727.15</v>
      </c>
      <c r="K402" s="8">
        <v>3685.52</v>
      </c>
    </row>
    <row r="403" spans="1:11" hidden="1" x14ac:dyDescent="0.25">
      <c r="A403" s="3" t="s">
        <v>790</v>
      </c>
      <c r="B403" s="3">
        <v>11</v>
      </c>
      <c r="C403" s="5">
        <v>210</v>
      </c>
      <c r="D403" s="6">
        <v>0</v>
      </c>
      <c r="E403" s="7">
        <v>677000</v>
      </c>
      <c r="F403" s="3">
        <v>53340</v>
      </c>
      <c r="G403" s="3" t="str">
        <f t="shared" si="6"/>
        <v>5</v>
      </c>
      <c r="H403" s="3" t="s">
        <v>791</v>
      </c>
      <c r="I403" s="8">
        <v>861.94</v>
      </c>
      <c r="J403" s="8">
        <v>637.80999999999995</v>
      </c>
      <c r="K403" s="8">
        <v>861.94</v>
      </c>
    </row>
    <row r="404" spans="1:11" hidden="1" x14ac:dyDescent="0.25">
      <c r="A404" s="3" t="s">
        <v>792</v>
      </c>
      <c r="B404" s="3">
        <v>11</v>
      </c>
      <c r="C404" s="5">
        <v>210</v>
      </c>
      <c r="D404" s="6">
        <v>0</v>
      </c>
      <c r="E404" s="7">
        <v>677000</v>
      </c>
      <c r="F404" s="3">
        <v>53420</v>
      </c>
      <c r="G404" s="3" t="str">
        <f t="shared" si="6"/>
        <v>5</v>
      </c>
      <c r="H404" s="3" t="s">
        <v>793</v>
      </c>
      <c r="I404" s="8">
        <v>25240.73</v>
      </c>
      <c r="J404" s="8">
        <v>18477.54</v>
      </c>
      <c r="K404" s="8">
        <v>25240.73</v>
      </c>
    </row>
    <row r="405" spans="1:11" hidden="1" x14ac:dyDescent="0.25">
      <c r="A405" s="3" t="s">
        <v>794</v>
      </c>
      <c r="B405" s="3">
        <v>11</v>
      </c>
      <c r="C405" s="5">
        <v>210</v>
      </c>
      <c r="D405" s="6">
        <v>0</v>
      </c>
      <c r="E405" s="7">
        <v>677000</v>
      </c>
      <c r="F405" s="3">
        <v>53520</v>
      </c>
      <c r="G405" s="3" t="str">
        <f t="shared" si="6"/>
        <v>5</v>
      </c>
      <c r="H405" s="3" t="s">
        <v>795</v>
      </c>
      <c r="I405" s="8">
        <v>29.72</v>
      </c>
      <c r="J405" s="8">
        <v>22.22</v>
      </c>
      <c r="K405" s="8">
        <v>29.72</v>
      </c>
    </row>
    <row r="406" spans="1:11" hidden="1" x14ac:dyDescent="0.25">
      <c r="A406" s="3" t="s">
        <v>796</v>
      </c>
      <c r="B406" s="3">
        <v>11</v>
      </c>
      <c r="C406" s="5">
        <v>210</v>
      </c>
      <c r="D406" s="6">
        <v>0</v>
      </c>
      <c r="E406" s="7">
        <v>677000</v>
      </c>
      <c r="F406" s="3">
        <v>53620</v>
      </c>
      <c r="G406" s="3" t="str">
        <f t="shared" si="6"/>
        <v>5</v>
      </c>
      <c r="H406" s="3" t="s">
        <v>797</v>
      </c>
      <c r="I406" s="8">
        <v>1123.96</v>
      </c>
      <c r="J406" s="8">
        <v>842.75</v>
      </c>
      <c r="K406" s="8">
        <v>1123.96</v>
      </c>
    </row>
    <row r="407" spans="1:11" hidden="1" x14ac:dyDescent="0.25">
      <c r="A407" s="3" t="s">
        <v>798</v>
      </c>
      <c r="B407" s="3">
        <v>11</v>
      </c>
      <c r="C407" s="5">
        <v>210</v>
      </c>
      <c r="D407" s="6">
        <v>0</v>
      </c>
      <c r="E407" s="7">
        <v>677000</v>
      </c>
      <c r="F407" s="3">
        <v>55650</v>
      </c>
      <c r="G407" s="3" t="str">
        <f t="shared" si="6"/>
        <v>5</v>
      </c>
      <c r="H407" s="3" t="s">
        <v>799</v>
      </c>
      <c r="I407" s="8">
        <v>35968</v>
      </c>
      <c r="J407" s="8">
        <v>36597.43</v>
      </c>
      <c r="K407" s="8">
        <v>35968</v>
      </c>
    </row>
    <row r="408" spans="1:11" hidden="1" x14ac:dyDescent="0.25">
      <c r="A408" s="3" t="s">
        <v>800</v>
      </c>
      <c r="B408" s="3">
        <v>11</v>
      </c>
      <c r="C408" s="5">
        <v>210</v>
      </c>
      <c r="D408" s="6">
        <v>0</v>
      </c>
      <c r="E408" s="7">
        <v>677020</v>
      </c>
      <c r="F408" s="3">
        <v>54300</v>
      </c>
      <c r="G408" s="3" t="str">
        <f t="shared" si="6"/>
        <v>5</v>
      </c>
      <c r="H408" s="3" t="s">
        <v>801</v>
      </c>
      <c r="I408" s="8">
        <v>5000</v>
      </c>
      <c r="J408" s="8">
        <v>2435.75</v>
      </c>
      <c r="K408" s="8">
        <v>5000</v>
      </c>
    </row>
    <row r="409" spans="1:11" hidden="1" x14ac:dyDescent="0.25">
      <c r="A409" s="3" t="s">
        <v>802</v>
      </c>
      <c r="B409" s="3">
        <v>11</v>
      </c>
      <c r="C409" s="5">
        <v>210</v>
      </c>
      <c r="D409" s="6">
        <v>0</v>
      </c>
      <c r="E409" s="7">
        <v>677020</v>
      </c>
      <c r="F409" s="3">
        <v>55200</v>
      </c>
      <c r="G409" s="3" t="str">
        <f t="shared" si="6"/>
        <v>5</v>
      </c>
      <c r="H409" s="3" t="s">
        <v>803</v>
      </c>
      <c r="I409" s="8">
        <v>1000</v>
      </c>
      <c r="J409" s="8">
        <v>269.5</v>
      </c>
      <c r="K409" s="8">
        <v>1000</v>
      </c>
    </row>
    <row r="410" spans="1:11" hidden="1" x14ac:dyDescent="0.25">
      <c r="A410" s="3" t="s">
        <v>804</v>
      </c>
      <c r="B410" s="3">
        <v>11</v>
      </c>
      <c r="C410" s="5">
        <v>210</v>
      </c>
      <c r="D410" s="6">
        <v>0</v>
      </c>
      <c r="E410" s="7">
        <v>677020</v>
      </c>
      <c r="F410" s="3">
        <v>55300</v>
      </c>
      <c r="G410" s="3" t="str">
        <f t="shared" si="6"/>
        <v>5</v>
      </c>
      <c r="H410" s="3" t="s">
        <v>805</v>
      </c>
      <c r="I410" s="8">
        <v>500</v>
      </c>
      <c r="J410" s="8">
        <v>245</v>
      </c>
      <c r="K410" s="8">
        <v>500</v>
      </c>
    </row>
    <row r="411" spans="1:11" hidden="1" x14ac:dyDescent="0.25">
      <c r="A411" s="3" t="s">
        <v>806</v>
      </c>
      <c r="B411" s="3">
        <v>11</v>
      </c>
      <c r="C411" s="5">
        <v>210</v>
      </c>
      <c r="D411" s="6">
        <v>0</v>
      </c>
      <c r="E411" s="7">
        <v>677020</v>
      </c>
      <c r="F411" s="3">
        <v>55550</v>
      </c>
      <c r="G411" s="3" t="str">
        <f t="shared" si="6"/>
        <v>5</v>
      </c>
      <c r="H411" s="3" t="s">
        <v>807</v>
      </c>
      <c r="I411" s="8">
        <v>500</v>
      </c>
      <c r="J411" s="8">
        <v>711.14</v>
      </c>
      <c r="K411" s="8">
        <v>500</v>
      </c>
    </row>
    <row r="412" spans="1:11" hidden="1" x14ac:dyDescent="0.25">
      <c r="A412" s="3" t="s">
        <v>808</v>
      </c>
      <c r="B412" s="3">
        <v>11</v>
      </c>
      <c r="C412" s="5">
        <v>210</v>
      </c>
      <c r="D412" s="6">
        <v>0</v>
      </c>
      <c r="E412" s="7">
        <v>677020</v>
      </c>
      <c r="F412" s="3">
        <v>55650</v>
      </c>
      <c r="G412" s="3" t="str">
        <f t="shared" si="6"/>
        <v>5</v>
      </c>
      <c r="H412" s="3" t="s">
        <v>809</v>
      </c>
      <c r="I412" s="8">
        <v>1700</v>
      </c>
      <c r="J412" s="8">
        <v>0</v>
      </c>
      <c r="K412" s="8">
        <v>1700</v>
      </c>
    </row>
    <row r="413" spans="1:11" hidden="1" x14ac:dyDescent="0.25">
      <c r="A413" s="3" t="s">
        <v>810</v>
      </c>
      <c r="B413" s="3">
        <v>11</v>
      </c>
      <c r="C413" s="5">
        <v>210</v>
      </c>
      <c r="D413" s="6">
        <v>0</v>
      </c>
      <c r="E413" s="7">
        <v>695000</v>
      </c>
      <c r="F413" s="3">
        <v>55105</v>
      </c>
      <c r="G413" s="3" t="str">
        <f t="shared" si="6"/>
        <v>5</v>
      </c>
      <c r="H413" s="3" t="s">
        <v>811</v>
      </c>
      <c r="I413" s="8">
        <v>0</v>
      </c>
      <c r="J413" s="8">
        <v>1994.5</v>
      </c>
      <c r="K413" s="8">
        <v>0</v>
      </c>
    </row>
    <row r="414" spans="1:11" hidden="1" x14ac:dyDescent="0.25">
      <c r="A414" s="3" t="s">
        <v>812</v>
      </c>
      <c r="B414" s="3">
        <v>11</v>
      </c>
      <c r="C414" s="5">
        <v>210</v>
      </c>
      <c r="D414" s="6">
        <v>0</v>
      </c>
      <c r="E414" s="7">
        <v>732000</v>
      </c>
      <c r="F414" s="3">
        <v>57510</v>
      </c>
      <c r="G414" s="3" t="str">
        <f t="shared" si="6"/>
        <v>5</v>
      </c>
      <c r="H414" s="3" t="s">
        <v>813</v>
      </c>
      <c r="I414" s="8">
        <v>50000</v>
      </c>
      <c r="J414" s="8">
        <v>1000</v>
      </c>
      <c r="K414" s="8">
        <v>50000</v>
      </c>
    </row>
    <row r="415" spans="1:11" hidden="1" x14ac:dyDescent="0.25">
      <c r="A415" s="3" t="s">
        <v>814</v>
      </c>
      <c r="B415" s="3">
        <v>11</v>
      </c>
      <c r="C415" s="5">
        <v>215</v>
      </c>
      <c r="D415" s="6">
        <v>0</v>
      </c>
      <c r="E415" s="7">
        <v>677000</v>
      </c>
      <c r="F415" s="3">
        <v>55630</v>
      </c>
      <c r="G415" s="3" t="str">
        <f t="shared" si="6"/>
        <v>5</v>
      </c>
      <c r="H415" s="3" t="s">
        <v>815</v>
      </c>
      <c r="I415" s="8">
        <v>0</v>
      </c>
      <c r="J415" s="8">
        <v>209.55</v>
      </c>
      <c r="K415" s="8">
        <v>0</v>
      </c>
    </row>
    <row r="416" spans="1:11" hidden="1" x14ac:dyDescent="0.25">
      <c r="A416" s="3" t="s">
        <v>816</v>
      </c>
      <c r="B416" s="3">
        <v>11</v>
      </c>
      <c r="C416" s="5">
        <v>220</v>
      </c>
      <c r="D416" s="6">
        <v>0</v>
      </c>
      <c r="E416" s="7">
        <v>651000</v>
      </c>
      <c r="F416" s="3">
        <v>52125</v>
      </c>
      <c r="G416" s="3" t="str">
        <f t="shared" si="6"/>
        <v>5</v>
      </c>
      <c r="H416" s="3" t="s">
        <v>817</v>
      </c>
      <c r="I416" s="8">
        <v>462199.55</v>
      </c>
      <c r="J416" s="8">
        <v>342221.16</v>
      </c>
      <c r="K416" s="8">
        <v>462199.55</v>
      </c>
    </row>
    <row r="417" spans="1:11" hidden="1" x14ac:dyDescent="0.25">
      <c r="A417" s="3" t="s">
        <v>818</v>
      </c>
      <c r="B417" s="3">
        <v>11</v>
      </c>
      <c r="C417" s="5">
        <v>220</v>
      </c>
      <c r="D417" s="6">
        <v>0</v>
      </c>
      <c r="E417" s="7">
        <v>651000</v>
      </c>
      <c r="F417" s="3">
        <v>52300</v>
      </c>
      <c r="G417" s="3" t="str">
        <f t="shared" si="6"/>
        <v>5</v>
      </c>
      <c r="H417" s="3" t="s">
        <v>819</v>
      </c>
      <c r="I417" s="8">
        <v>11500</v>
      </c>
      <c r="J417" s="8">
        <v>1533.45</v>
      </c>
      <c r="K417" s="8">
        <v>11500</v>
      </c>
    </row>
    <row r="418" spans="1:11" hidden="1" x14ac:dyDescent="0.25">
      <c r="A418" s="3" t="s">
        <v>820</v>
      </c>
      <c r="B418" s="3">
        <v>11</v>
      </c>
      <c r="C418" s="5">
        <v>220</v>
      </c>
      <c r="D418" s="6">
        <v>0</v>
      </c>
      <c r="E418" s="7">
        <v>651000</v>
      </c>
      <c r="F418" s="3">
        <v>53220</v>
      </c>
      <c r="G418" s="3" t="str">
        <f t="shared" si="6"/>
        <v>5</v>
      </c>
      <c r="H418" s="3" t="s">
        <v>821</v>
      </c>
      <c r="I418" s="8">
        <v>95675.31</v>
      </c>
      <c r="J418" s="8">
        <v>71140.41</v>
      </c>
      <c r="K418" s="8">
        <v>95675.31</v>
      </c>
    </row>
    <row r="419" spans="1:11" hidden="1" x14ac:dyDescent="0.25">
      <c r="A419" s="3" t="s">
        <v>822</v>
      </c>
      <c r="B419" s="3">
        <v>11</v>
      </c>
      <c r="C419" s="5">
        <v>220</v>
      </c>
      <c r="D419" s="6">
        <v>0</v>
      </c>
      <c r="E419" s="7">
        <v>651000</v>
      </c>
      <c r="F419" s="3">
        <v>53320</v>
      </c>
      <c r="G419" s="3" t="str">
        <f t="shared" si="6"/>
        <v>5</v>
      </c>
      <c r="H419" s="3" t="s">
        <v>823</v>
      </c>
      <c r="I419" s="8">
        <v>29369.37</v>
      </c>
      <c r="J419" s="8">
        <v>21240.45</v>
      </c>
      <c r="K419" s="8">
        <v>29369.37</v>
      </c>
    </row>
    <row r="420" spans="1:11" hidden="1" x14ac:dyDescent="0.25">
      <c r="A420" s="3" t="s">
        <v>824</v>
      </c>
      <c r="B420" s="3">
        <v>11</v>
      </c>
      <c r="C420" s="5">
        <v>220</v>
      </c>
      <c r="D420" s="6">
        <v>0</v>
      </c>
      <c r="E420" s="7">
        <v>651000</v>
      </c>
      <c r="F420" s="3">
        <v>53340</v>
      </c>
      <c r="G420" s="3" t="str">
        <f t="shared" si="6"/>
        <v>5</v>
      </c>
      <c r="H420" s="3" t="s">
        <v>825</v>
      </c>
      <c r="I420" s="8">
        <v>6868.64</v>
      </c>
      <c r="J420" s="8">
        <v>4967.6000000000004</v>
      </c>
      <c r="K420" s="8">
        <v>6868.64</v>
      </c>
    </row>
    <row r="421" spans="1:11" hidden="1" x14ac:dyDescent="0.25">
      <c r="A421" s="3" t="s">
        <v>826</v>
      </c>
      <c r="B421" s="3">
        <v>11</v>
      </c>
      <c r="C421" s="5">
        <v>220</v>
      </c>
      <c r="D421" s="6">
        <v>0</v>
      </c>
      <c r="E421" s="7">
        <v>651000</v>
      </c>
      <c r="F421" s="3">
        <v>53420</v>
      </c>
      <c r="G421" s="3" t="str">
        <f t="shared" si="6"/>
        <v>5</v>
      </c>
      <c r="H421" s="3" t="s">
        <v>827</v>
      </c>
      <c r="I421" s="8">
        <v>183438.59</v>
      </c>
      <c r="J421" s="8">
        <v>133955.34</v>
      </c>
      <c r="K421" s="8">
        <v>183438.59</v>
      </c>
    </row>
    <row r="422" spans="1:11" hidden="1" x14ac:dyDescent="0.25">
      <c r="A422" s="3" t="s">
        <v>828</v>
      </c>
      <c r="B422" s="3">
        <v>11</v>
      </c>
      <c r="C422" s="5">
        <v>220</v>
      </c>
      <c r="D422" s="6">
        <v>0</v>
      </c>
      <c r="E422" s="7">
        <v>651000</v>
      </c>
      <c r="F422" s="3">
        <v>53520</v>
      </c>
      <c r="G422" s="3" t="str">
        <f t="shared" si="6"/>
        <v>5</v>
      </c>
      <c r="H422" s="3" t="s">
        <v>829</v>
      </c>
      <c r="I422" s="8">
        <v>236.85</v>
      </c>
      <c r="J422" s="8">
        <v>173.08</v>
      </c>
      <c r="K422" s="8">
        <v>236.85</v>
      </c>
    </row>
    <row r="423" spans="1:11" hidden="1" x14ac:dyDescent="0.25">
      <c r="A423" s="3" t="s">
        <v>830</v>
      </c>
      <c r="B423" s="3">
        <v>11</v>
      </c>
      <c r="C423" s="5">
        <v>220</v>
      </c>
      <c r="D423" s="6">
        <v>0</v>
      </c>
      <c r="E423" s="7">
        <v>651000</v>
      </c>
      <c r="F423" s="3">
        <v>53620</v>
      </c>
      <c r="G423" s="3" t="str">
        <f t="shared" si="6"/>
        <v>5</v>
      </c>
      <c r="H423" s="3" t="s">
        <v>831</v>
      </c>
      <c r="I423" s="8">
        <v>8956.7199999999993</v>
      </c>
      <c r="J423" s="8">
        <v>6544.23</v>
      </c>
      <c r="K423" s="8">
        <v>8956.7199999999993</v>
      </c>
    </row>
    <row r="424" spans="1:11" hidden="1" x14ac:dyDescent="0.25">
      <c r="A424" s="3" t="s">
        <v>832</v>
      </c>
      <c r="B424" s="3">
        <v>11</v>
      </c>
      <c r="C424" s="5">
        <v>220</v>
      </c>
      <c r="D424" s="6">
        <v>0</v>
      </c>
      <c r="E424" s="7">
        <v>651000</v>
      </c>
      <c r="F424" s="3">
        <v>53920</v>
      </c>
      <c r="G424" s="3" t="str">
        <f t="shared" si="6"/>
        <v>5</v>
      </c>
      <c r="H424" s="3" t="s">
        <v>833</v>
      </c>
      <c r="I424" s="8">
        <v>4800</v>
      </c>
      <c r="J424" s="8">
        <v>3200</v>
      </c>
      <c r="K424" s="8">
        <v>4800</v>
      </c>
    </row>
    <row r="425" spans="1:11" hidden="1" x14ac:dyDescent="0.25">
      <c r="A425" s="3" t="s">
        <v>834</v>
      </c>
      <c r="B425" s="3">
        <v>11</v>
      </c>
      <c r="C425" s="5">
        <v>220</v>
      </c>
      <c r="D425" s="6">
        <v>0</v>
      </c>
      <c r="E425" s="7">
        <v>651000</v>
      </c>
      <c r="F425" s="3">
        <v>54330</v>
      </c>
      <c r="G425" s="3" t="str">
        <f t="shared" si="6"/>
        <v>5</v>
      </c>
      <c r="H425" s="3" t="s">
        <v>835</v>
      </c>
      <c r="I425" s="8">
        <v>14000</v>
      </c>
      <c r="J425" s="8">
        <v>6169.62</v>
      </c>
      <c r="K425" s="8">
        <v>14000</v>
      </c>
    </row>
    <row r="426" spans="1:11" hidden="1" x14ac:dyDescent="0.25">
      <c r="A426" s="3" t="s">
        <v>836</v>
      </c>
      <c r="B426" s="3">
        <v>11</v>
      </c>
      <c r="C426" s="5">
        <v>220</v>
      </c>
      <c r="D426" s="6">
        <v>0</v>
      </c>
      <c r="E426" s="7">
        <v>651000</v>
      </c>
      <c r="F426" s="3">
        <v>54335</v>
      </c>
      <c r="G426" s="3" t="str">
        <f t="shared" si="6"/>
        <v>5</v>
      </c>
      <c r="H426" s="3" t="s">
        <v>837</v>
      </c>
      <c r="I426" s="8">
        <v>24800</v>
      </c>
      <c r="J426" s="8">
        <v>8525.35</v>
      </c>
      <c r="K426" s="8">
        <v>24800</v>
      </c>
    </row>
    <row r="427" spans="1:11" hidden="1" x14ac:dyDescent="0.25">
      <c r="A427" s="3" t="s">
        <v>838</v>
      </c>
      <c r="B427" s="3">
        <v>11</v>
      </c>
      <c r="C427" s="5">
        <v>220</v>
      </c>
      <c r="D427" s="6">
        <v>0</v>
      </c>
      <c r="E427" s="7">
        <v>651000</v>
      </c>
      <c r="F427" s="3">
        <v>54337</v>
      </c>
      <c r="G427" s="3" t="str">
        <f t="shared" si="6"/>
        <v>5</v>
      </c>
      <c r="H427" s="3" t="s">
        <v>839</v>
      </c>
      <c r="I427" s="8">
        <v>14200</v>
      </c>
      <c r="J427" s="8">
        <v>5945.61</v>
      </c>
      <c r="K427" s="8">
        <v>14200</v>
      </c>
    </row>
    <row r="428" spans="1:11" hidden="1" x14ac:dyDescent="0.25">
      <c r="A428" s="3" t="s">
        <v>840</v>
      </c>
      <c r="B428" s="3">
        <v>11</v>
      </c>
      <c r="C428" s="5">
        <v>220</v>
      </c>
      <c r="D428" s="6">
        <v>0</v>
      </c>
      <c r="E428" s="7">
        <v>651000</v>
      </c>
      <c r="F428" s="3">
        <v>54338</v>
      </c>
      <c r="G428" s="3" t="str">
        <f t="shared" si="6"/>
        <v>5</v>
      </c>
      <c r="H428" s="3" t="s">
        <v>841</v>
      </c>
      <c r="I428" s="8">
        <v>4900</v>
      </c>
      <c r="J428" s="8">
        <v>5760.37</v>
      </c>
      <c r="K428" s="8">
        <v>4900</v>
      </c>
    </row>
    <row r="429" spans="1:11" hidden="1" x14ac:dyDescent="0.25">
      <c r="A429" s="3" t="s">
        <v>842</v>
      </c>
      <c r="B429" s="3">
        <v>11</v>
      </c>
      <c r="C429" s="5">
        <v>220</v>
      </c>
      <c r="D429" s="6">
        <v>0</v>
      </c>
      <c r="E429" s="7">
        <v>651000</v>
      </c>
      <c r="F429" s="3">
        <v>55630</v>
      </c>
      <c r="G429" s="3" t="str">
        <f t="shared" si="6"/>
        <v>5</v>
      </c>
      <c r="H429" s="3" t="s">
        <v>843</v>
      </c>
      <c r="I429" s="8">
        <v>28</v>
      </c>
      <c r="J429" s="8">
        <v>9.32</v>
      </c>
      <c r="K429" s="8">
        <v>28</v>
      </c>
    </row>
    <row r="430" spans="1:11" hidden="1" x14ac:dyDescent="0.25">
      <c r="A430" s="3" t="s">
        <v>844</v>
      </c>
      <c r="B430" s="3">
        <v>11</v>
      </c>
      <c r="C430" s="5">
        <v>220</v>
      </c>
      <c r="D430" s="6">
        <v>0</v>
      </c>
      <c r="E430" s="7">
        <v>651000</v>
      </c>
      <c r="F430" s="3">
        <v>55650</v>
      </c>
      <c r="G430" s="3" t="str">
        <f t="shared" si="6"/>
        <v>5</v>
      </c>
      <c r="H430" s="3" t="s">
        <v>845</v>
      </c>
      <c r="I430" s="8">
        <v>91800</v>
      </c>
      <c r="J430" s="8">
        <v>40073.279999999999</v>
      </c>
      <c r="K430" s="8">
        <v>91800</v>
      </c>
    </row>
    <row r="431" spans="1:11" hidden="1" x14ac:dyDescent="0.25">
      <c r="A431" s="3" t="s">
        <v>846</v>
      </c>
      <c r="B431" s="3">
        <v>11</v>
      </c>
      <c r="C431" s="5">
        <v>220</v>
      </c>
      <c r="D431" s="6">
        <v>0</v>
      </c>
      <c r="E431" s="7">
        <v>651000</v>
      </c>
      <c r="F431" s="3">
        <v>55651</v>
      </c>
      <c r="G431" s="3" t="str">
        <f t="shared" si="6"/>
        <v>5</v>
      </c>
      <c r="H431" s="3" t="s">
        <v>847</v>
      </c>
      <c r="I431" s="8">
        <v>82653</v>
      </c>
      <c r="J431" s="8">
        <v>57557.59</v>
      </c>
      <c r="K431" s="8">
        <v>82653</v>
      </c>
    </row>
    <row r="432" spans="1:11" hidden="1" x14ac:dyDescent="0.25">
      <c r="A432" s="3" t="s">
        <v>848</v>
      </c>
      <c r="B432" s="3">
        <v>11</v>
      </c>
      <c r="C432" s="5">
        <v>220</v>
      </c>
      <c r="D432" s="6">
        <v>0</v>
      </c>
      <c r="E432" s="7">
        <v>651000</v>
      </c>
      <c r="F432" s="3">
        <v>56400</v>
      </c>
      <c r="G432" s="3" t="str">
        <f t="shared" si="6"/>
        <v>5</v>
      </c>
      <c r="H432" s="3" t="s">
        <v>849</v>
      </c>
      <c r="I432" s="8">
        <v>2000</v>
      </c>
      <c r="J432" s="8">
        <v>0</v>
      </c>
      <c r="K432" s="8">
        <v>2000</v>
      </c>
    </row>
    <row r="433" spans="1:11" hidden="1" x14ac:dyDescent="0.25">
      <c r="A433" s="3" t="s">
        <v>850</v>
      </c>
      <c r="B433" s="3">
        <v>11</v>
      </c>
      <c r="C433" s="5">
        <v>220</v>
      </c>
      <c r="D433" s="6">
        <v>0</v>
      </c>
      <c r="E433" s="7">
        <v>651000</v>
      </c>
      <c r="F433" s="3">
        <v>56405</v>
      </c>
      <c r="G433" s="3" t="str">
        <f t="shared" si="6"/>
        <v>5</v>
      </c>
      <c r="H433" s="3" t="s">
        <v>851</v>
      </c>
      <c r="I433" s="8">
        <v>5810</v>
      </c>
      <c r="J433" s="8">
        <v>5809.92</v>
      </c>
      <c r="K433" s="8">
        <v>5810</v>
      </c>
    </row>
    <row r="434" spans="1:11" hidden="1" x14ac:dyDescent="0.25">
      <c r="A434" s="3" t="s">
        <v>852</v>
      </c>
      <c r="B434" s="3">
        <v>11</v>
      </c>
      <c r="C434" s="5">
        <v>220</v>
      </c>
      <c r="D434" s="6">
        <v>0</v>
      </c>
      <c r="E434" s="7">
        <v>653000</v>
      </c>
      <c r="F434" s="3">
        <v>52115</v>
      </c>
      <c r="G434" s="3" t="str">
        <f t="shared" si="6"/>
        <v>5</v>
      </c>
      <c r="H434" s="3" t="s">
        <v>853</v>
      </c>
      <c r="I434" s="8">
        <v>50244</v>
      </c>
      <c r="J434" s="8">
        <v>37523.25</v>
      </c>
      <c r="K434" s="8">
        <v>50244</v>
      </c>
    </row>
    <row r="435" spans="1:11" hidden="1" x14ac:dyDescent="0.25">
      <c r="A435" s="3" t="s">
        <v>854</v>
      </c>
      <c r="B435" s="3">
        <v>11</v>
      </c>
      <c r="C435" s="5">
        <v>220</v>
      </c>
      <c r="D435" s="6">
        <v>0</v>
      </c>
      <c r="E435" s="7">
        <v>653000</v>
      </c>
      <c r="F435" s="3">
        <v>52125</v>
      </c>
      <c r="G435" s="3" t="str">
        <f t="shared" si="6"/>
        <v>5</v>
      </c>
      <c r="H435" s="3" t="s">
        <v>855</v>
      </c>
      <c r="I435" s="8">
        <v>838844.6</v>
      </c>
      <c r="J435" s="8">
        <v>621279.38</v>
      </c>
      <c r="K435" s="8">
        <v>838844.6</v>
      </c>
    </row>
    <row r="436" spans="1:11" hidden="1" x14ac:dyDescent="0.25">
      <c r="A436" s="3" t="s">
        <v>856</v>
      </c>
      <c r="B436" s="3">
        <v>11</v>
      </c>
      <c r="C436" s="5">
        <v>220</v>
      </c>
      <c r="D436" s="6">
        <v>0</v>
      </c>
      <c r="E436" s="7">
        <v>653000</v>
      </c>
      <c r="F436" s="3">
        <v>52300</v>
      </c>
      <c r="G436" s="3" t="str">
        <f t="shared" si="6"/>
        <v>5</v>
      </c>
      <c r="H436" s="3" t="s">
        <v>857</v>
      </c>
      <c r="I436" s="8">
        <v>0</v>
      </c>
      <c r="J436" s="8">
        <v>0</v>
      </c>
      <c r="K436" s="8">
        <v>0</v>
      </c>
    </row>
    <row r="437" spans="1:11" hidden="1" x14ac:dyDescent="0.25">
      <c r="A437" s="3" t="s">
        <v>858</v>
      </c>
      <c r="B437" s="3">
        <v>11</v>
      </c>
      <c r="C437" s="5">
        <v>220</v>
      </c>
      <c r="D437" s="6">
        <v>0</v>
      </c>
      <c r="E437" s="7">
        <v>653000</v>
      </c>
      <c r="F437" s="3">
        <v>53220</v>
      </c>
      <c r="G437" s="3" t="str">
        <f t="shared" si="6"/>
        <v>5</v>
      </c>
      <c r="H437" s="3" t="s">
        <v>859</v>
      </c>
      <c r="I437" s="8">
        <v>184041.36</v>
      </c>
      <c r="J437" s="8">
        <v>136013.66</v>
      </c>
      <c r="K437" s="8">
        <v>184041.36</v>
      </c>
    </row>
    <row r="438" spans="1:11" hidden="1" x14ac:dyDescent="0.25">
      <c r="A438" s="3" t="s">
        <v>860</v>
      </c>
      <c r="B438" s="3">
        <v>11</v>
      </c>
      <c r="C438" s="5">
        <v>220</v>
      </c>
      <c r="D438" s="6">
        <v>0</v>
      </c>
      <c r="E438" s="7">
        <v>653000</v>
      </c>
      <c r="F438" s="3">
        <v>53320</v>
      </c>
      <c r="G438" s="3" t="str">
        <f t="shared" si="6"/>
        <v>5</v>
      </c>
      <c r="H438" s="3" t="s">
        <v>861</v>
      </c>
      <c r="I438" s="8">
        <v>55123.519999999997</v>
      </c>
      <c r="J438" s="8">
        <v>40317.06</v>
      </c>
      <c r="K438" s="8">
        <v>55123.519999999997</v>
      </c>
    </row>
    <row r="439" spans="1:11" hidden="1" x14ac:dyDescent="0.25">
      <c r="A439" s="3" t="s">
        <v>862</v>
      </c>
      <c r="B439" s="3">
        <v>11</v>
      </c>
      <c r="C439" s="5">
        <v>220</v>
      </c>
      <c r="D439" s="6">
        <v>0</v>
      </c>
      <c r="E439" s="7">
        <v>653000</v>
      </c>
      <c r="F439" s="3">
        <v>53340</v>
      </c>
      <c r="G439" s="3" t="str">
        <f t="shared" si="6"/>
        <v>5</v>
      </c>
      <c r="H439" s="3" t="s">
        <v>863</v>
      </c>
      <c r="I439" s="8">
        <v>12891.8</v>
      </c>
      <c r="J439" s="8">
        <v>9428.94</v>
      </c>
      <c r="K439" s="8">
        <v>12891.8</v>
      </c>
    </row>
    <row r="440" spans="1:11" hidden="1" x14ac:dyDescent="0.25">
      <c r="A440" s="3" t="s">
        <v>864</v>
      </c>
      <c r="B440" s="3">
        <v>11</v>
      </c>
      <c r="C440" s="5">
        <v>220</v>
      </c>
      <c r="D440" s="6">
        <v>0</v>
      </c>
      <c r="E440" s="7">
        <v>653000</v>
      </c>
      <c r="F440" s="3">
        <v>53420</v>
      </c>
      <c r="G440" s="3" t="str">
        <f t="shared" si="6"/>
        <v>5</v>
      </c>
      <c r="H440" s="3" t="s">
        <v>865</v>
      </c>
      <c r="I440" s="8">
        <v>435156.19</v>
      </c>
      <c r="J440" s="8">
        <v>318466.86</v>
      </c>
      <c r="K440" s="8">
        <v>435156.19</v>
      </c>
    </row>
    <row r="441" spans="1:11" hidden="1" x14ac:dyDescent="0.25">
      <c r="A441" s="3" t="s">
        <v>866</v>
      </c>
      <c r="B441" s="3">
        <v>11</v>
      </c>
      <c r="C441" s="5">
        <v>220</v>
      </c>
      <c r="D441" s="6">
        <v>0</v>
      </c>
      <c r="E441" s="7">
        <v>653000</v>
      </c>
      <c r="F441" s="3">
        <v>53520</v>
      </c>
      <c r="G441" s="3" t="str">
        <f t="shared" si="6"/>
        <v>5</v>
      </c>
      <c r="H441" s="3" t="s">
        <v>867</v>
      </c>
      <c r="I441" s="8">
        <v>444.54</v>
      </c>
      <c r="J441" s="8">
        <v>329.37</v>
      </c>
      <c r="K441" s="8">
        <v>444.54</v>
      </c>
    </row>
    <row r="442" spans="1:11" hidden="1" x14ac:dyDescent="0.25">
      <c r="A442" s="3" t="s">
        <v>868</v>
      </c>
      <c r="B442" s="3">
        <v>11</v>
      </c>
      <c r="C442" s="5">
        <v>220</v>
      </c>
      <c r="D442" s="6">
        <v>0</v>
      </c>
      <c r="E442" s="7">
        <v>653000</v>
      </c>
      <c r="F442" s="3">
        <v>53620</v>
      </c>
      <c r="G442" s="3" t="str">
        <f t="shared" si="6"/>
        <v>5</v>
      </c>
      <c r="H442" s="3" t="s">
        <v>869</v>
      </c>
      <c r="I442" s="8">
        <v>16810.88</v>
      </c>
      <c r="J442" s="8">
        <v>12448.45</v>
      </c>
      <c r="K442" s="8">
        <v>16810.88</v>
      </c>
    </row>
    <row r="443" spans="1:11" hidden="1" x14ac:dyDescent="0.25">
      <c r="A443" s="3" t="s">
        <v>870</v>
      </c>
      <c r="B443" s="3">
        <v>11</v>
      </c>
      <c r="C443" s="5">
        <v>220</v>
      </c>
      <c r="D443" s="6">
        <v>0</v>
      </c>
      <c r="E443" s="7">
        <v>653000</v>
      </c>
      <c r="F443" s="3">
        <v>53920</v>
      </c>
      <c r="G443" s="3" t="str">
        <f t="shared" si="6"/>
        <v>5</v>
      </c>
      <c r="H443" s="3" t="s">
        <v>871</v>
      </c>
      <c r="I443" s="8">
        <v>4200</v>
      </c>
      <c r="J443" s="8">
        <v>2800</v>
      </c>
      <c r="K443" s="8">
        <v>4200</v>
      </c>
    </row>
    <row r="444" spans="1:11" hidden="1" x14ac:dyDescent="0.25">
      <c r="A444" s="3" t="s">
        <v>872</v>
      </c>
      <c r="B444" s="3">
        <v>11</v>
      </c>
      <c r="C444" s="5">
        <v>220</v>
      </c>
      <c r="D444" s="6">
        <v>0</v>
      </c>
      <c r="E444" s="7">
        <v>653000</v>
      </c>
      <c r="F444" s="3">
        <v>54300</v>
      </c>
      <c r="G444" s="3" t="str">
        <f t="shared" si="6"/>
        <v>5</v>
      </c>
      <c r="H444" s="3" t="s">
        <v>873</v>
      </c>
      <c r="I444" s="8">
        <v>74190</v>
      </c>
      <c r="J444" s="8">
        <v>9950.73</v>
      </c>
      <c r="K444" s="8">
        <v>74190</v>
      </c>
    </row>
    <row r="445" spans="1:11" hidden="1" x14ac:dyDescent="0.25">
      <c r="A445" s="3" t="s">
        <v>874</v>
      </c>
      <c r="B445" s="3">
        <v>11</v>
      </c>
      <c r="C445" s="5">
        <v>220</v>
      </c>
      <c r="D445" s="6">
        <v>0</v>
      </c>
      <c r="E445" s="7">
        <v>653000</v>
      </c>
      <c r="F445" s="3">
        <v>55630</v>
      </c>
      <c r="G445" s="3" t="str">
        <f t="shared" si="6"/>
        <v>5</v>
      </c>
      <c r="H445" s="3" t="s">
        <v>875</v>
      </c>
      <c r="I445" s="8">
        <v>80</v>
      </c>
      <c r="J445" s="8">
        <v>335.86</v>
      </c>
      <c r="K445" s="8">
        <v>80</v>
      </c>
    </row>
    <row r="446" spans="1:11" hidden="1" x14ac:dyDescent="0.25">
      <c r="A446" s="3" t="s">
        <v>876</v>
      </c>
      <c r="B446" s="3">
        <v>11</v>
      </c>
      <c r="C446" s="5">
        <v>220</v>
      </c>
      <c r="D446" s="6">
        <v>0</v>
      </c>
      <c r="E446" s="7">
        <v>653000</v>
      </c>
      <c r="F446" s="3">
        <v>55650</v>
      </c>
      <c r="G446" s="3" t="str">
        <f t="shared" si="6"/>
        <v>5</v>
      </c>
      <c r="H446" s="3" t="s">
        <v>877</v>
      </c>
      <c r="I446" s="8">
        <v>7500</v>
      </c>
      <c r="J446" s="8">
        <v>10800.26</v>
      </c>
      <c r="K446" s="8">
        <v>7500</v>
      </c>
    </row>
    <row r="447" spans="1:11" hidden="1" x14ac:dyDescent="0.25">
      <c r="A447" s="3" t="s">
        <v>878</v>
      </c>
      <c r="B447" s="3">
        <v>11</v>
      </c>
      <c r="C447" s="5">
        <v>220</v>
      </c>
      <c r="D447" s="6">
        <v>0</v>
      </c>
      <c r="E447" s="7">
        <v>655000</v>
      </c>
      <c r="F447" s="3">
        <v>52125</v>
      </c>
      <c r="G447" s="3" t="str">
        <f t="shared" si="6"/>
        <v>5</v>
      </c>
      <c r="H447" s="3" t="s">
        <v>879</v>
      </c>
      <c r="I447" s="8">
        <v>175753.23</v>
      </c>
      <c r="J447" s="8">
        <v>130754.54</v>
      </c>
      <c r="K447" s="8">
        <v>175753.23</v>
      </c>
    </row>
    <row r="448" spans="1:11" hidden="1" x14ac:dyDescent="0.25">
      <c r="A448" s="3" t="s">
        <v>880</v>
      </c>
      <c r="B448" s="3">
        <v>11</v>
      </c>
      <c r="C448" s="5">
        <v>220</v>
      </c>
      <c r="D448" s="6">
        <v>0</v>
      </c>
      <c r="E448" s="7">
        <v>655000</v>
      </c>
      <c r="F448" s="3">
        <v>52300</v>
      </c>
      <c r="G448" s="3" t="str">
        <f t="shared" si="6"/>
        <v>5</v>
      </c>
      <c r="H448" s="3" t="s">
        <v>881</v>
      </c>
      <c r="I448" s="8">
        <v>1750</v>
      </c>
      <c r="J448" s="8">
        <v>0</v>
      </c>
      <c r="K448" s="8">
        <v>1750</v>
      </c>
    </row>
    <row r="449" spans="1:11" hidden="1" x14ac:dyDescent="0.25">
      <c r="A449" s="3" t="s">
        <v>882</v>
      </c>
      <c r="B449" s="3">
        <v>11</v>
      </c>
      <c r="C449" s="5">
        <v>220</v>
      </c>
      <c r="D449" s="6">
        <v>0</v>
      </c>
      <c r="E449" s="7">
        <v>655000</v>
      </c>
      <c r="F449" s="3">
        <v>53220</v>
      </c>
      <c r="G449" s="3" t="str">
        <f t="shared" si="6"/>
        <v>5</v>
      </c>
      <c r="H449" s="3" t="s">
        <v>883</v>
      </c>
      <c r="I449" s="8">
        <v>36380.92</v>
      </c>
      <c r="J449" s="8">
        <v>26967.83</v>
      </c>
      <c r="K449" s="8">
        <v>36380.92</v>
      </c>
    </row>
    <row r="450" spans="1:11" hidden="1" x14ac:dyDescent="0.25">
      <c r="A450" s="3" t="s">
        <v>884</v>
      </c>
      <c r="B450" s="3">
        <v>11</v>
      </c>
      <c r="C450" s="5">
        <v>220</v>
      </c>
      <c r="D450" s="6">
        <v>0</v>
      </c>
      <c r="E450" s="7">
        <v>655000</v>
      </c>
      <c r="F450" s="3">
        <v>53320</v>
      </c>
      <c r="G450" s="3" t="str">
        <f t="shared" si="6"/>
        <v>5</v>
      </c>
      <c r="H450" s="3" t="s">
        <v>885</v>
      </c>
      <c r="I450" s="8">
        <v>11005.21</v>
      </c>
      <c r="J450" s="8">
        <v>8065</v>
      </c>
      <c r="K450" s="8">
        <v>11005.21</v>
      </c>
    </row>
    <row r="451" spans="1:11" hidden="1" x14ac:dyDescent="0.25">
      <c r="A451" s="3" t="s">
        <v>886</v>
      </c>
      <c r="B451" s="3">
        <v>11</v>
      </c>
      <c r="C451" s="5">
        <v>220</v>
      </c>
      <c r="D451" s="6">
        <v>0</v>
      </c>
      <c r="E451" s="7">
        <v>655000</v>
      </c>
      <c r="F451" s="3">
        <v>53340</v>
      </c>
      <c r="G451" s="3" t="str">
        <f t="shared" ref="G451:G514" si="7">LEFT(F451,1)</f>
        <v>5</v>
      </c>
      <c r="H451" s="3" t="s">
        <v>887</v>
      </c>
      <c r="I451" s="8">
        <v>2573.81</v>
      </c>
      <c r="J451" s="8">
        <v>1886.13</v>
      </c>
      <c r="K451" s="8">
        <v>2573.81</v>
      </c>
    </row>
    <row r="452" spans="1:11" hidden="1" x14ac:dyDescent="0.25">
      <c r="A452" s="3" t="s">
        <v>888</v>
      </c>
      <c r="B452" s="3">
        <v>11</v>
      </c>
      <c r="C452" s="5">
        <v>220</v>
      </c>
      <c r="D452" s="6">
        <v>0</v>
      </c>
      <c r="E452" s="7">
        <v>655000</v>
      </c>
      <c r="F452" s="3">
        <v>53420</v>
      </c>
      <c r="G452" s="3" t="str">
        <f t="shared" si="7"/>
        <v>5</v>
      </c>
      <c r="H452" s="3" t="s">
        <v>889</v>
      </c>
      <c r="I452" s="8">
        <v>64144.34</v>
      </c>
      <c r="J452" s="8">
        <v>43823.32</v>
      </c>
      <c r="K452" s="8">
        <v>64144.34</v>
      </c>
    </row>
    <row r="453" spans="1:11" hidden="1" x14ac:dyDescent="0.25">
      <c r="A453" s="3" t="s">
        <v>890</v>
      </c>
      <c r="B453" s="3">
        <v>11</v>
      </c>
      <c r="C453" s="5">
        <v>220</v>
      </c>
      <c r="D453" s="6">
        <v>0</v>
      </c>
      <c r="E453" s="7">
        <v>655000</v>
      </c>
      <c r="F453" s="3">
        <v>53520</v>
      </c>
      <c r="G453" s="3" t="str">
        <f t="shared" si="7"/>
        <v>5</v>
      </c>
      <c r="H453" s="3" t="s">
        <v>891</v>
      </c>
      <c r="I453" s="8">
        <v>88.76</v>
      </c>
      <c r="J453" s="8">
        <v>65.34</v>
      </c>
      <c r="K453" s="8">
        <v>88.76</v>
      </c>
    </row>
    <row r="454" spans="1:11" hidden="1" x14ac:dyDescent="0.25">
      <c r="A454" s="3" t="s">
        <v>892</v>
      </c>
      <c r="B454" s="3">
        <v>11</v>
      </c>
      <c r="C454" s="5">
        <v>220</v>
      </c>
      <c r="D454" s="6">
        <v>0</v>
      </c>
      <c r="E454" s="7">
        <v>655000</v>
      </c>
      <c r="F454" s="3">
        <v>53620</v>
      </c>
      <c r="G454" s="3" t="str">
        <f t="shared" si="7"/>
        <v>5</v>
      </c>
      <c r="H454" s="3" t="s">
        <v>893</v>
      </c>
      <c r="I454" s="8">
        <v>3356.23</v>
      </c>
      <c r="J454" s="8">
        <v>2472.27</v>
      </c>
      <c r="K454" s="8">
        <v>3356.23</v>
      </c>
    </row>
    <row r="455" spans="1:11" hidden="1" x14ac:dyDescent="0.25">
      <c r="A455" s="3" t="s">
        <v>894</v>
      </c>
      <c r="B455" s="3">
        <v>11</v>
      </c>
      <c r="C455" s="5">
        <v>220</v>
      </c>
      <c r="D455" s="6">
        <v>0</v>
      </c>
      <c r="E455" s="7">
        <v>655000</v>
      </c>
      <c r="F455" s="3">
        <v>53920</v>
      </c>
      <c r="G455" s="3" t="str">
        <f t="shared" si="7"/>
        <v>5</v>
      </c>
      <c r="H455" s="3" t="s">
        <v>895</v>
      </c>
      <c r="I455" s="8">
        <v>0</v>
      </c>
      <c r="J455" s="8">
        <v>1600</v>
      </c>
      <c r="K455" s="8">
        <v>0</v>
      </c>
    </row>
    <row r="456" spans="1:11" hidden="1" x14ac:dyDescent="0.25">
      <c r="A456" s="3" t="s">
        <v>896</v>
      </c>
      <c r="B456" s="3">
        <v>11</v>
      </c>
      <c r="C456" s="5">
        <v>220</v>
      </c>
      <c r="D456" s="6">
        <v>0</v>
      </c>
      <c r="E456" s="7">
        <v>655000</v>
      </c>
      <c r="F456" s="3">
        <v>54300</v>
      </c>
      <c r="G456" s="3" t="str">
        <f t="shared" si="7"/>
        <v>5</v>
      </c>
      <c r="H456" s="3" t="s">
        <v>897</v>
      </c>
      <c r="I456" s="8">
        <v>2500</v>
      </c>
      <c r="J456" s="8">
        <v>1435.34</v>
      </c>
      <c r="K456" s="8">
        <v>2500</v>
      </c>
    </row>
    <row r="457" spans="1:11" hidden="1" x14ac:dyDescent="0.25">
      <c r="A457" s="3" t="s">
        <v>898</v>
      </c>
      <c r="B457" s="3">
        <v>11</v>
      </c>
      <c r="C457" s="5">
        <v>220</v>
      </c>
      <c r="D457" s="6">
        <v>0</v>
      </c>
      <c r="E457" s="7">
        <v>655000</v>
      </c>
      <c r="F457" s="3">
        <v>54330</v>
      </c>
      <c r="G457" s="3" t="str">
        <f t="shared" si="7"/>
        <v>5</v>
      </c>
      <c r="H457" s="3" t="s">
        <v>899</v>
      </c>
      <c r="I457" s="8">
        <v>10000</v>
      </c>
      <c r="J457" s="8">
        <v>12015.28</v>
      </c>
      <c r="K457" s="8">
        <v>10000</v>
      </c>
    </row>
    <row r="458" spans="1:11" hidden="1" x14ac:dyDescent="0.25">
      <c r="A458" s="3" t="s">
        <v>900</v>
      </c>
      <c r="B458" s="3">
        <v>11</v>
      </c>
      <c r="C458" s="5">
        <v>220</v>
      </c>
      <c r="D458" s="6">
        <v>0</v>
      </c>
      <c r="E458" s="7">
        <v>655000</v>
      </c>
      <c r="F458" s="3">
        <v>55630</v>
      </c>
      <c r="G458" s="3" t="str">
        <f t="shared" si="7"/>
        <v>5</v>
      </c>
      <c r="H458" s="3" t="s">
        <v>901</v>
      </c>
      <c r="I458" s="8">
        <v>6</v>
      </c>
      <c r="J458" s="8">
        <v>0.01</v>
      </c>
      <c r="K458" s="8">
        <v>6</v>
      </c>
    </row>
    <row r="459" spans="1:11" hidden="1" x14ac:dyDescent="0.25">
      <c r="A459" s="3" t="s">
        <v>902</v>
      </c>
      <c r="B459" s="3">
        <v>11</v>
      </c>
      <c r="C459" s="5">
        <v>220</v>
      </c>
      <c r="D459" s="6">
        <v>0</v>
      </c>
      <c r="E459" s="7">
        <v>655000</v>
      </c>
      <c r="F459" s="3">
        <v>55650</v>
      </c>
      <c r="G459" s="3" t="str">
        <f t="shared" si="7"/>
        <v>5</v>
      </c>
      <c r="H459" s="3" t="s">
        <v>903</v>
      </c>
      <c r="I459" s="8">
        <v>7000</v>
      </c>
      <c r="J459" s="8">
        <v>1829.57</v>
      </c>
      <c r="K459" s="8">
        <v>7000</v>
      </c>
    </row>
    <row r="460" spans="1:11" hidden="1" x14ac:dyDescent="0.25">
      <c r="A460" s="3" t="s">
        <v>904</v>
      </c>
      <c r="B460" s="3">
        <v>11</v>
      </c>
      <c r="C460" s="5">
        <v>220</v>
      </c>
      <c r="D460" s="6">
        <v>0</v>
      </c>
      <c r="E460" s="7">
        <v>655000</v>
      </c>
      <c r="F460" s="3">
        <v>55651</v>
      </c>
      <c r="G460" s="3" t="str">
        <f t="shared" si="7"/>
        <v>5</v>
      </c>
      <c r="H460" s="3" t="s">
        <v>905</v>
      </c>
      <c r="I460" s="8">
        <v>13000</v>
      </c>
      <c r="J460" s="8">
        <v>6866.32</v>
      </c>
      <c r="K460" s="8">
        <v>13000</v>
      </c>
    </row>
    <row r="461" spans="1:11" hidden="1" x14ac:dyDescent="0.25">
      <c r="A461" s="3" t="s">
        <v>906</v>
      </c>
      <c r="B461" s="3">
        <v>11</v>
      </c>
      <c r="C461" s="5">
        <v>220</v>
      </c>
      <c r="D461" s="6">
        <v>0</v>
      </c>
      <c r="E461" s="7">
        <v>659010</v>
      </c>
      <c r="F461" s="3">
        <v>52105</v>
      </c>
      <c r="G461" s="3" t="str">
        <f t="shared" si="7"/>
        <v>5</v>
      </c>
      <c r="H461" s="3" t="s">
        <v>907</v>
      </c>
      <c r="I461" s="8">
        <v>40196.800000000003</v>
      </c>
      <c r="J461" s="8">
        <v>29507.64</v>
      </c>
      <c r="K461" s="8">
        <v>40196.800000000003</v>
      </c>
    </row>
    <row r="462" spans="1:11" hidden="1" x14ac:dyDescent="0.25">
      <c r="A462" s="3" t="s">
        <v>908</v>
      </c>
      <c r="B462" s="3">
        <v>11</v>
      </c>
      <c r="C462" s="5">
        <v>220</v>
      </c>
      <c r="D462" s="6">
        <v>0</v>
      </c>
      <c r="E462" s="7">
        <v>659010</v>
      </c>
      <c r="F462" s="3">
        <v>52125</v>
      </c>
      <c r="G462" s="3" t="str">
        <f t="shared" si="7"/>
        <v>5</v>
      </c>
      <c r="H462" s="3" t="s">
        <v>909</v>
      </c>
      <c r="I462" s="8">
        <v>11278.75</v>
      </c>
      <c r="J462" s="8">
        <v>8355.33</v>
      </c>
      <c r="K462" s="8">
        <v>11278.75</v>
      </c>
    </row>
    <row r="463" spans="1:11" hidden="1" x14ac:dyDescent="0.25">
      <c r="A463" s="3" t="s">
        <v>910</v>
      </c>
      <c r="B463" s="3">
        <v>11</v>
      </c>
      <c r="C463" s="5">
        <v>220</v>
      </c>
      <c r="D463" s="6">
        <v>0</v>
      </c>
      <c r="E463" s="7">
        <v>659010</v>
      </c>
      <c r="F463" s="3">
        <v>52130</v>
      </c>
      <c r="G463" s="3" t="str">
        <f t="shared" si="7"/>
        <v>5</v>
      </c>
      <c r="H463" s="3" t="s">
        <v>911</v>
      </c>
      <c r="I463" s="8">
        <v>138351.4</v>
      </c>
      <c r="J463" s="8">
        <v>103763.52</v>
      </c>
      <c r="K463" s="8">
        <v>138351.4</v>
      </c>
    </row>
    <row r="464" spans="1:11" hidden="1" x14ac:dyDescent="0.25">
      <c r="A464" s="3" t="s">
        <v>912</v>
      </c>
      <c r="B464" s="3">
        <v>11</v>
      </c>
      <c r="C464" s="5">
        <v>220</v>
      </c>
      <c r="D464" s="6">
        <v>0</v>
      </c>
      <c r="E464" s="7">
        <v>659010</v>
      </c>
      <c r="F464" s="3">
        <v>52360</v>
      </c>
      <c r="G464" s="3" t="str">
        <f t="shared" si="7"/>
        <v>5</v>
      </c>
      <c r="H464" s="3" t="s">
        <v>913</v>
      </c>
      <c r="I464" s="8">
        <v>14000</v>
      </c>
      <c r="J464" s="8">
        <v>0</v>
      </c>
      <c r="K464" s="8">
        <v>14000</v>
      </c>
    </row>
    <row r="465" spans="1:11" hidden="1" x14ac:dyDescent="0.25">
      <c r="A465" s="3" t="s">
        <v>914</v>
      </c>
      <c r="B465" s="3">
        <v>11</v>
      </c>
      <c r="C465" s="5">
        <v>220</v>
      </c>
      <c r="D465" s="6">
        <v>0</v>
      </c>
      <c r="E465" s="7">
        <v>659010</v>
      </c>
      <c r="F465" s="3">
        <v>53220</v>
      </c>
      <c r="G465" s="3" t="str">
        <f t="shared" si="7"/>
        <v>5</v>
      </c>
      <c r="H465" s="3" t="s">
        <v>915</v>
      </c>
      <c r="I465" s="8">
        <v>39294.18</v>
      </c>
      <c r="J465" s="8">
        <v>29296.87</v>
      </c>
      <c r="K465" s="8">
        <v>39294.18</v>
      </c>
    </row>
    <row r="466" spans="1:11" hidden="1" x14ac:dyDescent="0.25">
      <c r="A466" s="3" t="s">
        <v>916</v>
      </c>
      <c r="B466" s="3">
        <v>11</v>
      </c>
      <c r="C466" s="5">
        <v>220</v>
      </c>
      <c r="D466" s="6">
        <v>0</v>
      </c>
      <c r="E466" s="7">
        <v>659010</v>
      </c>
      <c r="F466" s="3">
        <v>53320</v>
      </c>
      <c r="G466" s="3" t="str">
        <f t="shared" si="7"/>
        <v>5</v>
      </c>
      <c r="H466" s="3" t="s">
        <v>917</v>
      </c>
      <c r="I466" s="8">
        <v>12637.26</v>
      </c>
      <c r="J466" s="8">
        <v>8640.15</v>
      </c>
      <c r="K466" s="8">
        <v>12637.26</v>
      </c>
    </row>
    <row r="467" spans="1:11" hidden="1" x14ac:dyDescent="0.25">
      <c r="A467" s="3" t="s">
        <v>918</v>
      </c>
      <c r="B467" s="3">
        <v>11</v>
      </c>
      <c r="C467" s="5">
        <v>220</v>
      </c>
      <c r="D467" s="6">
        <v>0</v>
      </c>
      <c r="E467" s="7">
        <v>659010</v>
      </c>
      <c r="F467" s="3">
        <v>53340</v>
      </c>
      <c r="G467" s="3" t="str">
        <f t="shared" si="7"/>
        <v>5</v>
      </c>
      <c r="H467" s="3" t="s">
        <v>919</v>
      </c>
      <c r="I467" s="8">
        <v>2955.48</v>
      </c>
      <c r="J467" s="8">
        <v>2045.12</v>
      </c>
      <c r="K467" s="8">
        <v>2955.48</v>
      </c>
    </row>
    <row r="468" spans="1:11" hidden="1" x14ac:dyDescent="0.25">
      <c r="A468" s="3" t="s">
        <v>920</v>
      </c>
      <c r="B468" s="3">
        <v>11</v>
      </c>
      <c r="C468" s="5">
        <v>220</v>
      </c>
      <c r="D468" s="6">
        <v>0</v>
      </c>
      <c r="E468" s="7">
        <v>659010</v>
      </c>
      <c r="F468" s="3">
        <v>53420</v>
      </c>
      <c r="G468" s="3" t="str">
        <f t="shared" si="7"/>
        <v>5</v>
      </c>
      <c r="H468" s="3" t="s">
        <v>921</v>
      </c>
      <c r="I468" s="8">
        <v>40545.29</v>
      </c>
      <c r="J468" s="8">
        <v>28717.72</v>
      </c>
      <c r="K468" s="8">
        <v>40545.29</v>
      </c>
    </row>
    <row r="469" spans="1:11" hidden="1" x14ac:dyDescent="0.25">
      <c r="A469" s="3" t="s">
        <v>922</v>
      </c>
      <c r="B469" s="3">
        <v>11</v>
      </c>
      <c r="C469" s="5">
        <v>220</v>
      </c>
      <c r="D469" s="6">
        <v>0</v>
      </c>
      <c r="E469" s="7">
        <v>659010</v>
      </c>
      <c r="F469" s="3">
        <v>53520</v>
      </c>
      <c r="G469" s="3" t="str">
        <f t="shared" si="7"/>
        <v>5</v>
      </c>
      <c r="H469" s="3" t="s">
        <v>923</v>
      </c>
      <c r="I469" s="8">
        <v>101.92</v>
      </c>
      <c r="J469" s="8">
        <v>70.849999999999994</v>
      </c>
      <c r="K469" s="8">
        <v>101.92</v>
      </c>
    </row>
    <row r="470" spans="1:11" hidden="1" x14ac:dyDescent="0.25">
      <c r="A470" s="3" t="s">
        <v>924</v>
      </c>
      <c r="B470" s="3">
        <v>11</v>
      </c>
      <c r="C470" s="5">
        <v>220</v>
      </c>
      <c r="D470" s="6">
        <v>0</v>
      </c>
      <c r="E470" s="7">
        <v>659010</v>
      </c>
      <c r="F470" s="3">
        <v>53620</v>
      </c>
      <c r="G470" s="3" t="str">
        <f t="shared" si="7"/>
        <v>5</v>
      </c>
      <c r="H470" s="3" t="s">
        <v>925</v>
      </c>
      <c r="I470" s="8">
        <v>3853.96</v>
      </c>
      <c r="J470" s="8">
        <v>2679.5</v>
      </c>
      <c r="K470" s="8">
        <v>3853.96</v>
      </c>
    </row>
    <row r="471" spans="1:11" hidden="1" x14ac:dyDescent="0.25">
      <c r="A471" s="3" t="s">
        <v>926</v>
      </c>
      <c r="B471" s="3">
        <v>11</v>
      </c>
      <c r="C471" s="5">
        <v>220</v>
      </c>
      <c r="D471" s="6">
        <v>0</v>
      </c>
      <c r="E471" s="7">
        <v>659010</v>
      </c>
      <c r="F471" s="3">
        <v>53920</v>
      </c>
      <c r="G471" s="3" t="str">
        <f t="shared" si="7"/>
        <v>5</v>
      </c>
      <c r="H471" s="3" t="s">
        <v>927</v>
      </c>
      <c r="I471" s="8">
        <v>1920</v>
      </c>
      <c r="J471" s="8">
        <v>1280</v>
      </c>
      <c r="K471" s="8">
        <v>1920</v>
      </c>
    </row>
    <row r="472" spans="1:11" hidden="1" x14ac:dyDescent="0.25">
      <c r="A472" s="3" t="s">
        <v>928</v>
      </c>
      <c r="B472" s="3">
        <v>11</v>
      </c>
      <c r="C472" s="5">
        <v>220</v>
      </c>
      <c r="D472" s="6">
        <v>0</v>
      </c>
      <c r="E472" s="7">
        <v>659010</v>
      </c>
      <c r="F472" s="3">
        <v>54300</v>
      </c>
      <c r="G472" s="3" t="str">
        <f t="shared" si="7"/>
        <v>5</v>
      </c>
      <c r="H472" s="3" t="s">
        <v>929</v>
      </c>
      <c r="I472" s="8">
        <v>28000</v>
      </c>
      <c r="J472" s="8">
        <v>20096.490000000002</v>
      </c>
      <c r="K472" s="8">
        <v>28000</v>
      </c>
    </row>
    <row r="473" spans="1:11" hidden="1" x14ac:dyDescent="0.25">
      <c r="A473" s="3" t="s">
        <v>930</v>
      </c>
      <c r="B473" s="3">
        <v>11</v>
      </c>
      <c r="C473" s="5">
        <v>220</v>
      </c>
      <c r="D473" s="6">
        <v>0</v>
      </c>
      <c r="E473" s="7">
        <v>659010</v>
      </c>
      <c r="F473" s="3">
        <v>55105</v>
      </c>
      <c r="G473" s="3" t="str">
        <f t="shared" si="7"/>
        <v>5</v>
      </c>
      <c r="H473" s="3" t="s">
        <v>931</v>
      </c>
      <c r="I473" s="8">
        <v>20700</v>
      </c>
      <c r="J473" s="8">
        <v>9388.35</v>
      </c>
      <c r="K473" s="8">
        <v>20700</v>
      </c>
    </row>
    <row r="474" spans="1:11" hidden="1" x14ac:dyDescent="0.25">
      <c r="A474" s="3" t="s">
        <v>932</v>
      </c>
      <c r="B474" s="3">
        <v>11</v>
      </c>
      <c r="C474" s="5">
        <v>220</v>
      </c>
      <c r="D474" s="6">
        <v>0</v>
      </c>
      <c r="E474" s="7">
        <v>659010</v>
      </c>
      <c r="F474" s="3">
        <v>55550</v>
      </c>
      <c r="G474" s="3" t="str">
        <f t="shared" si="7"/>
        <v>5</v>
      </c>
      <c r="H474" s="3" t="s">
        <v>933</v>
      </c>
      <c r="I474" s="8">
        <v>0</v>
      </c>
      <c r="J474" s="8">
        <v>436.99</v>
      </c>
      <c r="K474" s="8">
        <v>0</v>
      </c>
    </row>
    <row r="475" spans="1:11" hidden="1" x14ac:dyDescent="0.25">
      <c r="A475" s="3" t="s">
        <v>934</v>
      </c>
      <c r="B475" s="3">
        <v>11</v>
      </c>
      <c r="C475" s="5">
        <v>220</v>
      </c>
      <c r="D475" s="6">
        <v>0</v>
      </c>
      <c r="E475" s="7">
        <v>659010</v>
      </c>
      <c r="F475" s="3">
        <v>55600</v>
      </c>
      <c r="G475" s="3" t="str">
        <f t="shared" si="7"/>
        <v>5</v>
      </c>
      <c r="H475" s="3" t="s">
        <v>935</v>
      </c>
      <c r="I475" s="8">
        <v>800</v>
      </c>
      <c r="J475" s="8">
        <v>0</v>
      </c>
      <c r="K475" s="8">
        <v>800</v>
      </c>
    </row>
    <row r="476" spans="1:11" hidden="1" x14ac:dyDescent="0.25">
      <c r="A476" s="3" t="s">
        <v>936</v>
      </c>
      <c r="B476" s="3">
        <v>11</v>
      </c>
      <c r="C476" s="5">
        <v>220</v>
      </c>
      <c r="D476" s="6">
        <v>0</v>
      </c>
      <c r="E476" s="7">
        <v>659010</v>
      </c>
      <c r="F476" s="3">
        <v>55630</v>
      </c>
      <c r="G476" s="3" t="str">
        <f t="shared" si="7"/>
        <v>5</v>
      </c>
      <c r="H476" s="3" t="s">
        <v>937</v>
      </c>
      <c r="I476" s="8">
        <v>500</v>
      </c>
      <c r="J476" s="8">
        <v>286.27999999999997</v>
      </c>
      <c r="K476" s="8">
        <v>500</v>
      </c>
    </row>
    <row r="477" spans="1:11" hidden="1" x14ac:dyDescent="0.25">
      <c r="A477" s="3" t="s">
        <v>938</v>
      </c>
      <c r="B477" s="3">
        <v>11</v>
      </c>
      <c r="C477" s="5">
        <v>220</v>
      </c>
      <c r="D477" s="6">
        <v>0</v>
      </c>
      <c r="E477" s="7">
        <v>659010</v>
      </c>
      <c r="F477" s="3">
        <v>55650</v>
      </c>
      <c r="G477" s="3" t="str">
        <f t="shared" si="7"/>
        <v>5</v>
      </c>
      <c r="H477" s="3" t="s">
        <v>939</v>
      </c>
      <c r="I477" s="8">
        <v>18500</v>
      </c>
      <c r="J477" s="8">
        <v>16731.849999999999</v>
      </c>
      <c r="K477" s="8">
        <v>18500</v>
      </c>
    </row>
    <row r="478" spans="1:11" hidden="1" x14ac:dyDescent="0.25">
      <c r="A478" s="3" t="s">
        <v>940</v>
      </c>
      <c r="B478" s="3">
        <v>11</v>
      </c>
      <c r="C478" s="5">
        <v>220</v>
      </c>
      <c r="D478" s="6">
        <v>0</v>
      </c>
      <c r="E478" s="7">
        <v>659010</v>
      </c>
      <c r="F478" s="3">
        <v>55651</v>
      </c>
      <c r="G478" s="3" t="str">
        <f t="shared" si="7"/>
        <v>5</v>
      </c>
      <c r="H478" s="3" t="s">
        <v>941</v>
      </c>
      <c r="I478" s="8">
        <v>2500</v>
      </c>
      <c r="J478" s="8">
        <v>0</v>
      </c>
      <c r="K478" s="8">
        <v>2500</v>
      </c>
    </row>
    <row r="479" spans="1:11" hidden="1" x14ac:dyDescent="0.25">
      <c r="A479" s="3" t="s">
        <v>942</v>
      </c>
      <c r="B479" s="3">
        <v>11</v>
      </c>
      <c r="C479" s="5">
        <v>220</v>
      </c>
      <c r="D479" s="6">
        <v>0</v>
      </c>
      <c r="E479" s="7">
        <v>659010</v>
      </c>
      <c r="F479" s="3">
        <v>55830</v>
      </c>
      <c r="G479" s="3" t="str">
        <f t="shared" si="7"/>
        <v>5</v>
      </c>
      <c r="H479" s="3" t="s">
        <v>943</v>
      </c>
      <c r="I479" s="8">
        <v>500</v>
      </c>
      <c r="J479" s="8">
        <v>484.96</v>
      </c>
      <c r="K479" s="8">
        <v>500</v>
      </c>
    </row>
    <row r="480" spans="1:11" hidden="1" x14ac:dyDescent="0.25">
      <c r="A480" s="3" t="s">
        <v>944</v>
      </c>
      <c r="B480" s="3">
        <v>11</v>
      </c>
      <c r="C480" s="5">
        <v>220</v>
      </c>
      <c r="D480" s="6">
        <v>0</v>
      </c>
      <c r="E480" s="7">
        <v>659010</v>
      </c>
      <c r="F480" s="3">
        <v>56216</v>
      </c>
      <c r="G480" s="3" t="str">
        <f t="shared" si="7"/>
        <v>5</v>
      </c>
      <c r="H480" s="3" t="s">
        <v>945</v>
      </c>
      <c r="I480" s="8">
        <v>425</v>
      </c>
      <c r="J480" s="8">
        <v>424.79</v>
      </c>
      <c r="K480" s="8">
        <v>425</v>
      </c>
    </row>
    <row r="481" spans="1:11" hidden="1" x14ac:dyDescent="0.25">
      <c r="A481" s="3" t="s">
        <v>946</v>
      </c>
      <c r="B481" s="3">
        <v>11</v>
      </c>
      <c r="C481" s="5">
        <v>220</v>
      </c>
      <c r="D481" s="6">
        <v>0</v>
      </c>
      <c r="E481" s="7">
        <v>659020</v>
      </c>
      <c r="F481" s="3">
        <v>54300</v>
      </c>
      <c r="G481" s="3" t="str">
        <f t="shared" si="7"/>
        <v>5</v>
      </c>
      <c r="H481" s="3" t="s">
        <v>947</v>
      </c>
      <c r="I481" s="8">
        <v>500</v>
      </c>
      <c r="J481" s="8">
        <v>0</v>
      </c>
      <c r="K481" s="8">
        <v>500</v>
      </c>
    </row>
    <row r="482" spans="1:11" hidden="1" x14ac:dyDescent="0.25">
      <c r="A482" s="3" t="s">
        <v>948</v>
      </c>
      <c r="B482" s="3">
        <v>11</v>
      </c>
      <c r="C482" s="5">
        <v>220</v>
      </c>
      <c r="D482" s="6">
        <v>0</v>
      </c>
      <c r="E482" s="7">
        <v>659020</v>
      </c>
      <c r="F482" s="3">
        <v>55105</v>
      </c>
      <c r="G482" s="3" t="str">
        <f t="shared" si="7"/>
        <v>5</v>
      </c>
      <c r="H482" s="3" t="s">
        <v>949</v>
      </c>
      <c r="I482" s="8">
        <v>500</v>
      </c>
      <c r="J482" s="8">
        <v>0</v>
      </c>
      <c r="K482" s="8">
        <v>500</v>
      </c>
    </row>
    <row r="483" spans="1:11" hidden="1" x14ac:dyDescent="0.25">
      <c r="A483" s="3" t="s">
        <v>950</v>
      </c>
      <c r="B483" s="3">
        <v>11</v>
      </c>
      <c r="C483" s="5">
        <v>220</v>
      </c>
      <c r="D483" s="6">
        <v>0</v>
      </c>
      <c r="E483" s="7">
        <v>659020</v>
      </c>
      <c r="F483" s="3">
        <v>55575</v>
      </c>
      <c r="G483" s="3" t="str">
        <f t="shared" si="7"/>
        <v>5</v>
      </c>
      <c r="H483" s="3" t="s">
        <v>951</v>
      </c>
      <c r="I483" s="8">
        <v>14500</v>
      </c>
      <c r="J483" s="8">
        <v>10035.4</v>
      </c>
      <c r="K483" s="8">
        <v>14500</v>
      </c>
    </row>
    <row r="484" spans="1:11" hidden="1" x14ac:dyDescent="0.25">
      <c r="A484" s="3" t="s">
        <v>952</v>
      </c>
      <c r="B484" s="3">
        <v>11</v>
      </c>
      <c r="C484" s="5">
        <v>220</v>
      </c>
      <c r="D484" s="6">
        <v>0</v>
      </c>
      <c r="E484" s="7">
        <v>659020</v>
      </c>
      <c r="F484" s="3">
        <v>56217</v>
      </c>
      <c r="G484" s="3" t="str">
        <f t="shared" si="7"/>
        <v>5</v>
      </c>
      <c r="H484" s="3" t="s">
        <v>953</v>
      </c>
      <c r="I484" s="8">
        <v>5500</v>
      </c>
      <c r="J484" s="8">
        <v>3059</v>
      </c>
      <c r="K484" s="8">
        <v>5500</v>
      </c>
    </row>
    <row r="485" spans="1:11" hidden="1" x14ac:dyDescent="0.25">
      <c r="A485" s="3" t="s">
        <v>954</v>
      </c>
      <c r="B485" s="3">
        <v>11</v>
      </c>
      <c r="C485" s="5">
        <v>220</v>
      </c>
      <c r="D485" s="6">
        <v>0</v>
      </c>
      <c r="E485" s="7">
        <v>677000</v>
      </c>
      <c r="F485" s="3">
        <v>52105</v>
      </c>
      <c r="G485" s="3" t="str">
        <f t="shared" si="7"/>
        <v>5</v>
      </c>
      <c r="H485" s="3" t="s">
        <v>785</v>
      </c>
      <c r="I485" s="8">
        <v>52280</v>
      </c>
      <c r="J485" s="8">
        <v>39098.04</v>
      </c>
      <c r="K485" s="8">
        <v>52280</v>
      </c>
    </row>
    <row r="486" spans="1:11" hidden="1" x14ac:dyDescent="0.25">
      <c r="A486" s="3" t="s">
        <v>955</v>
      </c>
      <c r="B486" s="3">
        <v>11</v>
      </c>
      <c r="C486" s="5">
        <v>220</v>
      </c>
      <c r="D486" s="6">
        <v>0</v>
      </c>
      <c r="E486" s="7">
        <v>677000</v>
      </c>
      <c r="F486" s="3">
        <v>52300</v>
      </c>
      <c r="G486" s="3" t="str">
        <f t="shared" si="7"/>
        <v>5</v>
      </c>
      <c r="H486" s="3" t="s">
        <v>956</v>
      </c>
      <c r="I486" s="8">
        <v>0</v>
      </c>
      <c r="J486" s="8">
        <v>60.15</v>
      </c>
      <c r="K486" s="8">
        <v>0</v>
      </c>
    </row>
    <row r="487" spans="1:11" hidden="1" x14ac:dyDescent="0.25">
      <c r="A487" s="3" t="s">
        <v>957</v>
      </c>
      <c r="B487" s="3">
        <v>11</v>
      </c>
      <c r="C487" s="5">
        <v>220</v>
      </c>
      <c r="D487" s="6">
        <v>0</v>
      </c>
      <c r="E487" s="7">
        <v>677000</v>
      </c>
      <c r="F487" s="3">
        <v>53220</v>
      </c>
      <c r="G487" s="3" t="str">
        <f t="shared" si="7"/>
        <v>5</v>
      </c>
      <c r="H487" s="3" t="s">
        <v>787</v>
      </c>
      <c r="I487" s="8">
        <v>10821.96</v>
      </c>
      <c r="J487" s="8">
        <v>8001.28</v>
      </c>
      <c r="K487" s="8">
        <v>10821.96</v>
      </c>
    </row>
    <row r="488" spans="1:11" hidden="1" x14ac:dyDescent="0.25">
      <c r="A488" s="3" t="s">
        <v>958</v>
      </c>
      <c r="B488" s="3">
        <v>11</v>
      </c>
      <c r="C488" s="5">
        <v>220</v>
      </c>
      <c r="D488" s="6">
        <v>0</v>
      </c>
      <c r="E488" s="7">
        <v>677000</v>
      </c>
      <c r="F488" s="3">
        <v>53320</v>
      </c>
      <c r="G488" s="3" t="str">
        <f t="shared" si="7"/>
        <v>5</v>
      </c>
      <c r="H488" s="3" t="s">
        <v>789</v>
      </c>
      <c r="I488" s="8">
        <v>3241.36</v>
      </c>
      <c r="J488" s="8">
        <v>2355.75</v>
      </c>
      <c r="K488" s="8">
        <v>3241.36</v>
      </c>
    </row>
    <row r="489" spans="1:11" hidden="1" x14ac:dyDescent="0.25">
      <c r="A489" s="3" t="s">
        <v>959</v>
      </c>
      <c r="B489" s="3">
        <v>11</v>
      </c>
      <c r="C489" s="5">
        <v>220</v>
      </c>
      <c r="D489" s="6">
        <v>0</v>
      </c>
      <c r="E489" s="7">
        <v>677000</v>
      </c>
      <c r="F489" s="3">
        <v>53340</v>
      </c>
      <c r="G489" s="3" t="str">
        <f t="shared" si="7"/>
        <v>5</v>
      </c>
      <c r="H489" s="3" t="s">
        <v>791</v>
      </c>
      <c r="I489" s="8">
        <v>758.06</v>
      </c>
      <c r="J489" s="8">
        <v>550.95000000000005</v>
      </c>
      <c r="K489" s="8">
        <v>758.06</v>
      </c>
    </row>
    <row r="490" spans="1:11" hidden="1" x14ac:dyDescent="0.25">
      <c r="A490" s="3" t="s">
        <v>960</v>
      </c>
      <c r="B490" s="3">
        <v>11</v>
      </c>
      <c r="C490" s="5">
        <v>220</v>
      </c>
      <c r="D490" s="6">
        <v>0</v>
      </c>
      <c r="E490" s="7">
        <v>677000</v>
      </c>
      <c r="F490" s="3">
        <v>53420</v>
      </c>
      <c r="G490" s="3" t="str">
        <f t="shared" si="7"/>
        <v>5</v>
      </c>
      <c r="H490" s="3" t="s">
        <v>793</v>
      </c>
      <c r="I490" s="8">
        <v>25240.73</v>
      </c>
      <c r="J490" s="8">
        <v>25628.09</v>
      </c>
      <c r="K490" s="8">
        <v>25240.73</v>
      </c>
    </row>
    <row r="491" spans="1:11" hidden="1" x14ac:dyDescent="0.25">
      <c r="A491" s="3" t="s">
        <v>961</v>
      </c>
      <c r="B491" s="3">
        <v>11</v>
      </c>
      <c r="C491" s="5">
        <v>220</v>
      </c>
      <c r="D491" s="6">
        <v>0</v>
      </c>
      <c r="E491" s="7">
        <v>677000</v>
      </c>
      <c r="F491" s="3">
        <v>53520</v>
      </c>
      <c r="G491" s="3" t="str">
        <f t="shared" si="7"/>
        <v>5</v>
      </c>
      <c r="H491" s="3" t="s">
        <v>795</v>
      </c>
      <c r="I491" s="8">
        <v>26.14</v>
      </c>
      <c r="J491" s="8">
        <v>19.36</v>
      </c>
      <c r="K491" s="8">
        <v>26.14</v>
      </c>
    </row>
    <row r="492" spans="1:11" hidden="1" x14ac:dyDescent="0.25">
      <c r="A492" s="3" t="s">
        <v>962</v>
      </c>
      <c r="B492" s="3">
        <v>11</v>
      </c>
      <c r="C492" s="5">
        <v>220</v>
      </c>
      <c r="D492" s="6">
        <v>0</v>
      </c>
      <c r="E492" s="7">
        <v>677000</v>
      </c>
      <c r="F492" s="3">
        <v>53620</v>
      </c>
      <c r="G492" s="3" t="str">
        <f t="shared" si="7"/>
        <v>5</v>
      </c>
      <c r="H492" s="3" t="s">
        <v>797</v>
      </c>
      <c r="I492" s="8">
        <v>988.51</v>
      </c>
      <c r="J492" s="8">
        <v>742.45</v>
      </c>
      <c r="K492" s="8">
        <v>988.51</v>
      </c>
    </row>
    <row r="493" spans="1:11" hidden="1" x14ac:dyDescent="0.25">
      <c r="A493" s="3" t="s">
        <v>963</v>
      </c>
      <c r="B493" s="3">
        <v>11</v>
      </c>
      <c r="C493" s="5">
        <v>220</v>
      </c>
      <c r="D493" s="6">
        <v>0</v>
      </c>
      <c r="E493" s="7">
        <v>677000</v>
      </c>
      <c r="F493" s="3">
        <v>55630</v>
      </c>
      <c r="G493" s="3" t="str">
        <f t="shared" si="7"/>
        <v>5</v>
      </c>
      <c r="H493" s="3" t="s">
        <v>815</v>
      </c>
      <c r="I493" s="8">
        <v>650</v>
      </c>
      <c r="J493" s="8">
        <v>55.85</v>
      </c>
      <c r="K493" s="8">
        <v>650</v>
      </c>
    </row>
    <row r="494" spans="1:11" hidden="1" x14ac:dyDescent="0.25">
      <c r="A494" s="3" t="s">
        <v>964</v>
      </c>
      <c r="B494" s="3">
        <v>11</v>
      </c>
      <c r="C494" s="5">
        <v>220</v>
      </c>
      <c r="D494" s="6">
        <v>0</v>
      </c>
      <c r="E494" s="7">
        <v>677300</v>
      </c>
      <c r="F494" s="3">
        <v>54349</v>
      </c>
      <c r="G494" s="3" t="str">
        <f t="shared" si="7"/>
        <v>5</v>
      </c>
      <c r="H494" s="3" t="s">
        <v>965</v>
      </c>
      <c r="I494" s="8">
        <v>12000</v>
      </c>
      <c r="J494" s="8">
        <v>6198.91</v>
      </c>
      <c r="K494" s="8">
        <v>12000</v>
      </c>
    </row>
    <row r="495" spans="1:11" hidden="1" x14ac:dyDescent="0.25">
      <c r="A495" s="3" t="s">
        <v>966</v>
      </c>
      <c r="B495" s="3">
        <v>11</v>
      </c>
      <c r="C495" s="5">
        <v>220</v>
      </c>
      <c r="D495" s="6">
        <v>0</v>
      </c>
      <c r="E495" s="7">
        <v>677300</v>
      </c>
      <c r="F495" s="3">
        <v>55651</v>
      </c>
      <c r="G495" s="3" t="str">
        <f t="shared" si="7"/>
        <v>5</v>
      </c>
      <c r="H495" s="3" t="s">
        <v>967</v>
      </c>
      <c r="I495" s="8">
        <v>3300</v>
      </c>
      <c r="J495" s="8">
        <v>1827.72</v>
      </c>
      <c r="K495" s="8">
        <v>3300</v>
      </c>
    </row>
    <row r="496" spans="1:11" hidden="1" x14ac:dyDescent="0.25">
      <c r="A496" s="3" t="s">
        <v>968</v>
      </c>
      <c r="B496" s="3">
        <v>11</v>
      </c>
      <c r="C496" s="5">
        <v>220</v>
      </c>
      <c r="D496" s="6">
        <v>0</v>
      </c>
      <c r="E496" s="7">
        <v>683000</v>
      </c>
      <c r="F496" s="3">
        <v>52105</v>
      </c>
      <c r="G496" s="3" t="str">
        <f t="shared" si="7"/>
        <v>5</v>
      </c>
      <c r="H496" s="3" t="s">
        <v>969</v>
      </c>
      <c r="I496" s="8">
        <v>73961.3</v>
      </c>
      <c r="J496" s="8">
        <v>56562.46</v>
      </c>
      <c r="K496" s="8">
        <v>73961.3</v>
      </c>
    </row>
    <row r="497" spans="1:11" hidden="1" x14ac:dyDescent="0.25">
      <c r="A497" s="3" t="s">
        <v>970</v>
      </c>
      <c r="B497" s="3">
        <v>11</v>
      </c>
      <c r="C497" s="5">
        <v>220</v>
      </c>
      <c r="D497" s="6">
        <v>0</v>
      </c>
      <c r="E497" s="7">
        <v>683000</v>
      </c>
      <c r="F497" s="3">
        <v>52115</v>
      </c>
      <c r="G497" s="3" t="str">
        <f t="shared" si="7"/>
        <v>5</v>
      </c>
      <c r="H497" s="3" t="s">
        <v>971</v>
      </c>
      <c r="I497" s="8">
        <v>16748</v>
      </c>
      <c r="J497" s="8">
        <v>12507.75</v>
      </c>
      <c r="K497" s="8">
        <v>16748</v>
      </c>
    </row>
    <row r="498" spans="1:11" hidden="1" x14ac:dyDescent="0.25">
      <c r="A498" s="3" t="s">
        <v>972</v>
      </c>
      <c r="B498" s="3">
        <v>11</v>
      </c>
      <c r="C498" s="5">
        <v>220</v>
      </c>
      <c r="D498" s="6">
        <v>0</v>
      </c>
      <c r="E498" s="7">
        <v>683000</v>
      </c>
      <c r="F498" s="3">
        <v>52125</v>
      </c>
      <c r="G498" s="3" t="str">
        <f t="shared" si="7"/>
        <v>5</v>
      </c>
      <c r="H498" s="3" t="s">
        <v>973</v>
      </c>
      <c r="I498" s="8">
        <v>41462</v>
      </c>
      <c r="J498" s="8">
        <v>30907.17</v>
      </c>
      <c r="K498" s="8">
        <v>41462</v>
      </c>
    </row>
    <row r="499" spans="1:11" hidden="1" x14ac:dyDescent="0.25">
      <c r="A499" s="3" t="s">
        <v>974</v>
      </c>
      <c r="B499" s="3">
        <v>11</v>
      </c>
      <c r="C499" s="5">
        <v>220</v>
      </c>
      <c r="D499" s="6">
        <v>0</v>
      </c>
      <c r="E499" s="7">
        <v>683000</v>
      </c>
      <c r="F499" s="3">
        <v>52300</v>
      </c>
      <c r="G499" s="3" t="str">
        <f t="shared" si="7"/>
        <v>5</v>
      </c>
      <c r="H499" s="3" t="s">
        <v>975</v>
      </c>
      <c r="I499" s="8">
        <v>1350</v>
      </c>
      <c r="J499" s="8">
        <v>8.68</v>
      </c>
      <c r="K499" s="8">
        <v>1350</v>
      </c>
    </row>
    <row r="500" spans="1:11" hidden="1" x14ac:dyDescent="0.25">
      <c r="A500" s="3" t="s">
        <v>976</v>
      </c>
      <c r="B500" s="3">
        <v>11</v>
      </c>
      <c r="C500" s="5">
        <v>220</v>
      </c>
      <c r="D500" s="6">
        <v>0</v>
      </c>
      <c r="E500" s="7">
        <v>683000</v>
      </c>
      <c r="F500" s="3">
        <v>53220</v>
      </c>
      <c r="G500" s="3" t="str">
        <f t="shared" si="7"/>
        <v>5</v>
      </c>
      <c r="H500" s="3" t="s">
        <v>977</v>
      </c>
      <c r="I500" s="8">
        <v>27359.45</v>
      </c>
      <c r="J500" s="8">
        <v>20602.3</v>
      </c>
      <c r="K500" s="8">
        <v>27359.45</v>
      </c>
    </row>
    <row r="501" spans="1:11" hidden="1" x14ac:dyDescent="0.25">
      <c r="A501" s="3" t="s">
        <v>978</v>
      </c>
      <c r="B501" s="3">
        <v>11</v>
      </c>
      <c r="C501" s="5">
        <v>220</v>
      </c>
      <c r="D501" s="6">
        <v>0</v>
      </c>
      <c r="E501" s="7">
        <v>683000</v>
      </c>
      <c r="F501" s="3">
        <v>53320</v>
      </c>
      <c r="G501" s="3" t="str">
        <f t="shared" si="7"/>
        <v>5</v>
      </c>
      <c r="H501" s="3" t="s">
        <v>979</v>
      </c>
      <c r="I501" s="8">
        <v>8278.32</v>
      </c>
      <c r="J501" s="8">
        <v>6173.74</v>
      </c>
      <c r="K501" s="8">
        <v>8278.32</v>
      </c>
    </row>
    <row r="502" spans="1:11" hidden="1" x14ac:dyDescent="0.25">
      <c r="A502" s="3" t="s">
        <v>980</v>
      </c>
      <c r="B502" s="3">
        <v>11</v>
      </c>
      <c r="C502" s="5">
        <v>220</v>
      </c>
      <c r="D502" s="6">
        <v>0</v>
      </c>
      <c r="E502" s="7">
        <v>683000</v>
      </c>
      <c r="F502" s="3">
        <v>53340</v>
      </c>
      <c r="G502" s="3" t="str">
        <f t="shared" si="7"/>
        <v>5</v>
      </c>
      <c r="H502" s="3" t="s">
        <v>981</v>
      </c>
      <c r="I502" s="8">
        <v>1936.07</v>
      </c>
      <c r="J502" s="8">
        <v>1443.89</v>
      </c>
      <c r="K502" s="8">
        <v>1936.07</v>
      </c>
    </row>
    <row r="503" spans="1:11" hidden="1" x14ac:dyDescent="0.25">
      <c r="A503" s="3" t="s">
        <v>982</v>
      </c>
      <c r="B503" s="3">
        <v>11</v>
      </c>
      <c r="C503" s="5">
        <v>220</v>
      </c>
      <c r="D503" s="6">
        <v>0</v>
      </c>
      <c r="E503" s="7">
        <v>683000</v>
      </c>
      <c r="F503" s="3">
        <v>53420</v>
      </c>
      <c r="G503" s="3" t="str">
        <f t="shared" si="7"/>
        <v>5</v>
      </c>
      <c r="H503" s="3" t="s">
        <v>983</v>
      </c>
      <c r="I503" s="8">
        <v>39896.39</v>
      </c>
      <c r="J503" s="8">
        <v>29163.01</v>
      </c>
      <c r="K503" s="8">
        <v>39896.39</v>
      </c>
    </row>
    <row r="504" spans="1:11" hidden="1" x14ac:dyDescent="0.25">
      <c r="A504" s="3" t="s">
        <v>984</v>
      </c>
      <c r="B504" s="3">
        <v>11</v>
      </c>
      <c r="C504" s="5">
        <v>220</v>
      </c>
      <c r="D504" s="6">
        <v>0</v>
      </c>
      <c r="E504" s="7">
        <v>683000</v>
      </c>
      <c r="F504" s="3">
        <v>53520</v>
      </c>
      <c r="G504" s="3" t="str">
        <f t="shared" si="7"/>
        <v>5</v>
      </c>
      <c r="H504" s="3" t="s">
        <v>985</v>
      </c>
      <c r="I504" s="8">
        <v>66.760000000000005</v>
      </c>
      <c r="J504" s="8">
        <v>49.95</v>
      </c>
      <c r="K504" s="8">
        <v>66.760000000000005</v>
      </c>
    </row>
    <row r="505" spans="1:11" hidden="1" x14ac:dyDescent="0.25">
      <c r="A505" s="3" t="s">
        <v>986</v>
      </c>
      <c r="B505" s="3">
        <v>11</v>
      </c>
      <c r="C505" s="5">
        <v>220</v>
      </c>
      <c r="D505" s="6">
        <v>0</v>
      </c>
      <c r="E505" s="7">
        <v>683000</v>
      </c>
      <c r="F505" s="3">
        <v>53620</v>
      </c>
      <c r="G505" s="3" t="str">
        <f t="shared" si="7"/>
        <v>5</v>
      </c>
      <c r="H505" s="3" t="s">
        <v>987</v>
      </c>
      <c r="I505" s="8">
        <v>2524.62</v>
      </c>
      <c r="J505" s="8">
        <v>1893.39</v>
      </c>
      <c r="K505" s="8">
        <v>2524.62</v>
      </c>
    </row>
    <row r="506" spans="1:11" hidden="1" x14ac:dyDescent="0.25">
      <c r="A506" s="3" t="s">
        <v>988</v>
      </c>
      <c r="B506" s="3">
        <v>11</v>
      </c>
      <c r="C506" s="5">
        <v>220</v>
      </c>
      <c r="D506" s="6">
        <v>0</v>
      </c>
      <c r="E506" s="7">
        <v>683000</v>
      </c>
      <c r="F506" s="3">
        <v>53920</v>
      </c>
      <c r="G506" s="3" t="str">
        <f t="shared" si="7"/>
        <v>5</v>
      </c>
      <c r="H506" s="3" t="s">
        <v>989</v>
      </c>
      <c r="I506" s="8">
        <v>3480</v>
      </c>
      <c r="J506" s="8">
        <v>2320</v>
      </c>
      <c r="K506" s="8">
        <v>3480</v>
      </c>
    </row>
    <row r="507" spans="1:11" hidden="1" x14ac:dyDescent="0.25">
      <c r="A507" s="3" t="s">
        <v>990</v>
      </c>
      <c r="B507" s="3">
        <v>11</v>
      </c>
      <c r="C507" s="5">
        <v>220</v>
      </c>
      <c r="D507" s="6">
        <v>0</v>
      </c>
      <c r="E507" s="7">
        <v>683000</v>
      </c>
      <c r="F507" s="3">
        <v>54340</v>
      </c>
      <c r="G507" s="3" t="str">
        <f t="shared" si="7"/>
        <v>5</v>
      </c>
      <c r="H507" s="3" t="s">
        <v>991</v>
      </c>
      <c r="I507" s="8">
        <v>18000</v>
      </c>
      <c r="J507" s="8">
        <v>16628.189999999999</v>
      </c>
      <c r="K507" s="8">
        <v>18000</v>
      </c>
    </row>
    <row r="508" spans="1:11" hidden="1" x14ac:dyDescent="0.25">
      <c r="A508" s="3" t="s">
        <v>992</v>
      </c>
      <c r="B508" s="3">
        <v>11</v>
      </c>
      <c r="C508" s="5">
        <v>220</v>
      </c>
      <c r="D508" s="6">
        <v>0</v>
      </c>
      <c r="E508" s="7">
        <v>683000</v>
      </c>
      <c r="F508" s="3">
        <v>55630</v>
      </c>
      <c r="G508" s="3" t="str">
        <f t="shared" si="7"/>
        <v>5</v>
      </c>
      <c r="H508" s="3" t="s">
        <v>993</v>
      </c>
      <c r="I508" s="8">
        <v>700</v>
      </c>
      <c r="J508" s="8">
        <v>192.41</v>
      </c>
      <c r="K508" s="8">
        <v>700</v>
      </c>
    </row>
    <row r="509" spans="1:11" hidden="1" x14ac:dyDescent="0.25">
      <c r="A509" s="3" t="s">
        <v>994</v>
      </c>
      <c r="B509" s="3">
        <v>11</v>
      </c>
      <c r="C509" s="5">
        <v>220</v>
      </c>
      <c r="D509" s="6">
        <v>4</v>
      </c>
      <c r="E509" s="7">
        <v>657000</v>
      </c>
      <c r="F509" s="3">
        <v>55530</v>
      </c>
      <c r="G509" s="3" t="str">
        <f t="shared" si="7"/>
        <v>5</v>
      </c>
      <c r="H509" s="3" t="s">
        <v>551</v>
      </c>
      <c r="I509" s="8">
        <v>0</v>
      </c>
      <c r="J509" s="8">
        <v>1331.78</v>
      </c>
      <c r="K509" s="8">
        <v>0</v>
      </c>
    </row>
    <row r="510" spans="1:11" hidden="1" x14ac:dyDescent="0.25">
      <c r="A510" s="3" t="s">
        <v>995</v>
      </c>
      <c r="B510" s="3">
        <v>11</v>
      </c>
      <c r="C510" s="5">
        <v>300</v>
      </c>
      <c r="D510" s="6">
        <v>0</v>
      </c>
      <c r="E510" s="7">
        <v>490000</v>
      </c>
      <c r="F510" s="3">
        <v>56400</v>
      </c>
      <c r="G510" s="3" t="str">
        <f t="shared" si="7"/>
        <v>5</v>
      </c>
      <c r="H510" s="3" t="s">
        <v>996</v>
      </c>
      <c r="I510" s="8">
        <v>0</v>
      </c>
      <c r="J510" s="8">
        <v>0</v>
      </c>
      <c r="K510" s="8">
        <v>0</v>
      </c>
    </row>
    <row r="511" spans="1:11" hidden="1" x14ac:dyDescent="0.25">
      <c r="A511" s="3" t="s">
        <v>997</v>
      </c>
      <c r="B511" s="3">
        <v>11</v>
      </c>
      <c r="C511" s="5">
        <v>300</v>
      </c>
      <c r="D511" s="6">
        <v>0</v>
      </c>
      <c r="E511" s="7">
        <v>601000</v>
      </c>
      <c r="F511" s="3">
        <v>51200</v>
      </c>
      <c r="G511" s="3" t="str">
        <f t="shared" si="7"/>
        <v>5</v>
      </c>
      <c r="H511" s="3" t="s">
        <v>998</v>
      </c>
      <c r="I511" s="8">
        <v>33443.85</v>
      </c>
      <c r="J511" s="8">
        <v>24291.599999999999</v>
      </c>
      <c r="K511" s="8">
        <v>33443.85</v>
      </c>
    </row>
    <row r="512" spans="1:11" hidden="1" x14ac:dyDescent="0.25">
      <c r="A512" s="3" t="s">
        <v>999</v>
      </c>
      <c r="B512" s="3">
        <v>11</v>
      </c>
      <c r="C512" s="5">
        <v>300</v>
      </c>
      <c r="D512" s="6">
        <v>0</v>
      </c>
      <c r="E512" s="7">
        <v>601000</v>
      </c>
      <c r="F512" s="3">
        <v>51210</v>
      </c>
      <c r="G512" s="3" t="str">
        <f t="shared" si="7"/>
        <v>5</v>
      </c>
      <c r="H512" s="3" t="s">
        <v>477</v>
      </c>
      <c r="I512" s="8">
        <v>166232</v>
      </c>
      <c r="J512" s="8">
        <v>138787.32999999999</v>
      </c>
      <c r="K512" s="8">
        <v>166232</v>
      </c>
    </row>
    <row r="513" spans="1:11" hidden="1" x14ac:dyDescent="0.25">
      <c r="A513" s="3" t="s">
        <v>1000</v>
      </c>
      <c r="B513" s="3">
        <v>11</v>
      </c>
      <c r="C513" s="5">
        <v>300</v>
      </c>
      <c r="D513" s="6">
        <v>0</v>
      </c>
      <c r="E513" s="7">
        <v>601000</v>
      </c>
      <c r="F513" s="3">
        <v>51412</v>
      </c>
      <c r="G513" s="3" t="str">
        <f t="shared" si="7"/>
        <v>5</v>
      </c>
      <c r="H513" s="3" t="s">
        <v>479</v>
      </c>
      <c r="I513" s="8">
        <v>235600</v>
      </c>
      <c r="J513" s="8">
        <v>120521.46</v>
      </c>
      <c r="K513" s="8">
        <v>235600</v>
      </c>
    </row>
    <row r="514" spans="1:11" hidden="1" x14ac:dyDescent="0.25">
      <c r="A514" s="3" t="s">
        <v>1001</v>
      </c>
      <c r="B514" s="3">
        <v>11</v>
      </c>
      <c r="C514" s="5">
        <v>300</v>
      </c>
      <c r="D514" s="6">
        <v>0</v>
      </c>
      <c r="E514" s="7">
        <v>601000</v>
      </c>
      <c r="F514" s="3">
        <v>52105</v>
      </c>
      <c r="G514" s="3" t="str">
        <f t="shared" si="7"/>
        <v>5</v>
      </c>
      <c r="H514" s="3" t="s">
        <v>481</v>
      </c>
      <c r="I514" s="8">
        <v>211892.09</v>
      </c>
      <c r="J514" s="8">
        <v>198335.59</v>
      </c>
      <c r="K514" s="8">
        <v>211892.09</v>
      </c>
    </row>
    <row r="515" spans="1:11" hidden="1" x14ac:dyDescent="0.25">
      <c r="A515" s="3" t="s">
        <v>1002</v>
      </c>
      <c r="B515" s="3">
        <v>11</v>
      </c>
      <c r="C515" s="5">
        <v>300</v>
      </c>
      <c r="D515" s="6">
        <v>0</v>
      </c>
      <c r="E515" s="7">
        <v>601000</v>
      </c>
      <c r="F515" s="3">
        <v>52120</v>
      </c>
      <c r="G515" s="3" t="str">
        <f t="shared" ref="G515:G578" si="8">LEFT(F515,1)</f>
        <v>5</v>
      </c>
      <c r="H515" s="3" t="s">
        <v>1003</v>
      </c>
      <c r="I515" s="8">
        <v>71280</v>
      </c>
      <c r="J515" s="8">
        <v>53460</v>
      </c>
      <c r="K515" s="8">
        <v>71280</v>
      </c>
    </row>
    <row r="516" spans="1:11" hidden="1" x14ac:dyDescent="0.25">
      <c r="A516" s="3" t="s">
        <v>1004</v>
      </c>
      <c r="B516" s="3">
        <v>11</v>
      </c>
      <c r="C516" s="5">
        <v>300</v>
      </c>
      <c r="D516" s="6">
        <v>0</v>
      </c>
      <c r="E516" s="7">
        <v>601000</v>
      </c>
      <c r="F516" s="3">
        <v>52300</v>
      </c>
      <c r="G516" s="3" t="str">
        <f t="shared" si="8"/>
        <v>5</v>
      </c>
      <c r="H516" s="3" t="s">
        <v>483</v>
      </c>
      <c r="I516" s="8">
        <v>0</v>
      </c>
      <c r="J516" s="8">
        <v>174.59</v>
      </c>
      <c r="K516" s="8">
        <v>0</v>
      </c>
    </row>
    <row r="517" spans="1:11" hidden="1" x14ac:dyDescent="0.25">
      <c r="A517" s="3" t="s">
        <v>1005</v>
      </c>
      <c r="B517" s="3">
        <v>11</v>
      </c>
      <c r="C517" s="5">
        <v>300</v>
      </c>
      <c r="D517" s="6">
        <v>0</v>
      </c>
      <c r="E517" s="7">
        <v>601000</v>
      </c>
      <c r="F517" s="3">
        <v>52350</v>
      </c>
      <c r="G517" s="3" t="str">
        <f t="shared" si="8"/>
        <v>5</v>
      </c>
      <c r="H517" s="3" t="s">
        <v>1006</v>
      </c>
      <c r="I517" s="8">
        <v>4000</v>
      </c>
      <c r="J517" s="8">
        <v>4054.5</v>
      </c>
      <c r="K517" s="8">
        <v>4000</v>
      </c>
    </row>
    <row r="518" spans="1:11" hidden="1" x14ac:dyDescent="0.25">
      <c r="A518" s="3" t="s">
        <v>1007</v>
      </c>
      <c r="B518" s="3">
        <v>11</v>
      </c>
      <c r="C518" s="5">
        <v>300</v>
      </c>
      <c r="D518" s="6">
        <v>0</v>
      </c>
      <c r="E518" s="7">
        <v>601000</v>
      </c>
      <c r="F518" s="3">
        <v>52360</v>
      </c>
      <c r="G518" s="3" t="str">
        <f t="shared" si="8"/>
        <v>5</v>
      </c>
      <c r="H518" s="3" t="s">
        <v>1008</v>
      </c>
      <c r="I518" s="8">
        <v>20000</v>
      </c>
      <c r="J518" s="8">
        <v>0</v>
      </c>
      <c r="K518" s="8">
        <v>20000</v>
      </c>
    </row>
    <row r="519" spans="1:11" hidden="1" x14ac:dyDescent="0.25">
      <c r="A519" s="3" t="s">
        <v>1009</v>
      </c>
      <c r="B519" s="3">
        <v>11</v>
      </c>
      <c r="C519" s="5">
        <v>300</v>
      </c>
      <c r="D519" s="6">
        <v>0</v>
      </c>
      <c r="E519" s="7">
        <v>601000</v>
      </c>
      <c r="F519" s="3">
        <v>53120</v>
      </c>
      <c r="G519" s="3" t="str">
        <f t="shared" si="8"/>
        <v>5</v>
      </c>
      <c r="H519" s="3" t="s">
        <v>485</v>
      </c>
      <c r="I519" s="8">
        <v>70200.149999999994</v>
      </c>
      <c r="J519" s="8">
        <v>39083.4</v>
      </c>
      <c r="K519" s="8">
        <v>70200.149999999994</v>
      </c>
    </row>
    <row r="520" spans="1:11" hidden="1" x14ac:dyDescent="0.25">
      <c r="A520" s="3" t="s">
        <v>1010</v>
      </c>
      <c r="B520" s="3">
        <v>11</v>
      </c>
      <c r="C520" s="5">
        <v>300</v>
      </c>
      <c r="D520" s="6">
        <v>0</v>
      </c>
      <c r="E520" s="7">
        <v>601000</v>
      </c>
      <c r="F520" s="3">
        <v>53220</v>
      </c>
      <c r="G520" s="3" t="str">
        <f t="shared" si="8"/>
        <v>5</v>
      </c>
      <c r="H520" s="3" t="s">
        <v>487</v>
      </c>
      <c r="I520" s="8">
        <v>58616.63</v>
      </c>
      <c r="J520" s="8">
        <v>52090.27</v>
      </c>
      <c r="K520" s="8">
        <v>58616.63</v>
      </c>
    </row>
    <row r="521" spans="1:11" hidden="1" x14ac:dyDescent="0.25">
      <c r="A521" s="3" t="s">
        <v>1011</v>
      </c>
      <c r="B521" s="3">
        <v>11</v>
      </c>
      <c r="C521" s="5">
        <v>300</v>
      </c>
      <c r="D521" s="6">
        <v>0</v>
      </c>
      <c r="E521" s="7">
        <v>601000</v>
      </c>
      <c r="F521" s="3">
        <v>53320</v>
      </c>
      <c r="G521" s="3" t="str">
        <f t="shared" si="8"/>
        <v>5</v>
      </c>
      <c r="H521" s="3" t="s">
        <v>489</v>
      </c>
      <c r="I521" s="8">
        <v>18796.68</v>
      </c>
      <c r="J521" s="8">
        <v>17258.939999999999</v>
      </c>
      <c r="K521" s="8">
        <v>18796.68</v>
      </c>
    </row>
    <row r="522" spans="1:11" hidden="1" x14ac:dyDescent="0.25">
      <c r="A522" s="3" t="s">
        <v>1012</v>
      </c>
      <c r="B522" s="3">
        <v>11</v>
      </c>
      <c r="C522" s="5">
        <v>300</v>
      </c>
      <c r="D522" s="6">
        <v>0</v>
      </c>
      <c r="E522" s="7">
        <v>601000</v>
      </c>
      <c r="F522" s="3">
        <v>53340</v>
      </c>
      <c r="G522" s="3" t="str">
        <f t="shared" si="8"/>
        <v>5</v>
      </c>
      <c r="H522" s="3" t="s">
        <v>491</v>
      </c>
      <c r="I522" s="8">
        <v>10698.79</v>
      </c>
      <c r="J522" s="8">
        <v>7744.1</v>
      </c>
      <c r="K522" s="8">
        <v>10698.79</v>
      </c>
    </row>
    <row r="523" spans="1:11" hidden="1" x14ac:dyDescent="0.25">
      <c r="A523" s="3" t="s">
        <v>1013</v>
      </c>
      <c r="B523" s="3">
        <v>11</v>
      </c>
      <c r="C523" s="5">
        <v>300</v>
      </c>
      <c r="D523" s="6">
        <v>0</v>
      </c>
      <c r="E523" s="7">
        <v>601000</v>
      </c>
      <c r="F523" s="3">
        <v>53420</v>
      </c>
      <c r="G523" s="3" t="str">
        <f t="shared" si="8"/>
        <v>5</v>
      </c>
      <c r="H523" s="3" t="s">
        <v>493</v>
      </c>
      <c r="I523" s="8">
        <v>123204.92</v>
      </c>
      <c r="J523" s="8">
        <v>98735.16</v>
      </c>
      <c r="K523" s="8">
        <v>123204.92</v>
      </c>
    </row>
    <row r="524" spans="1:11" hidden="1" x14ac:dyDescent="0.25">
      <c r="A524" s="3" t="s">
        <v>1014</v>
      </c>
      <c r="B524" s="3">
        <v>11</v>
      </c>
      <c r="C524" s="5">
        <v>300</v>
      </c>
      <c r="D524" s="6">
        <v>0</v>
      </c>
      <c r="E524" s="7">
        <v>601000</v>
      </c>
      <c r="F524" s="3">
        <v>53520</v>
      </c>
      <c r="G524" s="3" t="str">
        <f t="shared" si="8"/>
        <v>5</v>
      </c>
      <c r="H524" s="3" t="s">
        <v>495</v>
      </c>
      <c r="I524" s="8">
        <v>368.93</v>
      </c>
      <c r="J524" s="8">
        <v>267.83</v>
      </c>
      <c r="K524" s="8">
        <v>368.93</v>
      </c>
    </row>
    <row r="525" spans="1:11" hidden="1" x14ac:dyDescent="0.25">
      <c r="A525" s="3" t="s">
        <v>1015</v>
      </c>
      <c r="B525" s="3">
        <v>11</v>
      </c>
      <c r="C525" s="5">
        <v>300</v>
      </c>
      <c r="D525" s="6">
        <v>0</v>
      </c>
      <c r="E525" s="7">
        <v>601000</v>
      </c>
      <c r="F525" s="3">
        <v>53620</v>
      </c>
      <c r="G525" s="3" t="str">
        <f t="shared" si="8"/>
        <v>5</v>
      </c>
      <c r="H525" s="3" t="s">
        <v>497</v>
      </c>
      <c r="I525" s="8">
        <v>14026.85</v>
      </c>
      <c r="J525" s="8">
        <v>10213.6</v>
      </c>
      <c r="K525" s="8">
        <v>14026.85</v>
      </c>
    </row>
    <row r="526" spans="1:11" hidden="1" x14ac:dyDescent="0.25">
      <c r="A526" s="3" t="s">
        <v>1016</v>
      </c>
      <c r="B526" s="3">
        <v>11</v>
      </c>
      <c r="C526" s="5">
        <v>300</v>
      </c>
      <c r="D526" s="6">
        <v>0</v>
      </c>
      <c r="E526" s="7">
        <v>601000</v>
      </c>
      <c r="F526" s="3">
        <v>53920</v>
      </c>
      <c r="G526" s="3" t="str">
        <f t="shared" si="8"/>
        <v>5</v>
      </c>
      <c r="H526" s="3" t="s">
        <v>499</v>
      </c>
      <c r="I526" s="8">
        <v>2400</v>
      </c>
      <c r="J526" s="8">
        <v>3008.77</v>
      </c>
      <c r="K526" s="8">
        <v>2400</v>
      </c>
    </row>
    <row r="527" spans="1:11" hidden="1" x14ac:dyDescent="0.25">
      <c r="A527" s="3" t="s">
        <v>1017</v>
      </c>
      <c r="B527" s="3">
        <v>11</v>
      </c>
      <c r="C527" s="5">
        <v>300</v>
      </c>
      <c r="D527" s="6">
        <v>0</v>
      </c>
      <c r="E527" s="7">
        <v>601000</v>
      </c>
      <c r="F527" s="3">
        <v>54210</v>
      </c>
      <c r="G527" s="3" t="str">
        <f t="shared" si="8"/>
        <v>5</v>
      </c>
      <c r="H527" s="3" t="s">
        <v>1018</v>
      </c>
      <c r="I527" s="8">
        <v>0</v>
      </c>
      <c r="J527" s="8">
        <v>0</v>
      </c>
      <c r="K527" s="8">
        <v>0</v>
      </c>
    </row>
    <row r="528" spans="1:11" hidden="1" x14ac:dyDescent="0.25">
      <c r="A528" s="3" t="s">
        <v>1019</v>
      </c>
      <c r="B528" s="3">
        <v>11</v>
      </c>
      <c r="C528" s="5">
        <v>300</v>
      </c>
      <c r="D528" s="6">
        <v>0</v>
      </c>
      <c r="E528" s="7">
        <v>601000</v>
      </c>
      <c r="F528" s="3">
        <v>54300</v>
      </c>
      <c r="G528" s="3" t="str">
        <f t="shared" si="8"/>
        <v>5</v>
      </c>
      <c r="H528" s="3" t="s">
        <v>501</v>
      </c>
      <c r="I528" s="8">
        <v>39400</v>
      </c>
      <c r="J528" s="8">
        <v>80.12</v>
      </c>
      <c r="K528" s="8">
        <v>39400</v>
      </c>
    </row>
    <row r="529" spans="1:11" hidden="1" x14ac:dyDescent="0.25">
      <c r="A529" s="3" t="s">
        <v>1020</v>
      </c>
      <c r="B529" s="3">
        <v>11</v>
      </c>
      <c r="C529" s="5">
        <v>300</v>
      </c>
      <c r="D529" s="6">
        <v>0</v>
      </c>
      <c r="E529" s="7">
        <v>601000</v>
      </c>
      <c r="F529" s="3">
        <v>55105</v>
      </c>
      <c r="G529" s="3" t="str">
        <f t="shared" si="8"/>
        <v>5</v>
      </c>
      <c r="H529" s="3" t="s">
        <v>1021</v>
      </c>
      <c r="I529" s="8">
        <v>561260</v>
      </c>
      <c r="J529" s="8">
        <v>392882</v>
      </c>
      <c r="K529" s="8">
        <v>561260</v>
      </c>
    </row>
    <row r="530" spans="1:11" hidden="1" x14ac:dyDescent="0.25">
      <c r="A530" s="3" t="s">
        <v>1022</v>
      </c>
      <c r="B530" s="3">
        <v>11</v>
      </c>
      <c r="C530" s="5">
        <v>300</v>
      </c>
      <c r="D530" s="6">
        <v>0</v>
      </c>
      <c r="E530" s="7">
        <v>601000</v>
      </c>
      <c r="F530" s="3">
        <v>55200</v>
      </c>
      <c r="G530" s="3" t="str">
        <f t="shared" si="8"/>
        <v>5</v>
      </c>
      <c r="H530" s="3" t="s">
        <v>505</v>
      </c>
      <c r="I530" s="8">
        <v>6000</v>
      </c>
      <c r="J530" s="8">
        <v>3250</v>
      </c>
      <c r="K530" s="8">
        <v>6000</v>
      </c>
    </row>
    <row r="531" spans="1:11" hidden="1" x14ac:dyDescent="0.25">
      <c r="A531" s="3" t="s">
        <v>1023</v>
      </c>
      <c r="B531" s="3">
        <v>11</v>
      </c>
      <c r="C531" s="5">
        <v>300</v>
      </c>
      <c r="D531" s="6">
        <v>0</v>
      </c>
      <c r="E531" s="7">
        <v>601000</v>
      </c>
      <c r="F531" s="3">
        <v>55300</v>
      </c>
      <c r="G531" s="3" t="str">
        <f t="shared" si="8"/>
        <v>5</v>
      </c>
      <c r="H531" s="3" t="s">
        <v>1024</v>
      </c>
      <c r="I531" s="8">
        <v>400</v>
      </c>
      <c r="J531" s="8">
        <v>300</v>
      </c>
      <c r="K531" s="8">
        <v>400</v>
      </c>
    </row>
    <row r="532" spans="1:11" hidden="1" x14ac:dyDescent="0.25">
      <c r="A532" s="3" t="s">
        <v>1025</v>
      </c>
      <c r="B532" s="3">
        <v>11</v>
      </c>
      <c r="C532" s="5">
        <v>300</v>
      </c>
      <c r="D532" s="6">
        <v>0</v>
      </c>
      <c r="E532" s="7">
        <v>601000</v>
      </c>
      <c r="F532" s="3">
        <v>55630</v>
      </c>
      <c r="G532" s="3" t="str">
        <f t="shared" si="8"/>
        <v>5</v>
      </c>
      <c r="H532" s="3" t="s">
        <v>509</v>
      </c>
      <c r="I532" s="8">
        <v>1076</v>
      </c>
      <c r="J532" s="8">
        <v>5.4</v>
      </c>
      <c r="K532" s="8">
        <v>1076</v>
      </c>
    </row>
    <row r="533" spans="1:11" hidden="1" x14ac:dyDescent="0.25">
      <c r="A533" s="3" t="s">
        <v>1026</v>
      </c>
      <c r="B533" s="3">
        <v>11</v>
      </c>
      <c r="C533" s="5">
        <v>300</v>
      </c>
      <c r="D533" s="6">
        <v>0</v>
      </c>
      <c r="E533" s="7">
        <v>601000</v>
      </c>
      <c r="F533" s="3">
        <v>55635</v>
      </c>
      <c r="G533" s="3" t="str">
        <f t="shared" si="8"/>
        <v>5</v>
      </c>
      <c r="H533" s="3" t="s">
        <v>1027</v>
      </c>
      <c r="I533" s="8">
        <v>16450</v>
      </c>
      <c r="J533" s="8">
        <v>0</v>
      </c>
      <c r="K533" s="8">
        <v>16450</v>
      </c>
    </row>
    <row r="534" spans="1:11" hidden="1" x14ac:dyDescent="0.25">
      <c r="A534" s="3" t="s">
        <v>1028</v>
      </c>
      <c r="B534" s="3">
        <v>11</v>
      </c>
      <c r="C534" s="5">
        <v>300</v>
      </c>
      <c r="D534" s="6">
        <v>0</v>
      </c>
      <c r="E534" s="7">
        <v>601000</v>
      </c>
      <c r="F534" s="3">
        <v>55650</v>
      </c>
      <c r="G534" s="3" t="str">
        <f t="shared" si="8"/>
        <v>5</v>
      </c>
      <c r="H534" s="3" t="s">
        <v>511</v>
      </c>
      <c r="I534" s="8">
        <v>160</v>
      </c>
      <c r="J534" s="8">
        <v>0</v>
      </c>
      <c r="K534" s="8">
        <v>160</v>
      </c>
    </row>
    <row r="535" spans="1:11" hidden="1" x14ac:dyDescent="0.25">
      <c r="A535" s="3" t="s">
        <v>1029</v>
      </c>
      <c r="B535" s="3">
        <v>11</v>
      </c>
      <c r="C535" s="5">
        <v>300</v>
      </c>
      <c r="D535" s="6">
        <v>0</v>
      </c>
      <c r="E535" s="7">
        <v>612000</v>
      </c>
      <c r="F535" s="3">
        <v>56310</v>
      </c>
      <c r="G535" s="3" t="str">
        <f t="shared" si="8"/>
        <v>5</v>
      </c>
      <c r="H535" s="3" t="s">
        <v>1030</v>
      </c>
      <c r="I535" s="8">
        <v>129</v>
      </c>
      <c r="J535" s="8">
        <v>129.47999999999999</v>
      </c>
      <c r="K535" s="8">
        <v>129</v>
      </c>
    </row>
    <row r="536" spans="1:11" hidden="1" x14ac:dyDescent="0.25">
      <c r="A536" s="3" t="s">
        <v>1031</v>
      </c>
      <c r="B536" s="3">
        <v>11</v>
      </c>
      <c r="C536" s="5">
        <v>300</v>
      </c>
      <c r="D536" s="6">
        <v>0</v>
      </c>
      <c r="E536" s="7">
        <v>675020</v>
      </c>
      <c r="F536" s="3">
        <v>51200</v>
      </c>
      <c r="G536" s="3" t="str">
        <f t="shared" si="8"/>
        <v>5</v>
      </c>
      <c r="H536" s="3" t="s">
        <v>1032</v>
      </c>
      <c r="I536" s="8">
        <v>192084.4</v>
      </c>
      <c r="J536" s="8">
        <v>94175.85</v>
      </c>
      <c r="K536" s="8">
        <v>192084.4</v>
      </c>
    </row>
    <row r="537" spans="1:11" hidden="1" x14ac:dyDescent="0.25">
      <c r="A537" s="3" t="s">
        <v>1033</v>
      </c>
      <c r="B537" s="3">
        <v>11</v>
      </c>
      <c r="C537" s="5">
        <v>300</v>
      </c>
      <c r="D537" s="6">
        <v>0</v>
      </c>
      <c r="E537" s="7">
        <v>675020</v>
      </c>
      <c r="F537" s="3">
        <v>53120</v>
      </c>
      <c r="G537" s="3" t="str">
        <f t="shared" si="8"/>
        <v>5</v>
      </c>
      <c r="H537" s="3" t="s">
        <v>1034</v>
      </c>
      <c r="I537" s="8">
        <v>31021.64</v>
      </c>
      <c r="J537" s="8">
        <v>15209.41</v>
      </c>
      <c r="K537" s="8">
        <v>31021.64</v>
      </c>
    </row>
    <row r="538" spans="1:11" hidden="1" x14ac:dyDescent="0.25">
      <c r="A538" s="3" t="s">
        <v>1035</v>
      </c>
      <c r="B538" s="3">
        <v>11</v>
      </c>
      <c r="C538" s="5">
        <v>300</v>
      </c>
      <c r="D538" s="6">
        <v>0</v>
      </c>
      <c r="E538" s="7">
        <v>675020</v>
      </c>
      <c r="F538" s="3">
        <v>53340</v>
      </c>
      <c r="G538" s="3" t="str">
        <f t="shared" si="8"/>
        <v>5</v>
      </c>
      <c r="H538" s="3" t="s">
        <v>1036</v>
      </c>
      <c r="I538" s="8">
        <v>2785.22</v>
      </c>
      <c r="J538" s="8">
        <v>1358</v>
      </c>
      <c r="K538" s="8">
        <v>2785.22</v>
      </c>
    </row>
    <row r="539" spans="1:11" hidden="1" x14ac:dyDescent="0.25">
      <c r="A539" s="3" t="s">
        <v>1037</v>
      </c>
      <c r="B539" s="3">
        <v>11</v>
      </c>
      <c r="C539" s="5">
        <v>300</v>
      </c>
      <c r="D539" s="6">
        <v>0</v>
      </c>
      <c r="E539" s="7">
        <v>675020</v>
      </c>
      <c r="F539" s="3">
        <v>53420</v>
      </c>
      <c r="G539" s="3" t="str">
        <f t="shared" si="8"/>
        <v>5</v>
      </c>
      <c r="H539" s="3" t="s">
        <v>1038</v>
      </c>
      <c r="I539" s="8">
        <v>44485.38</v>
      </c>
      <c r="J539" s="8">
        <v>20608.240000000002</v>
      </c>
      <c r="K539" s="8">
        <v>44485.38</v>
      </c>
    </row>
    <row r="540" spans="1:11" hidden="1" x14ac:dyDescent="0.25">
      <c r="A540" s="3" t="s">
        <v>1039</v>
      </c>
      <c r="B540" s="3">
        <v>11</v>
      </c>
      <c r="C540" s="5">
        <v>300</v>
      </c>
      <c r="D540" s="6">
        <v>0</v>
      </c>
      <c r="E540" s="7">
        <v>675020</v>
      </c>
      <c r="F540" s="3">
        <v>53520</v>
      </c>
      <c r="G540" s="3" t="str">
        <f t="shared" si="8"/>
        <v>5</v>
      </c>
      <c r="H540" s="3" t="s">
        <v>1040</v>
      </c>
      <c r="I540" s="8">
        <v>96.04</v>
      </c>
      <c r="J540" s="8">
        <v>47.1</v>
      </c>
      <c r="K540" s="8">
        <v>96.04</v>
      </c>
    </row>
    <row r="541" spans="1:11" hidden="1" x14ac:dyDescent="0.25">
      <c r="A541" s="3" t="s">
        <v>1041</v>
      </c>
      <c r="B541" s="3">
        <v>11</v>
      </c>
      <c r="C541" s="5">
        <v>300</v>
      </c>
      <c r="D541" s="6">
        <v>0</v>
      </c>
      <c r="E541" s="7">
        <v>675020</v>
      </c>
      <c r="F541" s="3">
        <v>53620</v>
      </c>
      <c r="G541" s="3" t="str">
        <f t="shared" si="8"/>
        <v>5</v>
      </c>
      <c r="H541" s="3" t="s">
        <v>1042</v>
      </c>
      <c r="I541" s="8">
        <v>3631.93</v>
      </c>
      <c r="J541" s="8">
        <v>1780.7</v>
      </c>
      <c r="K541" s="8">
        <v>3631.93</v>
      </c>
    </row>
    <row r="542" spans="1:11" hidden="1" x14ac:dyDescent="0.25">
      <c r="A542" s="3" t="s">
        <v>1043</v>
      </c>
      <c r="B542" s="3">
        <v>11</v>
      </c>
      <c r="C542" s="5">
        <v>300</v>
      </c>
      <c r="D542" s="6">
        <v>0</v>
      </c>
      <c r="E542" s="7">
        <v>675020</v>
      </c>
      <c r="F542" s="3">
        <v>55630</v>
      </c>
      <c r="G542" s="3" t="str">
        <f t="shared" si="8"/>
        <v>5</v>
      </c>
      <c r="H542" s="3" t="s">
        <v>143</v>
      </c>
      <c r="I542" s="8">
        <v>0</v>
      </c>
      <c r="J542" s="8">
        <v>1.63</v>
      </c>
      <c r="K542" s="8">
        <v>0</v>
      </c>
    </row>
    <row r="543" spans="1:11" hidden="1" x14ac:dyDescent="0.25">
      <c r="A543" s="3" t="s">
        <v>1044</v>
      </c>
      <c r="B543" s="3">
        <v>11</v>
      </c>
      <c r="C543" s="5">
        <v>300</v>
      </c>
      <c r="D543" s="6">
        <v>4</v>
      </c>
      <c r="E543" s="7">
        <v>490000</v>
      </c>
      <c r="F543" s="3">
        <v>51311</v>
      </c>
      <c r="G543" s="3" t="str">
        <f t="shared" si="8"/>
        <v>5</v>
      </c>
      <c r="H543" s="3" t="s">
        <v>1045</v>
      </c>
      <c r="I543" s="8">
        <v>86356.26</v>
      </c>
      <c r="J543" s="8">
        <v>0</v>
      </c>
      <c r="K543" s="8">
        <v>86356.26</v>
      </c>
    </row>
    <row r="544" spans="1:11" hidden="1" x14ac:dyDescent="0.25">
      <c r="A544" s="3" t="s">
        <v>1046</v>
      </c>
      <c r="B544" s="3">
        <v>11</v>
      </c>
      <c r="C544" s="5">
        <v>300</v>
      </c>
      <c r="D544" s="6">
        <v>4</v>
      </c>
      <c r="E544" s="7">
        <v>490000</v>
      </c>
      <c r="F544" s="3">
        <v>53110</v>
      </c>
      <c r="G544" s="3" t="str">
        <f t="shared" si="8"/>
        <v>5</v>
      </c>
      <c r="H544" s="3" t="s">
        <v>1047</v>
      </c>
      <c r="I544" s="8">
        <v>13946.54</v>
      </c>
      <c r="J544" s="8">
        <v>0</v>
      </c>
      <c r="K544" s="8">
        <v>13946.54</v>
      </c>
    </row>
    <row r="545" spans="1:11" hidden="1" x14ac:dyDescent="0.25">
      <c r="A545" s="3" t="s">
        <v>1048</v>
      </c>
      <c r="B545" s="3">
        <v>11</v>
      </c>
      <c r="C545" s="5">
        <v>300</v>
      </c>
      <c r="D545" s="6">
        <v>4</v>
      </c>
      <c r="E545" s="7">
        <v>490000</v>
      </c>
      <c r="F545" s="3">
        <v>53330</v>
      </c>
      <c r="G545" s="3" t="str">
        <f t="shared" si="8"/>
        <v>5</v>
      </c>
      <c r="H545" s="3" t="s">
        <v>1049</v>
      </c>
      <c r="I545" s="8">
        <v>1252.17</v>
      </c>
      <c r="J545" s="8">
        <v>0</v>
      </c>
      <c r="K545" s="8">
        <v>1252.17</v>
      </c>
    </row>
    <row r="546" spans="1:11" hidden="1" x14ac:dyDescent="0.25">
      <c r="A546" s="3" t="s">
        <v>1050</v>
      </c>
      <c r="B546" s="3">
        <v>11</v>
      </c>
      <c r="C546" s="5">
        <v>300</v>
      </c>
      <c r="D546" s="6">
        <v>4</v>
      </c>
      <c r="E546" s="7">
        <v>490000</v>
      </c>
      <c r="F546" s="3">
        <v>53510</v>
      </c>
      <c r="G546" s="3" t="str">
        <f t="shared" si="8"/>
        <v>5</v>
      </c>
      <c r="H546" s="3" t="s">
        <v>1051</v>
      </c>
      <c r="I546" s="8">
        <v>43.18</v>
      </c>
      <c r="J546" s="8">
        <v>0</v>
      </c>
      <c r="K546" s="8">
        <v>43.18</v>
      </c>
    </row>
    <row r="547" spans="1:11" hidden="1" x14ac:dyDescent="0.25">
      <c r="A547" s="3" t="s">
        <v>1052</v>
      </c>
      <c r="B547" s="3">
        <v>11</v>
      </c>
      <c r="C547" s="5">
        <v>300</v>
      </c>
      <c r="D547" s="6">
        <v>4</v>
      </c>
      <c r="E547" s="7">
        <v>490000</v>
      </c>
      <c r="F547" s="3">
        <v>53610</v>
      </c>
      <c r="G547" s="3" t="str">
        <f t="shared" si="8"/>
        <v>5</v>
      </c>
      <c r="H547" s="3" t="s">
        <v>1053</v>
      </c>
      <c r="I547" s="8">
        <v>1632.82</v>
      </c>
      <c r="J547" s="8">
        <v>0</v>
      </c>
      <c r="K547" s="8">
        <v>1632.82</v>
      </c>
    </row>
    <row r="548" spans="1:11" hidden="1" x14ac:dyDescent="0.25">
      <c r="A548" s="3" t="s">
        <v>1054</v>
      </c>
      <c r="B548" s="3">
        <v>11</v>
      </c>
      <c r="C548" s="5">
        <v>300</v>
      </c>
      <c r="D548" s="6">
        <v>4</v>
      </c>
      <c r="E548" s="7">
        <v>601000</v>
      </c>
      <c r="F548" s="3">
        <v>55650</v>
      </c>
      <c r="G548" s="3" t="str">
        <f t="shared" si="8"/>
        <v>5</v>
      </c>
      <c r="H548" s="3" t="s">
        <v>511</v>
      </c>
      <c r="I548" s="8">
        <v>23000</v>
      </c>
      <c r="J548" s="8">
        <v>0</v>
      </c>
      <c r="K548" s="8">
        <v>23000</v>
      </c>
    </row>
    <row r="549" spans="1:11" hidden="1" x14ac:dyDescent="0.25">
      <c r="A549" s="3" t="s">
        <v>1055</v>
      </c>
      <c r="B549" s="3">
        <v>11</v>
      </c>
      <c r="C549" s="5">
        <v>301</v>
      </c>
      <c r="D549" s="6">
        <v>0</v>
      </c>
      <c r="E549" s="7">
        <v>601000</v>
      </c>
      <c r="F549" s="3">
        <v>51210</v>
      </c>
      <c r="G549" s="3" t="str">
        <f t="shared" si="8"/>
        <v>5</v>
      </c>
      <c r="H549" s="3" t="s">
        <v>477</v>
      </c>
      <c r="I549" s="8">
        <v>131204</v>
      </c>
      <c r="J549" s="8">
        <v>98403.03</v>
      </c>
      <c r="K549" s="8">
        <v>131204</v>
      </c>
    </row>
    <row r="550" spans="1:11" hidden="1" x14ac:dyDescent="0.25">
      <c r="A550" s="3" t="s">
        <v>1056</v>
      </c>
      <c r="B550" s="3">
        <v>11</v>
      </c>
      <c r="C550" s="5">
        <v>301</v>
      </c>
      <c r="D550" s="6">
        <v>0</v>
      </c>
      <c r="E550" s="7">
        <v>601000</v>
      </c>
      <c r="F550" s="3">
        <v>51412</v>
      </c>
      <c r="G550" s="3" t="str">
        <f t="shared" si="8"/>
        <v>5</v>
      </c>
      <c r="H550" s="3" t="s">
        <v>479</v>
      </c>
      <c r="I550" s="8">
        <v>12000</v>
      </c>
      <c r="J550" s="8">
        <v>0</v>
      </c>
      <c r="K550" s="8">
        <v>12000</v>
      </c>
    </row>
    <row r="551" spans="1:11" hidden="1" x14ac:dyDescent="0.25">
      <c r="A551" s="3" t="s">
        <v>1057</v>
      </c>
      <c r="B551" s="3">
        <v>11</v>
      </c>
      <c r="C551" s="5">
        <v>301</v>
      </c>
      <c r="D551" s="6">
        <v>0</v>
      </c>
      <c r="E551" s="7">
        <v>601000</v>
      </c>
      <c r="F551" s="3">
        <v>52105</v>
      </c>
      <c r="G551" s="3" t="str">
        <f t="shared" si="8"/>
        <v>5</v>
      </c>
      <c r="H551" s="3" t="s">
        <v>481</v>
      </c>
      <c r="I551" s="8">
        <v>61049.279999999999</v>
      </c>
      <c r="J551" s="8">
        <v>47843.94</v>
      </c>
      <c r="K551" s="8">
        <v>61049.279999999999</v>
      </c>
    </row>
    <row r="552" spans="1:11" hidden="1" x14ac:dyDescent="0.25">
      <c r="A552" s="3" t="s">
        <v>1058</v>
      </c>
      <c r="B552" s="3">
        <v>11</v>
      </c>
      <c r="C552" s="5">
        <v>301</v>
      </c>
      <c r="D552" s="6">
        <v>0</v>
      </c>
      <c r="E552" s="7">
        <v>601000</v>
      </c>
      <c r="F552" s="3">
        <v>52300</v>
      </c>
      <c r="G552" s="3" t="str">
        <f t="shared" si="8"/>
        <v>5</v>
      </c>
      <c r="H552" s="3" t="s">
        <v>483</v>
      </c>
      <c r="I552" s="8">
        <v>395</v>
      </c>
      <c r="J552" s="8">
        <v>0</v>
      </c>
      <c r="K552" s="8">
        <v>395</v>
      </c>
    </row>
    <row r="553" spans="1:11" hidden="1" x14ac:dyDescent="0.25">
      <c r="A553" s="3" t="s">
        <v>1059</v>
      </c>
      <c r="B553" s="3">
        <v>11</v>
      </c>
      <c r="C553" s="5">
        <v>301</v>
      </c>
      <c r="D553" s="6">
        <v>0</v>
      </c>
      <c r="E553" s="7">
        <v>601000</v>
      </c>
      <c r="F553" s="3">
        <v>52360</v>
      </c>
      <c r="G553" s="3" t="str">
        <f t="shared" si="8"/>
        <v>5</v>
      </c>
      <c r="H553" s="3" t="s">
        <v>1008</v>
      </c>
      <c r="I553" s="8">
        <v>0</v>
      </c>
      <c r="J553" s="8">
        <v>8044.86</v>
      </c>
      <c r="K553" s="8">
        <v>0</v>
      </c>
    </row>
    <row r="554" spans="1:11" hidden="1" x14ac:dyDescent="0.25">
      <c r="A554" s="3" t="s">
        <v>1060</v>
      </c>
      <c r="B554" s="3">
        <v>11</v>
      </c>
      <c r="C554" s="5">
        <v>301</v>
      </c>
      <c r="D554" s="6">
        <v>0</v>
      </c>
      <c r="E554" s="7">
        <v>601000</v>
      </c>
      <c r="F554" s="3">
        <v>53120</v>
      </c>
      <c r="G554" s="3" t="str">
        <f t="shared" si="8"/>
        <v>5</v>
      </c>
      <c r="H554" s="3" t="s">
        <v>485</v>
      </c>
      <c r="I554" s="8">
        <v>23127.45</v>
      </c>
      <c r="J554" s="8">
        <v>0</v>
      </c>
      <c r="K554" s="8">
        <v>23127.45</v>
      </c>
    </row>
    <row r="555" spans="1:11" hidden="1" x14ac:dyDescent="0.25">
      <c r="A555" s="3" t="s">
        <v>1061</v>
      </c>
      <c r="B555" s="3">
        <v>11</v>
      </c>
      <c r="C555" s="5">
        <v>301</v>
      </c>
      <c r="D555" s="6">
        <v>0</v>
      </c>
      <c r="E555" s="7">
        <v>601000</v>
      </c>
      <c r="F555" s="3">
        <v>53220</v>
      </c>
      <c r="G555" s="3" t="str">
        <f t="shared" si="8"/>
        <v>5</v>
      </c>
      <c r="H555" s="3" t="s">
        <v>487</v>
      </c>
      <c r="I555" s="8">
        <v>12637.2</v>
      </c>
      <c r="J555" s="8">
        <v>31899.58</v>
      </c>
      <c r="K555" s="8">
        <v>12637.2</v>
      </c>
    </row>
    <row r="556" spans="1:11" hidden="1" x14ac:dyDescent="0.25">
      <c r="A556" s="3" t="s">
        <v>1062</v>
      </c>
      <c r="B556" s="3">
        <v>11</v>
      </c>
      <c r="C556" s="5">
        <v>301</v>
      </c>
      <c r="D556" s="6">
        <v>0</v>
      </c>
      <c r="E556" s="7">
        <v>601000</v>
      </c>
      <c r="F556" s="3">
        <v>53320</v>
      </c>
      <c r="G556" s="3" t="str">
        <f t="shared" si="8"/>
        <v>5</v>
      </c>
      <c r="H556" s="3" t="s">
        <v>489</v>
      </c>
      <c r="I556" s="8">
        <v>3809.55</v>
      </c>
      <c r="J556" s="8">
        <v>9505.7199999999993</v>
      </c>
      <c r="K556" s="8">
        <v>3809.55</v>
      </c>
    </row>
    <row r="557" spans="1:11" hidden="1" x14ac:dyDescent="0.25">
      <c r="A557" s="3" t="s">
        <v>1063</v>
      </c>
      <c r="B557" s="3">
        <v>11</v>
      </c>
      <c r="C557" s="5">
        <v>301</v>
      </c>
      <c r="D557" s="6">
        <v>0</v>
      </c>
      <c r="E557" s="7">
        <v>601000</v>
      </c>
      <c r="F557" s="3">
        <v>53340</v>
      </c>
      <c r="G557" s="3" t="str">
        <f t="shared" si="8"/>
        <v>5</v>
      </c>
      <c r="H557" s="3" t="s">
        <v>491</v>
      </c>
      <c r="I557" s="8">
        <v>2967.4</v>
      </c>
      <c r="J557" s="8">
        <v>2223.11</v>
      </c>
      <c r="K557" s="8">
        <v>2967.4</v>
      </c>
    </row>
    <row r="558" spans="1:11" hidden="1" x14ac:dyDescent="0.25">
      <c r="A558" s="3" t="s">
        <v>1064</v>
      </c>
      <c r="B558" s="3">
        <v>11</v>
      </c>
      <c r="C558" s="5">
        <v>301</v>
      </c>
      <c r="D558" s="6">
        <v>0</v>
      </c>
      <c r="E558" s="7">
        <v>601000</v>
      </c>
      <c r="F558" s="3">
        <v>53420</v>
      </c>
      <c r="G558" s="3" t="str">
        <f t="shared" si="8"/>
        <v>5</v>
      </c>
      <c r="H558" s="3" t="s">
        <v>493</v>
      </c>
      <c r="I558" s="8">
        <v>57176.67</v>
      </c>
      <c r="J558" s="8">
        <v>41165.68</v>
      </c>
      <c r="K558" s="8">
        <v>57176.67</v>
      </c>
    </row>
    <row r="559" spans="1:11" hidden="1" x14ac:dyDescent="0.25">
      <c r="A559" s="3" t="s">
        <v>1065</v>
      </c>
      <c r="B559" s="3">
        <v>11</v>
      </c>
      <c r="C559" s="5">
        <v>301</v>
      </c>
      <c r="D559" s="6">
        <v>0</v>
      </c>
      <c r="E559" s="7">
        <v>601000</v>
      </c>
      <c r="F559" s="3">
        <v>53520</v>
      </c>
      <c r="G559" s="3" t="str">
        <f t="shared" si="8"/>
        <v>5</v>
      </c>
      <c r="H559" s="3" t="s">
        <v>495</v>
      </c>
      <c r="I559" s="8">
        <v>102.32</v>
      </c>
      <c r="J559" s="8">
        <v>77.099999999999994</v>
      </c>
      <c r="K559" s="8">
        <v>102.32</v>
      </c>
    </row>
    <row r="560" spans="1:11" hidden="1" x14ac:dyDescent="0.25">
      <c r="A560" s="3" t="s">
        <v>1066</v>
      </c>
      <c r="B560" s="3">
        <v>11</v>
      </c>
      <c r="C560" s="5">
        <v>301</v>
      </c>
      <c r="D560" s="6">
        <v>0</v>
      </c>
      <c r="E560" s="7">
        <v>601000</v>
      </c>
      <c r="F560" s="3">
        <v>53620</v>
      </c>
      <c r="G560" s="3" t="str">
        <f t="shared" si="8"/>
        <v>5</v>
      </c>
      <c r="H560" s="3" t="s">
        <v>497</v>
      </c>
      <c r="I560" s="8">
        <v>3869.5</v>
      </c>
      <c r="J560" s="8">
        <v>2919.74</v>
      </c>
      <c r="K560" s="8">
        <v>3869.5</v>
      </c>
    </row>
    <row r="561" spans="1:11" hidden="1" x14ac:dyDescent="0.25">
      <c r="A561" s="3" t="s">
        <v>1067</v>
      </c>
      <c r="B561" s="3">
        <v>11</v>
      </c>
      <c r="C561" s="5">
        <v>301</v>
      </c>
      <c r="D561" s="6">
        <v>0</v>
      </c>
      <c r="E561" s="7">
        <v>601000</v>
      </c>
      <c r="F561" s="3">
        <v>53920</v>
      </c>
      <c r="G561" s="3" t="str">
        <f t="shared" si="8"/>
        <v>5</v>
      </c>
      <c r="H561" s="3" t="s">
        <v>499</v>
      </c>
      <c r="I561" s="8">
        <v>0</v>
      </c>
      <c r="J561" s="8">
        <v>1600</v>
      </c>
      <c r="K561" s="8">
        <v>0</v>
      </c>
    </row>
    <row r="562" spans="1:11" hidden="1" x14ac:dyDescent="0.25">
      <c r="A562" s="3" t="s">
        <v>1068</v>
      </c>
      <c r="B562" s="3">
        <v>11</v>
      </c>
      <c r="C562" s="5">
        <v>301</v>
      </c>
      <c r="D562" s="6">
        <v>0</v>
      </c>
      <c r="E562" s="7">
        <v>601000</v>
      </c>
      <c r="F562" s="3">
        <v>54300</v>
      </c>
      <c r="G562" s="3" t="str">
        <f t="shared" si="8"/>
        <v>5</v>
      </c>
      <c r="H562" s="3" t="s">
        <v>501</v>
      </c>
      <c r="I562" s="8">
        <v>403</v>
      </c>
      <c r="J562" s="8">
        <v>60.08</v>
      </c>
      <c r="K562" s="8">
        <v>403</v>
      </c>
    </row>
    <row r="563" spans="1:11" hidden="1" x14ac:dyDescent="0.25">
      <c r="A563" s="3" t="s">
        <v>1069</v>
      </c>
      <c r="B563" s="3">
        <v>11</v>
      </c>
      <c r="C563" s="5">
        <v>301</v>
      </c>
      <c r="D563" s="6">
        <v>0</v>
      </c>
      <c r="E563" s="7">
        <v>601000</v>
      </c>
      <c r="F563" s="3">
        <v>55200</v>
      </c>
      <c r="G563" s="3" t="str">
        <f t="shared" si="8"/>
        <v>5</v>
      </c>
      <c r="H563" s="3" t="s">
        <v>505</v>
      </c>
      <c r="I563" s="8">
        <v>500</v>
      </c>
      <c r="J563" s="8">
        <v>950</v>
      </c>
      <c r="K563" s="8">
        <v>500</v>
      </c>
    </row>
    <row r="564" spans="1:11" hidden="1" x14ac:dyDescent="0.25">
      <c r="A564" s="3" t="s">
        <v>1070</v>
      </c>
      <c r="B564" s="3">
        <v>11</v>
      </c>
      <c r="C564" s="5">
        <v>301</v>
      </c>
      <c r="D564" s="6">
        <v>0</v>
      </c>
      <c r="E564" s="7">
        <v>601000</v>
      </c>
      <c r="F564" s="3">
        <v>55630</v>
      </c>
      <c r="G564" s="3" t="str">
        <f t="shared" si="8"/>
        <v>5</v>
      </c>
      <c r="H564" s="3" t="s">
        <v>509</v>
      </c>
      <c r="I564" s="8">
        <v>1400</v>
      </c>
      <c r="J564" s="8">
        <v>30.84</v>
      </c>
      <c r="K564" s="8">
        <v>1400</v>
      </c>
    </row>
    <row r="565" spans="1:11" hidden="1" x14ac:dyDescent="0.25">
      <c r="A565" s="3" t="s">
        <v>1071</v>
      </c>
      <c r="B565" s="3">
        <v>11</v>
      </c>
      <c r="C565" s="5">
        <v>304</v>
      </c>
      <c r="D565" s="6">
        <v>0</v>
      </c>
      <c r="E565" s="7">
        <v>601000</v>
      </c>
      <c r="F565" s="3">
        <v>51210</v>
      </c>
      <c r="G565" s="3" t="str">
        <f t="shared" si="8"/>
        <v>5</v>
      </c>
      <c r="H565" s="3" t="s">
        <v>477</v>
      </c>
      <c r="I565" s="8">
        <v>147407</v>
      </c>
      <c r="J565" s="8">
        <v>117508.33</v>
      </c>
      <c r="K565" s="8">
        <v>147407</v>
      </c>
    </row>
    <row r="566" spans="1:11" hidden="1" x14ac:dyDescent="0.25">
      <c r="A566" s="3" t="s">
        <v>1072</v>
      </c>
      <c r="B566" s="3">
        <v>11</v>
      </c>
      <c r="C566" s="5">
        <v>304</v>
      </c>
      <c r="D566" s="6">
        <v>0</v>
      </c>
      <c r="E566" s="7">
        <v>601000</v>
      </c>
      <c r="F566" s="3">
        <v>52105</v>
      </c>
      <c r="G566" s="3" t="str">
        <f t="shared" si="8"/>
        <v>5</v>
      </c>
      <c r="H566" s="3" t="s">
        <v>481</v>
      </c>
      <c r="I566" s="8">
        <v>59036.28</v>
      </c>
      <c r="J566" s="8">
        <v>45443.37</v>
      </c>
      <c r="K566" s="8">
        <v>59036.28</v>
      </c>
    </row>
    <row r="567" spans="1:11" hidden="1" x14ac:dyDescent="0.25">
      <c r="A567" s="3" t="s">
        <v>1073</v>
      </c>
      <c r="B567" s="3">
        <v>11</v>
      </c>
      <c r="C567" s="5">
        <v>304</v>
      </c>
      <c r="D567" s="6">
        <v>0</v>
      </c>
      <c r="E567" s="7">
        <v>601000</v>
      </c>
      <c r="F567" s="3">
        <v>53120</v>
      </c>
      <c r="G567" s="3" t="str">
        <f t="shared" si="8"/>
        <v>5</v>
      </c>
      <c r="H567" s="3" t="s">
        <v>485</v>
      </c>
      <c r="I567" s="8">
        <v>23806.23</v>
      </c>
      <c r="J567" s="8">
        <v>18382.419999999998</v>
      </c>
      <c r="K567" s="8">
        <v>23806.23</v>
      </c>
    </row>
    <row r="568" spans="1:11" hidden="1" x14ac:dyDescent="0.25">
      <c r="A568" s="3" t="s">
        <v>1074</v>
      </c>
      <c r="B568" s="3">
        <v>11</v>
      </c>
      <c r="C568" s="5">
        <v>304</v>
      </c>
      <c r="D568" s="6">
        <v>0</v>
      </c>
      <c r="E568" s="7">
        <v>601000</v>
      </c>
      <c r="F568" s="3">
        <v>53220</v>
      </c>
      <c r="G568" s="3" t="str">
        <f t="shared" si="8"/>
        <v>5</v>
      </c>
      <c r="H568" s="3" t="s">
        <v>487</v>
      </c>
      <c r="I568" s="8">
        <v>12220.51</v>
      </c>
      <c r="J568" s="8">
        <v>9406.1</v>
      </c>
      <c r="K568" s="8">
        <v>12220.51</v>
      </c>
    </row>
    <row r="569" spans="1:11" hidden="1" x14ac:dyDescent="0.25">
      <c r="A569" s="3" t="s">
        <v>1075</v>
      </c>
      <c r="B569" s="3">
        <v>11</v>
      </c>
      <c r="C569" s="5">
        <v>304</v>
      </c>
      <c r="D569" s="6">
        <v>0</v>
      </c>
      <c r="E569" s="7">
        <v>601000</v>
      </c>
      <c r="F569" s="3">
        <v>53320</v>
      </c>
      <c r="G569" s="3" t="str">
        <f t="shared" si="8"/>
        <v>5</v>
      </c>
      <c r="H569" s="3" t="s">
        <v>489</v>
      </c>
      <c r="I569" s="8">
        <v>3660.25</v>
      </c>
      <c r="J569" s="8">
        <v>2820.86</v>
      </c>
      <c r="K569" s="8">
        <v>3660.25</v>
      </c>
    </row>
    <row r="570" spans="1:11" hidden="1" x14ac:dyDescent="0.25">
      <c r="A570" s="3" t="s">
        <v>1076</v>
      </c>
      <c r="B570" s="3">
        <v>11</v>
      </c>
      <c r="C570" s="5">
        <v>304</v>
      </c>
      <c r="D570" s="6">
        <v>0</v>
      </c>
      <c r="E570" s="7">
        <v>601000</v>
      </c>
      <c r="F570" s="3">
        <v>53340</v>
      </c>
      <c r="G570" s="3" t="str">
        <f t="shared" si="8"/>
        <v>5</v>
      </c>
      <c r="H570" s="3" t="s">
        <v>491</v>
      </c>
      <c r="I570" s="8">
        <v>2993.43</v>
      </c>
      <c r="J570" s="8">
        <v>2363.7399999999998</v>
      </c>
      <c r="K570" s="8">
        <v>2993.43</v>
      </c>
    </row>
    <row r="571" spans="1:11" hidden="1" x14ac:dyDescent="0.25">
      <c r="A571" s="3" t="s">
        <v>1077</v>
      </c>
      <c r="B571" s="3">
        <v>11</v>
      </c>
      <c r="C571" s="5">
        <v>304</v>
      </c>
      <c r="D571" s="6">
        <v>0</v>
      </c>
      <c r="E571" s="7">
        <v>601000</v>
      </c>
      <c r="F571" s="3">
        <v>53420</v>
      </c>
      <c r="G571" s="3" t="str">
        <f t="shared" si="8"/>
        <v>5</v>
      </c>
      <c r="H571" s="3" t="s">
        <v>493</v>
      </c>
      <c r="I571" s="8">
        <v>36248.22</v>
      </c>
      <c r="J571" s="8">
        <v>14809.78</v>
      </c>
      <c r="K571" s="8">
        <v>36248.22</v>
      </c>
    </row>
    <row r="572" spans="1:11" hidden="1" x14ac:dyDescent="0.25">
      <c r="A572" s="3" t="s">
        <v>1078</v>
      </c>
      <c r="B572" s="3">
        <v>11</v>
      </c>
      <c r="C572" s="5">
        <v>304</v>
      </c>
      <c r="D572" s="6">
        <v>0</v>
      </c>
      <c r="E572" s="7">
        <v>601000</v>
      </c>
      <c r="F572" s="3">
        <v>53520</v>
      </c>
      <c r="G572" s="3" t="str">
        <f t="shared" si="8"/>
        <v>5</v>
      </c>
      <c r="H572" s="3" t="s">
        <v>495</v>
      </c>
      <c r="I572" s="8">
        <v>103.22</v>
      </c>
      <c r="J572" s="8">
        <v>81.47</v>
      </c>
      <c r="K572" s="8">
        <v>103.22</v>
      </c>
    </row>
    <row r="573" spans="1:11" hidden="1" x14ac:dyDescent="0.25">
      <c r="A573" s="3" t="s">
        <v>1079</v>
      </c>
      <c r="B573" s="3">
        <v>11</v>
      </c>
      <c r="C573" s="5">
        <v>304</v>
      </c>
      <c r="D573" s="6">
        <v>0</v>
      </c>
      <c r="E573" s="7">
        <v>601000</v>
      </c>
      <c r="F573" s="3">
        <v>53620</v>
      </c>
      <c r="G573" s="3" t="str">
        <f t="shared" si="8"/>
        <v>5</v>
      </c>
      <c r="H573" s="3" t="s">
        <v>497</v>
      </c>
      <c r="I573" s="8">
        <v>3903.43</v>
      </c>
      <c r="J573" s="8">
        <v>3083.32</v>
      </c>
      <c r="K573" s="8">
        <v>3903.43</v>
      </c>
    </row>
    <row r="574" spans="1:11" hidden="1" x14ac:dyDescent="0.25">
      <c r="A574" s="3" t="s">
        <v>1080</v>
      </c>
      <c r="B574" s="3">
        <v>11</v>
      </c>
      <c r="C574" s="5">
        <v>304</v>
      </c>
      <c r="D574" s="6">
        <v>0</v>
      </c>
      <c r="E574" s="7">
        <v>601000</v>
      </c>
      <c r="F574" s="3">
        <v>53920</v>
      </c>
      <c r="G574" s="3" t="str">
        <f t="shared" si="8"/>
        <v>5</v>
      </c>
      <c r="H574" s="3" t="s">
        <v>499</v>
      </c>
      <c r="I574" s="8">
        <v>2400</v>
      </c>
      <c r="J574" s="8">
        <v>1927.26</v>
      </c>
      <c r="K574" s="8">
        <v>2400</v>
      </c>
    </row>
    <row r="575" spans="1:11" hidden="1" x14ac:dyDescent="0.25">
      <c r="A575" s="3" t="s">
        <v>1081</v>
      </c>
      <c r="B575" s="3">
        <v>11</v>
      </c>
      <c r="C575" s="5">
        <v>304</v>
      </c>
      <c r="D575" s="6">
        <v>0</v>
      </c>
      <c r="E575" s="7">
        <v>601000</v>
      </c>
      <c r="F575" s="3">
        <v>54300</v>
      </c>
      <c r="G575" s="3" t="str">
        <f t="shared" si="8"/>
        <v>5</v>
      </c>
      <c r="H575" s="3" t="s">
        <v>501</v>
      </c>
      <c r="I575" s="8">
        <v>3204</v>
      </c>
      <c r="J575" s="8">
        <v>100.65</v>
      </c>
      <c r="K575" s="8">
        <v>3204</v>
      </c>
    </row>
    <row r="576" spans="1:11" hidden="1" x14ac:dyDescent="0.25">
      <c r="A576" s="3" t="s">
        <v>1082</v>
      </c>
      <c r="B576" s="3">
        <v>11</v>
      </c>
      <c r="C576" s="5">
        <v>304</v>
      </c>
      <c r="D576" s="6">
        <v>0</v>
      </c>
      <c r="E576" s="7">
        <v>601000</v>
      </c>
      <c r="F576" s="3">
        <v>55200</v>
      </c>
      <c r="G576" s="3" t="str">
        <f t="shared" si="8"/>
        <v>5</v>
      </c>
      <c r="H576" s="3" t="s">
        <v>505</v>
      </c>
      <c r="I576" s="8">
        <v>651</v>
      </c>
      <c r="J576" s="8">
        <v>0</v>
      </c>
      <c r="K576" s="8">
        <v>651</v>
      </c>
    </row>
    <row r="577" spans="1:11" hidden="1" x14ac:dyDescent="0.25">
      <c r="A577" s="3" t="s">
        <v>1083</v>
      </c>
      <c r="B577" s="3">
        <v>11</v>
      </c>
      <c r="C577" s="5">
        <v>304</v>
      </c>
      <c r="D577" s="6">
        <v>0</v>
      </c>
      <c r="E577" s="7">
        <v>601000</v>
      </c>
      <c r="F577" s="3">
        <v>55630</v>
      </c>
      <c r="G577" s="3" t="str">
        <f t="shared" si="8"/>
        <v>5</v>
      </c>
      <c r="H577" s="3" t="s">
        <v>509</v>
      </c>
      <c r="I577" s="8">
        <v>279</v>
      </c>
      <c r="J577" s="8">
        <v>0</v>
      </c>
      <c r="K577" s="8">
        <v>279</v>
      </c>
    </row>
    <row r="578" spans="1:11" hidden="1" x14ac:dyDescent="0.25">
      <c r="A578" s="3" t="s">
        <v>1084</v>
      </c>
      <c r="B578" s="3">
        <v>11</v>
      </c>
      <c r="C578" s="5">
        <v>304</v>
      </c>
      <c r="D578" s="6">
        <v>0</v>
      </c>
      <c r="E578" s="7">
        <v>601000</v>
      </c>
      <c r="F578" s="3">
        <v>55650</v>
      </c>
      <c r="G578" s="3" t="str">
        <f t="shared" si="8"/>
        <v>5</v>
      </c>
      <c r="H578" s="3" t="s">
        <v>511</v>
      </c>
      <c r="I578" s="8">
        <v>3000</v>
      </c>
      <c r="J578" s="8">
        <v>684.15</v>
      </c>
      <c r="K578" s="8">
        <v>3000</v>
      </c>
    </row>
    <row r="579" spans="1:11" hidden="1" x14ac:dyDescent="0.25">
      <c r="A579" s="3" t="s">
        <v>1085</v>
      </c>
      <c r="B579" s="3">
        <v>11</v>
      </c>
      <c r="C579" s="5">
        <v>304</v>
      </c>
      <c r="D579" s="6">
        <v>0</v>
      </c>
      <c r="E579" s="7">
        <v>682100</v>
      </c>
      <c r="F579" s="3">
        <v>53320</v>
      </c>
      <c r="G579" s="3" t="str">
        <f t="shared" ref="G579:G642" si="9">LEFT(F579,1)</f>
        <v>5</v>
      </c>
      <c r="H579" s="3" t="s">
        <v>1086</v>
      </c>
      <c r="I579" s="8">
        <v>0</v>
      </c>
      <c r="J579" s="8">
        <v>1</v>
      </c>
      <c r="K579" s="8">
        <v>0</v>
      </c>
    </row>
    <row r="580" spans="1:11" hidden="1" x14ac:dyDescent="0.25">
      <c r="A580" s="3" t="s">
        <v>1087</v>
      </c>
      <c r="B580" s="3">
        <v>11</v>
      </c>
      <c r="C580" s="5">
        <v>304</v>
      </c>
      <c r="D580" s="6">
        <v>0</v>
      </c>
      <c r="E580" s="7">
        <v>682100</v>
      </c>
      <c r="F580" s="3">
        <v>53340</v>
      </c>
      <c r="G580" s="3" t="str">
        <f t="shared" si="9"/>
        <v>5</v>
      </c>
      <c r="H580" s="3" t="s">
        <v>1088</v>
      </c>
      <c r="I580" s="8">
        <v>0</v>
      </c>
      <c r="J580" s="8">
        <v>0.23</v>
      </c>
      <c r="K580" s="8">
        <v>0</v>
      </c>
    </row>
    <row r="581" spans="1:11" hidden="1" x14ac:dyDescent="0.25">
      <c r="A581" s="3" t="s">
        <v>1089</v>
      </c>
      <c r="B581" s="3">
        <v>11</v>
      </c>
      <c r="C581" s="5">
        <v>304</v>
      </c>
      <c r="D581" s="6">
        <v>0</v>
      </c>
      <c r="E581" s="7">
        <v>682100</v>
      </c>
      <c r="F581" s="3">
        <v>53420</v>
      </c>
      <c r="G581" s="3" t="str">
        <f t="shared" si="9"/>
        <v>5</v>
      </c>
      <c r="H581" s="3" t="s">
        <v>1090</v>
      </c>
      <c r="I581" s="8">
        <v>0</v>
      </c>
      <c r="J581" s="8">
        <v>-2038</v>
      </c>
      <c r="K581" s="8">
        <v>0</v>
      </c>
    </row>
    <row r="582" spans="1:11" hidden="1" x14ac:dyDescent="0.25">
      <c r="A582" s="3" t="s">
        <v>1091</v>
      </c>
      <c r="B582" s="3">
        <v>11</v>
      </c>
      <c r="C582" s="5">
        <v>304</v>
      </c>
      <c r="D582" s="6">
        <v>0</v>
      </c>
      <c r="E582" s="7">
        <v>682100</v>
      </c>
      <c r="F582" s="3">
        <v>54300</v>
      </c>
      <c r="G582" s="3" t="str">
        <f t="shared" si="9"/>
        <v>5</v>
      </c>
      <c r="H582" s="3" t="s">
        <v>1092</v>
      </c>
      <c r="I582" s="8">
        <v>282</v>
      </c>
      <c r="J582" s="8">
        <v>0</v>
      </c>
      <c r="K582" s="8">
        <v>282</v>
      </c>
    </row>
    <row r="583" spans="1:11" hidden="1" x14ac:dyDescent="0.25">
      <c r="A583" s="3" t="s">
        <v>1093</v>
      </c>
      <c r="B583" s="3">
        <v>11</v>
      </c>
      <c r="C583" s="5">
        <v>304</v>
      </c>
      <c r="D583" s="6">
        <v>0</v>
      </c>
      <c r="E583" s="7">
        <v>682100</v>
      </c>
      <c r="F583" s="3">
        <v>55630</v>
      </c>
      <c r="G583" s="3" t="str">
        <f t="shared" si="9"/>
        <v>5</v>
      </c>
      <c r="H583" s="3" t="s">
        <v>1094</v>
      </c>
      <c r="I583" s="8">
        <v>93</v>
      </c>
      <c r="J583" s="8">
        <v>0</v>
      </c>
      <c r="K583" s="8">
        <v>93</v>
      </c>
    </row>
    <row r="584" spans="1:11" hidden="1" x14ac:dyDescent="0.25">
      <c r="A584" s="3" t="s">
        <v>1095</v>
      </c>
      <c r="B584" s="3">
        <v>11</v>
      </c>
      <c r="C584" s="5">
        <v>304</v>
      </c>
      <c r="D584" s="6">
        <v>0</v>
      </c>
      <c r="E584" s="7">
        <v>703800</v>
      </c>
      <c r="F584" s="3">
        <v>52105</v>
      </c>
      <c r="G584" s="3" t="str">
        <f t="shared" si="9"/>
        <v>5</v>
      </c>
      <c r="H584" s="3" t="s">
        <v>1096</v>
      </c>
      <c r="I584" s="8">
        <v>0</v>
      </c>
      <c r="J584" s="8">
        <v>1832</v>
      </c>
      <c r="K584" s="8">
        <v>0</v>
      </c>
    </row>
    <row r="585" spans="1:11" hidden="1" x14ac:dyDescent="0.25">
      <c r="A585" s="3" t="s">
        <v>1097</v>
      </c>
      <c r="B585" s="3">
        <v>11</v>
      </c>
      <c r="C585" s="5">
        <v>304</v>
      </c>
      <c r="D585" s="6">
        <v>0</v>
      </c>
      <c r="E585" s="7">
        <v>703800</v>
      </c>
      <c r="F585" s="3">
        <v>52130</v>
      </c>
      <c r="G585" s="3" t="str">
        <f t="shared" si="9"/>
        <v>5</v>
      </c>
      <c r="H585" s="3" t="s">
        <v>1098</v>
      </c>
      <c r="I585" s="8">
        <v>90385.600000000006</v>
      </c>
      <c r="J585" s="8">
        <v>20732.05</v>
      </c>
      <c r="K585" s="8">
        <v>90385.600000000006</v>
      </c>
    </row>
    <row r="586" spans="1:11" hidden="1" x14ac:dyDescent="0.25">
      <c r="A586" s="3" t="s">
        <v>1099</v>
      </c>
      <c r="B586" s="3">
        <v>11</v>
      </c>
      <c r="C586" s="5">
        <v>304</v>
      </c>
      <c r="D586" s="6">
        <v>0</v>
      </c>
      <c r="E586" s="7">
        <v>703800</v>
      </c>
      <c r="F586" s="3">
        <v>52350</v>
      </c>
      <c r="G586" s="3" t="str">
        <f t="shared" si="9"/>
        <v>5</v>
      </c>
      <c r="H586" s="3" t="s">
        <v>1100</v>
      </c>
      <c r="I586" s="8">
        <v>0</v>
      </c>
      <c r="J586" s="8">
        <v>1859.34</v>
      </c>
      <c r="K586" s="8">
        <v>0</v>
      </c>
    </row>
    <row r="587" spans="1:11" hidden="1" x14ac:dyDescent="0.25">
      <c r="A587" s="3" t="s">
        <v>1101</v>
      </c>
      <c r="B587" s="3">
        <v>11</v>
      </c>
      <c r="C587" s="5">
        <v>304</v>
      </c>
      <c r="D587" s="6">
        <v>0</v>
      </c>
      <c r="E587" s="7">
        <v>703800</v>
      </c>
      <c r="F587" s="3">
        <v>52360</v>
      </c>
      <c r="G587" s="3" t="str">
        <f t="shared" si="9"/>
        <v>5</v>
      </c>
      <c r="H587" s="3" t="s">
        <v>1102</v>
      </c>
      <c r="I587" s="8">
        <v>8500</v>
      </c>
      <c r="J587" s="8">
        <v>6550</v>
      </c>
      <c r="K587" s="8">
        <v>8500</v>
      </c>
    </row>
    <row r="588" spans="1:11" hidden="1" x14ac:dyDescent="0.25">
      <c r="A588" s="3" t="s">
        <v>1103</v>
      </c>
      <c r="B588" s="3">
        <v>11</v>
      </c>
      <c r="C588" s="5">
        <v>304</v>
      </c>
      <c r="D588" s="6">
        <v>0</v>
      </c>
      <c r="E588" s="7">
        <v>703800</v>
      </c>
      <c r="F588" s="3">
        <v>53120</v>
      </c>
      <c r="G588" s="3" t="str">
        <f t="shared" si="9"/>
        <v>5</v>
      </c>
      <c r="H588" s="3" t="s">
        <v>1104</v>
      </c>
      <c r="I588" s="8">
        <v>0</v>
      </c>
      <c r="J588" s="8">
        <v>323</v>
      </c>
      <c r="K588" s="8">
        <v>0</v>
      </c>
    </row>
    <row r="589" spans="1:11" hidden="1" x14ac:dyDescent="0.25">
      <c r="A589" s="3" t="s">
        <v>1105</v>
      </c>
      <c r="B589" s="3">
        <v>11</v>
      </c>
      <c r="C589" s="5">
        <v>304</v>
      </c>
      <c r="D589" s="6">
        <v>0</v>
      </c>
      <c r="E589" s="7">
        <v>703800</v>
      </c>
      <c r="F589" s="3">
        <v>53220</v>
      </c>
      <c r="G589" s="3" t="str">
        <f t="shared" si="9"/>
        <v>5</v>
      </c>
      <c r="H589" s="3" t="s">
        <v>1106</v>
      </c>
      <c r="I589" s="8">
        <v>18709.82</v>
      </c>
      <c r="J589" s="8">
        <v>4872.87</v>
      </c>
      <c r="K589" s="8">
        <v>18709.82</v>
      </c>
    </row>
    <row r="590" spans="1:11" hidden="1" x14ac:dyDescent="0.25">
      <c r="A590" s="3" t="s">
        <v>1107</v>
      </c>
      <c r="B590" s="3">
        <v>11</v>
      </c>
      <c r="C590" s="5">
        <v>304</v>
      </c>
      <c r="D590" s="6">
        <v>0</v>
      </c>
      <c r="E590" s="7">
        <v>703800</v>
      </c>
      <c r="F590" s="3">
        <v>53320</v>
      </c>
      <c r="G590" s="3" t="str">
        <f t="shared" si="9"/>
        <v>5</v>
      </c>
      <c r="H590" s="3" t="s">
        <v>1108</v>
      </c>
      <c r="I590" s="8">
        <v>6130.91</v>
      </c>
      <c r="J590" s="8">
        <v>1390.34</v>
      </c>
      <c r="K590" s="8">
        <v>6130.91</v>
      </c>
    </row>
    <row r="591" spans="1:11" hidden="1" x14ac:dyDescent="0.25">
      <c r="A591" s="3" t="s">
        <v>1109</v>
      </c>
      <c r="B591" s="3">
        <v>11</v>
      </c>
      <c r="C591" s="5">
        <v>304</v>
      </c>
      <c r="D591" s="6">
        <v>0</v>
      </c>
      <c r="E591" s="7">
        <v>703800</v>
      </c>
      <c r="F591" s="3">
        <v>53340</v>
      </c>
      <c r="G591" s="3" t="str">
        <f t="shared" si="9"/>
        <v>5</v>
      </c>
      <c r="H591" s="3" t="s">
        <v>1110</v>
      </c>
      <c r="I591" s="8">
        <v>1433.84</v>
      </c>
      <c r="J591" s="8">
        <v>420.15</v>
      </c>
      <c r="K591" s="8">
        <v>1433.84</v>
      </c>
    </row>
    <row r="592" spans="1:11" hidden="1" x14ac:dyDescent="0.25">
      <c r="A592" s="3" t="s">
        <v>1111</v>
      </c>
      <c r="B592" s="3">
        <v>11</v>
      </c>
      <c r="C592" s="5">
        <v>304</v>
      </c>
      <c r="D592" s="6">
        <v>0</v>
      </c>
      <c r="E592" s="7">
        <v>703800</v>
      </c>
      <c r="F592" s="3">
        <v>53420</v>
      </c>
      <c r="G592" s="3" t="str">
        <f t="shared" si="9"/>
        <v>5</v>
      </c>
      <c r="H592" s="3" t="s">
        <v>1112</v>
      </c>
      <c r="I592" s="8">
        <v>19640.61</v>
      </c>
      <c r="J592" s="8">
        <v>10406.74</v>
      </c>
      <c r="K592" s="8">
        <v>19640.61</v>
      </c>
    </row>
    <row r="593" spans="1:11" hidden="1" x14ac:dyDescent="0.25">
      <c r="A593" s="3" t="s">
        <v>1113</v>
      </c>
      <c r="B593" s="3">
        <v>11</v>
      </c>
      <c r="C593" s="5">
        <v>304</v>
      </c>
      <c r="D593" s="6">
        <v>0</v>
      </c>
      <c r="E593" s="7">
        <v>703800</v>
      </c>
      <c r="F593" s="3">
        <v>53520</v>
      </c>
      <c r="G593" s="3" t="str">
        <f t="shared" si="9"/>
        <v>5</v>
      </c>
      <c r="H593" s="3" t="s">
        <v>1114</v>
      </c>
      <c r="I593" s="8">
        <v>49.44</v>
      </c>
      <c r="J593" s="8">
        <v>14.57</v>
      </c>
      <c r="K593" s="8">
        <v>49.44</v>
      </c>
    </row>
    <row r="594" spans="1:11" hidden="1" x14ac:dyDescent="0.25">
      <c r="A594" s="3" t="s">
        <v>1115</v>
      </c>
      <c r="B594" s="3">
        <v>11</v>
      </c>
      <c r="C594" s="5">
        <v>304</v>
      </c>
      <c r="D594" s="6">
        <v>0</v>
      </c>
      <c r="E594" s="7">
        <v>703800</v>
      </c>
      <c r="F594" s="3">
        <v>53620</v>
      </c>
      <c r="G594" s="3" t="str">
        <f t="shared" si="9"/>
        <v>5</v>
      </c>
      <c r="H594" s="3" t="s">
        <v>1116</v>
      </c>
      <c r="I594" s="8">
        <v>1869.73</v>
      </c>
      <c r="J594" s="8">
        <v>585.66</v>
      </c>
      <c r="K594" s="8">
        <v>1869.73</v>
      </c>
    </row>
    <row r="595" spans="1:11" hidden="1" x14ac:dyDescent="0.25">
      <c r="A595" s="3" t="s">
        <v>1117</v>
      </c>
      <c r="B595" s="3">
        <v>11</v>
      </c>
      <c r="C595" s="5">
        <v>304</v>
      </c>
      <c r="D595" s="6">
        <v>0</v>
      </c>
      <c r="E595" s="7">
        <v>703800</v>
      </c>
      <c r="F595" s="3">
        <v>53920</v>
      </c>
      <c r="G595" s="3" t="str">
        <f t="shared" si="9"/>
        <v>5</v>
      </c>
      <c r="H595" s="3" t="s">
        <v>1118</v>
      </c>
      <c r="I595" s="8">
        <v>2040</v>
      </c>
      <c r="J595" s="8">
        <v>0</v>
      </c>
      <c r="K595" s="8">
        <v>2040</v>
      </c>
    </row>
    <row r="596" spans="1:11" hidden="1" x14ac:dyDescent="0.25">
      <c r="A596" s="3" t="s">
        <v>1119</v>
      </c>
      <c r="B596" s="3">
        <v>11</v>
      </c>
      <c r="C596" s="5">
        <v>304</v>
      </c>
      <c r="D596" s="6">
        <v>0</v>
      </c>
      <c r="E596" s="7">
        <v>703800</v>
      </c>
      <c r="F596" s="3">
        <v>55630</v>
      </c>
      <c r="G596" s="3" t="str">
        <f t="shared" si="9"/>
        <v>5</v>
      </c>
      <c r="H596" s="3" t="s">
        <v>1120</v>
      </c>
      <c r="I596" s="8">
        <v>233</v>
      </c>
      <c r="J596" s="8">
        <v>0</v>
      </c>
      <c r="K596" s="8">
        <v>233</v>
      </c>
    </row>
    <row r="597" spans="1:11" hidden="1" x14ac:dyDescent="0.25">
      <c r="A597" s="3" t="s">
        <v>1121</v>
      </c>
      <c r="B597" s="3">
        <v>11</v>
      </c>
      <c r="C597" s="5">
        <v>350</v>
      </c>
      <c r="D597" s="6">
        <v>0</v>
      </c>
      <c r="E597" s="7">
        <v>50000</v>
      </c>
      <c r="F597" s="3">
        <v>51310</v>
      </c>
      <c r="G597" s="3" t="str">
        <f t="shared" si="9"/>
        <v>5</v>
      </c>
      <c r="H597" s="3" t="s">
        <v>229</v>
      </c>
      <c r="I597" s="8">
        <v>0</v>
      </c>
      <c r="J597" s="8">
        <v>11640.37</v>
      </c>
      <c r="K597" s="8">
        <v>0</v>
      </c>
    </row>
    <row r="598" spans="1:11" hidden="1" x14ac:dyDescent="0.25">
      <c r="A598" s="3" t="s">
        <v>1122</v>
      </c>
      <c r="B598" s="3">
        <v>11</v>
      </c>
      <c r="C598" s="5">
        <v>350</v>
      </c>
      <c r="D598" s="6">
        <v>0</v>
      </c>
      <c r="E598" s="7">
        <v>50000</v>
      </c>
      <c r="F598" s="3">
        <v>51311</v>
      </c>
      <c r="G598" s="3" t="str">
        <f t="shared" si="9"/>
        <v>5</v>
      </c>
      <c r="H598" s="3" t="s">
        <v>231</v>
      </c>
      <c r="I598" s="8">
        <v>0</v>
      </c>
      <c r="J598" s="8">
        <v>26949.360000000001</v>
      </c>
      <c r="K598" s="8">
        <v>0</v>
      </c>
    </row>
    <row r="599" spans="1:11" hidden="1" x14ac:dyDescent="0.25">
      <c r="A599" s="3" t="s">
        <v>1123</v>
      </c>
      <c r="B599" s="3">
        <v>11</v>
      </c>
      <c r="C599" s="5">
        <v>350</v>
      </c>
      <c r="D599" s="6">
        <v>0</v>
      </c>
      <c r="E599" s="7">
        <v>50000</v>
      </c>
      <c r="F599" s="3">
        <v>53110</v>
      </c>
      <c r="G599" s="3" t="str">
        <f t="shared" si="9"/>
        <v>5</v>
      </c>
      <c r="H599" s="3" t="s">
        <v>233</v>
      </c>
      <c r="I599" s="8">
        <v>0</v>
      </c>
      <c r="J599" s="8">
        <v>1879.88</v>
      </c>
      <c r="K599" s="8">
        <v>0</v>
      </c>
    </row>
    <row r="600" spans="1:11" hidden="1" x14ac:dyDescent="0.25">
      <c r="A600" s="3" t="s">
        <v>1124</v>
      </c>
      <c r="B600" s="3">
        <v>11</v>
      </c>
      <c r="C600" s="5">
        <v>350</v>
      </c>
      <c r="D600" s="6">
        <v>0</v>
      </c>
      <c r="E600" s="7">
        <v>50000</v>
      </c>
      <c r="F600" s="3">
        <v>53310</v>
      </c>
      <c r="G600" s="3" t="str">
        <f t="shared" si="9"/>
        <v>5</v>
      </c>
      <c r="H600" s="3" t="s">
        <v>1125</v>
      </c>
      <c r="I600" s="8">
        <v>0</v>
      </c>
      <c r="J600" s="8">
        <v>807.33</v>
      </c>
      <c r="K600" s="8">
        <v>0</v>
      </c>
    </row>
    <row r="601" spans="1:11" hidden="1" x14ac:dyDescent="0.25">
      <c r="A601" s="3" t="s">
        <v>1126</v>
      </c>
      <c r="B601" s="3">
        <v>11</v>
      </c>
      <c r="C601" s="5">
        <v>350</v>
      </c>
      <c r="D601" s="6">
        <v>0</v>
      </c>
      <c r="E601" s="7">
        <v>50000</v>
      </c>
      <c r="F601" s="3">
        <v>53330</v>
      </c>
      <c r="G601" s="3" t="str">
        <f t="shared" si="9"/>
        <v>5</v>
      </c>
      <c r="H601" s="3" t="s">
        <v>235</v>
      </c>
      <c r="I601" s="8">
        <v>0</v>
      </c>
      <c r="J601" s="8">
        <v>559.55999999999995</v>
      </c>
      <c r="K601" s="8">
        <v>0</v>
      </c>
    </row>
    <row r="602" spans="1:11" hidden="1" x14ac:dyDescent="0.25">
      <c r="A602" s="3" t="s">
        <v>1127</v>
      </c>
      <c r="B602" s="3">
        <v>11</v>
      </c>
      <c r="C602" s="5">
        <v>350</v>
      </c>
      <c r="D602" s="6">
        <v>0</v>
      </c>
      <c r="E602" s="7">
        <v>50000</v>
      </c>
      <c r="F602" s="3">
        <v>53510</v>
      </c>
      <c r="G602" s="3" t="str">
        <f t="shared" si="9"/>
        <v>5</v>
      </c>
      <c r="H602" s="3" t="s">
        <v>237</v>
      </c>
      <c r="I602" s="8">
        <v>0</v>
      </c>
      <c r="J602" s="8">
        <v>19.29</v>
      </c>
      <c r="K602" s="8">
        <v>0</v>
      </c>
    </row>
    <row r="603" spans="1:11" hidden="1" x14ac:dyDescent="0.25">
      <c r="A603" s="3" t="s">
        <v>1128</v>
      </c>
      <c r="B603" s="3">
        <v>11</v>
      </c>
      <c r="C603" s="5">
        <v>350</v>
      </c>
      <c r="D603" s="6">
        <v>0</v>
      </c>
      <c r="E603" s="7">
        <v>50000</v>
      </c>
      <c r="F603" s="3">
        <v>53610</v>
      </c>
      <c r="G603" s="3" t="str">
        <f t="shared" si="9"/>
        <v>5</v>
      </c>
      <c r="H603" s="3" t="s">
        <v>239</v>
      </c>
      <c r="I603" s="8">
        <v>0</v>
      </c>
      <c r="J603" s="8">
        <v>729.64</v>
      </c>
      <c r="K603" s="8">
        <v>0</v>
      </c>
    </row>
    <row r="604" spans="1:11" hidden="1" x14ac:dyDescent="0.25">
      <c r="A604" s="3" t="s">
        <v>1129</v>
      </c>
      <c r="B604" s="3">
        <v>11</v>
      </c>
      <c r="C604" s="5">
        <v>310</v>
      </c>
      <c r="D604" s="6">
        <v>0</v>
      </c>
      <c r="E604" s="7">
        <v>80100</v>
      </c>
      <c r="F604" s="3">
        <v>51311</v>
      </c>
      <c r="G604" s="3" t="str">
        <f t="shared" si="9"/>
        <v>5</v>
      </c>
      <c r="H604" s="3" t="s">
        <v>1130</v>
      </c>
      <c r="I604" s="8">
        <v>0</v>
      </c>
      <c r="J604" s="8">
        <v>1440.28</v>
      </c>
      <c r="K604" s="8">
        <v>0</v>
      </c>
    </row>
    <row r="605" spans="1:11" hidden="1" x14ac:dyDescent="0.25">
      <c r="A605" s="3" t="s">
        <v>1131</v>
      </c>
      <c r="B605" s="3">
        <v>11</v>
      </c>
      <c r="C605" s="5">
        <v>310</v>
      </c>
      <c r="D605" s="6">
        <v>0</v>
      </c>
      <c r="E605" s="7">
        <v>80100</v>
      </c>
      <c r="F605" s="3">
        <v>53110</v>
      </c>
      <c r="G605" s="3" t="str">
        <f t="shared" si="9"/>
        <v>5</v>
      </c>
      <c r="H605" s="3" t="s">
        <v>1132</v>
      </c>
      <c r="I605" s="8">
        <v>0</v>
      </c>
      <c r="J605" s="8">
        <v>232.6</v>
      </c>
      <c r="K605" s="8">
        <v>0</v>
      </c>
    </row>
    <row r="606" spans="1:11" hidden="1" x14ac:dyDescent="0.25">
      <c r="A606" s="3" t="s">
        <v>1133</v>
      </c>
      <c r="B606" s="3">
        <v>11</v>
      </c>
      <c r="C606" s="5">
        <v>310</v>
      </c>
      <c r="D606" s="6">
        <v>0</v>
      </c>
      <c r="E606" s="7">
        <v>80100</v>
      </c>
      <c r="F606" s="3">
        <v>53330</v>
      </c>
      <c r="G606" s="3" t="str">
        <f t="shared" si="9"/>
        <v>5</v>
      </c>
      <c r="H606" s="3" t="s">
        <v>1134</v>
      </c>
      <c r="I606" s="8">
        <v>0</v>
      </c>
      <c r="J606" s="8">
        <v>20.88</v>
      </c>
      <c r="K606" s="8">
        <v>0</v>
      </c>
    </row>
    <row r="607" spans="1:11" hidden="1" x14ac:dyDescent="0.25">
      <c r="A607" s="3" t="s">
        <v>1135</v>
      </c>
      <c r="B607" s="3">
        <v>11</v>
      </c>
      <c r="C607" s="5">
        <v>310</v>
      </c>
      <c r="D607" s="6">
        <v>0</v>
      </c>
      <c r="E607" s="7">
        <v>80100</v>
      </c>
      <c r="F607" s="3">
        <v>53510</v>
      </c>
      <c r="G607" s="3" t="str">
        <f t="shared" si="9"/>
        <v>5</v>
      </c>
      <c r="H607" s="3" t="s">
        <v>1136</v>
      </c>
      <c r="I607" s="8">
        <v>0</v>
      </c>
      <c r="J607" s="8">
        <v>0.72</v>
      </c>
      <c r="K607" s="8">
        <v>0</v>
      </c>
    </row>
    <row r="608" spans="1:11" hidden="1" x14ac:dyDescent="0.25">
      <c r="A608" s="3" t="s">
        <v>1137</v>
      </c>
      <c r="B608" s="3">
        <v>11</v>
      </c>
      <c r="C608" s="5">
        <v>310</v>
      </c>
      <c r="D608" s="6">
        <v>0</v>
      </c>
      <c r="E608" s="7">
        <v>80100</v>
      </c>
      <c r="F608" s="3">
        <v>53610</v>
      </c>
      <c r="G608" s="3" t="str">
        <f t="shared" si="9"/>
        <v>5</v>
      </c>
      <c r="H608" s="3" t="s">
        <v>1138</v>
      </c>
      <c r="I608" s="8">
        <v>0</v>
      </c>
      <c r="J608" s="8">
        <v>27.24</v>
      </c>
      <c r="K608" s="8">
        <v>0</v>
      </c>
    </row>
    <row r="609" spans="1:11" hidden="1" x14ac:dyDescent="0.25">
      <c r="A609" s="3" t="s">
        <v>1139</v>
      </c>
      <c r="B609" s="3">
        <v>11</v>
      </c>
      <c r="C609" s="5">
        <v>310</v>
      </c>
      <c r="D609" s="6">
        <v>0</v>
      </c>
      <c r="E609" s="7">
        <v>100200</v>
      </c>
      <c r="F609" s="3">
        <v>51100</v>
      </c>
      <c r="G609" s="3" t="str">
        <f t="shared" si="9"/>
        <v>5</v>
      </c>
      <c r="H609" s="3" t="s">
        <v>1140</v>
      </c>
      <c r="I609" s="8">
        <v>87576</v>
      </c>
      <c r="J609" s="8">
        <v>63693.84</v>
      </c>
      <c r="K609" s="8">
        <v>87576</v>
      </c>
    </row>
    <row r="610" spans="1:11" hidden="1" x14ac:dyDescent="0.25">
      <c r="A610" s="3" t="s">
        <v>1141</v>
      </c>
      <c r="B610" s="3">
        <v>11</v>
      </c>
      <c r="C610" s="5">
        <v>310</v>
      </c>
      <c r="D610" s="6">
        <v>0</v>
      </c>
      <c r="E610" s="7">
        <v>100200</v>
      </c>
      <c r="F610" s="3">
        <v>51310</v>
      </c>
      <c r="G610" s="3" t="str">
        <f t="shared" si="9"/>
        <v>5</v>
      </c>
      <c r="H610" s="3" t="s">
        <v>1142</v>
      </c>
      <c r="I610" s="8">
        <v>4293</v>
      </c>
      <c r="J610" s="8">
        <v>2864.5</v>
      </c>
      <c r="K610" s="8">
        <v>4293</v>
      </c>
    </row>
    <row r="611" spans="1:11" hidden="1" x14ac:dyDescent="0.25">
      <c r="A611" s="3" t="s">
        <v>1143</v>
      </c>
      <c r="B611" s="3">
        <v>11</v>
      </c>
      <c r="C611" s="5">
        <v>310</v>
      </c>
      <c r="D611" s="6">
        <v>0</v>
      </c>
      <c r="E611" s="7">
        <v>100200</v>
      </c>
      <c r="F611" s="3">
        <v>51311</v>
      </c>
      <c r="G611" s="3" t="str">
        <f t="shared" si="9"/>
        <v>5</v>
      </c>
      <c r="H611" s="3" t="s">
        <v>251</v>
      </c>
      <c r="I611" s="8">
        <v>176100</v>
      </c>
      <c r="J611" s="8">
        <v>115598.03</v>
      </c>
      <c r="K611" s="8">
        <v>176100</v>
      </c>
    </row>
    <row r="612" spans="1:11" hidden="1" x14ac:dyDescent="0.25">
      <c r="A612" s="3" t="s">
        <v>1144</v>
      </c>
      <c r="B612" s="3">
        <v>11</v>
      </c>
      <c r="C612" s="5">
        <v>310</v>
      </c>
      <c r="D612" s="6">
        <v>0</v>
      </c>
      <c r="E612" s="7">
        <v>100200</v>
      </c>
      <c r="F612" s="3">
        <v>52200</v>
      </c>
      <c r="G612" s="3" t="str">
        <f t="shared" si="9"/>
        <v>5</v>
      </c>
      <c r="H612" s="3" t="s">
        <v>1145</v>
      </c>
      <c r="I612" s="8">
        <v>28110</v>
      </c>
      <c r="J612" s="8">
        <v>21082.43</v>
      </c>
      <c r="K612" s="8">
        <v>28110</v>
      </c>
    </row>
    <row r="613" spans="1:11" hidden="1" x14ac:dyDescent="0.25">
      <c r="A613" s="3" t="s">
        <v>1146</v>
      </c>
      <c r="B613" s="3">
        <v>11</v>
      </c>
      <c r="C613" s="5">
        <v>310</v>
      </c>
      <c r="D613" s="6">
        <v>0</v>
      </c>
      <c r="E613" s="7">
        <v>100200</v>
      </c>
      <c r="F613" s="3">
        <v>52360</v>
      </c>
      <c r="G613" s="3" t="str">
        <f t="shared" si="9"/>
        <v>5</v>
      </c>
      <c r="H613" s="3" t="s">
        <v>1147</v>
      </c>
      <c r="I613" s="8">
        <v>1394</v>
      </c>
      <c r="J613" s="8">
        <v>0</v>
      </c>
      <c r="K613" s="8">
        <v>1394</v>
      </c>
    </row>
    <row r="614" spans="1:11" hidden="1" x14ac:dyDescent="0.25">
      <c r="A614" s="3" t="s">
        <v>1148</v>
      </c>
      <c r="B614" s="3">
        <v>11</v>
      </c>
      <c r="C614" s="5">
        <v>310</v>
      </c>
      <c r="D614" s="6">
        <v>0</v>
      </c>
      <c r="E614" s="7">
        <v>100200</v>
      </c>
      <c r="F614" s="3">
        <v>53110</v>
      </c>
      <c r="G614" s="3" t="str">
        <f t="shared" si="9"/>
        <v>5</v>
      </c>
      <c r="H614" s="3" t="s">
        <v>253</v>
      </c>
      <c r="I614" s="8">
        <v>43276.99</v>
      </c>
      <c r="J614" s="8">
        <v>24975.63</v>
      </c>
      <c r="K614" s="8">
        <v>43276.99</v>
      </c>
    </row>
    <row r="615" spans="1:11" hidden="1" x14ac:dyDescent="0.25">
      <c r="A615" s="3" t="s">
        <v>1149</v>
      </c>
      <c r="B615" s="3">
        <v>11</v>
      </c>
      <c r="C615" s="5">
        <v>310</v>
      </c>
      <c r="D615" s="6">
        <v>0</v>
      </c>
      <c r="E615" s="7">
        <v>100200</v>
      </c>
      <c r="F615" s="3">
        <v>53210</v>
      </c>
      <c r="G615" s="3" t="str">
        <f t="shared" si="9"/>
        <v>5</v>
      </c>
      <c r="H615" s="3" t="s">
        <v>1150</v>
      </c>
      <c r="I615" s="8">
        <v>5818.77</v>
      </c>
      <c r="J615" s="8">
        <v>4317.5600000000004</v>
      </c>
      <c r="K615" s="8">
        <v>5818.77</v>
      </c>
    </row>
    <row r="616" spans="1:11" hidden="1" x14ac:dyDescent="0.25">
      <c r="A616" s="3" t="s">
        <v>1151</v>
      </c>
      <c r="B616" s="3">
        <v>11</v>
      </c>
      <c r="C616" s="5">
        <v>310</v>
      </c>
      <c r="D616" s="6">
        <v>0</v>
      </c>
      <c r="E616" s="7">
        <v>100200</v>
      </c>
      <c r="F616" s="3">
        <v>53310</v>
      </c>
      <c r="G616" s="3" t="str">
        <f t="shared" si="9"/>
        <v>5</v>
      </c>
      <c r="H616" s="3" t="s">
        <v>1152</v>
      </c>
      <c r="I616" s="8">
        <v>1742.82</v>
      </c>
      <c r="J616" s="8">
        <v>3014.17</v>
      </c>
      <c r="K616" s="8">
        <v>1742.82</v>
      </c>
    </row>
    <row r="617" spans="1:11" hidden="1" x14ac:dyDescent="0.25">
      <c r="A617" s="3" t="s">
        <v>1153</v>
      </c>
      <c r="B617" s="3">
        <v>11</v>
      </c>
      <c r="C617" s="5">
        <v>310</v>
      </c>
      <c r="D617" s="6">
        <v>0</v>
      </c>
      <c r="E617" s="7">
        <v>100200</v>
      </c>
      <c r="F617" s="3">
        <v>53320</v>
      </c>
      <c r="G617" s="3" t="str">
        <f t="shared" si="9"/>
        <v>5</v>
      </c>
      <c r="H617" s="3" t="s">
        <v>1154</v>
      </c>
      <c r="I617" s="8">
        <v>86.43</v>
      </c>
      <c r="J617" s="8">
        <v>0</v>
      </c>
      <c r="K617" s="8">
        <v>86.43</v>
      </c>
    </row>
    <row r="618" spans="1:11" hidden="1" x14ac:dyDescent="0.25">
      <c r="A618" s="3" t="s">
        <v>1155</v>
      </c>
      <c r="B618" s="3">
        <v>11</v>
      </c>
      <c r="C618" s="5">
        <v>310</v>
      </c>
      <c r="D618" s="6">
        <v>0</v>
      </c>
      <c r="E618" s="7">
        <v>100200</v>
      </c>
      <c r="F618" s="3">
        <v>53330</v>
      </c>
      <c r="G618" s="3" t="str">
        <f t="shared" si="9"/>
        <v>5</v>
      </c>
      <c r="H618" s="3" t="s">
        <v>255</v>
      </c>
      <c r="I618" s="8">
        <v>4293.1499999999996</v>
      </c>
      <c r="J618" s="8">
        <v>2947.07</v>
      </c>
      <c r="K618" s="8">
        <v>4293.1499999999996</v>
      </c>
    </row>
    <row r="619" spans="1:11" hidden="1" x14ac:dyDescent="0.25">
      <c r="A619" s="3" t="s">
        <v>1156</v>
      </c>
      <c r="B619" s="3">
        <v>11</v>
      </c>
      <c r="C619" s="5">
        <v>310</v>
      </c>
      <c r="D619" s="6">
        <v>0</v>
      </c>
      <c r="E619" s="7">
        <v>100200</v>
      </c>
      <c r="F619" s="3">
        <v>53340</v>
      </c>
      <c r="G619" s="3" t="str">
        <f t="shared" si="9"/>
        <v>5</v>
      </c>
      <c r="H619" s="3" t="s">
        <v>1157</v>
      </c>
      <c r="I619" s="8">
        <v>20.21</v>
      </c>
      <c r="J619" s="8">
        <v>0</v>
      </c>
      <c r="K619" s="8">
        <v>20.21</v>
      </c>
    </row>
    <row r="620" spans="1:11" hidden="1" x14ac:dyDescent="0.25">
      <c r="A620" s="3" t="s">
        <v>1158</v>
      </c>
      <c r="B620" s="3">
        <v>11</v>
      </c>
      <c r="C620" s="5">
        <v>310</v>
      </c>
      <c r="D620" s="6">
        <v>0</v>
      </c>
      <c r="E620" s="7">
        <v>100200</v>
      </c>
      <c r="F620" s="3">
        <v>53410</v>
      </c>
      <c r="G620" s="3" t="str">
        <f t="shared" si="9"/>
        <v>5</v>
      </c>
      <c r="H620" s="3" t="s">
        <v>1159</v>
      </c>
      <c r="I620" s="8">
        <v>23938.65</v>
      </c>
      <c r="J620" s="8">
        <v>17150.84</v>
      </c>
      <c r="K620" s="8">
        <v>23938.65</v>
      </c>
    </row>
    <row r="621" spans="1:11" hidden="1" x14ac:dyDescent="0.25">
      <c r="A621" s="3" t="s">
        <v>1160</v>
      </c>
      <c r="B621" s="3">
        <v>11</v>
      </c>
      <c r="C621" s="5">
        <v>310</v>
      </c>
      <c r="D621" s="6">
        <v>0</v>
      </c>
      <c r="E621" s="7">
        <v>100200</v>
      </c>
      <c r="F621" s="3">
        <v>53510</v>
      </c>
      <c r="G621" s="3" t="str">
        <f t="shared" si="9"/>
        <v>5</v>
      </c>
      <c r="H621" s="3" t="s">
        <v>257</v>
      </c>
      <c r="I621" s="8">
        <v>148.05000000000001</v>
      </c>
      <c r="J621" s="8">
        <v>101.65</v>
      </c>
      <c r="K621" s="8">
        <v>148.05000000000001</v>
      </c>
    </row>
    <row r="622" spans="1:11" hidden="1" x14ac:dyDescent="0.25">
      <c r="A622" s="3" t="s">
        <v>1161</v>
      </c>
      <c r="B622" s="3">
        <v>11</v>
      </c>
      <c r="C622" s="5">
        <v>310</v>
      </c>
      <c r="D622" s="6">
        <v>0</v>
      </c>
      <c r="E622" s="7">
        <v>100200</v>
      </c>
      <c r="F622" s="3">
        <v>53520</v>
      </c>
      <c r="G622" s="3" t="str">
        <f t="shared" si="9"/>
        <v>5</v>
      </c>
      <c r="H622" s="3" t="s">
        <v>1162</v>
      </c>
      <c r="I622" s="8">
        <v>0.7</v>
      </c>
      <c r="J622" s="8">
        <v>0</v>
      </c>
      <c r="K622" s="8">
        <v>0.7</v>
      </c>
    </row>
    <row r="623" spans="1:11" hidden="1" x14ac:dyDescent="0.25">
      <c r="A623" s="3" t="s">
        <v>1163</v>
      </c>
      <c r="B623" s="3">
        <v>11</v>
      </c>
      <c r="C623" s="5">
        <v>310</v>
      </c>
      <c r="D623" s="6">
        <v>0</v>
      </c>
      <c r="E623" s="7">
        <v>100200</v>
      </c>
      <c r="F623" s="3">
        <v>53610</v>
      </c>
      <c r="G623" s="3" t="str">
        <f t="shared" si="9"/>
        <v>5</v>
      </c>
      <c r="H623" s="3" t="s">
        <v>259</v>
      </c>
      <c r="I623" s="8">
        <v>5598.26</v>
      </c>
      <c r="J623" s="8">
        <v>3843.98</v>
      </c>
      <c r="K623" s="8">
        <v>5598.26</v>
      </c>
    </row>
    <row r="624" spans="1:11" hidden="1" x14ac:dyDescent="0.25">
      <c r="A624" s="3" t="s">
        <v>1164</v>
      </c>
      <c r="B624" s="3">
        <v>11</v>
      </c>
      <c r="C624" s="5">
        <v>310</v>
      </c>
      <c r="D624" s="6">
        <v>0</v>
      </c>
      <c r="E624" s="7">
        <v>100200</v>
      </c>
      <c r="F624" s="3">
        <v>53620</v>
      </c>
      <c r="G624" s="3" t="str">
        <f t="shared" si="9"/>
        <v>5</v>
      </c>
      <c r="H624" s="3" t="s">
        <v>1165</v>
      </c>
      <c r="I624" s="8">
        <v>26.36</v>
      </c>
      <c r="J624" s="8">
        <v>0</v>
      </c>
      <c r="K624" s="8">
        <v>26.36</v>
      </c>
    </row>
    <row r="625" spans="1:11" hidden="1" x14ac:dyDescent="0.25">
      <c r="A625" s="3" t="s">
        <v>1166</v>
      </c>
      <c r="B625" s="3">
        <v>11</v>
      </c>
      <c r="C625" s="5">
        <v>310</v>
      </c>
      <c r="D625" s="6">
        <v>0</v>
      </c>
      <c r="E625" s="7">
        <v>100200</v>
      </c>
      <c r="F625" s="3">
        <v>53910</v>
      </c>
      <c r="G625" s="3" t="str">
        <f t="shared" si="9"/>
        <v>5</v>
      </c>
      <c r="H625" s="3" t="s">
        <v>1167</v>
      </c>
      <c r="I625" s="8">
        <v>2400</v>
      </c>
      <c r="J625" s="8">
        <v>1527.26</v>
      </c>
      <c r="K625" s="8">
        <v>2400</v>
      </c>
    </row>
    <row r="626" spans="1:11" hidden="1" x14ac:dyDescent="0.25">
      <c r="A626" s="3" t="s">
        <v>1168</v>
      </c>
      <c r="B626" s="3">
        <v>11</v>
      </c>
      <c r="C626" s="5">
        <v>310</v>
      </c>
      <c r="D626" s="6">
        <v>0</v>
      </c>
      <c r="E626" s="7">
        <v>100200</v>
      </c>
      <c r="F626" s="3">
        <v>54300</v>
      </c>
      <c r="G626" s="3" t="str">
        <f t="shared" si="9"/>
        <v>5</v>
      </c>
      <c r="H626" s="3" t="s">
        <v>1169</v>
      </c>
      <c r="I626" s="8">
        <v>1775</v>
      </c>
      <c r="J626" s="8">
        <v>0</v>
      </c>
      <c r="K626" s="8">
        <v>1775</v>
      </c>
    </row>
    <row r="627" spans="1:11" hidden="1" x14ac:dyDescent="0.25">
      <c r="A627" s="3" t="s">
        <v>1170</v>
      </c>
      <c r="B627" s="3">
        <v>11</v>
      </c>
      <c r="C627" s="5">
        <v>310</v>
      </c>
      <c r="D627" s="6">
        <v>0</v>
      </c>
      <c r="E627" s="7">
        <v>100200</v>
      </c>
      <c r="F627" s="3">
        <v>55630</v>
      </c>
      <c r="G627" s="3" t="str">
        <f t="shared" si="9"/>
        <v>5</v>
      </c>
      <c r="H627" s="3" t="s">
        <v>1171</v>
      </c>
      <c r="I627" s="8">
        <v>250</v>
      </c>
      <c r="J627" s="8">
        <v>0</v>
      </c>
      <c r="K627" s="8">
        <v>250</v>
      </c>
    </row>
    <row r="628" spans="1:11" hidden="1" x14ac:dyDescent="0.25">
      <c r="A628" s="3" t="s">
        <v>1172</v>
      </c>
      <c r="B628" s="3">
        <v>11</v>
      </c>
      <c r="C628" s="5">
        <v>310</v>
      </c>
      <c r="D628" s="6">
        <v>0</v>
      </c>
      <c r="E628" s="7">
        <v>100200</v>
      </c>
      <c r="F628" s="3">
        <v>55651</v>
      </c>
      <c r="G628" s="3" t="str">
        <f t="shared" si="9"/>
        <v>5</v>
      </c>
      <c r="H628" s="3" t="s">
        <v>1173</v>
      </c>
      <c r="I628" s="8">
        <v>10</v>
      </c>
      <c r="J628" s="8">
        <v>0</v>
      </c>
      <c r="K628" s="8">
        <v>10</v>
      </c>
    </row>
    <row r="629" spans="1:11" hidden="1" x14ac:dyDescent="0.25">
      <c r="A629" s="3" t="s">
        <v>1174</v>
      </c>
      <c r="B629" s="3">
        <v>11</v>
      </c>
      <c r="C629" s="5">
        <v>310</v>
      </c>
      <c r="D629" s="6">
        <v>0</v>
      </c>
      <c r="E629" s="7">
        <v>100200</v>
      </c>
      <c r="F629" s="3">
        <v>56400</v>
      </c>
      <c r="G629" s="3" t="str">
        <f t="shared" si="9"/>
        <v>5</v>
      </c>
      <c r="H629" s="3" t="s">
        <v>1175</v>
      </c>
      <c r="I629" s="8">
        <v>200</v>
      </c>
      <c r="J629" s="8">
        <v>0</v>
      </c>
      <c r="K629" s="8">
        <v>200</v>
      </c>
    </row>
    <row r="630" spans="1:11" hidden="1" x14ac:dyDescent="0.25">
      <c r="A630" s="3" t="s">
        <v>1176</v>
      </c>
      <c r="B630" s="3">
        <v>11</v>
      </c>
      <c r="C630" s="5">
        <v>310</v>
      </c>
      <c r="D630" s="6">
        <v>0</v>
      </c>
      <c r="E630" s="7">
        <v>100400</v>
      </c>
      <c r="F630" s="3">
        <v>51100</v>
      </c>
      <c r="G630" s="3" t="str">
        <f t="shared" si="9"/>
        <v>5</v>
      </c>
      <c r="H630" s="3" t="s">
        <v>1177</v>
      </c>
      <c r="I630" s="8">
        <v>105451</v>
      </c>
      <c r="J630" s="8">
        <v>76691.679999999993</v>
      </c>
      <c r="K630" s="8">
        <v>105451</v>
      </c>
    </row>
    <row r="631" spans="1:11" hidden="1" x14ac:dyDescent="0.25">
      <c r="A631" s="3" t="s">
        <v>1178</v>
      </c>
      <c r="B631" s="3">
        <v>11</v>
      </c>
      <c r="C631" s="5">
        <v>310</v>
      </c>
      <c r="D631" s="6">
        <v>0</v>
      </c>
      <c r="E631" s="7">
        <v>100400</v>
      </c>
      <c r="F631" s="3">
        <v>51310</v>
      </c>
      <c r="G631" s="3" t="str">
        <f t="shared" si="9"/>
        <v>5</v>
      </c>
      <c r="H631" s="3" t="s">
        <v>1179</v>
      </c>
      <c r="I631" s="8">
        <v>4293</v>
      </c>
      <c r="J631" s="8">
        <v>859.36</v>
      </c>
      <c r="K631" s="8">
        <v>4293</v>
      </c>
    </row>
    <row r="632" spans="1:11" hidden="1" x14ac:dyDescent="0.25">
      <c r="A632" s="3" t="s">
        <v>1180</v>
      </c>
      <c r="B632" s="3">
        <v>11</v>
      </c>
      <c r="C632" s="5">
        <v>310</v>
      </c>
      <c r="D632" s="6">
        <v>0</v>
      </c>
      <c r="E632" s="7">
        <v>100400</v>
      </c>
      <c r="F632" s="3">
        <v>51311</v>
      </c>
      <c r="G632" s="3" t="str">
        <f t="shared" si="9"/>
        <v>5</v>
      </c>
      <c r="H632" s="3" t="s">
        <v>261</v>
      </c>
      <c r="I632" s="8">
        <v>123560</v>
      </c>
      <c r="J632" s="8">
        <v>111502.21</v>
      </c>
      <c r="K632" s="8">
        <v>123560</v>
      </c>
    </row>
    <row r="633" spans="1:11" hidden="1" x14ac:dyDescent="0.25">
      <c r="A633" s="3" t="s">
        <v>1181</v>
      </c>
      <c r="B633" s="3">
        <v>11</v>
      </c>
      <c r="C633" s="5">
        <v>310</v>
      </c>
      <c r="D633" s="6">
        <v>0</v>
      </c>
      <c r="E633" s="7">
        <v>100400</v>
      </c>
      <c r="F633" s="3">
        <v>52400</v>
      </c>
      <c r="G633" s="3" t="str">
        <f t="shared" si="9"/>
        <v>5</v>
      </c>
      <c r="H633" s="3" t="s">
        <v>1182</v>
      </c>
      <c r="I633" s="8">
        <v>5000</v>
      </c>
      <c r="J633" s="8">
        <v>5009.13</v>
      </c>
      <c r="K633" s="8">
        <v>5000</v>
      </c>
    </row>
    <row r="634" spans="1:11" hidden="1" x14ac:dyDescent="0.25">
      <c r="A634" s="3" t="s">
        <v>1183</v>
      </c>
      <c r="B634" s="3">
        <v>11</v>
      </c>
      <c r="C634" s="5">
        <v>310</v>
      </c>
      <c r="D634" s="6">
        <v>0</v>
      </c>
      <c r="E634" s="7">
        <v>100400</v>
      </c>
      <c r="F634" s="3">
        <v>53110</v>
      </c>
      <c r="G634" s="3" t="str">
        <f t="shared" si="9"/>
        <v>5</v>
      </c>
      <c r="H634" s="3" t="s">
        <v>263</v>
      </c>
      <c r="I634" s="8">
        <v>37678.6</v>
      </c>
      <c r="J634" s="8">
        <v>25055.93</v>
      </c>
      <c r="K634" s="8">
        <v>37678.6</v>
      </c>
    </row>
    <row r="635" spans="1:11" hidden="1" x14ac:dyDescent="0.25">
      <c r="A635" s="3" t="s">
        <v>1184</v>
      </c>
      <c r="B635" s="3">
        <v>11</v>
      </c>
      <c r="C635" s="5">
        <v>310</v>
      </c>
      <c r="D635" s="6">
        <v>0</v>
      </c>
      <c r="E635" s="7">
        <v>100400</v>
      </c>
      <c r="F635" s="3">
        <v>53310</v>
      </c>
      <c r="G635" s="3" t="str">
        <f t="shared" si="9"/>
        <v>5</v>
      </c>
      <c r="H635" s="3" t="s">
        <v>1185</v>
      </c>
      <c r="I635" s="8">
        <v>310</v>
      </c>
      <c r="J635" s="8">
        <v>2412.85</v>
      </c>
      <c r="K635" s="8">
        <v>310</v>
      </c>
    </row>
    <row r="636" spans="1:11" hidden="1" x14ac:dyDescent="0.25">
      <c r="A636" s="3" t="s">
        <v>1186</v>
      </c>
      <c r="B636" s="3">
        <v>11</v>
      </c>
      <c r="C636" s="5">
        <v>310</v>
      </c>
      <c r="D636" s="6">
        <v>0</v>
      </c>
      <c r="E636" s="7">
        <v>100400</v>
      </c>
      <c r="F636" s="3">
        <v>53330</v>
      </c>
      <c r="G636" s="3" t="str">
        <f t="shared" si="9"/>
        <v>5</v>
      </c>
      <c r="H636" s="3" t="s">
        <v>265</v>
      </c>
      <c r="I636" s="8">
        <v>3455.41</v>
      </c>
      <c r="J636" s="8">
        <v>2803.17</v>
      </c>
      <c r="K636" s="8">
        <v>3455.41</v>
      </c>
    </row>
    <row r="637" spans="1:11" hidden="1" x14ac:dyDescent="0.25">
      <c r="A637" s="3" t="s">
        <v>1187</v>
      </c>
      <c r="B637" s="3">
        <v>11</v>
      </c>
      <c r="C637" s="5">
        <v>310</v>
      </c>
      <c r="D637" s="6">
        <v>0</v>
      </c>
      <c r="E637" s="7">
        <v>100400</v>
      </c>
      <c r="F637" s="3">
        <v>53410</v>
      </c>
      <c r="G637" s="3" t="str">
        <f t="shared" si="9"/>
        <v>5</v>
      </c>
      <c r="H637" s="3" t="s">
        <v>1188</v>
      </c>
      <c r="I637" s="8">
        <v>33121.43</v>
      </c>
      <c r="J637" s="8">
        <v>23608.61</v>
      </c>
      <c r="K637" s="8">
        <v>33121.43</v>
      </c>
    </row>
    <row r="638" spans="1:11" hidden="1" x14ac:dyDescent="0.25">
      <c r="A638" s="3" t="s">
        <v>1189</v>
      </c>
      <c r="B638" s="3">
        <v>11</v>
      </c>
      <c r="C638" s="5">
        <v>310</v>
      </c>
      <c r="D638" s="6">
        <v>0</v>
      </c>
      <c r="E638" s="7">
        <v>100400</v>
      </c>
      <c r="F638" s="3">
        <v>53510</v>
      </c>
      <c r="G638" s="3" t="str">
        <f t="shared" si="9"/>
        <v>5</v>
      </c>
      <c r="H638" s="3" t="s">
        <v>267</v>
      </c>
      <c r="I638" s="8">
        <v>119.16</v>
      </c>
      <c r="J638" s="8">
        <v>97.05</v>
      </c>
      <c r="K638" s="8">
        <v>119.16</v>
      </c>
    </row>
    <row r="639" spans="1:11" hidden="1" x14ac:dyDescent="0.25">
      <c r="A639" s="3" t="s">
        <v>1190</v>
      </c>
      <c r="B639" s="3">
        <v>11</v>
      </c>
      <c r="C639" s="5">
        <v>310</v>
      </c>
      <c r="D639" s="6">
        <v>0</v>
      </c>
      <c r="E639" s="7">
        <v>100400</v>
      </c>
      <c r="F639" s="3">
        <v>53610</v>
      </c>
      <c r="G639" s="3" t="str">
        <f t="shared" si="9"/>
        <v>5</v>
      </c>
      <c r="H639" s="3" t="s">
        <v>269</v>
      </c>
      <c r="I639" s="8">
        <v>4505.8500000000004</v>
      </c>
      <c r="J639" s="8">
        <v>3669.34</v>
      </c>
      <c r="K639" s="8">
        <v>4505.8500000000004</v>
      </c>
    </row>
    <row r="640" spans="1:11" hidden="1" x14ac:dyDescent="0.25">
      <c r="A640" s="3" t="s">
        <v>1191</v>
      </c>
      <c r="B640" s="3">
        <v>11</v>
      </c>
      <c r="C640" s="5">
        <v>310</v>
      </c>
      <c r="D640" s="6">
        <v>0</v>
      </c>
      <c r="E640" s="7">
        <v>100400</v>
      </c>
      <c r="F640" s="3">
        <v>54300</v>
      </c>
      <c r="G640" s="3" t="str">
        <f t="shared" si="9"/>
        <v>5</v>
      </c>
      <c r="H640" s="3" t="s">
        <v>1192</v>
      </c>
      <c r="I640" s="8">
        <v>880</v>
      </c>
      <c r="J640" s="8">
        <v>1659.71</v>
      </c>
      <c r="K640" s="8">
        <v>880</v>
      </c>
    </row>
    <row r="641" spans="1:11" hidden="1" x14ac:dyDescent="0.25">
      <c r="A641" s="3" t="s">
        <v>1193</v>
      </c>
      <c r="B641" s="3">
        <v>11</v>
      </c>
      <c r="C641" s="5">
        <v>310</v>
      </c>
      <c r="D641" s="6">
        <v>0</v>
      </c>
      <c r="E641" s="7">
        <v>100400</v>
      </c>
      <c r="F641" s="3">
        <v>55630</v>
      </c>
      <c r="G641" s="3" t="str">
        <f t="shared" si="9"/>
        <v>5</v>
      </c>
      <c r="H641" s="3" t="s">
        <v>1194</v>
      </c>
      <c r="I641" s="8">
        <v>250</v>
      </c>
      <c r="J641" s="8">
        <v>1.1599999999999999</v>
      </c>
      <c r="K641" s="8">
        <v>250</v>
      </c>
    </row>
    <row r="642" spans="1:11" hidden="1" x14ac:dyDescent="0.25">
      <c r="A642" s="3" t="s">
        <v>1195</v>
      </c>
      <c r="B642" s="3">
        <v>11</v>
      </c>
      <c r="C642" s="5">
        <v>310</v>
      </c>
      <c r="D642" s="6">
        <v>0</v>
      </c>
      <c r="E642" s="7">
        <v>100400</v>
      </c>
      <c r="F642" s="3">
        <v>55651</v>
      </c>
      <c r="G642" s="3" t="str">
        <f t="shared" si="9"/>
        <v>5</v>
      </c>
      <c r="H642" s="3" t="s">
        <v>1196</v>
      </c>
      <c r="I642" s="8">
        <v>500</v>
      </c>
      <c r="J642" s="8">
        <v>0</v>
      </c>
      <c r="K642" s="8">
        <v>500</v>
      </c>
    </row>
    <row r="643" spans="1:11" hidden="1" x14ac:dyDescent="0.25">
      <c r="A643" s="3" t="s">
        <v>1197</v>
      </c>
      <c r="B643" s="3">
        <v>11</v>
      </c>
      <c r="C643" s="5">
        <v>310</v>
      </c>
      <c r="D643" s="6">
        <v>0</v>
      </c>
      <c r="E643" s="7">
        <v>100700</v>
      </c>
      <c r="F643" s="3">
        <v>51100</v>
      </c>
      <c r="G643" s="3" t="str">
        <f t="shared" ref="G643:G706" si="10">LEFT(F643,1)</f>
        <v>5</v>
      </c>
      <c r="H643" s="3" t="s">
        <v>1198</v>
      </c>
      <c r="I643" s="8">
        <v>102880</v>
      </c>
      <c r="J643" s="8">
        <v>0</v>
      </c>
      <c r="K643" s="8">
        <v>102880</v>
      </c>
    </row>
    <row r="644" spans="1:11" hidden="1" x14ac:dyDescent="0.25">
      <c r="A644" s="3" t="s">
        <v>1199</v>
      </c>
      <c r="B644" s="3">
        <v>11</v>
      </c>
      <c r="C644" s="5">
        <v>310</v>
      </c>
      <c r="D644" s="6">
        <v>0</v>
      </c>
      <c r="E644" s="7">
        <v>100700</v>
      </c>
      <c r="F644" s="3">
        <v>51310</v>
      </c>
      <c r="G644" s="3" t="str">
        <f t="shared" si="10"/>
        <v>5</v>
      </c>
      <c r="H644" s="3" t="s">
        <v>1200</v>
      </c>
      <c r="I644" s="8">
        <v>23246</v>
      </c>
      <c r="J644" s="8">
        <v>7117.95</v>
      </c>
      <c r="K644" s="8">
        <v>23246</v>
      </c>
    </row>
    <row r="645" spans="1:11" hidden="1" x14ac:dyDescent="0.25">
      <c r="A645" s="3" t="s">
        <v>1201</v>
      </c>
      <c r="B645" s="3">
        <v>11</v>
      </c>
      <c r="C645" s="5">
        <v>310</v>
      </c>
      <c r="D645" s="6">
        <v>0</v>
      </c>
      <c r="E645" s="7">
        <v>100700</v>
      </c>
      <c r="F645" s="3">
        <v>51311</v>
      </c>
      <c r="G645" s="3" t="str">
        <f t="shared" si="10"/>
        <v>5</v>
      </c>
      <c r="H645" s="3" t="s">
        <v>1202</v>
      </c>
      <c r="I645" s="8">
        <v>120985</v>
      </c>
      <c r="J645" s="8">
        <v>59042.78</v>
      </c>
      <c r="K645" s="8">
        <v>120985</v>
      </c>
    </row>
    <row r="646" spans="1:11" hidden="1" x14ac:dyDescent="0.25">
      <c r="A646" s="3" t="s">
        <v>1203</v>
      </c>
      <c r="B646" s="3">
        <v>11</v>
      </c>
      <c r="C646" s="5">
        <v>310</v>
      </c>
      <c r="D646" s="6">
        <v>0</v>
      </c>
      <c r="E646" s="7">
        <v>100700</v>
      </c>
      <c r="F646" s="3">
        <v>52350</v>
      </c>
      <c r="G646" s="3" t="str">
        <f t="shared" si="10"/>
        <v>5</v>
      </c>
      <c r="H646" s="3" t="s">
        <v>1204</v>
      </c>
      <c r="I646" s="8">
        <v>435</v>
      </c>
      <c r="J646" s="8">
        <v>0</v>
      </c>
      <c r="K646" s="8">
        <v>435</v>
      </c>
    </row>
    <row r="647" spans="1:11" hidden="1" x14ac:dyDescent="0.25">
      <c r="A647" s="3" t="s">
        <v>1205</v>
      </c>
      <c r="B647" s="3">
        <v>11</v>
      </c>
      <c r="C647" s="5">
        <v>310</v>
      </c>
      <c r="D647" s="6">
        <v>0</v>
      </c>
      <c r="E647" s="7">
        <v>100700</v>
      </c>
      <c r="F647" s="3">
        <v>52360</v>
      </c>
      <c r="G647" s="3" t="str">
        <f t="shared" si="10"/>
        <v>5</v>
      </c>
      <c r="H647" s="3" t="s">
        <v>1206</v>
      </c>
      <c r="I647" s="8">
        <v>1500</v>
      </c>
      <c r="J647" s="8">
        <v>0</v>
      </c>
      <c r="K647" s="8">
        <v>1500</v>
      </c>
    </row>
    <row r="648" spans="1:11" hidden="1" x14ac:dyDescent="0.25">
      <c r="A648" s="3" t="s">
        <v>1207</v>
      </c>
      <c r="B648" s="3">
        <v>11</v>
      </c>
      <c r="C648" s="5">
        <v>310</v>
      </c>
      <c r="D648" s="6">
        <v>0</v>
      </c>
      <c r="E648" s="7">
        <v>100700</v>
      </c>
      <c r="F648" s="3">
        <v>53110</v>
      </c>
      <c r="G648" s="3" t="str">
        <f t="shared" si="10"/>
        <v>5</v>
      </c>
      <c r="H648" s="3" t="s">
        <v>1208</v>
      </c>
      <c r="I648" s="8">
        <v>39908.43</v>
      </c>
      <c r="J648" s="8">
        <v>9720.5300000000007</v>
      </c>
      <c r="K648" s="8">
        <v>39908.43</v>
      </c>
    </row>
    <row r="649" spans="1:11" hidden="1" x14ac:dyDescent="0.25">
      <c r="A649" s="3" t="s">
        <v>1209</v>
      </c>
      <c r="B649" s="3">
        <v>11</v>
      </c>
      <c r="C649" s="5">
        <v>310</v>
      </c>
      <c r="D649" s="6">
        <v>0</v>
      </c>
      <c r="E649" s="7">
        <v>100700</v>
      </c>
      <c r="F649" s="3">
        <v>53310</v>
      </c>
      <c r="G649" s="3" t="str">
        <f t="shared" si="10"/>
        <v>5</v>
      </c>
      <c r="H649" s="3" t="s">
        <v>1210</v>
      </c>
      <c r="I649" s="8">
        <v>0</v>
      </c>
      <c r="J649" s="8">
        <v>218.18</v>
      </c>
      <c r="K649" s="8">
        <v>0</v>
      </c>
    </row>
    <row r="650" spans="1:11" hidden="1" x14ac:dyDescent="0.25">
      <c r="A650" s="3" t="s">
        <v>1211</v>
      </c>
      <c r="B650" s="3">
        <v>11</v>
      </c>
      <c r="C650" s="5">
        <v>310</v>
      </c>
      <c r="D650" s="6">
        <v>0</v>
      </c>
      <c r="E650" s="7">
        <v>100700</v>
      </c>
      <c r="F650" s="3">
        <v>53320</v>
      </c>
      <c r="G650" s="3" t="str">
        <f t="shared" si="10"/>
        <v>5</v>
      </c>
      <c r="H650" s="3" t="s">
        <v>1212</v>
      </c>
      <c r="I650" s="8">
        <v>93</v>
      </c>
      <c r="J650" s="8">
        <v>0</v>
      </c>
      <c r="K650" s="8">
        <v>93</v>
      </c>
    </row>
    <row r="651" spans="1:11" hidden="1" x14ac:dyDescent="0.25">
      <c r="A651" s="3" t="s">
        <v>1213</v>
      </c>
      <c r="B651" s="3">
        <v>11</v>
      </c>
      <c r="C651" s="5">
        <v>310</v>
      </c>
      <c r="D651" s="6">
        <v>0</v>
      </c>
      <c r="E651" s="7">
        <v>100700</v>
      </c>
      <c r="F651" s="3">
        <v>53330</v>
      </c>
      <c r="G651" s="3" t="str">
        <f t="shared" si="10"/>
        <v>5</v>
      </c>
      <c r="H651" s="3" t="s">
        <v>1214</v>
      </c>
      <c r="I651" s="8">
        <v>3583.11</v>
      </c>
      <c r="J651" s="8">
        <v>959.33</v>
      </c>
      <c r="K651" s="8">
        <v>3583.11</v>
      </c>
    </row>
    <row r="652" spans="1:11" hidden="1" x14ac:dyDescent="0.25">
      <c r="A652" s="3" t="s">
        <v>1215</v>
      </c>
      <c r="B652" s="3">
        <v>11</v>
      </c>
      <c r="C652" s="5">
        <v>310</v>
      </c>
      <c r="D652" s="6">
        <v>0</v>
      </c>
      <c r="E652" s="7">
        <v>100700</v>
      </c>
      <c r="F652" s="3">
        <v>53340</v>
      </c>
      <c r="G652" s="3" t="str">
        <f t="shared" si="10"/>
        <v>5</v>
      </c>
      <c r="H652" s="3" t="s">
        <v>1216</v>
      </c>
      <c r="I652" s="8">
        <v>21.75</v>
      </c>
      <c r="J652" s="8">
        <v>0</v>
      </c>
      <c r="K652" s="8">
        <v>21.75</v>
      </c>
    </row>
    <row r="653" spans="1:11" hidden="1" x14ac:dyDescent="0.25">
      <c r="A653" s="3" t="s">
        <v>1217</v>
      </c>
      <c r="B653" s="3">
        <v>11</v>
      </c>
      <c r="C653" s="5">
        <v>310</v>
      </c>
      <c r="D653" s="6">
        <v>0</v>
      </c>
      <c r="E653" s="7">
        <v>100700</v>
      </c>
      <c r="F653" s="3">
        <v>53410</v>
      </c>
      <c r="G653" s="3" t="str">
        <f t="shared" si="10"/>
        <v>5</v>
      </c>
      <c r="H653" s="3" t="s">
        <v>1218</v>
      </c>
      <c r="I653" s="8">
        <v>33121.43</v>
      </c>
      <c r="J653" s="8">
        <v>0</v>
      </c>
      <c r="K653" s="8">
        <v>33121.43</v>
      </c>
    </row>
    <row r="654" spans="1:11" hidden="1" x14ac:dyDescent="0.25">
      <c r="A654" s="3" t="s">
        <v>1219</v>
      </c>
      <c r="B654" s="3">
        <v>11</v>
      </c>
      <c r="C654" s="5">
        <v>310</v>
      </c>
      <c r="D654" s="6">
        <v>0</v>
      </c>
      <c r="E654" s="7">
        <v>100700</v>
      </c>
      <c r="F654" s="3">
        <v>53510</v>
      </c>
      <c r="G654" s="3" t="str">
        <f t="shared" si="10"/>
        <v>5</v>
      </c>
      <c r="H654" s="3" t="s">
        <v>1220</v>
      </c>
      <c r="I654" s="8">
        <v>123.55</v>
      </c>
      <c r="J654" s="8">
        <v>33.14</v>
      </c>
      <c r="K654" s="8">
        <v>123.55</v>
      </c>
    </row>
    <row r="655" spans="1:11" hidden="1" x14ac:dyDescent="0.25">
      <c r="A655" s="3" t="s">
        <v>1221</v>
      </c>
      <c r="B655" s="3">
        <v>11</v>
      </c>
      <c r="C655" s="5">
        <v>310</v>
      </c>
      <c r="D655" s="6">
        <v>0</v>
      </c>
      <c r="E655" s="7">
        <v>100700</v>
      </c>
      <c r="F655" s="3">
        <v>53520</v>
      </c>
      <c r="G655" s="3" t="str">
        <f t="shared" si="10"/>
        <v>5</v>
      </c>
      <c r="H655" s="3" t="s">
        <v>1222</v>
      </c>
      <c r="I655" s="8">
        <v>0.75</v>
      </c>
      <c r="J655" s="8">
        <v>0</v>
      </c>
      <c r="K655" s="8">
        <v>0.75</v>
      </c>
    </row>
    <row r="656" spans="1:11" hidden="1" x14ac:dyDescent="0.25">
      <c r="A656" s="3" t="s">
        <v>1223</v>
      </c>
      <c r="B656" s="3">
        <v>11</v>
      </c>
      <c r="C656" s="5">
        <v>310</v>
      </c>
      <c r="D656" s="6">
        <v>0</v>
      </c>
      <c r="E656" s="7">
        <v>100700</v>
      </c>
      <c r="F656" s="3">
        <v>53610</v>
      </c>
      <c r="G656" s="3" t="str">
        <f t="shared" si="10"/>
        <v>5</v>
      </c>
      <c r="H656" s="3" t="s">
        <v>1224</v>
      </c>
      <c r="I656" s="8">
        <v>4672.38</v>
      </c>
      <c r="J656" s="8">
        <v>1251</v>
      </c>
      <c r="K656" s="8">
        <v>4672.38</v>
      </c>
    </row>
    <row r="657" spans="1:11" hidden="1" x14ac:dyDescent="0.25">
      <c r="A657" s="3" t="s">
        <v>1225</v>
      </c>
      <c r="B657" s="3">
        <v>11</v>
      </c>
      <c r="C657" s="5">
        <v>310</v>
      </c>
      <c r="D657" s="6">
        <v>0</v>
      </c>
      <c r="E657" s="7">
        <v>100700</v>
      </c>
      <c r="F657" s="3">
        <v>53620</v>
      </c>
      <c r="G657" s="3" t="str">
        <f t="shared" si="10"/>
        <v>5</v>
      </c>
      <c r="H657" s="3" t="s">
        <v>1226</v>
      </c>
      <c r="I657" s="8">
        <v>36.58</v>
      </c>
      <c r="J657" s="8">
        <v>0</v>
      </c>
      <c r="K657" s="8">
        <v>36.58</v>
      </c>
    </row>
    <row r="658" spans="1:11" hidden="1" x14ac:dyDescent="0.25">
      <c r="A658" s="3" t="s">
        <v>1227</v>
      </c>
      <c r="B658" s="3">
        <v>11</v>
      </c>
      <c r="C658" s="5">
        <v>310</v>
      </c>
      <c r="D658" s="6">
        <v>0</v>
      </c>
      <c r="E658" s="7">
        <v>100700</v>
      </c>
      <c r="F658" s="3">
        <v>55105</v>
      </c>
      <c r="G658" s="3" t="str">
        <f t="shared" si="10"/>
        <v>5</v>
      </c>
      <c r="H658" s="3" t="s">
        <v>1228</v>
      </c>
      <c r="I658" s="8">
        <v>1420</v>
      </c>
      <c r="J658" s="8">
        <v>1420</v>
      </c>
      <c r="K658" s="8">
        <v>1420</v>
      </c>
    </row>
    <row r="659" spans="1:11" hidden="1" x14ac:dyDescent="0.25">
      <c r="A659" s="3" t="s">
        <v>1229</v>
      </c>
      <c r="B659" s="3">
        <v>11</v>
      </c>
      <c r="C659" s="5">
        <v>310</v>
      </c>
      <c r="D659" s="6">
        <v>0</v>
      </c>
      <c r="E659" s="7">
        <v>100700</v>
      </c>
      <c r="F659" s="3">
        <v>55200</v>
      </c>
      <c r="G659" s="3" t="str">
        <f t="shared" si="10"/>
        <v>5</v>
      </c>
      <c r="H659" s="3" t="s">
        <v>1230</v>
      </c>
      <c r="I659" s="8">
        <v>0</v>
      </c>
      <c r="J659" s="8">
        <v>0</v>
      </c>
      <c r="K659" s="8">
        <v>0</v>
      </c>
    </row>
    <row r="660" spans="1:11" hidden="1" x14ac:dyDescent="0.25">
      <c r="A660" s="3" t="s">
        <v>1231</v>
      </c>
      <c r="B660" s="3">
        <v>11</v>
      </c>
      <c r="C660" s="5">
        <v>310</v>
      </c>
      <c r="D660" s="6">
        <v>0</v>
      </c>
      <c r="E660" s="7">
        <v>100700</v>
      </c>
      <c r="F660" s="3">
        <v>55300</v>
      </c>
      <c r="G660" s="3" t="str">
        <f t="shared" si="10"/>
        <v>5</v>
      </c>
      <c r="H660" s="3" t="s">
        <v>1232</v>
      </c>
      <c r="I660" s="8">
        <v>0</v>
      </c>
      <c r="J660" s="8">
        <v>0</v>
      </c>
      <c r="K660" s="8">
        <v>0</v>
      </c>
    </row>
    <row r="661" spans="1:11" hidden="1" x14ac:dyDescent="0.25">
      <c r="A661" s="3" t="s">
        <v>1233</v>
      </c>
      <c r="B661" s="3">
        <v>11</v>
      </c>
      <c r="C661" s="5">
        <v>310</v>
      </c>
      <c r="D661" s="6">
        <v>0</v>
      </c>
      <c r="E661" s="7">
        <v>100700</v>
      </c>
      <c r="F661" s="3">
        <v>55630</v>
      </c>
      <c r="G661" s="3" t="str">
        <f t="shared" si="10"/>
        <v>5</v>
      </c>
      <c r="H661" s="3" t="s">
        <v>1234</v>
      </c>
      <c r="I661" s="8">
        <v>0</v>
      </c>
      <c r="J661" s="8">
        <v>0</v>
      </c>
      <c r="K661" s="8">
        <v>0</v>
      </c>
    </row>
    <row r="662" spans="1:11" hidden="1" x14ac:dyDescent="0.25">
      <c r="A662" s="3" t="s">
        <v>1235</v>
      </c>
      <c r="B662" s="3">
        <v>11</v>
      </c>
      <c r="C662" s="5">
        <v>310</v>
      </c>
      <c r="D662" s="6">
        <v>0</v>
      </c>
      <c r="E662" s="7">
        <v>100700</v>
      </c>
      <c r="F662" s="3">
        <v>57552</v>
      </c>
      <c r="G662" s="3" t="str">
        <f t="shared" si="10"/>
        <v>5</v>
      </c>
      <c r="H662" s="3" t="s">
        <v>1236</v>
      </c>
      <c r="I662" s="8">
        <v>0</v>
      </c>
      <c r="J662" s="8">
        <v>0</v>
      </c>
      <c r="K662" s="8">
        <v>0</v>
      </c>
    </row>
    <row r="663" spans="1:11" hidden="1" x14ac:dyDescent="0.25">
      <c r="A663" s="3" t="s">
        <v>1237</v>
      </c>
      <c r="B663" s="3">
        <v>11</v>
      </c>
      <c r="C663" s="5">
        <v>310</v>
      </c>
      <c r="D663" s="6">
        <v>0</v>
      </c>
      <c r="E663" s="7">
        <v>101100</v>
      </c>
      <c r="F663" s="3">
        <v>51310</v>
      </c>
      <c r="G663" s="3" t="str">
        <f t="shared" si="10"/>
        <v>5</v>
      </c>
      <c r="H663" s="3" t="s">
        <v>1238</v>
      </c>
      <c r="I663" s="8">
        <v>4293</v>
      </c>
      <c r="J663" s="8">
        <v>6260.2</v>
      </c>
      <c r="K663" s="8">
        <v>4293</v>
      </c>
    </row>
    <row r="664" spans="1:11" hidden="1" x14ac:dyDescent="0.25">
      <c r="A664" s="3" t="s">
        <v>1239</v>
      </c>
      <c r="B664" s="3">
        <v>11</v>
      </c>
      <c r="C664" s="5">
        <v>310</v>
      </c>
      <c r="D664" s="6">
        <v>0</v>
      </c>
      <c r="E664" s="7">
        <v>101100</v>
      </c>
      <c r="F664" s="3">
        <v>51311</v>
      </c>
      <c r="G664" s="3" t="str">
        <f t="shared" si="10"/>
        <v>5</v>
      </c>
      <c r="H664" s="3" t="s">
        <v>271</v>
      </c>
      <c r="I664" s="8">
        <v>55907</v>
      </c>
      <c r="J664" s="8">
        <v>23573.55</v>
      </c>
      <c r="K664" s="8">
        <v>55907</v>
      </c>
    </row>
    <row r="665" spans="1:11" hidden="1" x14ac:dyDescent="0.25">
      <c r="A665" s="3" t="s">
        <v>1240</v>
      </c>
      <c r="B665" s="3">
        <v>11</v>
      </c>
      <c r="C665" s="5">
        <v>310</v>
      </c>
      <c r="D665" s="6">
        <v>0</v>
      </c>
      <c r="E665" s="7">
        <v>101100</v>
      </c>
      <c r="F665" s="3">
        <v>52200</v>
      </c>
      <c r="G665" s="3" t="str">
        <f t="shared" si="10"/>
        <v>5</v>
      </c>
      <c r="H665" s="3" t="s">
        <v>1241</v>
      </c>
      <c r="I665" s="8">
        <v>28110</v>
      </c>
      <c r="J665" s="8">
        <v>21082.53</v>
      </c>
      <c r="K665" s="8">
        <v>28110</v>
      </c>
    </row>
    <row r="666" spans="1:11" hidden="1" x14ac:dyDescent="0.25">
      <c r="A666" s="3" t="s">
        <v>1242</v>
      </c>
      <c r="B666" s="3">
        <v>11</v>
      </c>
      <c r="C666" s="5">
        <v>310</v>
      </c>
      <c r="D666" s="6">
        <v>0</v>
      </c>
      <c r="E666" s="7">
        <v>101100</v>
      </c>
      <c r="F666" s="3">
        <v>53110</v>
      </c>
      <c r="G666" s="3" t="str">
        <f t="shared" si="10"/>
        <v>5</v>
      </c>
      <c r="H666" s="3" t="s">
        <v>273</v>
      </c>
      <c r="I666" s="8">
        <v>9722.2999999999993</v>
      </c>
      <c r="J666" s="8">
        <v>4824.8</v>
      </c>
      <c r="K666" s="8">
        <v>9722.2999999999993</v>
      </c>
    </row>
    <row r="667" spans="1:11" hidden="1" x14ac:dyDescent="0.25">
      <c r="A667" s="3" t="s">
        <v>1243</v>
      </c>
      <c r="B667" s="3">
        <v>11</v>
      </c>
      <c r="C667" s="5">
        <v>310</v>
      </c>
      <c r="D667" s="6">
        <v>0</v>
      </c>
      <c r="E667" s="7">
        <v>101100</v>
      </c>
      <c r="F667" s="3">
        <v>53210</v>
      </c>
      <c r="G667" s="3" t="str">
        <f t="shared" si="10"/>
        <v>5</v>
      </c>
      <c r="H667" s="3" t="s">
        <v>1244</v>
      </c>
      <c r="I667" s="8">
        <v>5818.77</v>
      </c>
      <c r="J667" s="8">
        <v>4317.4799999999996</v>
      </c>
      <c r="K667" s="8">
        <v>5818.77</v>
      </c>
    </row>
    <row r="668" spans="1:11" hidden="1" x14ac:dyDescent="0.25">
      <c r="A668" s="3" t="s">
        <v>1245</v>
      </c>
      <c r="B668" s="3">
        <v>11</v>
      </c>
      <c r="C668" s="5">
        <v>310</v>
      </c>
      <c r="D668" s="6">
        <v>0</v>
      </c>
      <c r="E668" s="7">
        <v>101100</v>
      </c>
      <c r="F668" s="3">
        <v>53310</v>
      </c>
      <c r="G668" s="3" t="str">
        <f t="shared" si="10"/>
        <v>5</v>
      </c>
      <c r="H668" s="3" t="s">
        <v>1246</v>
      </c>
      <c r="I668" s="8">
        <v>1742.82</v>
      </c>
      <c r="J668" s="8">
        <v>1308.6199999999999</v>
      </c>
      <c r="K668" s="8">
        <v>1742.82</v>
      </c>
    </row>
    <row r="669" spans="1:11" hidden="1" x14ac:dyDescent="0.25">
      <c r="A669" s="3" t="s">
        <v>1247</v>
      </c>
      <c r="B669" s="3">
        <v>11</v>
      </c>
      <c r="C669" s="5">
        <v>310</v>
      </c>
      <c r="D669" s="6">
        <v>0</v>
      </c>
      <c r="E669" s="7">
        <v>101100</v>
      </c>
      <c r="F669" s="3">
        <v>53330</v>
      </c>
      <c r="G669" s="3" t="str">
        <f t="shared" si="10"/>
        <v>5</v>
      </c>
      <c r="H669" s="3" t="s">
        <v>275</v>
      </c>
      <c r="I669" s="8">
        <v>1280.5</v>
      </c>
      <c r="J669" s="8">
        <v>738.64</v>
      </c>
      <c r="K669" s="8">
        <v>1280.5</v>
      </c>
    </row>
    <row r="670" spans="1:11" hidden="1" x14ac:dyDescent="0.25">
      <c r="A670" s="3" t="s">
        <v>1248</v>
      </c>
      <c r="B670" s="3">
        <v>11</v>
      </c>
      <c r="C670" s="5">
        <v>310</v>
      </c>
      <c r="D670" s="6">
        <v>0</v>
      </c>
      <c r="E670" s="7">
        <v>101100</v>
      </c>
      <c r="F670" s="3">
        <v>53410</v>
      </c>
      <c r="G670" s="3" t="str">
        <f t="shared" si="10"/>
        <v>5</v>
      </c>
      <c r="H670" s="3" t="s">
        <v>1249</v>
      </c>
      <c r="I670" s="8">
        <v>6570.81</v>
      </c>
      <c r="J670" s="8">
        <v>4806.54</v>
      </c>
      <c r="K670" s="8">
        <v>6570.81</v>
      </c>
    </row>
    <row r="671" spans="1:11" hidden="1" x14ac:dyDescent="0.25">
      <c r="A671" s="3" t="s">
        <v>1250</v>
      </c>
      <c r="B671" s="3">
        <v>11</v>
      </c>
      <c r="C671" s="5">
        <v>310</v>
      </c>
      <c r="D671" s="6">
        <v>0</v>
      </c>
      <c r="E671" s="7">
        <v>101100</v>
      </c>
      <c r="F671" s="3">
        <v>53510</v>
      </c>
      <c r="G671" s="3" t="str">
        <f t="shared" si="10"/>
        <v>5</v>
      </c>
      <c r="H671" s="3" t="s">
        <v>277</v>
      </c>
      <c r="I671" s="8">
        <v>44.16</v>
      </c>
      <c r="J671" s="8">
        <v>25.48</v>
      </c>
      <c r="K671" s="8">
        <v>44.16</v>
      </c>
    </row>
    <row r="672" spans="1:11" hidden="1" x14ac:dyDescent="0.25">
      <c r="A672" s="3" t="s">
        <v>1251</v>
      </c>
      <c r="B672" s="3">
        <v>11</v>
      </c>
      <c r="C672" s="5">
        <v>310</v>
      </c>
      <c r="D672" s="6">
        <v>0</v>
      </c>
      <c r="E672" s="7">
        <v>101100</v>
      </c>
      <c r="F672" s="3">
        <v>53610</v>
      </c>
      <c r="G672" s="3" t="str">
        <f t="shared" si="10"/>
        <v>5</v>
      </c>
      <c r="H672" s="3" t="s">
        <v>279</v>
      </c>
      <c r="I672" s="8">
        <v>1669.76</v>
      </c>
      <c r="J672" s="8">
        <v>963.83</v>
      </c>
      <c r="K672" s="8">
        <v>1669.76</v>
      </c>
    </row>
    <row r="673" spans="1:11" hidden="1" x14ac:dyDescent="0.25">
      <c r="A673" s="3" t="s">
        <v>1252</v>
      </c>
      <c r="B673" s="3">
        <v>11</v>
      </c>
      <c r="C673" s="5">
        <v>310</v>
      </c>
      <c r="D673" s="6">
        <v>0</v>
      </c>
      <c r="E673" s="7">
        <v>101100</v>
      </c>
      <c r="F673" s="3">
        <v>54300</v>
      </c>
      <c r="G673" s="3" t="str">
        <f t="shared" si="10"/>
        <v>5</v>
      </c>
      <c r="H673" s="3" t="s">
        <v>1253</v>
      </c>
      <c r="I673" s="8">
        <v>684</v>
      </c>
      <c r="J673" s="8">
        <v>0</v>
      </c>
      <c r="K673" s="8">
        <v>684</v>
      </c>
    </row>
    <row r="674" spans="1:11" hidden="1" x14ac:dyDescent="0.25">
      <c r="A674" s="3" t="s">
        <v>1254</v>
      </c>
      <c r="B674" s="3">
        <v>11</v>
      </c>
      <c r="C674" s="5">
        <v>310</v>
      </c>
      <c r="D674" s="6">
        <v>0</v>
      </c>
      <c r="E674" s="7">
        <v>101100</v>
      </c>
      <c r="F674" s="3">
        <v>55630</v>
      </c>
      <c r="G674" s="3" t="str">
        <f t="shared" si="10"/>
        <v>5</v>
      </c>
      <c r="H674" s="3" t="s">
        <v>1255</v>
      </c>
      <c r="I674" s="8">
        <v>250</v>
      </c>
      <c r="J674" s="8">
        <v>0</v>
      </c>
      <c r="K674" s="8">
        <v>250</v>
      </c>
    </row>
    <row r="675" spans="1:11" hidden="1" x14ac:dyDescent="0.25">
      <c r="A675" s="3" t="s">
        <v>1256</v>
      </c>
      <c r="B675" s="3">
        <v>11</v>
      </c>
      <c r="C675" s="5">
        <v>310</v>
      </c>
      <c r="D675" s="6">
        <v>0</v>
      </c>
      <c r="E675" s="7">
        <v>130500</v>
      </c>
      <c r="F675" s="3">
        <v>51310</v>
      </c>
      <c r="G675" s="3" t="str">
        <f t="shared" si="10"/>
        <v>5</v>
      </c>
      <c r="H675" s="3" t="s">
        <v>1257</v>
      </c>
      <c r="I675" s="8">
        <v>0</v>
      </c>
      <c r="J675" s="8">
        <v>5156.16</v>
      </c>
      <c r="K675" s="8">
        <v>0</v>
      </c>
    </row>
    <row r="676" spans="1:11" hidden="1" x14ac:dyDescent="0.25">
      <c r="A676" s="3" t="s">
        <v>1258</v>
      </c>
      <c r="B676" s="3">
        <v>11</v>
      </c>
      <c r="C676" s="5">
        <v>310</v>
      </c>
      <c r="D676" s="6">
        <v>0</v>
      </c>
      <c r="E676" s="7">
        <v>130500</v>
      </c>
      <c r="F676" s="3">
        <v>52200</v>
      </c>
      <c r="G676" s="3" t="str">
        <f t="shared" si="10"/>
        <v>5</v>
      </c>
      <c r="H676" s="3" t="s">
        <v>1259</v>
      </c>
      <c r="I676" s="8">
        <v>0</v>
      </c>
      <c r="J676" s="8">
        <v>977.81</v>
      </c>
      <c r="K676" s="8">
        <v>0</v>
      </c>
    </row>
    <row r="677" spans="1:11" hidden="1" x14ac:dyDescent="0.25">
      <c r="A677" s="3" t="s">
        <v>1260</v>
      </c>
      <c r="B677" s="3">
        <v>11</v>
      </c>
      <c r="C677" s="5">
        <v>310</v>
      </c>
      <c r="D677" s="6">
        <v>0</v>
      </c>
      <c r="E677" s="7">
        <v>130500</v>
      </c>
      <c r="F677" s="3">
        <v>53110</v>
      </c>
      <c r="G677" s="3" t="str">
        <f t="shared" si="10"/>
        <v>5</v>
      </c>
      <c r="H677" s="3" t="s">
        <v>293</v>
      </c>
      <c r="I677" s="8">
        <v>0</v>
      </c>
      <c r="J677" s="8">
        <v>832.72</v>
      </c>
      <c r="K677" s="8">
        <v>0</v>
      </c>
    </row>
    <row r="678" spans="1:11" hidden="1" x14ac:dyDescent="0.25">
      <c r="A678" s="3" t="s">
        <v>1261</v>
      </c>
      <c r="B678" s="3">
        <v>11</v>
      </c>
      <c r="C678" s="5">
        <v>310</v>
      </c>
      <c r="D678" s="6">
        <v>0</v>
      </c>
      <c r="E678" s="7">
        <v>130500</v>
      </c>
      <c r="F678" s="3">
        <v>53210</v>
      </c>
      <c r="G678" s="3" t="str">
        <f t="shared" si="10"/>
        <v>5</v>
      </c>
      <c r="H678" s="3" t="s">
        <v>1262</v>
      </c>
      <c r="I678" s="8">
        <v>0</v>
      </c>
      <c r="J678" s="8">
        <v>192.83</v>
      </c>
      <c r="K678" s="8">
        <v>0</v>
      </c>
    </row>
    <row r="679" spans="1:11" hidden="1" x14ac:dyDescent="0.25">
      <c r="A679" s="3" t="s">
        <v>1263</v>
      </c>
      <c r="B679" s="3">
        <v>11</v>
      </c>
      <c r="C679" s="5">
        <v>310</v>
      </c>
      <c r="D679" s="6">
        <v>0</v>
      </c>
      <c r="E679" s="7">
        <v>130500</v>
      </c>
      <c r="F679" s="3">
        <v>53310</v>
      </c>
      <c r="G679" s="3" t="str">
        <f t="shared" si="10"/>
        <v>5</v>
      </c>
      <c r="H679" s="3" t="s">
        <v>295</v>
      </c>
      <c r="I679" s="8">
        <v>0</v>
      </c>
      <c r="J679" s="8">
        <v>60.63</v>
      </c>
      <c r="K679" s="8">
        <v>0</v>
      </c>
    </row>
    <row r="680" spans="1:11" hidden="1" x14ac:dyDescent="0.25">
      <c r="A680" s="3" t="s">
        <v>1264</v>
      </c>
      <c r="B680" s="3">
        <v>11</v>
      </c>
      <c r="C680" s="5">
        <v>310</v>
      </c>
      <c r="D680" s="6">
        <v>0</v>
      </c>
      <c r="E680" s="7">
        <v>130500</v>
      </c>
      <c r="F680" s="3">
        <v>53330</v>
      </c>
      <c r="G680" s="3" t="str">
        <f t="shared" si="10"/>
        <v>5</v>
      </c>
      <c r="H680" s="3" t="s">
        <v>297</v>
      </c>
      <c r="I680" s="8">
        <v>0</v>
      </c>
      <c r="J680" s="8">
        <v>88.94</v>
      </c>
      <c r="K680" s="8">
        <v>0</v>
      </c>
    </row>
    <row r="681" spans="1:11" hidden="1" x14ac:dyDescent="0.25">
      <c r="A681" s="3" t="s">
        <v>1265</v>
      </c>
      <c r="B681" s="3">
        <v>11</v>
      </c>
      <c r="C681" s="5">
        <v>310</v>
      </c>
      <c r="D681" s="6">
        <v>0</v>
      </c>
      <c r="E681" s="7">
        <v>130500</v>
      </c>
      <c r="F681" s="3">
        <v>53510</v>
      </c>
      <c r="G681" s="3" t="str">
        <f t="shared" si="10"/>
        <v>5</v>
      </c>
      <c r="H681" s="3" t="s">
        <v>299</v>
      </c>
      <c r="I681" s="8">
        <v>0</v>
      </c>
      <c r="J681" s="8">
        <v>3.07</v>
      </c>
      <c r="K681" s="8">
        <v>0</v>
      </c>
    </row>
    <row r="682" spans="1:11" hidden="1" x14ac:dyDescent="0.25">
      <c r="A682" s="3" t="s">
        <v>1266</v>
      </c>
      <c r="B682" s="3">
        <v>11</v>
      </c>
      <c r="C682" s="5">
        <v>310</v>
      </c>
      <c r="D682" s="6">
        <v>0</v>
      </c>
      <c r="E682" s="7">
        <v>130500</v>
      </c>
      <c r="F682" s="3">
        <v>53610</v>
      </c>
      <c r="G682" s="3" t="str">
        <f t="shared" si="10"/>
        <v>5</v>
      </c>
      <c r="H682" s="3" t="s">
        <v>301</v>
      </c>
      <c r="I682" s="8">
        <v>0</v>
      </c>
      <c r="J682" s="8">
        <v>115.99</v>
      </c>
      <c r="K682" s="8">
        <v>0</v>
      </c>
    </row>
    <row r="683" spans="1:11" hidden="1" x14ac:dyDescent="0.25">
      <c r="A683" s="3" t="s">
        <v>1267</v>
      </c>
      <c r="B683" s="3">
        <v>11</v>
      </c>
      <c r="C683" s="5">
        <v>310</v>
      </c>
      <c r="D683" s="6">
        <v>0</v>
      </c>
      <c r="E683" s="7">
        <v>130500</v>
      </c>
      <c r="F683" s="3">
        <v>55630</v>
      </c>
      <c r="G683" s="3" t="str">
        <f t="shared" si="10"/>
        <v>5</v>
      </c>
      <c r="H683" s="3" t="s">
        <v>1268</v>
      </c>
      <c r="I683" s="8">
        <v>0</v>
      </c>
      <c r="J683" s="8">
        <v>62.74</v>
      </c>
      <c r="K683" s="8">
        <v>0</v>
      </c>
    </row>
    <row r="684" spans="1:11" hidden="1" x14ac:dyDescent="0.25">
      <c r="A684" s="3" t="s">
        <v>1269</v>
      </c>
      <c r="B684" s="3">
        <v>11</v>
      </c>
      <c r="C684" s="5">
        <v>310</v>
      </c>
      <c r="D684" s="6">
        <v>0</v>
      </c>
      <c r="E684" s="7">
        <v>140100</v>
      </c>
      <c r="F684" s="3">
        <v>55300</v>
      </c>
      <c r="G684" s="3" t="str">
        <f t="shared" si="10"/>
        <v>5</v>
      </c>
      <c r="H684" s="3" t="s">
        <v>1270</v>
      </c>
      <c r="I684" s="8">
        <v>5000</v>
      </c>
      <c r="J684" s="8">
        <v>0</v>
      </c>
      <c r="K684" s="8">
        <v>5000</v>
      </c>
    </row>
    <row r="685" spans="1:11" hidden="1" x14ac:dyDescent="0.25">
      <c r="A685" s="3" t="s">
        <v>1271</v>
      </c>
      <c r="B685" s="3">
        <v>11</v>
      </c>
      <c r="C685" s="5">
        <v>310</v>
      </c>
      <c r="D685" s="6">
        <v>0</v>
      </c>
      <c r="E685" s="7">
        <v>150900</v>
      </c>
      <c r="F685" s="3">
        <v>51100</v>
      </c>
      <c r="G685" s="3" t="str">
        <f t="shared" si="10"/>
        <v>5</v>
      </c>
      <c r="H685" s="3" t="s">
        <v>1272</v>
      </c>
      <c r="I685" s="8">
        <v>85006</v>
      </c>
      <c r="J685" s="8">
        <v>61822.559999999998</v>
      </c>
      <c r="K685" s="8">
        <v>85006</v>
      </c>
    </row>
    <row r="686" spans="1:11" hidden="1" x14ac:dyDescent="0.25">
      <c r="A686" s="3" t="s">
        <v>1273</v>
      </c>
      <c r="B686" s="3">
        <v>11</v>
      </c>
      <c r="C686" s="5">
        <v>310</v>
      </c>
      <c r="D686" s="6">
        <v>0</v>
      </c>
      <c r="E686" s="7">
        <v>150900</v>
      </c>
      <c r="F686" s="3">
        <v>51310</v>
      </c>
      <c r="G686" s="3" t="str">
        <f t="shared" si="10"/>
        <v>5</v>
      </c>
      <c r="H686" s="3" t="s">
        <v>1274</v>
      </c>
      <c r="I686" s="8">
        <v>25758</v>
      </c>
      <c r="J686" s="8">
        <v>9858.7999999999993</v>
      </c>
      <c r="K686" s="8">
        <v>25758</v>
      </c>
    </row>
    <row r="687" spans="1:11" hidden="1" x14ac:dyDescent="0.25">
      <c r="A687" s="3" t="s">
        <v>1275</v>
      </c>
      <c r="B687" s="3">
        <v>11</v>
      </c>
      <c r="C687" s="5">
        <v>310</v>
      </c>
      <c r="D687" s="6">
        <v>0</v>
      </c>
      <c r="E687" s="7">
        <v>150900</v>
      </c>
      <c r="F687" s="3">
        <v>51311</v>
      </c>
      <c r="G687" s="3" t="str">
        <f t="shared" si="10"/>
        <v>5</v>
      </c>
      <c r="H687" s="3" t="s">
        <v>1276</v>
      </c>
      <c r="I687" s="8">
        <v>3000</v>
      </c>
      <c r="J687" s="8">
        <v>0</v>
      </c>
      <c r="K687" s="8">
        <v>3000</v>
      </c>
    </row>
    <row r="688" spans="1:11" hidden="1" x14ac:dyDescent="0.25">
      <c r="A688" s="3" t="s">
        <v>1277</v>
      </c>
      <c r="B688" s="3">
        <v>11</v>
      </c>
      <c r="C688" s="5">
        <v>310</v>
      </c>
      <c r="D688" s="6">
        <v>0</v>
      </c>
      <c r="E688" s="7">
        <v>150900</v>
      </c>
      <c r="F688" s="3">
        <v>51412</v>
      </c>
      <c r="G688" s="3" t="str">
        <f t="shared" si="10"/>
        <v>5</v>
      </c>
      <c r="H688" s="3" t="s">
        <v>1278</v>
      </c>
      <c r="I688" s="8">
        <v>4000</v>
      </c>
      <c r="J688" s="8">
        <v>0</v>
      </c>
      <c r="K688" s="8">
        <v>4000</v>
      </c>
    </row>
    <row r="689" spans="1:11" hidden="1" x14ac:dyDescent="0.25">
      <c r="A689" s="3" t="s">
        <v>1279</v>
      </c>
      <c r="B689" s="3">
        <v>11</v>
      </c>
      <c r="C689" s="5">
        <v>310</v>
      </c>
      <c r="D689" s="6">
        <v>0</v>
      </c>
      <c r="E689" s="7">
        <v>150900</v>
      </c>
      <c r="F689" s="3">
        <v>53110</v>
      </c>
      <c r="G689" s="3" t="str">
        <f t="shared" si="10"/>
        <v>5</v>
      </c>
      <c r="H689" s="3" t="s">
        <v>1280</v>
      </c>
      <c r="I689" s="8">
        <v>18372.89</v>
      </c>
      <c r="J689" s="8">
        <v>11576.53</v>
      </c>
      <c r="K689" s="8">
        <v>18372.89</v>
      </c>
    </row>
    <row r="690" spans="1:11" hidden="1" x14ac:dyDescent="0.25">
      <c r="A690" s="3" t="s">
        <v>1281</v>
      </c>
      <c r="B690" s="3">
        <v>11</v>
      </c>
      <c r="C690" s="5">
        <v>310</v>
      </c>
      <c r="D690" s="6">
        <v>0</v>
      </c>
      <c r="E690" s="7">
        <v>150900</v>
      </c>
      <c r="F690" s="3">
        <v>53120</v>
      </c>
      <c r="G690" s="3" t="str">
        <f t="shared" si="10"/>
        <v>5</v>
      </c>
      <c r="H690" s="3" t="s">
        <v>1282</v>
      </c>
      <c r="I690" s="8">
        <v>646</v>
      </c>
      <c r="J690" s="8">
        <v>0</v>
      </c>
      <c r="K690" s="8">
        <v>646</v>
      </c>
    </row>
    <row r="691" spans="1:11" hidden="1" x14ac:dyDescent="0.25">
      <c r="A691" s="3" t="s">
        <v>1283</v>
      </c>
      <c r="B691" s="3">
        <v>11</v>
      </c>
      <c r="C691" s="5">
        <v>310</v>
      </c>
      <c r="D691" s="6">
        <v>0</v>
      </c>
      <c r="E691" s="7">
        <v>150900</v>
      </c>
      <c r="F691" s="3">
        <v>53330</v>
      </c>
      <c r="G691" s="3" t="str">
        <f t="shared" si="10"/>
        <v>5</v>
      </c>
      <c r="H691" s="3" t="s">
        <v>1284</v>
      </c>
      <c r="I691" s="8">
        <v>1649.58</v>
      </c>
      <c r="J691" s="8">
        <v>1033.48</v>
      </c>
      <c r="K691" s="8">
        <v>1649.58</v>
      </c>
    </row>
    <row r="692" spans="1:11" hidden="1" x14ac:dyDescent="0.25">
      <c r="A692" s="3" t="s">
        <v>1285</v>
      </c>
      <c r="B692" s="3">
        <v>11</v>
      </c>
      <c r="C692" s="5">
        <v>310</v>
      </c>
      <c r="D692" s="6">
        <v>0</v>
      </c>
      <c r="E692" s="7">
        <v>150900</v>
      </c>
      <c r="F692" s="3">
        <v>53340</v>
      </c>
      <c r="G692" s="3" t="str">
        <f t="shared" si="10"/>
        <v>5</v>
      </c>
      <c r="H692" s="3" t="s">
        <v>1286</v>
      </c>
      <c r="I692" s="8">
        <v>58</v>
      </c>
      <c r="J692" s="8">
        <v>0</v>
      </c>
      <c r="K692" s="8">
        <v>58</v>
      </c>
    </row>
    <row r="693" spans="1:11" hidden="1" x14ac:dyDescent="0.25">
      <c r="A693" s="3" t="s">
        <v>1287</v>
      </c>
      <c r="B693" s="3">
        <v>11</v>
      </c>
      <c r="C693" s="5">
        <v>310</v>
      </c>
      <c r="D693" s="6">
        <v>0</v>
      </c>
      <c r="E693" s="7">
        <v>150900</v>
      </c>
      <c r="F693" s="3">
        <v>53410</v>
      </c>
      <c r="G693" s="3" t="str">
        <f t="shared" si="10"/>
        <v>5</v>
      </c>
      <c r="H693" s="3" t="s">
        <v>1288</v>
      </c>
      <c r="I693" s="8">
        <v>25240.73</v>
      </c>
      <c r="J693" s="8">
        <v>17987.37</v>
      </c>
      <c r="K693" s="8">
        <v>25240.73</v>
      </c>
    </row>
    <row r="694" spans="1:11" hidden="1" x14ac:dyDescent="0.25">
      <c r="A694" s="3" t="s">
        <v>1289</v>
      </c>
      <c r="B694" s="3">
        <v>11</v>
      </c>
      <c r="C694" s="5">
        <v>310</v>
      </c>
      <c r="D694" s="6">
        <v>0</v>
      </c>
      <c r="E694" s="7">
        <v>150900</v>
      </c>
      <c r="F694" s="3">
        <v>53510</v>
      </c>
      <c r="G694" s="3" t="str">
        <f t="shared" si="10"/>
        <v>5</v>
      </c>
      <c r="H694" s="3" t="s">
        <v>1290</v>
      </c>
      <c r="I694" s="8">
        <v>56.88</v>
      </c>
      <c r="J694" s="8">
        <v>35.81</v>
      </c>
      <c r="K694" s="8">
        <v>56.88</v>
      </c>
    </row>
    <row r="695" spans="1:11" hidden="1" x14ac:dyDescent="0.25">
      <c r="A695" s="3" t="s">
        <v>1291</v>
      </c>
      <c r="B695" s="3">
        <v>11</v>
      </c>
      <c r="C695" s="5">
        <v>310</v>
      </c>
      <c r="D695" s="6">
        <v>0</v>
      </c>
      <c r="E695" s="7">
        <v>150900</v>
      </c>
      <c r="F695" s="3">
        <v>53520</v>
      </c>
      <c r="G695" s="3" t="str">
        <f t="shared" si="10"/>
        <v>5</v>
      </c>
      <c r="H695" s="3" t="s">
        <v>1292</v>
      </c>
      <c r="I695" s="8">
        <v>2</v>
      </c>
      <c r="J695" s="8">
        <v>0</v>
      </c>
      <c r="K695" s="8">
        <v>2</v>
      </c>
    </row>
    <row r="696" spans="1:11" hidden="1" x14ac:dyDescent="0.25">
      <c r="A696" s="3" t="s">
        <v>1293</v>
      </c>
      <c r="B696" s="3">
        <v>11</v>
      </c>
      <c r="C696" s="5">
        <v>310</v>
      </c>
      <c r="D696" s="6">
        <v>0</v>
      </c>
      <c r="E696" s="7">
        <v>150900</v>
      </c>
      <c r="F696" s="3">
        <v>53610</v>
      </c>
      <c r="G696" s="3" t="str">
        <f t="shared" si="10"/>
        <v>5</v>
      </c>
      <c r="H696" s="3" t="s">
        <v>1294</v>
      </c>
      <c r="I696" s="8">
        <v>2151.04</v>
      </c>
      <c r="J696" s="8">
        <v>1355.37</v>
      </c>
      <c r="K696" s="8">
        <v>2151.04</v>
      </c>
    </row>
    <row r="697" spans="1:11" hidden="1" x14ac:dyDescent="0.25">
      <c r="A697" s="3" t="s">
        <v>1295</v>
      </c>
      <c r="B697" s="3">
        <v>11</v>
      </c>
      <c r="C697" s="5">
        <v>310</v>
      </c>
      <c r="D697" s="6">
        <v>0</v>
      </c>
      <c r="E697" s="7">
        <v>150900</v>
      </c>
      <c r="F697" s="3">
        <v>53620</v>
      </c>
      <c r="G697" s="3" t="str">
        <f t="shared" si="10"/>
        <v>5</v>
      </c>
      <c r="H697" s="3" t="s">
        <v>1296</v>
      </c>
      <c r="I697" s="8">
        <v>75.63</v>
      </c>
      <c r="J697" s="8">
        <v>0</v>
      </c>
      <c r="K697" s="8">
        <v>75.63</v>
      </c>
    </row>
    <row r="698" spans="1:11" hidden="1" x14ac:dyDescent="0.25">
      <c r="A698" s="3" t="s">
        <v>1297</v>
      </c>
      <c r="B698" s="3">
        <v>11</v>
      </c>
      <c r="C698" s="5">
        <v>310</v>
      </c>
      <c r="D698" s="6">
        <v>0</v>
      </c>
      <c r="E698" s="7">
        <v>150900</v>
      </c>
      <c r="F698" s="3">
        <v>55630</v>
      </c>
      <c r="G698" s="3" t="str">
        <f t="shared" si="10"/>
        <v>5</v>
      </c>
      <c r="H698" s="3" t="s">
        <v>1298</v>
      </c>
      <c r="I698" s="8">
        <v>250</v>
      </c>
      <c r="J698" s="8">
        <v>0</v>
      </c>
      <c r="K698" s="8">
        <v>250</v>
      </c>
    </row>
    <row r="699" spans="1:11" hidden="1" x14ac:dyDescent="0.25">
      <c r="A699" s="3" t="s">
        <v>1299</v>
      </c>
      <c r="B699" s="3">
        <v>11</v>
      </c>
      <c r="C699" s="5">
        <v>310</v>
      </c>
      <c r="D699" s="6">
        <v>0</v>
      </c>
      <c r="E699" s="7">
        <v>200100</v>
      </c>
      <c r="F699" s="3">
        <v>51100</v>
      </c>
      <c r="G699" s="3" t="str">
        <f t="shared" si="10"/>
        <v>5</v>
      </c>
      <c r="H699" s="3" t="s">
        <v>1300</v>
      </c>
      <c r="I699" s="8">
        <v>195597</v>
      </c>
      <c r="J699" s="8">
        <v>116449.43</v>
      </c>
      <c r="K699" s="8">
        <v>195597</v>
      </c>
    </row>
    <row r="700" spans="1:11" hidden="1" x14ac:dyDescent="0.25">
      <c r="A700" s="3" t="s">
        <v>1301</v>
      </c>
      <c r="B700" s="3">
        <v>11</v>
      </c>
      <c r="C700" s="5">
        <v>310</v>
      </c>
      <c r="D700" s="6">
        <v>0</v>
      </c>
      <c r="E700" s="7">
        <v>200100</v>
      </c>
      <c r="F700" s="3">
        <v>51310</v>
      </c>
      <c r="G700" s="3" t="str">
        <f t="shared" si="10"/>
        <v>5</v>
      </c>
      <c r="H700" s="3" t="s">
        <v>1302</v>
      </c>
      <c r="I700" s="8">
        <v>4293</v>
      </c>
      <c r="J700" s="8">
        <v>3819.95</v>
      </c>
      <c r="K700" s="8">
        <v>4293</v>
      </c>
    </row>
    <row r="701" spans="1:11" hidden="1" x14ac:dyDescent="0.25">
      <c r="A701" s="3" t="s">
        <v>1303</v>
      </c>
      <c r="B701" s="3">
        <v>11</v>
      </c>
      <c r="C701" s="5">
        <v>310</v>
      </c>
      <c r="D701" s="6">
        <v>0</v>
      </c>
      <c r="E701" s="7">
        <v>200100</v>
      </c>
      <c r="F701" s="3">
        <v>51311</v>
      </c>
      <c r="G701" s="3" t="str">
        <f t="shared" si="10"/>
        <v>5</v>
      </c>
      <c r="H701" s="3" t="s">
        <v>363</v>
      </c>
      <c r="I701" s="8">
        <v>186940</v>
      </c>
      <c r="J701" s="8">
        <v>141670.63</v>
      </c>
      <c r="K701" s="8">
        <v>186940</v>
      </c>
    </row>
    <row r="702" spans="1:11" hidden="1" x14ac:dyDescent="0.25">
      <c r="A702" s="3" t="s">
        <v>1304</v>
      </c>
      <c r="B702" s="3">
        <v>11</v>
      </c>
      <c r="C702" s="5">
        <v>310</v>
      </c>
      <c r="D702" s="6">
        <v>0</v>
      </c>
      <c r="E702" s="7">
        <v>200100</v>
      </c>
      <c r="F702" s="3">
        <v>51412</v>
      </c>
      <c r="G702" s="3" t="str">
        <f t="shared" si="10"/>
        <v>5</v>
      </c>
      <c r="H702" s="3" t="s">
        <v>1305</v>
      </c>
      <c r="I702" s="8">
        <v>300</v>
      </c>
      <c r="J702" s="8">
        <v>0</v>
      </c>
      <c r="K702" s="8">
        <v>300</v>
      </c>
    </row>
    <row r="703" spans="1:11" hidden="1" x14ac:dyDescent="0.25">
      <c r="A703" s="3" t="s">
        <v>1306</v>
      </c>
      <c r="B703" s="3">
        <v>11</v>
      </c>
      <c r="C703" s="5">
        <v>310</v>
      </c>
      <c r="D703" s="6">
        <v>0</v>
      </c>
      <c r="E703" s="7">
        <v>200100</v>
      </c>
      <c r="F703" s="3">
        <v>53110</v>
      </c>
      <c r="G703" s="3" t="str">
        <f t="shared" si="10"/>
        <v>5</v>
      </c>
      <c r="H703" s="3" t="s">
        <v>365</v>
      </c>
      <c r="I703" s="8">
        <v>62473.04</v>
      </c>
      <c r="J703" s="8">
        <v>33987.47</v>
      </c>
      <c r="K703" s="8">
        <v>62473.04</v>
      </c>
    </row>
    <row r="704" spans="1:11" hidden="1" x14ac:dyDescent="0.25">
      <c r="A704" s="3" t="s">
        <v>1307</v>
      </c>
      <c r="B704" s="3">
        <v>11</v>
      </c>
      <c r="C704" s="5">
        <v>310</v>
      </c>
      <c r="D704" s="6">
        <v>0</v>
      </c>
      <c r="E704" s="7">
        <v>200100</v>
      </c>
      <c r="F704" s="3">
        <v>53120</v>
      </c>
      <c r="G704" s="3" t="str">
        <f t="shared" si="10"/>
        <v>5</v>
      </c>
      <c r="H704" s="3" t="s">
        <v>1308</v>
      </c>
      <c r="I704" s="8">
        <v>48.45</v>
      </c>
      <c r="J704" s="8">
        <v>0</v>
      </c>
      <c r="K704" s="8">
        <v>48.45</v>
      </c>
    </row>
    <row r="705" spans="1:11" hidden="1" x14ac:dyDescent="0.25">
      <c r="A705" s="3" t="s">
        <v>1309</v>
      </c>
      <c r="B705" s="3">
        <v>11</v>
      </c>
      <c r="C705" s="5">
        <v>310</v>
      </c>
      <c r="D705" s="6">
        <v>0</v>
      </c>
      <c r="E705" s="7">
        <v>200100</v>
      </c>
      <c r="F705" s="3">
        <v>53310</v>
      </c>
      <c r="G705" s="3" t="str">
        <f t="shared" si="10"/>
        <v>5</v>
      </c>
      <c r="H705" s="3" t="s">
        <v>367</v>
      </c>
      <c r="I705" s="8">
        <v>0</v>
      </c>
      <c r="J705" s="8">
        <v>3631.88</v>
      </c>
      <c r="K705" s="8">
        <v>0</v>
      </c>
    </row>
    <row r="706" spans="1:11" hidden="1" x14ac:dyDescent="0.25">
      <c r="A706" s="3" t="s">
        <v>1310</v>
      </c>
      <c r="B706" s="3">
        <v>11</v>
      </c>
      <c r="C706" s="5">
        <v>310</v>
      </c>
      <c r="D706" s="6">
        <v>0</v>
      </c>
      <c r="E706" s="7">
        <v>200100</v>
      </c>
      <c r="F706" s="3">
        <v>53330</v>
      </c>
      <c r="G706" s="3" t="str">
        <f t="shared" si="10"/>
        <v>5</v>
      </c>
      <c r="H706" s="3" t="s">
        <v>369</v>
      </c>
      <c r="I706" s="8">
        <v>5609.03</v>
      </c>
      <c r="J706" s="8">
        <v>3758.88</v>
      </c>
      <c r="K706" s="8">
        <v>5609.03</v>
      </c>
    </row>
    <row r="707" spans="1:11" hidden="1" x14ac:dyDescent="0.25">
      <c r="A707" s="3" t="s">
        <v>1311</v>
      </c>
      <c r="B707" s="3">
        <v>11</v>
      </c>
      <c r="C707" s="5">
        <v>310</v>
      </c>
      <c r="D707" s="6">
        <v>0</v>
      </c>
      <c r="E707" s="7">
        <v>200100</v>
      </c>
      <c r="F707" s="3">
        <v>53340</v>
      </c>
      <c r="G707" s="3" t="str">
        <f t="shared" ref="G707:G770" si="11">LEFT(F707,1)</f>
        <v>5</v>
      </c>
      <c r="H707" s="3" t="s">
        <v>1312</v>
      </c>
      <c r="I707" s="8">
        <v>4.3499999999999996</v>
      </c>
      <c r="J707" s="8">
        <v>0</v>
      </c>
      <c r="K707" s="8">
        <v>4.3499999999999996</v>
      </c>
    </row>
    <row r="708" spans="1:11" hidden="1" x14ac:dyDescent="0.25">
      <c r="A708" s="3" t="s">
        <v>1313</v>
      </c>
      <c r="B708" s="3">
        <v>11</v>
      </c>
      <c r="C708" s="5">
        <v>310</v>
      </c>
      <c r="D708" s="6">
        <v>0</v>
      </c>
      <c r="E708" s="7">
        <v>200100</v>
      </c>
      <c r="F708" s="3">
        <v>53410</v>
      </c>
      <c r="G708" s="3" t="str">
        <f t="shared" si="11"/>
        <v>5</v>
      </c>
      <c r="H708" s="3" t="s">
        <v>1314</v>
      </c>
      <c r="I708" s="8">
        <v>39645.019999999997</v>
      </c>
      <c r="J708" s="8">
        <v>28800.91</v>
      </c>
      <c r="K708" s="8">
        <v>39645.019999999997</v>
      </c>
    </row>
    <row r="709" spans="1:11" hidden="1" x14ac:dyDescent="0.25">
      <c r="A709" s="3" t="s">
        <v>1315</v>
      </c>
      <c r="B709" s="3">
        <v>11</v>
      </c>
      <c r="C709" s="5">
        <v>310</v>
      </c>
      <c r="D709" s="6">
        <v>0</v>
      </c>
      <c r="E709" s="7">
        <v>200100</v>
      </c>
      <c r="F709" s="3">
        <v>53510</v>
      </c>
      <c r="G709" s="3" t="str">
        <f t="shared" si="11"/>
        <v>5</v>
      </c>
      <c r="H709" s="3" t="s">
        <v>371</v>
      </c>
      <c r="I709" s="8">
        <v>193.42</v>
      </c>
      <c r="J709" s="8">
        <v>129.9</v>
      </c>
      <c r="K709" s="8">
        <v>193.42</v>
      </c>
    </row>
    <row r="710" spans="1:11" hidden="1" x14ac:dyDescent="0.25">
      <c r="A710" s="3" t="s">
        <v>1316</v>
      </c>
      <c r="B710" s="3">
        <v>11</v>
      </c>
      <c r="C710" s="5">
        <v>310</v>
      </c>
      <c r="D710" s="6">
        <v>0</v>
      </c>
      <c r="E710" s="7">
        <v>200100</v>
      </c>
      <c r="F710" s="3">
        <v>53520</v>
      </c>
      <c r="G710" s="3" t="str">
        <f t="shared" si="11"/>
        <v>5</v>
      </c>
      <c r="H710" s="3" t="s">
        <v>1317</v>
      </c>
      <c r="I710" s="8">
        <v>0.15</v>
      </c>
      <c r="J710" s="8">
        <v>0</v>
      </c>
      <c r="K710" s="8">
        <v>0.15</v>
      </c>
    </row>
    <row r="711" spans="1:11" hidden="1" x14ac:dyDescent="0.25">
      <c r="A711" s="3" t="s">
        <v>1318</v>
      </c>
      <c r="B711" s="3">
        <v>11</v>
      </c>
      <c r="C711" s="5">
        <v>310</v>
      </c>
      <c r="D711" s="6">
        <v>0</v>
      </c>
      <c r="E711" s="7">
        <v>200100</v>
      </c>
      <c r="F711" s="3">
        <v>53610</v>
      </c>
      <c r="G711" s="3" t="str">
        <f t="shared" si="11"/>
        <v>5</v>
      </c>
      <c r="H711" s="3" t="s">
        <v>373</v>
      </c>
      <c r="I711" s="8">
        <v>7314.18</v>
      </c>
      <c r="J711" s="8">
        <v>5440.54</v>
      </c>
      <c r="K711" s="8">
        <v>7314.18</v>
      </c>
    </row>
    <row r="712" spans="1:11" hidden="1" x14ac:dyDescent="0.25">
      <c r="A712" s="3" t="s">
        <v>1319</v>
      </c>
      <c r="B712" s="3">
        <v>11</v>
      </c>
      <c r="C712" s="5">
        <v>310</v>
      </c>
      <c r="D712" s="6">
        <v>0</v>
      </c>
      <c r="E712" s="7">
        <v>200100</v>
      </c>
      <c r="F712" s="3">
        <v>53620</v>
      </c>
      <c r="G712" s="3" t="str">
        <f t="shared" si="11"/>
        <v>5</v>
      </c>
      <c r="H712" s="3" t="s">
        <v>1320</v>
      </c>
      <c r="I712" s="8">
        <v>5.67</v>
      </c>
      <c r="J712" s="8">
        <v>0</v>
      </c>
      <c r="K712" s="8">
        <v>5.67</v>
      </c>
    </row>
    <row r="713" spans="1:11" hidden="1" x14ac:dyDescent="0.25">
      <c r="A713" s="3" t="s">
        <v>1321</v>
      </c>
      <c r="B713" s="3">
        <v>11</v>
      </c>
      <c r="C713" s="5">
        <v>310</v>
      </c>
      <c r="D713" s="6">
        <v>0</v>
      </c>
      <c r="E713" s="7">
        <v>200100</v>
      </c>
      <c r="F713" s="3">
        <v>53910</v>
      </c>
      <c r="G713" s="3" t="str">
        <f t="shared" si="11"/>
        <v>5</v>
      </c>
      <c r="H713" s="3" t="s">
        <v>1322</v>
      </c>
      <c r="I713" s="8">
        <v>2400</v>
      </c>
      <c r="J713" s="8">
        <v>1527.26</v>
      </c>
      <c r="K713" s="8">
        <v>2400</v>
      </c>
    </row>
    <row r="714" spans="1:11" hidden="1" x14ac:dyDescent="0.25">
      <c r="A714" s="3" t="s">
        <v>1323</v>
      </c>
      <c r="B714" s="3">
        <v>11</v>
      </c>
      <c r="C714" s="5">
        <v>310</v>
      </c>
      <c r="D714" s="6">
        <v>0</v>
      </c>
      <c r="E714" s="7">
        <v>200100</v>
      </c>
      <c r="F714" s="3">
        <v>55630</v>
      </c>
      <c r="G714" s="3" t="str">
        <f t="shared" si="11"/>
        <v>5</v>
      </c>
      <c r="H714" s="3" t="s">
        <v>1324</v>
      </c>
      <c r="I714" s="8">
        <v>250</v>
      </c>
      <c r="J714" s="8">
        <v>207.9</v>
      </c>
      <c r="K714" s="8">
        <v>250</v>
      </c>
    </row>
    <row r="715" spans="1:11" hidden="1" x14ac:dyDescent="0.25">
      <c r="A715" s="3" t="s">
        <v>1325</v>
      </c>
      <c r="B715" s="3">
        <v>11</v>
      </c>
      <c r="C715" s="5">
        <v>350</v>
      </c>
      <c r="D715" s="6">
        <v>0</v>
      </c>
      <c r="E715" s="7">
        <v>210440</v>
      </c>
      <c r="F715" s="3">
        <v>51100</v>
      </c>
      <c r="G715" s="3" t="str">
        <f t="shared" si="11"/>
        <v>5</v>
      </c>
      <c r="H715" s="3" t="s">
        <v>1326</v>
      </c>
      <c r="I715" s="8">
        <v>0</v>
      </c>
      <c r="J715" s="8">
        <v>0</v>
      </c>
      <c r="K715" s="8">
        <v>0</v>
      </c>
    </row>
    <row r="716" spans="1:11" hidden="1" x14ac:dyDescent="0.25">
      <c r="A716" s="3" t="s">
        <v>1327</v>
      </c>
      <c r="B716" s="3">
        <v>11</v>
      </c>
      <c r="C716" s="5">
        <v>350</v>
      </c>
      <c r="D716" s="6">
        <v>0</v>
      </c>
      <c r="E716" s="7">
        <v>210440</v>
      </c>
      <c r="F716" s="3">
        <v>53110</v>
      </c>
      <c r="G716" s="3" t="str">
        <f t="shared" si="11"/>
        <v>5</v>
      </c>
      <c r="H716" s="3" t="s">
        <v>1328</v>
      </c>
      <c r="I716" s="8">
        <v>0</v>
      </c>
      <c r="J716" s="8">
        <v>0</v>
      </c>
      <c r="K716" s="8">
        <v>0</v>
      </c>
    </row>
    <row r="717" spans="1:11" hidden="1" x14ac:dyDescent="0.25">
      <c r="A717" s="3" t="s">
        <v>1329</v>
      </c>
      <c r="B717" s="3">
        <v>11</v>
      </c>
      <c r="C717" s="5">
        <v>350</v>
      </c>
      <c r="D717" s="6">
        <v>0</v>
      </c>
      <c r="E717" s="7">
        <v>210440</v>
      </c>
      <c r="F717" s="3">
        <v>53330</v>
      </c>
      <c r="G717" s="3" t="str">
        <f t="shared" si="11"/>
        <v>5</v>
      </c>
      <c r="H717" s="3" t="s">
        <v>1330</v>
      </c>
      <c r="I717" s="8">
        <v>0</v>
      </c>
      <c r="J717" s="8">
        <v>0</v>
      </c>
      <c r="K717" s="8">
        <v>0</v>
      </c>
    </row>
    <row r="718" spans="1:11" hidden="1" x14ac:dyDescent="0.25">
      <c r="A718" s="3" t="s">
        <v>1331</v>
      </c>
      <c r="B718" s="3">
        <v>11</v>
      </c>
      <c r="C718" s="5">
        <v>350</v>
      </c>
      <c r="D718" s="6">
        <v>0</v>
      </c>
      <c r="E718" s="7">
        <v>210440</v>
      </c>
      <c r="F718" s="3">
        <v>53410</v>
      </c>
      <c r="G718" s="3" t="str">
        <f t="shared" si="11"/>
        <v>5</v>
      </c>
      <c r="H718" s="3" t="s">
        <v>1332</v>
      </c>
      <c r="I718" s="8">
        <v>0</v>
      </c>
      <c r="J718" s="8">
        <v>0</v>
      </c>
      <c r="K718" s="8">
        <v>0</v>
      </c>
    </row>
    <row r="719" spans="1:11" hidden="1" x14ac:dyDescent="0.25">
      <c r="A719" s="3" t="s">
        <v>1333</v>
      </c>
      <c r="B719" s="3">
        <v>11</v>
      </c>
      <c r="C719" s="5">
        <v>350</v>
      </c>
      <c r="D719" s="6">
        <v>0</v>
      </c>
      <c r="E719" s="7">
        <v>210440</v>
      </c>
      <c r="F719" s="3">
        <v>53510</v>
      </c>
      <c r="G719" s="3" t="str">
        <f t="shared" si="11"/>
        <v>5</v>
      </c>
      <c r="H719" s="3" t="s">
        <v>1334</v>
      </c>
      <c r="I719" s="8">
        <v>0</v>
      </c>
      <c r="J719" s="8">
        <v>0</v>
      </c>
      <c r="K719" s="8">
        <v>0</v>
      </c>
    </row>
    <row r="720" spans="1:11" hidden="1" x14ac:dyDescent="0.25">
      <c r="A720" s="3" t="s">
        <v>1335</v>
      </c>
      <c r="B720" s="3">
        <v>11</v>
      </c>
      <c r="C720" s="5">
        <v>350</v>
      </c>
      <c r="D720" s="6">
        <v>0</v>
      </c>
      <c r="E720" s="7">
        <v>210440</v>
      </c>
      <c r="F720" s="3">
        <v>53610</v>
      </c>
      <c r="G720" s="3" t="str">
        <f t="shared" si="11"/>
        <v>5</v>
      </c>
      <c r="H720" s="3" t="s">
        <v>1336</v>
      </c>
      <c r="I720" s="8">
        <v>0</v>
      </c>
      <c r="J720" s="8">
        <v>0</v>
      </c>
      <c r="K720" s="8">
        <v>0</v>
      </c>
    </row>
    <row r="721" spans="1:11" hidden="1" x14ac:dyDescent="0.25">
      <c r="A721" s="3" t="s">
        <v>1337</v>
      </c>
      <c r="B721" s="3">
        <v>11</v>
      </c>
      <c r="C721" s="5">
        <v>350</v>
      </c>
      <c r="D721" s="6">
        <v>0</v>
      </c>
      <c r="E721" s="7">
        <v>210440</v>
      </c>
      <c r="F721" s="3">
        <v>55630</v>
      </c>
      <c r="G721" s="3" t="str">
        <f t="shared" si="11"/>
        <v>5</v>
      </c>
      <c r="H721" s="3" t="s">
        <v>1338</v>
      </c>
      <c r="I721" s="8">
        <v>0</v>
      </c>
      <c r="J721" s="8">
        <v>1.23</v>
      </c>
      <c r="K721" s="8">
        <v>0</v>
      </c>
    </row>
    <row r="722" spans="1:11" hidden="1" x14ac:dyDescent="0.25">
      <c r="A722" s="3" t="s">
        <v>1339</v>
      </c>
      <c r="B722" s="3">
        <v>11</v>
      </c>
      <c r="C722" s="5">
        <v>350</v>
      </c>
      <c r="D722" s="6">
        <v>0</v>
      </c>
      <c r="E722" s="7">
        <v>210500</v>
      </c>
      <c r="F722" s="3">
        <v>51310</v>
      </c>
      <c r="G722" s="3" t="str">
        <f t="shared" si="11"/>
        <v>5</v>
      </c>
      <c r="H722" s="3" t="s">
        <v>1340</v>
      </c>
      <c r="I722" s="8">
        <v>0</v>
      </c>
      <c r="J722" s="8">
        <v>4296.8</v>
      </c>
      <c r="K722" s="8">
        <v>0</v>
      </c>
    </row>
    <row r="723" spans="1:11" hidden="1" x14ac:dyDescent="0.25">
      <c r="A723" s="3" t="s">
        <v>1341</v>
      </c>
      <c r="B723" s="3">
        <v>11</v>
      </c>
      <c r="C723" s="5">
        <v>350</v>
      </c>
      <c r="D723" s="6">
        <v>0</v>
      </c>
      <c r="E723" s="7">
        <v>210500</v>
      </c>
      <c r="F723" s="3">
        <v>51311</v>
      </c>
      <c r="G723" s="3" t="str">
        <f t="shared" si="11"/>
        <v>5</v>
      </c>
      <c r="H723" s="3" t="s">
        <v>375</v>
      </c>
      <c r="I723" s="8">
        <v>0</v>
      </c>
      <c r="J723" s="8">
        <v>688.5</v>
      </c>
      <c r="K723" s="8">
        <v>0</v>
      </c>
    </row>
    <row r="724" spans="1:11" hidden="1" x14ac:dyDescent="0.25">
      <c r="A724" s="3" t="s">
        <v>1342</v>
      </c>
      <c r="B724" s="3">
        <v>11</v>
      </c>
      <c r="C724" s="5">
        <v>350</v>
      </c>
      <c r="D724" s="6">
        <v>0</v>
      </c>
      <c r="E724" s="7">
        <v>210500</v>
      </c>
      <c r="F724" s="3">
        <v>53110</v>
      </c>
      <c r="G724" s="3" t="str">
        <f t="shared" si="11"/>
        <v>5</v>
      </c>
      <c r="H724" s="3" t="s">
        <v>377</v>
      </c>
      <c r="I724" s="8">
        <v>0</v>
      </c>
      <c r="J724" s="8">
        <v>805.15</v>
      </c>
      <c r="K724" s="8">
        <v>0</v>
      </c>
    </row>
    <row r="725" spans="1:11" hidden="1" x14ac:dyDescent="0.25">
      <c r="A725" s="3" t="s">
        <v>1343</v>
      </c>
      <c r="B725" s="3">
        <v>11</v>
      </c>
      <c r="C725" s="5">
        <v>350</v>
      </c>
      <c r="D725" s="6">
        <v>0</v>
      </c>
      <c r="E725" s="7">
        <v>210500</v>
      </c>
      <c r="F725" s="3">
        <v>53330</v>
      </c>
      <c r="G725" s="3" t="str">
        <f t="shared" si="11"/>
        <v>5</v>
      </c>
      <c r="H725" s="3" t="s">
        <v>381</v>
      </c>
      <c r="I725" s="8">
        <v>0</v>
      </c>
      <c r="J725" s="8">
        <v>72.3</v>
      </c>
      <c r="K725" s="8">
        <v>0</v>
      </c>
    </row>
    <row r="726" spans="1:11" hidden="1" x14ac:dyDescent="0.25">
      <c r="A726" s="3" t="s">
        <v>1344</v>
      </c>
      <c r="B726" s="3">
        <v>11</v>
      </c>
      <c r="C726" s="5">
        <v>350</v>
      </c>
      <c r="D726" s="6">
        <v>0</v>
      </c>
      <c r="E726" s="7">
        <v>210500</v>
      </c>
      <c r="F726" s="3">
        <v>53510</v>
      </c>
      <c r="G726" s="3" t="str">
        <f t="shared" si="11"/>
        <v>5</v>
      </c>
      <c r="H726" s="3" t="s">
        <v>383</v>
      </c>
      <c r="I726" s="8">
        <v>0</v>
      </c>
      <c r="J726" s="8">
        <v>2.4700000000000002</v>
      </c>
      <c r="K726" s="8">
        <v>0</v>
      </c>
    </row>
    <row r="727" spans="1:11" hidden="1" x14ac:dyDescent="0.25">
      <c r="A727" s="3" t="s">
        <v>1345</v>
      </c>
      <c r="B727" s="3">
        <v>11</v>
      </c>
      <c r="C727" s="5">
        <v>350</v>
      </c>
      <c r="D727" s="6">
        <v>0</v>
      </c>
      <c r="E727" s="7">
        <v>210500</v>
      </c>
      <c r="F727" s="3">
        <v>53610</v>
      </c>
      <c r="G727" s="3" t="str">
        <f t="shared" si="11"/>
        <v>5</v>
      </c>
      <c r="H727" s="3" t="s">
        <v>385</v>
      </c>
      <c r="I727" s="8">
        <v>0</v>
      </c>
      <c r="J727" s="8">
        <v>94.25</v>
      </c>
      <c r="K727" s="8">
        <v>0</v>
      </c>
    </row>
    <row r="728" spans="1:11" hidden="1" x14ac:dyDescent="0.25">
      <c r="A728" s="3" t="s">
        <v>1346</v>
      </c>
      <c r="B728" s="3">
        <v>11</v>
      </c>
      <c r="C728" s="5">
        <v>310</v>
      </c>
      <c r="D728" s="6">
        <v>0</v>
      </c>
      <c r="E728" s="7">
        <v>220200</v>
      </c>
      <c r="F728" s="3">
        <v>51100</v>
      </c>
      <c r="G728" s="3" t="str">
        <f t="shared" si="11"/>
        <v>5</v>
      </c>
      <c r="H728" s="3" t="s">
        <v>1347</v>
      </c>
      <c r="I728" s="8">
        <v>120754</v>
      </c>
      <c r="J728" s="8">
        <v>84527.8</v>
      </c>
      <c r="K728" s="8">
        <v>120754</v>
      </c>
    </row>
    <row r="729" spans="1:11" hidden="1" x14ac:dyDescent="0.25">
      <c r="A729" s="3" t="s">
        <v>1348</v>
      </c>
      <c r="B729" s="3">
        <v>11</v>
      </c>
      <c r="C729" s="5">
        <v>310</v>
      </c>
      <c r="D729" s="6">
        <v>0</v>
      </c>
      <c r="E729" s="7">
        <v>220200</v>
      </c>
      <c r="F729" s="3">
        <v>51310</v>
      </c>
      <c r="G729" s="3" t="str">
        <f t="shared" si="11"/>
        <v>5</v>
      </c>
      <c r="H729" s="3" t="s">
        <v>1349</v>
      </c>
      <c r="I729" s="8">
        <v>17172</v>
      </c>
      <c r="J729" s="8">
        <v>4296.8</v>
      </c>
      <c r="K729" s="8">
        <v>17172</v>
      </c>
    </row>
    <row r="730" spans="1:11" hidden="1" x14ac:dyDescent="0.25">
      <c r="A730" s="3" t="s">
        <v>1350</v>
      </c>
      <c r="B730" s="3">
        <v>11</v>
      </c>
      <c r="C730" s="5">
        <v>310</v>
      </c>
      <c r="D730" s="6">
        <v>0</v>
      </c>
      <c r="E730" s="7">
        <v>220200</v>
      </c>
      <c r="F730" s="3">
        <v>51311</v>
      </c>
      <c r="G730" s="3" t="str">
        <f t="shared" si="11"/>
        <v>5</v>
      </c>
      <c r="H730" s="3" t="s">
        <v>389</v>
      </c>
      <c r="I730" s="8">
        <v>35828</v>
      </c>
      <c r="J730" s="8">
        <v>30138.22</v>
      </c>
      <c r="K730" s="8">
        <v>35828</v>
      </c>
    </row>
    <row r="731" spans="1:11" hidden="1" x14ac:dyDescent="0.25">
      <c r="A731" s="3" t="s">
        <v>1351</v>
      </c>
      <c r="B731" s="3">
        <v>11</v>
      </c>
      <c r="C731" s="5">
        <v>310</v>
      </c>
      <c r="D731" s="6">
        <v>0</v>
      </c>
      <c r="E731" s="7">
        <v>220200</v>
      </c>
      <c r="F731" s="3">
        <v>53110</v>
      </c>
      <c r="G731" s="3" t="str">
        <f t="shared" si="11"/>
        <v>5</v>
      </c>
      <c r="H731" s="3" t="s">
        <v>391</v>
      </c>
      <c r="I731" s="8">
        <v>28061.27</v>
      </c>
      <c r="J731" s="8">
        <v>14345.21</v>
      </c>
      <c r="K731" s="8">
        <v>28061.27</v>
      </c>
    </row>
    <row r="732" spans="1:11" hidden="1" x14ac:dyDescent="0.25">
      <c r="A732" s="3" t="s">
        <v>1352</v>
      </c>
      <c r="B732" s="3">
        <v>11</v>
      </c>
      <c r="C732" s="5">
        <v>310</v>
      </c>
      <c r="D732" s="6">
        <v>0</v>
      </c>
      <c r="E732" s="7">
        <v>220200</v>
      </c>
      <c r="F732" s="3">
        <v>53310</v>
      </c>
      <c r="G732" s="3" t="str">
        <f t="shared" si="11"/>
        <v>5</v>
      </c>
      <c r="H732" s="3" t="s">
        <v>1353</v>
      </c>
      <c r="I732" s="8">
        <v>0</v>
      </c>
      <c r="J732" s="8">
        <v>1005.73</v>
      </c>
      <c r="K732" s="8">
        <v>0</v>
      </c>
    </row>
    <row r="733" spans="1:11" hidden="1" x14ac:dyDescent="0.25">
      <c r="A733" s="3" t="s">
        <v>1354</v>
      </c>
      <c r="B733" s="3">
        <v>11</v>
      </c>
      <c r="C733" s="5">
        <v>310</v>
      </c>
      <c r="D733" s="6">
        <v>0</v>
      </c>
      <c r="E733" s="7">
        <v>220200</v>
      </c>
      <c r="F733" s="3">
        <v>53330</v>
      </c>
      <c r="G733" s="3" t="str">
        <f t="shared" si="11"/>
        <v>5</v>
      </c>
      <c r="H733" s="3" t="s">
        <v>393</v>
      </c>
      <c r="I733" s="8">
        <v>2519.4299999999998</v>
      </c>
      <c r="J733" s="8">
        <v>1714.41</v>
      </c>
      <c r="K733" s="8">
        <v>2519.4299999999998</v>
      </c>
    </row>
    <row r="734" spans="1:11" hidden="1" x14ac:dyDescent="0.25">
      <c r="A734" s="3" t="s">
        <v>1355</v>
      </c>
      <c r="B734" s="3">
        <v>11</v>
      </c>
      <c r="C734" s="5">
        <v>310</v>
      </c>
      <c r="D734" s="6">
        <v>0</v>
      </c>
      <c r="E734" s="7">
        <v>220200</v>
      </c>
      <c r="F734" s="3">
        <v>53410</v>
      </c>
      <c r="G734" s="3" t="str">
        <f t="shared" si="11"/>
        <v>5</v>
      </c>
      <c r="H734" s="3" t="s">
        <v>1356</v>
      </c>
      <c r="I734" s="8">
        <v>33121.43</v>
      </c>
      <c r="J734" s="8">
        <v>22837.25</v>
      </c>
      <c r="K734" s="8">
        <v>33121.43</v>
      </c>
    </row>
    <row r="735" spans="1:11" hidden="1" x14ac:dyDescent="0.25">
      <c r="A735" s="3" t="s">
        <v>1357</v>
      </c>
      <c r="B735" s="3">
        <v>11</v>
      </c>
      <c r="C735" s="5">
        <v>310</v>
      </c>
      <c r="D735" s="6">
        <v>0</v>
      </c>
      <c r="E735" s="7">
        <v>220200</v>
      </c>
      <c r="F735" s="3">
        <v>53510</v>
      </c>
      <c r="G735" s="3" t="str">
        <f t="shared" si="11"/>
        <v>5</v>
      </c>
      <c r="H735" s="3" t="s">
        <v>395</v>
      </c>
      <c r="I735" s="8">
        <v>86.88</v>
      </c>
      <c r="J735" s="8">
        <v>59.47</v>
      </c>
      <c r="K735" s="8">
        <v>86.88</v>
      </c>
    </row>
    <row r="736" spans="1:11" hidden="1" x14ac:dyDescent="0.25">
      <c r="A736" s="3" t="s">
        <v>1358</v>
      </c>
      <c r="B736" s="3">
        <v>11</v>
      </c>
      <c r="C736" s="5">
        <v>310</v>
      </c>
      <c r="D736" s="6">
        <v>0</v>
      </c>
      <c r="E736" s="7">
        <v>220200</v>
      </c>
      <c r="F736" s="3">
        <v>53610</v>
      </c>
      <c r="G736" s="3" t="str">
        <f t="shared" si="11"/>
        <v>5</v>
      </c>
      <c r="H736" s="3" t="s">
        <v>397</v>
      </c>
      <c r="I736" s="8">
        <v>3285.35</v>
      </c>
      <c r="J736" s="8">
        <v>2249.33</v>
      </c>
      <c r="K736" s="8">
        <v>3285.35</v>
      </c>
    </row>
    <row r="737" spans="1:11" hidden="1" x14ac:dyDescent="0.25">
      <c r="A737" s="3" t="s">
        <v>1359</v>
      </c>
      <c r="B737" s="3">
        <v>11</v>
      </c>
      <c r="C737" s="5">
        <v>310</v>
      </c>
      <c r="D737" s="6">
        <v>0</v>
      </c>
      <c r="E737" s="7">
        <v>220200</v>
      </c>
      <c r="F737" s="3">
        <v>55630</v>
      </c>
      <c r="G737" s="3" t="str">
        <f t="shared" si="11"/>
        <v>5</v>
      </c>
      <c r="H737" s="3" t="s">
        <v>399</v>
      </c>
      <c r="I737" s="8">
        <v>250</v>
      </c>
      <c r="J737" s="8">
        <v>0</v>
      </c>
      <c r="K737" s="8">
        <v>250</v>
      </c>
    </row>
    <row r="738" spans="1:11" hidden="1" x14ac:dyDescent="0.25">
      <c r="A738" s="3" t="s">
        <v>1360</v>
      </c>
      <c r="B738" s="3">
        <v>11</v>
      </c>
      <c r="C738" s="5">
        <v>310</v>
      </c>
      <c r="D738" s="6">
        <v>0</v>
      </c>
      <c r="E738" s="7">
        <v>220210</v>
      </c>
      <c r="F738" s="3">
        <v>51100</v>
      </c>
      <c r="G738" s="3" t="str">
        <f t="shared" si="11"/>
        <v>5</v>
      </c>
      <c r="H738" s="3" t="s">
        <v>1361</v>
      </c>
      <c r="I738" s="8">
        <v>117367</v>
      </c>
      <c r="J738" s="8">
        <v>85357.84</v>
      </c>
      <c r="K738" s="8">
        <v>117367</v>
      </c>
    </row>
    <row r="739" spans="1:11" hidden="1" x14ac:dyDescent="0.25">
      <c r="A739" s="3" t="s">
        <v>1362</v>
      </c>
      <c r="B739" s="3">
        <v>11</v>
      </c>
      <c r="C739" s="5">
        <v>310</v>
      </c>
      <c r="D739" s="6">
        <v>0</v>
      </c>
      <c r="E739" s="7">
        <v>220210</v>
      </c>
      <c r="F739" s="3">
        <v>51310</v>
      </c>
      <c r="G739" s="3" t="str">
        <f t="shared" si="11"/>
        <v>5</v>
      </c>
      <c r="H739" s="3" t="s">
        <v>1363</v>
      </c>
      <c r="I739" s="8">
        <v>2430</v>
      </c>
      <c r="J739" s="8">
        <v>2578.08</v>
      </c>
      <c r="K739" s="8">
        <v>2430</v>
      </c>
    </row>
    <row r="740" spans="1:11" hidden="1" x14ac:dyDescent="0.25">
      <c r="A740" s="3" t="s">
        <v>1364</v>
      </c>
      <c r="B740" s="3">
        <v>11</v>
      </c>
      <c r="C740" s="5">
        <v>310</v>
      </c>
      <c r="D740" s="6">
        <v>0</v>
      </c>
      <c r="E740" s="7">
        <v>220210</v>
      </c>
      <c r="F740" s="3">
        <v>51311</v>
      </c>
      <c r="G740" s="3" t="str">
        <f t="shared" si="11"/>
        <v>5</v>
      </c>
      <c r="H740" s="3" t="s">
        <v>401</v>
      </c>
      <c r="I740" s="8">
        <v>38721</v>
      </c>
      <c r="J740" s="8">
        <v>28493.19</v>
      </c>
      <c r="K740" s="8">
        <v>38721</v>
      </c>
    </row>
    <row r="741" spans="1:11" hidden="1" x14ac:dyDescent="0.25">
      <c r="A741" s="3" t="s">
        <v>1365</v>
      </c>
      <c r="B741" s="3">
        <v>11</v>
      </c>
      <c r="C741" s="5">
        <v>310</v>
      </c>
      <c r="D741" s="6">
        <v>0</v>
      </c>
      <c r="E741" s="7">
        <v>220210</v>
      </c>
      <c r="F741" s="3">
        <v>53110</v>
      </c>
      <c r="G741" s="3" t="str">
        <f t="shared" si="11"/>
        <v>5</v>
      </c>
      <c r="H741" s="3" t="s">
        <v>403</v>
      </c>
      <c r="I741" s="8">
        <v>25600.66</v>
      </c>
      <c r="J741" s="8">
        <v>18803.28</v>
      </c>
      <c r="K741" s="8">
        <v>25600.66</v>
      </c>
    </row>
    <row r="742" spans="1:11" hidden="1" x14ac:dyDescent="0.25">
      <c r="A742" s="3" t="s">
        <v>1366</v>
      </c>
      <c r="B742" s="3">
        <v>11</v>
      </c>
      <c r="C742" s="5">
        <v>310</v>
      </c>
      <c r="D742" s="6">
        <v>0</v>
      </c>
      <c r="E742" s="7">
        <v>220210</v>
      </c>
      <c r="F742" s="3">
        <v>53330</v>
      </c>
      <c r="G742" s="3" t="str">
        <f t="shared" si="11"/>
        <v>5</v>
      </c>
      <c r="H742" s="3" t="s">
        <v>405</v>
      </c>
      <c r="I742" s="8">
        <v>2298.5100000000002</v>
      </c>
      <c r="J742" s="8">
        <v>1677.31</v>
      </c>
      <c r="K742" s="8">
        <v>2298.5100000000002</v>
      </c>
    </row>
    <row r="743" spans="1:11" hidden="1" x14ac:dyDescent="0.25">
      <c r="A743" s="3" t="s">
        <v>1367</v>
      </c>
      <c r="B743" s="3">
        <v>11</v>
      </c>
      <c r="C743" s="5">
        <v>310</v>
      </c>
      <c r="D743" s="6">
        <v>0</v>
      </c>
      <c r="E743" s="7">
        <v>220210</v>
      </c>
      <c r="F743" s="3">
        <v>53410</v>
      </c>
      <c r="G743" s="3" t="str">
        <f t="shared" si="11"/>
        <v>5</v>
      </c>
      <c r="H743" s="3" t="s">
        <v>1368</v>
      </c>
      <c r="I743" s="8">
        <v>33121.43</v>
      </c>
      <c r="J743" s="8">
        <v>23608.61</v>
      </c>
      <c r="K743" s="8">
        <v>33121.43</v>
      </c>
    </row>
    <row r="744" spans="1:11" hidden="1" x14ac:dyDescent="0.25">
      <c r="A744" s="3" t="s">
        <v>1369</v>
      </c>
      <c r="B744" s="3">
        <v>11</v>
      </c>
      <c r="C744" s="5">
        <v>310</v>
      </c>
      <c r="D744" s="6">
        <v>0</v>
      </c>
      <c r="E744" s="7">
        <v>220210</v>
      </c>
      <c r="F744" s="3">
        <v>53510</v>
      </c>
      <c r="G744" s="3" t="str">
        <f t="shared" si="11"/>
        <v>5</v>
      </c>
      <c r="H744" s="3" t="s">
        <v>407</v>
      </c>
      <c r="I744" s="8">
        <v>79.260000000000005</v>
      </c>
      <c r="J744" s="8">
        <v>58.2</v>
      </c>
      <c r="K744" s="8">
        <v>79.260000000000005</v>
      </c>
    </row>
    <row r="745" spans="1:11" hidden="1" x14ac:dyDescent="0.25">
      <c r="A745" s="3" t="s">
        <v>1370</v>
      </c>
      <c r="B745" s="3">
        <v>11</v>
      </c>
      <c r="C745" s="5">
        <v>310</v>
      </c>
      <c r="D745" s="6">
        <v>0</v>
      </c>
      <c r="E745" s="7">
        <v>220210</v>
      </c>
      <c r="F745" s="3">
        <v>53610</v>
      </c>
      <c r="G745" s="3" t="str">
        <f t="shared" si="11"/>
        <v>5</v>
      </c>
      <c r="H745" s="3" t="s">
        <v>409</v>
      </c>
      <c r="I745" s="8">
        <v>2997.27</v>
      </c>
      <c r="J745" s="8">
        <v>2201.39</v>
      </c>
      <c r="K745" s="8">
        <v>2997.27</v>
      </c>
    </row>
    <row r="746" spans="1:11" hidden="1" x14ac:dyDescent="0.25">
      <c r="A746" s="3" t="s">
        <v>1371</v>
      </c>
      <c r="B746" s="3">
        <v>11</v>
      </c>
      <c r="C746" s="5">
        <v>310</v>
      </c>
      <c r="D746" s="6">
        <v>0</v>
      </c>
      <c r="E746" s="7">
        <v>220210</v>
      </c>
      <c r="F746" s="3">
        <v>55200</v>
      </c>
      <c r="G746" s="3" t="str">
        <f t="shared" si="11"/>
        <v>5</v>
      </c>
      <c r="H746" s="3" t="s">
        <v>1372</v>
      </c>
      <c r="I746" s="8">
        <v>200</v>
      </c>
      <c r="J746" s="8">
        <v>0</v>
      </c>
      <c r="K746" s="8">
        <v>200</v>
      </c>
    </row>
    <row r="747" spans="1:11" hidden="1" x14ac:dyDescent="0.25">
      <c r="A747" s="3" t="s">
        <v>1373</v>
      </c>
      <c r="B747" s="3">
        <v>11</v>
      </c>
      <c r="C747" s="5">
        <v>310</v>
      </c>
      <c r="D747" s="6">
        <v>0</v>
      </c>
      <c r="E747" s="7">
        <v>220210</v>
      </c>
      <c r="F747" s="3">
        <v>55630</v>
      </c>
      <c r="G747" s="3" t="str">
        <f t="shared" si="11"/>
        <v>5</v>
      </c>
      <c r="H747" s="3" t="s">
        <v>1374</v>
      </c>
      <c r="I747" s="8">
        <v>250</v>
      </c>
      <c r="J747" s="8">
        <v>0</v>
      </c>
      <c r="K747" s="8">
        <v>250</v>
      </c>
    </row>
    <row r="748" spans="1:11" hidden="1" x14ac:dyDescent="0.25">
      <c r="A748" s="3" t="s">
        <v>1375</v>
      </c>
      <c r="B748" s="3">
        <v>11</v>
      </c>
      <c r="C748" s="5">
        <v>310</v>
      </c>
      <c r="D748" s="6">
        <v>0</v>
      </c>
      <c r="E748" s="7">
        <v>220400</v>
      </c>
      <c r="F748" s="3">
        <v>51100</v>
      </c>
      <c r="G748" s="3" t="str">
        <f t="shared" si="11"/>
        <v>5</v>
      </c>
      <c r="H748" s="3" t="s">
        <v>1376</v>
      </c>
      <c r="I748" s="8">
        <v>105042</v>
      </c>
      <c r="J748" s="8">
        <v>76394.240000000005</v>
      </c>
      <c r="K748" s="8">
        <v>105042</v>
      </c>
    </row>
    <row r="749" spans="1:11" hidden="1" x14ac:dyDescent="0.25">
      <c r="A749" s="3" t="s">
        <v>1377</v>
      </c>
      <c r="B749" s="3">
        <v>11</v>
      </c>
      <c r="C749" s="5">
        <v>310</v>
      </c>
      <c r="D749" s="6">
        <v>0</v>
      </c>
      <c r="E749" s="7">
        <v>220400</v>
      </c>
      <c r="F749" s="3">
        <v>51310</v>
      </c>
      <c r="G749" s="3" t="str">
        <f t="shared" si="11"/>
        <v>5</v>
      </c>
      <c r="H749" s="3" t="s">
        <v>1378</v>
      </c>
      <c r="I749" s="8">
        <v>17172</v>
      </c>
      <c r="J749" s="8">
        <v>0</v>
      </c>
      <c r="K749" s="8">
        <v>17172</v>
      </c>
    </row>
    <row r="750" spans="1:11" hidden="1" x14ac:dyDescent="0.25">
      <c r="A750" s="3" t="s">
        <v>1379</v>
      </c>
      <c r="B750" s="3">
        <v>11</v>
      </c>
      <c r="C750" s="5">
        <v>310</v>
      </c>
      <c r="D750" s="6">
        <v>0</v>
      </c>
      <c r="E750" s="7">
        <v>220400</v>
      </c>
      <c r="F750" s="3">
        <v>51311</v>
      </c>
      <c r="G750" s="3" t="str">
        <f t="shared" si="11"/>
        <v>5</v>
      </c>
      <c r="H750" s="3" t="s">
        <v>1380</v>
      </c>
      <c r="I750" s="8">
        <v>17500</v>
      </c>
      <c r="J750" s="8">
        <v>22021.919999999998</v>
      </c>
      <c r="K750" s="8">
        <v>17500</v>
      </c>
    </row>
    <row r="751" spans="1:11" hidden="1" x14ac:dyDescent="0.25">
      <c r="A751" s="3" t="s">
        <v>1381</v>
      </c>
      <c r="B751" s="3">
        <v>11</v>
      </c>
      <c r="C751" s="5">
        <v>310</v>
      </c>
      <c r="D751" s="6">
        <v>0</v>
      </c>
      <c r="E751" s="7">
        <v>220400</v>
      </c>
      <c r="F751" s="3">
        <v>53110</v>
      </c>
      <c r="G751" s="3" t="str">
        <f t="shared" si="11"/>
        <v>5</v>
      </c>
      <c r="H751" s="3" t="s">
        <v>1382</v>
      </c>
      <c r="I751" s="8">
        <v>22563.81</v>
      </c>
      <c r="J751" s="8">
        <v>15894.25</v>
      </c>
      <c r="K751" s="8">
        <v>22563.81</v>
      </c>
    </row>
    <row r="752" spans="1:11" hidden="1" x14ac:dyDescent="0.25">
      <c r="A752" s="3" t="s">
        <v>1383</v>
      </c>
      <c r="B752" s="3">
        <v>11</v>
      </c>
      <c r="C752" s="5">
        <v>310</v>
      </c>
      <c r="D752" s="6">
        <v>0</v>
      </c>
      <c r="E752" s="7">
        <v>220400</v>
      </c>
      <c r="F752" s="3">
        <v>53330</v>
      </c>
      <c r="G752" s="3" t="str">
        <f t="shared" si="11"/>
        <v>5</v>
      </c>
      <c r="H752" s="3" t="s">
        <v>1384</v>
      </c>
      <c r="I752" s="8">
        <v>2025.85</v>
      </c>
      <c r="J752" s="8">
        <v>1416.71</v>
      </c>
      <c r="K752" s="8">
        <v>2025.85</v>
      </c>
    </row>
    <row r="753" spans="1:11" hidden="1" x14ac:dyDescent="0.25">
      <c r="A753" s="3" t="s">
        <v>1385</v>
      </c>
      <c r="B753" s="3">
        <v>11</v>
      </c>
      <c r="C753" s="5">
        <v>310</v>
      </c>
      <c r="D753" s="6">
        <v>0</v>
      </c>
      <c r="E753" s="7">
        <v>220400</v>
      </c>
      <c r="F753" s="3">
        <v>53410</v>
      </c>
      <c r="G753" s="3" t="str">
        <f t="shared" si="11"/>
        <v>5</v>
      </c>
      <c r="H753" s="3" t="s">
        <v>1386</v>
      </c>
      <c r="I753" s="8">
        <v>33121.43</v>
      </c>
      <c r="J753" s="8">
        <v>23608.61</v>
      </c>
      <c r="K753" s="8">
        <v>33121.43</v>
      </c>
    </row>
    <row r="754" spans="1:11" hidden="1" x14ac:dyDescent="0.25">
      <c r="A754" s="3" t="s">
        <v>1387</v>
      </c>
      <c r="B754" s="3">
        <v>11</v>
      </c>
      <c r="C754" s="5">
        <v>310</v>
      </c>
      <c r="D754" s="6">
        <v>0</v>
      </c>
      <c r="E754" s="7">
        <v>220400</v>
      </c>
      <c r="F754" s="3">
        <v>53510</v>
      </c>
      <c r="G754" s="3" t="str">
        <f t="shared" si="11"/>
        <v>5</v>
      </c>
      <c r="H754" s="3" t="s">
        <v>1388</v>
      </c>
      <c r="I754" s="8">
        <v>69.86</v>
      </c>
      <c r="J754" s="8">
        <v>49.2</v>
      </c>
      <c r="K754" s="8">
        <v>69.86</v>
      </c>
    </row>
    <row r="755" spans="1:11" hidden="1" x14ac:dyDescent="0.25">
      <c r="A755" s="3" t="s">
        <v>1389</v>
      </c>
      <c r="B755" s="3">
        <v>11</v>
      </c>
      <c r="C755" s="5">
        <v>310</v>
      </c>
      <c r="D755" s="6">
        <v>0</v>
      </c>
      <c r="E755" s="7">
        <v>220400</v>
      </c>
      <c r="F755" s="3">
        <v>53610</v>
      </c>
      <c r="G755" s="3" t="str">
        <f t="shared" si="11"/>
        <v>5</v>
      </c>
      <c r="H755" s="3" t="s">
        <v>1390</v>
      </c>
      <c r="I755" s="8">
        <v>2641.71</v>
      </c>
      <c r="J755" s="8">
        <v>1860.9</v>
      </c>
      <c r="K755" s="8">
        <v>2641.71</v>
      </c>
    </row>
    <row r="756" spans="1:11" hidden="1" x14ac:dyDescent="0.25">
      <c r="A756" s="3" t="s">
        <v>1391</v>
      </c>
      <c r="B756" s="3">
        <v>11</v>
      </c>
      <c r="C756" s="5">
        <v>310</v>
      </c>
      <c r="D756" s="6">
        <v>0</v>
      </c>
      <c r="E756" s="7">
        <v>220400</v>
      </c>
      <c r="F756" s="3">
        <v>55630</v>
      </c>
      <c r="G756" s="3" t="str">
        <f t="shared" si="11"/>
        <v>5</v>
      </c>
      <c r="H756" s="3" t="s">
        <v>1392</v>
      </c>
      <c r="I756" s="8">
        <v>250</v>
      </c>
      <c r="J756" s="8">
        <v>0</v>
      </c>
      <c r="K756" s="8">
        <v>250</v>
      </c>
    </row>
    <row r="757" spans="1:11" hidden="1" x14ac:dyDescent="0.25">
      <c r="A757" s="3" t="s">
        <v>1393</v>
      </c>
      <c r="B757" s="3">
        <v>11</v>
      </c>
      <c r="C757" s="5">
        <v>310</v>
      </c>
      <c r="D757" s="6">
        <v>0</v>
      </c>
      <c r="E757" s="7">
        <v>220500</v>
      </c>
      <c r="F757" s="3">
        <v>51100</v>
      </c>
      <c r="G757" s="3" t="str">
        <f t="shared" si="11"/>
        <v>5</v>
      </c>
      <c r="H757" s="3" t="s">
        <v>1394</v>
      </c>
      <c r="I757" s="8">
        <v>203717</v>
      </c>
      <c r="J757" s="8">
        <v>148157.84</v>
      </c>
      <c r="K757" s="8">
        <v>203717</v>
      </c>
    </row>
    <row r="758" spans="1:11" hidden="1" x14ac:dyDescent="0.25">
      <c r="A758" s="3" t="s">
        <v>1395</v>
      </c>
      <c r="B758" s="3">
        <v>11</v>
      </c>
      <c r="C758" s="5">
        <v>310</v>
      </c>
      <c r="D758" s="6">
        <v>0</v>
      </c>
      <c r="E758" s="7">
        <v>220500</v>
      </c>
      <c r="F758" s="3">
        <v>51310</v>
      </c>
      <c r="G758" s="3" t="str">
        <f t="shared" si="11"/>
        <v>5</v>
      </c>
      <c r="H758" s="3" t="s">
        <v>1396</v>
      </c>
      <c r="I758" s="8">
        <v>51516</v>
      </c>
      <c r="J758" s="8">
        <v>56903.48</v>
      </c>
      <c r="K758" s="8">
        <v>51516</v>
      </c>
    </row>
    <row r="759" spans="1:11" hidden="1" x14ac:dyDescent="0.25">
      <c r="A759" s="3" t="s">
        <v>1397</v>
      </c>
      <c r="B759" s="3">
        <v>11</v>
      </c>
      <c r="C759" s="5">
        <v>310</v>
      </c>
      <c r="D759" s="6">
        <v>0</v>
      </c>
      <c r="E759" s="7">
        <v>220500</v>
      </c>
      <c r="F759" s="3">
        <v>51311</v>
      </c>
      <c r="G759" s="3" t="str">
        <f t="shared" si="11"/>
        <v>5</v>
      </c>
      <c r="H759" s="3" t="s">
        <v>411</v>
      </c>
      <c r="I759" s="8">
        <v>139590</v>
      </c>
      <c r="J759" s="8">
        <v>93991.58</v>
      </c>
      <c r="K759" s="8">
        <v>139590</v>
      </c>
    </row>
    <row r="760" spans="1:11" hidden="1" x14ac:dyDescent="0.25">
      <c r="A760" s="3" t="s">
        <v>1398</v>
      </c>
      <c r="B760" s="3">
        <v>11</v>
      </c>
      <c r="C760" s="5">
        <v>310</v>
      </c>
      <c r="D760" s="6">
        <v>0</v>
      </c>
      <c r="E760" s="7">
        <v>220500</v>
      </c>
      <c r="F760" s="3">
        <v>53110</v>
      </c>
      <c r="G760" s="3" t="str">
        <f t="shared" si="11"/>
        <v>5</v>
      </c>
      <c r="H760" s="3" t="s">
        <v>413</v>
      </c>
      <c r="I760" s="8">
        <v>63763.92</v>
      </c>
      <c r="J760" s="8">
        <v>42603.19</v>
      </c>
      <c r="K760" s="8">
        <v>63763.92</v>
      </c>
    </row>
    <row r="761" spans="1:11" hidden="1" x14ac:dyDescent="0.25">
      <c r="A761" s="3" t="s">
        <v>1399</v>
      </c>
      <c r="B761" s="3">
        <v>11</v>
      </c>
      <c r="C761" s="5">
        <v>310</v>
      </c>
      <c r="D761" s="6">
        <v>0</v>
      </c>
      <c r="E761" s="7">
        <v>220500</v>
      </c>
      <c r="F761" s="3">
        <v>53310</v>
      </c>
      <c r="G761" s="3" t="str">
        <f t="shared" si="11"/>
        <v>5</v>
      </c>
      <c r="H761" s="3" t="s">
        <v>1400</v>
      </c>
      <c r="I761" s="8">
        <v>0</v>
      </c>
      <c r="J761" s="8">
        <v>2201.0700000000002</v>
      </c>
      <c r="K761" s="8">
        <v>0</v>
      </c>
    </row>
    <row r="762" spans="1:11" hidden="1" x14ac:dyDescent="0.25">
      <c r="A762" s="3" t="s">
        <v>1401</v>
      </c>
      <c r="B762" s="3">
        <v>11</v>
      </c>
      <c r="C762" s="5">
        <v>310</v>
      </c>
      <c r="D762" s="6">
        <v>0</v>
      </c>
      <c r="E762" s="7">
        <v>220500</v>
      </c>
      <c r="F762" s="3">
        <v>53330</v>
      </c>
      <c r="G762" s="3" t="str">
        <f t="shared" si="11"/>
        <v>5</v>
      </c>
      <c r="H762" s="3" t="s">
        <v>415</v>
      </c>
      <c r="I762" s="8">
        <v>5724.94</v>
      </c>
      <c r="J762" s="8">
        <v>4325.3500000000004</v>
      </c>
      <c r="K762" s="8">
        <v>5724.94</v>
      </c>
    </row>
    <row r="763" spans="1:11" hidden="1" x14ac:dyDescent="0.25">
      <c r="A763" s="3" t="s">
        <v>1402</v>
      </c>
      <c r="B763" s="3">
        <v>11</v>
      </c>
      <c r="C763" s="5">
        <v>310</v>
      </c>
      <c r="D763" s="6">
        <v>0</v>
      </c>
      <c r="E763" s="7">
        <v>220500</v>
      </c>
      <c r="F763" s="3">
        <v>53410</v>
      </c>
      <c r="G763" s="3" t="str">
        <f t="shared" si="11"/>
        <v>5</v>
      </c>
      <c r="H763" s="3" t="s">
        <v>1403</v>
      </c>
      <c r="I763" s="8">
        <v>46335.74</v>
      </c>
      <c r="J763" s="8">
        <v>32965.22</v>
      </c>
      <c r="K763" s="8">
        <v>46335.74</v>
      </c>
    </row>
    <row r="764" spans="1:11" hidden="1" x14ac:dyDescent="0.25">
      <c r="A764" s="3" t="s">
        <v>1404</v>
      </c>
      <c r="B764" s="3">
        <v>11</v>
      </c>
      <c r="C764" s="5">
        <v>310</v>
      </c>
      <c r="D764" s="6">
        <v>0</v>
      </c>
      <c r="E764" s="7">
        <v>220500</v>
      </c>
      <c r="F764" s="3">
        <v>53510</v>
      </c>
      <c r="G764" s="3" t="str">
        <f t="shared" si="11"/>
        <v>5</v>
      </c>
      <c r="H764" s="3" t="s">
        <v>417</v>
      </c>
      <c r="I764" s="8">
        <v>197.42</v>
      </c>
      <c r="J764" s="8">
        <v>149.47</v>
      </c>
      <c r="K764" s="8">
        <v>197.42</v>
      </c>
    </row>
    <row r="765" spans="1:11" hidden="1" x14ac:dyDescent="0.25">
      <c r="A765" s="3" t="s">
        <v>1405</v>
      </c>
      <c r="B765" s="3">
        <v>11</v>
      </c>
      <c r="C765" s="5">
        <v>310</v>
      </c>
      <c r="D765" s="6">
        <v>0</v>
      </c>
      <c r="E765" s="7">
        <v>220500</v>
      </c>
      <c r="F765" s="3">
        <v>53610</v>
      </c>
      <c r="G765" s="3" t="str">
        <f t="shared" si="11"/>
        <v>5</v>
      </c>
      <c r="H765" s="3" t="s">
        <v>419</v>
      </c>
      <c r="I765" s="8">
        <v>7465.31</v>
      </c>
      <c r="J765" s="8">
        <v>5654.51</v>
      </c>
      <c r="K765" s="8">
        <v>7465.31</v>
      </c>
    </row>
    <row r="766" spans="1:11" hidden="1" x14ac:dyDescent="0.25">
      <c r="A766" s="3" t="s">
        <v>1406</v>
      </c>
      <c r="B766" s="3">
        <v>11</v>
      </c>
      <c r="C766" s="5">
        <v>310</v>
      </c>
      <c r="D766" s="6">
        <v>0</v>
      </c>
      <c r="E766" s="7">
        <v>220500</v>
      </c>
      <c r="F766" s="3">
        <v>55630</v>
      </c>
      <c r="G766" s="3" t="str">
        <f t="shared" si="11"/>
        <v>5</v>
      </c>
      <c r="H766" s="3" t="s">
        <v>421</v>
      </c>
      <c r="I766" s="8">
        <v>250</v>
      </c>
      <c r="J766" s="8">
        <v>0</v>
      </c>
      <c r="K766" s="8">
        <v>250</v>
      </c>
    </row>
    <row r="767" spans="1:11" hidden="1" x14ac:dyDescent="0.25">
      <c r="A767" s="3" t="s">
        <v>1407</v>
      </c>
      <c r="B767" s="3">
        <v>11</v>
      </c>
      <c r="C767" s="5">
        <v>310</v>
      </c>
      <c r="D767" s="6">
        <v>0</v>
      </c>
      <c r="E767" s="7">
        <v>220700</v>
      </c>
      <c r="F767" s="3">
        <v>51100</v>
      </c>
      <c r="G767" s="3" t="str">
        <f t="shared" si="11"/>
        <v>5</v>
      </c>
      <c r="H767" s="3" t="s">
        <v>1408</v>
      </c>
      <c r="I767" s="8">
        <v>104196</v>
      </c>
      <c r="J767" s="8">
        <v>75778.960000000006</v>
      </c>
      <c r="K767" s="8">
        <v>104196</v>
      </c>
    </row>
    <row r="768" spans="1:11" hidden="1" x14ac:dyDescent="0.25">
      <c r="A768" s="3" t="s">
        <v>1409</v>
      </c>
      <c r="B768" s="3">
        <v>11</v>
      </c>
      <c r="C768" s="5">
        <v>310</v>
      </c>
      <c r="D768" s="6">
        <v>0</v>
      </c>
      <c r="E768" s="7">
        <v>220700</v>
      </c>
      <c r="F768" s="3">
        <v>51310</v>
      </c>
      <c r="G768" s="3" t="str">
        <f t="shared" si="11"/>
        <v>5</v>
      </c>
      <c r="H768" s="3" t="s">
        <v>1410</v>
      </c>
      <c r="I768" s="8">
        <v>17172</v>
      </c>
      <c r="J768" s="8">
        <v>10515.24</v>
      </c>
      <c r="K768" s="8">
        <v>17172</v>
      </c>
    </row>
    <row r="769" spans="1:11" hidden="1" x14ac:dyDescent="0.25">
      <c r="A769" s="3" t="s">
        <v>1411</v>
      </c>
      <c r="B769" s="3">
        <v>11</v>
      </c>
      <c r="C769" s="5">
        <v>310</v>
      </c>
      <c r="D769" s="6">
        <v>0</v>
      </c>
      <c r="E769" s="7">
        <v>220700</v>
      </c>
      <c r="F769" s="3">
        <v>51311</v>
      </c>
      <c r="G769" s="3" t="str">
        <f t="shared" si="11"/>
        <v>5</v>
      </c>
      <c r="H769" s="3" t="s">
        <v>433</v>
      </c>
      <c r="I769" s="8">
        <v>101500</v>
      </c>
      <c r="J769" s="8">
        <v>63929.26</v>
      </c>
      <c r="K769" s="8">
        <v>101500</v>
      </c>
    </row>
    <row r="770" spans="1:11" hidden="1" x14ac:dyDescent="0.25">
      <c r="A770" s="3" t="s">
        <v>1412</v>
      </c>
      <c r="B770" s="3">
        <v>11</v>
      </c>
      <c r="C770" s="5">
        <v>310</v>
      </c>
      <c r="D770" s="6">
        <v>0</v>
      </c>
      <c r="E770" s="7">
        <v>220700</v>
      </c>
      <c r="F770" s="3">
        <v>53110</v>
      </c>
      <c r="G770" s="3" t="str">
        <f t="shared" si="11"/>
        <v>5</v>
      </c>
      <c r="H770" s="3" t="s">
        <v>435</v>
      </c>
      <c r="I770" s="8">
        <v>35993.18</v>
      </c>
      <c r="J770" s="8">
        <v>22913.86</v>
      </c>
      <c r="K770" s="8">
        <v>35993.18</v>
      </c>
    </row>
    <row r="771" spans="1:11" hidden="1" x14ac:dyDescent="0.25">
      <c r="A771" s="3" t="s">
        <v>1413</v>
      </c>
      <c r="B771" s="3">
        <v>11</v>
      </c>
      <c r="C771" s="5">
        <v>310</v>
      </c>
      <c r="D771" s="6">
        <v>0</v>
      </c>
      <c r="E771" s="7">
        <v>220700</v>
      </c>
      <c r="F771" s="3">
        <v>53330</v>
      </c>
      <c r="G771" s="3" t="str">
        <f t="shared" ref="G771:G834" si="12">LEFT(F771,1)</f>
        <v>5</v>
      </c>
      <c r="H771" s="3" t="s">
        <v>437</v>
      </c>
      <c r="I771" s="8">
        <v>3231.58</v>
      </c>
      <c r="J771" s="8">
        <v>2167.31</v>
      </c>
      <c r="K771" s="8">
        <v>3231.58</v>
      </c>
    </row>
    <row r="772" spans="1:11" hidden="1" x14ac:dyDescent="0.25">
      <c r="A772" s="3" t="s">
        <v>1414</v>
      </c>
      <c r="B772" s="3">
        <v>11</v>
      </c>
      <c r="C772" s="5">
        <v>310</v>
      </c>
      <c r="D772" s="6">
        <v>0</v>
      </c>
      <c r="E772" s="7">
        <v>220700</v>
      </c>
      <c r="F772" s="3">
        <v>53410</v>
      </c>
      <c r="G772" s="3" t="str">
        <f t="shared" si="12"/>
        <v>5</v>
      </c>
      <c r="H772" s="3" t="s">
        <v>1415</v>
      </c>
      <c r="I772" s="8">
        <v>33121.43</v>
      </c>
      <c r="J772" s="8">
        <v>23608.61</v>
      </c>
      <c r="K772" s="8">
        <v>33121.43</v>
      </c>
    </row>
    <row r="773" spans="1:11" hidden="1" x14ac:dyDescent="0.25">
      <c r="A773" s="3" t="s">
        <v>1416</v>
      </c>
      <c r="B773" s="3">
        <v>11</v>
      </c>
      <c r="C773" s="5">
        <v>310</v>
      </c>
      <c r="D773" s="6">
        <v>0</v>
      </c>
      <c r="E773" s="7">
        <v>220700</v>
      </c>
      <c r="F773" s="3">
        <v>53510</v>
      </c>
      <c r="G773" s="3" t="str">
        <f t="shared" si="12"/>
        <v>5</v>
      </c>
      <c r="H773" s="3" t="s">
        <v>439</v>
      </c>
      <c r="I773" s="8">
        <v>111.44</v>
      </c>
      <c r="J773" s="8">
        <v>75.09</v>
      </c>
      <c r="K773" s="8">
        <v>111.44</v>
      </c>
    </row>
    <row r="774" spans="1:11" hidden="1" x14ac:dyDescent="0.25">
      <c r="A774" s="3" t="s">
        <v>1417</v>
      </c>
      <c r="B774" s="3">
        <v>11</v>
      </c>
      <c r="C774" s="5">
        <v>310</v>
      </c>
      <c r="D774" s="6">
        <v>0</v>
      </c>
      <c r="E774" s="7">
        <v>220700</v>
      </c>
      <c r="F774" s="3">
        <v>53610</v>
      </c>
      <c r="G774" s="3" t="str">
        <f t="shared" si="12"/>
        <v>5</v>
      </c>
      <c r="H774" s="3" t="s">
        <v>441</v>
      </c>
      <c r="I774" s="8">
        <v>4213.99</v>
      </c>
      <c r="J774" s="8">
        <v>2840.43</v>
      </c>
      <c r="K774" s="8">
        <v>4213.99</v>
      </c>
    </row>
    <row r="775" spans="1:11" hidden="1" x14ac:dyDescent="0.25">
      <c r="A775" s="3" t="s">
        <v>1418</v>
      </c>
      <c r="B775" s="3">
        <v>11</v>
      </c>
      <c r="C775" s="5">
        <v>310</v>
      </c>
      <c r="D775" s="6">
        <v>0</v>
      </c>
      <c r="E775" s="7">
        <v>220700</v>
      </c>
      <c r="F775" s="3">
        <v>55630</v>
      </c>
      <c r="G775" s="3" t="str">
        <f t="shared" si="12"/>
        <v>5</v>
      </c>
      <c r="H775" s="3" t="s">
        <v>443</v>
      </c>
      <c r="I775" s="8">
        <v>250</v>
      </c>
      <c r="J775" s="8">
        <v>0</v>
      </c>
      <c r="K775" s="8">
        <v>250</v>
      </c>
    </row>
    <row r="776" spans="1:11" hidden="1" x14ac:dyDescent="0.25">
      <c r="A776" s="3" t="s">
        <v>1419</v>
      </c>
      <c r="B776" s="3">
        <v>11</v>
      </c>
      <c r="C776" s="5">
        <v>310</v>
      </c>
      <c r="D776" s="6">
        <v>0</v>
      </c>
      <c r="E776" s="7">
        <v>220800</v>
      </c>
      <c r="F776" s="3">
        <v>51100</v>
      </c>
      <c r="G776" s="3" t="str">
        <f t="shared" si="12"/>
        <v>5</v>
      </c>
      <c r="H776" s="3" t="s">
        <v>1420</v>
      </c>
      <c r="I776" s="8">
        <v>99900</v>
      </c>
      <c r="J776" s="8">
        <v>72654.559999999998</v>
      </c>
      <c r="K776" s="8">
        <v>99900</v>
      </c>
    </row>
    <row r="777" spans="1:11" hidden="1" x14ac:dyDescent="0.25">
      <c r="A777" s="3" t="s">
        <v>1421</v>
      </c>
      <c r="B777" s="3">
        <v>11</v>
      </c>
      <c r="C777" s="5">
        <v>310</v>
      </c>
      <c r="D777" s="6">
        <v>0</v>
      </c>
      <c r="E777" s="7">
        <v>220800</v>
      </c>
      <c r="F777" s="3">
        <v>51310</v>
      </c>
      <c r="G777" s="3" t="str">
        <f t="shared" si="12"/>
        <v>5</v>
      </c>
      <c r="H777" s="3" t="s">
        <v>1422</v>
      </c>
      <c r="I777" s="8">
        <v>21465</v>
      </c>
      <c r="J777" s="8">
        <v>10187.02</v>
      </c>
      <c r="K777" s="8">
        <v>21465</v>
      </c>
    </row>
    <row r="778" spans="1:11" hidden="1" x14ac:dyDescent="0.25">
      <c r="A778" s="3" t="s">
        <v>1423</v>
      </c>
      <c r="B778" s="3">
        <v>11</v>
      </c>
      <c r="C778" s="5">
        <v>310</v>
      </c>
      <c r="D778" s="6">
        <v>0</v>
      </c>
      <c r="E778" s="7">
        <v>220800</v>
      </c>
      <c r="F778" s="3">
        <v>51311</v>
      </c>
      <c r="G778" s="3" t="str">
        <f t="shared" si="12"/>
        <v>5</v>
      </c>
      <c r="H778" s="3" t="s">
        <v>445</v>
      </c>
      <c r="I778" s="8">
        <v>49035</v>
      </c>
      <c r="J778" s="8">
        <v>36106.379999999997</v>
      </c>
      <c r="K778" s="8">
        <v>49035</v>
      </c>
    </row>
    <row r="779" spans="1:11" hidden="1" x14ac:dyDescent="0.25">
      <c r="A779" s="3" t="s">
        <v>1424</v>
      </c>
      <c r="B779" s="3">
        <v>11</v>
      </c>
      <c r="C779" s="5">
        <v>310</v>
      </c>
      <c r="D779" s="6">
        <v>0</v>
      </c>
      <c r="E779" s="7">
        <v>220800</v>
      </c>
      <c r="F779" s="3">
        <v>53110</v>
      </c>
      <c r="G779" s="3" t="str">
        <f t="shared" si="12"/>
        <v>5</v>
      </c>
      <c r="H779" s="3" t="s">
        <v>447</v>
      </c>
      <c r="I779" s="8">
        <v>27519.599999999999</v>
      </c>
      <c r="J779" s="8">
        <v>17778.580000000002</v>
      </c>
      <c r="K779" s="8">
        <v>27519.599999999999</v>
      </c>
    </row>
    <row r="780" spans="1:11" hidden="1" x14ac:dyDescent="0.25">
      <c r="A780" s="3" t="s">
        <v>1425</v>
      </c>
      <c r="B780" s="3">
        <v>11</v>
      </c>
      <c r="C780" s="5">
        <v>310</v>
      </c>
      <c r="D780" s="6">
        <v>0</v>
      </c>
      <c r="E780" s="7">
        <v>220800</v>
      </c>
      <c r="F780" s="3">
        <v>53310</v>
      </c>
      <c r="G780" s="3" t="str">
        <f t="shared" si="12"/>
        <v>5</v>
      </c>
      <c r="H780" s="3" t="s">
        <v>1426</v>
      </c>
      <c r="I780" s="8">
        <v>0</v>
      </c>
      <c r="J780" s="8">
        <v>557.16</v>
      </c>
      <c r="K780" s="8">
        <v>0</v>
      </c>
    </row>
    <row r="781" spans="1:11" hidden="1" x14ac:dyDescent="0.25">
      <c r="A781" s="3" t="s">
        <v>1427</v>
      </c>
      <c r="B781" s="3">
        <v>11</v>
      </c>
      <c r="C781" s="5">
        <v>310</v>
      </c>
      <c r="D781" s="6">
        <v>0</v>
      </c>
      <c r="E781" s="7">
        <v>220800</v>
      </c>
      <c r="F781" s="3">
        <v>53330</v>
      </c>
      <c r="G781" s="3" t="str">
        <f t="shared" si="12"/>
        <v>5</v>
      </c>
      <c r="H781" s="3" t="s">
        <v>449</v>
      </c>
      <c r="I781" s="8">
        <v>2470.8000000000002</v>
      </c>
      <c r="J781" s="8">
        <v>1714.38</v>
      </c>
      <c r="K781" s="8">
        <v>2470.8000000000002</v>
      </c>
    </row>
    <row r="782" spans="1:11" hidden="1" x14ac:dyDescent="0.25">
      <c r="A782" s="3" t="s">
        <v>1428</v>
      </c>
      <c r="B782" s="3">
        <v>11</v>
      </c>
      <c r="C782" s="5">
        <v>310</v>
      </c>
      <c r="D782" s="6">
        <v>0</v>
      </c>
      <c r="E782" s="7">
        <v>220800</v>
      </c>
      <c r="F782" s="3">
        <v>53410</v>
      </c>
      <c r="G782" s="3" t="str">
        <f t="shared" si="12"/>
        <v>5</v>
      </c>
      <c r="H782" s="3" t="s">
        <v>1429</v>
      </c>
      <c r="I782" s="8">
        <v>33121.43</v>
      </c>
      <c r="J782" s="8">
        <v>23608.61</v>
      </c>
      <c r="K782" s="8">
        <v>33121.43</v>
      </c>
    </row>
    <row r="783" spans="1:11" hidden="1" x14ac:dyDescent="0.25">
      <c r="A783" s="3" t="s">
        <v>1430</v>
      </c>
      <c r="B783" s="3">
        <v>11</v>
      </c>
      <c r="C783" s="5">
        <v>310</v>
      </c>
      <c r="D783" s="6">
        <v>0</v>
      </c>
      <c r="E783" s="7">
        <v>220800</v>
      </c>
      <c r="F783" s="3">
        <v>53510</v>
      </c>
      <c r="G783" s="3" t="str">
        <f t="shared" si="12"/>
        <v>5</v>
      </c>
      <c r="H783" s="3" t="s">
        <v>451</v>
      </c>
      <c r="I783" s="8">
        <v>85.2</v>
      </c>
      <c r="J783" s="8">
        <v>59.46</v>
      </c>
      <c r="K783" s="8">
        <v>85.2</v>
      </c>
    </row>
    <row r="784" spans="1:11" hidden="1" x14ac:dyDescent="0.25">
      <c r="A784" s="3" t="s">
        <v>1431</v>
      </c>
      <c r="B784" s="3">
        <v>11</v>
      </c>
      <c r="C784" s="5">
        <v>310</v>
      </c>
      <c r="D784" s="6">
        <v>0</v>
      </c>
      <c r="E784" s="7">
        <v>220800</v>
      </c>
      <c r="F784" s="3">
        <v>53610</v>
      </c>
      <c r="G784" s="3" t="str">
        <f t="shared" si="12"/>
        <v>5</v>
      </c>
      <c r="H784" s="3" t="s">
        <v>453</v>
      </c>
      <c r="I784" s="8">
        <v>3221.92</v>
      </c>
      <c r="J784" s="8">
        <v>2249.12</v>
      </c>
      <c r="K784" s="8">
        <v>3221.92</v>
      </c>
    </row>
    <row r="785" spans="1:11" hidden="1" x14ac:dyDescent="0.25">
      <c r="A785" s="3" t="s">
        <v>1432</v>
      </c>
      <c r="B785" s="3">
        <v>11</v>
      </c>
      <c r="C785" s="5">
        <v>310</v>
      </c>
      <c r="D785" s="6">
        <v>0</v>
      </c>
      <c r="E785" s="7">
        <v>220800</v>
      </c>
      <c r="F785" s="3">
        <v>55630</v>
      </c>
      <c r="G785" s="3" t="str">
        <f t="shared" si="12"/>
        <v>5</v>
      </c>
      <c r="H785" s="3" t="s">
        <v>455</v>
      </c>
      <c r="I785" s="8">
        <v>250</v>
      </c>
      <c r="J785" s="8">
        <v>2.04</v>
      </c>
      <c r="K785" s="8">
        <v>250</v>
      </c>
    </row>
    <row r="786" spans="1:11" hidden="1" x14ac:dyDescent="0.25">
      <c r="A786" s="3" t="s">
        <v>1433</v>
      </c>
      <c r="B786" s="3">
        <v>11</v>
      </c>
      <c r="C786" s="5">
        <v>320</v>
      </c>
      <c r="D786" s="6">
        <v>0</v>
      </c>
      <c r="E786" s="7">
        <v>83500</v>
      </c>
      <c r="F786" s="3">
        <v>51100</v>
      </c>
      <c r="G786" s="3" t="str">
        <f t="shared" si="12"/>
        <v>5</v>
      </c>
      <c r="H786" s="3" t="s">
        <v>1434</v>
      </c>
      <c r="I786" s="8">
        <v>268582.95</v>
      </c>
      <c r="J786" s="8">
        <v>197416.64</v>
      </c>
      <c r="K786" s="8">
        <v>268582.95</v>
      </c>
    </row>
    <row r="787" spans="1:11" hidden="1" x14ac:dyDescent="0.25">
      <c r="A787" s="3" t="s">
        <v>1435</v>
      </c>
      <c r="B787" s="3">
        <v>11</v>
      </c>
      <c r="C787" s="5">
        <v>320</v>
      </c>
      <c r="D787" s="6">
        <v>0</v>
      </c>
      <c r="E787" s="7">
        <v>83500</v>
      </c>
      <c r="F787" s="3">
        <v>51310</v>
      </c>
      <c r="G787" s="3" t="str">
        <f t="shared" si="12"/>
        <v>5</v>
      </c>
      <c r="H787" s="3" t="s">
        <v>1436</v>
      </c>
      <c r="I787" s="8">
        <v>36000</v>
      </c>
      <c r="J787" s="8">
        <v>41662.660000000003</v>
      </c>
      <c r="K787" s="8">
        <v>36000</v>
      </c>
    </row>
    <row r="788" spans="1:11" hidden="1" x14ac:dyDescent="0.25">
      <c r="A788" s="3" t="s">
        <v>1437</v>
      </c>
      <c r="B788" s="3">
        <v>11</v>
      </c>
      <c r="C788" s="5">
        <v>320</v>
      </c>
      <c r="D788" s="6">
        <v>0</v>
      </c>
      <c r="E788" s="7">
        <v>83500</v>
      </c>
      <c r="F788" s="3">
        <v>51311</v>
      </c>
      <c r="G788" s="3" t="str">
        <f t="shared" si="12"/>
        <v>5</v>
      </c>
      <c r="H788" s="3" t="s">
        <v>1438</v>
      </c>
      <c r="I788" s="8">
        <v>235000</v>
      </c>
      <c r="J788" s="8">
        <v>37840.699999999997</v>
      </c>
      <c r="K788" s="8">
        <v>235000</v>
      </c>
    </row>
    <row r="789" spans="1:11" hidden="1" x14ac:dyDescent="0.25">
      <c r="A789" s="3" t="s">
        <v>1439</v>
      </c>
      <c r="B789" s="3">
        <v>11</v>
      </c>
      <c r="C789" s="5">
        <v>320</v>
      </c>
      <c r="D789" s="6">
        <v>0</v>
      </c>
      <c r="E789" s="7">
        <v>83500</v>
      </c>
      <c r="F789" s="3">
        <v>51412</v>
      </c>
      <c r="G789" s="3" t="str">
        <f t="shared" si="12"/>
        <v>5</v>
      </c>
      <c r="H789" s="3" t="s">
        <v>1440</v>
      </c>
      <c r="I789" s="8">
        <v>500</v>
      </c>
      <c r="J789" s="8">
        <v>0</v>
      </c>
      <c r="K789" s="8">
        <v>500</v>
      </c>
    </row>
    <row r="790" spans="1:11" hidden="1" x14ac:dyDescent="0.25">
      <c r="A790" s="3" t="s">
        <v>1441</v>
      </c>
      <c r="B790" s="3">
        <v>11</v>
      </c>
      <c r="C790" s="5">
        <v>320</v>
      </c>
      <c r="D790" s="6">
        <v>0</v>
      </c>
      <c r="E790" s="7">
        <v>83500</v>
      </c>
      <c r="F790" s="3">
        <v>52360</v>
      </c>
      <c r="G790" s="3" t="str">
        <f t="shared" si="12"/>
        <v>5</v>
      </c>
      <c r="H790" s="3" t="s">
        <v>1442</v>
      </c>
      <c r="I790" s="8">
        <v>13000</v>
      </c>
      <c r="J790" s="8">
        <v>0</v>
      </c>
      <c r="K790" s="8">
        <v>13000</v>
      </c>
    </row>
    <row r="791" spans="1:11" hidden="1" x14ac:dyDescent="0.25">
      <c r="A791" s="3" t="s">
        <v>1443</v>
      </c>
      <c r="B791" s="3">
        <v>11</v>
      </c>
      <c r="C791" s="5">
        <v>320</v>
      </c>
      <c r="D791" s="6">
        <v>0</v>
      </c>
      <c r="E791" s="7">
        <v>83500</v>
      </c>
      <c r="F791" s="3">
        <v>52400</v>
      </c>
      <c r="G791" s="3" t="str">
        <f t="shared" si="12"/>
        <v>5</v>
      </c>
      <c r="H791" s="3" t="s">
        <v>1444</v>
      </c>
      <c r="I791" s="8">
        <v>4000</v>
      </c>
      <c r="J791" s="8">
        <v>0</v>
      </c>
      <c r="K791" s="8">
        <v>4000</v>
      </c>
    </row>
    <row r="792" spans="1:11" hidden="1" x14ac:dyDescent="0.25">
      <c r="A792" s="3" t="s">
        <v>1445</v>
      </c>
      <c r="B792" s="3">
        <v>11</v>
      </c>
      <c r="C792" s="5">
        <v>320</v>
      </c>
      <c r="D792" s="6">
        <v>0</v>
      </c>
      <c r="E792" s="7">
        <v>83500</v>
      </c>
      <c r="F792" s="3">
        <v>53110</v>
      </c>
      <c r="G792" s="3" t="str">
        <f t="shared" si="12"/>
        <v>5</v>
      </c>
      <c r="H792" s="3" t="s">
        <v>1446</v>
      </c>
      <c r="I792" s="8">
        <v>87142.65</v>
      </c>
      <c r="J792" s="8">
        <v>44722.64</v>
      </c>
      <c r="K792" s="8">
        <v>87142.65</v>
      </c>
    </row>
    <row r="793" spans="1:11" hidden="1" x14ac:dyDescent="0.25">
      <c r="A793" s="3" t="s">
        <v>1447</v>
      </c>
      <c r="B793" s="3">
        <v>11</v>
      </c>
      <c r="C793" s="5">
        <v>320</v>
      </c>
      <c r="D793" s="6">
        <v>0</v>
      </c>
      <c r="E793" s="7">
        <v>83500</v>
      </c>
      <c r="F793" s="3">
        <v>53120</v>
      </c>
      <c r="G793" s="3" t="str">
        <f t="shared" si="12"/>
        <v>5</v>
      </c>
      <c r="H793" s="3" t="s">
        <v>1448</v>
      </c>
      <c r="I793" s="8">
        <v>80.75</v>
      </c>
      <c r="J793" s="8">
        <v>0</v>
      </c>
      <c r="K793" s="8">
        <v>80.75</v>
      </c>
    </row>
    <row r="794" spans="1:11" hidden="1" x14ac:dyDescent="0.25">
      <c r="A794" s="3" t="s">
        <v>1449</v>
      </c>
      <c r="B794" s="3">
        <v>11</v>
      </c>
      <c r="C794" s="5">
        <v>320</v>
      </c>
      <c r="D794" s="6">
        <v>0</v>
      </c>
      <c r="E794" s="7">
        <v>83500</v>
      </c>
      <c r="F794" s="3">
        <v>53310</v>
      </c>
      <c r="G794" s="3" t="str">
        <f t="shared" si="12"/>
        <v>5</v>
      </c>
      <c r="H794" s="3" t="s">
        <v>1450</v>
      </c>
      <c r="I794" s="8">
        <v>248</v>
      </c>
      <c r="J794" s="8">
        <v>0</v>
      </c>
      <c r="K794" s="8">
        <v>248</v>
      </c>
    </row>
    <row r="795" spans="1:11" hidden="1" x14ac:dyDescent="0.25">
      <c r="A795" s="3" t="s">
        <v>1451</v>
      </c>
      <c r="B795" s="3">
        <v>11</v>
      </c>
      <c r="C795" s="5">
        <v>320</v>
      </c>
      <c r="D795" s="6">
        <v>0</v>
      </c>
      <c r="E795" s="7">
        <v>83500</v>
      </c>
      <c r="F795" s="3">
        <v>53320</v>
      </c>
      <c r="G795" s="3" t="str">
        <f t="shared" si="12"/>
        <v>5</v>
      </c>
      <c r="H795" s="3" t="s">
        <v>1452</v>
      </c>
      <c r="I795" s="8">
        <v>806</v>
      </c>
      <c r="J795" s="8">
        <v>0</v>
      </c>
      <c r="K795" s="8">
        <v>806</v>
      </c>
    </row>
    <row r="796" spans="1:11" hidden="1" x14ac:dyDescent="0.25">
      <c r="A796" s="3" t="s">
        <v>1453</v>
      </c>
      <c r="B796" s="3">
        <v>11</v>
      </c>
      <c r="C796" s="5">
        <v>320</v>
      </c>
      <c r="D796" s="6">
        <v>0</v>
      </c>
      <c r="E796" s="7">
        <v>83500</v>
      </c>
      <c r="F796" s="3">
        <v>53330</v>
      </c>
      <c r="G796" s="3" t="str">
        <f t="shared" si="12"/>
        <v>5</v>
      </c>
      <c r="H796" s="3" t="s">
        <v>1454</v>
      </c>
      <c r="I796" s="8">
        <v>7881.96</v>
      </c>
      <c r="J796" s="8">
        <v>3998.77</v>
      </c>
      <c r="K796" s="8">
        <v>7881.96</v>
      </c>
    </row>
    <row r="797" spans="1:11" hidden="1" x14ac:dyDescent="0.25">
      <c r="A797" s="3" t="s">
        <v>1455</v>
      </c>
      <c r="B797" s="3">
        <v>11</v>
      </c>
      <c r="C797" s="5">
        <v>320</v>
      </c>
      <c r="D797" s="6">
        <v>0</v>
      </c>
      <c r="E797" s="7">
        <v>83500</v>
      </c>
      <c r="F797" s="3">
        <v>53340</v>
      </c>
      <c r="G797" s="3" t="str">
        <f t="shared" si="12"/>
        <v>5</v>
      </c>
      <c r="H797" s="3" t="s">
        <v>1456</v>
      </c>
      <c r="I797" s="8">
        <v>195.75</v>
      </c>
      <c r="J797" s="8">
        <v>0</v>
      </c>
      <c r="K797" s="8">
        <v>195.75</v>
      </c>
    </row>
    <row r="798" spans="1:11" hidden="1" x14ac:dyDescent="0.25">
      <c r="A798" s="3" t="s">
        <v>1457</v>
      </c>
      <c r="B798" s="3">
        <v>11</v>
      </c>
      <c r="C798" s="5">
        <v>320</v>
      </c>
      <c r="D798" s="6">
        <v>0</v>
      </c>
      <c r="E798" s="7">
        <v>83500</v>
      </c>
      <c r="F798" s="3">
        <v>53410</v>
      </c>
      <c r="G798" s="3" t="str">
        <f t="shared" si="12"/>
        <v>5</v>
      </c>
      <c r="H798" s="3" t="s">
        <v>1458</v>
      </c>
      <c r="I798" s="8">
        <v>64580.89</v>
      </c>
      <c r="J798" s="8">
        <v>50305.97</v>
      </c>
      <c r="K798" s="8">
        <v>64580.89</v>
      </c>
    </row>
    <row r="799" spans="1:11" hidden="1" x14ac:dyDescent="0.25">
      <c r="A799" s="3" t="s">
        <v>1459</v>
      </c>
      <c r="B799" s="3">
        <v>11</v>
      </c>
      <c r="C799" s="5">
        <v>320</v>
      </c>
      <c r="D799" s="6">
        <v>0</v>
      </c>
      <c r="E799" s="7">
        <v>83500</v>
      </c>
      <c r="F799" s="3">
        <v>53510</v>
      </c>
      <c r="G799" s="3" t="str">
        <f t="shared" si="12"/>
        <v>5</v>
      </c>
      <c r="H799" s="3" t="s">
        <v>1460</v>
      </c>
      <c r="I799" s="8">
        <v>271.8</v>
      </c>
      <c r="J799" s="8">
        <v>138.43</v>
      </c>
      <c r="K799" s="8">
        <v>271.8</v>
      </c>
    </row>
    <row r="800" spans="1:11" hidden="1" x14ac:dyDescent="0.25">
      <c r="A800" s="3" t="s">
        <v>1461</v>
      </c>
      <c r="B800" s="3">
        <v>11</v>
      </c>
      <c r="C800" s="5">
        <v>320</v>
      </c>
      <c r="D800" s="6">
        <v>0</v>
      </c>
      <c r="E800" s="7">
        <v>83500</v>
      </c>
      <c r="F800" s="3">
        <v>53520</v>
      </c>
      <c r="G800" s="3" t="str">
        <f t="shared" si="12"/>
        <v>5</v>
      </c>
      <c r="H800" s="3" t="s">
        <v>1462</v>
      </c>
      <c r="I800" s="8">
        <v>6.75</v>
      </c>
      <c r="J800" s="8">
        <v>0</v>
      </c>
      <c r="K800" s="8">
        <v>6.75</v>
      </c>
    </row>
    <row r="801" spans="1:11" hidden="1" x14ac:dyDescent="0.25">
      <c r="A801" s="3" t="s">
        <v>1463</v>
      </c>
      <c r="B801" s="3">
        <v>11</v>
      </c>
      <c r="C801" s="5">
        <v>320</v>
      </c>
      <c r="D801" s="6">
        <v>0</v>
      </c>
      <c r="E801" s="7">
        <v>83500</v>
      </c>
      <c r="F801" s="3">
        <v>53610</v>
      </c>
      <c r="G801" s="3" t="str">
        <f t="shared" si="12"/>
        <v>5</v>
      </c>
      <c r="H801" s="3" t="s">
        <v>1464</v>
      </c>
      <c r="I801" s="8">
        <v>10278.07</v>
      </c>
      <c r="J801" s="8">
        <v>5235.88</v>
      </c>
      <c r="K801" s="8">
        <v>10278.07</v>
      </c>
    </row>
    <row r="802" spans="1:11" hidden="1" x14ac:dyDescent="0.25">
      <c r="A802" s="3" t="s">
        <v>1465</v>
      </c>
      <c r="B802" s="3">
        <v>11</v>
      </c>
      <c r="C802" s="5">
        <v>320</v>
      </c>
      <c r="D802" s="6">
        <v>0</v>
      </c>
      <c r="E802" s="7">
        <v>83500</v>
      </c>
      <c r="F802" s="3">
        <v>53620</v>
      </c>
      <c r="G802" s="3" t="str">
        <f t="shared" si="12"/>
        <v>5</v>
      </c>
      <c r="H802" s="3" t="s">
        <v>1466</v>
      </c>
      <c r="I802" s="8">
        <v>255.25</v>
      </c>
      <c r="J802" s="8">
        <v>0</v>
      </c>
      <c r="K802" s="8">
        <v>255.25</v>
      </c>
    </row>
    <row r="803" spans="1:11" hidden="1" x14ac:dyDescent="0.25">
      <c r="A803" s="3" t="s">
        <v>1467</v>
      </c>
      <c r="B803" s="3">
        <v>11</v>
      </c>
      <c r="C803" s="5">
        <v>320</v>
      </c>
      <c r="D803" s="6">
        <v>0</v>
      </c>
      <c r="E803" s="7">
        <v>83500</v>
      </c>
      <c r="F803" s="3">
        <v>54300</v>
      </c>
      <c r="G803" s="3" t="str">
        <f t="shared" si="12"/>
        <v>5</v>
      </c>
      <c r="H803" s="3" t="s">
        <v>1468</v>
      </c>
      <c r="I803" s="8">
        <v>1300</v>
      </c>
      <c r="J803" s="8">
        <v>0</v>
      </c>
      <c r="K803" s="8">
        <v>1300</v>
      </c>
    </row>
    <row r="804" spans="1:11" hidden="1" x14ac:dyDescent="0.25">
      <c r="A804" s="3" t="s">
        <v>1469</v>
      </c>
      <c r="B804" s="3">
        <v>11</v>
      </c>
      <c r="C804" s="5">
        <v>320</v>
      </c>
      <c r="D804" s="6">
        <v>0</v>
      </c>
      <c r="E804" s="7">
        <v>83500</v>
      </c>
      <c r="F804" s="3">
        <v>55309</v>
      </c>
      <c r="G804" s="3" t="str">
        <f t="shared" si="12"/>
        <v>5</v>
      </c>
      <c r="H804" s="3" t="s">
        <v>1470</v>
      </c>
      <c r="I804" s="8">
        <v>700</v>
      </c>
      <c r="J804" s="8">
        <v>477.88</v>
      </c>
      <c r="K804" s="8">
        <v>700</v>
      </c>
    </row>
    <row r="805" spans="1:11" hidden="1" x14ac:dyDescent="0.25">
      <c r="A805" s="3" t="s">
        <v>1471</v>
      </c>
      <c r="B805" s="3">
        <v>11</v>
      </c>
      <c r="C805" s="5">
        <v>320</v>
      </c>
      <c r="D805" s="6">
        <v>0</v>
      </c>
      <c r="E805" s="7">
        <v>83500</v>
      </c>
      <c r="F805" s="3">
        <v>55630</v>
      </c>
      <c r="G805" s="3" t="str">
        <f t="shared" si="12"/>
        <v>5</v>
      </c>
      <c r="H805" s="3" t="s">
        <v>1472</v>
      </c>
      <c r="I805" s="8">
        <v>2600</v>
      </c>
      <c r="J805" s="8">
        <v>248.03</v>
      </c>
      <c r="K805" s="8">
        <v>2600</v>
      </c>
    </row>
    <row r="806" spans="1:11" hidden="1" x14ac:dyDescent="0.25">
      <c r="A806" s="3" t="s">
        <v>1473</v>
      </c>
      <c r="B806" s="3">
        <v>11</v>
      </c>
      <c r="C806" s="5">
        <v>320</v>
      </c>
      <c r="D806" s="6">
        <v>0</v>
      </c>
      <c r="E806" s="7">
        <v>83500</v>
      </c>
      <c r="F806" s="3">
        <v>55651</v>
      </c>
      <c r="G806" s="3" t="str">
        <f t="shared" si="12"/>
        <v>5</v>
      </c>
      <c r="H806" s="3" t="s">
        <v>1474</v>
      </c>
      <c r="I806" s="8">
        <v>3500</v>
      </c>
      <c r="J806" s="8">
        <v>0</v>
      </c>
      <c r="K806" s="8">
        <v>3500</v>
      </c>
    </row>
    <row r="807" spans="1:11" hidden="1" x14ac:dyDescent="0.25">
      <c r="A807" s="3" t="s">
        <v>1475</v>
      </c>
      <c r="B807" s="3">
        <v>11</v>
      </c>
      <c r="C807" s="5">
        <v>320</v>
      </c>
      <c r="D807" s="6">
        <v>0</v>
      </c>
      <c r="E807" s="7">
        <v>83510</v>
      </c>
      <c r="F807" s="3">
        <v>51100</v>
      </c>
      <c r="G807" s="3" t="str">
        <f t="shared" si="12"/>
        <v>5</v>
      </c>
      <c r="H807" s="3" t="s">
        <v>1476</v>
      </c>
      <c r="I807" s="8">
        <v>86758</v>
      </c>
      <c r="J807" s="8">
        <v>63096.800000000003</v>
      </c>
      <c r="K807" s="8">
        <v>86758</v>
      </c>
    </row>
    <row r="808" spans="1:11" hidden="1" x14ac:dyDescent="0.25">
      <c r="A808" s="3" t="s">
        <v>1477</v>
      </c>
      <c r="B808" s="3">
        <v>11</v>
      </c>
      <c r="C808" s="5">
        <v>320</v>
      </c>
      <c r="D808" s="6">
        <v>0</v>
      </c>
      <c r="E808" s="7">
        <v>83510</v>
      </c>
      <c r="F808" s="3">
        <v>51310</v>
      </c>
      <c r="G808" s="3" t="str">
        <f t="shared" si="12"/>
        <v>5</v>
      </c>
      <c r="H808" s="3" t="s">
        <v>1478</v>
      </c>
      <c r="I808" s="8">
        <v>5000</v>
      </c>
      <c r="J808" s="8">
        <v>5133.32</v>
      </c>
      <c r="K808" s="8">
        <v>5000</v>
      </c>
    </row>
    <row r="809" spans="1:11" hidden="1" x14ac:dyDescent="0.25">
      <c r="A809" s="3" t="s">
        <v>1479</v>
      </c>
      <c r="B809" s="3">
        <v>11</v>
      </c>
      <c r="C809" s="5">
        <v>320</v>
      </c>
      <c r="D809" s="6">
        <v>0</v>
      </c>
      <c r="E809" s="7">
        <v>83510</v>
      </c>
      <c r="F809" s="3">
        <v>51311</v>
      </c>
      <c r="G809" s="3" t="str">
        <f t="shared" si="12"/>
        <v>5</v>
      </c>
      <c r="H809" s="3" t="s">
        <v>1480</v>
      </c>
      <c r="I809" s="8">
        <v>500</v>
      </c>
      <c r="J809" s="8">
        <v>0</v>
      </c>
      <c r="K809" s="8">
        <v>500</v>
      </c>
    </row>
    <row r="810" spans="1:11" hidden="1" x14ac:dyDescent="0.25">
      <c r="A810" s="3" t="s">
        <v>1481</v>
      </c>
      <c r="B810" s="3">
        <v>11</v>
      </c>
      <c r="C810" s="5">
        <v>320</v>
      </c>
      <c r="D810" s="6">
        <v>0</v>
      </c>
      <c r="E810" s="7">
        <v>83510</v>
      </c>
      <c r="F810" s="3">
        <v>51412</v>
      </c>
      <c r="G810" s="3" t="str">
        <f t="shared" si="12"/>
        <v>5</v>
      </c>
      <c r="H810" s="3" t="s">
        <v>1482</v>
      </c>
      <c r="I810" s="8">
        <v>500</v>
      </c>
      <c r="J810" s="8">
        <v>0</v>
      </c>
      <c r="K810" s="8">
        <v>500</v>
      </c>
    </row>
    <row r="811" spans="1:11" hidden="1" x14ac:dyDescent="0.25">
      <c r="A811" s="3" t="s">
        <v>1483</v>
      </c>
      <c r="B811" s="3">
        <v>11</v>
      </c>
      <c r="C811" s="5">
        <v>320</v>
      </c>
      <c r="D811" s="6">
        <v>0</v>
      </c>
      <c r="E811" s="7">
        <v>83510</v>
      </c>
      <c r="F811" s="3">
        <v>53110</v>
      </c>
      <c r="G811" s="3" t="str">
        <f t="shared" si="12"/>
        <v>5</v>
      </c>
      <c r="H811" s="3" t="s">
        <v>1484</v>
      </c>
      <c r="I811" s="8">
        <v>14899.67</v>
      </c>
      <c r="J811" s="8">
        <v>11019.18</v>
      </c>
      <c r="K811" s="8">
        <v>14899.67</v>
      </c>
    </row>
    <row r="812" spans="1:11" hidden="1" x14ac:dyDescent="0.25">
      <c r="A812" s="3" t="s">
        <v>1485</v>
      </c>
      <c r="B812" s="3">
        <v>11</v>
      </c>
      <c r="C812" s="5">
        <v>320</v>
      </c>
      <c r="D812" s="6">
        <v>0</v>
      </c>
      <c r="E812" s="7">
        <v>83510</v>
      </c>
      <c r="F812" s="3">
        <v>53120</v>
      </c>
      <c r="G812" s="3" t="str">
        <f t="shared" si="12"/>
        <v>5</v>
      </c>
      <c r="H812" s="3" t="s">
        <v>1486</v>
      </c>
      <c r="I812" s="8">
        <v>80.75</v>
      </c>
      <c r="J812" s="8">
        <v>0</v>
      </c>
      <c r="K812" s="8">
        <v>80.75</v>
      </c>
    </row>
    <row r="813" spans="1:11" hidden="1" x14ac:dyDescent="0.25">
      <c r="A813" s="3" t="s">
        <v>1487</v>
      </c>
      <c r="B813" s="3">
        <v>11</v>
      </c>
      <c r="C813" s="5">
        <v>320</v>
      </c>
      <c r="D813" s="6">
        <v>0</v>
      </c>
      <c r="E813" s="7">
        <v>83510</v>
      </c>
      <c r="F813" s="3">
        <v>53330</v>
      </c>
      <c r="G813" s="3" t="str">
        <f t="shared" si="12"/>
        <v>5</v>
      </c>
      <c r="H813" s="3" t="s">
        <v>1488</v>
      </c>
      <c r="I813" s="8">
        <v>1337.74</v>
      </c>
      <c r="J813" s="8">
        <v>979.17</v>
      </c>
      <c r="K813" s="8">
        <v>1337.74</v>
      </c>
    </row>
    <row r="814" spans="1:11" hidden="1" x14ac:dyDescent="0.25">
      <c r="A814" s="3" t="s">
        <v>1489</v>
      </c>
      <c r="B814" s="3">
        <v>11</v>
      </c>
      <c r="C814" s="5">
        <v>320</v>
      </c>
      <c r="D814" s="6">
        <v>0</v>
      </c>
      <c r="E814" s="7">
        <v>83510</v>
      </c>
      <c r="F814" s="3">
        <v>53340</v>
      </c>
      <c r="G814" s="3" t="str">
        <f t="shared" si="12"/>
        <v>5</v>
      </c>
      <c r="H814" s="3" t="s">
        <v>1490</v>
      </c>
      <c r="I814" s="8">
        <v>7.25</v>
      </c>
      <c r="J814" s="8">
        <v>0</v>
      </c>
      <c r="K814" s="8">
        <v>7.25</v>
      </c>
    </row>
    <row r="815" spans="1:11" hidden="1" x14ac:dyDescent="0.25">
      <c r="A815" s="3" t="s">
        <v>1491</v>
      </c>
      <c r="B815" s="3">
        <v>11</v>
      </c>
      <c r="C815" s="5">
        <v>320</v>
      </c>
      <c r="D815" s="6">
        <v>0</v>
      </c>
      <c r="E815" s="7">
        <v>83510</v>
      </c>
      <c r="F815" s="3">
        <v>53410</v>
      </c>
      <c r="G815" s="3" t="str">
        <f t="shared" si="12"/>
        <v>5</v>
      </c>
      <c r="H815" s="3" t="s">
        <v>1492</v>
      </c>
      <c r="I815" s="8">
        <v>33121.43</v>
      </c>
      <c r="J815" s="8">
        <v>23608.61</v>
      </c>
      <c r="K815" s="8">
        <v>33121.43</v>
      </c>
    </row>
    <row r="816" spans="1:11" hidden="1" x14ac:dyDescent="0.25">
      <c r="A816" s="3" t="s">
        <v>1493</v>
      </c>
      <c r="B816" s="3">
        <v>11</v>
      </c>
      <c r="C816" s="5">
        <v>320</v>
      </c>
      <c r="D816" s="6">
        <v>0</v>
      </c>
      <c r="E816" s="7">
        <v>83510</v>
      </c>
      <c r="F816" s="3">
        <v>53510</v>
      </c>
      <c r="G816" s="3" t="str">
        <f t="shared" si="12"/>
        <v>5</v>
      </c>
      <c r="H816" s="3" t="s">
        <v>1494</v>
      </c>
      <c r="I816" s="8">
        <v>46.13</v>
      </c>
      <c r="J816" s="8">
        <v>34.119999999999997</v>
      </c>
      <c r="K816" s="8">
        <v>46.13</v>
      </c>
    </row>
    <row r="817" spans="1:11" hidden="1" x14ac:dyDescent="0.25">
      <c r="A817" s="3" t="s">
        <v>1495</v>
      </c>
      <c r="B817" s="3">
        <v>11</v>
      </c>
      <c r="C817" s="5">
        <v>320</v>
      </c>
      <c r="D817" s="6">
        <v>0</v>
      </c>
      <c r="E817" s="7">
        <v>83510</v>
      </c>
      <c r="F817" s="3">
        <v>53520</v>
      </c>
      <c r="G817" s="3" t="str">
        <f t="shared" si="12"/>
        <v>5</v>
      </c>
      <c r="H817" s="3" t="s">
        <v>1496</v>
      </c>
      <c r="I817" s="8">
        <v>0.25</v>
      </c>
      <c r="J817" s="8">
        <v>0</v>
      </c>
      <c r="K817" s="8">
        <v>0.25</v>
      </c>
    </row>
    <row r="818" spans="1:11" hidden="1" x14ac:dyDescent="0.25">
      <c r="A818" s="3" t="s">
        <v>1497</v>
      </c>
      <c r="B818" s="3">
        <v>11</v>
      </c>
      <c r="C818" s="5">
        <v>320</v>
      </c>
      <c r="D818" s="6">
        <v>0</v>
      </c>
      <c r="E818" s="7">
        <v>83510</v>
      </c>
      <c r="F818" s="3">
        <v>53610</v>
      </c>
      <c r="G818" s="3" t="str">
        <f t="shared" si="12"/>
        <v>5</v>
      </c>
      <c r="H818" s="3" t="s">
        <v>1498</v>
      </c>
      <c r="I818" s="8">
        <v>1744.41</v>
      </c>
      <c r="J818" s="8">
        <v>1290.08</v>
      </c>
      <c r="K818" s="8">
        <v>1744.41</v>
      </c>
    </row>
    <row r="819" spans="1:11" hidden="1" x14ac:dyDescent="0.25">
      <c r="A819" s="3" t="s">
        <v>1499</v>
      </c>
      <c r="B819" s="3">
        <v>11</v>
      </c>
      <c r="C819" s="5">
        <v>320</v>
      </c>
      <c r="D819" s="6">
        <v>0</v>
      </c>
      <c r="E819" s="7">
        <v>83510</v>
      </c>
      <c r="F819" s="3">
        <v>53620</v>
      </c>
      <c r="G819" s="3" t="str">
        <f t="shared" si="12"/>
        <v>5</v>
      </c>
      <c r="H819" s="3" t="s">
        <v>1500</v>
      </c>
      <c r="I819" s="8">
        <v>9.4499999999999993</v>
      </c>
      <c r="J819" s="8">
        <v>0</v>
      </c>
      <c r="K819" s="8">
        <v>9.4499999999999993</v>
      </c>
    </row>
    <row r="820" spans="1:11" hidden="1" x14ac:dyDescent="0.25">
      <c r="A820" s="3" t="s">
        <v>1501</v>
      </c>
      <c r="B820" s="3">
        <v>11</v>
      </c>
      <c r="C820" s="5">
        <v>320</v>
      </c>
      <c r="D820" s="6">
        <v>0</v>
      </c>
      <c r="E820" s="7">
        <v>83510</v>
      </c>
      <c r="F820" s="3">
        <v>55630</v>
      </c>
      <c r="G820" s="3" t="str">
        <f t="shared" si="12"/>
        <v>5</v>
      </c>
      <c r="H820" s="3" t="s">
        <v>1502</v>
      </c>
      <c r="I820" s="8">
        <v>500</v>
      </c>
      <c r="J820" s="8">
        <v>0</v>
      </c>
      <c r="K820" s="8">
        <v>500</v>
      </c>
    </row>
    <row r="821" spans="1:11" hidden="1" x14ac:dyDescent="0.25">
      <c r="A821" s="3" t="s">
        <v>1503</v>
      </c>
      <c r="B821" s="3">
        <v>11</v>
      </c>
      <c r="C821" s="5">
        <v>320</v>
      </c>
      <c r="D821" s="6">
        <v>0</v>
      </c>
      <c r="E821" s="7">
        <v>83550</v>
      </c>
      <c r="F821" s="3">
        <v>51100</v>
      </c>
      <c r="G821" s="3" t="str">
        <f t="shared" si="12"/>
        <v>5</v>
      </c>
      <c r="H821" s="3" t="s">
        <v>1504</v>
      </c>
      <c r="I821" s="8">
        <v>533046.05000000005</v>
      </c>
      <c r="J821" s="8">
        <v>392348</v>
      </c>
      <c r="K821" s="8">
        <v>533046.05000000005</v>
      </c>
    </row>
    <row r="822" spans="1:11" hidden="1" x14ac:dyDescent="0.25">
      <c r="A822" s="3" t="s">
        <v>1505</v>
      </c>
      <c r="B822" s="3">
        <v>11</v>
      </c>
      <c r="C822" s="5">
        <v>320</v>
      </c>
      <c r="D822" s="6">
        <v>0</v>
      </c>
      <c r="E822" s="7">
        <v>83550</v>
      </c>
      <c r="F822" s="3">
        <v>51310</v>
      </c>
      <c r="G822" s="3" t="str">
        <f t="shared" si="12"/>
        <v>5</v>
      </c>
      <c r="H822" s="3" t="s">
        <v>1506</v>
      </c>
      <c r="I822" s="8">
        <v>8500</v>
      </c>
      <c r="J822" s="8">
        <v>60715.06</v>
      </c>
      <c r="K822" s="8">
        <v>8500</v>
      </c>
    </row>
    <row r="823" spans="1:11" hidden="1" x14ac:dyDescent="0.25">
      <c r="A823" s="3" t="s">
        <v>1507</v>
      </c>
      <c r="B823" s="3">
        <v>11</v>
      </c>
      <c r="C823" s="5">
        <v>320</v>
      </c>
      <c r="D823" s="6">
        <v>0</v>
      </c>
      <c r="E823" s="7">
        <v>83550</v>
      </c>
      <c r="F823" s="3">
        <v>51311</v>
      </c>
      <c r="G823" s="3" t="str">
        <f t="shared" si="12"/>
        <v>5</v>
      </c>
      <c r="H823" s="3" t="s">
        <v>1508</v>
      </c>
      <c r="I823" s="8">
        <v>64000</v>
      </c>
      <c r="J823" s="8">
        <v>41251.5</v>
      </c>
      <c r="K823" s="8">
        <v>64000</v>
      </c>
    </row>
    <row r="824" spans="1:11" hidden="1" x14ac:dyDescent="0.25">
      <c r="A824" s="3" t="s">
        <v>1509</v>
      </c>
      <c r="B824" s="3">
        <v>11</v>
      </c>
      <c r="C824" s="5">
        <v>320</v>
      </c>
      <c r="D824" s="6">
        <v>0</v>
      </c>
      <c r="E824" s="7">
        <v>83550</v>
      </c>
      <c r="F824" s="3">
        <v>52400</v>
      </c>
      <c r="G824" s="3" t="str">
        <f t="shared" si="12"/>
        <v>5</v>
      </c>
      <c r="H824" s="3" t="s">
        <v>1510</v>
      </c>
      <c r="I824" s="8">
        <v>8000</v>
      </c>
      <c r="J824" s="8">
        <v>0</v>
      </c>
      <c r="K824" s="8">
        <v>8000</v>
      </c>
    </row>
    <row r="825" spans="1:11" hidden="1" x14ac:dyDescent="0.25">
      <c r="A825" s="3" t="s">
        <v>1511</v>
      </c>
      <c r="B825" s="3">
        <v>11</v>
      </c>
      <c r="C825" s="5">
        <v>320</v>
      </c>
      <c r="D825" s="6">
        <v>0</v>
      </c>
      <c r="E825" s="7">
        <v>83550</v>
      </c>
      <c r="F825" s="3">
        <v>53110</v>
      </c>
      <c r="G825" s="3" t="str">
        <f t="shared" si="12"/>
        <v>5</v>
      </c>
      <c r="H825" s="3" t="s">
        <v>1512</v>
      </c>
      <c r="I825" s="8">
        <v>97795.69</v>
      </c>
      <c r="J825" s="8">
        <v>78507.73</v>
      </c>
      <c r="K825" s="8">
        <v>97795.69</v>
      </c>
    </row>
    <row r="826" spans="1:11" hidden="1" x14ac:dyDescent="0.25">
      <c r="A826" s="3" t="s">
        <v>1513</v>
      </c>
      <c r="B826" s="3">
        <v>11</v>
      </c>
      <c r="C826" s="5">
        <v>320</v>
      </c>
      <c r="D826" s="6">
        <v>0</v>
      </c>
      <c r="E826" s="7">
        <v>83550</v>
      </c>
      <c r="F826" s="3">
        <v>53310</v>
      </c>
      <c r="G826" s="3" t="str">
        <f t="shared" si="12"/>
        <v>5</v>
      </c>
      <c r="H826" s="3" t="s">
        <v>1514</v>
      </c>
      <c r="I826" s="8">
        <v>496</v>
      </c>
      <c r="J826" s="8">
        <v>508.3</v>
      </c>
      <c r="K826" s="8">
        <v>496</v>
      </c>
    </row>
    <row r="827" spans="1:11" hidden="1" x14ac:dyDescent="0.25">
      <c r="A827" s="3" t="s">
        <v>1515</v>
      </c>
      <c r="B827" s="3">
        <v>11</v>
      </c>
      <c r="C827" s="5">
        <v>320</v>
      </c>
      <c r="D827" s="6">
        <v>0</v>
      </c>
      <c r="E827" s="7">
        <v>83550</v>
      </c>
      <c r="F827" s="3">
        <v>53330</v>
      </c>
      <c r="G827" s="3" t="str">
        <f t="shared" si="12"/>
        <v>5</v>
      </c>
      <c r="H827" s="3" t="s">
        <v>1516</v>
      </c>
      <c r="I827" s="8">
        <v>8896.41</v>
      </c>
      <c r="J827" s="8">
        <v>7129.1</v>
      </c>
      <c r="K827" s="8">
        <v>8896.41</v>
      </c>
    </row>
    <row r="828" spans="1:11" hidden="1" x14ac:dyDescent="0.25">
      <c r="A828" s="3" t="s">
        <v>1517</v>
      </c>
      <c r="B828" s="3">
        <v>11</v>
      </c>
      <c r="C828" s="5">
        <v>320</v>
      </c>
      <c r="D828" s="6">
        <v>0</v>
      </c>
      <c r="E828" s="7">
        <v>83550</v>
      </c>
      <c r="F828" s="3">
        <v>53410</v>
      </c>
      <c r="G828" s="3" t="str">
        <f t="shared" si="12"/>
        <v>5</v>
      </c>
      <c r="H828" s="3" t="s">
        <v>1518</v>
      </c>
      <c r="I828" s="8">
        <v>141344.72</v>
      </c>
      <c r="J828" s="8">
        <v>101722.19</v>
      </c>
      <c r="K828" s="8">
        <v>141344.72</v>
      </c>
    </row>
    <row r="829" spans="1:11" hidden="1" x14ac:dyDescent="0.25">
      <c r="A829" s="3" t="s">
        <v>1519</v>
      </c>
      <c r="B829" s="3">
        <v>11</v>
      </c>
      <c r="C829" s="5">
        <v>320</v>
      </c>
      <c r="D829" s="6">
        <v>0</v>
      </c>
      <c r="E829" s="7">
        <v>83550</v>
      </c>
      <c r="F829" s="3">
        <v>53510</v>
      </c>
      <c r="G829" s="3" t="str">
        <f t="shared" si="12"/>
        <v>5</v>
      </c>
      <c r="H829" s="3" t="s">
        <v>1520</v>
      </c>
      <c r="I829" s="8">
        <v>306.77999999999997</v>
      </c>
      <c r="J829" s="8">
        <v>247.15</v>
      </c>
      <c r="K829" s="8">
        <v>306.77999999999997</v>
      </c>
    </row>
    <row r="830" spans="1:11" hidden="1" x14ac:dyDescent="0.25">
      <c r="A830" s="3" t="s">
        <v>1521</v>
      </c>
      <c r="B830" s="3">
        <v>11</v>
      </c>
      <c r="C830" s="5">
        <v>320</v>
      </c>
      <c r="D830" s="6">
        <v>0</v>
      </c>
      <c r="E830" s="7">
        <v>83550</v>
      </c>
      <c r="F830" s="3">
        <v>53610</v>
      </c>
      <c r="G830" s="3" t="str">
        <f t="shared" si="12"/>
        <v>5</v>
      </c>
      <c r="H830" s="3" t="s">
        <v>1522</v>
      </c>
      <c r="I830" s="8">
        <v>11600.94</v>
      </c>
      <c r="J830" s="8">
        <v>9346.6200000000008</v>
      </c>
      <c r="K830" s="8">
        <v>11600.94</v>
      </c>
    </row>
    <row r="831" spans="1:11" hidden="1" x14ac:dyDescent="0.25">
      <c r="A831" s="3" t="s">
        <v>1523</v>
      </c>
      <c r="B831" s="3">
        <v>11</v>
      </c>
      <c r="C831" s="5">
        <v>320</v>
      </c>
      <c r="D831" s="6">
        <v>0</v>
      </c>
      <c r="E831" s="7">
        <v>83550</v>
      </c>
      <c r="F831" s="3">
        <v>55630</v>
      </c>
      <c r="G831" s="3" t="str">
        <f t="shared" si="12"/>
        <v>5</v>
      </c>
      <c r="H831" s="3" t="s">
        <v>1524</v>
      </c>
      <c r="I831" s="8">
        <v>1100</v>
      </c>
      <c r="J831" s="8">
        <v>64.44</v>
      </c>
      <c r="K831" s="8">
        <v>1100</v>
      </c>
    </row>
    <row r="832" spans="1:11" hidden="1" x14ac:dyDescent="0.25">
      <c r="A832" s="3" t="s">
        <v>1525</v>
      </c>
      <c r="B832" s="3">
        <v>11</v>
      </c>
      <c r="C832" s="5">
        <v>320</v>
      </c>
      <c r="D832" s="6">
        <v>0</v>
      </c>
      <c r="E832" s="7">
        <v>83700</v>
      </c>
      <c r="F832" s="3">
        <v>51310</v>
      </c>
      <c r="G832" s="3" t="str">
        <f t="shared" si="12"/>
        <v>5</v>
      </c>
      <c r="H832" s="3" t="s">
        <v>1526</v>
      </c>
      <c r="I832" s="8">
        <v>4800</v>
      </c>
      <c r="J832" s="8">
        <v>0</v>
      </c>
      <c r="K832" s="8">
        <v>4800</v>
      </c>
    </row>
    <row r="833" spans="1:11" hidden="1" x14ac:dyDescent="0.25">
      <c r="A833" s="3" t="s">
        <v>1527</v>
      </c>
      <c r="B833" s="3">
        <v>11</v>
      </c>
      <c r="C833" s="5">
        <v>320</v>
      </c>
      <c r="D833" s="6">
        <v>0</v>
      </c>
      <c r="E833" s="7">
        <v>83700</v>
      </c>
      <c r="F833" s="3">
        <v>51311</v>
      </c>
      <c r="G833" s="3" t="str">
        <f t="shared" si="12"/>
        <v>5</v>
      </c>
      <c r="H833" s="3" t="s">
        <v>1528</v>
      </c>
      <c r="I833" s="8">
        <v>32000</v>
      </c>
      <c r="J833" s="8">
        <v>10660.7</v>
      </c>
      <c r="K833" s="8">
        <v>32000</v>
      </c>
    </row>
    <row r="834" spans="1:11" hidden="1" x14ac:dyDescent="0.25">
      <c r="A834" s="3" t="s">
        <v>1529</v>
      </c>
      <c r="B834" s="3">
        <v>11</v>
      </c>
      <c r="C834" s="5">
        <v>320</v>
      </c>
      <c r="D834" s="6">
        <v>0</v>
      </c>
      <c r="E834" s="7">
        <v>83700</v>
      </c>
      <c r="F834" s="3">
        <v>53110</v>
      </c>
      <c r="G834" s="3" t="str">
        <f t="shared" si="12"/>
        <v>5</v>
      </c>
      <c r="H834" s="3" t="s">
        <v>1530</v>
      </c>
      <c r="I834" s="8">
        <v>5943.2</v>
      </c>
      <c r="J834" s="8">
        <v>1721.69</v>
      </c>
      <c r="K834" s="8">
        <v>5943.2</v>
      </c>
    </row>
    <row r="835" spans="1:11" hidden="1" x14ac:dyDescent="0.25">
      <c r="A835" s="3" t="s">
        <v>1531</v>
      </c>
      <c r="B835" s="3">
        <v>11</v>
      </c>
      <c r="C835" s="5">
        <v>320</v>
      </c>
      <c r="D835" s="6">
        <v>0</v>
      </c>
      <c r="E835" s="7">
        <v>83700</v>
      </c>
      <c r="F835" s="3">
        <v>53330</v>
      </c>
      <c r="G835" s="3" t="str">
        <f t="shared" ref="G835:G898" si="13">LEFT(F835,1)</f>
        <v>5</v>
      </c>
      <c r="H835" s="3" t="s">
        <v>1532</v>
      </c>
      <c r="I835" s="8">
        <v>533.6</v>
      </c>
      <c r="J835" s="8">
        <v>154.56</v>
      </c>
      <c r="K835" s="8">
        <v>533.6</v>
      </c>
    </row>
    <row r="836" spans="1:11" hidden="1" x14ac:dyDescent="0.25">
      <c r="A836" s="3" t="s">
        <v>1533</v>
      </c>
      <c r="B836" s="3">
        <v>11</v>
      </c>
      <c r="C836" s="5">
        <v>320</v>
      </c>
      <c r="D836" s="6">
        <v>0</v>
      </c>
      <c r="E836" s="7">
        <v>83700</v>
      </c>
      <c r="F836" s="3">
        <v>53510</v>
      </c>
      <c r="G836" s="3" t="str">
        <f t="shared" si="13"/>
        <v>5</v>
      </c>
      <c r="H836" s="3" t="s">
        <v>1534</v>
      </c>
      <c r="I836" s="8">
        <v>18.399999999999999</v>
      </c>
      <c r="J836" s="8">
        <v>5.33</v>
      </c>
      <c r="K836" s="8">
        <v>18.399999999999999</v>
      </c>
    </row>
    <row r="837" spans="1:11" hidden="1" x14ac:dyDescent="0.25">
      <c r="A837" s="3" t="s">
        <v>1535</v>
      </c>
      <c r="B837" s="3">
        <v>11</v>
      </c>
      <c r="C837" s="5">
        <v>320</v>
      </c>
      <c r="D837" s="6">
        <v>0</v>
      </c>
      <c r="E837" s="7">
        <v>83700</v>
      </c>
      <c r="F837" s="3">
        <v>53610</v>
      </c>
      <c r="G837" s="3" t="str">
        <f t="shared" si="13"/>
        <v>5</v>
      </c>
      <c r="H837" s="3" t="s">
        <v>1536</v>
      </c>
      <c r="I837" s="8">
        <v>695.82</v>
      </c>
      <c r="J837" s="8">
        <v>201.58</v>
      </c>
      <c r="K837" s="8">
        <v>695.82</v>
      </c>
    </row>
    <row r="838" spans="1:11" hidden="1" x14ac:dyDescent="0.25">
      <c r="A838" s="3" t="s">
        <v>1537</v>
      </c>
      <c r="B838" s="3">
        <v>11</v>
      </c>
      <c r="C838" s="5">
        <v>320</v>
      </c>
      <c r="D838" s="6">
        <v>0</v>
      </c>
      <c r="E838" s="7">
        <v>83700</v>
      </c>
      <c r="F838" s="3">
        <v>55630</v>
      </c>
      <c r="G838" s="3" t="str">
        <f t="shared" si="13"/>
        <v>5</v>
      </c>
      <c r="H838" s="3" t="s">
        <v>1538</v>
      </c>
      <c r="I838" s="8">
        <v>50</v>
      </c>
      <c r="J838" s="8">
        <v>0.52</v>
      </c>
      <c r="K838" s="8">
        <v>50</v>
      </c>
    </row>
    <row r="839" spans="1:11" hidden="1" x14ac:dyDescent="0.25">
      <c r="A839" s="3" t="s">
        <v>1539</v>
      </c>
      <c r="B839" s="3">
        <v>11</v>
      </c>
      <c r="C839" s="5">
        <v>320</v>
      </c>
      <c r="D839" s="6">
        <v>0</v>
      </c>
      <c r="E839" s="7">
        <v>130600</v>
      </c>
      <c r="F839" s="3">
        <v>51311</v>
      </c>
      <c r="G839" s="3" t="str">
        <f t="shared" si="13"/>
        <v>5</v>
      </c>
      <c r="H839" s="3" t="s">
        <v>1540</v>
      </c>
      <c r="I839" s="8">
        <v>35000</v>
      </c>
      <c r="J839" s="8">
        <v>26286.69</v>
      </c>
      <c r="K839" s="8">
        <v>35000</v>
      </c>
    </row>
    <row r="840" spans="1:11" hidden="1" x14ac:dyDescent="0.25">
      <c r="A840" s="3" t="s">
        <v>1541</v>
      </c>
      <c r="B840" s="3">
        <v>11</v>
      </c>
      <c r="C840" s="5">
        <v>320</v>
      </c>
      <c r="D840" s="6">
        <v>0</v>
      </c>
      <c r="E840" s="7">
        <v>130600</v>
      </c>
      <c r="F840" s="3">
        <v>53110</v>
      </c>
      <c r="G840" s="3" t="str">
        <f t="shared" si="13"/>
        <v>5</v>
      </c>
      <c r="H840" s="3" t="s">
        <v>1542</v>
      </c>
      <c r="I840" s="8">
        <v>5652.5</v>
      </c>
      <c r="J840" s="8">
        <v>4245.3500000000004</v>
      </c>
      <c r="K840" s="8">
        <v>5652.5</v>
      </c>
    </row>
    <row r="841" spans="1:11" hidden="1" x14ac:dyDescent="0.25">
      <c r="A841" s="3" t="s">
        <v>1543</v>
      </c>
      <c r="B841" s="3">
        <v>11</v>
      </c>
      <c r="C841" s="5">
        <v>320</v>
      </c>
      <c r="D841" s="6">
        <v>0</v>
      </c>
      <c r="E841" s="7">
        <v>130600</v>
      </c>
      <c r="F841" s="3">
        <v>53330</v>
      </c>
      <c r="G841" s="3" t="str">
        <f t="shared" si="13"/>
        <v>5</v>
      </c>
      <c r="H841" s="3" t="s">
        <v>1544</v>
      </c>
      <c r="I841" s="8">
        <v>507.5</v>
      </c>
      <c r="J841" s="8">
        <v>381.18</v>
      </c>
      <c r="K841" s="8">
        <v>507.5</v>
      </c>
    </row>
    <row r="842" spans="1:11" hidden="1" x14ac:dyDescent="0.25">
      <c r="A842" s="3" t="s">
        <v>1545</v>
      </c>
      <c r="B842" s="3">
        <v>11</v>
      </c>
      <c r="C842" s="5">
        <v>320</v>
      </c>
      <c r="D842" s="6">
        <v>0</v>
      </c>
      <c r="E842" s="7">
        <v>130600</v>
      </c>
      <c r="F842" s="3">
        <v>53510</v>
      </c>
      <c r="G842" s="3" t="str">
        <f t="shared" si="13"/>
        <v>5</v>
      </c>
      <c r="H842" s="3" t="s">
        <v>1546</v>
      </c>
      <c r="I842" s="8">
        <v>17.5</v>
      </c>
      <c r="J842" s="8">
        <v>13.09</v>
      </c>
      <c r="K842" s="8">
        <v>17.5</v>
      </c>
    </row>
    <row r="843" spans="1:11" hidden="1" x14ac:dyDescent="0.25">
      <c r="A843" s="3" t="s">
        <v>1547</v>
      </c>
      <c r="B843" s="3">
        <v>11</v>
      </c>
      <c r="C843" s="5">
        <v>320</v>
      </c>
      <c r="D843" s="6">
        <v>0</v>
      </c>
      <c r="E843" s="7">
        <v>130600</v>
      </c>
      <c r="F843" s="3">
        <v>53610</v>
      </c>
      <c r="G843" s="3" t="str">
        <f t="shared" si="13"/>
        <v>5</v>
      </c>
      <c r="H843" s="3" t="s">
        <v>1548</v>
      </c>
      <c r="I843" s="8">
        <v>661.78</v>
      </c>
      <c r="J843" s="8">
        <v>497.07</v>
      </c>
      <c r="K843" s="8">
        <v>661.78</v>
      </c>
    </row>
    <row r="844" spans="1:11" hidden="1" x14ac:dyDescent="0.25">
      <c r="A844" s="3" t="s">
        <v>1549</v>
      </c>
      <c r="B844" s="3">
        <v>11</v>
      </c>
      <c r="C844" s="5">
        <v>320</v>
      </c>
      <c r="D844" s="6">
        <v>0</v>
      </c>
      <c r="E844" s="7">
        <v>130600</v>
      </c>
      <c r="F844" s="3">
        <v>55630</v>
      </c>
      <c r="G844" s="3" t="str">
        <f t="shared" si="13"/>
        <v>5</v>
      </c>
      <c r="H844" s="3" t="s">
        <v>1550</v>
      </c>
      <c r="I844" s="8">
        <v>45</v>
      </c>
      <c r="J844" s="8">
        <v>0</v>
      </c>
      <c r="K844" s="8">
        <v>45</v>
      </c>
    </row>
    <row r="845" spans="1:11" hidden="1" x14ac:dyDescent="0.25">
      <c r="A845" s="3" t="s">
        <v>1551</v>
      </c>
      <c r="B845" s="3">
        <v>11</v>
      </c>
      <c r="C845" s="5">
        <v>320</v>
      </c>
      <c r="D845" s="6">
        <v>0</v>
      </c>
      <c r="E845" s="7">
        <v>601000</v>
      </c>
      <c r="F845" s="3">
        <v>51210</v>
      </c>
      <c r="G845" s="3" t="str">
        <f t="shared" si="13"/>
        <v>5</v>
      </c>
      <c r="H845" s="3" t="s">
        <v>477</v>
      </c>
      <c r="I845" s="8">
        <v>36851.75</v>
      </c>
      <c r="J845" s="8">
        <v>27638.82</v>
      </c>
      <c r="K845" s="8">
        <v>36851.75</v>
      </c>
    </row>
    <row r="846" spans="1:11" hidden="1" x14ac:dyDescent="0.25">
      <c r="A846" s="3" t="s">
        <v>1552</v>
      </c>
      <c r="B846" s="3">
        <v>11</v>
      </c>
      <c r="C846" s="5">
        <v>320</v>
      </c>
      <c r="D846" s="6">
        <v>0</v>
      </c>
      <c r="E846" s="7">
        <v>601000</v>
      </c>
      <c r="F846" s="3">
        <v>52105</v>
      </c>
      <c r="G846" s="3" t="str">
        <f t="shared" si="13"/>
        <v>5</v>
      </c>
      <c r="H846" s="3" t="s">
        <v>481</v>
      </c>
      <c r="I846" s="8">
        <v>87994.05</v>
      </c>
      <c r="J846" s="8">
        <v>65525.53</v>
      </c>
      <c r="K846" s="8">
        <v>87994.05</v>
      </c>
    </row>
    <row r="847" spans="1:11" hidden="1" x14ac:dyDescent="0.25">
      <c r="A847" s="3" t="s">
        <v>1553</v>
      </c>
      <c r="B847" s="3">
        <v>11</v>
      </c>
      <c r="C847" s="5">
        <v>320</v>
      </c>
      <c r="D847" s="6">
        <v>0</v>
      </c>
      <c r="E847" s="7">
        <v>601000</v>
      </c>
      <c r="F847" s="3">
        <v>52300</v>
      </c>
      <c r="G847" s="3" t="str">
        <f t="shared" si="13"/>
        <v>5</v>
      </c>
      <c r="H847" s="3" t="s">
        <v>483</v>
      </c>
      <c r="I847" s="8">
        <v>0</v>
      </c>
      <c r="J847" s="8">
        <v>377.76</v>
      </c>
      <c r="K847" s="8">
        <v>0</v>
      </c>
    </row>
    <row r="848" spans="1:11" hidden="1" x14ac:dyDescent="0.25">
      <c r="A848" s="3" t="s">
        <v>1554</v>
      </c>
      <c r="B848" s="3">
        <v>11</v>
      </c>
      <c r="C848" s="5">
        <v>320</v>
      </c>
      <c r="D848" s="6">
        <v>0</v>
      </c>
      <c r="E848" s="7">
        <v>601000</v>
      </c>
      <c r="F848" s="3">
        <v>53120</v>
      </c>
      <c r="G848" s="3" t="str">
        <f t="shared" si="13"/>
        <v>5</v>
      </c>
      <c r="H848" s="3" t="s">
        <v>485</v>
      </c>
      <c r="I848" s="8">
        <v>5951.56</v>
      </c>
      <c r="J848" s="8">
        <v>4463.6400000000003</v>
      </c>
      <c r="K848" s="8">
        <v>5951.56</v>
      </c>
    </row>
    <row r="849" spans="1:11" hidden="1" x14ac:dyDescent="0.25">
      <c r="A849" s="3" t="s">
        <v>1555</v>
      </c>
      <c r="B849" s="3">
        <v>11</v>
      </c>
      <c r="C849" s="5">
        <v>320</v>
      </c>
      <c r="D849" s="6">
        <v>0</v>
      </c>
      <c r="E849" s="7">
        <v>601000</v>
      </c>
      <c r="F849" s="3">
        <v>53220</v>
      </c>
      <c r="G849" s="3" t="str">
        <f t="shared" si="13"/>
        <v>5</v>
      </c>
      <c r="H849" s="3" t="s">
        <v>487</v>
      </c>
      <c r="I849" s="8">
        <v>18214.77</v>
      </c>
      <c r="J849" s="8">
        <v>13567.14</v>
      </c>
      <c r="K849" s="8">
        <v>18214.77</v>
      </c>
    </row>
    <row r="850" spans="1:11" hidden="1" x14ac:dyDescent="0.25">
      <c r="A850" s="3" t="s">
        <v>1556</v>
      </c>
      <c r="B850" s="3">
        <v>11</v>
      </c>
      <c r="C850" s="5">
        <v>320</v>
      </c>
      <c r="D850" s="6">
        <v>0</v>
      </c>
      <c r="E850" s="7">
        <v>601000</v>
      </c>
      <c r="F850" s="3">
        <v>53320</v>
      </c>
      <c r="G850" s="3" t="str">
        <f t="shared" si="13"/>
        <v>5</v>
      </c>
      <c r="H850" s="3" t="s">
        <v>489</v>
      </c>
      <c r="I850" s="8">
        <v>5455.63</v>
      </c>
      <c r="J850" s="8">
        <v>4067.24</v>
      </c>
      <c r="K850" s="8">
        <v>5455.63</v>
      </c>
    </row>
    <row r="851" spans="1:11" hidden="1" x14ac:dyDescent="0.25">
      <c r="A851" s="3" t="s">
        <v>1557</v>
      </c>
      <c r="B851" s="3">
        <v>11</v>
      </c>
      <c r="C851" s="5">
        <v>320</v>
      </c>
      <c r="D851" s="6">
        <v>0</v>
      </c>
      <c r="E851" s="7">
        <v>601000</v>
      </c>
      <c r="F851" s="3">
        <v>53340</v>
      </c>
      <c r="G851" s="3" t="str">
        <f t="shared" si="13"/>
        <v>5</v>
      </c>
      <c r="H851" s="3" t="s">
        <v>491</v>
      </c>
      <c r="I851" s="8">
        <v>1810.27</v>
      </c>
      <c r="J851" s="8">
        <v>1351.36</v>
      </c>
      <c r="K851" s="8">
        <v>1810.27</v>
      </c>
    </row>
    <row r="852" spans="1:11" hidden="1" x14ac:dyDescent="0.25">
      <c r="A852" s="3" t="s">
        <v>1558</v>
      </c>
      <c r="B852" s="3">
        <v>11</v>
      </c>
      <c r="C852" s="5">
        <v>320</v>
      </c>
      <c r="D852" s="6">
        <v>0</v>
      </c>
      <c r="E852" s="7">
        <v>601000</v>
      </c>
      <c r="F852" s="3">
        <v>53420</v>
      </c>
      <c r="G852" s="3" t="str">
        <f t="shared" si="13"/>
        <v>5</v>
      </c>
      <c r="H852" s="3" t="s">
        <v>493</v>
      </c>
      <c r="I852" s="8">
        <v>34019.370000000003</v>
      </c>
      <c r="J852" s="8">
        <v>29191.61</v>
      </c>
      <c r="K852" s="8">
        <v>34019.370000000003</v>
      </c>
    </row>
    <row r="853" spans="1:11" hidden="1" x14ac:dyDescent="0.25">
      <c r="A853" s="3" t="s">
        <v>1559</v>
      </c>
      <c r="B853" s="3">
        <v>11</v>
      </c>
      <c r="C853" s="5">
        <v>320</v>
      </c>
      <c r="D853" s="6">
        <v>0</v>
      </c>
      <c r="E853" s="7">
        <v>601000</v>
      </c>
      <c r="F853" s="3">
        <v>53520</v>
      </c>
      <c r="G853" s="3" t="str">
        <f t="shared" si="13"/>
        <v>5</v>
      </c>
      <c r="H853" s="3" t="s">
        <v>495</v>
      </c>
      <c r="I853" s="8">
        <v>62.43</v>
      </c>
      <c r="J853" s="8">
        <v>46.8</v>
      </c>
      <c r="K853" s="8">
        <v>62.43</v>
      </c>
    </row>
    <row r="854" spans="1:11" hidden="1" x14ac:dyDescent="0.25">
      <c r="A854" s="3" t="s">
        <v>1560</v>
      </c>
      <c r="B854" s="3">
        <v>11</v>
      </c>
      <c r="C854" s="5">
        <v>320</v>
      </c>
      <c r="D854" s="6">
        <v>0</v>
      </c>
      <c r="E854" s="7">
        <v>601000</v>
      </c>
      <c r="F854" s="3">
        <v>53620</v>
      </c>
      <c r="G854" s="3" t="str">
        <f t="shared" si="13"/>
        <v>5</v>
      </c>
      <c r="H854" s="3" t="s">
        <v>497</v>
      </c>
      <c r="I854" s="8">
        <v>2360.58</v>
      </c>
      <c r="J854" s="8">
        <v>1772.19</v>
      </c>
      <c r="K854" s="8">
        <v>2360.58</v>
      </c>
    </row>
    <row r="855" spans="1:11" hidden="1" x14ac:dyDescent="0.25">
      <c r="A855" s="3" t="s">
        <v>1561</v>
      </c>
      <c r="B855" s="3">
        <v>11</v>
      </c>
      <c r="C855" s="5">
        <v>320</v>
      </c>
      <c r="D855" s="6">
        <v>0</v>
      </c>
      <c r="E855" s="7">
        <v>601000</v>
      </c>
      <c r="F855" s="3">
        <v>53920</v>
      </c>
      <c r="G855" s="3" t="str">
        <f t="shared" si="13"/>
        <v>5</v>
      </c>
      <c r="H855" s="3" t="s">
        <v>499</v>
      </c>
      <c r="I855" s="8">
        <v>3000</v>
      </c>
      <c r="J855" s="8">
        <v>1500</v>
      </c>
      <c r="K855" s="8">
        <v>3000</v>
      </c>
    </row>
    <row r="856" spans="1:11" hidden="1" x14ac:dyDescent="0.25">
      <c r="A856" s="3" t="s">
        <v>1562</v>
      </c>
      <c r="B856" s="3">
        <v>11</v>
      </c>
      <c r="C856" s="5">
        <v>320</v>
      </c>
      <c r="D856" s="6">
        <v>0</v>
      </c>
      <c r="E856" s="7">
        <v>601000</v>
      </c>
      <c r="F856" s="3">
        <v>55630</v>
      </c>
      <c r="G856" s="3" t="str">
        <f t="shared" si="13"/>
        <v>5</v>
      </c>
      <c r="H856" s="3" t="s">
        <v>509</v>
      </c>
      <c r="I856" s="8">
        <v>1000</v>
      </c>
      <c r="J856" s="8">
        <v>664.83</v>
      </c>
      <c r="K856" s="8">
        <v>1000</v>
      </c>
    </row>
    <row r="857" spans="1:11" hidden="1" x14ac:dyDescent="0.25">
      <c r="A857" s="3" t="s">
        <v>1563</v>
      </c>
      <c r="B857" s="3">
        <v>11</v>
      </c>
      <c r="C857" s="5">
        <v>320</v>
      </c>
      <c r="D857" s="6">
        <v>0</v>
      </c>
      <c r="E857" s="7">
        <v>696500</v>
      </c>
      <c r="F857" s="3">
        <v>51210</v>
      </c>
      <c r="G857" s="3" t="str">
        <f t="shared" si="13"/>
        <v>5</v>
      </c>
      <c r="H857" s="3" t="s">
        <v>1564</v>
      </c>
      <c r="I857" s="8">
        <v>110555.25</v>
      </c>
      <c r="J857" s="8">
        <v>82916.460000000006</v>
      </c>
      <c r="K857" s="8">
        <v>110555.25</v>
      </c>
    </row>
    <row r="858" spans="1:11" hidden="1" x14ac:dyDescent="0.25">
      <c r="A858" s="3" t="s">
        <v>1565</v>
      </c>
      <c r="B858" s="3">
        <v>11</v>
      </c>
      <c r="C858" s="5">
        <v>320</v>
      </c>
      <c r="D858" s="6">
        <v>0</v>
      </c>
      <c r="E858" s="7">
        <v>696500</v>
      </c>
      <c r="F858" s="3">
        <v>51412</v>
      </c>
      <c r="G858" s="3" t="str">
        <f t="shared" si="13"/>
        <v>5</v>
      </c>
      <c r="H858" s="3" t="s">
        <v>1566</v>
      </c>
      <c r="I858" s="8">
        <v>141000</v>
      </c>
      <c r="J858" s="8">
        <v>39440.04</v>
      </c>
      <c r="K858" s="8">
        <v>141000</v>
      </c>
    </row>
    <row r="859" spans="1:11" hidden="1" x14ac:dyDescent="0.25">
      <c r="A859" s="3" t="s">
        <v>1567</v>
      </c>
      <c r="B859" s="3">
        <v>11</v>
      </c>
      <c r="C859" s="5">
        <v>320</v>
      </c>
      <c r="D859" s="6">
        <v>0</v>
      </c>
      <c r="E859" s="7">
        <v>696500</v>
      </c>
      <c r="F859" s="3">
        <v>52105</v>
      </c>
      <c r="G859" s="3" t="str">
        <f t="shared" si="13"/>
        <v>5</v>
      </c>
      <c r="H859" s="3" t="s">
        <v>1568</v>
      </c>
      <c r="I859" s="8">
        <v>149210.70000000001</v>
      </c>
      <c r="J859" s="8">
        <v>114133.52</v>
      </c>
      <c r="K859" s="8">
        <v>149210.70000000001</v>
      </c>
    </row>
    <row r="860" spans="1:11" hidden="1" x14ac:dyDescent="0.25">
      <c r="A860" s="3" t="s">
        <v>1569</v>
      </c>
      <c r="B860" s="3">
        <v>11</v>
      </c>
      <c r="C860" s="5">
        <v>320</v>
      </c>
      <c r="D860" s="6">
        <v>0</v>
      </c>
      <c r="E860" s="7">
        <v>696500</v>
      </c>
      <c r="F860" s="3">
        <v>52300</v>
      </c>
      <c r="G860" s="3" t="str">
        <f t="shared" si="13"/>
        <v>5</v>
      </c>
      <c r="H860" s="3" t="s">
        <v>1570</v>
      </c>
      <c r="I860" s="8">
        <v>0</v>
      </c>
      <c r="J860" s="8">
        <v>152.16</v>
      </c>
      <c r="K860" s="8">
        <v>0</v>
      </c>
    </row>
    <row r="861" spans="1:11" hidden="1" x14ac:dyDescent="0.25">
      <c r="A861" s="3" t="s">
        <v>1571</v>
      </c>
      <c r="B861" s="3">
        <v>11</v>
      </c>
      <c r="C861" s="5">
        <v>320</v>
      </c>
      <c r="D861" s="6">
        <v>0</v>
      </c>
      <c r="E861" s="7">
        <v>696500</v>
      </c>
      <c r="F861" s="3">
        <v>52360</v>
      </c>
      <c r="G861" s="3" t="str">
        <f t="shared" si="13"/>
        <v>5</v>
      </c>
      <c r="H861" s="3" t="s">
        <v>1572</v>
      </c>
      <c r="I861" s="8">
        <v>15000</v>
      </c>
      <c r="J861" s="8">
        <v>11000.1</v>
      </c>
      <c r="K861" s="8">
        <v>15000</v>
      </c>
    </row>
    <row r="862" spans="1:11" hidden="1" x14ac:dyDescent="0.25">
      <c r="A862" s="3" t="s">
        <v>1573</v>
      </c>
      <c r="B862" s="3">
        <v>11</v>
      </c>
      <c r="C862" s="5">
        <v>320</v>
      </c>
      <c r="D862" s="6">
        <v>0</v>
      </c>
      <c r="E862" s="7">
        <v>696500</v>
      </c>
      <c r="F862" s="3">
        <v>53120</v>
      </c>
      <c r="G862" s="3" t="str">
        <f t="shared" si="13"/>
        <v>5</v>
      </c>
      <c r="H862" s="3" t="s">
        <v>1574</v>
      </c>
      <c r="I862" s="8">
        <v>40626.17</v>
      </c>
      <c r="J862" s="8">
        <v>17276.75</v>
      </c>
      <c r="K862" s="8">
        <v>40626.17</v>
      </c>
    </row>
    <row r="863" spans="1:11" hidden="1" x14ac:dyDescent="0.25">
      <c r="A863" s="3" t="s">
        <v>1575</v>
      </c>
      <c r="B863" s="3">
        <v>11</v>
      </c>
      <c r="C863" s="5">
        <v>320</v>
      </c>
      <c r="D863" s="6">
        <v>0</v>
      </c>
      <c r="E863" s="7">
        <v>696500</v>
      </c>
      <c r="F863" s="3">
        <v>53220</v>
      </c>
      <c r="G863" s="3" t="str">
        <f t="shared" si="13"/>
        <v>5</v>
      </c>
      <c r="H863" s="3" t="s">
        <v>1576</v>
      </c>
      <c r="I863" s="8">
        <v>30886.62</v>
      </c>
      <c r="J863" s="8">
        <v>23627.33</v>
      </c>
      <c r="K863" s="8">
        <v>30886.62</v>
      </c>
    </row>
    <row r="864" spans="1:11" hidden="1" x14ac:dyDescent="0.25">
      <c r="A864" s="3" t="s">
        <v>1577</v>
      </c>
      <c r="B864" s="3">
        <v>11</v>
      </c>
      <c r="C864" s="5">
        <v>320</v>
      </c>
      <c r="D864" s="6">
        <v>0</v>
      </c>
      <c r="E864" s="7">
        <v>696500</v>
      </c>
      <c r="F864" s="3">
        <v>53320</v>
      </c>
      <c r="G864" s="3" t="str">
        <f t="shared" si="13"/>
        <v>5</v>
      </c>
      <c r="H864" s="3" t="s">
        <v>1578</v>
      </c>
      <c r="I864" s="8">
        <v>10181.07</v>
      </c>
      <c r="J864" s="8">
        <v>8463.17</v>
      </c>
      <c r="K864" s="8">
        <v>10181.07</v>
      </c>
    </row>
    <row r="865" spans="1:11" hidden="1" x14ac:dyDescent="0.25">
      <c r="A865" s="3" t="s">
        <v>1579</v>
      </c>
      <c r="B865" s="3">
        <v>11</v>
      </c>
      <c r="C865" s="5">
        <v>320</v>
      </c>
      <c r="D865" s="6">
        <v>0</v>
      </c>
      <c r="E865" s="7">
        <v>696500</v>
      </c>
      <c r="F865" s="3">
        <v>53340</v>
      </c>
      <c r="G865" s="3" t="str">
        <f t="shared" si="13"/>
        <v>5</v>
      </c>
      <c r="H865" s="3" t="s">
        <v>1580</v>
      </c>
      <c r="I865" s="8">
        <v>6028.61</v>
      </c>
      <c r="J865" s="8">
        <v>3583.21</v>
      </c>
      <c r="K865" s="8">
        <v>6028.61</v>
      </c>
    </row>
    <row r="866" spans="1:11" hidden="1" x14ac:dyDescent="0.25">
      <c r="A866" s="3" t="s">
        <v>1581</v>
      </c>
      <c r="B866" s="3">
        <v>11</v>
      </c>
      <c r="C866" s="5">
        <v>320</v>
      </c>
      <c r="D866" s="6">
        <v>0</v>
      </c>
      <c r="E866" s="7">
        <v>696500</v>
      </c>
      <c r="F866" s="3">
        <v>53420</v>
      </c>
      <c r="G866" s="3" t="str">
        <f t="shared" si="13"/>
        <v>5</v>
      </c>
      <c r="H866" s="3" t="s">
        <v>1582</v>
      </c>
      <c r="I866" s="8">
        <v>57979.040000000001</v>
      </c>
      <c r="J866" s="8">
        <v>44526.34</v>
      </c>
      <c r="K866" s="8">
        <v>57979.040000000001</v>
      </c>
    </row>
    <row r="867" spans="1:11" hidden="1" x14ac:dyDescent="0.25">
      <c r="A867" s="3" t="s">
        <v>1583</v>
      </c>
      <c r="B867" s="3">
        <v>11</v>
      </c>
      <c r="C867" s="5">
        <v>320</v>
      </c>
      <c r="D867" s="6">
        <v>0</v>
      </c>
      <c r="E867" s="7">
        <v>696500</v>
      </c>
      <c r="F867" s="3">
        <v>53520</v>
      </c>
      <c r="G867" s="3" t="str">
        <f t="shared" si="13"/>
        <v>5</v>
      </c>
      <c r="H867" s="3" t="s">
        <v>1584</v>
      </c>
      <c r="I867" s="8">
        <v>207.88</v>
      </c>
      <c r="J867" s="8">
        <v>123.8</v>
      </c>
      <c r="K867" s="8">
        <v>207.88</v>
      </c>
    </row>
    <row r="868" spans="1:11" hidden="1" x14ac:dyDescent="0.25">
      <c r="A868" s="3" t="s">
        <v>1585</v>
      </c>
      <c r="B868" s="3">
        <v>11</v>
      </c>
      <c r="C868" s="5">
        <v>320</v>
      </c>
      <c r="D868" s="6">
        <v>0</v>
      </c>
      <c r="E868" s="7">
        <v>696500</v>
      </c>
      <c r="F868" s="3">
        <v>53620</v>
      </c>
      <c r="G868" s="3" t="str">
        <f t="shared" si="13"/>
        <v>5</v>
      </c>
      <c r="H868" s="3" t="s">
        <v>1586</v>
      </c>
      <c r="I868" s="8">
        <v>7861.31</v>
      </c>
      <c r="J868" s="8">
        <v>4688.24</v>
      </c>
      <c r="K868" s="8">
        <v>7861.31</v>
      </c>
    </row>
    <row r="869" spans="1:11" hidden="1" x14ac:dyDescent="0.25">
      <c r="A869" s="3" t="s">
        <v>1587</v>
      </c>
      <c r="B869" s="3">
        <v>11</v>
      </c>
      <c r="C869" s="5">
        <v>320</v>
      </c>
      <c r="D869" s="6">
        <v>0</v>
      </c>
      <c r="E869" s="7">
        <v>696500</v>
      </c>
      <c r="F869" s="3">
        <v>53920</v>
      </c>
      <c r="G869" s="3" t="str">
        <f t="shared" si="13"/>
        <v>5</v>
      </c>
      <c r="H869" s="3" t="s">
        <v>1588</v>
      </c>
      <c r="I869" s="8">
        <v>1800</v>
      </c>
      <c r="J869" s="8">
        <v>900</v>
      </c>
      <c r="K869" s="8">
        <v>1800</v>
      </c>
    </row>
    <row r="870" spans="1:11" hidden="1" x14ac:dyDescent="0.25">
      <c r="A870" s="3" t="s">
        <v>1589</v>
      </c>
      <c r="B870" s="3">
        <v>11</v>
      </c>
      <c r="C870" s="5">
        <v>320</v>
      </c>
      <c r="D870" s="6">
        <v>0</v>
      </c>
      <c r="E870" s="7">
        <v>696500</v>
      </c>
      <c r="F870" s="3">
        <v>54300</v>
      </c>
      <c r="G870" s="3" t="str">
        <f t="shared" si="13"/>
        <v>5</v>
      </c>
      <c r="H870" s="3" t="s">
        <v>1590</v>
      </c>
      <c r="I870" s="8">
        <v>112967.77</v>
      </c>
      <c r="J870" s="8">
        <v>21834.04</v>
      </c>
      <c r="K870" s="8">
        <v>112967.77</v>
      </c>
    </row>
    <row r="871" spans="1:11" hidden="1" x14ac:dyDescent="0.25">
      <c r="A871" s="3" t="s">
        <v>1591</v>
      </c>
      <c r="B871" s="3">
        <v>11</v>
      </c>
      <c r="C871" s="5">
        <v>320</v>
      </c>
      <c r="D871" s="6">
        <v>0</v>
      </c>
      <c r="E871" s="7">
        <v>696500</v>
      </c>
      <c r="F871" s="3">
        <v>55100</v>
      </c>
      <c r="G871" s="3" t="str">
        <f t="shared" si="13"/>
        <v>5</v>
      </c>
      <c r="H871" s="3" t="s">
        <v>1592</v>
      </c>
      <c r="I871" s="8">
        <v>8333</v>
      </c>
      <c r="J871" s="8">
        <v>0</v>
      </c>
      <c r="K871" s="8">
        <v>8333</v>
      </c>
    </row>
    <row r="872" spans="1:11" hidden="1" x14ac:dyDescent="0.25">
      <c r="A872" s="3" t="s">
        <v>1593</v>
      </c>
      <c r="B872" s="3">
        <v>11</v>
      </c>
      <c r="C872" s="5">
        <v>320</v>
      </c>
      <c r="D872" s="6">
        <v>0</v>
      </c>
      <c r="E872" s="7">
        <v>696500</v>
      </c>
      <c r="F872" s="3">
        <v>55105</v>
      </c>
      <c r="G872" s="3" t="str">
        <f t="shared" si="13"/>
        <v>5</v>
      </c>
      <c r="H872" s="3" t="s">
        <v>1594</v>
      </c>
      <c r="I872" s="8">
        <v>96667</v>
      </c>
      <c r="J872" s="8">
        <v>3550</v>
      </c>
      <c r="K872" s="8">
        <v>96667</v>
      </c>
    </row>
    <row r="873" spans="1:11" hidden="1" x14ac:dyDescent="0.25">
      <c r="A873" s="3" t="s">
        <v>1595</v>
      </c>
      <c r="B873" s="3">
        <v>11</v>
      </c>
      <c r="C873" s="5">
        <v>320</v>
      </c>
      <c r="D873" s="6">
        <v>0</v>
      </c>
      <c r="E873" s="7">
        <v>696500</v>
      </c>
      <c r="F873" s="3">
        <v>55110</v>
      </c>
      <c r="G873" s="3" t="str">
        <f t="shared" si="13"/>
        <v>5</v>
      </c>
      <c r="H873" s="3" t="s">
        <v>1596</v>
      </c>
      <c r="I873" s="8">
        <v>44074.03</v>
      </c>
      <c r="J873" s="8">
        <v>167.11</v>
      </c>
      <c r="K873" s="8">
        <v>44074.03</v>
      </c>
    </row>
    <row r="874" spans="1:11" hidden="1" x14ac:dyDescent="0.25">
      <c r="A874" s="3" t="s">
        <v>1597</v>
      </c>
      <c r="B874" s="3">
        <v>11</v>
      </c>
      <c r="C874" s="5">
        <v>320</v>
      </c>
      <c r="D874" s="6">
        <v>0</v>
      </c>
      <c r="E874" s="7">
        <v>696500</v>
      </c>
      <c r="F874" s="3">
        <v>55200</v>
      </c>
      <c r="G874" s="3" t="str">
        <f t="shared" si="13"/>
        <v>5</v>
      </c>
      <c r="H874" s="3" t="s">
        <v>1598</v>
      </c>
      <c r="I874" s="8">
        <v>15000</v>
      </c>
      <c r="J874" s="8">
        <v>0</v>
      </c>
      <c r="K874" s="8">
        <v>15000</v>
      </c>
    </row>
    <row r="875" spans="1:11" hidden="1" x14ac:dyDescent="0.25">
      <c r="A875" s="3" t="s">
        <v>1599</v>
      </c>
      <c r="B875" s="3">
        <v>11</v>
      </c>
      <c r="C875" s="5">
        <v>320</v>
      </c>
      <c r="D875" s="6">
        <v>0</v>
      </c>
      <c r="E875" s="7">
        <v>696500</v>
      </c>
      <c r="F875" s="3">
        <v>55240</v>
      </c>
      <c r="G875" s="3" t="str">
        <f t="shared" si="13"/>
        <v>5</v>
      </c>
      <c r="H875" s="3" t="s">
        <v>1600</v>
      </c>
      <c r="I875" s="8">
        <v>62500</v>
      </c>
      <c r="J875" s="8">
        <v>0</v>
      </c>
      <c r="K875" s="8">
        <v>62500</v>
      </c>
    </row>
    <row r="876" spans="1:11" hidden="1" x14ac:dyDescent="0.25">
      <c r="A876" s="3" t="s">
        <v>1601</v>
      </c>
      <c r="B876" s="3">
        <v>11</v>
      </c>
      <c r="C876" s="5">
        <v>320</v>
      </c>
      <c r="D876" s="6">
        <v>0</v>
      </c>
      <c r="E876" s="7">
        <v>696500</v>
      </c>
      <c r="F876" s="3">
        <v>55264</v>
      </c>
      <c r="G876" s="3" t="str">
        <f t="shared" si="13"/>
        <v>5</v>
      </c>
      <c r="H876" s="3" t="s">
        <v>1602</v>
      </c>
      <c r="I876" s="8">
        <v>10000</v>
      </c>
      <c r="J876" s="8">
        <v>0</v>
      </c>
      <c r="K876" s="8">
        <v>10000</v>
      </c>
    </row>
    <row r="877" spans="1:11" hidden="1" x14ac:dyDescent="0.25">
      <c r="A877" s="3" t="s">
        <v>1603</v>
      </c>
      <c r="B877" s="3">
        <v>11</v>
      </c>
      <c r="C877" s="5">
        <v>320</v>
      </c>
      <c r="D877" s="6">
        <v>0</v>
      </c>
      <c r="E877" s="7">
        <v>696500</v>
      </c>
      <c r="F877" s="3">
        <v>55300</v>
      </c>
      <c r="G877" s="3" t="str">
        <f t="shared" si="13"/>
        <v>5</v>
      </c>
      <c r="H877" s="3" t="s">
        <v>1604</v>
      </c>
      <c r="I877" s="8">
        <v>25000</v>
      </c>
      <c r="J877" s="8">
        <v>19170</v>
      </c>
      <c r="K877" s="8">
        <v>25000</v>
      </c>
    </row>
    <row r="878" spans="1:11" hidden="1" x14ac:dyDescent="0.25">
      <c r="A878" s="3" t="s">
        <v>1605</v>
      </c>
      <c r="B878" s="3">
        <v>11</v>
      </c>
      <c r="C878" s="5">
        <v>320</v>
      </c>
      <c r="D878" s="6">
        <v>0</v>
      </c>
      <c r="E878" s="7">
        <v>696500</v>
      </c>
      <c r="F878" s="3">
        <v>55309</v>
      </c>
      <c r="G878" s="3" t="str">
        <f t="shared" si="13"/>
        <v>5</v>
      </c>
      <c r="H878" s="3" t="s">
        <v>1606</v>
      </c>
      <c r="I878" s="8">
        <v>800</v>
      </c>
      <c r="J878" s="8">
        <v>800</v>
      </c>
      <c r="K878" s="8">
        <v>800</v>
      </c>
    </row>
    <row r="879" spans="1:11" hidden="1" x14ac:dyDescent="0.25">
      <c r="A879" s="3" t="s">
        <v>1607</v>
      </c>
      <c r="B879" s="3">
        <v>11</v>
      </c>
      <c r="C879" s="5">
        <v>320</v>
      </c>
      <c r="D879" s="6">
        <v>0</v>
      </c>
      <c r="E879" s="7">
        <v>696500</v>
      </c>
      <c r="F879" s="3">
        <v>55400</v>
      </c>
      <c r="G879" s="3" t="str">
        <f t="shared" si="13"/>
        <v>5</v>
      </c>
      <c r="H879" s="3" t="s">
        <v>1608</v>
      </c>
      <c r="I879" s="8">
        <v>69570</v>
      </c>
      <c r="J879" s="8">
        <v>0</v>
      </c>
      <c r="K879" s="8">
        <v>69570</v>
      </c>
    </row>
    <row r="880" spans="1:11" hidden="1" x14ac:dyDescent="0.25">
      <c r="A880" s="3" t="s">
        <v>1609</v>
      </c>
      <c r="B880" s="3">
        <v>11</v>
      </c>
      <c r="C880" s="5">
        <v>320</v>
      </c>
      <c r="D880" s="6">
        <v>0</v>
      </c>
      <c r="E880" s="7">
        <v>696500</v>
      </c>
      <c r="F880" s="3">
        <v>55600</v>
      </c>
      <c r="G880" s="3" t="str">
        <f t="shared" si="13"/>
        <v>5</v>
      </c>
      <c r="H880" s="3" t="s">
        <v>1610</v>
      </c>
      <c r="I880" s="8">
        <v>10000</v>
      </c>
      <c r="J880" s="8">
        <v>0</v>
      </c>
      <c r="K880" s="8">
        <v>10000</v>
      </c>
    </row>
    <row r="881" spans="1:11" hidden="1" x14ac:dyDescent="0.25">
      <c r="A881" s="3" t="s">
        <v>1611</v>
      </c>
      <c r="B881" s="3">
        <v>11</v>
      </c>
      <c r="C881" s="5">
        <v>320</v>
      </c>
      <c r="D881" s="6">
        <v>0</v>
      </c>
      <c r="E881" s="7">
        <v>696500</v>
      </c>
      <c r="F881" s="3">
        <v>55630</v>
      </c>
      <c r="G881" s="3" t="str">
        <f t="shared" si="13"/>
        <v>5</v>
      </c>
      <c r="H881" s="3" t="s">
        <v>1612</v>
      </c>
      <c r="I881" s="8">
        <v>1700</v>
      </c>
      <c r="J881" s="8">
        <v>163.79</v>
      </c>
      <c r="K881" s="8">
        <v>1700</v>
      </c>
    </row>
    <row r="882" spans="1:11" hidden="1" x14ac:dyDescent="0.25">
      <c r="A882" s="3" t="s">
        <v>1613</v>
      </c>
      <c r="B882" s="3">
        <v>11</v>
      </c>
      <c r="C882" s="5">
        <v>320</v>
      </c>
      <c r="D882" s="6">
        <v>0</v>
      </c>
      <c r="E882" s="7">
        <v>696500</v>
      </c>
      <c r="F882" s="3">
        <v>55651</v>
      </c>
      <c r="G882" s="3" t="str">
        <f t="shared" si="13"/>
        <v>5</v>
      </c>
      <c r="H882" s="3" t="s">
        <v>1614</v>
      </c>
      <c r="I882" s="8">
        <v>12000</v>
      </c>
      <c r="J882" s="8">
        <v>0</v>
      </c>
      <c r="K882" s="8">
        <v>12000</v>
      </c>
    </row>
    <row r="883" spans="1:11" hidden="1" x14ac:dyDescent="0.25">
      <c r="A883" s="3" t="s">
        <v>1615</v>
      </c>
      <c r="B883" s="3">
        <v>11</v>
      </c>
      <c r="C883" s="5">
        <v>320</v>
      </c>
      <c r="D883" s="6">
        <v>0</v>
      </c>
      <c r="E883" s="7">
        <v>696500</v>
      </c>
      <c r="F883" s="3">
        <v>56400</v>
      </c>
      <c r="G883" s="3" t="str">
        <f t="shared" si="13"/>
        <v>5</v>
      </c>
      <c r="H883" s="3" t="s">
        <v>1616</v>
      </c>
      <c r="I883" s="8">
        <v>9158.2000000000007</v>
      </c>
      <c r="J883" s="8">
        <v>4884.3599999999997</v>
      </c>
      <c r="K883" s="8">
        <v>9158.2000000000007</v>
      </c>
    </row>
    <row r="884" spans="1:11" hidden="1" x14ac:dyDescent="0.25">
      <c r="A884" s="3" t="s">
        <v>1617</v>
      </c>
      <c r="B884" s="3">
        <v>11</v>
      </c>
      <c r="C884" s="5">
        <v>320</v>
      </c>
      <c r="D884" s="6">
        <v>0</v>
      </c>
      <c r="E884" s="7">
        <v>696500</v>
      </c>
      <c r="F884" s="3">
        <v>57552</v>
      </c>
      <c r="G884" s="3" t="str">
        <f t="shared" si="13"/>
        <v>5</v>
      </c>
      <c r="H884" s="3" t="s">
        <v>1618</v>
      </c>
      <c r="I884" s="8">
        <v>19000</v>
      </c>
      <c r="J884" s="8">
        <v>0</v>
      </c>
      <c r="K884" s="8">
        <v>19000</v>
      </c>
    </row>
    <row r="885" spans="1:11" hidden="1" x14ac:dyDescent="0.25">
      <c r="A885" s="3" t="s">
        <v>1619</v>
      </c>
      <c r="B885" s="3">
        <v>11</v>
      </c>
      <c r="C885" s="5">
        <v>330</v>
      </c>
      <c r="D885" s="6">
        <v>0</v>
      </c>
      <c r="E885" s="7">
        <v>40110</v>
      </c>
      <c r="F885" s="3">
        <v>51100</v>
      </c>
      <c r="G885" s="3" t="str">
        <f t="shared" si="13"/>
        <v>5</v>
      </c>
      <c r="H885" s="3" t="s">
        <v>1620</v>
      </c>
      <c r="I885" s="8">
        <v>600769</v>
      </c>
      <c r="J885" s="8">
        <v>462900.6</v>
      </c>
      <c r="K885" s="8">
        <v>600769</v>
      </c>
    </row>
    <row r="886" spans="1:11" hidden="1" x14ac:dyDescent="0.25">
      <c r="A886" s="3" t="s">
        <v>1621</v>
      </c>
      <c r="B886" s="3">
        <v>11</v>
      </c>
      <c r="C886" s="5">
        <v>330</v>
      </c>
      <c r="D886" s="6">
        <v>0</v>
      </c>
      <c r="E886" s="7">
        <v>40110</v>
      </c>
      <c r="F886" s="3">
        <v>51310</v>
      </c>
      <c r="G886" s="3" t="str">
        <f t="shared" si="13"/>
        <v>5</v>
      </c>
      <c r="H886" s="3" t="s">
        <v>1622</v>
      </c>
      <c r="I886" s="8">
        <v>32000</v>
      </c>
      <c r="J886" s="8">
        <v>43003.34</v>
      </c>
      <c r="K886" s="8">
        <v>32000</v>
      </c>
    </row>
    <row r="887" spans="1:11" hidden="1" x14ac:dyDescent="0.25">
      <c r="A887" s="3" t="s">
        <v>1623</v>
      </c>
      <c r="B887" s="3">
        <v>11</v>
      </c>
      <c r="C887" s="5">
        <v>330</v>
      </c>
      <c r="D887" s="6">
        <v>0</v>
      </c>
      <c r="E887" s="7">
        <v>40110</v>
      </c>
      <c r="F887" s="3">
        <v>51311</v>
      </c>
      <c r="G887" s="3" t="str">
        <f t="shared" si="13"/>
        <v>5</v>
      </c>
      <c r="H887" s="3" t="s">
        <v>217</v>
      </c>
      <c r="I887" s="8">
        <v>231000</v>
      </c>
      <c r="J887" s="8">
        <v>172361.04</v>
      </c>
      <c r="K887" s="8">
        <v>231000</v>
      </c>
    </row>
    <row r="888" spans="1:11" hidden="1" x14ac:dyDescent="0.25">
      <c r="A888" s="3" t="s">
        <v>1624</v>
      </c>
      <c r="B888" s="3">
        <v>11</v>
      </c>
      <c r="C888" s="5">
        <v>330</v>
      </c>
      <c r="D888" s="6">
        <v>0</v>
      </c>
      <c r="E888" s="7">
        <v>40110</v>
      </c>
      <c r="F888" s="3">
        <v>52200</v>
      </c>
      <c r="G888" s="3" t="str">
        <f t="shared" si="13"/>
        <v>5</v>
      </c>
      <c r="H888" s="3" t="s">
        <v>1625</v>
      </c>
      <c r="I888" s="8">
        <v>134040.9</v>
      </c>
      <c r="J888" s="8">
        <v>99316.93</v>
      </c>
      <c r="K888" s="8">
        <v>134040.9</v>
      </c>
    </row>
    <row r="889" spans="1:11" hidden="1" x14ac:dyDescent="0.25">
      <c r="A889" s="3" t="s">
        <v>1626</v>
      </c>
      <c r="B889" s="3">
        <v>11</v>
      </c>
      <c r="C889" s="5">
        <v>330</v>
      </c>
      <c r="D889" s="6">
        <v>0</v>
      </c>
      <c r="E889" s="7">
        <v>40110</v>
      </c>
      <c r="F889" s="3">
        <v>52300</v>
      </c>
      <c r="G889" s="3" t="str">
        <f t="shared" si="13"/>
        <v>5</v>
      </c>
      <c r="H889" s="3" t="s">
        <v>1627</v>
      </c>
      <c r="I889" s="8">
        <v>0</v>
      </c>
      <c r="J889" s="8">
        <v>17.899999999999999</v>
      </c>
      <c r="K889" s="8">
        <v>0</v>
      </c>
    </row>
    <row r="890" spans="1:11" hidden="1" x14ac:dyDescent="0.25">
      <c r="A890" s="3" t="s">
        <v>1628</v>
      </c>
      <c r="B890" s="3">
        <v>11</v>
      </c>
      <c r="C890" s="5">
        <v>330</v>
      </c>
      <c r="D890" s="6">
        <v>0</v>
      </c>
      <c r="E890" s="7">
        <v>40110</v>
      </c>
      <c r="F890" s="3">
        <v>53110</v>
      </c>
      <c r="G890" s="3" t="str">
        <f t="shared" si="13"/>
        <v>5</v>
      </c>
      <c r="H890" s="3" t="s">
        <v>219</v>
      </c>
      <c r="I890" s="8">
        <v>139498.70000000001</v>
      </c>
      <c r="J890" s="8">
        <v>96139.19</v>
      </c>
      <c r="K890" s="8">
        <v>139498.70000000001</v>
      </c>
    </row>
    <row r="891" spans="1:11" hidden="1" x14ac:dyDescent="0.25">
      <c r="A891" s="3" t="s">
        <v>1629</v>
      </c>
      <c r="B891" s="3">
        <v>11</v>
      </c>
      <c r="C891" s="5">
        <v>330</v>
      </c>
      <c r="D891" s="6">
        <v>0</v>
      </c>
      <c r="E891" s="7">
        <v>40110</v>
      </c>
      <c r="F891" s="3">
        <v>53210</v>
      </c>
      <c r="G891" s="3" t="str">
        <f t="shared" si="13"/>
        <v>5</v>
      </c>
      <c r="H891" s="3" t="s">
        <v>1630</v>
      </c>
      <c r="I891" s="8">
        <v>27746.46</v>
      </c>
      <c r="J891" s="8">
        <v>20569.599999999999</v>
      </c>
      <c r="K891" s="8">
        <v>27746.46</v>
      </c>
    </row>
    <row r="892" spans="1:11" hidden="1" x14ac:dyDescent="0.25">
      <c r="A892" s="3" t="s">
        <v>1631</v>
      </c>
      <c r="B892" s="3">
        <v>11</v>
      </c>
      <c r="C892" s="5">
        <v>330</v>
      </c>
      <c r="D892" s="6">
        <v>0</v>
      </c>
      <c r="E892" s="7">
        <v>40110</v>
      </c>
      <c r="F892" s="3">
        <v>53310</v>
      </c>
      <c r="G892" s="3" t="str">
        <f t="shared" si="13"/>
        <v>5</v>
      </c>
      <c r="H892" s="3" t="s">
        <v>221</v>
      </c>
      <c r="I892" s="8">
        <v>8310.5400000000009</v>
      </c>
      <c r="J892" s="8">
        <v>11575.89</v>
      </c>
      <c r="K892" s="8">
        <v>8310.5400000000009</v>
      </c>
    </row>
    <row r="893" spans="1:11" hidden="1" x14ac:dyDescent="0.25">
      <c r="A893" s="3" t="s">
        <v>1632</v>
      </c>
      <c r="B893" s="3">
        <v>11</v>
      </c>
      <c r="C893" s="5">
        <v>330</v>
      </c>
      <c r="D893" s="6">
        <v>0</v>
      </c>
      <c r="E893" s="7">
        <v>40110</v>
      </c>
      <c r="F893" s="3">
        <v>53320</v>
      </c>
      <c r="G893" s="3" t="str">
        <f t="shared" si="13"/>
        <v>5</v>
      </c>
      <c r="H893" s="3" t="s">
        <v>1633</v>
      </c>
      <c r="I893" s="8">
        <v>0</v>
      </c>
      <c r="J893" s="8">
        <v>1.1100000000000001</v>
      </c>
      <c r="K893" s="8">
        <v>0</v>
      </c>
    </row>
    <row r="894" spans="1:11" hidden="1" x14ac:dyDescent="0.25">
      <c r="A894" s="3" t="s">
        <v>1634</v>
      </c>
      <c r="B894" s="3">
        <v>11</v>
      </c>
      <c r="C894" s="5">
        <v>330</v>
      </c>
      <c r="D894" s="6">
        <v>0</v>
      </c>
      <c r="E894" s="7">
        <v>40110</v>
      </c>
      <c r="F894" s="3">
        <v>53330</v>
      </c>
      <c r="G894" s="3" t="str">
        <f t="shared" si="13"/>
        <v>5</v>
      </c>
      <c r="H894" s="3" t="s">
        <v>223</v>
      </c>
      <c r="I894" s="8">
        <v>14468.24</v>
      </c>
      <c r="J894" s="8">
        <v>11248.63</v>
      </c>
      <c r="K894" s="8">
        <v>14468.24</v>
      </c>
    </row>
    <row r="895" spans="1:11" hidden="1" x14ac:dyDescent="0.25">
      <c r="A895" s="3" t="s">
        <v>1635</v>
      </c>
      <c r="B895" s="3">
        <v>11</v>
      </c>
      <c r="C895" s="5">
        <v>330</v>
      </c>
      <c r="D895" s="6">
        <v>0</v>
      </c>
      <c r="E895" s="7">
        <v>40110</v>
      </c>
      <c r="F895" s="3">
        <v>53340</v>
      </c>
      <c r="G895" s="3" t="str">
        <f t="shared" si="13"/>
        <v>5</v>
      </c>
      <c r="H895" s="3" t="s">
        <v>1636</v>
      </c>
      <c r="I895" s="8">
        <v>0</v>
      </c>
      <c r="J895" s="8">
        <v>0.26</v>
      </c>
      <c r="K895" s="8">
        <v>0</v>
      </c>
    </row>
    <row r="896" spans="1:11" hidden="1" x14ac:dyDescent="0.25">
      <c r="A896" s="3" t="s">
        <v>1637</v>
      </c>
      <c r="B896" s="3">
        <v>11</v>
      </c>
      <c r="C896" s="5">
        <v>330</v>
      </c>
      <c r="D896" s="6">
        <v>0</v>
      </c>
      <c r="E896" s="7">
        <v>40110</v>
      </c>
      <c r="F896" s="3">
        <v>53410</v>
      </c>
      <c r="G896" s="3" t="str">
        <f t="shared" si="13"/>
        <v>5</v>
      </c>
      <c r="H896" s="3" t="s">
        <v>1638</v>
      </c>
      <c r="I896" s="8">
        <v>171023.48</v>
      </c>
      <c r="J896" s="8">
        <v>128601.03</v>
      </c>
      <c r="K896" s="8">
        <v>171023.48</v>
      </c>
    </row>
    <row r="897" spans="1:11" hidden="1" x14ac:dyDescent="0.25">
      <c r="A897" s="3" t="s">
        <v>1639</v>
      </c>
      <c r="B897" s="3">
        <v>11</v>
      </c>
      <c r="C897" s="5">
        <v>330</v>
      </c>
      <c r="D897" s="6">
        <v>0</v>
      </c>
      <c r="E897" s="7">
        <v>40110</v>
      </c>
      <c r="F897" s="3">
        <v>53510</v>
      </c>
      <c r="G897" s="3" t="str">
        <f t="shared" si="13"/>
        <v>5</v>
      </c>
      <c r="H897" s="3" t="s">
        <v>225</v>
      </c>
      <c r="I897" s="8">
        <v>498.91</v>
      </c>
      <c r="J897" s="8">
        <v>388.7</v>
      </c>
      <c r="K897" s="8">
        <v>498.91</v>
      </c>
    </row>
    <row r="898" spans="1:11" hidden="1" x14ac:dyDescent="0.25">
      <c r="A898" s="3" t="s">
        <v>1640</v>
      </c>
      <c r="B898" s="3">
        <v>11</v>
      </c>
      <c r="C898" s="5">
        <v>330</v>
      </c>
      <c r="D898" s="6">
        <v>0</v>
      </c>
      <c r="E898" s="7">
        <v>40110</v>
      </c>
      <c r="F898" s="3">
        <v>53610</v>
      </c>
      <c r="G898" s="3" t="str">
        <f t="shared" si="13"/>
        <v>5</v>
      </c>
      <c r="H898" s="3" t="s">
        <v>227</v>
      </c>
      <c r="I898" s="8">
        <v>18866.599999999999</v>
      </c>
      <c r="J898" s="8">
        <v>14707.96</v>
      </c>
      <c r="K898" s="8">
        <v>18866.599999999999</v>
      </c>
    </row>
    <row r="899" spans="1:11" hidden="1" x14ac:dyDescent="0.25">
      <c r="A899" s="3" t="s">
        <v>1641</v>
      </c>
      <c r="B899" s="3">
        <v>11</v>
      </c>
      <c r="C899" s="5">
        <v>330</v>
      </c>
      <c r="D899" s="6">
        <v>0</v>
      </c>
      <c r="E899" s="7">
        <v>40110</v>
      </c>
      <c r="F899" s="3">
        <v>53620</v>
      </c>
      <c r="G899" s="3" t="str">
        <f t="shared" ref="G899:G962" si="14">LEFT(F899,1)</f>
        <v>5</v>
      </c>
      <c r="H899" s="3" t="s">
        <v>1642</v>
      </c>
      <c r="I899" s="8">
        <v>0</v>
      </c>
      <c r="J899" s="8">
        <v>0.35</v>
      </c>
      <c r="K899" s="8">
        <v>0</v>
      </c>
    </row>
    <row r="900" spans="1:11" hidden="1" x14ac:dyDescent="0.25">
      <c r="A900" s="3" t="s">
        <v>1643</v>
      </c>
      <c r="B900" s="3">
        <v>11</v>
      </c>
      <c r="C900" s="5">
        <v>330</v>
      </c>
      <c r="D900" s="6">
        <v>0</v>
      </c>
      <c r="E900" s="7">
        <v>40110</v>
      </c>
      <c r="F900" s="3">
        <v>53910</v>
      </c>
      <c r="G900" s="3" t="str">
        <f t="shared" si="14"/>
        <v>5</v>
      </c>
      <c r="H900" s="3" t="s">
        <v>1644</v>
      </c>
      <c r="I900" s="8">
        <v>7800</v>
      </c>
      <c r="J900" s="8">
        <v>5054.5200000000004</v>
      </c>
      <c r="K900" s="8">
        <v>7800</v>
      </c>
    </row>
    <row r="901" spans="1:11" hidden="1" x14ac:dyDescent="0.25">
      <c r="A901" s="3" t="s">
        <v>1645</v>
      </c>
      <c r="B901" s="3">
        <v>11</v>
      </c>
      <c r="C901" s="5">
        <v>330</v>
      </c>
      <c r="D901" s="6">
        <v>0</v>
      </c>
      <c r="E901" s="7">
        <v>40110</v>
      </c>
      <c r="F901" s="3">
        <v>54300</v>
      </c>
      <c r="G901" s="3" t="str">
        <f t="shared" si="14"/>
        <v>5</v>
      </c>
      <c r="H901" s="3" t="s">
        <v>1646</v>
      </c>
      <c r="I901" s="8">
        <v>34660</v>
      </c>
      <c r="J901" s="8">
        <v>7398.39</v>
      </c>
      <c r="K901" s="8">
        <v>34660</v>
      </c>
    </row>
    <row r="902" spans="1:11" hidden="1" x14ac:dyDescent="0.25">
      <c r="A902" s="3" t="s">
        <v>1647</v>
      </c>
      <c r="B902" s="3">
        <v>11</v>
      </c>
      <c r="C902" s="5">
        <v>330</v>
      </c>
      <c r="D902" s="6">
        <v>0</v>
      </c>
      <c r="E902" s="7">
        <v>40110</v>
      </c>
      <c r="F902" s="3">
        <v>55630</v>
      </c>
      <c r="G902" s="3" t="str">
        <f t="shared" si="14"/>
        <v>5</v>
      </c>
      <c r="H902" s="3" t="s">
        <v>1648</v>
      </c>
      <c r="I902" s="8">
        <v>3069</v>
      </c>
      <c r="J902" s="8">
        <v>35.92</v>
      </c>
      <c r="K902" s="8">
        <v>3069</v>
      </c>
    </row>
    <row r="903" spans="1:11" hidden="1" x14ac:dyDescent="0.25">
      <c r="A903" s="3" t="s">
        <v>1649</v>
      </c>
      <c r="B903" s="3">
        <v>11</v>
      </c>
      <c r="C903" s="5">
        <v>330</v>
      </c>
      <c r="D903" s="6">
        <v>0</v>
      </c>
      <c r="E903" s="7">
        <v>40110</v>
      </c>
      <c r="F903" s="3">
        <v>55650</v>
      </c>
      <c r="G903" s="3" t="str">
        <f t="shared" si="14"/>
        <v>5</v>
      </c>
      <c r="H903" s="3" t="s">
        <v>1650</v>
      </c>
      <c r="I903" s="8">
        <v>11965</v>
      </c>
      <c r="J903" s="8">
        <v>0</v>
      </c>
      <c r="K903" s="8">
        <v>11965</v>
      </c>
    </row>
    <row r="904" spans="1:11" hidden="1" x14ac:dyDescent="0.25">
      <c r="A904" s="3" t="s">
        <v>1651</v>
      </c>
      <c r="B904" s="3">
        <v>11</v>
      </c>
      <c r="C904" s="5">
        <v>330</v>
      </c>
      <c r="D904" s="6">
        <v>0</v>
      </c>
      <c r="E904" s="7">
        <v>70710</v>
      </c>
      <c r="F904" s="3">
        <v>54300</v>
      </c>
      <c r="G904" s="3" t="str">
        <f t="shared" si="14"/>
        <v>5</v>
      </c>
      <c r="H904" s="3" t="s">
        <v>1652</v>
      </c>
      <c r="I904" s="8">
        <v>470</v>
      </c>
      <c r="J904" s="8">
        <v>0</v>
      </c>
      <c r="K904" s="8">
        <v>470</v>
      </c>
    </row>
    <row r="905" spans="1:11" hidden="1" x14ac:dyDescent="0.25">
      <c r="A905" s="3" t="s">
        <v>1653</v>
      </c>
      <c r="B905" s="3">
        <v>11</v>
      </c>
      <c r="C905" s="5">
        <v>330</v>
      </c>
      <c r="D905" s="6">
        <v>0</v>
      </c>
      <c r="E905" s="7">
        <v>70710</v>
      </c>
      <c r="F905" s="3">
        <v>55630</v>
      </c>
      <c r="G905" s="3" t="str">
        <f t="shared" si="14"/>
        <v>5</v>
      </c>
      <c r="H905" s="3" t="s">
        <v>1654</v>
      </c>
      <c r="I905" s="8">
        <v>279</v>
      </c>
      <c r="J905" s="8">
        <v>0</v>
      </c>
      <c r="K905" s="8">
        <v>279</v>
      </c>
    </row>
    <row r="906" spans="1:11" hidden="1" x14ac:dyDescent="0.25">
      <c r="A906" s="3" t="s">
        <v>1655</v>
      </c>
      <c r="B906" s="3">
        <v>11</v>
      </c>
      <c r="C906" s="5">
        <v>330</v>
      </c>
      <c r="D906" s="6">
        <v>0</v>
      </c>
      <c r="E906" s="7">
        <v>90100</v>
      </c>
      <c r="F906" s="3">
        <v>51100</v>
      </c>
      <c r="G906" s="3" t="str">
        <f t="shared" si="14"/>
        <v>5</v>
      </c>
      <c r="H906" s="3" t="s">
        <v>1656</v>
      </c>
      <c r="I906" s="8">
        <v>120754</v>
      </c>
      <c r="J906" s="8">
        <v>87821.119999999995</v>
      </c>
      <c r="K906" s="8">
        <v>120754</v>
      </c>
    </row>
    <row r="907" spans="1:11" hidden="1" x14ac:dyDescent="0.25">
      <c r="A907" s="3" t="s">
        <v>1657</v>
      </c>
      <c r="B907" s="3">
        <v>11</v>
      </c>
      <c r="C907" s="5">
        <v>330</v>
      </c>
      <c r="D907" s="6">
        <v>0</v>
      </c>
      <c r="E907" s="7">
        <v>90100</v>
      </c>
      <c r="F907" s="3">
        <v>51310</v>
      </c>
      <c r="G907" s="3" t="str">
        <f t="shared" si="14"/>
        <v>5</v>
      </c>
      <c r="H907" s="3" t="s">
        <v>1658</v>
      </c>
      <c r="I907" s="8">
        <v>34000</v>
      </c>
      <c r="J907" s="8">
        <v>5729.98</v>
      </c>
      <c r="K907" s="8">
        <v>34000</v>
      </c>
    </row>
    <row r="908" spans="1:11" hidden="1" x14ac:dyDescent="0.25">
      <c r="A908" s="3" t="s">
        <v>1659</v>
      </c>
      <c r="B908" s="3">
        <v>11</v>
      </c>
      <c r="C908" s="5">
        <v>330</v>
      </c>
      <c r="D908" s="6">
        <v>0</v>
      </c>
      <c r="E908" s="7">
        <v>90100</v>
      </c>
      <c r="F908" s="3">
        <v>51311</v>
      </c>
      <c r="G908" s="3" t="str">
        <f t="shared" si="14"/>
        <v>5</v>
      </c>
      <c r="H908" s="3" t="s">
        <v>1660</v>
      </c>
      <c r="I908" s="8">
        <v>620</v>
      </c>
      <c r="J908" s="8">
        <v>0</v>
      </c>
      <c r="K908" s="8">
        <v>620</v>
      </c>
    </row>
    <row r="909" spans="1:11" hidden="1" x14ac:dyDescent="0.25">
      <c r="A909" s="3" t="s">
        <v>1661</v>
      </c>
      <c r="B909" s="3">
        <v>11</v>
      </c>
      <c r="C909" s="5">
        <v>330</v>
      </c>
      <c r="D909" s="6">
        <v>0</v>
      </c>
      <c r="E909" s="7">
        <v>90100</v>
      </c>
      <c r="F909" s="3">
        <v>51412</v>
      </c>
      <c r="G909" s="3" t="str">
        <f t="shared" si="14"/>
        <v>5</v>
      </c>
      <c r="H909" s="3" t="s">
        <v>1662</v>
      </c>
      <c r="I909" s="8">
        <v>0</v>
      </c>
      <c r="J909" s="8">
        <v>300</v>
      </c>
      <c r="K909" s="8">
        <v>0</v>
      </c>
    </row>
    <row r="910" spans="1:11" hidden="1" x14ac:dyDescent="0.25">
      <c r="A910" s="3" t="s">
        <v>1663</v>
      </c>
      <c r="B910" s="3">
        <v>11</v>
      </c>
      <c r="C910" s="5">
        <v>330</v>
      </c>
      <c r="D910" s="6">
        <v>0</v>
      </c>
      <c r="E910" s="7">
        <v>90100</v>
      </c>
      <c r="F910" s="3">
        <v>52200</v>
      </c>
      <c r="G910" s="3" t="str">
        <f t="shared" si="14"/>
        <v>5</v>
      </c>
      <c r="H910" s="3" t="s">
        <v>1664</v>
      </c>
      <c r="I910" s="8">
        <v>13012.74</v>
      </c>
      <c r="J910" s="8">
        <v>9759.23</v>
      </c>
      <c r="K910" s="8">
        <v>13012.74</v>
      </c>
    </row>
    <row r="911" spans="1:11" hidden="1" x14ac:dyDescent="0.25">
      <c r="A911" s="3" t="s">
        <v>1665</v>
      </c>
      <c r="B911" s="3">
        <v>11</v>
      </c>
      <c r="C911" s="5">
        <v>330</v>
      </c>
      <c r="D911" s="6">
        <v>0</v>
      </c>
      <c r="E911" s="7">
        <v>90100</v>
      </c>
      <c r="F911" s="3">
        <v>52300</v>
      </c>
      <c r="G911" s="3" t="str">
        <f t="shared" si="14"/>
        <v>5</v>
      </c>
      <c r="H911" s="3" t="s">
        <v>1666</v>
      </c>
      <c r="I911" s="8">
        <v>0</v>
      </c>
      <c r="J911" s="8">
        <v>430.75</v>
      </c>
      <c r="K911" s="8">
        <v>0</v>
      </c>
    </row>
    <row r="912" spans="1:11" hidden="1" x14ac:dyDescent="0.25">
      <c r="A912" s="3" t="s">
        <v>1667</v>
      </c>
      <c r="B912" s="3">
        <v>11</v>
      </c>
      <c r="C912" s="5">
        <v>330</v>
      </c>
      <c r="D912" s="6">
        <v>0</v>
      </c>
      <c r="E912" s="7">
        <v>90100</v>
      </c>
      <c r="F912" s="3">
        <v>53110</v>
      </c>
      <c r="G912" s="3" t="str">
        <f t="shared" si="14"/>
        <v>5</v>
      </c>
      <c r="H912" s="3" t="s">
        <v>1668</v>
      </c>
      <c r="I912" s="8">
        <v>25092.9</v>
      </c>
      <c r="J912" s="8">
        <v>15108.53</v>
      </c>
      <c r="K912" s="8">
        <v>25092.9</v>
      </c>
    </row>
    <row r="913" spans="1:11" hidden="1" x14ac:dyDescent="0.25">
      <c r="A913" s="3" t="s">
        <v>1669</v>
      </c>
      <c r="B913" s="3">
        <v>11</v>
      </c>
      <c r="C913" s="5">
        <v>330</v>
      </c>
      <c r="D913" s="6">
        <v>0</v>
      </c>
      <c r="E913" s="7">
        <v>90100</v>
      </c>
      <c r="F913" s="3">
        <v>53120</v>
      </c>
      <c r="G913" s="3" t="str">
        <f t="shared" si="14"/>
        <v>5</v>
      </c>
      <c r="H913" s="3" t="s">
        <v>1670</v>
      </c>
      <c r="I913" s="8">
        <v>0</v>
      </c>
      <c r="J913" s="8">
        <v>48.45</v>
      </c>
      <c r="K913" s="8">
        <v>0</v>
      </c>
    </row>
    <row r="914" spans="1:11" hidden="1" x14ac:dyDescent="0.25">
      <c r="A914" s="3" t="s">
        <v>1671</v>
      </c>
      <c r="B914" s="3">
        <v>11</v>
      </c>
      <c r="C914" s="5">
        <v>330</v>
      </c>
      <c r="D914" s="6">
        <v>0</v>
      </c>
      <c r="E914" s="7">
        <v>90100</v>
      </c>
      <c r="F914" s="3">
        <v>53210</v>
      </c>
      <c r="G914" s="3" t="str">
        <f t="shared" si="14"/>
        <v>5</v>
      </c>
      <c r="H914" s="3" t="s">
        <v>1672</v>
      </c>
      <c r="I914" s="8">
        <v>2693.64</v>
      </c>
      <c r="J914" s="8">
        <v>2020.14</v>
      </c>
      <c r="K914" s="8">
        <v>2693.64</v>
      </c>
    </row>
    <row r="915" spans="1:11" hidden="1" x14ac:dyDescent="0.25">
      <c r="A915" s="3" t="s">
        <v>1673</v>
      </c>
      <c r="B915" s="3">
        <v>11</v>
      </c>
      <c r="C915" s="5">
        <v>330</v>
      </c>
      <c r="D915" s="6">
        <v>0</v>
      </c>
      <c r="E915" s="7">
        <v>90100</v>
      </c>
      <c r="F915" s="3">
        <v>53310</v>
      </c>
      <c r="G915" s="3" t="str">
        <f t="shared" si="14"/>
        <v>5</v>
      </c>
      <c r="H915" s="3" t="s">
        <v>1674</v>
      </c>
      <c r="I915" s="8">
        <v>806.79</v>
      </c>
      <c r="J915" s="8">
        <v>605.02</v>
      </c>
      <c r="K915" s="8">
        <v>806.79</v>
      </c>
    </row>
    <row r="916" spans="1:11" hidden="1" x14ac:dyDescent="0.25">
      <c r="A916" s="3" t="s">
        <v>1675</v>
      </c>
      <c r="B916" s="3">
        <v>11</v>
      </c>
      <c r="C916" s="5">
        <v>330</v>
      </c>
      <c r="D916" s="6">
        <v>0</v>
      </c>
      <c r="E916" s="7">
        <v>90100</v>
      </c>
      <c r="F916" s="3">
        <v>53320</v>
      </c>
      <c r="G916" s="3" t="str">
        <f t="shared" si="14"/>
        <v>5</v>
      </c>
      <c r="H916" s="3" t="s">
        <v>1676</v>
      </c>
      <c r="I916" s="8">
        <v>0</v>
      </c>
      <c r="J916" s="8">
        <v>26.7</v>
      </c>
      <c r="K916" s="8">
        <v>0</v>
      </c>
    </row>
    <row r="917" spans="1:11" hidden="1" x14ac:dyDescent="0.25">
      <c r="A917" s="3" t="s">
        <v>1677</v>
      </c>
      <c r="B917" s="3">
        <v>11</v>
      </c>
      <c r="C917" s="5">
        <v>330</v>
      </c>
      <c r="D917" s="6">
        <v>0</v>
      </c>
      <c r="E917" s="7">
        <v>90100</v>
      </c>
      <c r="F917" s="3">
        <v>53330</v>
      </c>
      <c r="G917" s="3" t="str">
        <f t="shared" si="14"/>
        <v>5</v>
      </c>
      <c r="H917" s="3" t="s">
        <v>1678</v>
      </c>
      <c r="I917" s="8">
        <v>2441.6</v>
      </c>
      <c r="J917" s="8">
        <v>1487.57</v>
      </c>
      <c r="K917" s="8">
        <v>2441.6</v>
      </c>
    </row>
    <row r="918" spans="1:11" hidden="1" x14ac:dyDescent="0.25">
      <c r="A918" s="3" t="s">
        <v>1679</v>
      </c>
      <c r="B918" s="3">
        <v>11</v>
      </c>
      <c r="C918" s="5">
        <v>330</v>
      </c>
      <c r="D918" s="6">
        <v>0</v>
      </c>
      <c r="E918" s="7">
        <v>90100</v>
      </c>
      <c r="F918" s="3">
        <v>53340</v>
      </c>
      <c r="G918" s="3" t="str">
        <f t="shared" si="14"/>
        <v>5</v>
      </c>
      <c r="H918" s="3" t="s">
        <v>1680</v>
      </c>
      <c r="I918" s="8">
        <v>0</v>
      </c>
      <c r="J918" s="8">
        <v>10.59</v>
      </c>
      <c r="K918" s="8">
        <v>0</v>
      </c>
    </row>
    <row r="919" spans="1:11" hidden="1" x14ac:dyDescent="0.25">
      <c r="A919" s="3" t="s">
        <v>1681</v>
      </c>
      <c r="B919" s="3">
        <v>11</v>
      </c>
      <c r="C919" s="5">
        <v>330</v>
      </c>
      <c r="D919" s="6">
        <v>0</v>
      </c>
      <c r="E919" s="7">
        <v>90100</v>
      </c>
      <c r="F919" s="3">
        <v>53410</v>
      </c>
      <c r="G919" s="3" t="str">
        <f t="shared" si="14"/>
        <v>5</v>
      </c>
      <c r="H919" s="3" t="s">
        <v>1682</v>
      </c>
      <c r="I919" s="8">
        <v>37742.75</v>
      </c>
      <c r="J919" s="8">
        <v>26991.200000000001</v>
      </c>
      <c r="K919" s="8">
        <v>37742.75</v>
      </c>
    </row>
    <row r="920" spans="1:11" hidden="1" x14ac:dyDescent="0.25">
      <c r="A920" s="3" t="s">
        <v>1683</v>
      </c>
      <c r="B920" s="3">
        <v>11</v>
      </c>
      <c r="C920" s="5">
        <v>330</v>
      </c>
      <c r="D920" s="6">
        <v>0</v>
      </c>
      <c r="E920" s="7">
        <v>90100</v>
      </c>
      <c r="F920" s="3">
        <v>53510</v>
      </c>
      <c r="G920" s="3" t="str">
        <f t="shared" si="14"/>
        <v>5</v>
      </c>
      <c r="H920" s="3" t="s">
        <v>1684</v>
      </c>
      <c r="I920" s="8">
        <v>84.2</v>
      </c>
      <c r="J920" s="8">
        <v>51.68</v>
      </c>
      <c r="K920" s="8">
        <v>84.2</v>
      </c>
    </row>
    <row r="921" spans="1:11" hidden="1" x14ac:dyDescent="0.25">
      <c r="A921" s="3" t="s">
        <v>1685</v>
      </c>
      <c r="B921" s="3">
        <v>11</v>
      </c>
      <c r="C921" s="5">
        <v>330</v>
      </c>
      <c r="D921" s="6">
        <v>0</v>
      </c>
      <c r="E921" s="7">
        <v>90100</v>
      </c>
      <c r="F921" s="3">
        <v>53520</v>
      </c>
      <c r="G921" s="3" t="str">
        <f t="shared" si="14"/>
        <v>5</v>
      </c>
      <c r="H921" s="3" t="s">
        <v>1686</v>
      </c>
      <c r="I921" s="8">
        <v>0</v>
      </c>
      <c r="J921" s="8">
        <v>0.37</v>
      </c>
      <c r="K921" s="8">
        <v>0</v>
      </c>
    </row>
    <row r="922" spans="1:11" hidden="1" x14ac:dyDescent="0.25">
      <c r="A922" s="3" t="s">
        <v>1687</v>
      </c>
      <c r="B922" s="3">
        <v>11</v>
      </c>
      <c r="C922" s="5">
        <v>330</v>
      </c>
      <c r="D922" s="6">
        <v>0</v>
      </c>
      <c r="E922" s="7">
        <v>90100</v>
      </c>
      <c r="F922" s="3">
        <v>53610</v>
      </c>
      <c r="G922" s="3" t="str">
        <f t="shared" si="14"/>
        <v>5</v>
      </c>
      <c r="H922" s="3" t="s">
        <v>1688</v>
      </c>
      <c r="I922" s="8">
        <v>3183.85</v>
      </c>
      <c r="J922" s="8">
        <v>1953.88</v>
      </c>
      <c r="K922" s="8">
        <v>3183.85</v>
      </c>
    </row>
    <row r="923" spans="1:11" hidden="1" x14ac:dyDescent="0.25">
      <c r="A923" s="3" t="s">
        <v>1689</v>
      </c>
      <c r="B923" s="3">
        <v>11</v>
      </c>
      <c r="C923" s="5">
        <v>330</v>
      </c>
      <c r="D923" s="6">
        <v>0</v>
      </c>
      <c r="E923" s="7">
        <v>90100</v>
      </c>
      <c r="F923" s="3">
        <v>53620</v>
      </c>
      <c r="G923" s="3" t="str">
        <f t="shared" si="14"/>
        <v>5</v>
      </c>
      <c r="H923" s="3" t="s">
        <v>1690</v>
      </c>
      <c r="I923" s="8">
        <v>0</v>
      </c>
      <c r="J923" s="8">
        <v>13.81</v>
      </c>
      <c r="K923" s="8">
        <v>0</v>
      </c>
    </row>
    <row r="924" spans="1:11" hidden="1" x14ac:dyDescent="0.25">
      <c r="A924" s="3" t="s">
        <v>1691</v>
      </c>
      <c r="B924" s="3">
        <v>11</v>
      </c>
      <c r="C924" s="5">
        <v>330</v>
      </c>
      <c r="D924" s="6">
        <v>0</v>
      </c>
      <c r="E924" s="7">
        <v>90100</v>
      </c>
      <c r="F924" s="3">
        <v>53910</v>
      </c>
      <c r="G924" s="3" t="str">
        <f t="shared" si="14"/>
        <v>5</v>
      </c>
      <c r="H924" s="3" t="s">
        <v>1692</v>
      </c>
      <c r="I924" s="8">
        <v>480</v>
      </c>
      <c r="J924" s="8">
        <v>320</v>
      </c>
      <c r="K924" s="8">
        <v>480</v>
      </c>
    </row>
    <row r="925" spans="1:11" hidden="1" x14ac:dyDescent="0.25">
      <c r="A925" s="3" t="s">
        <v>1693</v>
      </c>
      <c r="B925" s="3">
        <v>11</v>
      </c>
      <c r="C925" s="5">
        <v>330</v>
      </c>
      <c r="D925" s="6">
        <v>0</v>
      </c>
      <c r="E925" s="7">
        <v>90100</v>
      </c>
      <c r="F925" s="3">
        <v>54300</v>
      </c>
      <c r="G925" s="3" t="str">
        <f t="shared" si="14"/>
        <v>5</v>
      </c>
      <c r="H925" s="3" t="s">
        <v>1694</v>
      </c>
      <c r="I925" s="8">
        <v>1674</v>
      </c>
      <c r="J925" s="8">
        <v>240.15</v>
      </c>
      <c r="K925" s="8">
        <v>1674</v>
      </c>
    </row>
    <row r="926" spans="1:11" hidden="1" x14ac:dyDescent="0.25">
      <c r="A926" s="3" t="s">
        <v>1695</v>
      </c>
      <c r="B926" s="3">
        <v>11</v>
      </c>
      <c r="C926" s="5">
        <v>330</v>
      </c>
      <c r="D926" s="6">
        <v>0</v>
      </c>
      <c r="E926" s="7">
        <v>90100</v>
      </c>
      <c r="F926" s="3">
        <v>55630</v>
      </c>
      <c r="G926" s="3" t="str">
        <f t="shared" si="14"/>
        <v>5</v>
      </c>
      <c r="H926" s="3" t="s">
        <v>1696</v>
      </c>
      <c r="I926" s="8">
        <v>279</v>
      </c>
      <c r="J926" s="8">
        <v>0</v>
      </c>
      <c r="K926" s="8">
        <v>279</v>
      </c>
    </row>
    <row r="927" spans="1:11" hidden="1" x14ac:dyDescent="0.25">
      <c r="A927" s="3" t="s">
        <v>1697</v>
      </c>
      <c r="B927" s="3">
        <v>11</v>
      </c>
      <c r="C927" s="5">
        <v>330</v>
      </c>
      <c r="D927" s="6">
        <v>0</v>
      </c>
      <c r="E927" s="7">
        <v>170100</v>
      </c>
      <c r="F927" s="3">
        <v>51100</v>
      </c>
      <c r="G927" s="3" t="str">
        <f t="shared" si="14"/>
        <v>5</v>
      </c>
      <c r="H927" s="3" t="s">
        <v>1698</v>
      </c>
      <c r="I927" s="8">
        <v>1601955.82</v>
      </c>
      <c r="J927" s="8">
        <v>1089950.43</v>
      </c>
      <c r="K927" s="8">
        <v>1601955.82</v>
      </c>
    </row>
    <row r="928" spans="1:11" hidden="1" x14ac:dyDescent="0.25">
      <c r="A928" s="3" t="s">
        <v>1699</v>
      </c>
      <c r="B928" s="3">
        <v>11</v>
      </c>
      <c r="C928" s="5">
        <v>330</v>
      </c>
      <c r="D928" s="6">
        <v>0</v>
      </c>
      <c r="E928" s="7">
        <v>170100</v>
      </c>
      <c r="F928" s="3">
        <v>51310</v>
      </c>
      <c r="G928" s="3" t="str">
        <f t="shared" si="14"/>
        <v>5</v>
      </c>
      <c r="H928" s="3" t="s">
        <v>1700</v>
      </c>
      <c r="I928" s="8">
        <v>271000</v>
      </c>
      <c r="J928" s="8">
        <v>158359.82</v>
      </c>
      <c r="K928" s="8">
        <v>271000</v>
      </c>
    </row>
    <row r="929" spans="1:11" hidden="1" x14ac:dyDescent="0.25">
      <c r="A929" s="3" t="s">
        <v>1701</v>
      </c>
      <c r="B929" s="3">
        <v>11</v>
      </c>
      <c r="C929" s="5">
        <v>330</v>
      </c>
      <c r="D929" s="6">
        <v>0</v>
      </c>
      <c r="E929" s="7">
        <v>170100</v>
      </c>
      <c r="F929" s="3">
        <v>51311</v>
      </c>
      <c r="G929" s="3" t="str">
        <f t="shared" si="14"/>
        <v>5</v>
      </c>
      <c r="H929" s="3" t="s">
        <v>329</v>
      </c>
      <c r="I929" s="8">
        <v>240000</v>
      </c>
      <c r="J929" s="8">
        <v>73325.33</v>
      </c>
      <c r="K929" s="8">
        <v>240000</v>
      </c>
    </row>
    <row r="930" spans="1:11" hidden="1" x14ac:dyDescent="0.25">
      <c r="A930" s="3" t="s">
        <v>1702</v>
      </c>
      <c r="B930" s="3">
        <v>11</v>
      </c>
      <c r="C930" s="5">
        <v>330</v>
      </c>
      <c r="D930" s="6">
        <v>0</v>
      </c>
      <c r="E930" s="7">
        <v>170100</v>
      </c>
      <c r="F930" s="3">
        <v>51412</v>
      </c>
      <c r="G930" s="3" t="str">
        <f t="shared" si="14"/>
        <v>5</v>
      </c>
      <c r="H930" s="3" t="s">
        <v>1703</v>
      </c>
      <c r="I930" s="8">
        <v>0</v>
      </c>
      <c r="J930" s="8">
        <v>300</v>
      </c>
      <c r="K930" s="8">
        <v>0</v>
      </c>
    </row>
    <row r="931" spans="1:11" hidden="1" x14ac:dyDescent="0.25">
      <c r="A931" s="3" t="s">
        <v>1704</v>
      </c>
      <c r="B931" s="3">
        <v>11</v>
      </c>
      <c r="C931" s="5">
        <v>330</v>
      </c>
      <c r="D931" s="6">
        <v>0</v>
      </c>
      <c r="E931" s="7">
        <v>170100</v>
      </c>
      <c r="F931" s="3">
        <v>53110</v>
      </c>
      <c r="G931" s="3" t="str">
        <f t="shared" si="14"/>
        <v>5</v>
      </c>
      <c r="H931" s="3" t="s">
        <v>331</v>
      </c>
      <c r="I931" s="8">
        <v>341242.36</v>
      </c>
      <c r="J931" s="8">
        <v>214060.81</v>
      </c>
      <c r="K931" s="8">
        <v>341242.36</v>
      </c>
    </row>
    <row r="932" spans="1:11" hidden="1" x14ac:dyDescent="0.25">
      <c r="A932" s="3" t="s">
        <v>1705</v>
      </c>
      <c r="B932" s="3">
        <v>11</v>
      </c>
      <c r="C932" s="5">
        <v>330</v>
      </c>
      <c r="D932" s="6">
        <v>0</v>
      </c>
      <c r="E932" s="7">
        <v>170100</v>
      </c>
      <c r="F932" s="3">
        <v>53120</v>
      </c>
      <c r="G932" s="3" t="str">
        <f t="shared" si="14"/>
        <v>5</v>
      </c>
      <c r="H932" s="3" t="s">
        <v>1706</v>
      </c>
      <c r="I932" s="8">
        <v>0</v>
      </c>
      <c r="J932" s="8">
        <v>48.45</v>
      </c>
      <c r="K932" s="8">
        <v>0</v>
      </c>
    </row>
    <row r="933" spans="1:11" hidden="1" x14ac:dyDescent="0.25">
      <c r="A933" s="3" t="s">
        <v>1707</v>
      </c>
      <c r="B933" s="3">
        <v>11</v>
      </c>
      <c r="C933" s="5">
        <v>330</v>
      </c>
      <c r="D933" s="6">
        <v>0</v>
      </c>
      <c r="E933" s="7">
        <v>170100</v>
      </c>
      <c r="F933" s="3">
        <v>53310</v>
      </c>
      <c r="G933" s="3" t="str">
        <f t="shared" si="14"/>
        <v>5</v>
      </c>
      <c r="H933" s="3" t="s">
        <v>1708</v>
      </c>
      <c r="I933" s="8">
        <v>0</v>
      </c>
      <c r="J933" s="8">
        <v>1405.24</v>
      </c>
      <c r="K933" s="8">
        <v>0</v>
      </c>
    </row>
    <row r="934" spans="1:11" hidden="1" x14ac:dyDescent="0.25">
      <c r="A934" s="3" t="s">
        <v>1709</v>
      </c>
      <c r="B934" s="3">
        <v>11</v>
      </c>
      <c r="C934" s="5">
        <v>330</v>
      </c>
      <c r="D934" s="6">
        <v>0</v>
      </c>
      <c r="E934" s="7">
        <v>170100</v>
      </c>
      <c r="F934" s="3">
        <v>53330</v>
      </c>
      <c r="G934" s="3" t="str">
        <f t="shared" si="14"/>
        <v>5</v>
      </c>
      <c r="H934" s="3" t="s">
        <v>333</v>
      </c>
      <c r="I934" s="8">
        <v>30637.85</v>
      </c>
      <c r="J934" s="8">
        <v>18793.560000000001</v>
      </c>
      <c r="K934" s="8">
        <v>30637.85</v>
      </c>
    </row>
    <row r="935" spans="1:11" hidden="1" x14ac:dyDescent="0.25">
      <c r="A935" s="3" t="s">
        <v>1710</v>
      </c>
      <c r="B935" s="3">
        <v>11</v>
      </c>
      <c r="C935" s="5">
        <v>330</v>
      </c>
      <c r="D935" s="6">
        <v>0</v>
      </c>
      <c r="E935" s="7">
        <v>170100</v>
      </c>
      <c r="F935" s="3">
        <v>53340</v>
      </c>
      <c r="G935" s="3" t="str">
        <f t="shared" si="14"/>
        <v>5</v>
      </c>
      <c r="H935" s="3" t="s">
        <v>1711</v>
      </c>
      <c r="I935" s="8">
        <v>0</v>
      </c>
      <c r="J935" s="8">
        <v>4.3499999999999996</v>
      </c>
      <c r="K935" s="8">
        <v>0</v>
      </c>
    </row>
    <row r="936" spans="1:11" hidden="1" x14ac:dyDescent="0.25">
      <c r="A936" s="3" t="s">
        <v>1712</v>
      </c>
      <c r="B936" s="3">
        <v>11</v>
      </c>
      <c r="C936" s="5">
        <v>330</v>
      </c>
      <c r="D936" s="6">
        <v>0</v>
      </c>
      <c r="E936" s="7">
        <v>170100</v>
      </c>
      <c r="F936" s="3">
        <v>53410</v>
      </c>
      <c r="G936" s="3" t="str">
        <f t="shared" si="14"/>
        <v>5</v>
      </c>
      <c r="H936" s="3" t="s">
        <v>1713</v>
      </c>
      <c r="I936" s="8">
        <v>380293.15</v>
      </c>
      <c r="J936" s="8">
        <v>275730.76</v>
      </c>
      <c r="K936" s="8">
        <v>380293.15</v>
      </c>
    </row>
    <row r="937" spans="1:11" hidden="1" x14ac:dyDescent="0.25">
      <c r="A937" s="3" t="s">
        <v>1714</v>
      </c>
      <c r="B937" s="3">
        <v>11</v>
      </c>
      <c r="C937" s="5">
        <v>330</v>
      </c>
      <c r="D937" s="6">
        <v>0</v>
      </c>
      <c r="E937" s="7">
        <v>170100</v>
      </c>
      <c r="F937" s="3">
        <v>53510</v>
      </c>
      <c r="G937" s="3" t="str">
        <f t="shared" si="14"/>
        <v>5</v>
      </c>
      <c r="H937" s="3" t="s">
        <v>335</v>
      </c>
      <c r="I937" s="8">
        <v>1056.48</v>
      </c>
      <c r="J937" s="8">
        <v>651.34</v>
      </c>
      <c r="K937" s="8">
        <v>1056.48</v>
      </c>
    </row>
    <row r="938" spans="1:11" hidden="1" x14ac:dyDescent="0.25">
      <c r="A938" s="3" t="s">
        <v>1715</v>
      </c>
      <c r="B938" s="3">
        <v>11</v>
      </c>
      <c r="C938" s="5">
        <v>330</v>
      </c>
      <c r="D938" s="6">
        <v>0</v>
      </c>
      <c r="E938" s="7">
        <v>170100</v>
      </c>
      <c r="F938" s="3">
        <v>53520</v>
      </c>
      <c r="G938" s="3" t="str">
        <f t="shared" si="14"/>
        <v>5</v>
      </c>
      <c r="H938" s="3" t="s">
        <v>1716</v>
      </c>
      <c r="I938" s="8">
        <v>0</v>
      </c>
      <c r="J938" s="8">
        <v>0.15</v>
      </c>
      <c r="K938" s="8">
        <v>0</v>
      </c>
    </row>
    <row r="939" spans="1:11" hidden="1" x14ac:dyDescent="0.25">
      <c r="A939" s="3" t="s">
        <v>1717</v>
      </c>
      <c r="B939" s="3">
        <v>11</v>
      </c>
      <c r="C939" s="5">
        <v>330</v>
      </c>
      <c r="D939" s="6">
        <v>0</v>
      </c>
      <c r="E939" s="7">
        <v>170100</v>
      </c>
      <c r="F939" s="3">
        <v>53610</v>
      </c>
      <c r="G939" s="3" t="str">
        <f t="shared" si="14"/>
        <v>5</v>
      </c>
      <c r="H939" s="3" t="s">
        <v>337</v>
      </c>
      <c r="I939" s="8">
        <v>39951.78</v>
      </c>
      <c r="J939" s="8">
        <v>24989.38</v>
      </c>
      <c r="K939" s="8">
        <v>39951.78</v>
      </c>
    </row>
    <row r="940" spans="1:11" hidden="1" x14ac:dyDescent="0.25">
      <c r="A940" s="3" t="s">
        <v>1718</v>
      </c>
      <c r="B940" s="3">
        <v>11</v>
      </c>
      <c r="C940" s="5">
        <v>330</v>
      </c>
      <c r="D940" s="6">
        <v>0</v>
      </c>
      <c r="E940" s="7">
        <v>170100</v>
      </c>
      <c r="F940" s="3">
        <v>53620</v>
      </c>
      <c r="G940" s="3" t="str">
        <f t="shared" si="14"/>
        <v>5</v>
      </c>
      <c r="H940" s="3" t="s">
        <v>1719</v>
      </c>
      <c r="I940" s="8">
        <v>0</v>
      </c>
      <c r="J940" s="8">
        <v>5.67</v>
      </c>
      <c r="K940" s="8">
        <v>0</v>
      </c>
    </row>
    <row r="941" spans="1:11" hidden="1" x14ac:dyDescent="0.25">
      <c r="A941" s="3" t="s">
        <v>1720</v>
      </c>
      <c r="B941" s="3">
        <v>11</v>
      </c>
      <c r="C941" s="5">
        <v>330</v>
      </c>
      <c r="D941" s="6">
        <v>0</v>
      </c>
      <c r="E941" s="7">
        <v>170100</v>
      </c>
      <c r="F941" s="3">
        <v>53910</v>
      </c>
      <c r="G941" s="3" t="str">
        <f t="shared" si="14"/>
        <v>5</v>
      </c>
      <c r="H941" s="3" t="s">
        <v>1721</v>
      </c>
      <c r="I941" s="8">
        <v>4800</v>
      </c>
      <c r="J941" s="8">
        <v>4581.78</v>
      </c>
      <c r="K941" s="8">
        <v>4800</v>
      </c>
    </row>
    <row r="942" spans="1:11" hidden="1" x14ac:dyDescent="0.25">
      <c r="A942" s="3" t="s">
        <v>1722</v>
      </c>
      <c r="B942" s="3">
        <v>11</v>
      </c>
      <c r="C942" s="5">
        <v>330</v>
      </c>
      <c r="D942" s="6">
        <v>0</v>
      </c>
      <c r="E942" s="7">
        <v>170100</v>
      </c>
      <c r="F942" s="3">
        <v>54300</v>
      </c>
      <c r="G942" s="3" t="str">
        <f t="shared" si="14"/>
        <v>5</v>
      </c>
      <c r="H942" s="3" t="s">
        <v>1723</v>
      </c>
      <c r="I942" s="8">
        <v>930</v>
      </c>
      <c r="J942" s="8">
        <v>0</v>
      </c>
      <c r="K942" s="8">
        <v>930</v>
      </c>
    </row>
    <row r="943" spans="1:11" hidden="1" x14ac:dyDescent="0.25">
      <c r="A943" s="3" t="s">
        <v>1724</v>
      </c>
      <c r="B943" s="3">
        <v>11</v>
      </c>
      <c r="C943" s="5">
        <v>330</v>
      </c>
      <c r="D943" s="6">
        <v>0</v>
      </c>
      <c r="E943" s="7">
        <v>170100</v>
      </c>
      <c r="F943" s="3">
        <v>55630</v>
      </c>
      <c r="G943" s="3" t="str">
        <f t="shared" si="14"/>
        <v>5</v>
      </c>
      <c r="H943" s="3" t="s">
        <v>339</v>
      </c>
      <c r="I943" s="8">
        <v>9765</v>
      </c>
      <c r="J943" s="8">
        <v>0</v>
      </c>
      <c r="K943" s="8">
        <v>9765</v>
      </c>
    </row>
    <row r="944" spans="1:11" hidden="1" x14ac:dyDescent="0.25">
      <c r="A944" s="3" t="s">
        <v>1725</v>
      </c>
      <c r="B944" s="3">
        <v>11</v>
      </c>
      <c r="C944" s="5">
        <v>330</v>
      </c>
      <c r="D944" s="6">
        <v>0</v>
      </c>
      <c r="E944" s="7">
        <v>170100</v>
      </c>
      <c r="F944" s="3">
        <v>55650</v>
      </c>
      <c r="G944" s="3" t="str">
        <f t="shared" si="14"/>
        <v>5</v>
      </c>
      <c r="H944" s="3" t="s">
        <v>1726</v>
      </c>
      <c r="I944" s="8">
        <v>470</v>
      </c>
      <c r="J944" s="8">
        <v>0</v>
      </c>
      <c r="K944" s="8">
        <v>470</v>
      </c>
    </row>
    <row r="945" spans="1:11" hidden="1" x14ac:dyDescent="0.25">
      <c r="A945" s="3" t="s">
        <v>1727</v>
      </c>
      <c r="B945" s="3">
        <v>11</v>
      </c>
      <c r="C945" s="5">
        <v>330</v>
      </c>
      <c r="D945" s="6">
        <v>0</v>
      </c>
      <c r="E945" s="7">
        <v>190200</v>
      </c>
      <c r="F945" s="3">
        <v>51100</v>
      </c>
      <c r="G945" s="3" t="str">
        <f t="shared" si="14"/>
        <v>5</v>
      </c>
      <c r="H945" s="3" t="s">
        <v>1728</v>
      </c>
      <c r="I945" s="8">
        <v>95696</v>
      </c>
      <c r="J945" s="8">
        <v>69597.119999999995</v>
      </c>
      <c r="K945" s="8">
        <v>95696</v>
      </c>
    </row>
    <row r="946" spans="1:11" hidden="1" x14ac:dyDescent="0.25">
      <c r="A946" s="3" t="s">
        <v>1729</v>
      </c>
      <c r="B946" s="3">
        <v>11</v>
      </c>
      <c r="C946" s="5">
        <v>330</v>
      </c>
      <c r="D946" s="6">
        <v>0</v>
      </c>
      <c r="E946" s="7">
        <v>190200</v>
      </c>
      <c r="F946" s="3">
        <v>51310</v>
      </c>
      <c r="G946" s="3" t="str">
        <f t="shared" si="14"/>
        <v>5</v>
      </c>
      <c r="H946" s="3" t="s">
        <v>1730</v>
      </c>
      <c r="I946" s="8">
        <v>7287</v>
      </c>
      <c r="J946" s="8">
        <v>6493.94</v>
      </c>
      <c r="K946" s="8">
        <v>7287</v>
      </c>
    </row>
    <row r="947" spans="1:11" hidden="1" x14ac:dyDescent="0.25">
      <c r="A947" s="3" t="s">
        <v>1731</v>
      </c>
      <c r="B947" s="3">
        <v>11</v>
      </c>
      <c r="C947" s="5">
        <v>330</v>
      </c>
      <c r="D947" s="6">
        <v>0</v>
      </c>
      <c r="E947" s="7">
        <v>190200</v>
      </c>
      <c r="F947" s="3">
        <v>51311</v>
      </c>
      <c r="G947" s="3" t="str">
        <f t="shared" si="14"/>
        <v>5</v>
      </c>
      <c r="H947" s="3" t="s">
        <v>341</v>
      </c>
      <c r="I947" s="8">
        <v>39000</v>
      </c>
      <c r="J947" s="8">
        <v>42302.39</v>
      </c>
      <c r="K947" s="8">
        <v>39000</v>
      </c>
    </row>
    <row r="948" spans="1:11" hidden="1" x14ac:dyDescent="0.25">
      <c r="A948" s="3" t="s">
        <v>1732</v>
      </c>
      <c r="B948" s="3">
        <v>11</v>
      </c>
      <c r="C948" s="5">
        <v>330</v>
      </c>
      <c r="D948" s="6">
        <v>0</v>
      </c>
      <c r="E948" s="7">
        <v>190200</v>
      </c>
      <c r="F948" s="3">
        <v>52200</v>
      </c>
      <c r="G948" s="3" t="str">
        <f t="shared" si="14"/>
        <v>5</v>
      </c>
      <c r="H948" s="3" t="s">
        <v>1733</v>
      </c>
      <c r="I948" s="8">
        <v>48797.78</v>
      </c>
      <c r="J948" s="8">
        <v>36597.120000000003</v>
      </c>
      <c r="K948" s="8">
        <v>48797.78</v>
      </c>
    </row>
    <row r="949" spans="1:11" hidden="1" x14ac:dyDescent="0.25">
      <c r="A949" s="3" t="s">
        <v>1734</v>
      </c>
      <c r="B949" s="3">
        <v>11</v>
      </c>
      <c r="C949" s="5">
        <v>330</v>
      </c>
      <c r="D949" s="6">
        <v>0</v>
      </c>
      <c r="E949" s="7">
        <v>190200</v>
      </c>
      <c r="F949" s="3">
        <v>52300</v>
      </c>
      <c r="G949" s="3" t="str">
        <f t="shared" si="14"/>
        <v>5</v>
      </c>
      <c r="H949" s="3" t="s">
        <v>1735</v>
      </c>
      <c r="I949" s="8">
        <v>0</v>
      </c>
      <c r="J949" s="8">
        <v>1615.3</v>
      </c>
      <c r="K949" s="8">
        <v>0</v>
      </c>
    </row>
    <row r="950" spans="1:11" hidden="1" x14ac:dyDescent="0.25">
      <c r="A950" s="3" t="s">
        <v>1736</v>
      </c>
      <c r="B950" s="3">
        <v>11</v>
      </c>
      <c r="C950" s="5">
        <v>330</v>
      </c>
      <c r="D950" s="6">
        <v>0</v>
      </c>
      <c r="E950" s="7">
        <v>190200</v>
      </c>
      <c r="F950" s="3">
        <v>53110</v>
      </c>
      <c r="G950" s="3" t="str">
        <f t="shared" si="14"/>
        <v>5</v>
      </c>
      <c r="H950" s="3" t="s">
        <v>343</v>
      </c>
      <c r="I950" s="8">
        <v>22930.25</v>
      </c>
      <c r="J950" s="8">
        <v>19120.560000000001</v>
      </c>
      <c r="K950" s="8">
        <v>22930.25</v>
      </c>
    </row>
    <row r="951" spans="1:11" hidden="1" x14ac:dyDescent="0.25">
      <c r="A951" s="3" t="s">
        <v>1737</v>
      </c>
      <c r="B951" s="3">
        <v>11</v>
      </c>
      <c r="C951" s="5">
        <v>330</v>
      </c>
      <c r="D951" s="6">
        <v>0</v>
      </c>
      <c r="E951" s="7">
        <v>190200</v>
      </c>
      <c r="F951" s="3">
        <v>53210</v>
      </c>
      <c r="G951" s="3" t="str">
        <f t="shared" si="14"/>
        <v>5</v>
      </c>
      <c r="H951" s="3" t="s">
        <v>1738</v>
      </c>
      <c r="I951" s="8">
        <v>10101.14</v>
      </c>
      <c r="J951" s="8">
        <v>7575.56</v>
      </c>
      <c r="K951" s="8">
        <v>10101.14</v>
      </c>
    </row>
    <row r="952" spans="1:11" hidden="1" x14ac:dyDescent="0.25">
      <c r="A952" s="3" t="s">
        <v>1739</v>
      </c>
      <c r="B952" s="3">
        <v>11</v>
      </c>
      <c r="C952" s="5">
        <v>330</v>
      </c>
      <c r="D952" s="6">
        <v>0</v>
      </c>
      <c r="E952" s="7">
        <v>190200</v>
      </c>
      <c r="F952" s="3">
        <v>53310</v>
      </c>
      <c r="G952" s="3" t="str">
        <f t="shared" si="14"/>
        <v>5</v>
      </c>
      <c r="H952" s="3" t="s">
        <v>1740</v>
      </c>
      <c r="I952" s="8">
        <v>3025.46</v>
      </c>
      <c r="J952" s="8">
        <v>2269.04</v>
      </c>
      <c r="K952" s="8">
        <v>3025.46</v>
      </c>
    </row>
    <row r="953" spans="1:11" hidden="1" x14ac:dyDescent="0.25">
      <c r="A953" s="3" t="s">
        <v>1741</v>
      </c>
      <c r="B953" s="3">
        <v>11</v>
      </c>
      <c r="C953" s="5">
        <v>330</v>
      </c>
      <c r="D953" s="6">
        <v>0</v>
      </c>
      <c r="E953" s="7">
        <v>190200</v>
      </c>
      <c r="F953" s="3">
        <v>53320</v>
      </c>
      <c r="G953" s="3" t="str">
        <f t="shared" si="14"/>
        <v>5</v>
      </c>
      <c r="H953" s="3" t="s">
        <v>1742</v>
      </c>
      <c r="I953" s="8">
        <v>0</v>
      </c>
      <c r="J953" s="8">
        <v>100.16</v>
      </c>
      <c r="K953" s="8">
        <v>0</v>
      </c>
    </row>
    <row r="954" spans="1:11" hidden="1" x14ac:dyDescent="0.25">
      <c r="A954" s="3" t="s">
        <v>1743</v>
      </c>
      <c r="B954" s="3">
        <v>11</v>
      </c>
      <c r="C954" s="5">
        <v>330</v>
      </c>
      <c r="D954" s="6">
        <v>0</v>
      </c>
      <c r="E954" s="7">
        <v>190200</v>
      </c>
      <c r="F954" s="3">
        <v>53330</v>
      </c>
      <c r="G954" s="3" t="str">
        <f t="shared" si="14"/>
        <v>5</v>
      </c>
      <c r="H954" s="3" t="s">
        <v>345</v>
      </c>
      <c r="I954" s="8">
        <v>2766.32</v>
      </c>
      <c r="J954" s="8">
        <v>2247.31</v>
      </c>
      <c r="K954" s="8">
        <v>2766.32</v>
      </c>
    </row>
    <row r="955" spans="1:11" hidden="1" x14ac:dyDescent="0.25">
      <c r="A955" s="3" t="s">
        <v>1744</v>
      </c>
      <c r="B955" s="3">
        <v>11</v>
      </c>
      <c r="C955" s="5">
        <v>330</v>
      </c>
      <c r="D955" s="6">
        <v>0</v>
      </c>
      <c r="E955" s="7">
        <v>190200</v>
      </c>
      <c r="F955" s="3">
        <v>53340</v>
      </c>
      <c r="G955" s="3" t="str">
        <f t="shared" si="14"/>
        <v>5</v>
      </c>
      <c r="H955" s="3" t="s">
        <v>1745</v>
      </c>
      <c r="I955" s="8">
        <v>0</v>
      </c>
      <c r="J955" s="8">
        <v>23.42</v>
      </c>
      <c r="K955" s="8">
        <v>0</v>
      </c>
    </row>
    <row r="956" spans="1:11" hidden="1" x14ac:dyDescent="0.25">
      <c r="A956" s="3" t="s">
        <v>1746</v>
      </c>
      <c r="B956" s="3">
        <v>11</v>
      </c>
      <c r="C956" s="5">
        <v>330</v>
      </c>
      <c r="D956" s="6">
        <v>0</v>
      </c>
      <c r="E956" s="7">
        <v>190200</v>
      </c>
      <c r="F956" s="3">
        <v>53410</v>
      </c>
      <c r="G956" s="3" t="str">
        <f t="shared" si="14"/>
        <v>5</v>
      </c>
      <c r="H956" s="3" t="s">
        <v>1747</v>
      </c>
      <c r="I956" s="8">
        <v>18988.59</v>
      </c>
      <c r="J956" s="8">
        <v>13842.05</v>
      </c>
      <c r="K956" s="8">
        <v>18988.59</v>
      </c>
    </row>
    <row r="957" spans="1:11" hidden="1" x14ac:dyDescent="0.25">
      <c r="A957" s="3" t="s">
        <v>1748</v>
      </c>
      <c r="B957" s="3">
        <v>11</v>
      </c>
      <c r="C957" s="5">
        <v>330</v>
      </c>
      <c r="D957" s="6">
        <v>0</v>
      </c>
      <c r="E957" s="7">
        <v>190200</v>
      </c>
      <c r="F957" s="3">
        <v>53510</v>
      </c>
      <c r="G957" s="3" t="str">
        <f t="shared" si="14"/>
        <v>5</v>
      </c>
      <c r="H957" s="3" t="s">
        <v>347</v>
      </c>
      <c r="I957" s="8">
        <v>95.39</v>
      </c>
      <c r="J957" s="8">
        <v>77.599999999999994</v>
      </c>
      <c r="K957" s="8">
        <v>95.39</v>
      </c>
    </row>
    <row r="958" spans="1:11" hidden="1" x14ac:dyDescent="0.25">
      <c r="A958" s="3" t="s">
        <v>1749</v>
      </c>
      <c r="B958" s="3">
        <v>11</v>
      </c>
      <c r="C958" s="5">
        <v>330</v>
      </c>
      <c r="D958" s="6">
        <v>0</v>
      </c>
      <c r="E958" s="7">
        <v>190200</v>
      </c>
      <c r="F958" s="3">
        <v>53520</v>
      </c>
      <c r="G958" s="3" t="str">
        <f t="shared" si="14"/>
        <v>5</v>
      </c>
      <c r="H958" s="3" t="s">
        <v>1750</v>
      </c>
      <c r="I958" s="8">
        <v>0</v>
      </c>
      <c r="J958" s="8">
        <v>0.8</v>
      </c>
      <c r="K958" s="8">
        <v>0</v>
      </c>
    </row>
    <row r="959" spans="1:11" hidden="1" x14ac:dyDescent="0.25">
      <c r="A959" s="3" t="s">
        <v>1751</v>
      </c>
      <c r="B959" s="3">
        <v>11</v>
      </c>
      <c r="C959" s="5">
        <v>330</v>
      </c>
      <c r="D959" s="6">
        <v>0</v>
      </c>
      <c r="E959" s="7">
        <v>190200</v>
      </c>
      <c r="F959" s="3">
        <v>53610</v>
      </c>
      <c r="G959" s="3" t="str">
        <f t="shared" si="14"/>
        <v>5</v>
      </c>
      <c r="H959" s="3" t="s">
        <v>349</v>
      </c>
      <c r="I959" s="8">
        <v>3607.28</v>
      </c>
      <c r="J959" s="8">
        <v>2932.49</v>
      </c>
      <c r="K959" s="8">
        <v>3607.28</v>
      </c>
    </row>
    <row r="960" spans="1:11" hidden="1" x14ac:dyDescent="0.25">
      <c r="A960" s="3" t="s">
        <v>1752</v>
      </c>
      <c r="B960" s="3">
        <v>11</v>
      </c>
      <c r="C960" s="5">
        <v>330</v>
      </c>
      <c r="D960" s="6">
        <v>0</v>
      </c>
      <c r="E960" s="7">
        <v>190200</v>
      </c>
      <c r="F960" s="3">
        <v>53620</v>
      </c>
      <c r="G960" s="3" t="str">
        <f t="shared" si="14"/>
        <v>5</v>
      </c>
      <c r="H960" s="3" t="s">
        <v>1753</v>
      </c>
      <c r="I960" s="8">
        <v>0</v>
      </c>
      <c r="J960" s="8">
        <v>30.54</v>
      </c>
      <c r="K960" s="8">
        <v>0</v>
      </c>
    </row>
    <row r="961" spans="1:11" hidden="1" x14ac:dyDescent="0.25">
      <c r="A961" s="3" t="s">
        <v>1754</v>
      </c>
      <c r="B961" s="3">
        <v>11</v>
      </c>
      <c r="C961" s="5">
        <v>330</v>
      </c>
      <c r="D961" s="6">
        <v>0</v>
      </c>
      <c r="E961" s="7">
        <v>190200</v>
      </c>
      <c r="F961" s="3">
        <v>53910</v>
      </c>
      <c r="G961" s="3" t="str">
        <f t="shared" si="14"/>
        <v>5</v>
      </c>
      <c r="H961" s="3" t="s">
        <v>1755</v>
      </c>
      <c r="I961" s="8">
        <v>4200</v>
      </c>
      <c r="J961" s="8">
        <v>2945.44</v>
      </c>
      <c r="K961" s="8">
        <v>4200</v>
      </c>
    </row>
    <row r="962" spans="1:11" hidden="1" x14ac:dyDescent="0.25">
      <c r="A962" s="3" t="s">
        <v>1756</v>
      </c>
      <c r="B962" s="3">
        <v>11</v>
      </c>
      <c r="C962" s="5">
        <v>330</v>
      </c>
      <c r="D962" s="6">
        <v>0</v>
      </c>
      <c r="E962" s="7">
        <v>190200</v>
      </c>
      <c r="F962" s="3">
        <v>54300</v>
      </c>
      <c r="G962" s="3" t="str">
        <f t="shared" si="14"/>
        <v>5</v>
      </c>
      <c r="H962" s="3" t="s">
        <v>1757</v>
      </c>
      <c r="I962" s="8">
        <v>1750</v>
      </c>
      <c r="J962" s="8">
        <v>1670.76</v>
      </c>
      <c r="K962" s="8">
        <v>1750</v>
      </c>
    </row>
    <row r="963" spans="1:11" hidden="1" x14ac:dyDescent="0.25">
      <c r="A963" s="3" t="s">
        <v>1758</v>
      </c>
      <c r="B963" s="3">
        <v>11</v>
      </c>
      <c r="C963" s="5">
        <v>330</v>
      </c>
      <c r="D963" s="6">
        <v>0</v>
      </c>
      <c r="E963" s="7">
        <v>190200</v>
      </c>
      <c r="F963" s="3">
        <v>55630</v>
      </c>
      <c r="G963" s="3" t="str">
        <f t="shared" ref="G963:G1026" si="15">LEFT(F963,1)</f>
        <v>5</v>
      </c>
      <c r="H963" s="3" t="s">
        <v>351</v>
      </c>
      <c r="I963" s="8">
        <v>372</v>
      </c>
      <c r="J963" s="8">
        <v>0</v>
      </c>
      <c r="K963" s="8">
        <v>372</v>
      </c>
    </row>
    <row r="964" spans="1:11" hidden="1" x14ac:dyDescent="0.25">
      <c r="A964" s="3" t="s">
        <v>1759</v>
      </c>
      <c r="B964" s="3">
        <v>11</v>
      </c>
      <c r="C964" s="5">
        <v>330</v>
      </c>
      <c r="D964" s="6">
        <v>0</v>
      </c>
      <c r="E964" s="7">
        <v>190500</v>
      </c>
      <c r="F964" s="3">
        <v>51100</v>
      </c>
      <c r="G964" s="3" t="str">
        <f t="shared" si="15"/>
        <v>5</v>
      </c>
      <c r="H964" s="3" t="s">
        <v>1760</v>
      </c>
      <c r="I964" s="8">
        <v>286968</v>
      </c>
      <c r="J964" s="8">
        <v>208706.24</v>
      </c>
      <c r="K964" s="8">
        <v>286968</v>
      </c>
    </row>
    <row r="965" spans="1:11" hidden="1" x14ac:dyDescent="0.25">
      <c r="A965" s="3" t="s">
        <v>1761</v>
      </c>
      <c r="B965" s="3">
        <v>11</v>
      </c>
      <c r="C965" s="5">
        <v>330</v>
      </c>
      <c r="D965" s="6">
        <v>0</v>
      </c>
      <c r="E965" s="7">
        <v>190500</v>
      </c>
      <c r="F965" s="3">
        <v>51310</v>
      </c>
      <c r="G965" s="3" t="str">
        <f t="shared" si="15"/>
        <v>5</v>
      </c>
      <c r="H965" s="3" t="s">
        <v>1762</v>
      </c>
      <c r="I965" s="8">
        <v>26000</v>
      </c>
      <c r="J965" s="8">
        <v>46265.56</v>
      </c>
      <c r="K965" s="8">
        <v>26000</v>
      </c>
    </row>
    <row r="966" spans="1:11" hidden="1" x14ac:dyDescent="0.25">
      <c r="A966" s="3" t="s">
        <v>1763</v>
      </c>
      <c r="B966" s="3">
        <v>11</v>
      </c>
      <c r="C966" s="5">
        <v>330</v>
      </c>
      <c r="D966" s="6">
        <v>0</v>
      </c>
      <c r="E966" s="7">
        <v>190500</v>
      </c>
      <c r="F966" s="3">
        <v>51311</v>
      </c>
      <c r="G966" s="3" t="str">
        <f t="shared" si="15"/>
        <v>5</v>
      </c>
      <c r="H966" s="3" t="s">
        <v>1764</v>
      </c>
      <c r="I966" s="8">
        <v>81500</v>
      </c>
      <c r="J966" s="8">
        <v>43802.720000000001</v>
      </c>
      <c r="K966" s="8">
        <v>81500</v>
      </c>
    </row>
    <row r="967" spans="1:11" hidden="1" x14ac:dyDescent="0.25">
      <c r="A967" s="3" t="s">
        <v>1765</v>
      </c>
      <c r="B967" s="3">
        <v>11</v>
      </c>
      <c r="C967" s="5">
        <v>330</v>
      </c>
      <c r="D967" s="6">
        <v>0</v>
      </c>
      <c r="E967" s="7">
        <v>190500</v>
      </c>
      <c r="F967" s="3">
        <v>52200</v>
      </c>
      <c r="G967" s="3" t="str">
        <f t="shared" si="15"/>
        <v>5</v>
      </c>
      <c r="H967" s="3" t="s">
        <v>1766</v>
      </c>
      <c r="I967" s="8">
        <v>114778.9</v>
      </c>
      <c r="J967" s="8">
        <v>89612.6</v>
      </c>
      <c r="K967" s="8">
        <v>114778.9</v>
      </c>
    </row>
    <row r="968" spans="1:11" hidden="1" x14ac:dyDescent="0.25">
      <c r="A968" s="3" t="s">
        <v>1767</v>
      </c>
      <c r="B968" s="3">
        <v>11</v>
      </c>
      <c r="C968" s="5">
        <v>330</v>
      </c>
      <c r="D968" s="6">
        <v>0</v>
      </c>
      <c r="E968" s="7">
        <v>190500</v>
      </c>
      <c r="F968" s="3">
        <v>52300</v>
      </c>
      <c r="G968" s="3" t="str">
        <f t="shared" si="15"/>
        <v>5</v>
      </c>
      <c r="H968" s="3" t="s">
        <v>1768</v>
      </c>
      <c r="I968" s="8">
        <v>0</v>
      </c>
      <c r="J968" s="8">
        <v>1466.27</v>
      </c>
      <c r="K968" s="8">
        <v>0</v>
      </c>
    </row>
    <row r="969" spans="1:11" hidden="1" x14ac:dyDescent="0.25">
      <c r="A969" s="3" t="s">
        <v>1769</v>
      </c>
      <c r="B969" s="3">
        <v>11</v>
      </c>
      <c r="C969" s="5">
        <v>330</v>
      </c>
      <c r="D969" s="6">
        <v>0</v>
      </c>
      <c r="E969" s="7">
        <v>190500</v>
      </c>
      <c r="F969" s="3">
        <v>53110</v>
      </c>
      <c r="G969" s="3" t="str">
        <f t="shared" si="15"/>
        <v>5</v>
      </c>
      <c r="H969" s="3" t="s">
        <v>1770</v>
      </c>
      <c r="I969" s="8">
        <v>63706.58</v>
      </c>
      <c r="J969" s="8">
        <v>48252.1</v>
      </c>
      <c r="K969" s="8">
        <v>63706.58</v>
      </c>
    </row>
    <row r="970" spans="1:11" hidden="1" x14ac:dyDescent="0.25">
      <c r="A970" s="3" t="s">
        <v>1771</v>
      </c>
      <c r="B970" s="3">
        <v>11</v>
      </c>
      <c r="C970" s="5">
        <v>330</v>
      </c>
      <c r="D970" s="6">
        <v>0</v>
      </c>
      <c r="E970" s="7">
        <v>190500</v>
      </c>
      <c r="F970" s="3">
        <v>53210</v>
      </c>
      <c r="G970" s="3" t="str">
        <f t="shared" si="15"/>
        <v>5</v>
      </c>
      <c r="H970" s="3" t="s">
        <v>1772</v>
      </c>
      <c r="I970" s="8">
        <v>23759.23</v>
      </c>
      <c r="J970" s="8">
        <v>18532.080000000002</v>
      </c>
      <c r="K970" s="8">
        <v>23759.23</v>
      </c>
    </row>
    <row r="971" spans="1:11" hidden="1" x14ac:dyDescent="0.25">
      <c r="A971" s="3" t="s">
        <v>1773</v>
      </c>
      <c r="B971" s="3">
        <v>11</v>
      </c>
      <c r="C971" s="5">
        <v>330</v>
      </c>
      <c r="D971" s="6">
        <v>0</v>
      </c>
      <c r="E971" s="7">
        <v>190500</v>
      </c>
      <c r="F971" s="3">
        <v>53310</v>
      </c>
      <c r="G971" s="3" t="str">
        <f t="shared" si="15"/>
        <v>5</v>
      </c>
      <c r="H971" s="3" t="s">
        <v>1774</v>
      </c>
      <c r="I971" s="8">
        <v>7116.29</v>
      </c>
      <c r="J971" s="8">
        <v>5467.37</v>
      </c>
      <c r="K971" s="8">
        <v>7116.29</v>
      </c>
    </row>
    <row r="972" spans="1:11" hidden="1" x14ac:dyDescent="0.25">
      <c r="A972" s="3" t="s">
        <v>1775</v>
      </c>
      <c r="B972" s="3">
        <v>11</v>
      </c>
      <c r="C972" s="5">
        <v>330</v>
      </c>
      <c r="D972" s="6">
        <v>0</v>
      </c>
      <c r="E972" s="7">
        <v>190500</v>
      </c>
      <c r="F972" s="3">
        <v>53320</v>
      </c>
      <c r="G972" s="3" t="str">
        <f t="shared" si="15"/>
        <v>5</v>
      </c>
      <c r="H972" s="3" t="s">
        <v>1776</v>
      </c>
      <c r="I972" s="8">
        <v>0</v>
      </c>
      <c r="J972" s="8">
        <v>90.93</v>
      </c>
      <c r="K972" s="8">
        <v>0</v>
      </c>
    </row>
    <row r="973" spans="1:11" hidden="1" x14ac:dyDescent="0.25">
      <c r="A973" s="3" t="s">
        <v>1777</v>
      </c>
      <c r="B973" s="3">
        <v>11</v>
      </c>
      <c r="C973" s="5">
        <v>330</v>
      </c>
      <c r="D973" s="6">
        <v>0</v>
      </c>
      <c r="E973" s="7">
        <v>190500</v>
      </c>
      <c r="F973" s="3">
        <v>53330</v>
      </c>
      <c r="G973" s="3" t="str">
        <f t="shared" si="15"/>
        <v>5</v>
      </c>
      <c r="H973" s="3" t="s">
        <v>1778</v>
      </c>
      <c r="I973" s="8">
        <v>7384.07</v>
      </c>
      <c r="J973" s="8">
        <v>5611</v>
      </c>
      <c r="K973" s="8">
        <v>7384.07</v>
      </c>
    </row>
    <row r="974" spans="1:11" hidden="1" x14ac:dyDescent="0.25">
      <c r="A974" s="3" t="s">
        <v>1779</v>
      </c>
      <c r="B974" s="3">
        <v>11</v>
      </c>
      <c r="C974" s="5">
        <v>330</v>
      </c>
      <c r="D974" s="6">
        <v>0</v>
      </c>
      <c r="E974" s="7">
        <v>190500</v>
      </c>
      <c r="F974" s="3">
        <v>53340</v>
      </c>
      <c r="G974" s="3" t="str">
        <f t="shared" si="15"/>
        <v>5</v>
      </c>
      <c r="H974" s="3" t="s">
        <v>1780</v>
      </c>
      <c r="I974" s="8">
        <v>0</v>
      </c>
      <c r="J974" s="8">
        <v>21.24</v>
      </c>
      <c r="K974" s="8">
        <v>0</v>
      </c>
    </row>
    <row r="975" spans="1:11" hidden="1" x14ac:dyDescent="0.25">
      <c r="A975" s="3" t="s">
        <v>1781</v>
      </c>
      <c r="B975" s="3">
        <v>11</v>
      </c>
      <c r="C975" s="5">
        <v>330</v>
      </c>
      <c r="D975" s="6">
        <v>0</v>
      </c>
      <c r="E975" s="7">
        <v>190500</v>
      </c>
      <c r="F975" s="3">
        <v>53410</v>
      </c>
      <c r="G975" s="3" t="str">
        <f t="shared" si="15"/>
        <v>5</v>
      </c>
      <c r="H975" s="3" t="s">
        <v>1782</v>
      </c>
      <c r="I975" s="8">
        <v>73211.78</v>
      </c>
      <c r="J975" s="8">
        <v>51085.57</v>
      </c>
      <c r="K975" s="8">
        <v>73211.78</v>
      </c>
    </row>
    <row r="976" spans="1:11" hidden="1" x14ac:dyDescent="0.25">
      <c r="A976" s="3" t="s">
        <v>1783</v>
      </c>
      <c r="B976" s="3">
        <v>11</v>
      </c>
      <c r="C976" s="5">
        <v>330</v>
      </c>
      <c r="D976" s="6">
        <v>0</v>
      </c>
      <c r="E976" s="7">
        <v>190500</v>
      </c>
      <c r="F976" s="3">
        <v>53510</v>
      </c>
      <c r="G976" s="3" t="str">
        <f t="shared" si="15"/>
        <v>5</v>
      </c>
      <c r="H976" s="3" t="s">
        <v>1784</v>
      </c>
      <c r="I976" s="8">
        <v>254.62</v>
      </c>
      <c r="J976" s="8">
        <v>194.14</v>
      </c>
      <c r="K976" s="8">
        <v>254.62</v>
      </c>
    </row>
    <row r="977" spans="1:11" hidden="1" x14ac:dyDescent="0.25">
      <c r="A977" s="3" t="s">
        <v>1785</v>
      </c>
      <c r="B977" s="3">
        <v>11</v>
      </c>
      <c r="C977" s="5">
        <v>330</v>
      </c>
      <c r="D977" s="6">
        <v>0</v>
      </c>
      <c r="E977" s="7">
        <v>190500</v>
      </c>
      <c r="F977" s="3">
        <v>53520</v>
      </c>
      <c r="G977" s="3" t="str">
        <f t="shared" si="15"/>
        <v>5</v>
      </c>
      <c r="H977" s="3" t="s">
        <v>1786</v>
      </c>
      <c r="I977" s="8">
        <v>0</v>
      </c>
      <c r="J977" s="8">
        <v>0.76</v>
      </c>
      <c r="K977" s="8">
        <v>0</v>
      </c>
    </row>
    <row r="978" spans="1:11" hidden="1" x14ac:dyDescent="0.25">
      <c r="A978" s="3" t="s">
        <v>1787</v>
      </c>
      <c r="B978" s="3">
        <v>11</v>
      </c>
      <c r="C978" s="5">
        <v>330</v>
      </c>
      <c r="D978" s="6">
        <v>0</v>
      </c>
      <c r="E978" s="7">
        <v>190500</v>
      </c>
      <c r="F978" s="3">
        <v>53610</v>
      </c>
      <c r="G978" s="3" t="str">
        <f t="shared" si="15"/>
        <v>5</v>
      </c>
      <c r="H978" s="3" t="s">
        <v>1788</v>
      </c>
      <c r="I978" s="8">
        <v>9628.85</v>
      </c>
      <c r="J978" s="8">
        <v>7348.16</v>
      </c>
      <c r="K978" s="8">
        <v>9628.85</v>
      </c>
    </row>
    <row r="979" spans="1:11" hidden="1" x14ac:dyDescent="0.25">
      <c r="A979" s="3" t="s">
        <v>1789</v>
      </c>
      <c r="B979" s="3">
        <v>11</v>
      </c>
      <c r="C979" s="5">
        <v>330</v>
      </c>
      <c r="D979" s="6">
        <v>0</v>
      </c>
      <c r="E979" s="7">
        <v>190500</v>
      </c>
      <c r="F979" s="3">
        <v>53620</v>
      </c>
      <c r="G979" s="3" t="str">
        <f t="shared" si="15"/>
        <v>5</v>
      </c>
      <c r="H979" s="3" t="s">
        <v>1790</v>
      </c>
      <c r="I979" s="8">
        <v>0</v>
      </c>
      <c r="J979" s="8">
        <v>27.73</v>
      </c>
      <c r="K979" s="8">
        <v>0</v>
      </c>
    </row>
    <row r="980" spans="1:11" hidden="1" x14ac:dyDescent="0.25">
      <c r="A980" s="3" t="s">
        <v>1791</v>
      </c>
      <c r="B980" s="3">
        <v>11</v>
      </c>
      <c r="C980" s="5">
        <v>330</v>
      </c>
      <c r="D980" s="6">
        <v>0</v>
      </c>
      <c r="E980" s="7">
        <v>190500</v>
      </c>
      <c r="F980" s="3">
        <v>53910</v>
      </c>
      <c r="G980" s="3" t="str">
        <f t="shared" si="15"/>
        <v>5</v>
      </c>
      <c r="H980" s="3" t="s">
        <v>1792</v>
      </c>
      <c r="I980" s="8">
        <v>4200</v>
      </c>
      <c r="J980" s="8">
        <v>2727.26</v>
      </c>
      <c r="K980" s="8">
        <v>4200</v>
      </c>
    </row>
    <row r="981" spans="1:11" hidden="1" x14ac:dyDescent="0.25">
      <c r="A981" s="3" t="s">
        <v>1793</v>
      </c>
      <c r="B981" s="3">
        <v>11</v>
      </c>
      <c r="C981" s="5">
        <v>330</v>
      </c>
      <c r="D981" s="6">
        <v>0</v>
      </c>
      <c r="E981" s="7">
        <v>190500</v>
      </c>
      <c r="F981" s="3">
        <v>54300</v>
      </c>
      <c r="G981" s="3" t="str">
        <f t="shared" si="15"/>
        <v>5</v>
      </c>
      <c r="H981" s="3" t="s">
        <v>1794</v>
      </c>
      <c r="I981" s="8">
        <v>10500</v>
      </c>
      <c r="J981" s="8">
        <v>3431.05</v>
      </c>
      <c r="K981" s="8">
        <v>10500</v>
      </c>
    </row>
    <row r="982" spans="1:11" hidden="1" x14ac:dyDescent="0.25">
      <c r="A982" s="3" t="s">
        <v>1795</v>
      </c>
      <c r="B982" s="3">
        <v>11</v>
      </c>
      <c r="C982" s="5">
        <v>330</v>
      </c>
      <c r="D982" s="6">
        <v>0</v>
      </c>
      <c r="E982" s="7">
        <v>190500</v>
      </c>
      <c r="F982" s="3">
        <v>55630</v>
      </c>
      <c r="G982" s="3" t="str">
        <f t="shared" si="15"/>
        <v>5</v>
      </c>
      <c r="H982" s="3" t="s">
        <v>1796</v>
      </c>
      <c r="I982" s="8">
        <v>1039</v>
      </c>
      <c r="J982" s="8">
        <v>99.81</v>
      </c>
      <c r="K982" s="8">
        <v>1039</v>
      </c>
    </row>
    <row r="983" spans="1:11" hidden="1" x14ac:dyDescent="0.25">
      <c r="A983" s="3" t="s">
        <v>1797</v>
      </c>
      <c r="B983" s="3">
        <v>11</v>
      </c>
      <c r="C983" s="5">
        <v>330</v>
      </c>
      <c r="D983" s="6">
        <v>0</v>
      </c>
      <c r="E983" s="7">
        <v>190500</v>
      </c>
      <c r="F983" s="3">
        <v>55650</v>
      </c>
      <c r="G983" s="3" t="str">
        <f t="shared" si="15"/>
        <v>5</v>
      </c>
      <c r="H983" s="3" t="s">
        <v>1798</v>
      </c>
      <c r="I983" s="8">
        <v>2400</v>
      </c>
      <c r="J983" s="8">
        <v>0</v>
      </c>
      <c r="K983" s="8">
        <v>2400</v>
      </c>
    </row>
    <row r="984" spans="1:11" hidden="1" x14ac:dyDescent="0.25">
      <c r="A984" s="3" t="s">
        <v>1799</v>
      </c>
      <c r="B984" s="3">
        <v>11</v>
      </c>
      <c r="C984" s="5">
        <v>330</v>
      </c>
      <c r="D984" s="6">
        <v>0</v>
      </c>
      <c r="E984" s="7">
        <v>191100</v>
      </c>
      <c r="F984" s="3">
        <v>51100</v>
      </c>
      <c r="G984" s="3" t="str">
        <f t="shared" si="15"/>
        <v>5</v>
      </c>
      <c r="H984" s="3" t="s">
        <v>1800</v>
      </c>
      <c r="I984" s="8">
        <v>117774</v>
      </c>
      <c r="J984" s="8">
        <v>85653.84</v>
      </c>
      <c r="K984" s="8">
        <v>117774</v>
      </c>
    </row>
    <row r="985" spans="1:11" hidden="1" x14ac:dyDescent="0.25">
      <c r="A985" s="3" t="s">
        <v>1801</v>
      </c>
      <c r="B985" s="3">
        <v>11</v>
      </c>
      <c r="C985" s="5">
        <v>330</v>
      </c>
      <c r="D985" s="6">
        <v>0</v>
      </c>
      <c r="E985" s="7">
        <v>191100</v>
      </c>
      <c r="F985" s="3">
        <v>51310</v>
      </c>
      <c r="G985" s="3" t="str">
        <f t="shared" si="15"/>
        <v>5</v>
      </c>
      <c r="H985" s="3" t="s">
        <v>1802</v>
      </c>
      <c r="I985" s="8">
        <v>1300</v>
      </c>
      <c r="J985" s="8">
        <v>2781</v>
      </c>
      <c r="K985" s="8">
        <v>1300</v>
      </c>
    </row>
    <row r="986" spans="1:11" hidden="1" x14ac:dyDescent="0.25">
      <c r="A986" s="3" t="s">
        <v>1803</v>
      </c>
      <c r="B986" s="3">
        <v>11</v>
      </c>
      <c r="C986" s="5">
        <v>330</v>
      </c>
      <c r="D986" s="6">
        <v>0</v>
      </c>
      <c r="E986" s="7">
        <v>191100</v>
      </c>
      <c r="F986" s="3">
        <v>51311</v>
      </c>
      <c r="G986" s="3" t="str">
        <f t="shared" si="15"/>
        <v>5</v>
      </c>
      <c r="H986" s="3" t="s">
        <v>1804</v>
      </c>
      <c r="I986" s="8">
        <v>33400</v>
      </c>
      <c r="J986" s="8">
        <v>33289.18</v>
      </c>
      <c r="K986" s="8">
        <v>33400</v>
      </c>
    </row>
    <row r="987" spans="1:11" hidden="1" x14ac:dyDescent="0.25">
      <c r="A987" s="3" t="s">
        <v>1805</v>
      </c>
      <c r="B987" s="3">
        <v>11</v>
      </c>
      <c r="C987" s="5">
        <v>330</v>
      </c>
      <c r="D987" s="6">
        <v>0</v>
      </c>
      <c r="E987" s="7">
        <v>191100</v>
      </c>
      <c r="F987" s="3">
        <v>53110</v>
      </c>
      <c r="G987" s="3" t="str">
        <f t="shared" si="15"/>
        <v>5</v>
      </c>
      <c r="H987" s="3" t="s">
        <v>1806</v>
      </c>
      <c r="I987" s="8">
        <v>24624.55</v>
      </c>
      <c r="J987" s="8">
        <v>19658.47</v>
      </c>
      <c r="K987" s="8">
        <v>24624.55</v>
      </c>
    </row>
    <row r="988" spans="1:11" hidden="1" x14ac:dyDescent="0.25">
      <c r="A988" s="3" t="s">
        <v>1807</v>
      </c>
      <c r="B988" s="3">
        <v>11</v>
      </c>
      <c r="C988" s="5">
        <v>330</v>
      </c>
      <c r="D988" s="6">
        <v>0</v>
      </c>
      <c r="E988" s="7">
        <v>191100</v>
      </c>
      <c r="F988" s="3">
        <v>53330</v>
      </c>
      <c r="G988" s="3" t="str">
        <f t="shared" si="15"/>
        <v>5</v>
      </c>
      <c r="H988" s="3" t="s">
        <v>1808</v>
      </c>
      <c r="I988" s="8">
        <v>2210.87</v>
      </c>
      <c r="J988" s="8">
        <v>1754.59</v>
      </c>
      <c r="K988" s="8">
        <v>2210.87</v>
      </c>
    </row>
    <row r="989" spans="1:11" hidden="1" x14ac:dyDescent="0.25">
      <c r="A989" s="3" t="s">
        <v>1809</v>
      </c>
      <c r="B989" s="3">
        <v>11</v>
      </c>
      <c r="C989" s="5">
        <v>330</v>
      </c>
      <c r="D989" s="6">
        <v>0</v>
      </c>
      <c r="E989" s="7">
        <v>191100</v>
      </c>
      <c r="F989" s="3">
        <v>53410</v>
      </c>
      <c r="G989" s="3" t="str">
        <f t="shared" si="15"/>
        <v>5</v>
      </c>
      <c r="H989" s="3" t="s">
        <v>1810</v>
      </c>
      <c r="I989" s="8">
        <v>33121.43</v>
      </c>
      <c r="J989" s="8">
        <v>23608.61</v>
      </c>
      <c r="K989" s="8">
        <v>33121.43</v>
      </c>
    </row>
    <row r="990" spans="1:11" hidden="1" x14ac:dyDescent="0.25">
      <c r="A990" s="3" t="s">
        <v>1811</v>
      </c>
      <c r="B990" s="3">
        <v>11</v>
      </c>
      <c r="C990" s="5">
        <v>330</v>
      </c>
      <c r="D990" s="6">
        <v>0</v>
      </c>
      <c r="E990" s="7">
        <v>191100</v>
      </c>
      <c r="F990" s="3">
        <v>53510</v>
      </c>
      <c r="G990" s="3" t="str">
        <f t="shared" si="15"/>
        <v>5</v>
      </c>
      <c r="H990" s="3" t="s">
        <v>1812</v>
      </c>
      <c r="I990" s="8">
        <v>76.239999999999995</v>
      </c>
      <c r="J990" s="8">
        <v>60.84</v>
      </c>
      <c r="K990" s="8">
        <v>76.239999999999995</v>
      </c>
    </row>
    <row r="991" spans="1:11" hidden="1" x14ac:dyDescent="0.25">
      <c r="A991" s="3" t="s">
        <v>1813</v>
      </c>
      <c r="B991" s="3">
        <v>11</v>
      </c>
      <c r="C991" s="5">
        <v>330</v>
      </c>
      <c r="D991" s="6">
        <v>0</v>
      </c>
      <c r="E991" s="7">
        <v>191100</v>
      </c>
      <c r="F991" s="3">
        <v>53610</v>
      </c>
      <c r="G991" s="3" t="str">
        <f t="shared" si="15"/>
        <v>5</v>
      </c>
      <c r="H991" s="3" t="s">
        <v>1814</v>
      </c>
      <c r="I991" s="8">
        <v>2882.98</v>
      </c>
      <c r="J991" s="8">
        <v>2301.5100000000002</v>
      </c>
      <c r="K991" s="8">
        <v>2882.98</v>
      </c>
    </row>
    <row r="992" spans="1:11" hidden="1" x14ac:dyDescent="0.25">
      <c r="A992" s="3" t="s">
        <v>1815</v>
      </c>
      <c r="B992" s="3">
        <v>11</v>
      </c>
      <c r="C992" s="5">
        <v>330</v>
      </c>
      <c r="D992" s="6">
        <v>0</v>
      </c>
      <c r="E992" s="7">
        <v>191100</v>
      </c>
      <c r="F992" s="3">
        <v>54300</v>
      </c>
      <c r="G992" s="3" t="str">
        <f t="shared" si="15"/>
        <v>5</v>
      </c>
      <c r="H992" s="3" t="s">
        <v>1816</v>
      </c>
      <c r="I992" s="8">
        <v>930</v>
      </c>
      <c r="J992" s="8">
        <v>1204.45</v>
      </c>
      <c r="K992" s="8">
        <v>930</v>
      </c>
    </row>
    <row r="993" spans="1:11" hidden="1" x14ac:dyDescent="0.25">
      <c r="A993" s="3" t="s">
        <v>1817</v>
      </c>
      <c r="B993" s="3">
        <v>11</v>
      </c>
      <c r="C993" s="5">
        <v>330</v>
      </c>
      <c r="D993" s="6">
        <v>0</v>
      </c>
      <c r="E993" s="7">
        <v>191100</v>
      </c>
      <c r="F993" s="3">
        <v>55630</v>
      </c>
      <c r="G993" s="3" t="str">
        <f t="shared" si="15"/>
        <v>5</v>
      </c>
      <c r="H993" s="3" t="s">
        <v>1818</v>
      </c>
      <c r="I993" s="8">
        <v>500</v>
      </c>
      <c r="J993" s="8">
        <v>1.94</v>
      </c>
      <c r="K993" s="8">
        <v>500</v>
      </c>
    </row>
    <row r="994" spans="1:11" hidden="1" x14ac:dyDescent="0.25">
      <c r="A994" s="3" t="s">
        <v>1819</v>
      </c>
      <c r="B994" s="3">
        <v>11</v>
      </c>
      <c r="C994" s="5">
        <v>330</v>
      </c>
      <c r="D994" s="6">
        <v>0</v>
      </c>
      <c r="E994" s="7">
        <v>191400</v>
      </c>
      <c r="F994" s="3">
        <v>51100</v>
      </c>
      <c r="G994" s="3" t="str">
        <f t="shared" si="15"/>
        <v>5</v>
      </c>
      <c r="H994" s="3" t="s">
        <v>1820</v>
      </c>
      <c r="I994" s="8">
        <v>83356.800000000003</v>
      </c>
      <c r="J994" s="8">
        <v>60623.199999999997</v>
      </c>
      <c r="K994" s="8">
        <v>83356.800000000003</v>
      </c>
    </row>
    <row r="995" spans="1:11" hidden="1" x14ac:dyDescent="0.25">
      <c r="A995" s="3" t="s">
        <v>1821</v>
      </c>
      <c r="B995" s="3">
        <v>11</v>
      </c>
      <c r="C995" s="5">
        <v>330</v>
      </c>
      <c r="D995" s="6">
        <v>0</v>
      </c>
      <c r="E995" s="7">
        <v>191400</v>
      </c>
      <c r="F995" s="3">
        <v>51311</v>
      </c>
      <c r="G995" s="3" t="str">
        <f t="shared" si="15"/>
        <v>5</v>
      </c>
      <c r="H995" s="3" t="s">
        <v>1822</v>
      </c>
      <c r="I995" s="8">
        <v>2900</v>
      </c>
      <c r="J995" s="8">
        <v>0</v>
      </c>
      <c r="K995" s="8">
        <v>2900</v>
      </c>
    </row>
    <row r="996" spans="1:11" hidden="1" x14ac:dyDescent="0.25">
      <c r="A996" s="3" t="s">
        <v>1823</v>
      </c>
      <c r="B996" s="3">
        <v>11</v>
      </c>
      <c r="C996" s="5">
        <v>330</v>
      </c>
      <c r="D996" s="6">
        <v>0</v>
      </c>
      <c r="E996" s="7">
        <v>191400</v>
      </c>
      <c r="F996" s="3">
        <v>52200</v>
      </c>
      <c r="G996" s="3" t="str">
        <f t="shared" si="15"/>
        <v>5</v>
      </c>
      <c r="H996" s="3" t="s">
        <v>1824</v>
      </c>
      <c r="I996" s="8">
        <v>3253.19</v>
      </c>
      <c r="J996" s="8">
        <v>2439.81</v>
      </c>
      <c r="K996" s="8">
        <v>3253.19</v>
      </c>
    </row>
    <row r="997" spans="1:11" hidden="1" x14ac:dyDescent="0.25">
      <c r="A997" s="3" t="s">
        <v>1825</v>
      </c>
      <c r="B997" s="3">
        <v>11</v>
      </c>
      <c r="C997" s="5">
        <v>330</v>
      </c>
      <c r="D997" s="6">
        <v>0</v>
      </c>
      <c r="E997" s="7">
        <v>191400</v>
      </c>
      <c r="F997" s="3">
        <v>52300</v>
      </c>
      <c r="G997" s="3" t="str">
        <f t="shared" si="15"/>
        <v>5</v>
      </c>
      <c r="H997" s="3" t="s">
        <v>1826</v>
      </c>
      <c r="I997" s="8">
        <v>0</v>
      </c>
      <c r="J997" s="8">
        <v>107.69</v>
      </c>
      <c r="K997" s="8">
        <v>0</v>
      </c>
    </row>
    <row r="998" spans="1:11" hidden="1" x14ac:dyDescent="0.25">
      <c r="A998" s="3" t="s">
        <v>1827</v>
      </c>
      <c r="B998" s="3">
        <v>11</v>
      </c>
      <c r="C998" s="5">
        <v>330</v>
      </c>
      <c r="D998" s="6">
        <v>0</v>
      </c>
      <c r="E998" s="7">
        <v>191400</v>
      </c>
      <c r="F998" s="3">
        <v>53110</v>
      </c>
      <c r="G998" s="3" t="str">
        <f t="shared" si="15"/>
        <v>5</v>
      </c>
      <c r="H998" s="3" t="s">
        <v>1828</v>
      </c>
      <c r="I998" s="8">
        <v>13930.47</v>
      </c>
      <c r="J998" s="8">
        <v>9790.64</v>
      </c>
      <c r="K998" s="8">
        <v>13930.47</v>
      </c>
    </row>
    <row r="999" spans="1:11" hidden="1" x14ac:dyDescent="0.25">
      <c r="A999" s="3" t="s">
        <v>1829</v>
      </c>
      <c r="B999" s="3">
        <v>11</v>
      </c>
      <c r="C999" s="5">
        <v>330</v>
      </c>
      <c r="D999" s="6">
        <v>0</v>
      </c>
      <c r="E999" s="7">
        <v>191400</v>
      </c>
      <c r="F999" s="3">
        <v>53210</v>
      </c>
      <c r="G999" s="3" t="str">
        <f t="shared" si="15"/>
        <v>5</v>
      </c>
      <c r="H999" s="3" t="s">
        <v>1830</v>
      </c>
      <c r="I999" s="8">
        <v>673.41</v>
      </c>
      <c r="J999" s="8">
        <v>505.08</v>
      </c>
      <c r="K999" s="8">
        <v>673.41</v>
      </c>
    </row>
    <row r="1000" spans="1:11" hidden="1" x14ac:dyDescent="0.25">
      <c r="A1000" s="3" t="s">
        <v>1831</v>
      </c>
      <c r="B1000" s="3">
        <v>11</v>
      </c>
      <c r="C1000" s="5">
        <v>330</v>
      </c>
      <c r="D1000" s="6">
        <v>0</v>
      </c>
      <c r="E1000" s="7">
        <v>191400</v>
      </c>
      <c r="F1000" s="3">
        <v>53310</v>
      </c>
      <c r="G1000" s="3" t="str">
        <f t="shared" si="15"/>
        <v>5</v>
      </c>
      <c r="H1000" s="3" t="s">
        <v>1832</v>
      </c>
      <c r="I1000" s="8">
        <v>201.7</v>
      </c>
      <c r="J1000" s="8">
        <v>158.44</v>
      </c>
      <c r="K1000" s="8">
        <v>201.7</v>
      </c>
    </row>
    <row r="1001" spans="1:11" hidden="1" x14ac:dyDescent="0.25">
      <c r="A1001" s="3" t="s">
        <v>1833</v>
      </c>
      <c r="B1001" s="3">
        <v>11</v>
      </c>
      <c r="C1001" s="5">
        <v>330</v>
      </c>
      <c r="D1001" s="6">
        <v>0</v>
      </c>
      <c r="E1001" s="7">
        <v>191400</v>
      </c>
      <c r="F1001" s="3">
        <v>53320</v>
      </c>
      <c r="G1001" s="3" t="str">
        <f t="shared" si="15"/>
        <v>5</v>
      </c>
      <c r="H1001" s="3" t="s">
        <v>1834</v>
      </c>
      <c r="I1001" s="8">
        <v>0</v>
      </c>
      <c r="J1001" s="8">
        <v>6.66</v>
      </c>
      <c r="K1001" s="8">
        <v>0</v>
      </c>
    </row>
    <row r="1002" spans="1:11" hidden="1" x14ac:dyDescent="0.25">
      <c r="A1002" s="3" t="s">
        <v>1835</v>
      </c>
      <c r="B1002" s="3">
        <v>11</v>
      </c>
      <c r="C1002" s="5">
        <v>330</v>
      </c>
      <c r="D1002" s="6">
        <v>0</v>
      </c>
      <c r="E1002" s="7">
        <v>191400</v>
      </c>
      <c r="F1002" s="3">
        <v>53330</v>
      </c>
      <c r="G1002" s="3" t="str">
        <f t="shared" si="15"/>
        <v>5</v>
      </c>
      <c r="H1002" s="3" t="s">
        <v>1836</v>
      </c>
      <c r="I1002" s="8">
        <v>1297.8900000000001</v>
      </c>
      <c r="J1002" s="8">
        <v>902.06</v>
      </c>
      <c r="K1002" s="8">
        <v>1297.8900000000001</v>
      </c>
    </row>
    <row r="1003" spans="1:11" hidden="1" x14ac:dyDescent="0.25">
      <c r="A1003" s="3" t="s">
        <v>1837</v>
      </c>
      <c r="B1003" s="3">
        <v>11</v>
      </c>
      <c r="C1003" s="5">
        <v>330</v>
      </c>
      <c r="D1003" s="6">
        <v>0</v>
      </c>
      <c r="E1003" s="7">
        <v>191400</v>
      </c>
      <c r="F1003" s="3">
        <v>53340</v>
      </c>
      <c r="G1003" s="3" t="str">
        <f t="shared" si="15"/>
        <v>5</v>
      </c>
      <c r="H1003" s="3" t="s">
        <v>1838</v>
      </c>
      <c r="I1003" s="8">
        <v>0</v>
      </c>
      <c r="J1003" s="8">
        <v>1.6</v>
      </c>
      <c r="K1003" s="8">
        <v>0</v>
      </c>
    </row>
    <row r="1004" spans="1:11" hidden="1" x14ac:dyDescent="0.25">
      <c r="A1004" s="3" t="s">
        <v>1839</v>
      </c>
      <c r="B1004" s="3">
        <v>11</v>
      </c>
      <c r="C1004" s="5">
        <v>330</v>
      </c>
      <c r="D1004" s="6">
        <v>0</v>
      </c>
      <c r="E1004" s="7">
        <v>191400</v>
      </c>
      <c r="F1004" s="3">
        <v>53410</v>
      </c>
      <c r="G1004" s="3" t="str">
        <f t="shared" si="15"/>
        <v>5</v>
      </c>
      <c r="H1004" s="3" t="s">
        <v>1840</v>
      </c>
      <c r="I1004" s="8">
        <v>21347.91</v>
      </c>
      <c r="J1004" s="8">
        <v>15235.6</v>
      </c>
      <c r="K1004" s="8">
        <v>21347.91</v>
      </c>
    </row>
    <row r="1005" spans="1:11" hidden="1" x14ac:dyDescent="0.25">
      <c r="A1005" s="3" t="s">
        <v>1841</v>
      </c>
      <c r="B1005" s="3">
        <v>11</v>
      </c>
      <c r="C1005" s="5">
        <v>330</v>
      </c>
      <c r="D1005" s="6">
        <v>0</v>
      </c>
      <c r="E1005" s="7">
        <v>191400</v>
      </c>
      <c r="F1005" s="3">
        <v>53510</v>
      </c>
      <c r="G1005" s="3" t="str">
        <f t="shared" si="15"/>
        <v>5</v>
      </c>
      <c r="H1005" s="3" t="s">
        <v>1842</v>
      </c>
      <c r="I1005" s="8">
        <v>44.76</v>
      </c>
      <c r="J1005" s="8">
        <v>31.46</v>
      </c>
      <c r="K1005" s="8">
        <v>44.76</v>
      </c>
    </row>
    <row r="1006" spans="1:11" hidden="1" x14ac:dyDescent="0.25">
      <c r="A1006" s="3" t="s">
        <v>1843</v>
      </c>
      <c r="B1006" s="3">
        <v>11</v>
      </c>
      <c r="C1006" s="5">
        <v>330</v>
      </c>
      <c r="D1006" s="6">
        <v>0</v>
      </c>
      <c r="E1006" s="7">
        <v>191400</v>
      </c>
      <c r="F1006" s="3">
        <v>53520</v>
      </c>
      <c r="G1006" s="3" t="str">
        <f t="shared" si="15"/>
        <v>5</v>
      </c>
      <c r="H1006" s="3" t="s">
        <v>1844</v>
      </c>
      <c r="I1006" s="8">
        <v>0</v>
      </c>
      <c r="J1006" s="8">
        <v>0.05</v>
      </c>
      <c r="K1006" s="8">
        <v>0</v>
      </c>
    </row>
    <row r="1007" spans="1:11" hidden="1" x14ac:dyDescent="0.25">
      <c r="A1007" s="3" t="s">
        <v>1845</v>
      </c>
      <c r="B1007" s="3">
        <v>11</v>
      </c>
      <c r="C1007" s="5">
        <v>330</v>
      </c>
      <c r="D1007" s="6">
        <v>0</v>
      </c>
      <c r="E1007" s="7">
        <v>191400</v>
      </c>
      <c r="F1007" s="3">
        <v>53610</v>
      </c>
      <c r="G1007" s="3" t="str">
        <f t="shared" si="15"/>
        <v>5</v>
      </c>
      <c r="H1007" s="3" t="s">
        <v>1846</v>
      </c>
      <c r="I1007" s="8">
        <v>1692.45</v>
      </c>
      <c r="J1007" s="8">
        <v>1192.55</v>
      </c>
      <c r="K1007" s="8">
        <v>1692.45</v>
      </c>
    </row>
    <row r="1008" spans="1:11" hidden="1" x14ac:dyDescent="0.25">
      <c r="A1008" s="3" t="s">
        <v>1847</v>
      </c>
      <c r="B1008" s="3">
        <v>11</v>
      </c>
      <c r="C1008" s="5">
        <v>330</v>
      </c>
      <c r="D1008" s="6">
        <v>0</v>
      </c>
      <c r="E1008" s="7">
        <v>191400</v>
      </c>
      <c r="F1008" s="3">
        <v>53620</v>
      </c>
      <c r="G1008" s="3" t="str">
        <f t="shared" si="15"/>
        <v>5</v>
      </c>
      <c r="H1008" s="3" t="s">
        <v>1848</v>
      </c>
      <c r="I1008" s="8">
        <v>0</v>
      </c>
      <c r="J1008" s="8">
        <v>2.0299999999999998</v>
      </c>
      <c r="K1008" s="8">
        <v>0</v>
      </c>
    </row>
    <row r="1009" spans="1:11" hidden="1" x14ac:dyDescent="0.25">
      <c r="A1009" s="3" t="s">
        <v>1849</v>
      </c>
      <c r="B1009" s="3">
        <v>11</v>
      </c>
      <c r="C1009" s="5">
        <v>330</v>
      </c>
      <c r="D1009" s="6">
        <v>0</v>
      </c>
      <c r="E1009" s="7">
        <v>191400</v>
      </c>
      <c r="F1009" s="3">
        <v>53910</v>
      </c>
      <c r="G1009" s="3" t="str">
        <f t="shared" si="15"/>
        <v>5</v>
      </c>
      <c r="H1009" s="3" t="s">
        <v>1850</v>
      </c>
      <c r="I1009" s="8">
        <v>120</v>
      </c>
      <c r="J1009" s="8">
        <v>80</v>
      </c>
      <c r="K1009" s="8">
        <v>120</v>
      </c>
    </row>
    <row r="1010" spans="1:11" hidden="1" x14ac:dyDescent="0.25">
      <c r="A1010" s="3" t="s">
        <v>1851</v>
      </c>
      <c r="B1010" s="3">
        <v>11</v>
      </c>
      <c r="C1010" s="5">
        <v>330</v>
      </c>
      <c r="D1010" s="6">
        <v>0</v>
      </c>
      <c r="E1010" s="7">
        <v>191400</v>
      </c>
      <c r="F1010" s="3">
        <v>54300</v>
      </c>
      <c r="G1010" s="3" t="str">
        <f t="shared" si="15"/>
        <v>5</v>
      </c>
      <c r="H1010" s="3" t="s">
        <v>1852</v>
      </c>
      <c r="I1010" s="8">
        <v>1000</v>
      </c>
      <c r="J1010" s="8">
        <v>537.79</v>
      </c>
      <c r="K1010" s="8">
        <v>1000</v>
      </c>
    </row>
    <row r="1011" spans="1:11" hidden="1" x14ac:dyDescent="0.25">
      <c r="A1011" s="3" t="s">
        <v>1853</v>
      </c>
      <c r="B1011" s="3">
        <v>11</v>
      </c>
      <c r="C1011" s="5">
        <v>330</v>
      </c>
      <c r="D1011" s="6">
        <v>0</v>
      </c>
      <c r="E1011" s="7">
        <v>191400</v>
      </c>
      <c r="F1011" s="3">
        <v>55630</v>
      </c>
      <c r="G1011" s="3" t="str">
        <f t="shared" si="15"/>
        <v>5</v>
      </c>
      <c r="H1011" s="3" t="s">
        <v>1854</v>
      </c>
      <c r="I1011" s="8">
        <v>558</v>
      </c>
      <c r="J1011" s="8">
        <v>0</v>
      </c>
      <c r="K1011" s="8">
        <v>558</v>
      </c>
    </row>
    <row r="1012" spans="1:11" hidden="1" x14ac:dyDescent="0.25">
      <c r="A1012" s="3" t="s">
        <v>1855</v>
      </c>
      <c r="B1012" s="3">
        <v>11</v>
      </c>
      <c r="C1012" s="5">
        <v>330</v>
      </c>
      <c r="D1012" s="6">
        <v>0</v>
      </c>
      <c r="E1012" s="7">
        <v>191900</v>
      </c>
      <c r="F1012" s="3">
        <v>51100</v>
      </c>
      <c r="G1012" s="3" t="str">
        <f t="shared" si="15"/>
        <v>5</v>
      </c>
      <c r="H1012" s="3" t="s">
        <v>1856</v>
      </c>
      <c r="I1012" s="8">
        <v>20839.2</v>
      </c>
      <c r="J1012" s="8">
        <v>15155.76</v>
      </c>
      <c r="K1012" s="8">
        <v>20839.2</v>
      </c>
    </row>
    <row r="1013" spans="1:11" hidden="1" x14ac:dyDescent="0.25">
      <c r="A1013" s="3" t="s">
        <v>1857</v>
      </c>
      <c r="B1013" s="3">
        <v>11</v>
      </c>
      <c r="C1013" s="5">
        <v>330</v>
      </c>
      <c r="D1013" s="6">
        <v>0</v>
      </c>
      <c r="E1013" s="7">
        <v>191900</v>
      </c>
      <c r="F1013" s="3">
        <v>51311</v>
      </c>
      <c r="G1013" s="3" t="str">
        <f t="shared" si="15"/>
        <v>5</v>
      </c>
      <c r="H1013" s="3" t="s">
        <v>353</v>
      </c>
      <c r="I1013" s="8">
        <v>3400</v>
      </c>
      <c r="J1013" s="8">
        <v>0</v>
      </c>
      <c r="K1013" s="8">
        <v>3400</v>
      </c>
    </row>
    <row r="1014" spans="1:11" hidden="1" x14ac:dyDescent="0.25">
      <c r="A1014" s="3" t="s">
        <v>1858</v>
      </c>
      <c r="B1014" s="3">
        <v>11</v>
      </c>
      <c r="C1014" s="5">
        <v>330</v>
      </c>
      <c r="D1014" s="6">
        <v>0</v>
      </c>
      <c r="E1014" s="7">
        <v>191900</v>
      </c>
      <c r="F1014" s="3">
        <v>53110</v>
      </c>
      <c r="G1014" s="3" t="str">
        <f t="shared" si="15"/>
        <v>5</v>
      </c>
      <c r="H1014" s="3" t="s">
        <v>355</v>
      </c>
      <c r="I1014" s="8">
        <v>3914.63</v>
      </c>
      <c r="J1014" s="8">
        <v>2447.6799999999998</v>
      </c>
      <c r="K1014" s="8">
        <v>3914.63</v>
      </c>
    </row>
    <row r="1015" spans="1:11" hidden="1" x14ac:dyDescent="0.25">
      <c r="A1015" s="3" t="s">
        <v>1859</v>
      </c>
      <c r="B1015" s="3">
        <v>11</v>
      </c>
      <c r="C1015" s="5">
        <v>330</v>
      </c>
      <c r="D1015" s="6">
        <v>0</v>
      </c>
      <c r="E1015" s="7">
        <v>191900</v>
      </c>
      <c r="F1015" s="3">
        <v>53330</v>
      </c>
      <c r="G1015" s="3" t="str">
        <f t="shared" si="15"/>
        <v>5</v>
      </c>
      <c r="H1015" s="3" t="s">
        <v>357</v>
      </c>
      <c r="I1015" s="8">
        <v>351.47</v>
      </c>
      <c r="J1015" s="8">
        <v>218.48</v>
      </c>
      <c r="K1015" s="8">
        <v>351.47</v>
      </c>
    </row>
    <row r="1016" spans="1:11" hidden="1" x14ac:dyDescent="0.25">
      <c r="A1016" s="3" t="s">
        <v>1860</v>
      </c>
      <c r="B1016" s="3">
        <v>11</v>
      </c>
      <c r="C1016" s="5">
        <v>330</v>
      </c>
      <c r="D1016" s="6">
        <v>0</v>
      </c>
      <c r="E1016" s="7">
        <v>191900</v>
      </c>
      <c r="F1016" s="3">
        <v>53410</v>
      </c>
      <c r="G1016" s="3" t="str">
        <f t="shared" si="15"/>
        <v>5</v>
      </c>
      <c r="H1016" s="3" t="s">
        <v>1861</v>
      </c>
      <c r="I1016" s="8">
        <v>5048.1499999999996</v>
      </c>
      <c r="J1016" s="8">
        <v>3597.47</v>
      </c>
      <c r="K1016" s="8">
        <v>5048.1499999999996</v>
      </c>
    </row>
    <row r="1017" spans="1:11" hidden="1" x14ac:dyDescent="0.25">
      <c r="A1017" s="3" t="s">
        <v>1862</v>
      </c>
      <c r="B1017" s="3">
        <v>11</v>
      </c>
      <c r="C1017" s="5">
        <v>330</v>
      </c>
      <c r="D1017" s="6">
        <v>0</v>
      </c>
      <c r="E1017" s="7">
        <v>191900</v>
      </c>
      <c r="F1017" s="3">
        <v>53510</v>
      </c>
      <c r="G1017" s="3" t="str">
        <f t="shared" si="15"/>
        <v>5</v>
      </c>
      <c r="H1017" s="3" t="s">
        <v>359</v>
      </c>
      <c r="I1017" s="8">
        <v>12.12</v>
      </c>
      <c r="J1017" s="8">
        <v>7.6</v>
      </c>
      <c r="K1017" s="8">
        <v>12.12</v>
      </c>
    </row>
    <row r="1018" spans="1:11" hidden="1" x14ac:dyDescent="0.25">
      <c r="A1018" s="3" t="s">
        <v>1863</v>
      </c>
      <c r="B1018" s="3">
        <v>11</v>
      </c>
      <c r="C1018" s="5">
        <v>330</v>
      </c>
      <c r="D1018" s="6">
        <v>0</v>
      </c>
      <c r="E1018" s="7">
        <v>191900</v>
      </c>
      <c r="F1018" s="3">
        <v>53610</v>
      </c>
      <c r="G1018" s="3" t="str">
        <f t="shared" si="15"/>
        <v>5</v>
      </c>
      <c r="H1018" s="3" t="s">
        <v>361</v>
      </c>
      <c r="I1018" s="8">
        <v>458.32</v>
      </c>
      <c r="J1018" s="8">
        <v>286.56</v>
      </c>
      <c r="K1018" s="8">
        <v>458.32</v>
      </c>
    </row>
    <row r="1019" spans="1:11" hidden="1" x14ac:dyDescent="0.25">
      <c r="A1019" s="3" t="s">
        <v>1864</v>
      </c>
      <c r="B1019" s="3">
        <v>11</v>
      </c>
      <c r="C1019" s="5">
        <v>330</v>
      </c>
      <c r="D1019" s="6">
        <v>0</v>
      </c>
      <c r="E1019" s="7">
        <v>191900</v>
      </c>
      <c r="F1019" s="3">
        <v>55630</v>
      </c>
      <c r="G1019" s="3" t="str">
        <f t="shared" si="15"/>
        <v>5</v>
      </c>
      <c r="H1019" s="3" t="s">
        <v>1865</v>
      </c>
      <c r="I1019" s="8">
        <v>186</v>
      </c>
      <c r="J1019" s="8">
        <v>0</v>
      </c>
      <c r="K1019" s="8">
        <v>186</v>
      </c>
    </row>
    <row r="1020" spans="1:11" hidden="1" x14ac:dyDescent="0.25">
      <c r="A1020" s="3" t="s">
        <v>1866</v>
      </c>
      <c r="B1020" s="3">
        <v>11</v>
      </c>
      <c r="C1020" s="5">
        <v>330</v>
      </c>
      <c r="D1020" s="6">
        <v>0</v>
      </c>
      <c r="E1020" s="7">
        <v>220600</v>
      </c>
      <c r="F1020" s="3">
        <v>51311</v>
      </c>
      <c r="G1020" s="3" t="str">
        <f t="shared" si="15"/>
        <v>5</v>
      </c>
      <c r="H1020" s="3" t="s">
        <v>423</v>
      </c>
      <c r="I1020" s="8">
        <v>3500</v>
      </c>
      <c r="J1020" s="8">
        <v>1557.8</v>
      </c>
      <c r="K1020" s="8">
        <v>3500</v>
      </c>
    </row>
    <row r="1021" spans="1:11" hidden="1" x14ac:dyDescent="0.25">
      <c r="A1021" s="3" t="s">
        <v>1867</v>
      </c>
      <c r="B1021" s="3">
        <v>11</v>
      </c>
      <c r="C1021" s="5">
        <v>330</v>
      </c>
      <c r="D1021" s="6">
        <v>0</v>
      </c>
      <c r="E1021" s="7">
        <v>220600</v>
      </c>
      <c r="F1021" s="3">
        <v>53110</v>
      </c>
      <c r="G1021" s="3" t="str">
        <f t="shared" si="15"/>
        <v>5</v>
      </c>
      <c r="H1021" s="3" t="s">
        <v>425</v>
      </c>
      <c r="I1021" s="8">
        <v>565.25</v>
      </c>
      <c r="J1021" s="8">
        <v>0</v>
      </c>
      <c r="K1021" s="8">
        <v>565.25</v>
      </c>
    </row>
    <row r="1022" spans="1:11" hidden="1" x14ac:dyDescent="0.25">
      <c r="A1022" s="3" t="s">
        <v>1868</v>
      </c>
      <c r="B1022" s="3">
        <v>11</v>
      </c>
      <c r="C1022" s="5">
        <v>330</v>
      </c>
      <c r="D1022" s="6">
        <v>0</v>
      </c>
      <c r="E1022" s="7">
        <v>220600</v>
      </c>
      <c r="F1022" s="3">
        <v>53310</v>
      </c>
      <c r="G1022" s="3" t="str">
        <f t="shared" si="15"/>
        <v>5</v>
      </c>
      <c r="H1022" s="3" t="s">
        <v>1869</v>
      </c>
      <c r="I1022" s="8">
        <v>0</v>
      </c>
      <c r="J1022" s="8">
        <v>96.58</v>
      </c>
      <c r="K1022" s="8">
        <v>0</v>
      </c>
    </row>
    <row r="1023" spans="1:11" hidden="1" x14ac:dyDescent="0.25">
      <c r="A1023" s="3" t="s">
        <v>1870</v>
      </c>
      <c r="B1023" s="3">
        <v>11</v>
      </c>
      <c r="C1023" s="5">
        <v>330</v>
      </c>
      <c r="D1023" s="6">
        <v>0</v>
      </c>
      <c r="E1023" s="7">
        <v>220600</v>
      </c>
      <c r="F1023" s="3">
        <v>53330</v>
      </c>
      <c r="G1023" s="3" t="str">
        <f t="shared" si="15"/>
        <v>5</v>
      </c>
      <c r="H1023" s="3" t="s">
        <v>427</v>
      </c>
      <c r="I1023" s="8">
        <v>50.75</v>
      </c>
      <c r="J1023" s="8">
        <v>22.58</v>
      </c>
      <c r="K1023" s="8">
        <v>50.75</v>
      </c>
    </row>
    <row r="1024" spans="1:11" hidden="1" x14ac:dyDescent="0.25">
      <c r="A1024" s="3" t="s">
        <v>1871</v>
      </c>
      <c r="B1024" s="3">
        <v>11</v>
      </c>
      <c r="C1024" s="5">
        <v>330</v>
      </c>
      <c r="D1024" s="6">
        <v>0</v>
      </c>
      <c r="E1024" s="7">
        <v>220600</v>
      </c>
      <c r="F1024" s="3">
        <v>53510</v>
      </c>
      <c r="G1024" s="3" t="str">
        <f t="shared" si="15"/>
        <v>5</v>
      </c>
      <c r="H1024" s="3" t="s">
        <v>429</v>
      </c>
      <c r="I1024" s="8">
        <v>1.75</v>
      </c>
      <c r="J1024" s="8">
        <v>0.78</v>
      </c>
      <c r="K1024" s="8">
        <v>1.75</v>
      </c>
    </row>
    <row r="1025" spans="1:11" hidden="1" x14ac:dyDescent="0.25">
      <c r="A1025" s="3" t="s">
        <v>1872</v>
      </c>
      <c r="B1025" s="3">
        <v>11</v>
      </c>
      <c r="C1025" s="5">
        <v>330</v>
      </c>
      <c r="D1025" s="6">
        <v>0</v>
      </c>
      <c r="E1025" s="7">
        <v>220600</v>
      </c>
      <c r="F1025" s="3">
        <v>53610</v>
      </c>
      <c r="G1025" s="3" t="str">
        <f t="shared" si="15"/>
        <v>5</v>
      </c>
      <c r="H1025" s="3" t="s">
        <v>431</v>
      </c>
      <c r="I1025" s="8">
        <v>66.180000000000007</v>
      </c>
      <c r="J1025" s="8">
        <v>29.46</v>
      </c>
      <c r="K1025" s="8">
        <v>66.180000000000007</v>
      </c>
    </row>
    <row r="1026" spans="1:11" hidden="1" x14ac:dyDescent="0.25">
      <c r="A1026" s="3" t="s">
        <v>1873</v>
      </c>
      <c r="B1026" s="3">
        <v>11</v>
      </c>
      <c r="C1026" s="5">
        <v>330</v>
      </c>
      <c r="D1026" s="6">
        <v>0</v>
      </c>
      <c r="E1026" s="7">
        <v>220600</v>
      </c>
      <c r="F1026" s="3">
        <v>55630</v>
      </c>
      <c r="G1026" s="3" t="str">
        <f t="shared" si="15"/>
        <v>5</v>
      </c>
      <c r="H1026" s="3" t="s">
        <v>1874</v>
      </c>
      <c r="I1026" s="8">
        <v>930</v>
      </c>
      <c r="J1026" s="8">
        <v>0</v>
      </c>
      <c r="K1026" s="8">
        <v>930</v>
      </c>
    </row>
    <row r="1027" spans="1:11" hidden="1" x14ac:dyDescent="0.25">
      <c r="A1027" s="3" t="s">
        <v>1875</v>
      </c>
      <c r="B1027" s="3">
        <v>11</v>
      </c>
      <c r="C1027" s="5">
        <v>330</v>
      </c>
      <c r="D1027" s="6">
        <v>0</v>
      </c>
      <c r="E1027" s="7">
        <v>601000</v>
      </c>
      <c r="F1027" s="3">
        <v>52130</v>
      </c>
      <c r="G1027" s="3" t="str">
        <f t="shared" ref="G1027:G1090" si="16">LEFT(F1027,1)</f>
        <v>5</v>
      </c>
      <c r="H1027" s="3" t="s">
        <v>1876</v>
      </c>
      <c r="I1027" s="8">
        <v>12302.1</v>
      </c>
      <c r="J1027" s="8">
        <v>9226.6200000000008</v>
      </c>
      <c r="K1027" s="8">
        <v>12302.1</v>
      </c>
    </row>
    <row r="1028" spans="1:11" hidden="1" x14ac:dyDescent="0.25">
      <c r="A1028" s="3" t="s">
        <v>1877</v>
      </c>
      <c r="B1028" s="3">
        <v>11</v>
      </c>
      <c r="C1028" s="5">
        <v>330</v>
      </c>
      <c r="D1028" s="6">
        <v>0</v>
      </c>
      <c r="E1028" s="7">
        <v>601000</v>
      </c>
      <c r="F1028" s="3">
        <v>53220</v>
      </c>
      <c r="G1028" s="3" t="str">
        <f t="shared" si="16"/>
        <v>5</v>
      </c>
      <c r="H1028" s="3" t="s">
        <v>487</v>
      </c>
      <c r="I1028" s="8">
        <v>2546.5300000000002</v>
      </c>
      <c r="J1028" s="8">
        <v>1909.89</v>
      </c>
      <c r="K1028" s="8">
        <v>2546.5300000000002</v>
      </c>
    </row>
    <row r="1029" spans="1:11" hidden="1" x14ac:dyDescent="0.25">
      <c r="A1029" s="3" t="s">
        <v>1878</v>
      </c>
      <c r="B1029" s="3">
        <v>11</v>
      </c>
      <c r="C1029" s="5">
        <v>330</v>
      </c>
      <c r="D1029" s="6">
        <v>0</v>
      </c>
      <c r="E1029" s="7">
        <v>601000</v>
      </c>
      <c r="F1029" s="3">
        <v>53320</v>
      </c>
      <c r="G1029" s="3" t="str">
        <f t="shared" si="16"/>
        <v>5</v>
      </c>
      <c r="H1029" s="3" t="s">
        <v>489</v>
      </c>
      <c r="I1029" s="8">
        <v>762.73</v>
      </c>
      <c r="J1029" s="8">
        <v>572.07000000000005</v>
      </c>
      <c r="K1029" s="8">
        <v>762.73</v>
      </c>
    </row>
    <row r="1030" spans="1:11" hidden="1" x14ac:dyDescent="0.25">
      <c r="A1030" s="3" t="s">
        <v>1879</v>
      </c>
      <c r="B1030" s="3">
        <v>11</v>
      </c>
      <c r="C1030" s="5">
        <v>330</v>
      </c>
      <c r="D1030" s="6">
        <v>0</v>
      </c>
      <c r="E1030" s="7">
        <v>601000</v>
      </c>
      <c r="F1030" s="3">
        <v>53340</v>
      </c>
      <c r="G1030" s="3" t="str">
        <f t="shared" si="16"/>
        <v>5</v>
      </c>
      <c r="H1030" s="3" t="s">
        <v>491</v>
      </c>
      <c r="I1030" s="8">
        <v>178.38</v>
      </c>
      <c r="J1030" s="8">
        <v>133.84</v>
      </c>
      <c r="K1030" s="8">
        <v>178.38</v>
      </c>
    </row>
    <row r="1031" spans="1:11" hidden="1" x14ac:dyDescent="0.25">
      <c r="A1031" s="3" t="s">
        <v>1880</v>
      </c>
      <c r="B1031" s="3">
        <v>11</v>
      </c>
      <c r="C1031" s="5">
        <v>330</v>
      </c>
      <c r="D1031" s="6">
        <v>0</v>
      </c>
      <c r="E1031" s="7">
        <v>601000</v>
      </c>
      <c r="F1031" s="3">
        <v>53420</v>
      </c>
      <c r="G1031" s="3" t="str">
        <f t="shared" si="16"/>
        <v>5</v>
      </c>
      <c r="H1031" s="3" t="s">
        <v>493</v>
      </c>
      <c r="I1031" s="8">
        <v>1314.16</v>
      </c>
      <c r="J1031" s="8">
        <v>961.33</v>
      </c>
      <c r="K1031" s="8">
        <v>1314.16</v>
      </c>
    </row>
    <row r="1032" spans="1:11" hidden="1" x14ac:dyDescent="0.25">
      <c r="A1032" s="3" t="s">
        <v>1881</v>
      </c>
      <c r="B1032" s="3">
        <v>11</v>
      </c>
      <c r="C1032" s="5">
        <v>330</v>
      </c>
      <c r="D1032" s="6">
        <v>0</v>
      </c>
      <c r="E1032" s="7">
        <v>601000</v>
      </c>
      <c r="F1032" s="3">
        <v>53520</v>
      </c>
      <c r="G1032" s="3" t="str">
        <f t="shared" si="16"/>
        <v>5</v>
      </c>
      <c r="H1032" s="3" t="s">
        <v>495</v>
      </c>
      <c r="I1032" s="8">
        <v>6.15</v>
      </c>
      <c r="J1032" s="8">
        <v>4.59</v>
      </c>
      <c r="K1032" s="8">
        <v>6.15</v>
      </c>
    </row>
    <row r="1033" spans="1:11" hidden="1" x14ac:dyDescent="0.25">
      <c r="A1033" s="3" t="s">
        <v>1882</v>
      </c>
      <c r="B1033" s="3">
        <v>11</v>
      </c>
      <c r="C1033" s="5">
        <v>330</v>
      </c>
      <c r="D1033" s="6">
        <v>0</v>
      </c>
      <c r="E1033" s="7">
        <v>601000</v>
      </c>
      <c r="F1033" s="3">
        <v>53620</v>
      </c>
      <c r="G1033" s="3" t="str">
        <f t="shared" si="16"/>
        <v>5</v>
      </c>
      <c r="H1033" s="3" t="s">
        <v>497</v>
      </c>
      <c r="I1033" s="8">
        <v>232.61</v>
      </c>
      <c r="J1033" s="8">
        <v>174.42</v>
      </c>
      <c r="K1033" s="8">
        <v>232.61</v>
      </c>
    </row>
    <row r="1034" spans="1:11" hidden="1" x14ac:dyDescent="0.25">
      <c r="A1034" s="3" t="s">
        <v>1883</v>
      </c>
      <c r="B1034" s="3">
        <v>11</v>
      </c>
      <c r="C1034" s="5">
        <v>330</v>
      </c>
      <c r="D1034" s="6">
        <v>0</v>
      </c>
      <c r="E1034" s="7">
        <v>601000</v>
      </c>
      <c r="F1034" s="3">
        <v>55630</v>
      </c>
      <c r="G1034" s="3" t="str">
        <f t="shared" si="16"/>
        <v>5</v>
      </c>
      <c r="H1034" s="3" t="s">
        <v>509</v>
      </c>
      <c r="I1034" s="8">
        <v>93</v>
      </c>
      <c r="J1034" s="8">
        <v>0</v>
      </c>
      <c r="K1034" s="8">
        <v>93</v>
      </c>
    </row>
    <row r="1035" spans="1:11" hidden="1" x14ac:dyDescent="0.25">
      <c r="A1035" s="3" t="s">
        <v>1884</v>
      </c>
      <c r="B1035" s="3">
        <v>11</v>
      </c>
      <c r="C1035" s="5">
        <v>330</v>
      </c>
      <c r="D1035" s="6">
        <v>0</v>
      </c>
      <c r="E1035" s="7">
        <v>703800</v>
      </c>
      <c r="F1035" s="3">
        <v>52105</v>
      </c>
      <c r="G1035" s="3" t="str">
        <f t="shared" si="16"/>
        <v>5</v>
      </c>
      <c r="H1035" s="3" t="s">
        <v>1096</v>
      </c>
      <c r="I1035" s="8">
        <v>0</v>
      </c>
      <c r="J1035" s="8">
        <v>3388.57</v>
      </c>
      <c r="K1035" s="8">
        <v>0</v>
      </c>
    </row>
    <row r="1036" spans="1:11" hidden="1" x14ac:dyDescent="0.25">
      <c r="A1036" s="3" t="s">
        <v>1885</v>
      </c>
      <c r="B1036" s="3">
        <v>11</v>
      </c>
      <c r="C1036" s="5">
        <v>330</v>
      </c>
      <c r="D1036" s="6">
        <v>0</v>
      </c>
      <c r="E1036" s="7">
        <v>703800</v>
      </c>
      <c r="F1036" s="3">
        <v>53220</v>
      </c>
      <c r="G1036" s="3" t="str">
        <f t="shared" si="16"/>
        <v>5</v>
      </c>
      <c r="H1036" s="3" t="s">
        <v>1106</v>
      </c>
      <c r="I1036" s="8">
        <v>0</v>
      </c>
      <c r="J1036" s="8">
        <v>693.23</v>
      </c>
      <c r="K1036" s="8">
        <v>0</v>
      </c>
    </row>
    <row r="1037" spans="1:11" hidden="1" x14ac:dyDescent="0.25">
      <c r="A1037" s="3" t="s">
        <v>1886</v>
      </c>
      <c r="B1037" s="3">
        <v>11</v>
      </c>
      <c r="C1037" s="5">
        <v>330</v>
      </c>
      <c r="D1037" s="6">
        <v>0</v>
      </c>
      <c r="E1037" s="7">
        <v>703800</v>
      </c>
      <c r="F1037" s="3">
        <v>53320</v>
      </c>
      <c r="G1037" s="3" t="str">
        <f t="shared" si="16"/>
        <v>5</v>
      </c>
      <c r="H1037" s="3" t="s">
        <v>1108</v>
      </c>
      <c r="I1037" s="8">
        <v>0</v>
      </c>
      <c r="J1037" s="8">
        <v>207.62</v>
      </c>
      <c r="K1037" s="8">
        <v>0</v>
      </c>
    </row>
    <row r="1038" spans="1:11" hidden="1" x14ac:dyDescent="0.25">
      <c r="A1038" s="3" t="s">
        <v>1887</v>
      </c>
      <c r="B1038" s="3">
        <v>11</v>
      </c>
      <c r="C1038" s="5">
        <v>330</v>
      </c>
      <c r="D1038" s="6">
        <v>0</v>
      </c>
      <c r="E1038" s="7">
        <v>703800</v>
      </c>
      <c r="F1038" s="3">
        <v>53340</v>
      </c>
      <c r="G1038" s="3" t="str">
        <f t="shared" si="16"/>
        <v>5</v>
      </c>
      <c r="H1038" s="3" t="s">
        <v>1110</v>
      </c>
      <c r="I1038" s="8">
        <v>0</v>
      </c>
      <c r="J1038" s="8">
        <v>48.56</v>
      </c>
      <c r="K1038" s="8">
        <v>0</v>
      </c>
    </row>
    <row r="1039" spans="1:11" hidden="1" x14ac:dyDescent="0.25">
      <c r="A1039" s="3" t="s">
        <v>1888</v>
      </c>
      <c r="B1039" s="3">
        <v>11</v>
      </c>
      <c r="C1039" s="5">
        <v>330</v>
      </c>
      <c r="D1039" s="6">
        <v>0</v>
      </c>
      <c r="E1039" s="7">
        <v>703800</v>
      </c>
      <c r="F1039" s="3">
        <v>53420</v>
      </c>
      <c r="G1039" s="3" t="str">
        <f t="shared" si="16"/>
        <v>5</v>
      </c>
      <c r="H1039" s="3" t="s">
        <v>1112</v>
      </c>
      <c r="I1039" s="8">
        <v>0</v>
      </c>
      <c r="J1039" s="8">
        <v>1571.54</v>
      </c>
      <c r="K1039" s="8">
        <v>0</v>
      </c>
    </row>
    <row r="1040" spans="1:11" hidden="1" x14ac:dyDescent="0.25">
      <c r="A1040" s="3" t="s">
        <v>1889</v>
      </c>
      <c r="B1040" s="3">
        <v>11</v>
      </c>
      <c r="C1040" s="5">
        <v>330</v>
      </c>
      <c r="D1040" s="6">
        <v>0</v>
      </c>
      <c r="E1040" s="7">
        <v>703800</v>
      </c>
      <c r="F1040" s="3">
        <v>53520</v>
      </c>
      <c r="G1040" s="3" t="str">
        <f t="shared" si="16"/>
        <v>5</v>
      </c>
      <c r="H1040" s="3" t="s">
        <v>1114</v>
      </c>
      <c r="I1040" s="8">
        <v>0</v>
      </c>
      <c r="J1040" s="8">
        <v>1.7</v>
      </c>
      <c r="K1040" s="8">
        <v>0</v>
      </c>
    </row>
    <row r="1041" spans="1:11" hidden="1" x14ac:dyDescent="0.25">
      <c r="A1041" s="3" t="s">
        <v>1890</v>
      </c>
      <c r="B1041" s="3">
        <v>11</v>
      </c>
      <c r="C1041" s="5">
        <v>330</v>
      </c>
      <c r="D1041" s="6">
        <v>0</v>
      </c>
      <c r="E1041" s="7">
        <v>703800</v>
      </c>
      <c r="F1041" s="3">
        <v>53620</v>
      </c>
      <c r="G1041" s="3" t="str">
        <f t="shared" si="16"/>
        <v>5</v>
      </c>
      <c r="H1041" s="3" t="s">
        <v>1116</v>
      </c>
      <c r="I1041" s="8">
        <v>0</v>
      </c>
      <c r="J1041" s="8">
        <v>64.069999999999993</v>
      </c>
      <c r="K1041" s="8">
        <v>0</v>
      </c>
    </row>
    <row r="1042" spans="1:11" hidden="1" x14ac:dyDescent="0.25">
      <c r="A1042" s="3" t="s">
        <v>1891</v>
      </c>
      <c r="B1042" s="3">
        <v>11</v>
      </c>
      <c r="C1042" s="5">
        <v>330</v>
      </c>
      <c r="D1042" s="6">
        <v>1</v>
      </c>
      <c r="E1042" s="7">
        <v>70100</v>
      </c>
      <c r="F1042" s="3">
        <v>51100</v>
      </c>
      <c r="G1042" s="3" t="str">
        <f t="shared" si="16"/>
        <v>5</v>
      </c>
      <c r="H1042" s="3" t="s">
        <v>1892</v>
      </c>
      <c r="I1042" s="8">
        <v>258523</v>
      </c>
      <c r="J1042" s="8">
        <v>188016.88</v>
      </c>
      <c r="K1042" s="8">
        <v>258523</v>
      </c>
    </row>
    <row r="1043" spans="1:11" hidden="1" x14ac:dyDescent="0.25">
      <c r="A1043" s="3" t="s">
        <v>1893</v>
      </c>
      <c r="B1043" s="3">
        <v>11</v>
      </c>
      <c r="C1043" s="5">
        <v>330</v>
      </c>
      <c r="D1043" s="6">
        <v>1</v>
      </c>
      <c r="E1043" s="7">
        <v>70100</v>
      </c>
      <c r="F1043" s="3">
        <v>51310</v>
      </c>
      <c r="G1043" s="3" t="str">
        <f t="shared" si="16"/>
        <v>5</v>
      </c>
      <c r="H1043" s="3" t="s">
        <v>1894</v>
      </c>
      <c r="I1043" s="8">
        <v>33000</v>
      </c>
      <c r="J1043" s="8">
        <v>29606.76</v>
      </c>
      <c r="K1043" s="8">
        <v>33000</v>
      </c>
    </row>
    <row r="1044" spans="1:11" hidden="1" x14ac:dyDescent="0.25">
      <c r="A1044" s="3" t="s">
        <v>1895</v>
      </c>
      <c r="B1044" s="3">
        <v>11</v>
      </c>
      <c r="C1044" s="5">
        <v>330</v>
      </c>
      <c r="D1044" s="6">
        <v>1</v>
      </c>
      <c r="E1044" s="7">
        <v>70100</v>
      </c>
      <c r="F1044" s="3">
        <v>53110</v>
      </c>
      <c r="G1044" s="3" t="str">
        <f t="shared" si="16"/>
        <v>5</v>
      </c>
      <c r="H1044" s="3" t="s">
        <v>243</v>
      </c>
      <c r="I1044" s="8">
        <v>47080.97</v>
      </c>
      <c r="J1044" s="8">
        <v>35146.28</v>
      </c>
      <c r="K1044" s="8">
        <v>47080.97</v>
      </c>
    </row>
    <row r="1045" spans="1:11" hidden="1" x14ac:dyDescent="0.25">
      <c r="A1045" s="3" t="s">
        <v>1896</v>
      </c>
      <c r="B1045" s="3">
        <v>11</v>
      </c>
      <c r="C1045" s="5">
        <v>330</v>
      </c>
      <c r="D1045" s="6">
        <v>1</v>
      </c>
      <c r="E1045" s="7">
        <v>70100</v>
      </c>
      <c r="F1045" s="3">
        <v>53330</v>
      </c>
      <c r="G1045" s="3" t="str">
        <f t="shared" si="16"/>
        <v>5</v>
      </c>
      <c r="H1045" s="3" t="s">
        <v>245</v>
      </c>
      <c r="I1045" s="8">
        <v>4227.08</v>
      </c>
      <c r="J1045" s="8">
        <v>3151.08</v>
      </c>
      <c r="K1045" s="8">
        <v>4227.08</v>
      </c>
    </row>
    <row r="1046" spans="1:11" hidden="1" x14ac:dyDescent="0.25">
      <c r="A1046" s="3" t="s">
        <v>1897</v>
      </c>
      <c r="B1046" s="3">
        <v>11</v>
      </c>
      <c r="C1046" s="5">
        <v>330</v>
      </c>
      <c r="D1046" s="6">
        <v>1</v>
      </c>
      <c r="E1046" s="7">
        <v>70100</v>
      </c>
      <c r="F1046" s="3">
        <v>53410</v>
      </c>
      <c r="G1046" s="3" t="str">
        <f t="shared" si="16"/>
        <v>5</v>
      </c>
      <c r="H1046" s="3" t="s">
        <v>1898</v>
      </c>
      <c r="I1046" s="8">
        <v>61561.64</v>
      </c>
      <c r="J1046" s="8">
        <v>43804.59</v>
      </c>
      <c r="K1046" s="8">
        <v>61561.64</v>
      </c>
    </row>
    <row r="1047" spans="1:11" hidden="1" x14ac:dyDescent="0.25">
      <c r="A1047" s="3" t="s">
        <v>1899</v>
      </c>
      <c r="B1047" s="3">
        <v>11</v>
      </c>
      <c r="C1047" s="5">
        <v>330</v>
      </c>
      <c r="D1047" s="6">
        <v>1</v>
      </c>
      <c r="E1047" s="7">
        <v>70100</v>
      </c>
      <c r="F1047" s="3">
        <v>53510</v>
      </c>
      <c r="G1047" s="3" t="str">
        <f t="shared" si="16"/>
        <v>5</v>
      </c>
      <c r="H1047" s="3" t="s">
        <v>247</v>
      </c>
      <c r="I1047" s="8">
        <v>145.76</v>
      </c>
      <c r="J1047" s="8">
        <v>108.81</v>
      </c>
      <c r="K1047" s="8">
        <v>145.76</v>
      </c>
    </row>
    <row r="1048" spans="1:11" hidden="1" x14ac:dyDescent="0.25">
      <c r="A1048" s="3" t="s">
        <v>1900</v>
      </c>
      <c r="B1048" s="3">
        <v>11</v>
      </c>
      <c r="C1048" s="5">
        <v>330</v>
      </c>
      <c r="D1048" s="6">
        <v>1</v>
      </c>
      <c r="E1048" s="7">
        <v>70100</v>
      </c>
      <c r="F1048" s="3">
        <v>53610</v>
      </c>
      <c r="G1048" s="3" t="str">
        <f t="shared" si="16"/>
        <v>5</v>
      </c>
      <c r="H1048" s="3" t="s">
        <v>249</v>
      </c>
      <c r="I1048" s="8">
        <v>5512.12</v>
      </c>
      <c r="J1048" s="8">
        <v>4114.8500000000004</v>
      </c>
      <c r="K1048" s="8">
        <v>5512.12</v>
      </c>
    </row>
    <row r="1049" spans="1:11" hidden="1" x14ac:dyDescent="0.25">
      <c r="A1049" s="3" t="s">
        <v>1901</v>
      </c>
      <c r="B1049" s="3">
        <v>11</v>
      </c>
      <c r="C1049" s="5">
        <v>330</v>
      </c>
      <c r="D1049" s="6">
        <v>1</v>
      </c>
      <c r="E1049" s="7">
        <v>70100</v>
      </c>
      <c r="F1049" s="3">
        <v>53910</v>
      </c>
      <c r="G1049" s="3" t="str">
        <f t="shared" si="16"/>
        <v>5</v>
      </c>
      <c r="H1049" s="3" t="s">
        <v>1902</v>
      </c>
      <c r="I1049" s="8">
        <v>2400</v>
      </c>
      <c r="J1049" s="8">
        <v>1527.26</v>
      </c>
      <c r="K1049" s="8">
        <v>2400</v>
      </c>
    </row>
    <row r="1050" spans="1:11" hidden="1" x14ac:dyDescent="0.25">
      <c r="A1050" s="3" t="s">
        <v>1903</v>
      </c>
      <c r="B1050" s="3">
        <v>11</v>
      </c>
      <c r="C1050" s="5">
        <v>330</v>
      </c>
      <c r="D1050" s="6">
        <v>1</v>
      </c>
      <c r="E1050" s="7">
        <v>70100</v>
      </c>
      <c r="F1050" s="3">
        <v>54300</v>
      </c>
      <c r="G1050" s="3" t="str">
        <f t="shared" si="16"/>
        <v>5</v>
      </c>
      <c r="H1050" s="3" t="s">
        <v>1904</v>
      </c>
      <c r="I1050" s="8">
        <v>744</v>
      </c>
      <c r="J1050" s="8">
        <v>0</v>
      </c>
      <c r="K1050" s="8">
        <v>744</v>
      </c>
    </row>
    <row r="1051" spans="1:11" hidden="1" x14ac:dyDescent="0.25">
      <c r="A1051" s="3" t="s">
        <v>1905</v>
      </c>
      <c r="B1051" s="3">
        <v>11</v>
      </c>
      <c r="C1051" s="5">
        <v>330</v>
      </c>
      <c r="D1051" s="6">
        <v>1</v>
      </c>
      <c r="E1051" s="7">
        <v>70100</v>
      </c>
      <c r="F1051" s="3">
        <v>55630</v>
      </c>
      <c r="G1051" s="3" t="str">
        <f t="shared" si="16"/>
        <v>5</v>
      </c>
      <c r="H1051" s="3" t="s">
        <v>1906</v>
      </c>
      <c r="I1051" s="8">
        <v>325</v>
      </c>
      <c r="J1051" s="8">
        <v>0</v>
      </c>
      <c r="K1051" s="8">
        <v>325</v>
      </c>
    </row>
    <row r="1052" spans="1:11" hidden="1" x14ac:dyDescent="0.25">
      <c r="A1052" s="3" t="s">
        <v>1907</v>
      </c>
      <c r="B1052" s="3">
        <v>11</v>
      </c>
      <c r="C1052" s="5">
        <v>330</v>
      </c>
      <c r="D1052" s="6">
        <v>1</v>
      </c>
      <c r="E1052" s="7">
        <v>70100</v>
      </c>
      <c r="F1052" s="3">
        <v>55650</v>
      </c>
      <c r="G1052" s="3" t="str">
        <f t="shared" si="16"/>
        <v>5</v>
      </c>
      <c r="H1052" s="3" t="s">
        <v>1908</v>
      </c>
      <c r="I1052" s="8">
        <v>300</v>
      </c>
      <c r="J1052" s="8">
        <v>0</v>
      </c>
      <c r="K1052" s="8">
        <v>300</v>
      </c>
    </row>
    <row r="1053" spans="1:11" hidden="1" x14ac:dyDescent="0.25">
      <c r="A1053" s="3" t="s">
        <v>1909</v>
      </c>
      <c r="B1053" s="3">
        <v>11</v>
      </c>
      <c r="C1053" s="5">
        <v>330</v>
      </c>
      <c r="D1053" s="6">
        <v>1</v>
      </c>
      <c r="E1053" s="7">
        <v>90100</v>
      </c>
      <c r="F1053" s="3">
        <v>51100</v>
      </c>
      <c r="G1053" s="3" t="str">
        <f t="shared" si="16"/>
        <v>5</v>
      </c>
      <c r="H1053" s="3" t="s">
        <v>1656</v>
      </c>
      <c r="I1053" s="8">
        <v>20839.2</v>
      </c>
      <c r="J1053" s="8">
        <v>15155.76</v>
      </c>
      <c r="K1053" s="8">
        <v>20839.2</v>
      </c>
    </row>
    <row r="1054" spans="1:11" hidden="1" x14ac:dyDescent="0.25">
      <c r="A1054" s="3" t="s">
        <v>1910</v>
      </c>
      <c r="B1054" s="3">
        <v>11</v>
      </c>
      <c r="C1054" s="5">
        <v>330</v>
      </c>
      <c r="D1054" s="6">
        <v>1</v>
      </c>
      <c r="E1054" s="7">
        <v>90100</v>
      </c>
      <c r="F1054" s="3">
        <v>53110</v>
      </c>
      <c r="G1054" s="3" t="str">
        <f t="shared" si="16"/>
        <v>5</v>
      </c>
      <c r="H1054" s="3" t="s">
        <v>1668</v>
      </c>
      <c r="I1054" s="8">
        <v>3365.53</v>
      </c>
      <c r="J1054" s="8">
        <v>2447.6799999999998</v>
      </c>
      <c r="K1054" s="8">
        <v>3365.53</v>
      </c>
    </row>
    <row r="1055" spans="1:11" hidden="1" x14ac:dyDescent="0.25">
      <c r="A1055" s="3" t="s">
        <v>1911</v>
      </c>
      <c r="B1055" s="3">
        <v>11</v>
      </c>
      <c r="C1055" s="5">
        <v>330</v>
      </c>
      <c r="D1055" s="6">
        <v>1</v>
      </c>
      <c r="E1055" s="7">
        <v>90100</v>
      </c>
      <c r="F1055" s="3">
        <v>53330</v>
      </c>
      <c r="G1055" s="3" t="str">
        <f t="shared" si="16"/>
        <v>5</v>
      </c>
      <c r="H1055" s="3" t="s">
        <v>1678</v>
      </c>
      <c r="I1055" s="8">
        <v>302.17</v>
      </c>
      <c r="J1055" s="8">
        <v>217.6</v>
      </c>
      <c r="K1055" s="8">
        <v>302.17</v>
      </c>
    </row>
    <row r="1056" spans="1:11" hidden="1" x14ac:dyDescent="0.25">
      <c r="A1056" s="3" t="s">
        <v>1912</v>
      </c>
      <c r="B1056" s="3">
        <v>11</v>
      </c>
      <c r="C1056" s="5">
        <v>330</v>
      </c>
      <c r="D1056" s="6">
        <v>1</v>
      </c>
      <c r="E1056" s="7">
        <v>90100</v>
      </c>
      <c r="F1056" s="3">
        <v>53410</v>
      </c>
      <c r="G1056" s="3" t="str">
        <f t="shared" si="16"/>
        <v>5</v>
      </c>
      <c r="H1056" s="3" t="s">
        <v>1682</v>
      </c>
      <c r="I1056" s="8">
        <v>6624.29</v>
      </c>
      <c r="J1056" s="8">
        <v>4721.67</v>
      </c>
      <c r="K1056" s="8">
        <v>6624.29</v>
      </c>
    </row>
    <row r="1057" spans="1:11" hidden="1" x14ac:dyDescent="0.25">
      <c r="A1057" s="3" t="s">
        <v>1913</v>
      </c>
      <c r="B1057" s="3">
        <v>11</v>
      </c>
      <c r="C1057" s="5">
        <v>330</v>
      </c>
      <c r="D1057" s="6">
        <v>1</v>
      </c>
      <c r="E1057" s="7">
        <v>90100</v>
      </c>
      <c r="F1057" s="3">
        <v>53510</v>
      </c>
      <c r="G1057" s="3" t="str">
        <f t="shared" si="16"/>
        <v>5</v>
      </c>
      <c r="H1057" s="3" t="s">
        <v>1684</v>
      </c>
      <c r="I1057" s="8">
        <v>10.42</v>
      </c>
      <c r="J1057" s="8">
        <v>7.6</v>
      </c>
      <c r="K1057" s="8">
        <v>10.42</v>
      </c>
    </row>
    <row r="1058" spans="1:11" hidden="1" x14ac:dyDescent="0.25">
      <c r="A1058" s="3" t="s">
        <v>1914</v>
      </c>
      <c r="B1058" s="3">
        <v>11</v>
      </c>
      <c r="C1058" s="5">
        <v>330</v>
      </c>
      <c r="D1058" s="6">
        <v>1</v>
      </c>
      <c r="E1058" s="7">
        <v>90100</v>
      </c>
      <c r="F1058" s="3">
        <v>53610</v>
      </c>
      <c r="G1058" s="3" t="str">
        <f t="shared" si="16"/>
        <v>5</v>
      </c>
      <c r="H1058" s="3" t="s">
        <v>1688</v>
      </c>
      <c r="I1058" s="8">
        <v>394.03</v>
      </c>
      <c r="J1058" s="8">
        <v>286.56</v>
      </c>
      <c r="K1058" s="8">
        <v>394.03</v>
      </c>
    </row>
    <row r="1059" spans="1:11" hidden="1" x14ac:dyDescent="0.25">
      <c r="A1059" s="3" t="s">
        <v>1915</v>
      </c>
      <c r="B1059" s="3">
        <v>11</v>
      </c>
      <c r="C1059" s="5">
        <v>330</v>
      </c>
      <c r="D1059" s="6">
        <v>1</v>
      </c>
      <c r="E1059" s="7">
        <v>90100</v>
      </c>
      <c r="F1059" s="3">
        <v>55630</v>
      </c>
      <c r="G1059" s="3" t="str">
        <f t="shared" si="16"/>
        <v>5</v>
      </c>
      <c r="H1059" s="3" t="s">
        <v>1696</v>
      </c>
      <c r="I1059" s="8">
        <v>93</v>
      </c>
      <c r="J1059" s="8">
        <v>0</v>
      </c>
      <c r="K1059" s="8">
        <v>93</v>
      </c>
    </row>
    <row r="1060" spans="1:11" hidden="1" x14ac:dyDescent="0.25">
      <c r="A1060" s="3" t="s">
        <v>1916</v>
      </c>
      <c r="B1060" s="3">
        <v>11</v>
      </c>
      <c r="C1060" s="5">
        <v>335</v>
      </c>
      <c r="D1060" s="6">
        <v>0</v>
      </c>
      <c r="E1060" s="7">
        <v>120300</v>
      </c>
      <c r="F1060" s="3">
        <v>51100</v>
      </c>
      <c r="G1060" s="3" t="str">
        <f t="shared" si="16"/>
        <v>5</v>
      </c>
      <c r="H1060" s="3" t="s">
        <v>1917</v>
      </c>
      <c r="I1060" s="8">
        <v>652791.5</v>
      </c>
      <c r="J1060" s="8">
        <v>474757.68</v>
      </c>
      <c r="K1060" s="8">
        <v>652791.5</v>
      </c>
    </row>
    <row r="1061" spans="1:11" hidden="1" x14ac:dyDescent="0.25">
      <c r="A1061" s="3" t="s">
        <v>1918</v>
      </c>
      <c r="B1061" s="3">
        <v>11</v>
      </c>
      <c r="C1061" s="5">
        <v>335</v>
      </c>
      <c r="D1061" s="6">
        <v>0</v>
      </c>
      <c r="E1061" s="7">
        <v>120300</v>
      </c>
      <c r="F1061" s="3">
        <v>51310</v>
      </c>
      <c r="G1061" s="3" t="str">
        <f t="shared" si="16"/>
        <v>5</v>
      </c>
      <c r="H1061" s="3" t="s">
        <v>1919</v>
      </c>
      <c r="I1061" s="8">
        <v>19123</v>
      </c>
      <c r="J1061" s="8">
        <v>4834.2</v>
      </c>
      <c r="K1061" s="8">
        <v>19123</v>
      </c>
    </row>
    <row r="1062" spans="1:11" hidden="1" x14ac:dyDescent="0.25">
      <c r="A1062" s="3" t="s">
        <v>1920</v>
      </c>
      <c r="B1062" s="3">
        <v>11</v>
      </c>
      <c r="C1062" s="5">
        <v>335</v>
      </c>
      <c r="D1062" s="6">
        <v>0</v>
      </c>
      <c r="E1062" s="7">
        <v>120300</v>
      </c>
      <c r="F1062" s="3">
        <v>51311</v>
      </c>
      <c r="G1062" s="3" t="str">
        <f t="shared" si="16"/>
        <v>5</v>
      </c>
      <c r="H1062" s="3" t="s">
        <v>1921</v>
      </c>
      <c r="I1062" s="8">
        <v>142438</v>
      </c>
      <c r="J1062" s="8">
        <v>69209.58</v>
      </c>
      <c r="K1062" s="8">
        <v>142438</v>
      </c>
    </row>
    <row r="1063" spans="1:11" hidden="1" x14ac:dyDescent="0.25">
      <c r="A1063" s="3" t="s">
        <v>1922</v>
      </c>
      <c r="B1063" s="3">
        <v>11</v>
      </c>
      <c r="C1063" s="5">
        <v>335</v>
      </c>
      <c r="D1063" s="6">
        <v>0</v>
      </c>
      <c r="E1063" s="7">
        <v>120300</v>
      </c>
      <c r="F1063" s="3">
        <v>51412</v>
      </c>
      <c r="G1063" s="3" t="str">
        <f t="shared" si="16"/>
        <v>5</v>
      </c>
      <c r="H1063" s="3" t="s">
        <v>1923</v>
      </c>
      <c r="I1063" s="8">
        <v>1800</v>
      </c>
      <c r="J1063" s="8">
        <v>1800</v>
      </c>
      <c r="K1063" s="8">
        <v>1800</v>
      </c>
    </row>
    <row r="1064" spans="1:11" hidden="1" x14ac:dyDescent="0.25">
      <c r="A1064" s="3" t="s">
        <v>1924</v>
      </c>
      <c r="B1064" s="3">
        <v>11</v>
      </c>
      <c r="C1064" s="5">
        <v>335</v>
      </c>
      <c r="D1064" s="6">
        <v>0</v>
      </c>
      <c r="E1064" s="7">
        <v>120300</v>
      </c>
      <c r="F1064" s="3">
        <v>52360</v>
      </c>
      <c r="G1064" s="3" t="str">
        <f t="shared" si="16"/>
        <v>5</v>
      </c>
      <c r="H1064" s="3" t="s">
        <v>1925</v>
      </c>
      <c r="I1064" s="8">
        <v>2687</v>
      </c>
      <c r="J1064" s="8">
        <v>0</v>
      </c>
      <c r="K1064" s="8">
        <v>2687</v>
      </c>
    </row>
    <row r="1065" spans="1:11" hidden="1" x14ac:dyDescent="0.25">
      <c r="A1065" s="3" t="s">
        <v>1926</v>
      </c>
      <c r="B1065" s="3">
        <v>11</v>
      </c>
      <c r="C1065" s="5">
        <v>335</v>
      </c>
      <c r="D1065" s="6">
        <v>0</v>
      </c>
      <c r="E1065" s="7">
        <v>120300</v>
      </c>
      <c r="F1065" s="3">
        <v>53110</v>
      </c>
      <c r="G1065" s="3" t="str">
        <f t="shared" si="16"/>
        <v>5</v>
      </c>
      <c r="H1065" s="3" t="s">
        <v>1927</v>
      </c>
      <c r="I1065" s="8">
        <v>131931.69</v>
      </c>
      <c r="J1065" s="8">
        <v>81326.25</v>
      </c>
      <c r="K1065" s="8">
        <v>131931.69</v>
      </c>
    </row>
    <row r="1066" spans="1:11" hidden="1" x14ac:dyDescent="0.25">
      <c r="A1066" s="3" t="s">
        <v>1928</v>
      </c>
      <c r="B1066" s="3">
        <v>11</v>
      </c>
      <c r="C1066" s="5">
        <v>335</v>
      </c>
      <c r="D1066" s="6">
        <v>0</v>
      </c>
      <c r="E1066" s="7">
        <v>120300</v>
      </c>
      <c r="F1066" s="3">
        <v>53120</v>
      </c>
      <c r="G1066" s="3" t="str">
        <f t="shared" si="16"/>
        <v>5</v>
      </c>
      <c r="H1066" s="3" t="s">
        <v>1929</v>
      </c>
      <c r="I1066" s="8">
        <v>310.89</v>
      </c>
      <c r="J1066" s="8">
        <v>0</v>
      </c>
      <c r="K1066" s="8">
        <v>310.89</v>
      </c>
    </row>
    <row r="1067" spans="1:11" hidden="1" x14ac:dyDescent="0.25">
      <c r="A1067" s="3" t="s">
        <v>1930</v>
      </c>
      <c r="B1067" s="3">
        <v>11</v>
      </c>
      <c r="C1067" s="5">
        <v>335</v>
      </c>
      <c r="D1067" s="6">
        <v>0</v>
      </c>
      <c r="E1067" s="7">
        <v>120300</v>
      </c>
      <c r="F1067" s="3">
        <v>53310</v>
      </c>
      <c r="G1067" s="3" t="str">
        <f t="shared" si="16"/>
        <v>5</v>
      </c>
      <c r="H1067" s="3" t="s">
        <v>1931</v>
      </c>
      <c r="I1067" s="8">
        <v>0</v>
      </c>
      <c r="J1067" s="8">
        <v>2804.52</v>
      </c>
      <c r="K1067" s="8">
        <v>0</v>
      </c>
    </row>
    <row r="1068" spans="1:11" hidden="1" x14ac:dyDescent="0.25">
      <c r="A1068" s="3" t="s">
        <v>1932</v>
      </c>
      <c r="B1068" s="3">
        <v>11</v>
      </c>
      <c r="C1068" s="5">
        <v>335</v>
      </c>
      <c r="D1068" s="6">
        <v>0</v>
      </c>
      <c r="E1068" s="7">
        <v>120300</v>
      </c>
      <c r="F1068" s="3">
        <v>53320</v>
      </c>
      <c r="G1068" s="3" t="str">
        <f t="shared" si="16"/>
        <v>5</v>
      </c>
      <c r="H1068" s="3" t="s">
        <v>1933</v>
      </c>
      <c r="I1068" s="8">
        <v>0</v>
      </c>
      <c r="J1068" s="8">
        <v>111.6</v>
      </c>
      <c r="K1068" s="8">
        <v>0</v>
      </c>
    </row>
    <row r="1069" spans="1:11" hidden="1" x14ac:dyDescent="0.25">
      <c r="A1069" s="3" t="s">
        <v>1934</v>
      </c>
      <c r="B1069" s="3">
        <v>11</v>
      </c>
      <c r="C1069" s="5">
        <v>335</v>
      </c>
      <c r="D1069" s="6">
        <v>0</v>
      </c>
      <c r="E1069" s="7">
        <v>120300</v>
      </c>
      <c r="F1069" s="3">
        <v>53330</v>
      </c>
      <c r="G1069" s="3" t="str">
        <f t="shared" si="16"/>
        <v>5</v>
      </c>
      <c r="H1069" s="3" t="s">
        <v>1935</v>
      </c>
      <c r="I1069" s="8">
        <v>11845.26</v>
      </c>
      <c r="J1069" s="8">
        <v>7889.44</v>
      </c>
      <c r="K1069" s="8">
        <v>11845.26</v>
      </c>
    </row>
    <row r="1070" spans="1:11" hidden="1" x14ac:dyDescent="0.25">
      <c r="A1070" s="3" t="s">
        <v>1936</v>
      </c>
      <c r="B1070" s="3">
        <v>11</v>
      </c>
      <c r="C1070" s="5">
        <v>335</v>
      </c>
      <c r="D1070" s="6">
        <v>0</v>
      </c>
      <c r="E1070" s="7">
        <v>120300</v>
      </c>
      <c r="F1070" s="3">
        <v>53340</v>
      </c>
      <c r="G1070" s="3" t="str">
        <f t="shared" si="16"/>
        <v>5</v>
      </c>
      <c r="H1070" s="3" t="s">
        <v>1937</v>
      </c>
      <c r="I1070" s="8">
        <v>27.91</v>
      </c>
      <c r="J1070" s="8">
        <v>26.1</v>
      </c>
      <c r="K1070" s="8">
        <v>27.91</v>
      </c>
    </row>
    <row r="1071" spans="1:11" hidden="1" x14ac:dyDescent="0.25">
      <c r="A1071" s="3" t="s">
        <v>1938</v>
      </c>
      <c r="B1071" s="3">
        <v>11</v>
      </c>
      <c r="C1071" s="5">
        <v>335</v>
      </c>
      <c r="D1071" s="6">
        <v>0</v>
      </c>
      <c r="E1071" s="7">
        <v>120300</v>
      </c>
      <c r="F1071" s="3">
        <v>53410</v>
      </c>
      <c r="G1071" s="3" t="str">
        <f t="shared" si="16"/>
        <v>5</v>
      </c>
      <c r="H1071" s="3" t="s">
        <v>1939</v>
      </c>
      <c r="I1071" s="8">
        <v>146499.35</v>
      </c>
      <c r="J1071" s="8">
        <v>98731.75</v>
      </c>
      <c r="K1071" s="8">
        <v>146499.35</v>
      </c>
    </row>
    <row r="1072" spans="1:11" hidden="1" x14ac:dyDescent="0.25">
      <c r="A1072" s="3" t="s">
        <v>1940</v>
      </c>
      <c r="B1072" s="3">
        <v>11</v>
      </c>
      <c r="C1072" s="5">
        <v>335</v>
      </c>
      <c r="D1072" s="6">
        <v>0</v>
      </c>
      <c r="E1072" s="7">
        <v>120300</v>
      </c>
      <c r="F1072" s="3">
        <v>53420</v>
      </c>
      <c r="G1072" s="3" t="str">
        <f t="shared" si="16"/>
        <v>5</v>
      </c>
      <c r="H1072" s="3" t="s">
        <v>1941</v>
      </c>
      <c r="I1072" s="8">
        <v>0</v>
      </c>
      <c r="J1072" s="8">
        <v>-714.54</v>
      </c>
      <c r="K1072" s="8">
        <v>0</v>
      </c>
    </row>
    <row r="1073" spans="1:11" hidden="1" x14ac:dyDescent="0.25">
      <c r="A1073" s="3" t="s">
        <v>1942</v>
      </c>
      <c r="B1073" s="3">
        <v>11</v>
      </c>
      <c r="C1073" s="5">
        <v>335</v>
      </c>
      <c r="D1073" s="6">
        <v>0</v>
      </c>
      <c r="E1073" s="7">
        <v>120300</v>
      </c>
      <c r="F1073" s="3">
        <v>53510</v>
      </c>
      <c r="G1073" s="3" t="str">
        <f t="shared" si="16"/>
        <v>5</v>
      </c>
      <c r="H1073" s="3" t="s">
        <v>1943</v>
      </c>
      <c r="I1073" s="8">
        <v>408.47</v>
      </c>
      <c r="J1073" s="8">
        <v>273.45</v>
      </c>
      <c r="K1073" s="8">
        <v>408.47</v>
      </c>
    </row>
    <row r="1074" spans="1:11" hidden="1" x14ac:dyDescent="0.25">
      <c r="A1074" s="3" t="s">
        <v>1944</v>
      </c>
      <c r="B1074" s="3">
        <v>11</v>
      </c>
      <c r="C1074" s="5">
        <v>335</v>
      </c>
      <c r="D1074" s="6">
        <v>0</v>
      </c>
      <c r="E1074" s="7">
        <v>120300</v>
      </c>
      <c r="F1074" s="3">
        <v>53520</v>
      </c>
      <c r="G1074" s="3" t="str">
        <f t="shared" si="16"/>
        <v>5</v>
      </c>
      <c r="H1074" s="3" t="s">
        <v>1945</v>
      </c>
      <c r="I1074" s="8">
        <v>0.96</v>
      </c>
      <c r="J1074" s="8">
        <v>0.9</v>
      </c>
      <c r="K1074" s="8">
        <v>0.96</v>
      </c>
    </row>
    <row r="1075" spans="1:11" hidden="1" x14ac:dyDescent="0.25">
      <c r="A1075" s="3" t="s">
        <v>1946</v>
      </c>
      <c r="B1075" s="3">
        <v>11</v>
      </c>
      <c r="C1075" s="5">
        <v>335</v>
      </c>
      <c r="D1075" s="6">
        <v>0</v>
      </c>
      <c r="E1075" s="7">
        <v>120300</v>
      </c>
      <c r="F1075" s="3">
        <v>53610</v>
      </c>
      <c r="G1075" s="3" t="str">
        <f t="shared" si="16"/>
        <v>5</v>
      </c>
      <c r="H1075" s="3" t="s">
        <v>1947</v>
      </c>
      <c r="I1075" s="8">
        <v>15446.23</v>
      </c>
      <c r="J1075" s="8">
        <v>10376.83</v>
      </c>
      <c r="K1075" s="8">
        <v>15446.23</v>
      </c>
    </row>
    <row r="1076" spans="1:11" hidden="1" x14ac:dyDescent="0.25">
      <c r="A1076" s="3" t="s">
        <v>1948</v>
      </c>
      <c r="B1076" s="3">
        <v>11</v>
      </c>
      <c r="C1076" s="5">
        <v>335</v>
      </c>
      <c r="D1076" s="6">
        <v>0</v>
      </c>
      <c r="E1076" s="7">
        <v>120300</v>
      </c>
      <c r="F1076" s="3">
        <v>53620</v>
      </c>
      <c r="G1076" s="3" t="str">
        <f t="shared" si="16"/>
        <v>5</v>
      </c>
      <c r="H1076" s="3" t="s">
        <v>1949</v>
      </c>
      <c r="I1076" s="8">
        <v>36.4</v>
      </c>
      <c r="J1076" s="8">
        <v>34.03</v>
      </c>
      <c r="K1076" s="8">
        <v>36.4</v>
      </c>
    </row>
    <row r="1077" spans="1:11" hidden="1" x14ac:dyDescent="0.25">
      <c r="A1077" s="3" t="s">
        <v>1950</v>
      </c>
      <c r="B1077" s="3">
        <v>11</v>
      </c>
      <c r="C1077" s="5">
        <v>335</v>
      </c>
      <c r="D1077" s="6">
        <v>0</v>
      </c>
      <c r="E1077" s="7">
        <v>120300</v>
      </c>
      <c r="F1077" s="3">
        <v>54300</v>
      </c>
      <c r="G1077" s="3" t="str">
        <f t="shared" si="16"/>
        <v>5</v>
      </c>
      <c r="H1077" s="3" t="s">
        <v>1951</v>
      </c>
      <c r="I1077" s="8">
        <v>2100</v>
      </c>
      <c r="J1077" s="8">
        <v>1587.3</v>
      </c>
      <c r="K1077" s="8">
        <v>2100</v>
      </c>
    </row>
    <row r="1078" spans="1:11" hidden="1" x14ac:dyDescent="0.25">
      <c r="A1078" s="3" t="s">
        <v>1952</v>
      </c>
      <c r="B1078" s="3">
        <v>11</v>
      </c>
      <c r="C1078" s="5">
        <v>335</v>
      </c>
      <c r="D1078" s="6">
        <v>0</v>
      </c>
      <c r="E1078" s="7">
        <v>120300</v>
      </c>
      <c r="F1078" s="3">
        <v>55200</v>
      </c>
      <c r="G1078" s="3" t="str">
        <f t="shared" si="16"/>
        <v>5</v>
      </c>
      <c r="H1078" s="3" t="s">
        <v>1953</v>
      </c>
      <c r="I1078" s="8">
        <v>2000</v>
      </c>
      <c r="J1078" s="8">
        <v>0</v>
      </c>
      <c r="K1078" s="8">
        <v>2000</v>
      </c>
    </row>
    <row r="1079" spans="1:11" hidden="1" x14ac:dyDescent="0.25">
      <c r="A1079" s="3" t="s">
        <v>1954</v>
      </c>
      <c r="B1079" s="3">
        <v>11</v>
      </c>
      <c r="C1079" s="5">
        <v>335</v>
      </c>
      <c r="D1079" s="6">
        <v>0</v>
      </c>
      <c r="E1079" s="7">
        <v>120300</v>
      </c>
      <c r="F1079" s="3">
        <v>55300</v>
      </c>
      <c r="G1079" s="3" t="str">
        <f t="shared" si="16"/>
        <v>5</v>
      </c>
      <c r="H1079" s="3" t="s">
        <v>1955</v>
      </c>
      <c r="I1079" s="8">
        <v>12143</v>
      </c>
      <c r="J1079" s="8">
        <v>10591.96</v>
      </c>
      <c r="K1079" s="8">
        <v>12143</v>
      </c>
    </row>
    <row r="1080" spans="1:11" hidden="1" x14ac:dyDescent="0.25">
      <c r="A1080" s="3" t="s">
        <v>1956</v>
      </c>
      <c r="B1080" s="3">
        <v>11</v>
      </c>
      <c r="C1080" s="5">
        <v>335</v>
      </c>
      <c r="D1080" s="6">
        <v>0</v>
      </c>
      <c r="E1080" s="7">
        <v>120300</v>
      </c>
      <c r="F1080" s="3">
        <v>55625</v>
      </c>
      <c r="G1080" s="3" t="str">
        <f t="shared" si="16"/>
        <v>5</v>
      </c>
      <c r="H1080" s="3" t="s">
        <v>1957</v>
      </c>
      <c r="I1080" s="8">
        <v>250</v>
      </c>
      <c r="J1080" s="8">
        <v>38.5</v>
      </c>
      <c r="K1080" s="8">
        <v>250</v>
      </c>
    </row>
    <row r="1081" spans="1:11" hidden="1" x14ac:dyDescent="0.25">
      <c r="A1081" s="3" t="s">
        <v>1958</v>
      </c>
      <c r="B1081" s="3">
        <v>11</v>
      </c>
      <c r="C1081" s="5">
        <v>335</v>
      </c>
      <c r="D1081" s="6">
        <v>0</v>
      </c>
      <c r="E1081" s="7">
        <v>120300</v>
      </c>
      <c r="F1081" s="3">
        <v>55630</v>
      </c>
      <c r="G1081" s="3" t="str">
        <f t="shared" si="16"/>
        <v>5</v>
      </c>
      <c r="H1081" s="3" t="s">
        <v>1959</v>
      </c>
      <c r="I1081" s="8">
        <v>900</v>
      </c>
      <c r="J1081" s="8">
        <v>123.59</v>
      </c>
      <c r="K1081" s="8">
        <v>900</v>
      </c>
    </row>
    <row r="1082" spans="1:11" hidden="1" x14ac:dyDescent="0.25">
      <c r="A1082" s="3" t="s">
        <v>1960</v>
      </c>
      <c r="B1082" s="3">
        <v>11</v>
      </c>
      <c r="C1082" s="5">
        <v>335</v>
      </c>
      <c r="D1082" s="6">
        <v>0</v>
      </c>
      <c r="E1082" s="7">
        <v>120300</v>
      </c>
      <c r="F1082" s="3">
        <v>55650</v>
      </c>
      <c r="G1082" s="3" t="str">
        <f t="shared" si="16"/>
        <v>5</v>
      </c>
      <c r="H1082" s="3" t="s">
        <v>1961</v>
      </c>
      <c r="I1082" s="8">
        <v>10635</v>
      </c>
      <c r="J1082" s="8">
        <v>7585.05</v>
      </c>
      <c r="K1082" s="8">
        <v>10635</v>
      </c>
    </row>
    <row r="1083" spans="1:11" hidden="1" x14ac:dyDescent="0.25">
      <c r="A1083" s="3" t="s">
        <v>1962</v>
      </c>
      <c r="B1083" s="3">
        <v>11</v>
      </c>
      <c r="C1083" s="5">
        <v>335</v>
      </c>
      <c r="D1083" s="6">
        <v>0</v>
      </c>
      <c r="E1083" s="7">
        <v>120320</v>
      </c>
      <c r="F1083" s="3">
        <v>51100</v>
      </c>
      <c r="G1083" s="3" t="str">
        <f t="shared" si="16"/>
        <v>5</v>
      </c>
      <c r="H1083" s="3" t="s">
        <v>1963</v>
      </c>
      <c r="I1083" s="8">
        <v>174157.5</v>
      </c>
      <c r="J1083" s="8">
        <v>126660</v>
      </c>
      <c r="K1083" s="8">
        <v>174157.5</v>
      </c>
    </row>
    <row r="1084" spans="1:11" hidden="1" x14ac:dyDescent="0.25">
      <c r="A1084" s="3" t="s">
        <v>1964</v>
      </c>
      <c r="B1084" s="3">
        <v>11</v>
      </c>
      <c r="C1084" s="5">
        <v>335</v>
      </c>
      <c r="D1084" s="6">
        <v>0</v>
      </c>
      <c r="E1084" s="7">
        <v>120320</v>
      </c>
      <c r="F1084" s="3">
        <v>51310</v>
      </c>
      <c r="G1084" s="3" t="str">
        <f t="shared" si="16"/>
        <v>5</v>
      </c>
      <c r="H1084" s="3" t="s">
        <v>1965</v>
      </c>
      <c r="I1084" s="8">
        <v>12000</v>
      </c>
      <c r="J1084" s="8">
        <v>3463.07</v>
      </c>
      <c r="K1084" s="8">
        <v>12000</v>
      </c>
    </row>
    <row r="1085" spans="1:11" hidden="1" x14ac:dyDescent="0.25">
      <c r="A1085" s="3" t="s">
        <v>1966</v>
      </c>
      <c r="B1085" s="3">
        <v>11</v>
      </c>
      <c r="C1085" s="5">
        <v>335</v>
      </c>
      <c r="D1085" s="6">
        <v>0</v>
      </c>
      <c r="E1085" s="7">
        <v>120320</v>
      </c>
      <c r="F1085" s="3">
        <v>51311</v>
      </c>
      <c r="G1085" s="3" t="str">
        <f t="shared" si="16"/>
        <v>5</v>
      </c>
      <c r="H1085" s="3" t="s">
        <v>1967</v>
      </c>
      <c r="I1085" s="8">
        <v>95000</v>
      </c>
      <c r="J1085" s="8">
        <v>62365.95</v>
      </c>
      <c r="K1085" s="8">
        <v>95000</v>
      </c>
    </row>
    <row r="1086" spans="1:11" hidden="1" x14ac:dyDescent="0.25">
      <c r="A1086" s="3" t="s">
        <v>1968</v>
      </c>
      <c r="B1086" s="3">
        <v>11</v>
      </c>
      <c r="C1086" s="5">
        <v>335</v>
      </c>
      <c r="D1086" s="6">
        <v>0</v>
      </c>
      <c r="E1086" s="7">
        <v>120320</v>
      </c>
      <c r="F1086" s="3">
        <v>53110</v>
      </c>
      <c r="G1086" s="3" t="str">
        <f t="shared" si="16"/>
        <v>5</v>
      </c>
      <c r="H1086" s="3" t="s">
        <v>1969</v>
      </c>
      <c r="I1086" s="8">
        <v>45406.94</v>
      </c>
      <c r="J1086" s="8">
        <v>28484.78</v>
      </c>
      <c r="K1086" s="8">
        <v>45406.94</v>
      </c>
    </row>
    <row r="1087" spans="1:11" hidden="1" x14ac:dyDescent="0.25">
      <c r="A1087" s="3" t="s">
        <v>1970</v>
      </c>
      <c r="B1087" s="3">
        <v>11</v>
      </c>
      <c r="C1087" s="5">
        <v>335</v>
      </c>
      <c r="D1087" s="6">
        <v>0</v>
      </c>
      <c r="E1087" s="7">
        <v>120320</v>
      </c>
      <c r="F1087" s="3">
        <v>53310</v>
      </c>
      <c r="G1087" s="3" t="str">
        <f t="shared" si="16"/>
        <v>5</v>
      </c>
      <c r="H1087" s="3" t="s">
        <v>1971</v>
      </c>
      <c r="I1087" s="8">
        <v>0</v>
      </c>
      <c r="J1087" s="8">
        <v>1003.48</v>
      </c>
      <c r="K1087" s="8">
        <v>0</v>
      </c>
    </row>
    <row r="1088" spans="1:11" hidden="1" x14ac:dyDescent="0.25">
      <c r="A1088" s="3" t="s">
        <v>1972</v>
      </c>
      <c r="B1088" s="3">
        <v>11</v>
      </c>
      <c r="C1088" s="5">
        <v>335</v>
      </c>
      <c r="D1088" s="6">
        <v>0</v>
      </c>
      <c r="E1088" s="7">
        <v>120320</v>
      </c>
      <c r="F1088" s="3">
        <v>53330</v>
      </c>
      <c r="G1088" s="3" t="str">
        <f t="shared" si="16"/>
        <v>5</v>
      </c>
      <c r="H1088" s="3" t="s">
        <v>1973</v>
      </c>
      <c r="I1088" s="8">
        <v>4076.78</v>
      </c>
      <c r="J1088" s="8">
        <v>2774.82</v>
      </c>
      <c r="K1088" s="8">
        <v>4076.78</v>
      </c>
    </row>
    <row r="1089" spans="1:11" hidden="1" x14ac:dyDescent="0.25">
      <c r="A1089" s="3" t="s">
        <v>1974</v>
      </c>
      <c r="B1089" s="3">
        <v>11</v>
      </c>
      <c r="C1089" s="5">
        <v>335</v>
      </c>
      <c r="D1089" s="6">
        <v>0</v>
      </c>
      <c r="E1089" s="7">
        <v>120320</v>
      </c>
      <c r="F1089" s="3">
        <v>53410</v>
      </c>
      <c r="G1089" s="3" t="str">
        <f t="shared" si="16"/>
        <v>5</v>
      </c>
      <c r="H1089" s="3" t="s">
        <v>1975</v>
      </c>
      <c r="I1089" s="8">
        <v>49682.15</v>
      </c>
      <c r="J1089" s="8">
        <v>35412.800000000003</v>
      </c>
      <c r="K1089" s="8">
        <v>49682.15</v>
      </c>
    </row>
    <row r="1090" spans="1:11" hidden="1" x14ac:dyDescent="0.25">
      <c r="A1090" s="3" t="s">
        <v>1976</v>
      </c>
      <c r="B1090" s="3">
        <v>11</v>
      </c>
      <c r="C1090" s="5">
        <v>335</v>
      </c>
      <c r="D1090" s="6">
        <v>0</v>
      </c>
      <c r="E1090" s="7">
        <v>120320</v>
      </c>
      <c r="F1090" s="3">
        <v>53510</v>
      </c>
      <c r="G1090" s="3" t="str">
        <f t="shared" si="16"/>
        <v>5</v>
      </c>
      <c r="H1090" s="3" t="s">
        <v>1977</v>
      </c>
      <c r="I1090" s="8">
        <v>140.58000000000001</v>
      </c>
      <c r="J1090" s="8">
        <v>96.28</v>
      </c>
      <c r="K1090" s="8">
        <v>140.58000000000001</v>
      </c>
    </row>
    <row r="1091" spans="1:11" hidden="1" x14ac:dyDescent="0.25">
      <c r="A1091" s="3" t="s">
        <v>1978</v>
      </c>
      <c r="B1091" s="3">
        <v>11</v>
      </c>
      <c r="C1091" s="5">
        <v>335</v>
      </c>
      <c r="D1091" s="6">
        <v>0</v>
      </c>
      <c r="E1091" s="7">
        <v>120320</v>
      </c>
      <c r="F1091" s="3">
        <v>53610</v>
      </c>
      <c r="G1091" s="3" t="str">
        <f t="shared" ref="G1091:G1154" si="17">LEFT(F1091,1)</f>
        <v>5</v>
      </c>
      <c r="H1091" s="3" t="s">
        <v>1979</v>
      </c>
      <c r="I1091" s="8">
        <v>5316.13</v>
      </c>
      <c r="J1091" s="8">
        <v>3639.54</v>
      </c>
      <c r="K1091" s="8">
        <v>5316.13</v>
      </c>
    </row>
    <row r="1092" spans="1:11" hidden="1" x14ac:dyDescent="0.25">
      <c r="A1092" s="3" t="s">
        <v>1980</v>
      </c>
      <c r="B1092" s="3">
        <v>11</v>
      </c>
      <c r="C1092" s="5">
        <v>335</v>
      </c>
      <c r="D1092" s="6">
        <v>0</v>
      </c>
      <c r="E1092" s="7">
        <v>120320</v>
      </c>
      <c r="F1092" s="3">
        <v>55200</v>
      </c>
      <c r="G1092" s="3" t="str">
        <f t="shared" si="17"/>
        <v>5</v>
      </c>
      <c r="H1092" s="3" t="s">
        <v>1981</v>
      </c>
      <c r="I1092" s="8">
        <v>1200</v>
      </c>
      <c r="J1092" s="8">
        <v>0</v>
      </c>
      <c r="K1092" s="8">
        <v>1200</v>
      </c>
    </row>
    <row r="1093" spans="1:11" hidden="1" x14ac:dyDescent="0.25">
      <c r="A1093" s="3" t="s">
        <v>1982</v>
      </c>
      <c r="B1093" s="3">
        <v>11</v>
      </c>
      <c r="C1093" s="5">
        <v>335</v>
      </c>
      <c r="D1093" s="6">
        <v>0</v>
      </c>
      <c r="E1093" s="7">
        <v>120320</v>
      </c>
      <c r="F1093" s="3">
        <v>55630</v>
      </c>
      <c r="G1093" s="3" t="str">
        <f t="shared" si="17"/>
        <v>5</v>
      </c>
      <c r="H1093" s="3" t="s">
        <v>1983</v>
      </c>
      <c r="I1093" s="8">
        <v>300</v>
      </c>
      <c r="J1093" s="8">
        <v>11.88</v>
      </c>
      <c r="K1093" s="8">
        <v>300</v>
      </c>
    </row>
    <row r="1094" spans="1:11" hidden="1" x14ac:dyDescent="0.25">
      <c r="A1094" s="3" t="s">
        <v>1984</v>
      </c>
      <c r="B1094" s="3">
        <v>11</v>
      </c>
      <c r="C1094" s="5">
        <v>335</v>
      </c>
      <c r="D1094" s="6">
        <v>0</v>
      </c>
      <c r="E1094" s="7">
        <v>120400</v>
      </c>
      <c r="F1094" s="3">
        <v>51100</v>
      </c>
      <c r="G1094" s="3" t="str">
        <f t="shared" si="17"/>
        <v>5</v>
      </c>
      <c r="H1094" s="3" t="s">
        <v>1985</v>
      </c>
      <c r="I1094" s="8">
        <v>189515.15</v>
      </c>
      <c r="J1094" s="8">
        <v>137652.48000000001</v>
      </c>
      <c r="K1094" s="8">
        <v>189515.15</v>
      </c>
    </row>
    <row r="1095" spans="1:11" hidden="1" x14ac:dyDescent="0.25">
      <c r="A1095" s="3" t="s">
        <v>1986</v>
      </c>
      <c r="B1095" s="3">
        <v>11</v>
      </c>
      <c r="C1095" s="5">
        <v>335</v>
      </c>
      <c r="D1095" s="6">
        <v>0</v>
      </c>
      <c r="E1095" s="7">
        <v>120400</v>
      </c>
      <c r="F1095" s="3">
        <v>51310</v>
      </c>
      <c r="G1095" s="3" t="str">
        <f t="shared" si="17"/>
        <v>5</v>
      </c>
      <c r="H1095" s="3" t="s">
        <v>1987</v>
      </c>
      <c r="I1095" s="8">
        <v>2520</v>
      </c>
      <c r="J1095" s="8">
        <v>5986.44</v>
      </c>
      <c r="K1095" s="8">
        <v>2520</v>
      </c>
    </row>
    <row r="1096" spans="1:11" hidden="1" x14ac:dyDescent="0.25">
      <c r="A1096" s="3" t="s">
        <v>1988</v>
      </c>
      <c r="B1096" s="3">
        <v>11</v>
      </c>
      <c r="C1096" s="5">
        <v>335</v>
      </c>
      <c r="D1096" s="6">
        <v>0</v>
      </c>
      <c r="E1096" s="7">
        <v>120400</v>
      </c>
      <c r="F1096" s="3">
        <v>51311</v>
      </c>
      <c r="G1096" s="3" t="str">
        <f t="shared" si="17"/>
        <v>5</v>
      </c>
      <c r="H1096" s="3" t="s">
        <v>1989</v>
      </c>
      <c r="I1096" s="8">
        <v>64500</v>
      </c>
      <c r="J1096" s="8">
        <v>61891.47</v>
      </c>
      <c r="K1096" s="8">
        <v>64500</v>
      </c>
    </row>
    <row r="1097" spans="1:11" hidden="1" x14ac:dyDescent="0.25">
      <c r="A1097" s="3" t="s">
        <v>1990</v>
      </c>
      <c r="B1097" s="3">
        <v>11</v>
      </c>
      <c r="C1097" s="5">
        <v>335</v>
      </c>
      <c r="D1097" s="6">
        <v>0</v>
      </c>
      <c r="E1097" s="7">
        <v>120400</v>
      </c>
      <c r="F1097" s="3">
        <v>53110</v>
      </c>
      <c r="G1097" s="3" t="str">
        <f t="shared" si="17"/>
        <v>5</v>
      </c>
      <c r="H1097" s="3" t="s">
        <v>1991</v>
      </c>
      <c r="I1097" s="8">
        <v>41430.43</v>
      </c>
      <c r="J1097" s="8">
        <v>31641.96</v>
      </c>
      <c r="K1097" s="8">
        <v>41430.43</v>
      </c>
    </row>
    <row r="1098" spans="1:11" hidden="1" x14ac:dyDescent="0.25">
      <c r="A1098" s="3" t="s">
        <v>1992</v>
      </c>
      <c r="B1098" s="3">
        <v>11</v>
      </c>
      <c r="C1098" s="5">
        <v>335</v>
      </c>
      <c r="D1098" s="6">
        <v>0</v>
      </c>
      <c r="E1098" s="7">
        <v>120400</v>
      </c>
      <c r="F1098" s="3">
        <v>53310</v>
      </c>
      <c r="G1098" s="3" t="str">
        <f t="shared" si="17"/>
        <v>5</v>
      </c>
      <c r="H1098" s="3" t="s">
        <v>1993</v>
      </c>
      <c r="I1098" s="8">
        <v>0</v>
      </c>
      <c r="J1098" s="8">
        <v>595.54</v>
      </c>
      <c r="K1098" s="8">
        <v>0</v>
      </c>
    </row>
    <row r="1099" spans="1:11" hidden="1" x14ac:dyDescent="0.25">
      <c r="A1099" s="3" t="s">
        <v>1994</v>
      </c>
      <c r="B1099" s="3">
        <v>11</v>
      </c>
      <c r="C1099" s="5">
        <v>335</v>
      </c>
      <c r="D1099" s="6">
        <v>0</v>
      </c>
      <c r="E1099" s="7">
        <v>120400</v>
      </c>
      <c r="F1099" s="3">
        <v>53330</v>
      </c>
      <c r="G1099" s="3" t="str">
        <f t="shared" si="17"/>
        <v>5</v>
      </c>
      <c r="H1099" s="3" t="s">
        <v>1995</v>
      </c>
      <c r="I1099" s="8">
        <v>3719.76</v>
      </c>
      <c r="J1099" s="8">
        <v>2969.83</v>
      </c>
      <c r="K1099" s="8">
        <v>3719.76</v>
      </c>
    </row>
    <row r="1100" spans="1:11" hidden="1" x14ac:dyDescent="0.25">
      <c r="A1100" s="3" t="s">
        <v>1996</v>
      </c>
      <c r="B1100" s="3">
        <v>11</v>
      </c>
      <c r="C1100" s="5">
        <v>335</v>
      </c>
      <c r="D1100" s="6">
        <v>0</v>
      </c>
      <c r="E1100" s="7">
        <v>120400</v>
      </c>
      <c r="F1100" s="3">
        <v>53410</v>
      </c>
      <c r="G1100" s="3" t="str">
        <f t="shared" si="17"/>
        <v>5</v>
      </c>
      <c r="H1100" s="3" t="s">
        <v>1997</v>
      </c>
      <c r="I1100" s="8">
        <v>42909.22</v>
      </c>
      <c r="J1100" s="8">
        <v>30578.42</v>
      </c>
      <c r="K1100" s="8">
        <v>42909.22</v>
      </c>
    </row>
    <row r="1101" spans="1:11" hidden="1" x14ac:dyDescent="0.25">
      <c r="A1101" s="3" t="s">
        <v>1998</v>
      </c>
      <c r="B1101" s="3">
        <v>11</v>
      </c>
      <c r="C1101" s="5">
        <v>335</v>
      </c>
      <c r="D1101" s="6">
        <v>0</v>
      </c>
      <c r="E1101" s="7">
        <v>120400</v>
      </c>
      <c r="F1101" s="3">
        <v>53510</v>
      </c>
      <c r="G1101" s="3" t="str">
        <f t="shared" si="17"/>
        <v>5</v>
      </c>
      <c r="H1101" s="3" t="s">
        <v>1999</v>
      </c>
      <c r="I1101" s="8">
        <v>128.27000000000001</v>
      </c>
      <c r="J1101" s="8">
        <v>102.78</v>
      </c>
      <c r="K1101" s="8">
        <v>128.27000000000001</v>
      </c>
    </row>
    <row r="1102" spans="1:11" hidden="1" x14ac:dyDescent="0.25">
      <c r="A1102" s="3" t="s">
        <v>2000</v>
      </c>
      <c r="B1102" s="3">
        <v>11</v>
      </c>
      <c r="C1102" s="5">
        <v>335</v>
      </c>
      <c r="D1102" s="6">
        <v>0</v>
      </c>
      <c r="E1102" s="7">
        <v>120400</v>
      </c>
      <c r="F1102" s="3">
        <v>53610</v>
      </c>
      <c r="G1102" s="3" t="str">
        <f t="shared" si="17"/>
        <v>5</v>
      </c>
      <c r="H1102" s="3" t="s">
        <v>2001</v>
      </c>
      <c r="I1102" s="8">
        <v>4850.57</v>
      </c>
      <c r="J1102" s="8">
        <v>3886.16</v>
      </c>
      <c r="K1102" s="8">
        <v>4850.57</v>
      </c>
    </row>
    <row r="1103" spans="1:11" hidden="1" x14ac:dyDescent="0.25">
      <c r="A1103" s="3" t="s">
        <v>2002</v>
      </c>
      <c r="B1103" s="3">
        <v>11</v>
      </c>
      <c r="C1103" s="5">
        <v>335</v>
      </c>
      <c r="D1103" s="6">
        <v>0</v>
      </c>
      <c r="E1103" s="7">
        <v>120400</v>
      </c>
      <c r="F1103" s="3">
        <v>54210</v>
      </c>
      <c r="G1103" s="3" t="str">
        <f t="shared" si="17"/>
        <v>5</v>
      </c>
      <c r="H1103" s="3" t="s">
        <v>2003</v>
      </c>
      <c r="I1103" s="8">
        <v>0</v>
      </c>
      <c r="J1103" s="8">
        <v>0</v>
      </c>
      <c r="K1103" s="8">
        <v>0</v>
      </c>
    </row>
    <row r="1104" spans="1:11" hidden="1" x14ac:dyDescent="0.25">
      <c r="A1104" s="3" t="s">
        <v>2004</v>
      </c>
      <c r="B1104" s="3">
        <v>11</v>
      </c>
      <c r="C1104" s="5">
        <v>335</v>
      </c>
      <c r="D1104" s="6">
        <v>0</v>
      </c>
      <c r="E1104" s="7">
        <v>120400</v>
      </c>
      <c r="F1104" s="3">
        <v>54300</v>
      </c>
      <c r="G1104" s="3" t="str">
        <f t="shared" si="17"/>
        <v>5</v>
      </c>
      <c r="H1104" s="3" t="s">
        <v>2005</v>
      </c>
      <c r="I1104" s="8">
        <v>2600</v>
      </c>
      <c r="J1104" s="8">
        <v>2599.92</v>
      </c>
      <c r="K1104" s="8">
        <v>2600</v>
      </c>
    </row>
    <row r="1105" spans="1:11" hidden="1" x14ac:dyDescent="0.25">
      <c r="A1105" s="3" t="s">
        <v>2006</v>
      </c>
      <c r="B1105" s="3">
        <v>11</v>
      </c>
      <c r="C1105" s="5">
        <v>335</v>
      </c>
      <c r="D1105" s="6">
        <v>0</v>
      </c>
      <c r="E1105" s="7">
        <v>120400</v>
      </c>
      <c r="F1105" s="3">
        <v>55309</v>
      </c>
      <c r="G1105" s="3" t="str">
        <f t="shared" si="17"/>
        <v>5</v>
      </c>
      <c r="H1105" s="3" t="s">
        <v>2007</v>
      </c>
      <c r="I1105" s="8">
        <v>4952</v>
      </c>
      <c r="J1105" s="8">
        <v>700</v>
      </c>
      <c r="K1105" s="8">
        <v>4952</v>
      </c>
    </row>
    <row r="1106" spans="1:11" hidden="1" x14ac:dyDescent="0.25">
      <c r="A1106" s="3" t="s">
        <v>2008</v>
      </c>
      <c r="B1106" s="3">
        <v>11</v>
      </c>
      <c r="C1106" s="5">
        <v>335</v>
      </c>
      <c r="D1106" s="6">
        <v>0</v>
      </c>
      <c r="E1106" s="7">
        <v>120400</v>
      </c>
      <c r="F1106" s="3">
        <v>55630</v>
      </c>
      <c r="G1106" s="3" t="str">
        <f t="shared" si="17"/>
        <v>5</v>
      </c>
      <c r="H1106" s="3" t="s">
        <v>2009</v>
      </c>
      <c r="I1106" s="8">
        <v>211</v>
      </c>
      <c r="J1106" s="8">
        <v>0</v>
      </c>
      <c r="K1106" s="8">
        <v>211</v>
      </c>
    </row>
    <row r="1107" spans="1:11" hidden="1" x14ac:dyDescent="0.25">
      <c r="A1107" s="3" t="s">
        <v>2010</v>
      </c>
      <c r="B1107" s="3">
        <v>11</v>
      </c>
      <c r="C1107" s="5">
        <v>335</v>
      </c>
      <c r="D1107" s="6">
        <v>0</v>
      </c>
      <c r="E1107" s="7">
        <v>120400</v>
      </c>
      <c r="F1107" s="3">
        <v>55650</v>
      </c>
      <c r="G1107" s="3" t="str">
        <f t="shared" si="17"/>
        <v>5</v>
      </c>
      <c r="H1107" s="3" t="s">
        <v>2011</v>
      </c>
      <c r="I1107" s="8">
        <v>5000</v>
      </c>
      <c r="J1107" s="8">
        <v>1038.2</v>
      </c>
      <c r="K1107" s="8">
        <v>5000</v>
      </c>
    </row>
    <row r="1108" spans="1:11" hidden="1" x14ac:dyDescent="0.25">
      <c r="A1108" s="3" t="s">
        <v>2012</v>
      </c>
      <c r="B1108" s="3">
        <v>11</v>
      </c>
      <c r="C1108" s="5">
        <v>335</v>
      </c>
      <c r="D1108" s="6">
        <v>0</v>
      </c>
      <c r="E1108" s="7">
        <v>125000</v>
      </c>
      <c r="F1108" s="3">
        <v>51310</v>
      </c>
      <c r="G1108" s="3" t="str">
        <f t="shared" si="17"/>
        <v>5</v>
      </c>
      <c r="H1108" s="3" t="s">
        <v>2013</v>
      </c>
      <c r="I1108" s="8">
        <v>0</v>
      </c>
      <c r="J1108" s="8">
        <v>1113.98</v>
      </c>
      <c r="K1108" s="8">
        <v>0</v>
      </c>
    </row>
    <row r="1109" spans="1:11" hidden="1" x14ac:dyDescent="0.25">
      <c r="A1109" s="3" t="s">
        <v>2014</v>
      </c>
      <c r="B1109" s="3">
        <v>11</v>
      </c>
      <c r="C1109" s="5">
        <v>335</v>
      </c>
      <c r="D1109" s="6">
        <v>0</v>
      </c>
      <c r="E1109" s="7">
        <v>125000</v>
      </c>
      <c r="F1109" s="3">
        <v>51311</v>
      </c>
      <c r="G1109" s="3" t="str">
        <f t="shared" si="17"/>
        <v>5</v>
      </c>
      <c r="H1109" s="3" t="s">
        <v>2015</v>
      </c>
      <c r="I1109" s="8">
        <v>13000</v>
      </c>
      <c r="J1109" s="8">
        <v>4635.96</v>
      </c>
      <c r="K1109" s="8">
        <v>13000</v>
      </c>
    </row>
    <row r="1110" spans="1:11" hidden="1" x14ac:dyDescent="0.25">
      <c r="A1110" s="3" t="s">
        <v>2016</v>
      </c>
      <c r="B1110" s="3">
        <v>11</v>
      </c>
      <c r="C1110" s="5">
        <v>335</v>
      </c>
      <c r="D1110" s="6">
        <v>0</v>
      </c>
      <c r="E1110" s="7">
        <v>125000</v>
      </c>
      <c r="F1110" s="3">
        <v>52400</v>
      </c>
      <c r="G1110" s="3" t="str">
        <f t="shared" si="17"/>
        <v>5</v>
      </c>
      <c r="H1110" s="3" t="s">
        <v>2017</v>
      </c>
      <c r="I1110" s="8">
        <v>34500</v>
      </c>
      <c r="J1110" s="8">
        <v>6250.8</v>
      </c>
      <c r="K1110" s="8">
        <v>34500</v>
      </c>
    </row>
    <row r="1111" spans="1:11" hidden="1" x14ac:dyDescent="0.25">
      <c r="A1111" s="3" t="s">
        <v>2018</v>
      </c>
      <c r="B1111" s="3">
        <v>11</v>
      </c>
      <c r="C1111" s="5">
        <v>335</v>
      </c>
      <c r="D1111" s="6">
        <v>0</v>
      </c>
      <c r="E1111" s="7">
        <v>125000</v>
      </c>
      <c r="F1111" s="3">
        <v>53110</v>
      </c>
      <c r="G1111" s="3" t="str">
        <f t="shared" si="17"/>
        <v>5</v>
      </c>
      <c r="H1111" s="3" t="s">
        <v>2019</v>
      </c>
      <c r="I1111" s="8">
        <v>2099.5</v>
      </c>
      <c r="J1111" s="8">
        <v>748.73</v>
      </c>
      <c r="K1111" s="8">
        <v>2099.5</v>
      </c>
    </row>
    <row r="1112" spans="1:11" hidden="1" x14ac:dyDescent="0.25">
      <c r="A1112" s="3" t="s">
        <v>2020</v>
      </c>
      <c r="B1112" s="3">
        <v>11</v>
      </c>
      <c r="C1112" s="5">
        <v>335</v>
      </c>
      <c r="D1112" s="6">
        <v>0</v>
      </c>
      <c r="E1112" s="7">
        <v>125000</v>
      </c>
      <c r="F1112" s="3">
        <v>53310</v>
      </c>
      <c r="G1112" s="3" t="str">
        <f t="shared" si="17"/>
        <v>5</v>
      </c>
      <c r="H1112" s="3" t="s">
        <v>2021</v>
      </c>
      <c r="I1112" s="8">
        <v>2139</v>
      </c>
      <c r="J1112" s="8">
        <v>434.3</v>
      </c>
      <c r="K1112" s="8">
        <v>2139</v>
      </c>
    </row>
    <row r="1113" spans="1:11" hidden="1" x14ac:dyDescent="0.25">
      <c r="A1113" s="3" t="s">
        <v>2022</v>
      </c>
      <c r="B1113" s="3">
        <v>11</v>
      </c>
      <c r="C1113" s="5">
        <v>335</v>
      </c>
      <c r="D1113" s="6">
        <v>0</v>
      </c>
      <c r="E1113" s="7">
        <v>125000</v>
      </c>
      <c r="F1113" s="3">
        <v>53330</v>
      </c>
      <c r="G1113" s="3" t="str">
        <f t="shared" si="17"/>
        <v>5</v>
      </c>
      <c r="H1113" s="3" t="s">
        <v>2023</v>
      </c>
      <c r="I1113" s="8">
        <v>688.75</v>
      </c>
      <c r="J1113" s="8">
        <v>168.82</v>
      </c>
      <c r="K1113" s="8">
        <v>688.75</v>
      </c>
    </row>
    <row r="1114" spans="1:11" hidden="1" x14ac:dyDescent="0.25">
      <c r="A1114" s="3" t="s">
        <v>2024</v>
      </c>
      <c r="B1114" s="3">
        <v>11</v>
      </c>
      <c r="C1114" s="5">
        <v>335</v>
      </c>
      <c r="D1114" s="6">
        <v>0</v>
      </c>
      <c r="E1114" s="7">
        <v>125000</v>
      </c>
      <c r="F1114" s="3">
        <v>53410</v>
      </c>
      <c r="G1114" s="3" t="str">
        <f t="shared" si="17"/>
        <v>5</v>
      </c>
      <c r="H1114" s="3" t="s">
        <v>2025</v>
      </c>
      <c r="I1114" s="8">
        <v>0</v>
      </c>
      <c r="J1114" s="8">
        <v>220.9</v>
      </c>
      <c r="K1114" s="8">
        <v>0</v>
      </c>
    </row>
    <row r="1115" spans="1:11" hidden="1" x14ac:dyDescent="0.25">
      <c r="A1115" s="3" t="s">
        <v>2026</v>
      </c>
      <c r="B1115" s="3">
        <v>11</v>
      </c>
      <c r="C1115" s="5">
        <v>335</v>
      </c>
      <c r="D1115" s="6">
        <v>0</v>
      </c>
      <c r="E1115" s="7">
        <v>125000</v>
      </c>
      <c r="F1115" s="3">
        <v>53510</v>
      </c>
      <c r="G1115" s="3" t="str">
        <f t="shared" si="17"/>
        <v>5</v>
      </c>
      <c r="H1115" s="3" t="s">
        <v>2027</v>
      </c>
      <c r="I1115" s="8">
        <v>23.75</v>
      </c>
      <c r="J1115" s="8">
        <v>5.8</v>
      </c>
      <c r="K1115" s="8">
        <v>23.75</v>
      </c>
    </row>
    <row r="1116" spans="1:11" hidden="1" x14ac:dyDescent="0.25">
      <c r="A1116" s="3" t="s">
        <v>2028</v>
      </c>
      <c r="B1116" s="3">
        <v>11</v>
      </c>
      <c r="C1116" s="5">
        <v>335</v>
      </c>
      <c r="D1116" s="6">
        <v>0</v>
      </c>
      <c r="E1116" s="7">
        <v>125000</v>
      </c>
      <c r="F1116" s="3">
        <v>53610</v>
      </c>
      <c r="G1116" s="3" t="str">
        <f t="shared" si="17"/>
        <v>5</v>
      </c>
      <c r="H1116" s="3" t="s">
        <v>2029</v>
      </c>
      <c r="I1116" s="8">
        <v>898.13</v>
      </c>
      <c r="J1116" s="8">
        <v>226.94</v>
      </c>
      <c r="K1116" s="8">
        <v>898.13</v>
      </c>
    </row>
    <row r="1117" spans="1:11" hidden="1" x14ac:dyDescent="0.25">
      <c r="A1117" s="3" t="s">
        <v>2030</v>
      </c>
      <c r="B1117" s="3">
        <v>11</v>
      </c>
      <c r="C1117" s="5">
        <v>335</v>
      </c>
      <c r="D1117" s="6">
        <v>0</v>
      </c>
      <c r="E1117" s="7">
        <v>125000</v>
      </c>
      <c r="F1117" s="3">
        <v>53910</v>
      </c>
      <c r="G1117" s="3" t="str">
        <f t="shared" si="17"/>
        <v>5</v>
      </c>
      <c r="H1117" s="3" t="s">
        <v>2031</v>
      </c>
      <c r="I1117" s="8">
        <v>0</v>
      </c>
      <c r="J1117" s="8">
        <v>22.64</v>
      </c>
      <c r="K1117" s="8">
        <v>0</v>
      </c>
    </row>
    <row r="1118" spans="1:11" hidden="1" x14ac:dyDescent="0.25">
      <c r="A1118" s="3" t="s">
        <v>2032</v>
      </c>
      <c r="B1118" s="3">
        <v>11</v>
      </c>
      <c r="C1118" s="5">
        <v>335</v>
      </c>
      <c r="D1118" s="6">
        <v>0</v>
      </c>
      <c r="E1118" s="7">
        <v>125000</v>
      </c>
      <c r="F1118" s="3">
        <v>54300</v>
      </c>
      <c r="G1118" s="3" t="str">
        <f t="shared" si="17"/>
        <v>5</v>
      </c>
      <c r="H1118" s="3" t="s">
        <v>2033</v>
      </c>
      <c r="I1118" s="8">
        <v>3000</v>
      </c>
      <c r="J1118" s="8">
        <v>2715.02</v>
      </c>
      <c r="K1118" s="8">
        <v>3000</v>
      </c>
    </row>
    <row r="1119" spans="1:11" hidden="1" x14ac:dyDescent="0.25">
      <c r="A1119" s="3" t="s">
        <v>2034</v>
      </c>
      <c r="B1119" s="3">
        <v>11</v>
      </c>
      <c r="C1119" s="5">
        <v>335</v>
      </c>
      <c r="D1119" s="6">
        <v>0</v>
      </c>
      <c r="E1119" s="7">
        <v>125000</v>
      </c>
      <c r="F1119" s="3">
        <v>55630</v>
      </c>
      <c r="G1119" s="3" t="str">
        <f t="shared" si="17"/>
        <v>5</v>
      </c>
      <c r="H1119" s="3" t="s">
        <v>2035</v>
      </c>
      <c r="I1119" s="8">
        <v>84</v>
      </c>
      <c r="J1119" s="8">
        <v>33.409999999999997</v>
      </c>
      <c r="K1119" s="8">
        <v>84</v>
      </c>
    </row>
    <row r="1120" spans="1:11" hidden="1" x14ac:dyDescent="0.25">
      <c r="A1120" s="3" t="s">
        <v>2036</v>
      </c>
      <c r="B1120" s="3">
        <v>11</v>
      </c>
      <c r="C1120" s="5">
        <v>335</v>
      </c>
      <c r="D1120" s="6">
        <v>0</v>
      </c>
      <c r="E1120" s="7">
        <v>126000</v>
      </c>
      <c r="F1120" s="3">
        <v>51310</v>
      </c>
      <c r="G1120" s="3" t="str">
        <f t="shared" si="17"/>
        <v>5</v>
      </c>
      <c r="H1120" s="3" t="s">
        <v>2037</v>
      </c>
      <c r="I1120" s="8">
        <v>6000</v>
      </c>
      <c r="J1120" s="8">
        <v>3210.68</v>
      </c>
      <c r="K1120" s="8">
        <v>6000</v>
      </c>
    </row>
    <row r="1121" spans="1:11" hidden="1" x14ac:dyDescent="0.25">
      <c r="A1121" s="3" t="s">
        <v>2038</v>
      </c>
      <c r="B1121" s="3">
        <v>11</v>
      </c>
      <c r="C1121" s="5">
        <v>335</v>
      </c>
      <c r="D1121" s="6">
        <v>0</v>
      </c>
      <c r="E1121" s="7">
        <v>126000</v>
      </c>
      <c r="F1121" s="3">
        <v>51311</v>
      </c>
      <c r="G1121" s="3" t="str">
        <f t="shared" si="17"/>
        <v>5</v>
      </c>
      <c r="H1121" s="3" t="s">
        <v>2039</v>
      </c>
      <c r="I1121" s="8">
        <v>30000</v>
      </c>
      <c r="J1121" s="8">
        <v>16801.400000000001</v>
      </c>
      <c r="K1121" s="8">
        <v>30000</v>
      </c>
    </row>
    <row r="1122" spans="1:11" hidden="1" x14ac:dyDescent="0.25">
      <c r="A1122" s="3" t="s">
        <v>2040</v>
      </c>
      <c r="B1122" s="3">
        <v>11</v>
      </c>
      <c r="C1122" s="5">
        <v>335</v>
      </c>
      <c r="D1122" s="6">
        <v>0</v>
      </c>
      <c r="E1122" s="7">
        <v>126000</v>
      </c>
      <c r="F1122" s="3">
        <v>52400</v>
      </c>
      <c r="G1122" s="3" t="str">
        <f t="shared" si="17"/>
        <v>5</v>
      </c>
      <c r="H1122" s="3" t="s">
        <v>2041</v>
      </c>
      <c r="I1122" s="8">
        <v>1000</v>
      </c>
      <c r="J1122" s="8">
        <v>0</v>
      </c>
      <c r="K1122" s="8">
        <v>1000</v>
      </c>
    </row>
    <row r="1123" spans="1:11" hidden="1" x14ac:dyDescent="0.25">
      <c r="A1123" s="3" t="s">
        <v>2042</v>
      </c>
      <c r="B1123" s="3">
        <v>11</v>
      </c>
      <c r="C1123" s="5">
        <v>335</v>
      </c>
      <c r="D1123" s="6">
        <v>0</v>
      </c>
      <c r="E1123" s="7">
        <v>126000</v>
      </c>
      <c r="F1123" s="3">
        <v>53110</v>
      </c>
      <c r="G1123" s="3" t="str">
        <f t="shared" si="17"/>
        <v>5</v>
      </c>
      <c r="H1123" s="3" t="s">
        <v>2043</v>
      </c>
      <c r="I1123" s="8">
        <v>5814</v>
      </c>
      <c r="J1123" s="8">
        <v>69.400000000000006</v>
      </c>
      <c r="K1123" s="8">
        <v>5814</v>
      </c>
    </row>
    <row r="1124" spans="1:11" hidden="1" x14ac:dyDescent="0.25">
      <c r="A1124" s="3" t="s">
        <v>2044</v>
      </c>
      <c r="B1124" s="3">
        <v>11</v>
      </c>
      <c r="C1124" s="5">
        <v>335</v>
      </c>
      <c r="D1124" s="6">
        <v>0</v>
      </c>
      <c r="E1124" s="7">
        <v>126000</v>
      </c>
      <c r="F1124" s="3">
        <v>53310</v>
      </c>
      <c r="G1124" s="3" t="str">
        <f t="shared" si="17"/>
        <v>5</v>
      </c>
      <c r="H1124" s="3" t="s">
        <v>2045</v>
      </c>
      <c r="I1124" s="8">
        <v>62</v>
      </c>
      <c r="J1124" s="8">
        <v>467.49</v>
      </c>
      <c r="K1124" s="8">
        <v>62</v>
      </c>
    </row>
    <row r="1125" spans="1:11" hidden="1" x14ac:dyDescent="0.25">
      <c r="A1125" s="3" t="s">
        <v>2046</v>
      </c>
      <c r="B1125" s="3">
        <v>11</v>
      </c>
      <c r="C1125" s="5">
        <v>335</v>
      </c>
      <c r="D1125" s="6">
        <v>0</v>
      </c>
      <c r="E1125" s="7">
        <v>126000</v>
      </c>
      <c r="F1125" s="3">
        <v>53330</v>
      </c>
      <c r="G1125" s="3" t="str">
        <f t="shared" si="17"/>
        <v>5</v>
      </c>
      <c r="H1125" s="3" t="s">
        <v>2047</v>
      </c>
      <c r="I1125" s="8">
        <v>536.5</v>
      </c>
      <c r="J1125" s="8">
        <v>290.19</v>
      </c>
      <c r="K1125" s="8">
        <v>536.5</v>
      </c>
    </row>
    <row r="1126" spans="1:11" hidden="1" x14ac:dyDescent="0.25">
      <c r="A1126" s="3" t="s">
        <v>2048</v>
      </c>
      <c r="B1126" s="3">
        <v>11</v>
      </c>
      <c r="C1126" s="5">
        <v>335</v>
      </c>
      <c r="D1126" s="6">
        <v>0</v>
      </c>
      <c r="E1126" s="7">
        <v>126000</v>
      </c>
      <c r="F1126" s="3">
        <v>53410</v>
      </c>
      <c r="G1126" s="3" t="str">
        <f t="shared" si="17"/>
        <v>5</v>
      </c>
      <c r="H1126" s="3" t="s">
        <v>2049</v>
      </c>
      <c r="I1126" s="8">
        <v>0</v>
      </c>
      <c r="J1126" s="8">
        <v>172.85</v>
      </c>
      <c r="K1126" s="8">
        <v>0</v>
      </c>
    </row>
    <row r="1127" spans="1:11" hidden="1" x14ac:dyDescent="0.25">
      <c r="A1127" s="3" t="s">
        <v>2050</v>
      </c>
      <c r="B1127" s="3">
        <v>11</v>
      </c>
      <c r="C1127" s="5">
        <v>335</v>
      </c>
      <c r="D1127" s="6">
        <v>0</v>
      </c>
      <c r="E1127" s="7">
        <v>126000</v>
      </c>
      <c r="F1127" s="3">
        <v>53510</v>
      </c>
      <c r="G1127" s="3" t="str">
        <f t="shared" si="17"/>
        <v>5</v>
      </c>
      <c r="H1127" s="3" t="s">
        <v>2051</v>
      </c>
      <c r="I1127" s="8">
        <v>18.5</v>
      </c>
      <c r="J1127" s="8">
        <v>9.98</v>
      </c>
      <c r="K1127" s="8">
        <v>18.5</v>
      </c>
    </row>
    <row r="1128" spans="1:11" hidden="1" x14ac:dyDescent="0.25">
      <c r="A1128" s="3" t="s">
        <v>2052</v>
      </c>
      <c r="B1128" s="3">
        <v>11</v>
      </c>
      <c r="C1128" s="5">
        <v>335</v>
      </c>
      <c r="D1128" s="6">
        <v>0</v>
      </c>
      <c r="E1128" s="7">
        <v>126000</v>
      </c>
      <c r="F1128" s="3">
        <v>53610</v>
      </c>
      <c r="G1128" s="3" t="str">
        <f t="shared" si="17"/>
        <v>5</v>
      </c>
      <c r="H1128" s="3" t="s">
        <v>2053</v>
      </c>
      <c r="I1128" s="8">
        <v>699.6</v>
      </c>
      <c r="J1128" s="8">
        <v>378.41</v>
      </c>
      <c r="K1128" s="8">
        <v>699.6</v>
      </c>
    </row>
    <row r="1129" spans="1:11" hidden="1" x14ac:dyDescent="0.25">
      <c r="A1129" s="3" t="s">
        <v>2054</v>
      </c>
      <c r="B1129" s="3">
        <v>11</v>
      </c>
      <c r="C1129" s="5">
        <v>335</v>
      </c>
      <c r="D1129" s="6">
        <v>0</v>
      </c>
      <c r="E1129" s="7">
        <v>126000</v>
      </c>
      <c r="F1129" s="3">
        <v>53910</v>
      </c>
      <c r="G1129" s="3" t="str">
        <f t="shared" si="17"/>
        <v>5</v>
      </c>
      <c r="H1129" s="3" t="s">
        <v>2055</v>
      </c>
      <c r="I1129" s="8">
        <v>0</v>
      </c>
      <c r="J1129" s="8">
        <v>19.07</v>
      </c>
      <c r="K1129" s="8">
        <v>0</v>
      </c>
    </row>
    <row r="1130" spans="1:11" hidden="1" x14ac:dyDescent="0.25">
      <c r="A1130" s="3" t="s">
        <v>2056</v>
      </c>
      <c r="B1130" s="3">
        <v>11</v>
      </c>
      <c r="C1130" s="5">
        <v>335</v>
      </c>
      <c r="D1130" s="6">
        <v>0</v>
      </c>
      <c r="E1130" s="7">
        <v>126000</v>
      </c>
      <c r="F1130" s="3">
        <v>54300</v>
      </c>
      <c r="G1130" s="3" t="str">
        <f t="shared" si="17"/>
        <v>5</v>
      </c>
      <c r="H1130" s="3" t="s">
        <v>2057</v>
      </c>
      <c r="I1130" s="8">
        <v>2000</v>
      </c>
      <c r="J1130" s="8">
        <v>465.17</v>
      </c>
      <c r="K1130" s="8">
        <v>2000</v>
      </c>
    </row>
    <row r="1131" spans="1:11" hidden="1" x14ac:dyDescent="0.25">
      <c r="A1131" s="3" t="s">
        <v>2058</v>
      </c>
      <c r="B1131" s="3">
        <v>11</v>
      </c>
      <c r="C1131" s="5">
        <v>335</v>
      </c>
      <c r="D1131" s="6">
        <v>0</v>
      </c>
      <c r="E1131" s="7">
        <v>601000</v>
      </c>
      <c r="F1131" s="3">
        <v>51210</v>
      </c>
      <c r="G1131" s="3" t="str">
        <f t="shared" si="17"/>
        <v>5</v>
      </c>
      <c r="H1131" s="3" t="s">
        <v>477</v>
      </c>
      <c r="I1131" s="8">
        <v>148907</v>
      </c>
      <c r="J1131" s="8">
        <v>107865.32</v>
      </c>
      <c r="K1131" s="8">
        <v>148907</v>
      </c>
    </row>
    <row r="1132" spans="1:11" hidden="1" x14ac:dyDescent="0.25">
      <c r="A1132" s="3" t="s">
        <v>2059</v>
      </c>
      <c r="B1132" s="3">
        <v>11</v>
      </c>
      <c r="C1132" s="5">
        <v>335</v>
      </c>
      <c r="D1132" s="6">
        <v>0</v>
      </c>
      <c r="E1132" s="7">
        <v>601000</v>
      </c>
      <c r="F1132" s="3">
        <v>52105</v>
      </c>
      <c r="G1132" s="3" t="str">
        <f t="shared" si="17"/>
        <v>5</v>
      </c>
      <c r="H1132" s="3" t="s">
        <v>481</v>
      </c>
      <c r="I1132" s="8">
        <v>107815.39</v>
      </c>
      <c r="J1132" s="8">
        <v>76953</v>
      </c>
      <c r="K1132" s="8">
        <v>107815.39</v>
      </c>
    </row>
    <row r="1133" spans="1:11" hidden="1" x14ac:dyDescent="0.25">
      <c r="A1133" s="3" t="s">
        <v>2060</v>
      </c>
      <c r="B1133" s="3">
        <v>11</v>
      </c>
      <c r="C1133" s="5">
        <v>335</v>
      </c>
      <c r="D1133" s="6">
        <v>0</v>
      </c>
      <c r="E1133" s="7">
        <v>601000</v>
      </c>
      <c r="F1133" s="3">
        <v>53120</v>
      </c>
      <c r="G1133" s="3" t="str">
        <f t="shared" si="17"/>
        <v>5</v>
      </c>
      <c r="H1133" s="3" t="s">
        <v>485</v>
      </c>
      <c r="I1133" s="8">
        <v>24048.48</v>
      </c>
      <c r="J1133" s="8">
        <v>17421.169999999998</v>
      </c>
      <c r="K1133" s="8">
        <v>24048.48</v>
      </c>
    </row>
    <row r="1134" spans="1:11" hidden="1" x14ac:dyDescent="0.25">
      <c r="A1134" s="3" t="s">
        <v>2061</v>
      </c>
      <c r="B1134" s="3">
        <v>11</v>
      </c>
      <c r="C1134" s="5">
        <v>335</v>
      </c>
      <c r="D1134" s="6">
        <v>0</v>
      </c>
      <c r="E1134" s="7">
        <v>601000</v>
      </c>
      <c r="F1134" s="3">
        <v>53220</v>
      </c>
      <c r="G1134" s="3" t="str">
        <f t="shared" si="17"/>
        <v>5</v>
      </c>
      <c r="H1134" s="3" t="s">
        <v>487</v>
      </c>
      <c r="I1134" s="8">
        <v>22317.78</v>
      </c>
      <c r="J1134" s="8">
        <v>15930.5</v>
      </c>
      <c r="K1134" s="8">
        <v>22317.78</v>
      </c>
    </row>
    <row r="1135" spans="1:11" hidden="1" x14ac:dyDescent="0.25">
      <c r="A1135" s="3" t="s">
        <v>2062</v>
      </c>
      <c r="B1135" s="3">
        <v>11</v>
      </c>
      <c r="C1135" s="5">
        <v>335</v>
      </c>
      <c r="D1135" s="6">
        <v>0</v>
      </c>
      <c r="E1135" s="7">
        <v>601000</v>
      </c>
      <c r="F1135" s="3">
        <v>53320</v>
      </c>
      <c r="G1135" s="3" t="str">
        <f t="shared" si="17"/>
        <v>5</v>
      </c>
      <c r="H1135" s="3" t="s">
        <v>489</v>
      </c>
      <c r="I1135" s="8">
        <v>6684.55</v>
      </c>
      <c r="J1135" s="8">
        <v>4714.49</v>
      </c>
      <c r="K1135" s="8">
        <v>6684.55</v>
      </c>
    </row>
    <row r="1136" spans="1:11" hidden="1" x14ac:dyDescent="0.25">
      <c r="A1136" s="3" t="s">
        <v>2063</v>
      </c>
      <c r="B1136" s="3">
        <v>11</v>
      </c>
      <c r="C1136" s="5">
        <v>335</v>
      </c>
      <c r="D1136" s="6">
        <v>0</v>
      </c>
      <c r="E1136" s="7">
        <v>601000</v>
      </c>
      <c r="F1136" s="3">
        <v>53340</v>
      </c>
      <c r="G1136" s="3" t="str">
        <f t="shared" si="17"/>
        <v>5</v>
      </c>
      <c r="H1136" s="3" t="s">
        <v>491</v>
      </c>
      <c r="I1136" s="8">
        <v>3722.47</v>
      </c>
      <c r="J1136" s="8">
        <v>2666.59</v>
      </c>
      <c r="K1136" s="8">
        <v>3722.47</v>
      </c>
    </row>
    <row r="1137" spans="1:11" hidden="1" x14ac:dyDescent="0.25">
      <c r="A1137" s="3" t="s">
        <v>2064</v>
      </c>
      <c r="B1137" s="3">
        <v>11</v>
      </c>
      <c r="C1137" s="5">
        <v>335</v>
      </c>
      <c r="D1137" s="6">
        <v>0</v>
      </c>
      <c r="E1137" s="7">
        <v>601000</v>
      </c>
      <c r="F1137" s="3">
        <v>53420</v>
      </c>
      <c r="G1137" s="3" t="str">
        <f t="shared" si="17"/>
        <v>5</v>
      </c>
      <c r="H1137" s="3" t="s">
        <v>493</v>
      </c>
      <c r="I1137" s="8">
        <v>54876.63</v>
      </c>
      <c r="J1137" s="8">
        <v>40211.79</v>
      </c>
      <c r="K1137" s="8">
        <v>54876.63</v>
      </c>
    </row>
    <row r="1138" spans="1:11" hidden="1" x14ac:dyDescent="0.25">
      <c r="A1138" s="3" t="s">
        <v>2065</v>
      </c>
      <c r="B1138" s="3">
        <v>11</v>
      </c>
      <c r="C1138" s="5">
        <v>335</v>
      </c>
      <c r="D1138" s="6">
        <v>0</v>
      </c>
      <c r="E1138" s="7">
        <v>601000</v>
      </c>
      <c r="F1138" s="3">
        <v>53520</v>
      </c>
      <c r="G1138" s="3" t="str">
        <f t="shared" si="17"/>
        <v>5</v>
      </c>
      <c r="H1138" s="3" t="s">
        <v>495</v>
      </c>
      <c r="I1138" s="8">
        <v>128.36000000000001</v>
      </c>
      <c r="J1138" s="8">
        <v>92.42</v>
      </c>
      <c r="K1138" s="8">
        <v>128.36000000000001</v>
      </c>
    </row>
    <row r="1139" spans="1:11" hidden="1" x14ac:dyDescent="0.25">
      <c r="A1139" s="3" t="s">
        <v>2066</v>
      </c>
      <c r="B1139" s="3">
        <v>11</v>
      </c>
      <c r="C1139" s="5">
        <v>335</v>
      </c>
      <c r="D1139" s="6">
        <v>0</v>
      </c>
      <c r="E1139" s="7">
        <v>601000</v>
      </c>
      <c r="F1139" s="3">
        <v>53620</v>
      </c>
      <c r="G1139" s="3" t="str">
        <f t="shared" si="17"/>
        <v>5</v>
      </c>
      <c r="H1139" s="3" t="s">
        <v>497</v>
      </c>
      <c r="I1139" s="8">
        <v>4854.1000000000004</v>
      </c>
      <c r="J1139" s="8">
        <v>3498.7</v>
      </c>
      <c r="K1139" s="8">
        <v>4854.1000000000004</v>
      </c>
    </row>
    <row r="1140" spans="1:11" hidden="1" x14ac:dyDescent="0.25">
      <c r="A1140" s="3" t="s">
        <v>2067</v>
      </c>
      <c r="B1140" s="3">
        <v>11</v>
      </c>
      <c r="C1140" s="5">
        <v>335</v>
      </c>
      <c r="D1140" s="6">
        <v>0</v>
      </c>
      <c r="E1140" s="7">
        <v>601000</v>
      </c>
      <c r="F1140" s="3">
        <v>53920</v>
      </c>
      <c r="G1140" s="3" t="str">
        <f t="shared" si="17"/>
        <v>5</v>
      </c>
      <c r="H1140" s="3" t="s">
        <v>499</v>
      </c>
      <c r="I1140" s="8">
        <v>2400</v>
      </c>
      <c r="J1140" s="8">
        <v>1538.51</v>
      </c>
      <c r="K1140" s="8">
        <v>2400</v>
      </c>
    </row>
    <row r="1141" spans="1:11" hidden="1" x14ac:dyDescent="0.25">
      <c r="A1141" s="3" t="s">
        <v>2068</v>
      </c>
      <c r="B1141" s="3">
        <v>11</v>
      </c>
      <c r="C1141" s="5">
        <v>335</v>
      </c>
      <c r="D1141" s="6">
        <v>0</v>
      </c>
      <c r="E1141" s="7">
        <v>601000</v>
      </c>
      <c r="F1141" s="3">
        <v>55630</v>
      </c>
      <c r="G1141" s="3" t="str">
        <f t="shared" si="17"/>
        <v>5</v>
      </c>
      <c r="H1141" s="3" t="s">
        <v>509</v>
      </c>
      <c r="I1141" s="8">
        <v>3242</v>
      </c>
      <c r="J1141" s="8">
        <v>147.91</v>
      </c>
      <c r="K1141" s="8">
        <v>3242</v>
      </c>
    </row>
    <row r="1142" spans="1:11" hidden="1" x14ac:dyDescent="0.25">
      <c r="A1142" s="3" t="s">
        <v>2069</v>
      </c>
      <c r="B1142" s="3">
        <v>11</v>
      </c>
      <c r="C1142" s="5">
        <v>340</v>
      </c>
      <c r="D1142" s="6">
        <v>0</v>
      </c>
      <c r="E1142" s="7">
        <v>682500</v>
      </c>
      <c r="F1142" s="3">
        <v>51210</v>
      </c>
      <c r="G1142" s="3" t="str">
        <f t="shared" si="17"/>
        <v>5</v>
      </c>
      <c r="H1142" s="3" t="s">
        <v>2070</v>
      </c>
      <c r="I1142" s="8">
        <v>197859</v>
      </c>
      <c r="J1142" s="8">
        <v>131073.47</v>
      </c>
      <c r="K1142" s="8">
        <v>197859</v>
      </c>
    </row>
    <row r="1143" spans="1:11" hidden="1" x14ac:dyDescent="0.25">
      <c r="A1143" s="3" t="s">
        <v>2071</v>
      </c>
      <c r="B1143" s="3">
        <v>11</v>
      </c>
      <c r="C1143" s="5">
        <v>340</v>
      </c>
      <c r="D1143" s="6">
        <v>0</v>
      </c>
      <c r="E1143" s="7">
        <v>682500</v>
      </c>
      <c r="F1143" s="3">
        <v>52360</v>
      </c>
      <c r="G1143" s="3" t="str">
        <f t="shared" si="17"/>
        <v>5</v>
      </c>
      <c r="H1143" s="3" t="s">
        <v>2072</v>
      </c>
      <c r="I1143" s="8">
        <v>378500</v>
      </c>
      <c r="J1143" s="8">
        <v>178135.5</v>
      </c>
      <c r="K1143" s="8">
        <v>378500</v>
      </c>
    </row>
    <row r="1144" spans="1:11" hidden="1" x14ac:dyDescent="0.25">
      <c r="A1144" s="3" t="s">
        <v>2073</v>
      </c>
      <c r="B1144" s="3">
        <v>11</v>
      </c>
      <c r="C1144" s="5">
        <v>340</v>
      </c>
      <c r="D1144" s="6">
        <v>0</v>
      </c>
      <c r="E1144" s="7">
        <v>682500</v>
      </c>
      <c r="F1144" s="3">
        <v>53120</v>
      </c>
      <c r="G1144" s="3" t="str">
        <f t="shared" si="17"/>
        <v>5</v>
      </c>
      <c r="H1144" s="3" t="s">
        <v>2074</v>
      </c>
      <c r="I1144" s="8">
        <v>31954.23</v>
      </c>
      <c r="J1144" s="8">
        <v>19306.580000000002</v>
      </c>
      <c r="K1144" s="8">
        <v>31954.23</v>
      </c>
    </row>
    <row r="1145" spans="1:11" hidden="1" x14ac:dyDescent="0.25">
      <c r="A1145" s="3" t="s">
        <v>2075</v>
      </c>
      <c r="B1145" s="3">
        <v>11</v>
      </c>
      <c r="C1145" s="5">
        <v>340</v>
      </c>
      <c r="D1145" s="6">
        <v>0</v>
      </c>
      <c r="E1145" s="7">
        <v>682500</v>
      </c>
      <c r="F1145" s="3">
        <v>53220</v>
      </c>
      <c r="G1145" s="3" t="str">
        <f t="shared" si="17"/>
        <v>5</v>
      </c>
      <c r="H1145" s="3" t="s">
        <v>2076</v>
      </c>
      <c r="I1145" s="8">
        <v>0</v>
      </c>
      <c r="J1145" s="8">
        <v>4903.32</v>
      </c>
      <c r="K1145" s="8">
        <v>0</v>
      </c>
    </row>
    <row r="1146" spans="1:11" hidden="1" x14ac:dyDescent="0.25">
      <c r="A1146" s="3" t="s">
        <v>2077</v>
      </c>
      <c r="B1146" s="3">
        <v>11</v>
      </c>
      <c r="C1146" s="5">
        <v>340</v>
      </c>
      <c r="D1146" s="6">
        <v>0</v>
      </c>
      <c r="E1146" s="7">
        <v>682500</v>
      </c>
      <c r="F1146" s="3">
        <v>53320</v>
      </c>
      <c r="G1146" s="3" t="str">
        <f t="shared" si="17"/>
        <v>5</v>
      </c>
      <c r="H1146" s="3" t="s">
        <v>2078</v>
      </c>
      <c r="I1146" s="8">
        <v>23467</v>
      </c>
      <c r="J1146" s="8">
        <v>9967.31</v>
      </c>
      <c r="K1146" s="8">
        <v>23467</v>
      </c>
    </row>
    <row r="1147" spans="1:11" hidden="1" x14ac:dyDescent="0.25">
      <c r="A1147" s="3" t="s">
        <v>2079</v>
      </c>
      <c r="B1147" s="3">
        <v>11</v>
      </c>
      <c r="C1147" s="5">
        <v>340</v>
      </c>
      <c r="D1147" s="6">
        <v>0</v>
      </c>
      <c r="E1147" s="7">
        <v>682500</v>
      </c>
      <c r="F1147" s="3">
        <v>53340</v>
      </c>
      <c r="G1147" s="3" t="str">
        <f t="shared" si="17"/>
        <v>5</v>
      </c>
      <c r="H1147" s="3" t="s">
        <v>2080</v>
      </c>
      <c r="I1147" s="8">
        <v>8357.2099999999991</v>
      </c>
      <c r="J1147" s="8">
        <v>4476.8599999999997</v>
      </c>
      <c r="K1147" s="8">
        <v>8357.2099999999991</v>
      </c>
    </row>
    <row r="1148" spans="1:11" hidden="1" x14ac:dyDescent="0.25">
      <c r="A1148" s="3" t="s">
        <v>2081</v>
      </c>
      <c r="B1148" s="3">
        <v>11</v>
      </c>
      <c r="C1148" s="5">
        <v>340</v>
      </c>
      <c r="D1148" s="6">
        <v>0</v>
      </c>
      <c r="E1148" s="7">
        <v>682500</v>
      </c>
      <c r="F1148" s="3">
        <v>53420</v>
      </c>
      <c r="G1148" s="3" t="str">
        <f t="shared" si="17"/>
        <v>5</v>
      </c>
      <c r="H1148" s="3" t="s">
        <v>2082</v>
      </c>
      <c r="I1148" s="8">
        <v>42608.57</v>
      </c>
      <c r="J1148" s="8">
        <v>23954.55</v>
      </c>
      <c r="K1148" s="8">
        <v>42608.57</v>
      </c>
    </row>
    <row r="1149" spans="1:11" hidden="1" x14ac:dyDescent="0.25">
      <c r="A1149" s="3" t="s">
        <v>2083</v>
      </c>
      <c r="B1149" s="3">
        <v>11</v>
      </c>
      <c r="C1149" s="5">
        <v>340</v>
      </c>
      <c r="D1149" s="6">
        <v>0</v>
      </c>
      <c r="E1149" s="7">
        <v>682500</v>
      </c>
      <c r="F1149" s="3">
        <v>53520</v>
      </c>
      <c r="G1149" s="3" t="str">
        <f t="shared" si="17"/>
        <v>5</v>
      </c>
      <c r="H1149" s="3" t="s">
        <v>2084</v>
      </c>
      <c r="I1149" s="8">
        <v>288.18</v>
      </c>
      <c r="J1149" s="8">
        <v>154.78</v>
      </c>
      <c r="K1149" s="8">
        <v>288.18</v>
      </c>
    </row>
    <row r="1150" spans="1:11" hidden="1" x14ac:dyDescent="0.25">
      <c r="A1150" s="3" t="s">
        <v>2085</v>
      </c>
      <c r="B1150" s="3">
        <v>11</v>
      </c>
      <c r="C1150" s="5">
        <v>340</v>
      </c>
      <c r="D1150" s="6">
        <v>0</v>
      </c>
      <c r="E1150" s="7">
        <v>682500</v>
      </c>
      <c r="F1150" s="3">
        <v>53620</v>
      </c>
      <c r="G1150" s="3" t="str">
        <f t="shared" si="17"/>
        <v>5</v>
      </c>
      <c r="H1150" s="3" t="s">
        <v>2086</v>
      </c>
      <c r="I1150" s="8">
        <v>10897.79</v>
      </c>
      <c r="J1150" s="8">
        <v>5846.61</v>
      </c>
      <c r="K1150" s="8">
        <v>10897.79</v>
      </c>
    </row>
    <row r="1151" spans="1:11" hidden="1" x14ac:dyDescent="0.25">
      <c r="A1151" s="3" t="s">
        <v>2087</v>
      </c>
      <c r="B1151" s="3">
        <v>11</v>
      </c>
      <c r="C1151" s="5">
        <v>340</v>
      </c>
      <c r="D1151" s="6">
        <v>0</v>
      </c>
      <c r="E1151" s="7">
        <v>682500</v>
      </c>
      <c r="F1151" s="3">
        <v>53920</v>
      </c>
      <c r="G1151" s="3" t="str">
        <f t="shared" si="17"/>
        <v>5</v>
      </c>
      <c r="H1151" s="3" t="s">
        <v>2088</v>
      </c>
      <c r="I1151" s="8">
        <v>2400</v>
      </c>
      <c r="J1151" s="8">
        <v>1200</v>
      </c>
      <c r="K1151" s="8">
        <v>2400</v>
      </c>
    </row>
    <row r="1152" spans="1:11" hidden="1" x14ac:dyDescent="0.25">
      <c r="A1152" s="3" t="s">
        <v>2089</v>
      </c>
      <c r="B1152" s="3">
        <v>11</v>
      </c>
      <c r="C1152" s="5">
        <v>340</v>
      </c>
      <c r="D1152" s="6">
        <v>0</v>
      </c>
      <c r="E1152" s="7">
        <v>682500</v>
      </c>
      <c r="F1152" s="3">
        <v>54300</v>
      </c>
      <c r="G1152" s="3" t="str">
        <f t="shared" si="17"/>
        <v>5</v>
      </c>
      <c r="H1152" s="3" t="s">
        <v>2090</v>
      </c>
      <c r="I1152" s="8">
        <v>46500</v>
      </c>
      <c r="J1152" s="8">
        <v>0</v>
      </c>
      <c r="K1152" s="8">
        <v>46500</v>
      </c>
    </row>
    <row r="1153" spans="1:11" hidden="1" x14ac:dyDescent="0.25">
      <c r="A1153" s="3" t="s">
        <v>2091</v>
      </c>
      <c r="B1153" s="3">
        <v>11</v>
      </c>
      <c r="C1153" s="5">
        <v>340</v>
      </c>
      <c r="D1153" s="6">
        <v>0</v>
      </c>
      <c r="E1153" s="7">
        <v>682500</v>
      </c>
      <c r="F1153" s="3">
        <v>54320</v>
      </c>
      <c r="G1153" s="3" t="str">
        <f t="shared" si="17"/>
        <v>5</v>
      </c>
      <c r="H1153" s="3" t="s">
        <v>2092</v>
      </c>
      <c r="I1153" s="8">
        <v>2500</v>
      </c>
      <c r="J1153" s="8">
        <v>0</v>
      </c>
      <c r="K1153" s="8">
        <v>2500</v>
      </c>
    </row>
    <row r="1154" spans="1:11" hidden="1" x14ac:dyDescent="0.25">
      <c r="A1154" s="3" t="s">
        <v>2093</v>
      </c>
      <c r="B1154" s="3">
        <v>11</v>
      </c>
      <c r="C1154" s="5">
        <v>340</v>
      </c>
      <c r="D1154" s="6">
        <v>0</v>
      </c>
      <c r="E1154" s="7">
        <v>682500</v>
      </c>
      <c r="F1154" s="3">
        <v>55105</v>
      </c>
      <c r="G1154" s="3" t="str">
        <f t="shared" si="17"/>
        <v>5</v>
      </c>
      <c r="H1154" s="3" t="s">
        <v>2094</v>
      </c>
      <c r="I1154" s="8">
        <v>28085</v>
      </c>
      <c r="J1154" s="8">
        <v>104.03</v>
      </c>
      <c r="K1154" s="8">
        <v>28085</v>
      </c>
    </row>
    <row r="1155" spans="1:11" hidden="1" x14ac:dyDescent="0.25">
      <c r="A1155" s="3" t="s">
        <v>2095</v>
      </c>
      <c r="B1155" s="3">
        <v>11</v>
      </c>
      <c r="C1155" s="5">
        <v>340</v>
      </c>
      <c r="D1155" s="6">
        <v>0</v>
      </c>
      <c r="E1155" s="7">
        <v>682500</v>
      </c>
      <c r="F1155" s="3">
        <v>55200</v>
      </c>
      <c r="G1155" s="3" t="str">
        <f t="shared" ref="G1155:G1218" si="18">LEFT(F1155,1)</f>
        <v>5</v>
      </c>
      <c r="H1155" s="3" t="s">
        <v>2096</v>
      </c>
      <c r="I1155" s="8">
        <v>1000</v>
      </c>
      <c r="J1155" s="8">
        <v>0</v>
      </c>
      <c r="K1155" s="8">
        <v>1000</v>
      </c>
    </row>
    <row r="1156" spans="1:11" hidden="1" x14ac:dyDescent="0.25">
      <c r="A1156" s="3" t="s">
        <v>2097</v>
      </c>
      <c r="B1156" s="3">
        <v>11</v>
      </c>
      <c r="C1156" s="5">
        <v>340</v>
      </c>
      <c r="D1156" s="6">
        <v>0</v>
      </c>
      <c r="E1156" s="7">
        <v>682500</v>
      </c>
      <c r="F1156" s="3">
        <v>55600</v>
      </c>
      <c r="G1156" s="3" t="str">
        <f t="shared" si="18"/>
        <v>5</v>
      </c>
      <c r="H1156" s="3" t="s">
        <v>2098</v>
      </c>
      <c r="I1156" s="8">
        <v>25000</v>
      </c>
      <c r="J1156" s="8">
        <v>1637.28</v>
      </c>
      <c r="K1156" s="8">
        <v>25000</v>
      </c>
    </row>
    <row r="1157" spans="1:11" hidden="1" x14ac:dyDescent="0.25">
      <c r="A1157" s="3" t="s">
        <v>2099</v>
      </c>
      <c r="B1157" s="3">
        <v>11</v>
      </c>
      <c r="C1157" s="5">
        <v>340</v>
      </c>
      <c r="D1157" s="6">
        <v>0</v>
      </c>
      <c r="E1157" s="7">
        <v>682500</v>
      </c>
      <c r="F1157" s="3">
        <v>55630</v>
      </c>
      <c r="G1157" s="3" t="str">
        <f t="shared" si="18"/>
        <v>5</v>
      </c>
      <c r="H1157" s="3" t="s">
        <v>2100</v>
      </c>
      <c r="I1157" s="8">
        <v>575</v>
      </c>
      <c r="J1157" s="8">
        <v>0</v>
      </c>
      <c r="K1157" s="8">
        <v>575</v>
      </c>
    </row>
    <row r="1158" spans="1:11" hidden="1" x14ac:dyDescent="0.25">
      <c r="A1158" s="3" t="s">
        <v>2101</v>
      </c>
      <c r="B1158" s="3">
        <v>11</v>
      </c>
      <c r="C1158" s="5">
        <v>340</v>
      </c>
      <c r="D1158" s="6">
        <v>0</v>
      </c>
      <c r="E1158" s="7">
        <v>682500</v>
      </c>
      <c r="F1158" s="3">
        <v>55635</v>
      </c>
      <c r="G1158" s="3" t="str">
        <f t="shared" si="18"/>
        <v>5</v>
      </c>
      <c r="H1158" s="3" t="s">
        <v>2102</v>
      </c>
      <c r="I1158" s="8">
        <v>15500</v>
      </c>
      <c r="J1158" s="8">
        <v>0</v>
      </c>
      <c r="K1158" s="8">
        <v>15500</v>
      </c>
    </row>
    <row r="1159" spans="1:11" hidden="1" x14ac:dyDescent="0.25">
      <c r="A1159" s="3" t="s">
        <v>2103</v>
      </c>
      <c r="B1159" s="3">
        <v>11</v>
      </c>
      <c r="C1159" s="5">
        <v>340</v>
      </c>
      <c r="D1159" s="6">
        <v>0</v>
      </c>
      <c r="E1159" s="7">
        <v>682500</v>
      </c>
      <c r="F1159" s="3">
        <v>55650</v>
      </c>
      <c r="G1159" s="3" t="str">
        <f t="shared" si="18"/>
        <v>5</v>
      </c>
      <c r="H1159" s="3" t="s">
        <v>2104</v>
      </c>
      <c r="I1159" s="8">
        <v>1600</v>
      </c>
      <c r="J1159" s="8">
        <v>0</v>
      </c>
      <c r="K1159" s="8">
        <v>1600</v>
      </c>
    </row>
    <row r="1160" spans="1:11" hidden="1" x14ac:dyDescent="0.25">
      <c r="A1160" s="3" t="s">
        <v>2105</v>
      </c>
      <c r="B1160" s="3">
        <v>11</v>
      </c>
      <c r="C1160" s="5">
        <v>340</v>
      </c>
      <c r="D1160" s="6">
        <v>0</v>
      </c>
      <c r="E1160" s="7">
        <v>682500</v>
      </c>
      <c r="F1160" s="3">
        <v>55651</v>
      </c>
      <c r="G1160" s="3" t="str">
        <f t="shared" si="18"/>
        <v>5</v>
      </c>
      <c r="H1160" s="3" t="s">
        <v>2106</v>
      </c>
      <c r="I1160" s="8">
        <v>3500</v>
      </c>
      <c r="J1160" s="8">
        <v>0</v>
      </c>
      <c r="K1160" s="8">
        <v>3500</v>
      </c>
    </row>
    <row r="1161" spans="1:11" hidden="1" x14ac:dyDescent="0.25">
      <c r="A1161" s="3" t="s">
        <v>2107</v>
      </c>
      <c r="B1161" s="3">
        <v>11</v>
      </c>
      <c r="C1161" s="5">
        <v>340</v>
      </c>
      <c r="D1161" s="6">
        <v>0</v>
      </c>
      <c r="E1161" s="7">
        <v>682500</v>
      </c>
      <c r="F1161" s="3">
        <v>55810</v>
      </c>
      <c r="G1161" s="3" t="str">
        <f t="shared" si="18"/>
        <v>5</v>
      </c>
      <c r="H1161" s="3" t="s">
        <v>2108</v>
      </c>
      <c r="I1161" s="8">
        <v>3500</v>
      </c>
      <c r="J1161" s="8">
        <v>0</v>
      </c>
      <c r="K1161" s="8">
        <v>3500</v>
      </c>
    </row>
    <row r="1162" spans="1:11" hidden="1" x14ac:dyDescent="0.25">
      <c r="A1162" s="3" t="s">
        <v>2109</v>
      </c>
      <c r="B1162" s="3">
        <v>11</v>
      </c>
      <c r="C1162" s="5">
        <v>340</v>
      </c>
      <c r="D1162" s="6">
        <v>0</v>
      </c>
      <c r="E1162" s="7">
        <v>682500</v>
      </c>
      <c r="F1162" s="3">
        <v>55820</v>
      </c>
      <c r="G1162" s="3" t="str">
        <f t="shared" si="18"/>
        <v>5</v>
      </c>
      <c r="H1162" s="3" t="s">
        <v>2110</v>
      </c>
      <c r="I1162" s="8">
        <v>500</v>
      </c>
      <c r="J1162" s="8">
        <v>0</v>
      </c>
      <c r="K1162" s="8">
        <v>500</v>
      </c>
    </row>
    <row r="1163" spans="1:11" hidden="1" x14ac:dyDescent="0.25">
      <c r="A1163" s="3" t="s">
        <v>2111</v>
      </c>
      <c r="B1163" s="3">
        <v>11</v>
      </c>
      <c r="C1163" s="5">
        <v>340</v>
      </c>
      <c r="D1163" s="6">
        <v>0</v>
      </c>
      <c r="E1163" s="7">
        <v>682500</v>
      </c>
      <c r="F1163" s="3">
        <v>55830</v>
      </c>
      <c r="G1163" s="3" t="str">
        <f t="shared" si="18"/>
        <v>5</v>
      </c>
      <c r="H1163" s="3" t="s">
        <v>2112</v>
      </c>
      <c r="I1163" s="8">
        <v>36500</v>
      </c>
      <c r="J1163" s="8">
        <v>0</v>
      </c>
      <c r="K1163" s="8">
        <v>36500</v>
      </c>
    </row>
    <row r="1164" spans="1:11" hidden="1" x14ac:dyDescent="0.25">
      <c r="A1164" s="3" t="s">
        <v>2113</v>
      </c>
      <c r="B1164" s="3">
        <v>11</v>
      </c>
      <c r="C1164" s="5">
        <v>350</v>
      </c>
      <c r="D1164" s="6">
        <v>0</v>
      </c>
      <c r="E1164" s="7">
        <v>50000</v>
      </c>
      <c r="F1164" s="3">
        <v>51100</v>
      </c>
      <c r="G1164" s="3" t="str">
        <f t="shared" si="18"/>
        <v>5</v>
      </c>
      <c r="H1164" s="3" t="s">
        <v>2114</v>
      </c>
      <c r="I1164" s="8">
        <v>312963</v>
      </c>
      <c r="J1164" s="8">
        <v>182334.32</v>
      </c>
      <c r="K1164" s="8">
        <v>312963</v>
      </c>
    </row>
    <row r="1165" spans="1:11" hidden="1" x14ac:dyDescent="0.25">
      <c r="A1165" s="3" t="s">
        <v>2115</v>
      </c>
      <c r="B1165" s="3">
        <v>11</v>
      </c>
      <c r="C1165" s="5">
        <v>350</v>
      </c>
      <c r="D1165" s="6">
        <v>0</v>
      </c>
      <c r="E1165" s="7">
        <v>50000</v>
      </c>
      <c r="F1165" s="3">
        <v>51310</v>
      </c>
      <c r="G1165" s="3" t="str">
        <f t="shared" si="18"/>
        <v>5</v>
      </c>
      <c r="H1165" s="3" t="s">
        <v>229</v>
      </c>
      <c r="I1165" s="8">
        <v>111716</v>
      </c>
      <c r="J1165" s="8">
        <v>59954.48</v>
      </c>
      <c r="K1165" s="8">
        <v>111716</v>
      </c>
    </row>
    <row r="1166" spans="1:11" hidden="1" x14ac:dyDescent="0.25">
      <c r="A1166" s="3" t="s">
        <v>2116</v>
      </c>
      <c r="B1166" s="3">
        <v>11</v>
      </c>
      <c r="C1166" s="5">
        <v>350</v>
      </c>
      <c r="D1166" s="6">
        <v>0</v>
      </c>
      <c r="E1166" s="7">
        <v>50000</v>
      </c>
      <c r="F1166" s="3">
        <v>51311</v>
      </c>
      <c r="G1166" s="3" t="str">
        <f t="shared" si="18"/>
        <v>5</v>
      </c>
      <c r="H1166" s="3" t="s">
        <v>231</v>
      </c>
      <c r="I1166" s="8">
        <v>101500</v>
      </c>
      <c r="J1166" s="8">
        <v>43443.55</v>
      </c>
      <c r="K1166" s="8">
        <v>101500</v>
      </c>
    </row>
    <row r="1167" spans="1:11" hidden="1" x14ac:dyDescent="0.25">
      <c r="A1167" s="3" t="s">
        <v>2117</v>
      </c>
      <c r="B1167" s="3">
        <v>11</v>
      </c>
      <c r="C1167" s="5">
        <v>350</v>
      </c>
      <c r="D1167" s="6">
        <v>0</v>
      </c>
      <c r="E1167" s="7">
        <v>50000</v>
      </c>
      <c r="F1167" s="3">
        <v>53110</v>
      </c>
      <c r="G1167" s="3" t="str">
        <f t="shared" si="18"/>
        <v>5</v>
      </c>
      <c r="H1167" s="3" t="s">
        <v>233</v>
      </c>
      <c r="I1167" s="8">
        <v>84977.9</v>
      </c>
      <c r="J1167" s="8">
        <v>41085.42</v>
      </c>
      <c r="K1167" s="8">
        <v>84977.9</v>
      </c>
    </row>
    <row r="1168" spans="1:11" hidden="1" x14ac:dyDescent="0.25">
      <c r="A1168" s="3" t="s">
        <v>2118</v>
      </c>
      <c r="B1168" s="3">
        <v>11</v>
      </c>
      <c r="C1168" s="5">
        <v>350</v>
      </c>
      <c r="D1168" s="6">
        <v>0</v>
      </c>
      <c r="E1168" s="7">
        <v>50000</v>
      </c>
      <c r="F1168" s="3">
        <v>53310</v>
      </c>
      <c r="G1168" s="3" t="str">
        <f t="shared" si="18"/>
        <v>5</v>
      </c>
      <c r="H1168" s="3" t="s">
        <v>1125</v>
      </c>
      <c r="I1168" s="8">
        <v>0</v>
      </c>
      <c r="J1168" s="8">
        <v>1632.36</v>
      </c>
      <c r="K1168" s="8">
        <v>0</v>
      </c>
    </row>
    <row r="1169" spans="1:11" hidden="1" x14ac:dyDescent="0.25">
      <c r="A1169" s="3" t="s">
        <v>2119</v>
      </c>
      <c r="B1169" s="3">
        <v>11</v>
      </c>
      <c r="C1169" s="5">
        <v>350</v>
      </c>
      <c r="D1169" s="6">
        <v>0</v>
      </c>
      <c r="E1169" s="7">
        <v>50000</v>
      </c>
      <c r="F1169" s="3">
        <v>53330</v>
      </c>
      <c r="G1169" s="3" t="str">
        <f t="shared" si="18"/>
        <v>5</v>
      </c>
      <c r="H1169" s="3" t="s">
        <v>235</v>
      </c>
      <c r="I1169" s="8">
        <v>7629.59</v>
      </c>
      <c r="J1169" s="8">
        <v>4131.45</v>
      </c>
      <c r="K1169" s="8">
        <v>7629.59</v>
      </c>
    </row>
    <row r="1170" spans="1:11" hidden="1" x14ac:dyDescent="0.25">
      <c r="A1170" s="3" t="s">
        <v>2120</v>
      </c>
      <c r="B1170" s="3">
        <v>11</v>
      </c>
      <c r="C1170" s="5">
        <v>350</v>
      </c>
      <c r="D1170" s="6">
        <v>0</v>
      </c>
      <c r="E1170" s="7">
        <v>50000</v>
      </c>
      <c r="F1170" s="3">
        <v>53410</v>
      </c>
      <c r="G1170" s="3" t="str">
        <f t="shared" si="18"/>
        <v>5</v>
      </c>
      <c r="H1170" s="3" t="s">
        <v>2121</v>
      </c>
      <c r="I1170" s="8">
        <v>49622.43</v>
      </c>
      <c r="J1170" s="8">
        <v>31494.99</v>
      </c>
      <c r="K1170" s="8">
        <v>49622.43</v>
      </c>
    </row>
    <row r="1171" spans="1:11" hidden="1" x14ac:dyDescent="0.25">
      <c r="A1171" s="3" t="s">
        <v>2122</v>
      </c>
      <c r="B1171" s="3">
        <v>11</v>
      </c>
      <c r="C1171" s="5">
        <v>350</v>
      </c>
      <c r="D1171" s="6">
        <v>0</v>
      </c>
      <c r="E1171" s="7">
        <v>50000</v>
      </c>
      <c r="F1171" s="3">
        <v>53510</v>
      </c>
      <c r="G1171" s="3" t="str">
        <f t="shared" si="18"/>
        <v>5</v>
      </c>
      <c r="H1171" s="3" t="s">
        <v>237</v>
      </c>
      <c r="I1171" s="8">
        <v>263.08999999999997</v>
      </c>
      <c r="J1171" s="8">
        <v>142.5</v>
      </c>
      <c r="K1171" s="8">
        <v>263.08999999999997</v>
      </c>
    </row>
    <row r="1172" spans="1:11" hidden="1" x14ac:dyDescent="0.25">
      <c r="A1172" s="3" t="s">
        <v>2123</v>
      </c>
      <c r="B1172" s="3">
        <v>11</v>
      </c>
      <c r="C1172" s="5">
        <v>350</v>
      </c>
      <c r="D1172" s="6">
        <v>0</v>
      </c>
      <c r="E1172" s="7">
        <v>50000</v>
      </c>
      <c r="F1172" s="3">
        <v>53610</v>
      </c>
      <c r="G1172" s="3" t="str">
        <f t="shared" si="18"/>
        <v>5</v>
      </c>
      <c r="H1172" s="3" t="s">
        <v>239</v>
      </c>
      <c r="I1172" s="8">
        <v>9949</v>
      </c>
      <c r="J1172" s="8">
        <v>5411.62</v>
      </c>
      <c r="K1172" s="8">
        <v>9949</v>
      </c>
    </row>
    <row r="1173" spans="1:11" hidden="1" x14ac:dyDescent="0.25">
      <c r="A1173" s="3" t="s">
        <v>2124</v>
      </c>
      <c r="B1173" s="3">
        <v>11</v>
      </c>
      <c r="C1173" s="5">
        <v>350</v>
      </c>
      <c r="D1173" s="6">
        <v>0</v>
      </c>
      <c r="E1173" s="7">
        <v>50000</v>
      </c>
      <c r="F1173" s="3">
        <v>53910</v>
      </c>
      <c r="G1173" s="3" t="str">
        <f t="shared" si="18"/>
        <v>5</v>
      </c>
      <c r="H1173" s="3" t="s">
        <v>2125</v>
      </c>
      <c r="I1173" s="8">
        <v>2400</v>
      </c>
      <c r="J1173" s="8">
        <v>1527.26</v>
      </c>
      <c r="K1173" s="8">
        <v>2400</v>
      </c>
    </row>
    <row r="1174" spans="1:11" hidden="1" x14ac:dyDescent="0.25">
      <c r="A1174" s="3" t="s">
        <v>2126</v>
      </c>
      <c r="B1174" s="3">
        <v>11</v>
      </c>
      <c r="C1174" s="5">
        <v>350</v>
      </c>
      <c r="D1174" s="6">
        <v>0</v>
      </c>
      <c r="E1174" s="7">
        <v>50000</v>
      </c>
      <c r="F1174" s="3">
        <v>54300</v>
      </c>
      <c r="G1174" s="3" t="str">
        <f t="shared" si="18"/>
        <v>5</v>
      </c>
      <c r="H1174" s="3" t="s">
        <v>2127</v>
      </c>
      <c r="I1174" s="8">
        <v>250</v>
      </c>
      <c r="J1174" s="8">
        <v>0</v>
      </c>
      <c r="K1174" s="8">
        <v>250</v>
      </c>
    </row>
    <row r="1175" spans="1:11" hidden="1" x14ac:dyDescent="0.25">
      <c r="A1175" s="3" t="s">
        <v>2128</v>
      </c>
      <c r="B1175" s="3">
        <v>11</v>
      </c>
      <c r="C1175" s="5">
        <v>350</v>
      </c>
      <c r="D1175" s="6">
        <v>0</v>
      </c>
      <c r="E1175" s="7">
        <v>50000</v>
      </c>
      <c r="F1175" s="3">
        <v>55630</v>
      </c>
      <c r="G1175" s="3" t="str">
        <f t="shared" si="18"/>
        <v>5</v>
      </c>
      <c r="H1175" s="3" t="s">
        <v>2129</v>
      </c>
      <c r="I1175" s="8">
        <v>250</v>
      </c>
      <c r="J1175" s="8">
        <v>0</v>
      </c>
      <c r="K1175" s="8">
        <v>250</v>
      </c>
    </row>
    <row r="1176" spans="1:11" hidden="1" x14ac:dyDescent="0.25">
      <c r="A1176" s="3" t="s">
        <v>2130</v>
      </c>
      <c r="B1176" s="3">
        <v>11</v>
      </c>
      <c r="C1176" s="5">
        <v>350</v>
      </c>
      <c r="D1176" s="6">
        <v>0</v>
      </c>
      <c r="E1176" s="7">
        <v>50000</v>
      </c>
      <c r="F1176" s="3">
        <v>56400</v>
      </c>
      <c r="G1176" s="3" t="str">
        <f t="shared" si="18"/>
        <v>5</v>
      </c>
      <c r="H1176" s="3" t="s">
        <v>2131</v>
      </c>
      <c r="I1176" s="8">
        <v>0</v>
      </c>
      <c r="J1176" s="8">
        <v>2359.98</v>
      </c>
      <c r="K1176" s="8">
        <v>0</v>
      </c>
    </row>
    <row r="1177" spans="1:11" hidden="1" x14ac:dyDescent="0.25">
      <c r="A1177" s="3" t="s">
        <v>2132</v>
      </c>
      <c r="B1177" s="3">
        <v>11</v>
      </c>
      <c r="C1177" s="5">
        <v>350</v>
      </c>
      <c r="D1177" s="6">
        <v>0</v>
      </c>
      <c r="E1177" s="7">
        <v>94800</v>
      </c>
      <c r="F1177" s="3">
        <v>55630</v>
      </c>
      <c r="G1177" s="3" t="str">
        <f t="shared" si="18"/>
        <v>5</v>
      </c>
      <c r="H1177" s="3" t="s">
        <v>2133</v>
      </c>
      <c r="I1177" s="8">
        <v>27</v>
      </c>
      <c r="J1177" s="8">
        <v>0</v>
      </c>
      <c r="K1177" s="8">
        <v>27</v>
      </c>
    </row>
    <row r="1178" spans="1:11" hidden="1" x14ac:dyDescent="0.25">
      <c r="A1178" s="3" t="s">
        <v>2134</v>
      </c>
      <c r="B1178" s="3">
        <v>11</v>
      </c>
      <c r="C1178" s="5">
        <v>310</v>
      </c>
      <c r="D1178" s="6">
        <v>0</v>
      </c>
      <c r="E1178" s="7">
        <v>130500</v>
      </c>
      <c r="F1178" s="3">
        <v>51100</v>
      </c>
      <c r="G1178" s="3" t="str">
        <f t="shared" si="18"/>
        <v>5</v>
      </c>
      <c r="H1178" s="3" t="s">
        <v>2135</v>
      </c>
      <c r="I1178" s="8">
        <v>300610</v>
      </c>
      <c r="J1178" s="8">
        <v>215786</v>
      </c>
      <c r="K1178" s="8">
        <v>300610</v>
      </c>
    </row>
    <row r="1179" spans="1:11" hidden="1" x14ac:dyDescent="0.25">
      <c r="A1179" s="3" t="s">
        <v>2136</v>
      </c>
      <c r="B1179" s="3">
        <v>11</v>
      </c>
      <c r="C1179" s="5">
        <v>310</v>
      </c>
      <c r="D1179" s="6">
        <v>0</v>
      </c>
      <c r="E1179" s="7">
        <v>130500</v>
      </c>
      <c r="F1179" s="3">
        <v>51310</v>
      </c>
      <c r="G1179" s="3" t="str">
        <f t="shared" si="18"/>
        <v>5</v>
      </c>
      <c r="H1179" s="3" t="s">
        <v>1257</v>
      </c>
      <c r="I1179" s="8">
        <v>17658</v>
      </c>
      <c r="J1179" s="8">
        <v>4171.5</v>
      </c>
      <c r="K1179" s="8">
        <v>17658</v>
      </c>
    </row>
    <row r="1180" spans="1:11" hidden="1" x14ac:dyDescent="0.25">
      <c r="A1180" s="3" t="s">
        <v>2137</v>
      </c>
      <c r="B1180" s="3">
        <v>11</v>
      </c>
      <c r="C1180" s="5">
        <v>310</v>
      </c>
      <c r="D1180" s="6">
        <v>0</v>
      </c>
      <c r="E1180" s="7">
        <v>130500</v>
      </c>
      <c r="F1180" s="3">
        <v>51311</v>
      </c>
      <c r="G1180" s="3" t="str">
        <f t="shared" si="18"/>
        <v>5</v>
      </c>
      <c r="H1180" s="3" t="s">
        <v>291</v>
      </c>
      <c r="I1180" s="8">
        <v>8480</v>
      </c>
      <c r="J1180" s="8">
        <v>1384.78</v>
      </c>
      <c r="K1180" s="8">
        <v>8480</v>
      </c>
    </row>
    <row r="1181" spans="1:11" hidden="1" x14ac:dyDescent="0.25">
      <c r="A1181" s="3" t="s">
        <v>2138</v>
      </c>
      <c r="B1181" s="3">
        <v>11</v>
      </c>
      <c r="C1181" s="5">
        <v>310</v>
      </c>
      <c r="D1181" s="6">
        <v>0</v>
      </c>
      <c r="E1181" s="7">
        <v>130500</v>
      </c>
      <c r="F1181" s="3">
        <v>52200</v>
      </c>
      <c r="G1181" s="3" t="str">
        <f t="shared" si="18"/>
        <v>5</v>
      </c>
      <c r="H1181" s="3" t="s">
        <v>1259</v>
      </c>
      <c r="I1181" s="8">
        <v>20098</v>
      </c>
      <c r="J1181" s="8">
        <v>15223.76</v>
      </c>
      <c r="K1181" s="8">
        <v>20098</v>
      </c>
    </row>
    <row r="1182" spans="1:11" hidden="1" x14ac:dyDescent="0.25">
      <c r="A1182" s="3" t="s">
        <v>2139</v>
      </c>
      <c r="B1182" s="3">
        <v>11</v>
      </c>
      <c r="C1182" s="5">
        <v>310</v>
      </c>
      <c r="D1182" s="6">
        <v>0</v>
      </c>
      <c r="E1182" s="7">
        <v>130500</v>
      </c>
      <c r="F1182" s="3">
        <v>53110</v>
      </c>
      <c r="G1182" s="3" t="str">
        <f t="shared" si="18"/>
        <v>5</v>
      </c>
      <c r="H1182" s="3" t="s">
        <v>293</v>
      </c>
      <c r="I1182" s="8">
        <v>52769.8</v>
      </c>
      <c r="J1182" s="8">
        <v>35536.39</v>
      </c>
      <c r="K1182" s="8">
        <v>52769.8</v>
      </c>
    </row>
    <row r="1183" spans="1:11" hidden="1" x14ac:dyDescent="0.25">
      <c r="A1183" s="3" t="s">
        <v>2140</v>
      </c>
      <c r="B1183" s="3">
        <v>11</v>
      </c>
      <c r="C1183" s="5">
        <v>310</v>
      </c>
      <c r="D1183" s="6">
        <v>0</v>
      </c>
      <c r="E1183" s="7">
        <v>130500</v>
      </c>
      <c r="F1183" s="3">
        <v>53210</v>
      </c>
      <c r="G1183" s="3" t="str">
        <f t="shared" si="18"/>
        <v>5</v>
      </c>
      <c r="H1183" s="3" t="s">
        <v>1262</v>
      </c>
      <c r="I1183" s="8">
        <v>4160.29</v>
      </c>
      <c r="J1183" s="8">
        <v>3160.43</v>
      </c>
      <c r="K1183" s="8">
        <v>4160.29</v>
      </c>
    </row>
    <row r="1184" spans="1:11" hidden="1" x14ac:dyDescent="0.25">
      <c r="A1184" s="3" t="s">
        <v>2141</v>
      </c>
      <c r="B1184" s="3">
        <v>11</v>
      </c>
      <c r="C1184" s="5">
        <v>310</v>
      </c>
      <c r="D1184" s="6">
        <v>0</v>
      </c>
      <c r="E1184" s="7">
        <v>130500</v>
      </c>
      <c r="F1184" s="3">
        <v>53310</v>
      </c>
      <c r="G1184" s="3" t="str">
        <f t="shared" si="18"/>
        <v>5</v>
      </c>
      <c r="H1184" s="3" t="s">
        <v>295</v>
      </c>
      <c r="I1184" s="8">
        <v>1246.08</v>
      </c>
      <c r="J1184" s="8">
        <v>1015.2</v>
      </c>
      <c r="K1184" s="8">
        <v>1246.08</v>
      </c>
    </row>
    <row r="1185" spans="1:11" hidden="1" x14ac:dyDescent="0.25">
      <c r="A1185" s="3" t="s">
        <v>2142</v>
      </c>
      <c r="B1185" s="3">
        <v>11</v>
      </c>
      <c r="C1185" s="5">
        <v>310</v>
      </c>
      <c r="D1185" s="6">
        <v>0</v>
      </c>
      <c r="E1185" s="7">
        <v>130500</v>
      </c>
      <c r="F1185" s="3">
        <v>53330</v>
      </c>
      <c r="G1185" s="3" t="str">
        <f t="shared" si="18"/>
        <v>5</v>
      </c>
      <c r="H1185" s="3" t="s">
        <v>297</v>
      </c>
      <c r="I1185" s="8">
        <v>5029.26</v>
      </c>
      <c r="J1185" s="8">
        <v>3412.14</v>
      </c>
      <c r="K1185" s="8">
        <v>5029.26</v>
      </c>
    </row>
    <row r="1186" spans="1:11" hidden="1" x14ac:dyDescent="0.25">
      <c r="A1186" s="3" t="s">
        <v>2143</v>
      </c>
      <c r="B1186" s="3">
        <v>11</v>
      </c>
      <c r="C1186" s="5">
        <v>310</v>
      </c>
      <c r="D1186" s="6">
        <v>0</v>
      </c>
      <c r="E1186" s="7">
        <v>130500</v>
      </c>
      <c r="F1186" s="3">
        <v>53410</v>
      </c>
      <c r="G1186" s="3" t="str">
        <f t="shared" si="18"/>
        <v>5</v>
      </c>
      <c r="H1186" s="3" t="s">
        <v>2144</v>
      </c>
      <c r="I1186" s="8">
        <v>66406.850000000006</v>
      </c>
      <c r="J1186" s="8">
        <v>47074.02</v>
      </c>
      <c r="K1186" s="8">
        <v>66406.850000000006</v>
      </c>
    </row>
    <row r="1187" spans="1:11" hidden="1" x14ac:dyDescent="0.25">
      <c r="A1187" s="3" t="s">
        <v>2145</v>
      </c>
      <c r="B1187" s="3">
        <v>11</v>
      </c>
      <c r="C1187" s="5">
        <v>310</v>
      </c>
      <c r="D1187" s="6">
        <v>0</v>
      </c>
      <c r="E1187" s="7">
        <v>130500</v>
      </c>
      <c r="F1187" s="3">
        <v>53510</v>
      </c>
      <c r="G1187" s="3" t="str">
        <f t="shared" si="18"/>
        <v>5</v>
      </c>
      <c r="H1187" s="3" t="s">
        <v>299</v>
      </c>
      <c r="I1187" s="8">
        <v>173.43</v>
      </c>
      <c r="J1187" s="8">
        <v>118.19</v>
      </c>
      <c r="K1187" s="8">
        <v>173.43</v>
      </c>
    </row>
    <row r="1188" spans="1:11" hidden="1" x14ac:dyDescent="0.25">
      <c r="A1188" s="3" t="s">
        <v>2146</v>
      </c>
      <c r="B1188" s="3">
        <v>11</v>
      </c>
      <c r="C1188" s="5">
        <v>310</v>
      </c>
      <c r="D1188" s="6">
        <v>0</v>
      </c>
      <c r="E1188" s="7">
        <v>130500</v>
      </c>
      <c r="F1188" s="3">
        <v>53610</v>
      </c>
      <c r="G1188" s="3" t="str">
        <f t="shared" si="18"/>
        <v>5</v>
      </c>
      <c r="H1188" s="3" t="s">
        <v>301</v>
      </c>
      <c r="I1188" s="8">
        <v>6558.17</v>
      </c>
      <c r="J1188" s="8">
        <v>4473.78</v>
      </c>
      <c r="K1188" s="8">
        <v>6558.17</v>
      </c>
    </row>
    <row r="1189" spans="1:11" hidden="1" x14ac:dyDescent="0.25">
      <c r="A1189" s="3" t="s">
        <v>2147</v>
      </c>
      <c r="B1189" s="3">
        <v>11</v>
      </c>
      <c r="C1189" s="5">
        <v>310</v>
      </c>
      <c r="D1189" s="6">
        <v>0</v>
      </c>
      <c r="E1189" s="7">
        <v>130500</v>
      </c>
      <c r="F1189" s="3">
        <v>55630</v>
      </c>
      <c r="G1189" s="3" t="str">
        <f t="shared" si="18"/>
        <v>5</v>
      </c>
      <c r="H1189" s="3" t="s">
        <v>1268</v>
      </c>
      <c r="I1189" s="8">
        <v>250</v>
      </c>
      <c r="J1189" s="8">
        <v>0</v>
      </c>
      <c r="K1189" s="8">
        <v>250</v>
      </c>
    </row>
    <row r="1190" spans="1:11" hidden="1" x14ac:dyDescent="0.25">
      <c r="A1190" s="3" t="s">
        <v>2148</v>
      </c>
      <c r="B1190" s="3">
        <v>11</v>
      </c>
      <c r="C1190" s="5">
        <v>350</v>
      </c>
      <c r="D1190" s="6">
        <v>0</v>
      </c>
      <c r="E1190" s="7">
        <v>210440</v>
      </c>
      <c r="F1190" s="3">
        <v>51100</v>
      </c>
      <c r="G1190" s="3" t="str">
        <f t="shared" si="18"/>
        <v>5</v>
      </c>
      <c r="H1190" s="3" t="s">
        <v>1326</v>
      </c>
      <c r="I1190" s="8">
        <v>84189</v>
      </c>
      <c r="J1190" s="8">
        <v>61801.279999999999</v>
      </c>
      <c r="K1190" s="8">
        <v>84189</v>
      </c>
    </row>
    <row r="1191" spans="1:11" hidden="1" x14ac:dyDescent="0.25">
      <c r="A1191" s="3" t="s">
        <v>2149</v>
      </c>
      <c r="B1191" s="3">
        <v>11</v>
      </c>
      <c r="C1191" s="5">
        <v>350</v>
      </c>
      <c r="D1191" s="6">
        <v>0</v>
      </c>
      <c r="E1191" s="7">
        <v>210440</v>
      </c>
      <c r="F1191" s="3">
        <v>51310</v>
      </c>
      <c r="G1191" s="3" t="str">
        <f t="shared" si="18"/>
        <v>5</v>
      </c>
      <c r="H1191" s="3" t="s">
        <v>2150</v>
      </c>
      <c r="I1191" s="8">
        <v>0</v>
      </c>
      <c r="J1191" s="8">
        <v>2291.62</v>
      </c>
      <c r="K1191" s="8">
        <v>0</v>
      </c>
    </row>
    <row r="1192" spans="1:11" hidden="1" x14ac:dyDescent="0.25">
      <c r="A1192" s="3" t="s">
        <v>2151</v>
      </c>
      <c r="B1192" s="3">
        <v>11</v>
      </c>
      <c r="C1192" s="5">
        <v>350</v>
      </c>
      <c r="D1192" s="6">
        <v>0</v>
      </c>
      <c r="E1192" s="7">
        <v>210440</v>
      </c>
      <c r="F1192" s="3">
        <v>51311</v>
      </c>
      <c r="G1192" s="3" t="str">
        <f t="shared" si="18"/>
        <v>5</v>
      </c>
      <c r="H1192" s="3" t="s">
        <v>2152</v>
      </c>
      <c r="I1192" s="8">
        <v>9572</v>
      </c>
      <c r="J1192" s="8">
        <v>0</v>
      </c>
      <c r="K1192" s="8">
        <v>9572</v>
      </c>
    </row>
    <row r="1193" spans="1:11" hidden="1" x14ac:dyDescent="0.25">
      <c r="A1193" s="3" t="s">
        <v>2153</v>
      </c>
      <c r="B1193" s="3">
        <v>11</v>
      </c>
      <c r="C1193" s="5">
        <v>350</v>
      </c>
      <c r="D1193" s="6">
        <v>0</v>
      </c>
      <c r="E1193" s="7">
        <v>210440</v>
      </c>
      <c r="F1193" s="3">
        <v>51412</v>
      </c>
      <c r="G1193" s="3" t="str">
        <f t="shared" si="18"/>
        <v>5</v>
      </c>
      <c r="H1193" s="3" t="s">
        <v>2154</v>
      </c>
      <c r="I1193" s="8">
        <v>75</v>
      </c>
      <c r="J1193" s="8">
        <v>0</v>
      </c>
      <c r="K1193" s="8">
        <v>75</v>
      </c>
    </row>
    <row r="1194" spans="1:11" hidden="1" x14ac:dyDescent="0.25">
      <c r="A1194" s="3" t="s">
        <v>2155</v>
      </c>
      <c r="B1194" s="3">
        <v>11</v>
      </c>
      <c r="C1194" s="5">
        <v>350</v>
      </c>
      <c r="D1194" s="6">
        <v>0</v>
      </c>
      <c r="E1194" s="7">
        <v>210440</v>
      </c>
      <c r="F1194" s="3">
        <v>53110</v>
      </c>
      <c r="G1194" s="3" t="str">
        <f t="shared" si="18"/>
        <v>5</v>
      </c>
      <c r="H1194" s="3" t="s">
        <v>1328</v>
      </c>
      <c r="I1194" s="8">
        <v>15142.4</v>
      </c>
      <c r="J1194" s="8">
        <v>10351.02</v>
      </c>
      <c r="K1194" s="8">
        <v>15142.4</v>
      </c>
    </row>
    <row r="1195" spans="1:11" hidden="1" x14ac:dyDescent="0.25">
      <c r="A1195" s="3" t="s">
        <v>2156</v>
      </c>
      <c r="B1195" s="3">
        <v>11</v>
      </c>
      <c r="C1195" s="5">
        <v>350</v>
      </c>
      <c r="D1195" s="6">
        <v>0</v>
      </c>
      <c r="E1195" s="7">
        <v>210440</v>
      </c>
      <c r="F1195" s="3">
        <v>53120</v>
      </c>
      <c r="G1195" s="3" t="str">
        <f t="shared" si="18"/>
        <v>5</v>
      </c>
      <c r="H1195" s="3" t="s">
        <v>2157</v>
      </c>
      <c r="I1195" s="8">
        <v>12.11</v>
      </c>
      <c r="J1195" s="8">
        <v>0</v>
      </c>
      <c r="K1195" s="8">
        <v>12.11</v>
      </c>
    </row>
    <row r="1196" spans="1:11" hidden="1" x14ac:dyDescent="0.25">
      <c r="A1196" s="3" t="s">
        <v>2158</v>
      </c>
      <c r="B1196" s="3">
        <v>11</v>
      </c>
      <c r="C1196" s="5">
        <v>350</v>
      </c>
      <c r="D1196" s="6">
        <v>0</v>
      </c>
      <c r="E1196" s="7">
        <v>210440</v>
      </c>
      <c r="F1196" s="3">
        <v>53330</v>
      </c>
      <c r="G1196" s="3" t="str">
        <f t="shared" si="18"/>
        <v>5</v>
      </c>
      <c r="H1196" s="3" t="s">
        <v>1330</v>
      </c>
      <c r="I1196" s="8">
        <v>1359.53</v>
      </c>
      <c r="J1196" s="8">
        <v>930.09</v>
      </c>
      <c r="K1196" s="8">
        <v>1359.53</v>
      </c>
    </row>
    <row r="1197" spans="1:11" hidden="1" x14ac:dyDescent="0.25">
      <c r="A1197" s="3" t="s">
        <v>2159</v>
      </c>
      <c r="B1197" s="3">
        <v>11</v>
      </c>
      <c r="C1197" s="5">
        <v>350</v>
      </c>
      <c r="D1197" s="6">
        <v>0</v>
      </c>
      <c r="E1197" s="7">
        <v>210440</v>
      </c>
      <c r="F1197" s="3">
        <v>53340</v>
      </c>
      <c r="G1197" s="3" t="str">
        <f t="shared" si="18"/>
        <v>5</v>
      </c>
      <c r="H1197" s="3" t="s">
        <v>2160</v>
      </c>
      <c r="I1197" s="8">
        <v>1.0900000000000001</v>
      </c>
      <c r="J1197" s="8">
        <v>0</v>
      </c>
      <c r="K1197" s="8">
        <v>1.0900000000000001</v>
      </c>
    </row>
    <row r="1198" spans="1:11" hidden="1" x14ac:dyDescent="0.25">
      <c r="A1198" s="3" t="s">
        <v>2161</v>
      </c>
      <c r="B1198" s="3">
        <v>11</v>
      </c>
      <c r="C1198" s="5">
        <v>350</v>
      </c>
      <c r="D1198" s="6">
        <v>0</v>
      </c>
      <c r="E1198" s="7">
        <v>210440</v>
      </c>
      <c r="F1198" s="3">
        <v>53410</v>
      </c>
      <c r="G1198" s="3" t="str">
        <f t="shared" si="18"/>
        <v>5</v>
      </c>
      <c r="H1198" s="3" t="s">
        <v>1332</v>
      </c>
      <c r="I1198" s="8">
        <v>13214.31</v>
      </c>
      <c r="J1198" s="8">
        <v>9211.93</v>
      </c>
      <c r="K1198" s="8">
        <v>13214.31</v>
      </c>
    </row>
    <row r="1199" spans="1:11" hidden="1" x14ac:dyDescent="0.25">
      <c r="A1199" s="3" t="s">
        <v>2162</v>
      </c>
      <c r="B1199" s="3">
        <v>11</v>
      </c>
      <c r="C1199" s="5">
        <v>350</v>
      </c>
      <c r="D1199" s="6">
        <v>0</v>
      </c>
      <c r="E1199" s="7">
        <v>210440</v>
      </c>
      <c r="F1199" s="3">
        <v>53510</v>
      </c>
      <c r="G1199" s="3" t="str">
        <f t="shared" si="18"/>
        <v>5</v>
      </c>
      <c r="H1199" s="3" t="s">
        <v>1334</v>
      </c>
      <c r="I1199" s="8">
        <v>46.88</v>
      </c>
      <c r="J1199" s="8">
        <v>32.07</v>
      </c>
      <c r="K1199" s="8">
        <v>46.88</v>
      </c>
    </row>
    <row r="1200" spans="1:11" hidden="1" x14ac:dyDescent="0.25">
      <c r="A1200" s="3" t="s">
        <v>2163</v>
      </c>
      <c r="B1200" s="3">
        <v>11</v>
      </c>
      <c r="C1200" s="5">
        <v>350</v>
      </c>
      <c r="D1200" s="6">
        <v>0</v>
      </c>
      <c r="E1200" s="7">
        <v>210440</v>
      </c>
      <c r="F1200" s="3">
        <v>53520</v>
      </c>
      <c r="G1200" s="3" t="str">
        <f t="shared" si="18"/>
        <v>5</v>
      </c>
      <c r="H1200" s="3" t="s">
        <v>2164</v>
      </c>
      <c r="I1200" s="8">
        <v>0.04</v>
      </c>
      <c r="J1200" s="8">
        <v>0</v>
      </c>
      <c r="K1200" s="8">
        <v>0.04</v>
      </c>
    </row>
    <row r="1201" spans="1:11" hidden="1" x14ac:dyDescent="0.25">
      <c r="A1201" s="3" t="s">
        <v>2165</v>
      </c>
      <c r="B1201" s="3">
        <v>11</v>
      </c>
      <c r="C1201" s="5">
        <v>350</v>
      </c>
      <c r="D1201" s="6">
        <v>0</v>
      </c>
      <c r="E1201" s="7">
        <v>210440</v>
      </c>
      <c r="F1201" s="3">
        <v>53610</v>
      </c>
      <c r="G1201" s="3" t="str">
        <f t="shared" si="18"/>
        <v>5</v>
      </c>
      <c r="H1201" s="3" t="s">
        <v>1336</v>
      </c>
      <c r="I1201" s="8">
        <v>1772.84</v>
      </c>
      <c r="J1201" s="8">
        <v>1211.8499999999999</v>
      </c>
      <c r="K1201" s="8">
        <v>1772.84</v>
      </c>
    </row>
    <row r="1202" spans="1:11" hidden="1" x14ac:dyDescent="0.25">
      <c r="A1202" s="3" t="s">
        <v>2166</v>
      </c>
      <c r="B1202" s="3">
        <v>11</v>
      </c>
      <c r="C1202" s="5">
        <v>350</v>
      </c>
      <c r="D1202" s="6">
        <v>0</v>
      </c>
      <c r="E1202" s="7">
        <v>210440</v>
      </c>
      <c r="F1202" s="3">
        <v>53620</v>
      </c>
      <c r="G1202" s="3" t="str">
        <f t="shared" si="18"/>
        <v>5</v>
      </c>
      <c r="H1202" s="3" t="s">
        <v>2167</v>
      </c>
      <c r="I1202" s="8">
        <v>1.42</v>
      </c>
      <c r="J1202" s="8">
        <v>0</v>
      </c>
      <c r="K1202" s="8">
        <v>1.42</v>
      </c>
    </row>
    <row r="1203" spans="1:11" hidden="1" x14ac:dyDescent="0.25">
      <c r="A1203" s="3" t="s">
        <v>2168</v>
      </c>
      <c r="B1203" s="3">
        <v>11</v>
      </c>
      <c r="C1203" s="5">
        <v>350</v>
      </c>
      <c r="D1203" s="6">
        <v>0</v>
      </c>
      <c r="E1203" s="7">
        <v>210440</v>
      </c>
      <c r="F1203" s="3">
        <v>55630</v>
      </c>
      <c r="G1203" s="3" t="str">
        <f t="shared" si="18"/>
        <v>5</v>
      </c>
      <c r="H1203" s="3" t="s">
        <v>1338</v>
      </c>
      <c r="I1203" s="8">
        <v>150</v>
      </c>
      <c r="J1203" s="8">
        <v>0</v>
      </c>
      <c r="K1203" s="8">
        <v>150</v>
      </c>
    </row>
    <row r="1204" spans="1:11" hidden="1" x14ac:dyDescent="0.25">
      <c r="A1204" s="3" t="s">
        <v>2169</v>
      </c>
      <c r="B1204" s="3">
        <v>11</v>
      </c>
      <c r="C1204" s="5">
        <v>350</v>
      </c>
      <c r="D1204" s="6">
        <v>0</v>
      </c>
      <c r="E1204" s="7">
        <v>210500</v>
      </c>
      <c r="F1204" s="3">
        <v>51100</v>
      </c>
      <c r="G1204" s="3" t="str">
        <f t="shared" si="18"/>
        <v>5</v>
      </c>
      <c r="H1204" s="3" t="s">
        <v>2170</v>
      </c>
      <c r="I1204" s="8">
        <v>224950</v>
      </c>
      <c r="J1204" s="8">
        <v>163600.07999999999</v>
      </c>
      <c r="K1204" s="8">
        <v>224950</v>
      </c>
    </row>
    <row r="1205" spans="1:11" hidden="1" x14ac:dyDescent="0.25">
      <c r="A1205" s="3" t="s">
        <v>2171</v>
      </c>
      <c r="B1205" s="3">
        <v>11</v>
      </c>
      <c r="C1205" s="5">
        <v>350</v>
      </c>
      <c r="D1205" s="6">
        <v>0</v>
      </c>
      <c r="E1205" s="7">
        <v>210500</v>
      </c>
      <c r="F1205" s="3">
        <v>51310</v>
      </c>
      <c r="G1205" s="3" t="str">
        <f t="shared" si="18"/>
        <v>5</v>
      </c>
      <c r="H1205" s="3" t="s">
        <v>1340</v>
      </c>
      <c r="I1205" s="8">
        <v>32521</v>
      </c>
      <c r="J1205" s="8">
        <v>7077.78</v>
      </c>
      <c r="K1205" s="8">
        <v>32521</v>
      </c>
    </row>
    <row r="1206" spans="1:11" hidden="1" x14ac:dyDescent="0.25">
      <c r="A1206" s="3" t="s">
        <v>2172</v>
      </c>
      <c r="B1206" s="3">
        <v>11</v>
      </c>
      <c r="C1206" s="5">
        <v>350</v>
      </c>
      <c r="D1206" s="6">
        <v>0</v>
      </c>
      <c r="E1206" s="7">
        <v>210500</v>
      </c>
      <c r="F1206" s="3">
        <v>51311</v>
      </c>
      <c r="G1206" s="3" t="str">
        <f t="shared" si="18"/>
        <v>5</v>
      </c>
      <c r="H1206" s="3" t="s">
        <v>375</v>
      </c>
      <c r="I1206" s="8">
        <v>176842</v>
      </c>
      <c r="J1206" s="8">
        <v>93281.23</v>
      </c>
      <c r="K1206" s="8">
        <v>176842</v>
      </c>
    </row>
    <row r="1207" spans="1:11" hidden="1" x14ac:dyDescent="0.25">
      <c r="A1207" s="3" t="s">
        <v>2173</v>
      </c>
      <c r="B1207" s="3">
        <v>11</v>
      </c>
      <c r="C1207" s="5">
        <v>350</v>
      </c>
      <c r="D1207" s="6">
        <v>0</v>
      </c>
      <c r="E1207" s="7">
        <v>210500</v>
      </c>
      <c r="F1207" s="3">
        <v>51412</v>
      </c>
      <c r="G1207" s="3" t="str">
        <f t="shared" si="18"/>
        <v>5</v>
      </c>
      <c r="H1207" s="3" t="s">
        <v>2174</v>
      </c>
      <c r="I1207" s="8">
        <v>5350</v>
      </c>
      <c r="J1207" s="8">
        <v>0</v>
      </c>
      <c r="K1207" s="8">
        <v>5350</v>
      </c>
    </row>
    <row r="1208" spans="1:11" hidden="1" x14ac:dyDescent="0.25">
      <c r="A1208" s="3" t="s">
        <v>2175</v>
      </c>
      <c r="B1208" s="3">
        <v>11</v>
      </c>
      <c r="C1208" s="5">
        <v>350</v>
      </c>
      <c r="D1208" s="6">
        <v>0</v>
      </c>
      <c r="E1208" s="7">
        <v>210500</v>
      </c>
      <c r="F1208" s="3">
        <v>52360</v>
      </c>
      <c r="G1208" s="3" t="str">
        <f t="shared" si="18"/>
        <v>5</v>
      </c>
      <c r="H1208" s="3" t="s">
        <v>2176</v>
      </c>
      <c r="I1208" s="8">
        <v>100</v>
      </c>
      <c r="J1208" s="8">
        <v>0</v>
      </c>
      <c r="K1208" s="8">
        <v>100</v>
      </c>
    </row>
    <row r="1209" spans="1:11" hidden="1" x14ac:dyDescent="0.25">
      <c r="A1209" s="3" t="s">
        <v>2177</v>
      </c>
      <c r="B1209" s="3">
        <v>11</v>
      </c>
      <c r="C1209" s="5">
        <v>350</v>
      </c>
      <c r="D1209" s="6">
        <v>0</v>
      </c>
      <c r="E1209" s="7">
        <v>210500</v>
      </c>
      <c r="F1209" s="3">
        <v>53110</v>
      </c>
      <c r="G1209" s="3" t="str">
        <f t="shared" si="18"/>
        <v>5</v>
      </c>
      <c r="H1209" s="3" t="s">
        <v>377</v>
      </c>
      <c r="I1209" s="8">
        <v>70141.539999999994</v>
      </c>
      <c r="J1209" s="8">
        <v>33982.300000000003</v>
      </c>
      <c r="K1209" s="8">
        <v>70141.539999999994</v>
      </c>
    </row>
    <row r="1210" spans="1:11" hidden="1" x14ac:dyDescent="0.25">
      <c r="A1210" s="3" t="s">
        <v>2178</v>
      </c>
      <c r="B1210" s="3">
        <v>11</v>
      </c>
      <c r="C1210" s="5">
        <v>350</v>
      </c>
      <c r="D1210" s="6">
        <v>0</v>
      </c>
      <c r="E1210" s="7">
        <v>210500</v>
      </c>
      <c r="F1210" s="3">
        <v>53120</v>
      </c>
      <c r="G1210" s="3" t="str">
        <f t="shared" si="18"/>
        <v>5</v>
      </c>
      <c r="H1210" s="3" t="s">
        <v>2179</v>
      </c>
      <c r="I1210" s="8">
        <v>864.03</v>
      </c>
      <c r="J1210" s="8">
        <v>0</v>
      </c>
      <c r="K1210" s="8">
        <v>864.03</v>
      </c>
    </row>
    <row r="1211" spans="1:11" hidden="1" x14ac:dyDescent="0.25">
      <c r="A1211" s="3" t="s">
        <v>2180</v>
      </c>
      <c r="B1211" s="3">
        <v>11</v>
      </c>
      <c r="C1211" s="5">
        <v>350</v>
      </c>
      <c r="D1211" s="6">
        <v>0</v>
      </c>
      <c r="E1211" s="7">
        <v>210500</v>
      </c>
      <c r="F1211" s="3">
        <v>53310</v>
      </c>
      <c r="G1211" s="3" t="str">
        <f t="shared" si="18"/>
        <v>5</v>
      </c>
      <c r="H1211" s="3" t="s">
        <v>379</v>
      </c>
      <c r="I1211" s="8">
        <v>0</v>
      </c>
      <c r="J1211" s="8">
        <v>3319.66</v>
      </c>
      <c r="K1211" s="8">
        <v>0</v>
      </c>
    </row>
    <row r="1212" spans="1:11" hidden="1" x14ac:dyDescent="0.25">
      <c r="A1212" s="3" t="s">
        <v>2181</v>
      </c>
      <c r="B1212" s="3">
        <v>11</v>
      </c>
      <c r="C1212" s="5">
        <v>350</v>
      </c>
      <c r="D1212" s="6">
        <v>0</v>
      </c>
      <c r="E1212" s="7">
        <v>210500</v>
      </c>
      <c r="F1212" s="3">
        <v>53320</v>
      </c>
      <c r="G1212" s="3" t="str">
        <f t="shared" si="18"/>
        <v>5</v>
      </c>
      <c r="H1212" s="3" t="s">
        <v>2182</v>
      </c>
      <c r="I1212" s="8">
        <v>6.2</v>
      </c>
      <c r="J1212" s="8">
        <v>0</v>
      </c>
      <c r="K1212" s="8">
        <v>6.2</v>
      </c>
    </row>
    <row r="1213" spans="1:11" hidden="1" x14ac:dyDescent="0.25">
      <c r="A1213" s="3" t="s">
        <v>2183</v>
      </c>
      <c r="B1213" s="3">
        <v>11</v>
      </c>
      <c r="C1213" s="5">
        <v>350</v>
      </c>
      <c r="D1213" s="6">
        <v>0</v>
      </c>
      <c r="E1213" s="7">
        <v>210500</v>
      </c>
      <c r="F1213" s="3">
        <v>53330</v>
      </c>
      <c r="G1213" s="3" t="str">
        <f t="shared" si="18"/>
        <v>5</v>
      </c>
      <c r="H1213" s="3" t="s">
        <v>381</v>
      </c>
      <c r="I1213" s="8">
        <v>6297.53</v>
      </c>
      <c r="J1213" s="8">
        <v>3809.91</v>
      </c>
      <c r="K1213" s="8">
        <v>6297.53</v>
      </c>
    </row>
    <row r="1214" spans="1:11" hidden="1" x14ac:dyDescent="0.25">
      <c r="A1214" s="3" t="s">
        <v>2184</v>
      </c>
      <c r="B1214" s="3">
        <v>11</v>
      </c>
      <c r="C1214" s="5">
        <v>350</v>
      </c>
      <c r="D1214" s="6">
        <v>0</v>
      </c>
      <c r="E1214" s="7">
        <v>210500</v>
      </c>
      <c r="F1214" s="3">
        <v>53340</v>
      </c>
      <c r="G1214" s="3" t="str">
        <f t="shared" si="18"/>
        <v>5</v>
      </c>
      <c r="H1214" s="3" t="s">
        <v>2185</v>
      </c>
      <c r="I1214" s="8">
        <v>79.03</v>
      </c>
      <c r="J1214" s="8">
        <v>0</v>
      </c>
      <c r="K1214" s="8">
        <v>79.03</v>
      </c>
    </row>
    <row r="1215" spans="1:11" hidden="1" x14ac:dyDescent="0.25">
      <c r="A1215" s="3" t="s">
        <v>2186</v>
      </c>
      <c r="B1215" s="3">
        <v>11</v>
      </c>
      <c r="C1215" s="5">
        <v>350</v>
      </c>
      <c r="D1215" s="6">
        <v>0</v>
      </c>
      <c r="E1215" s="7">
        <v>210500</v>
      </c>
      <c r="F1215" s="3">
        <v>53410</v>
      </c>
      <c r="G1215" s="3" t="str">
        <f t="shared" si="18"/>
        <v>5</v>
      </c>
      <c r="H1215" s="3" t="s">
        <v>2187</v>
      </c>
      <c r="I1215" s="8">
        <v>58362.16</v>
      </c>
      <c r="J1215" s="8">
        <v>41595.980000000003</v>
      </c>
      <c r="K1215" s="8">
        <v>58362.16</v>
      </c>
    </row>
    <row r="1216" spans="1:11" hidden="1" x14ac:dyDescent="0.25">
      <c r="A1216" s="3" t="s">
        <v>2188</v>
      </c>
      <c r="B1216" s="3">
        <v>11</v>
      </c>
      <c r="C1216" s="5">
        <v>350</v>
      </c>
      <c r="D1216" s="6">
        <v>0</v>
      </c>
      <c r="E1216" s="7">
        <v>210500</v>
      </c>
      <c r="F1216" s="3">
        <v>53510</v>
      </c>
      <c r="G1216" s="3" t="str">
        <f t="shared" si="18"/>
        <v>5</v>
      </c>
      <c r="H1216" s="3" t="s">
        <v>383</v>
      </c>
      <c r="I1216" s="8">
        <v>217.16</v>
      </c>
      <c r="J1216" s="8">
        <v>131.97999999999999</v>
      </c>
      <c r="K1216" s="8">
        <v>217.16</v>
      </c>
    </row>
    <row r="1217" spans="1:11" hidden="1" x14ac:dyDescent="0.25">
      <c r="A1217" s="3" t="s">
        <v>2189</v>
      </c>
      <c r="B1217" s="3">
        <v>11</v>
      </c>
      <c r="C1217" s="5">
        <v>350</v>
      </c>
      <c r="D1217" s="6">
        <v>0</v>
      </c>
      <c r="E1217" s="7">
        <v>210500</v>
      </c>
      <c r="F1217" s="3">
        <v>53520</v>
      </c>
      <c r="G1217" s="3" t="str">
        <f t="shared" si="18"/>
        <v>5</v>
      </c>
      <c r="H1217" s="3" t="s">
        <v>2190</v>
      </c>
      <c r="I1217" s="8">
        <v>2.73</v>
      </c>
      <c r="J1217" s="8">
        <v>0</v>
      </c>
      <c r="K1217" s="8">
        <v>2.73</v>
      </c>
    </row>
    <row r="1218" spans="1:11" hidden="1" x14ac:dyDescent="0.25">
      <c r="A1218" s="3" t="s">
        <v>2191</v>
      </c>
      <c r="B1218" s="3">
        <v>11</v>
      </c>
      <c r="C1218" s="5">
        <v>350</v>
      </c>
      <c r="D1218" s="6">
        <v>0</v>
      </c>
      <c r="E1218" s="7">
        <v>210500</v>
      </c>
      <c r="F1218" s="3">
        <v>53610</v>
      </c>
      <c r="G1218" s="3" t="str">
        <f t="shared" si="18"/>
        <v>5</v>
      </c>
      <c r="H1218" s="3" t="s">
        <v>385</v>
      </c>
      <c r="I1218" s="8">
        <v>8212</v>
      </c>
      <c r="J1218" s="8">
        <v>4991.07</v>
      </c>
      <c r="K1218" s="8">
        <v>8212</v>
      </c>
    </row>
    <row r="1219" spans="1:11" hidden="1" x14ac:dyDescent="0.25">
      <c r="A1219" s="3" t="s">
        <v>2192</v>
      </c>
      <c r="B1219" s="3">
        <v>11</v>
      </c>
      <c r="C1219" s="5">
        <v>350</v>
      </c>
      <c r="D1219" s="6">
        <v>0</v>
      </c>
      <c r="E1219" s="7">
        <v>210500</v>
      </c>
      <c r="F1219" s="3">
        <v>53620</v>
      </c>
      <c r="G1219" s="3" t="str">
        <f t="shared" ref="G1219:G1282" si="19">LEFT(F1219,1)</f>
        <v>5</v>
      </c>
      <c r="H1219" s="3" t="s">
        <v>2193</v>
      </c>
      <c r="I1219" s="8">
        <v>103.05</v>
      </c>
      <c r="J1219" s="8">
        <v>0</v>
      </c>
      <c r="K1219" s="8">
        <v>103.05</v>
      </c>
    </row>
    <row r="1220" spans="1:11" hidden="1" x14ac:dyDescent="0.25">
      <c r="A1220" s="3" t="s">
        <v>2194</v>
      </c>
      <c r="B1220" s="3">
        <v>11</v>
      </c>
      <c r="C1220" s="5">
        <v>350</v>
      </c>
      <c r="D1220" s="6">
        <v>0</v>
      </c>
      <c r="E1220" s="7">
        <v>210500</v>
      </c>
      <c r="F1220" s="3">
        <v>55309</v>
      </c>
      <c r="G1220" s="3" t="str">
        <f t="shared" si="19"/>
        <v>5</v>
      </c>
      <c r="H1220" s="3" t="s">
        <v>2195</v>
      </c>
      <c r="I1220" s="8">
        <v>5700</v>
      </c>
      <c r="J1220" s="8">
        <v>0</v>
      </c>
      <c r="K1220" s="8">
        <v>5700</v>
      </c>
    </row>
    <row r="1221" spans="1:11" hidden="1" x14ac:dyDescent="0.25">
      <c r="A1221" s="3" t="s">
        <v>2196</v>
      </c>
      <c r="B1221" s="3">
        <v>11</v>
      </c>
      <c r="C1221" s="5">
        <v>350</v>
      </c>
      <c r="D1221" s="6">
        <v>0</v>
      </c>
      <c r="E1221" s="7">
        <v>210500</v>
      </c>
      <c r="F1221" s="3">
        <v>55630</v>
      </c>
      <c r="G1221" s="3" t="str">
        <f t="shared" si="19"/>
        <v>5</v>
      </c>
      <c r="H1221" s="3" t="s">
        <v>387</v>
      </c>
      <c r="I1221" s="8">
        <v>250</v>
      </c>
      <c r="J1221" s="8">
        <v>0</v>
      </c>
      <c r="K1221" s="8">
        <v>250</v>
      </c>
    </row>
    <row r="1222" spans="1:11" hidden="1" x14ac:dyDescent="0.25">
      <c r="A1222" s="3" t="s">
        <v>2197</v>
      </c>
      <c r="B1222" s="3">
        <v>11</v>
      </c>
      <c r="C1222" s="5">
        <v>350</v>
      </c>
      <c r="D1222" s="6">
        <v>0</v>
      </c>
      <c r="E1222" s="7">
        <v>601000</v>
      </c>
      <c r="F1222" s="3">
        <v>51210</v>
      </c>
      <c r="G1222" s="3" t="str">
        <f t="shared" si="19"/>
        <v>5</v>
      </c>
      <c r="H1222" s="3" t="s">
        <v>477</v>
      </c>
      <c r="I1222" s="8">
        <v>21806</v>
      </c>
      <c r="J1222" s="8">
        <v>16254.81</v>
      </c>
      <c r="K1222" s="8">
        <v>21806</v>
      </c>
    </row>
    <row r="1223" spans="1:11" hidden="1" x14ac:dyDescent="0.25">
      <c r="A1223" s="3" t="s">
        <v>2198</v>
      </c>
      <c r="B1223" s="3">
        <v>11</v>
      </c>
      <c r="C1223" s="5">
        <v>350</v>
      </c>
      <c r="D1223" s="6">
        <v>0</v>
      </c>
      <c r="E1223" s="7">
        <v>601000</v>
      </c>
      <c r="F1223" s="3">
        <v>52105</v>
      </c>
      <c r="G1223" s="3" t="str">
        <f t="shared" si="19"/>
        <v>5</v>
      </c>
      <c r="H1223" s="3" t="s">
        <v>481</v>
      </c>
      <c r="I1223" s="8">
        <v>5283.12</v>
      </c>
      <c r="J1223" s="8">
        <v>4061.87</v>
      </c>
      <c r="K1223" s="8">
        <v>5283.12</v>
      </c>
    </row>
    <row r="1224" spans="1:11" hidden="1" x14ac:dyDescent="0.25">
      <c r="A1224" s="3" t="s">
        <v>2199</v>
      </c>
      <c r="B1224" s="3">
        <v>11</v>
      </c>
      <c r="C1224" s="5">
        <v>350</v>
      </c>
      <c r="D1224" s="6">
        <v>0</v>
      </c>
      <c r="E1224" s="7">
        <v>601000</v>
      </c>
      <c r="F1224" s="3">
        <v>52360</v>
      </c>
      <c r="G1224" s="3" t="str">
        <f t="shared" si="19"/>
        <v>5</v>
      </c>
      <c r="H1224" s="3" t="s">
        <v>1008</v>
      </c>
      <c r="I1224" s="8">
        <v>250</v>
      </c>
      <c r="J1224" s="8">
        <v>0</v>
      </c>
      <c r="K1224" s="8">
        <v>250</v>
      </c>
    </row>
    <row r="1225" spans="1:11" hidden="1" x14ac:dyDescent="0.25">
      <c r="A1225" s="3" t="s">
        <v>2200</v>
      </c>
      <c r="B1225" s="3">
        <v>11</v>
      </c>
      <c r="C1225" s="5">
        <v>350</v>
      </c>
      <c r="D1225" s="6">
        <v>0</v>
      </c>
      <c r="E1225" s="7">
        <v>601000</v>
      </c>
      <c r="F1225" s="3">
        <v>53120</v>
      </c>
      <c r="G1225" s="3" t="str">
        <f t="shared" si="19"/>
        <v>5</v>
      </c>
      <c r="H1225" s="3" t="s">
        <v>485</v>
      </c>
      <c r="I1225" s="8">
        <v>3521.67</v>
      </c>
      <c r="J1225" s="8">
        <v>2625.15</v>
      </c>
      <c r="K1225" s="8">
        <v>3521.67</v>
      </c>
    </row>
    <row r="1226" spans="1:11" hidden="1" x14ac:dyDescent="0.25">
      <c r="A1226" s="3" t="s">
        <v>2201</v>
      </c>
      <c r="B1226" s="3">
        <v>11</v>
      </c>
      <c r="C1226" s="5">
        <v>350</v>
      </c>
      <c r="D1226" s="6">
        <v>0</v>
      </c>
      <c r="E1226" s="7">
        <v>601000</v>
      </c>
      <c r="F1226" s="3">
        <v>53220</v>
      </c>
      <c r="G1226" s="3" t="str">
        <f t="shared" si="19"/>
        <v>5</v>
      </c>
      <c r="H1226" s="3" t="s">
        <v>487</v>
      </c>
      <c r="I1226" s="8">
        <v>1093.6099999999999</v>
      </c>
      <c r="J1226" s="8">
        <v>840.29</v>
      </c>
      <c r="K1226" s="8">
        <v>1093.6099999999999</v>
      </c>
    </row>
    <row r="1227" spans="1:11" hidden="1" x14ac:dyDescent="0.25">
      <c r="A1227" s="3" t="s">
        <v>2202</v>
      </c>
      <c r="B1227" s="3">
        <v>11</v>
      </c>
      <c r="C1227" s="5">
        <v>350</v>
      </c>
      <c r="D1227" s="6">
        <v>0</v>
      </c>
      <c r="E1227" s="7">
        <v>601000</v>
      </c>
      <c r="F1227" s="3">
        <v>53320</v>
      </c>
      <c r="G1227" s="3" t="str">
        <f t="shared" si="19"/>
        <v>5</v>
      </c>
      <c r="H1227" s="3" t="s">
        <v>489</v>
      </c>
      <c r="I1227" s="8">
        <v>343.05</v>
      </c>
      <c r="J1227" s="8">
        <v>242.84</v>
      </c>
      <c r="K1227" s="8">
        <v>343.05</v>
      </c>
    </row>
    <row r="1228" spans="1:11" hidden="1" x14ac:dyDescent="0.25">
      <c r="A1228" s="3" t="s">
        <v>2203</v>
      </c>
      <c r="B1228" s="3">
        <v>11</v>
      </c>
      <c r="C1228" s="5">
        <v>350</v>
      </c>
      <c r="D1228" s="6">
        <v>0</v>
      </c>
      <c r="E1228" s="7">
        <v>601000</v>
      </c>
      <c r="F1228" s="3">
        <v>53340</v>
      </c>
      <c r="G1228" s="3" t="str">
        <f t="shared" si="19"/>
        <v>5</v>
      </c>
      <c r="H1228" s="3" t="s">
        <v>491</v>
      </c>
      <c r="I1228" s="8">
        <v>396.43</v>
      </c>
      <c r="J1228" s="8">
        <v>292.45999999999998</v>
      </c>
      <c r="K1228" s="8">
        <v>396.43</v>
      </c>
    </row>
    <row r="1229" spans="1:11" hidden="1" x14ac:dyDescent="0.25">
      <c r="A1229" s="3" t="s">
        <v>2204</v>
      </c>
      <c r="B1229" s="3">
        <v>11</v>
      </c>
      <c r="C1229" s="5">
        <v>350</v>
      </c>
      <c r="D1229" s="6">
        <v>0</v>
      </c>
      <c r="E1229" s="7">
        <v>601000</v>
      </c>
      <c r="F1229" s="3">
        <v>53420</v>
      </c>
      <c r="G1229" s="3" t="str">
        <f t="shared" si="19"/>
        <v>5</v>
      </c>
      <c r="H1229" s="3" t="s">
        <v>493</v>
      </c>
      <c r="I1229" s="8">
        <v>5940.47</v>
      </c>
      <c r="J1229" s="8">
        <v>4347.82</v>
      </c>
      <c r="K1229" s="8">
        <v>5940.47</v>
      </c>
    </row>
    <row r="1230" spans="1:11" hidden="1" x14ac:dyDescent="0.25">
      <c r="A1230" s="3" t="s">
        <v>2205</v>
      </c>
      <c r="B1230" s="3">
        <v>11</v>
      </c>
      <c r="C1230" s="5">
        <v>350</v>
      </c>
      <c r="D1230" s="6">
        <v>0</v>
      </c>
      <c r="E1230" s="7">
        <v>601000</v>
      </c>
      <c r="F1230" s="3">
        <v>53520</v>
      </c>
      <c r="G1230" s="3" t="str">
        <f t="shared" si="19"/>
        <v>5</v>
      </c>
      <c r="H1230" s="3" t="s">
        <v>495</v>
      </c>
      <c r="I1230" s="8">
        <v>13.67</v>
      </c>
      <c r="J1230" s="8">
        <v>10.08</v>
      </c>
      <c r="K1230" s="8">
        <v>13.67</v>
      </c>
    </row>
    <row r="1231" spans="1:11" hidden="1" x14ac:dyDescent="0.25">
      <c r="A1231" s="3" t="s">
        <v>2206</v>
      </c>
      <c r="B1231" s="3">
        <v>11</v>
      </c>
      <c r="C1231" s="5">
        <v>350</v>
      </c>
      <c r="D1231" s="6">
        <v>0</v>
      </c>
      <c r="E1231" s="7">
        <v>601000</v>
      </c>
      <c r="F1231" s="3">
        <v>53620</v>
      </c>
      <c r="G1231" s="3" t="str">
        <f t="shared" si="19"/>
        <v>5</v>
      </c>
      <c r="H1231" s="3" t="s">
        <v>497</v>
      </c>
      <c r="I1231" s="8">
        <v>516.92999999999995</v>
      </c>
      <c r="J1231" s="8">
        <v>384.35</v>
      </c>
      <c r="K1231" s="8">
        <v>516.92999999999995</v>
      </c>
    </row>
    <row r="1232" spans="1:11" hidden="1" x14ac:dyDescent="0.25">
      <c r="A1232" s="3" t="s">
        <v>2207</v>
      </c>
      <c r="B1232" s="3">
        <v>11</v>
      </c>
      <c r="C1232" s="5">
        <v>350</v>
      </c>
      <c r="D1232" s="6">
        <v>0</v>
      </c>
      <c r="E1232" s="7">
        <v>601000</v>
      </c>
      <c r="F1232" s="3">
        <v>54349</v>
      </c>
      <c r="G1232" s="3" t="str">
        <f t="shared" si="19"/>
        <v>5</v>
      </c>
      <c r="H1232" s="3" t="s">
        <v>2208</v>
      </c>
      <c r="I1232" s="8">
        <v>200</v>
      </c>
      <c r="J1232" s="8">
        <v>0</v>
      </c>
      <c r="K1232" s="8">
        <v>200</v>
      </c>
    </row>
    <row r="1233" spans="1:11" hidden="1" x14ac:dyDescent="0.25">
      <c r="A1233" s="3" t="s">
        <v>2209</v>
      </c>
      <c r="B1233" s="3">
        <v>11</v>
      </c>
      <c r="C1233" s="5">
        <v>350</v>
      </c>
      <c r="D1233" s="6">
        <v>0</v>
      </c>
      <c r="E1233" s="7">
        <v>601000</v>
      </c>
      <c r="F1233" s="3">
        <v>55630</v>
      </c>
      <c r="G1233" s="3" t="str">
        <f t="shared" si="19"/>
        <v>5</v>
      </c>
      <c r="H1233" s="3" t="s">
        <v>509</v>
      </c>
      <c r="I1233" s="8">
        <v>100</v>
      </c>
      <c r="J1233" s="8">
        <v>0</v>
      </c>
      <c r="K1233" s="8">
        <v>100</v>
      </c>
    </row>
    <row r="1234" spans="1:11" hidden="1" x14ac:dyDescent="0.25">
      <c r="A1234" s="3" t="s">
        <v>2210</v>
      </c>
      <c r="B1234" s="3">
        <v>11</v>
      </c>
      <c r="C1234" s="5">
        <v>350</v>
      </c>
      <c r="D1234" s="6">
        <v>0</v>
      </c>
      <c r="E1234" s="7">
        <v>703800</v>
      </c>
      <c r="F1234" s="3">
        <v>51412</v>
      </c>
      <c r="G1234" s="3" t="str">
        <f t="shared" si="19"/>
        <v>5</v>
      </c>
      <c r="H1234" s="3" t="s">
        <v>2211</v>
      </c>
      <c r="I1234" s="8">
        <v>0</v>
      </c>
      <c r="J1234" s="8">
        <v>3500</v>
      </c>
      <c r="K1234" s="8">
        <v>0</v>
      </c>
    </row>
    <row r="1235" spans="1:11" hidden="1" x14ac:dyDescent="0.25">
      <c r="A1235" s="3" t="s">
        <v>2212</v>
      </c>
      <c r="B1235" s="3">
        <v>11</v>
      </c>
      <c r="C1235" s="5">
        <v>304</v>
      </c>
      <c r="D1235" s="6">
        <v>0</v>
      </c>
      <c r="E1235" s="7">
        <v>703800</v>
      </c>
      <c r="F1235" s="3">
        <v>52105</v>
      </c>
      <c r="G1235" s="3" t="str">
        <f t="shared" si="19"/>
        <v>5</v>
      </c>
      <c r="H1235" s="3" t="s">
        <v>1096</v>
      </c>
      <c r="I1235" s="8">
        <v>0</v>
      </c>
      <c r="J1235" s="8">
        <v>1832</v>
      </c>
      <c r="K1235" s="8">
        <v>0</v>
      </c>
    </row>
    <row r="1236" spans="1:11" hidden="1" x14ac:dyDescent="0.25">
      <c r="A1236" s="3" t="s">
        <v>2213</v>
      </c>
      <c r="B1236" s="3">
        <v>11</v>
      </c>
      <c r="C1236" s="5">
        <v>304</v>
      </c>
      <c r="D1236" s="6">
        <v>0</v>
      </c>
      <c r="E1236" s="7">
        <v>703800</v>
      </c>
      <c r="F1236" s="3">
        <v>53120</v>
      </c>
      <c r="G1236" s="3" t="str">
        <f t="shared" si="19"/>
        <v>5</v>
      </c>
      <c r="H1236" s="3" t="s">
        <v>1104</v>
      </c>
      <c r="I1236" s="8">
        <v>0</v>
      </c>
      <c r="J1236" s="8">
        <v>565.25</v>
      </c>
      <c r="K1236" s="8">
        <v>0</v>
      </c>
    </row>
    <row r="1237" spans="1:11" hidden="1" x14ac:dyDescent="0.25">
      <c r="A1237" s="3" t="s">
        <v>2214</v>
      </c>
      <c r="B1237" s="3">
        <v>11</v>
      </c>
      <c r="C1237" s="5">
        <v>304</v>
      </c>
      <c r="D1237" s="6">
        <v>0</v>
      </c>
      <c r="E1237" s="7">
        <v>703800</v>
      </c>
      <c r="F1237" s="3">
        <v>53220</v>
      </c>
      <c r="G1237" s="3" t="str">
        <f t="shared" si="19"/>
        <v>5</v>
      </c>
      <c r="H1237" s="3" t="s">
        <v>1106</v>
      </c>
      <c r="I1237" s="8">
        <v>0</v>
      </c>
      <c r="J1237" s="8">
        <v>375.08</v>
      </c>
      <c r="K1237" s="8">
        <v>0</v>
      </c>
    </row>
    <row r="1238" spans="1:11" hidden="1" x14ac:dyDescent="0.25">
      <c r="A1238" s="3" t="s">
        <v>2215</v>
      </c>
      <c r="B1238" s="3">
        <v>11</v>
      </c>
      <c r="C1238" s="5">
        <v>304</v>
      </c>
      <c r="D1238" s="6">
        <v>0</v>
      </c>
      <c r="E1238" s="7">
        <v>703800</v>
      </c>
      <c r="F1238" s="3">
        <v>53320</v>
      </c>
      <c r="G1238" s="3" t="str">
        <f t="shared" si="19"/>
        <v>5</v>
      </c>
      <c r="H1238" s="3" t="s">
        <v>1108</v>
      </c>
      <c r="I1238" s="8">
        <v>0</v>
      </c>
      <c r="J1238" s="8">
        <v>112.25</v>
      </c>
      <c r="K1238" s="8">
        <v>0</v>
      </c>
    </row>
    <row r="1239" spans="1:11" hidden="1" x14ac:dyDescent="0.25">
      <c r="A1239" s="3" t="s">
        <v>2216</v>
      </c>
      <c r="B1239" s="3">
        <v>11</v>
      </c>
      <c r="C1239" s="5">
        <v>304</v>
      </c>
      <c r="D1239" s="6">
        <v>0</v>
      </c>
      <c r="E1239" s="7">
        <v>703800</v>
      </c>
      <c r="F1239" s="3">
        <v>53340</v>
      </c>
      <c r="G1239" s="3" t="str">
        <f t="shared" si="19"/>
        <v>5</v>
      </c>
      <c r="H1239" s="3" t="s">
        <v>1110</v>
      </c>
      <c r="I1239" s="8">
        <v>0</v>
      </c>
      <c r="J1239" s="8">
        <v>77</v>
      </c>
      <c r="K1239" s="8">
        <v>0</v>
      </c>
    </row>
    <row r="1240" spans="1:11" hidden="1" x14ac:dyDescent="0.25">
      <c r="A1240" s="3" t="s">
        <v>2217</v>
      </c>
      <c r="B1240" s="3">
        <v>11</v>
      </c>
      <c r="C1240" s="5">
        <v>304</v>
      </c>
      <c r="D1240" s="6">
        <v>0</v>
      </c>
      <c r="E1240" s="7">
        <v>703800</v>
      </c>
      <c r="F1240" s="3">
        <v>53420</v>
      </c>
      <c r="G1240" s="3" t="str">
        <f t="shared" si="19"/>
        <v>5</v>
      </c>
      <c r="H1240" s="3" t="s">
        <v>1112</v>
      </c>
      <c r="I1240" s="8">
        <v>0</v>
      </c>
      <c r="J1240" s="8">
        <v>855.33</v>
      </c>
      <c r="K1240" s="8">
        <v>0</v>
      </c>
    </row>
    <row r="1241" spans="1:11" hidden="1" x14ac:dyDescent="0.25">
      <c r="A1241" s="3" t="s">
        <v>2218</v>
      </c>
      <c r="B1241" s="3">
        <v>11</v>
      </c>
      <c r="C1241" s="5">
        <v>304</v>
      </c>
      <c r="D1241" s="6">
        <v>0</v>
      </c>
      <c r="E1241" s="7">
        <v>703800</v>
      </c>
      <c r="F1241" s="3">
        <v>53520</v>
      </c>
      <c r="G1241" s="3" t="str">
        <f t="shared" si="19"/>
        <v>5</v>
      </c>
      <c r="H1241" s="3" t="s">
        <v>1114</v>
      </c>
      <c r="I1241" s="8">
        <v>0</v>
      </c>
      <c r="J1241" s="8">
        <v>2.67</v>
      </c>
      <c r="K1241" s="8">
        <v>0</v>
      </c>
    </row>
    <row r="1242" spans="1:11" hidden="1" x14ac:dyDescent="0.25">
      <c r="A1242" s="3" t="s">
        <v>2219</v>
      </c>
      <c r="B1242" s="3">
        <v>11</v>
      </c>
      <c r="C1242" s="5">
        <v>304</v>
      </c>
      <c r="D1242" s="6">
        <v>0</v>
      </c>
      <c r="E1242" s="7">
        <v>703800</v>
      </c>
      <c r="F1242" s="3">
        <v>53620</v>
      </c>
      <c r="G1242" s="3" t="str">
        <f t="shared" si="19"/>
        <v>5</v>
      </c>
      <c r="H1242" s="3" t="s">
        <v>1116</v>
      </c>
      <c r="I1242" s="8">
        <v>0</v>
      </c>
      <c r="J1242" s="8">
        <v>100.82</v>
      </c>
      <c r="K1242" s="8">
        <v>0</v>
      </c>
    </row>
    <row r="1243" spans="1:11" hidden="1" x14ac:dyDescent="0.25">
      <c r="A1243" s="3" t="s">
        <v>2220</v>
      </c>
      <c r="B1243" s="3">
        <v>11</v>
      </c>
      <c r="C1243" s="5">
        <v>350</v>
      </c>
      <c r="D1243" s="6">
        <v>1</v>
      </c>
      <c r="E1243" s="7">
        <v>10100</v>
      </c>
      <c r="F1243" s="3">
        <v>51100</v>
      </c>
      <c r="G1243" s="3" t="str">
        <f t="shared" si="19"/>
        <v>5</v>
      </c>
      <c r="H1243" s="3" t="s">
        <v>2221</v>
      </c>
      <c r="I1243" s="8">
        <v>187884</v>
      </c>
      <c r="J1243" s="8">
        <v>136643.04</v>
      </c>
      <c r="K1243" s="8">
        <v>187884</v>
      </c>
    </row>
    <row r="1244" spans="1:11" hidden="1" x14ac:dyDescent="0.25">
      <c r="A1244" s="3" t="s">
        <v>2222</v>
      </c>
      <c r="B1244" s="3">
        <v>11</v>
      </c>
      <c r="C1244" s="5">
        <v>350</v>
      </c>
      <c r="D1244" s="6">
        <v>1</v>
      </c>
      <c r="E1244" s="7">
        <v>10100</v>
      </c>
      <c r="F1244" s="3">
        <v>51310</v>
      </c>
      <c r="G1244" s="3" t="str">
        <f t="shared" si="19"/>
        <v>5</v>
      </c>
      <c r="H1244" s="3" t="s">
        <v>2223</v>
      </c>
      <c r="I1244" s="8">
        <v>25000</v>
      </c>
      <c r="J1244" s="8">
        <v>12641.5</v>
      </c>
      <c r="K1244" s="8">
        <v>25000</v>
      </c>
    </row>
    <row r="1245" spans="1:11" hidden="1" x14ac:dyDescent="0.25">
      <c r="A1245" s="3" t="s">
        <v>2224</v>
      </c>
      <c r="B1245" s="3">
        <v>11</v>
      </c>
      <c r="C1245" s="5">
        <v>350</v>
      </c>
      <c r="D1245" s="6">
        <v>1</v>
      </c>
      <c r="E1245" s="7">
        <v>10100</v>
      </c>
      <c r="F1245" s="3">
        <v>51311</v>
      </c>
      <c r="G1245" s="3" t="str">
        <f t="shared" si="19"/>
        <v>5</v>
      </c>
      <c r="H1245" s="3" t="s">
        <v>2225</v>
      </c>
      <c r="I1245" s="8">
        <v>100266</v>
      </c>
      <c r="J1245" s="8">
        <v>69430.710000000006</v>
      </c>
      <c r="K1245" s="8">
        <v>100266</v>
      </c>
    </row>
    <row r="1246" spans="1:11" hidden="1" x14ac:dyDescent="0.25">
      <c r="A1246" s="3" t="s">
        <v>2226</v>
      </c>
      <c r="B1246" s="3">
        <v>11</v>
      </c>
      <c r="C1246" s="5">
        <v>350</v>
      </c>
      <c r="D1246" s="6">
        <v>1</v>
      </c>
      <c r="E1246" s="7">
        <v>10100</v>
      </c>
      <c r="F1246" s="3">
        <v>51412</v>
      </c>
      <c r="G1246" s="3" t="str">
        <f t="shared" si="19"/>
        <v>5</v>
      </c>
      <c r="H1246" s="3" t="s">
        <v>2227</v>
      </c>
      <c r="I1246" s="8">
        <v>100</v>
      </c>
      <c r="J1246" s="8">
        <v>0</v>
      </c>
      <c r="K1246" s="8">
        <v>100</v>
      </c>
    </row>
    <row r="1247" spans="1:11" hidden="1" x14ac:dyDescent="0.25">
      <c r="A1247" s="3" t="s">
        <v>2228</v>
      </c>
      <c r="B1247" s="3">
        <v>11</v>
      </c>
      <c r="C1247" s="5">
        <v>350</v>
      </c>
      <c r="D1247" s="6">
        <v>1</v>
      </c>
      <c r="E1247" s="7">
        <v>10100</v>
      </c>
      <c r="F1247" s="3">
        <v>52200</v>
      </c>
      <c r="G1247" s="3" t="str">
        <f t="shared" si="19"/>
        <v>5</v>
      </c>
      <c r="H1247" s="3" t="s">
        <v>2229</v>
      </c>
      <c r="I1247" s="8">
        <v>67893</v>
      </c>
      <c r="J1247" s="8">
        <v>41916.57</v>
      </c>
      <c r="K1247" s="8">
        <v>67893</v>
      </c>
    </row>
    <row r="1248" spans="1:11" hidden="1" x14ac:dyDescent="0.25">
      <c r="A1248" s="3" t="s">
        <v>2230</v>
      </c>
      <c r="B1248" s="3">
        <v>11</v>
      </c>
      <c r="C1248" s="5">
        <v>350</v>
      </c>
      <c r="D1248" s="6">
        <v>1</v>
      </c>
      <c r="E1248" s="7">
        <v>10100</v>
      </c>
      <c r="F1248" s="3">
        <v>52300</v>
      </c>
      <c r="G1248" s="3" t="str">
        <f t="shared" si="19"/>
        <v>5</v>
      </c>
      <c r="H1248" s="3" t="s">
        <v>2231</v>
      </c>
      <c r="I1248" s="8">
        <v>0</v>
      </c>
      <c r="J1248" s="8">
        <v>14.96</v>
      </c>
      <c r="K1248" s="8">
        <v>0</v>
      </c>
    </row>
    <row r="1249" spans="1:11" hidden="1" x14ac:dyDescent="0.25">
      <c r="A1249" s="3" t="s">
        <v>2232</v>
      </c>
      <c r="B1249" s="3">
        <v>11</v>
      </c>
      <c r="C1249" s="5">
        <v>350</v>
      </c>
      <c r="D1249" s="6">
        <v>1</v>
      </c>
      <c r="E1249" s="7">
        <v>10100</v>
      </c>
      <c r="F1249" s="3">
        <v>53110</v>
      </c>
      <c r="G1249" s="3" t="str">
        <f t="shared" si="19"/>
        <v>5</v>
      </c>
      <c r="H1249" s="3" t="s">
        <v>2233</v>
      </c>
      <c r="I1249" s="8">
        <v>50573.72</v>
      </c>
      <c r="J1249" s="8">
        <v>29771.16</v>
      </c>
      <c r="K1249" s="8">
        <v>50573.72</v>
      </c>
    </row>
    <row r="1250" spans="1:11" hidden="1" x14ac:dyDescent="0.25">
      <c r="A1250" s="3" t="s">
        <v>2234</v>
      </c>
      <c r="B1250" s="3">
        <v>11</v>
      </c>
      <c r="C1250" s="5">
        <v>350</v>
      </c>
      <c r="D1250" s="6">
        <v>1</v>
      </c>
      <c r="E1250" s="7">
        <v>10100</v>
      </c>
      <c r="F1250" s="3">
        <v>53120</v>
      </c>
      <c r="G1250" s="3" t="str">
        <f t="shared" si="19"/>
        <v>5</v>
      </c>
      <c r="H1250" s="3" t="s">
        <v>2235</v>
      </c>
      <c r="I1250" s="8">
        <v>16.149999999999999</v>
      </c>
      <c r="J1250" s="8">
        <v>0</v>
      </c>
      <c r="K1250" s="8">
        <v>16.149999999999999</v>
      </c>
    </row>
    <row r="1251" spans="1:11" hidden="1" x14ac:dyDescent="0.25">
      <c r="A1251" s="3" t="s">
        <v>2236</v>
      </c>
      <c r="B1251" s="3">
        <v>11</v>
      </c>
      <c r="C1251" s="5">
        <v>350</v>
      </c>
      <c r="D1251" s="6">
        <v>1</v>
      </c>
      <c r="E1251" s="7">
        <v>10100</v>
      </c>
      <c r="F1251" s="3">
        <v>53210</v>
      </c>
      <c r="G1251" s="3" t="str">
        <f t="shared" si="19"/>
        <v>5</v>
      </c>
      <c r="H1251" s="3" t="s">
        <v>2237</v>
      </c>
      <c r="I1251" s="8">
        <v>14053.85</v>
      </c>
      <c r="J1251" s="8">
        <v>8597.91</v>
      </c>
      <c r="K1251" s="8">
        <v>14053.85</v>
      </c>
    </row>
    <row r="1252" spans="1:11" hidden="1" x14ac:dyDescent="0.25">
      <c r="A1252" s="3" t="s">
        <v>2238</v>
      </c>
      <c r="B1252" s="3">
        <v>11</v>
      </c>
      <c r="C1252" s="5">
        <v>350</v>
      </c>
      <c r="D1252" s="6">
        <v>1</v>
      </c>
      <c r="E1252" s="7">
        <v>10100</v>
      </c>
      <c r="F1252" s="3">
        <v>53310</v>
      </c>
      <c r="G1252" s="3" t="str">
        <f t="shared" si="19"/>
        <v>5</v>
      </c>
      <c r="H1252" s="3" t="s">
        <v>2239</v>
      </c>
      <c r="I1252" s="8">
        <v>4209.37</v>
      </c>
      <c r="J1252" s="8">
        <v>4738.47</v>
      </c>
      <c r="K1252" s="8">
        <v>4209.37</v>
      </c>
    </row>
    <row r="1253" spans="1:11" hidden="1" x14ac:dyDescent="0.25">
      <c r="A1253" s="3" t="s">
        <v>2240</v>
      </c>
      <c r="B1253" s="3">
        <v>11</v>
      </c>
      <c r="C1253" s="5">
        <v>350</v>
      </c>
      <c r="D1253" s="6">
        <v>1</v>
      </c>
      <c r="E1253" s="7">
        <v>10100</v>
      </c>
      <c r="F1253" s="3">
        <v>53320</v>
      </c>
      <c r="G1253" s="3" t="str">
        <f t="shared" si="19"/>
        <v>5</v>
      </c>
      <c r="H1253" s="3" t="s">
        <v>2241</v>
      </c>
      <c r="I1253" s="8">
        <v>0</v>
      </c>
      <c r="J1253" s="8">
        <v>0.92</v>
      </c>
      <c r="K1253" s="8">
        <v>0</v>
      </c>
    </row>
    <row r="1254" spans="1:11" hidden="1" x14ac:dyDescent="0.25">
      <c r="A1254" s="3" t="s">
        <v>2242</v>
      </c>
      <c r="B1254" s="3">
        <v>11</v>
      </c>
      <c r="C1254" s="5">
        <v>350</v>
      </c>
      <c r="D1254" s="6">
        <v>1</v>
      </c>
      <c r="E1254" s="7">
        <v>10100</v>
      </c>
      <c r="F1254" s="3">
        <v>53330</v>
      </c>
      <c r="G1254" s="3" t="str">
        <f t="shared" si="19"/>
        <v>5</v>
      </c>
      <c r="H1254" s="3" t="s">
        <v>2243</v>
      </c>
      <c r="I1254" s="8">
        <v>5525.13</v>
      </c>
      <c r="J1254" s="8">
        <v>3769.76</v>
      </c>
      <c r="K1254" s="8">
        <v>5525.13</v>
      </c>
    </row>
    <row r="1255" spans="1:11" hidden="1" x14ac:dyDescent="0.25">
      <c r="A1255" s="3" t="s">
        <v>2244</v>
      </c>
      <c r="B1255" s="3">
        <v>11</v>
      </c>
      <c r="C1255" s="5">
        <v>350</v>
      </c>
      <c r="D1255" s="6">
        <v>1</v>
      </c>
      <c r="E1255" s="7">
        <v>10100</v>
      </c>
      <c r="F1255" s="3">
        <v>53340</v>
      </c>
      <c r="G1255" s="3" t="str">
        <f t="shared" si="19"/>
        <v>5</v>
      </c>
      <c r="H1255" s="3" t="s">
        <v>2245</v>
      </c>
      <c r="I1255" s="8">
        <v>1.45</v>
      </c>
      <c r="J1255" s="8">
        <v>0.21</v>
      </c>
      <c r="K1255" s="8">
        <v>1.45</v>
      </c>
    </row>
    <row r="1256" spans="1:11" hidden="1" x14ac:dyDescent="0.25">
      <c r="A1256" s="3" t="s">
        <v>2246</v>
      </c>
      <c r="B1256" s="3">
        <v>11</v>
      </c>
      <c r="C1256" s="5">
        <v>350</v>
      </c>
      <c r="D1256" s="6">
        <v>1</v>
      </c>
      <c r="E1256" s="7">
        <v>10100</v>
      </c>
      <c r="F1256" s="3">
        <v>53410</v>
      </c>
      <c r="G1256" s="3" t="str">
        <f t="shared" si="19"/>
        <v>5</v>
      </c>
      <c r="H1256" s="3" t="s">
        <v>2247</v>
      </c>
      <c r="I1256" s="8">
        <v>63703.58</v>
      </c>
      <c r="J1256" s="8">
        <v>45672.31</v>
      </c>
      <c r="K1256" s="8">
        <v>63703.58</v>
      </c>
    </row>
    <row r="1257" spans="1:11" hidden="1" x14ac:dyDescent="0.25">
      <c r="A1257" s="3" t="s">
        <v>2248</v>
      </c>
      <c r="B1257" s="3">
        <v>11</v>
      </c>
      <c r="C1257" s="5">
        <v>350</v>
      </c>
      <c r="D1257" s="6">
        <v>1</v>
      </c>
      <c r="E1257" s="7">
        <v>10100</v>
      </c>
      <c r="F1257" s="3">
        <v>53510</v>
      </c>
      <c r="G1257" s="3" t="str">
        <f t="shared" si="19"/>
        <v>5</v>
      </c>
      <c r="H1257" s="3" t="s">
        <v>2249</v>
      </c>
      <c r="I1257" s="8">
        <v>190.52</v>
      </c>
      <c r="J1257" s="8">
        <v>130.29</v>
      </c>
      <c r="K1257" s="8">
        <v>190.52</v>
      </c>
    </row>
    <row r="1258" spans="1:11" hidden="1" x14ac:dyDescent="0.25">
      <c r="A1258" s="3" t="s">
        <v>2250</v>
      </c>
      <c r="B1258" s="3">
        <v>11</v>
      </c>
      <c r="C1258" s="5">
        <v>350</v>
      </c>
      <c r="D1258" s="6">
        <v>1</v>
      </c>
      <c r="E1258" s="7">
        <v>10100</v>
      </c>
      <c r="F1258" s="3">
        <v>53520</v>
      </c>
      <c r="G1258" s="3" t="str">
        <f t="shared" si="19"/>
        <v>5</v>
      </c>
      <c r="H1258" s="3" t="s">
        <v>2251</v>
      </c>
      <c r="I1258" s="8">
        <v>0.05</v>
      </c>
      <c r="J1258" s="8">
        <v>0.03</v>
      </c>
      <c r="K1258" s="8">
        <v>0.05</v>
      </c>
    </row>
    <row r="1259" spans="1:11" hidden="1" x14ac:dyDescent="0.25">
      <c r="A1259" s="3" t="s">
        <v>2252</v>
      </c>
      <c r="B1259" s="3">
        <v>11</v>
      </c>
      <c r="C1259" s="5">
        <v>350</v>
      </c>
      <c r="D1259" s="6">
        <v>1</v>
      </c>
      <c r="E1259" s="7">
        <v>10100</v>
      </c>
      <c r="F1259" s="3">
        <v>53610</v>
      </c>
      <c r="G1259" s="3" t="str">
        <f t="shared" si="19"/>
        <v>5</v>
      </c>
      <c r="H1259" s="3" t="s">
        <v>2253</v>
      </c>
      <c r="I1259" s="8">
        <v>9604.76</v>
      </c>
      <c r="J1259" s="8">
        <v>4928.67</v>
      </c>
      <c r="K1259" s="8">
        <v>9604.76</v>
      </c>
    </row>
    <row r="1260" spans="1:11" hidden="1" x14ac:dyDescent="0.25">
      <c r="A1260" s="3" t="s">
        <v>2254</v>
      </c>
      <c r="B1260" s="3">
        <v>11</v>
      </c>
      <c r="C1260" s="5">
        <v>350</v>
      </c>
      <c r="D1260" s="6">
        <v>1</v>
      </c>
      <c r="E1260" s="7">
        <v>10100</v>
      </c>
      <c r="F1260" s="3">
        <v>53620</v>
      </c>
      <c r="G1260" s="3" t="str">
        <f t="shared" si="19"/>
        <v>5</v>
      </c>
      <c r="H1260" s="3" t="s">
        <v>2255</v>
      </c>
      <c r="I1260" s="8">
        <v>1.89</v>
      </c>
      <c r="J1260" s="8">
        <v>0.26</v>
      </c>
      <c r="K1260" s="8">
        <v>1.89</v>
      </c>
    </row>
    <row r="1261" spans="1:11" hidden="1" x14ac:dyDescent="0.25">
      <c r="A1261" s="3" t="s">
        <v>2256</v>
      </c>
      <c r="B1261" s="3">
        <v>11</v>
      </c>
      <c r="C1261" s="5">
        <v>350</v>
      </c>
      <c r="D1261" s="6">
        <v>1</v>
      </c>
      <c r="E1261" s="7">
        <v>10100</v>
      </c>
      <c r="F1261" s="3">
        <v>53910</v>
      </c>
      <c r="G1261" s="3" t="str">
        <f t="shared" si="19"/>
        <v>5</v>
      </c>
      <c r="H1261" s="3" t="s">
        <v>2257</v>
      </c>
      <c r="I1261" s="8">
        <v>0</v>
      </c>
      <c r="J1261" s="8">
        <v>1600</v>
      </c>
      <c r="K1261" s="8">
        <v>0</v>
      </c>
    </row>
    <row r="1262" spans="1:11" hidden="1" x14ac:dyDescent="0.25">
      <c r="A1262" s="3" t="s">
        <v>2258</v>
      </c>
      <c r="B1262" s="3">
        <v>11</v>
      </c>
      <c r="C1262" s="5">
        <v>350</v>
      </c>
      <c r="D1262" s="6">
        <v>1</v>
      </c>
      <c r="E1262" s="7">
        <v>10100</v>
      </c>
      <c r="F1262" s="3">
        <v>54300</v>
      </c>
      <c r="G1262" s="3" t="str">
        <f t="shared" si="19"/>
        <v>5</v>
      </c>
      <c r="H1262" s="3" t="s">
        <v>2259</v>
      </c>
      <c r="I1262" s="8">
        <v>1000</v>
      </c>
      <c r="J1262" s="8">
        <v>0</v>
      </c>
      <c r="K1262" s="8">
        <v>1000</v>
      </c>
    </row>
    <row r="1263" spans="1:11" hidden="1" x14ac:dyDescent="0.25">
      <c r="A1263" s="3" t="s">
        <v>2260</v>
      </c>
      <c r="B1263" s="3">
        <v>11</v>
      </c>
      <c r="C1263" s="5">
        <v>350</v>
      </c>
      <c r="D1263" s="6">
        <v>1</v>
      </c>
      <c r="E1263" s="7">
        <v>10100</v>
      </c>
      <c r="F1263" s="3">
        <v>55200</v>
      </c>
      <c r="G1263" s="3" t="str">
        <f t="shared" si="19"/>
        <v>5</v>
      </c>
      <c r="H1263" s="3" t="s">
        <v>2261</v>
      </c>
      <c r="I1263" s="8">
        <v>250</v>
      </c>
      <c r="J1263" s="8">
        <v>0</v>
      </c>
      <c r="K1263" s="8">
        <v>250</v>
      </c>
    </row>
    <row r="1264" spans="1:11" hidden="1" x14ac:dyDescent="0.25">
      <c r="A1264" s="3" t="s">
        <v>2262</v>
      </c>
      <c r="B1264" s="3">
        <v>11</v>
      </c>
      <c r="C1264" s="5">
        <v>350</v>
      </c>
      <c r="D1264" s="6">
        <v>1</v>
      </c>
      <c r="E1264" s="7">
        <v>10100</v>
      </c>
      <c r="F1264" s="3">
        <v>55300</v>
      </c>
      <c r="G1264" s="3" t="str">
        <f t="shared" si="19"/>
        <v>5</v>
      </c>
      <c r="H1264" s="3" t="s">
        <v>2263</v>
      </c>
      <c r="I1264" s="8">
        <v>250</v>
      </c>
      <c r="J1264" s="8">
        <v>0</v>
      </c>
      <c r="K1264" s="8">
        <v>250</v>
      </c>
    </row>
    <row r="1265" spans="1:11" hidden="1" x14ac:dyDescent="0.25">
      <c r="A1265" s="3" t="s">
        <v>2264</v>
      </c>
      <c r="B1265" s="3">
        <v>11</v>
      </c>
      <c r="C1265" s="5">
        <v>350</v>
      </c>
      <c r="D1265" s="6">
        <v>1</v>
      </c>
      <c r="E1265" s="7">
        <v>10100</v>
      </c>
      <c r="F1265" s="3">
        <v>55560</v>
      </c>
      <c r="G1265" s="3" t="str">
        <f t="shared" si="19"/>
        <v>5</v>
      </c>
      <c r="H1265" s="3" t="s">
        <v>2265</v>
      </c>
      <c r="I1265" s="8">
        <v>1000</v>
      </c>
      <c r="J1265" s="8">
        <v>0</v>
      </c>
      <c r="K1265" s="8">
        <v>1000</v>
      </c>
    </row>
    <row r="1266" spans="1:11" hidden="1" x14ac:dyDescent="0.25">
      <c r="A1266" s="3" t="s">
        <v>2266</v>
      </c>
      <c r="B1266" s="3">
        <v>11</v>
      </c>
      <c r="C1266" s="5">
        <v>350</v>
      </c>
      <c r="D1266" s="6">
        <v>1</v>
      </c>
      <c r="E1266" s="7">
        <v>10100</v>
      </c>
      <c r="F1266" s="3">
        <v>55630</v>
      </c>
      <c r="G1266" s="3" t="str">
        <f t="shared" si="19"/>
        <v>5</v>
      </c>
      <c r="H1266" s="3" t="s">
        <v>2267</v>
      </c>
      <c r="I1266" s="8">
        <v>350</v>
      </c>
      <c r="J1266" s="8">
        <v>0</v>
      </c>
      <c r="K1266" s="8">
        <v>350</v>
      </c>
    </row>
    <row r="1267" spans="1:11" hidden="1" x14ac:dyDescent="0.25">
      <c r="A1267" s="3" t="s">
        <v>2268</v>
      </c>
      <c r="B1267" s="3">
        <v>11</v>
      </c>
      <c r="C1267" s="5">
        <v>350</v>
      </c>
      <c r="D1267" s="6">
        <v>1</v>
      </c>
      <c r="E1267" s="7">
        <v>10100</v>
      </c>
      <c r="F1267" s="3">
        <v>55635</v>
      </c>
      <c r="G1267" s="3" t="str">
        <f t="shared" si="19"/>
        <v>5</v>
      </c>
      <c r="H1267" s="3" t="s">
        <v>2269</v>
      </c>
      <c r="I1267" s="8">
        <v>107</v>
      </c>
      <c r="J1267" s="8">
        <v>0</v>
      </c>
      <c r="K1267" s="8">
        <v>107</v>
      </c>
    </row>
    <row r="1268" spans="1:11" hidden="1" x14ac:dyDescent="0.25">
      <c r="A1268" s="3" t="s">
        <v>2270</v>
      </c>
      <c r="B1268" s="3">
        <v>11</v>
      </c>
      <c r="C1268" s="5">
        <v>350</v>
      </c>
      <c r="D1268" s="6">
        <v>1</v>
      </c>
      <c r="E1268" s="7">
        <v>10100</v>
      </c>
      <c r="F1268" s="3">
        <v>55650</v>
      </c>
      <c r="G1268" s="3" t="str">
        <f t="shared" si="19"/>
        <v>5</v>
      </c>
      <c r="H1268" s="3" t="s">
        <v>2271</v>
      </c>
      <c r="I1268" s="8">
        <v>535</v>
      </c>
      <c r="J1268" s="8">
        <v>0</v>
      </c>
      <c r="K1268" s="8">
        <v>535</v>
      </c>
    </row>
    <row r="1269" spans="1:11" hidden="1" x14ac:dyDescent="0.25">
      <c r="A1269" s="3" t="s">
        <v>2272</v>
      </c>
      <c r="B1269" s="3">
        <v>11</v>
      </c>
      <c r="C1269" s="5">
        <v>350</v>
      </c>
      <c r="D1269" s="6">
        <v>1</v>
      </c>
      <c r="E1269" s="7">
        <v>70100</v>
      </c>
      <c r="F1269" s="3">
        <v>51100</v>
      </c>
      <c r="G1269" s="3" t="str">
        <f t="shared" si="19"/>
        <v>5</v>
      </c>
      <c r="H1269" s="3" t="s">
        <v>1892</v>
      </c>
      <c r="I1269" s="8">
        <v>72937.2</v>
      </c>
      <c r="J1269" s="8">
        <v>56834.239999999998</v>
      </c>
      <c r="K1269" s="8">
        <v>72937.2</v>
      </c>
    </row>
    <row r="1270" spans="1:11" hidden="1" x14ac:dyDescent="0.25">
      <c r="A1270" s="3" t="s">
        <v>2273</v>
      </c>
      <c r="B1270" s="3">
        <v>11</v>
      </c>
      <c r="C1270" s="5">
        <v>350</v>
      </c>
      <c r="D1270" s="6">
        <v>1</v>
      </c>
      <c r="E1270" s="7">
        <v>70100</v>
      </c>
      <c r="F1270" s="3">
        <v>51200</v>
      </c>
      <c r="G1270" s="3" t="str">
        <f t="shared" si="19"/>
        <v>5</v>
      </c>
      <c r="H1270" s="3" t="s">
        <v>2274</v>
      </c>
      <c r="I1270" s="8">
        <v>20839.2</v>
      </c>
      <c r="J1270" s="8">
        <v>18944.72</v>
      </c>
      <c r="K1270" s="8">
        <v>20839.2</v>
      </c>
    </row>
    <row r="1271" spans="1:11" hidden="1" x14ac:dyDescent="0.25">
      <c r="A1271" s="3" t="s">
        <v>2275</v>
      </c>
      <c r="B1271" s="3">
        <v>11</v>
      </c>
      <c r="C1271" s="5">
        <v>350</v>
      </c>
      <c r="D1271" s="6">
        <v>1</v>
      </c>
      <c r="E1271" s="7">
        <v>70100</v>
      </c>
      <c r="F1271" s="3">
        <v>51311</v>
      </c>
      <c r="G1271" s="3" t="str">
        <f t="shared" si="19"/>
        <v>5</v>
      </c>
      <c r="H1271" s="3" t="s">
        <v>241</v>
      </c>
      <c r="I1271" s="8">
        <v>0</v>
      </c>
      <c r="J1271" s="8">
        <v>22658.84</v>
      </c>
      <c r="K1271" s="8">
        <v>0</v>
      </c>
    </row>
    <row r="1272" spans="1:11" hidden="1" x14ac:dyDescent="0.25">
      <c r="A1272" s="3" t="s">
        <v>2276</v>
      </c>
      <c r="B1272" s="3">
        <v>11</v>
      </c>
      <c r="C1272" s="5">
        <v>350</v>
      </c>
      <c r="D1272" s="6">
        <v>1</v>
      </c>
      <c r="E1272" s="7">
        <v>70100</v>
      </c>
      <c r="F1272" s="3">
        <v>53110</v>
      </c>
      <c r="G1272" s="3" t="str">
        <f t="shared" si="19"/>
        <v>5</v>
      </c>
      <c r="H1272" s="3" t="s">
        <v>243</v>
      </c>
      <c r="I1272" s="8">
        <v>11779.36</v>
      </c>
      <c r="J1272" s="8">
        <v>9571.7199999999993</v>
      </c>
      <c r="K1272" s="8">
        <v>11779.36</v>
      </c>
    </row>
    <row r="1273" spans="1:11" hidden="1" x14ac:dyDescent="0.25">
      <c r="A1273" s="3" t="s">
        <v>2277</v>
      </c>
      <c r="B1273" s="3">
        <v>11</v>
      </c>
      <c r="C1273" s="5">
        <v>350</v>
      </c>
      <c r="D1273" s="6">
        <v>1</v>
      </c>
      <c r="E1273" s="7">
        <v>70100</v>
      </c>
      <c r="F1273" s="3">
        <v>53120</v>
      </c>
      <c r="G1273" s="3" t="str">
        <f t="shared" si="19"/>
        <v>5</v>
      </c>
      <c r="H1273" s="3" t="s">
        <v>2278</v>
      </c>
      <c r="I1273" s="8">
        <v>3365.53</v>
      </c>
      <c r="J1273" s="8">
        <v>3059.6</v>
      </c>
      <c r="K1273" s="8">
        <v>3365.53</v>
      </c>
    </row>
    <row r="1274" spans="1:11" hidden="1" x14ac:dyDescent="0.25">
      <c r="A1274" s="3" t="s">
        <v>2279</v>
      </c>
      <c r="B1274" s="3">
        <v>11</v>
      </c>
      <c r="C1274" s="5">
        <v>350</v>
      </c>
      <c r="D1274" s="6">
        <v>1</v>
      </c>
      <c r="E1274" s="7">
        <v>70100</v>
      </c>
      <c r="F1274" s="3">
        <v>53330</v>
      </c>
      <c r="G1274" s="3" t="str">
        <f t="shared" si="19"/>
        <v>5</v>
      </c>
      <c r="H1274" s="3" t="s">
        <v>245</v>
      </c>
      <c r="I1274" s="8">
        <v>1057.5899999999999</v>
      </c>
      <c r="J1274" s="8">
        <v>1147.7</v>
      </c>
      <c r="K1274" s="8">
        <v>1057.5899999999999</v>
      </c>
    </row>
    <row r="1275" spans="1:11" hidden="1" x14ac:dyDescent="0.25">
      <c r="A1275" s="3" t="s">
        <v>2280</v>
      </c>
      <c r="B1275" s="3">
        <v>11</v>
      </c>
      <c r="C1275" s="5">
        <v>350</v>
      </c>
      <c r="D1275" s="6">
        <v>1</v>
      </c>
      <c r="E1275" s="7">
        <v>70100</v>
      </c>
      <c r="F1275" s="3">
        <v>53340</v>
      </c>
      <c r="G1275" s="3" t="str">
        <f t="shared" si="19"/>
        <v>5</v>
      </c>
      <c r="H1275" s="3" t="s">
        <v>2281</v>
      </c>
      <c r="I1275" s="8">
        <v>302.17</v>
      </c>
      <c r="J1275" s="8">
        <v>273.07</v>
      </c>
      <c r="K1275" s="8">
        <v>302.17</v>
      </c>
    </row>
    <row r="1276" spans="1:11" hidden="1" x14ac:dyDescent="0.25">
      <c r="A1276" s="3" t="s">
        <v>2282</v>
      </c>
      <c r="B1276" s="3">
        <v>11</v>
      </c>
      <c r="C1276" s="5">
        <v>350</v>
      </c>
      <c r="D1276" s="6">
        <v>1</v>
      </c>
      <c r="E1276" s="7">
        <v>70100</v>
      </c>
      <c r="F1276" s="3">
        <v>53410</v>
      </c>
      <c r="G1276" s="3" t="str">
        <f t="shared" si="19"/>
        <v>5</v>
      </c>
      <c r="H1276" s="3" t="s">
        <v>1898</v>
      </c>
      <c r="I1276" s="8">
        <v>17668.509999999998</v>
      </c>
      <c r="J1276" s="8">
        <v>13490.56</v>
      </c>
      <c r="K1276" s="8">
        <v>17668.509999999998</v>
      </c>
    </row>
    <row r="1277" spans="1:11" hidden="1" x14ac:dyDescent="0.25">
      <c r="A1277" s="3" t="s">
        <v>2283</v>
      </c>
      <c r="B1277" s="3">
        <v>11</v>
      </c>
      <c r="C1277" s="5">
        <v>350</v>
      </c>
      <c r="D1277" s="6">
        <v>1</v>
      </c>
      <c r="E1277" s="7">
        <v>70100</v>
      </c>
      <c r="F1277" s="3">
        <v>53420</v>
      </c>
      <c r="G1277" s="3" t="str">
        <f t="shared" si="19"/>
        <v>5</v>
      </c>
      <c r="H1277" s="3" t="s">
        <v>2284</v>
      </c>
      <c r="I1277" s="8">
        <v>5048.1499999999996</v>
      </c>
      <c r="J1277" s="8">
        <v>4496.8100000000004</v>
      </c>
      <c r="K1277" s="8">
        <v>5048.1499999999996</v>
      </c>
    </row>
    <row r="1278" spans="1:11" hidden="1" x14ac:dyDescent="0.25">
      <c r="A1278" s="3" t="s">
        <v>2285</v>
      </c>
      <c r="B1278" s="3">
        <v>11</v>
      </c>
      <c r="C1278" s="5">
        <v>350</v>
      </c>
      <c r="D1278" s="6">
        <v>1</v>
      </c>
      <c r="E1278" s="7">
        <v>70100</v>
      </c>
      <c r="F1278" s="3">
        <v>53510</v>
      </c>
      <c r="G1278" s="3" t="str">
        <f t="shared" si="19"/>
        <v>5</v>
      </c>
      <c r="H1278" s="3" t="s">
        <v>247</v>
      </c>
      <c r="I1278" s="8">
        <v>36.47</v>
      </c>
      <c r="J1278" s="8">
        <v>39.71</v>
      </c>
      <c r="K1278" s="8">
        <v>36.47</v>
      </c>
    </row>
    <row r="1279" spans="1:11" hidden="1" x14ac:dyDescent="0.25">
      <c r="A1279" s="3" t="s">
        <v>2286</v>
      </c>
      <c r="B1279" s="3">
        <v>11</v>
      </c>
      <c r="C1279" s="5">
        <v>350</v>
      </c>
      <c r="D1279" s="6">
        <v>1</v>
      </c>
      <c r="E1279" s="7">
        <v>70100</v>
      </c>
      <c r="F1279" s="3">
        <v>53520</v>
      </c>
      <c r="G1279" s="3" t="str">
        <f t="shared" si="19"/>
        <v>5</v>
      </c>
      <c r="H1279" s="3" t="s">
        <v>2287</v>
      </c>
      <c r="I1279" s="8">
        <v>10.42</v>
      </c>
      <c r="J1279" s="8">
        <v>9.5</v>
      </c>
      <c r="K1279" s="8">
        <v>10.42</v>
      </c>
    </row>
    <row r="1280" spans="1:11" hidden="1" x14ac:dyDescent="0.25">
      <c r="A1280" s="3" t="s">
        <v>2288</v>
      </c>
      <c r="B1280" s="3">
        <v>11</v>
      </c>
      <c r="C1280" s="5">
        <v>350</v>
      </c>
      <c r="D1280" s="6">
        <v>1</v>
      </c>
      <c r="E1280" s="7">
        <v>70100</v>
      </c>
      <c r="F1280" s="3">
        <v>53610</v>
      </c>
      <c r="G1280" s="3" t="str">
        <f t="shared" si="19"/>
        <v>5</v>
      </c>
      <c r="H1280" s="3" t="s">
        <v>249</v>
      </c>
      <c r="I1280" s="8">
        <v>1379.1</v>
      </c>
      <c r="J1280" s="8">
        <v>1503.07</v>
      </c>
      <c r="K1280" s="8">
        <v>1379.1</v>
      </c>
    </row>
    <row r="1281" spans="1:11" hidden="1" x14ac:dyDescent="0.25">
      <c r="A1281" s="3" t="s">
        <v>2289</v>
      </c>
      <c r="B1281" s="3">
        <v>11</v>
      </c>
      <c r="C1281" s="5">
        <v>350</v>
      </c>
      <c r="D1281" s="6">
        <v>1</v>
      </c>
      <c r="E1281" s="7">
        <v>70100</v>
      </c>
      <c r="F1281" s="3">
        <v>53620</v>
      </c>
      <c r="G1281" s="3" t="str">
        <f t="shared" si="19"/>
        <v>5</v>
      </c>
      <c r="H1281" s="3" t="s">
        <v>2290</v>
      </c>
      <c r="I1281" s="8">
        <v>394.03</v>
      </c>
      <c r="J1281" s="8">
        <v>358.18</v>
      </c>
      <c r="K1281" s="8">
        <v>394.03</v>
      </c>
    </row>
    <row r="1282" spans="1:11" hidden="1" x14ac:dyDescent="0.25">
      <c r="A1282" s="3" t="s">
        <v>2291</v>
      </c>
      <c r="B1282" s="3">
        <v>11</v>
      </c>
      <c r="C1282" s="5">
        <v>350</v>
      </c>
      <c r="D1282" s="6">
        <v>1</v>
      </c>
      <c r="E1282" s="7">
        <v>94500</v>
      </c>
      <c r="F1282" s="3">
        <v>52200</v>
      </c>
      <c r="G1282" s="3" t="str">
        <f t="shared" si="19"/>
        <v>5</v>
      </c>
      <c r="H1282" s="3" t="s">
        <v>2292</v>
      </c>
      <c r="I1282" s="8">
        <v>29895.75</v>
      </c>
      <c r="J1282" s="8">
        <v>22421.78</v>
      </c>
      <c r="K1282" s="8">
        <v>29895.75</v>
      </c>
    </row>
    <row r="1283" spans="1:11" hidden="1" x14ac:dyDescent="0.25">
      <c r="A1283" s="3" t="s">
        <v>2293</v>
      </c>
      <c r="B1283" s="3">
        <v>11</v>
      </c>
      <c r="C1283" s="5">
        <v>350</v>
      </c>
      <c r="D1283" s="6">
        <v>1</v>
      </c>
      <c r="E1283" s="7">
        <v>94500</v>
      </c>
      <c r="F1283" s="3">
        <v>53210</v>
      </c>
      <c r="G1283" s="3" t="str">
        <f t="shared" ref="G1283:G1346" si="20">LEFT(F1283,1)</f>
        <v>5</v>
      </c>
      <c r="H1283" s="3" t="s">
        <v>2294</v>
      </c>
      <c r="I1283" s="8">
        <v>6188.42</v>
      </c>
      <c r="J1283" s="8">
        <v>4641.42</v>
      </c>
      <c r="K1283" s="8">
        <v>6188.42</v>
      </c>
    </row>
    <row r="1284" spans="1:11" hidden="1" x14ac:dyDescent="0.25">
      <c r="A1284" s="3" t="s">
        <v>2295</v>
      </c>
      <c r="B1284" s="3">
        <v>11</v>
      </c>
      <c r="C1284" s="5">
        <v>350</v>
      </c>
      <c r="D1284" s="6">
        <v>1</v>
      </c>
      <c r="E1284" s="7">
        <v>94500</v>
      </c>
      <c r="F1284" s="3">
        <v>53310</v>
      </c>
      <c r="G1284" s="3" t="str">
        <f t="shared" si="20"/>
        <v>5</v>
      </c>
      <c r="H1284" s="3" t="s">
        <v>2296</v>
      </c>
      <c r="I1284" s="8">
        <v>1853.54</v>
      </c>
      <c r="J1284" s="8">
        <v>1390.15</v>
      </c>
      <c r="K1284" s="8">
        <v>1853.54</v>
      </c>
    </row>
    <row r="1285" spans="1:11" hidden="1" x14ac:dyDescent="0.25">
      <c r="A1285" s="3" t="s">
        <v>2297</v>
      </c>
      <c r="B1285" s="3">
        <v>11</v>
      </c>
      <c r="C1285" s="5">
        <v>350</v>
      </c>
      <c r="D1285" s="6">
        <v>1</v>
      </c>
      <c r="E1285" s="7">
        <v>94500</v>
      </c>
      <c r="F1285" s="3">
        <v>53330</v>
      </c>
      <c r="G1285" s="3" t="str">
        <f t="shared" si="20"/>
        <v>5</v>
      </c>
      <c r="H1285" s="3" t="s">
        <v>2298</v>
      </c>
      <c r="I1285" s="8">
        <v>433.49</v>
      </c>
      <c r="J1285" s="8">
        <v>325.17</v>
      </c>
      <c r="K1285" s="8">
        <v>433.49</v>
      </c>
    </row>
    <row r="1286" spans="1:11" hidden="1" x14ac:dyDescent="0.25">
      <c r="A1286" s="3" t="s">
        <v>2299</v>
      </c>
      <c r="B1286" s="3">
        <v>11</v>
      </c>
      <c r="C1286" s="5">
        <v>350</v>
      </c>
      <c r="D1286" s="6">
        <v>1</v>
      </c>
      <c r="E1286" s="7">
        <v>94500</v>
      </c>
      <c r="F1286" s="3">
        <v>53410</v>
      </c>
      <c r="G1286" s="3" t="str">
        <f t="shared" si="20"/>
        <v>5</v>
      </c>
      <c r="H1286" s="3" t="s">
        <v>2300</v>
      </c>
      <c r="I1286" s="8">
        <v>6570.81</v>
      </c>
      <c r="J1286" s="8">
        <v>4806.51</v>
      </c>
      <c r="K1286" s="8">
        <v>6570.81</v>
      </c>
    </row>
    <row r="1287" spans="1:11" hidden="1" x14ac:dyDescent="0.25">
      <c r="A1287" s="3" t="s">
        <v>2301</v>
      </c>
      <c r="B1287" s="3">
        <v>11</v>
      </c>
      <c r="C1287" s="5">
        <v>350</v>
      </c>
      <c r="D1287" s="6">
        <v>1</v>
      </c>
      <c r="E1287" s="7">
        <v>94500</v>
      </c>
      <c r="F1287" s="3">
        <v>53510</v>
      </c>
      <c r="G1287" s="3" t="str">
        <f t="shared" si="20"/>
        <v>5</v>
      </c>
      <c r="H1287" s="3" t="s">
        <v>2302</v>
      </c>
      <c r="I1287" s="8">
        <v>14.95</v>
      </c>
      <c r="J1287" s="8">
        <v>11.2</v>
      </c>
      <c r="K1287" s="8">
        <v>14.95</v>
      </c>
    </row>
    <row r="1288" spans="1:11" hidden="1" x14ac:dyDescent="0.25">
      <c r="A1288" s="3" t="s">
        <v>2303</v>
      </c>
      <c r="B1288" s="3">
        <v>11</v>
      </c>
      <c r="C1288" s="5">
        <v>350</v>
      </c>
      <c r="D1288" s="6">
        <v>1</v>
      </c>
      <c r="E1288" s="7">
        <v>94500</v>
      </c>
      <c r="F1288" s="3">
        <v>53610</v>
      </c>
      <c r="G1288" s="3" t="str">
        <f t="shared" si="20"/>
        <v>5</v>
      </c>
      <c r="H1288" s="3" t="s">
        <v>2304</v>
      </c>
      <c r="I1288" s="8">
        <v>565.27</v>
      </c>
      <c r="J1288" s="8">
        <v>425.17</v>
      </c>
      <c r="K1288" s="8">
        <v>565.27</v>
      </c>
    </row>
    <row r="1289" spans="1:11" hidden="1" x14ac:dyDescent="0.25">
      <c r="A1289" s="3" t="s">
        <v>2305</v>
      </c>
      <c r="B1289" s="3">
        <v>11</v>
      </c>
      <c r="C1289" s="5">
        <v>350</v>
      </c>
      <c r="D1289" s="6">
        <v>1</v>
      </c>
      <c r="E1289" s="7">
        <v>94500</v>
      </c>
      <c r="F1289" s="3">
        <v>54300</v>
      </c>
      <c r="G1289" s="3" t="str">
        <f t="shared" si="20"/>
        <v>5</v>
      </c>
      <c r="H1289" s="3" t="s">
        <v>2306</v>
      </c>
      <c r="I1289" s="8">
        <v>1000</v>
      </c>
      <c r="J1289" s="8">
        <v>0</v>
      </c>
      <c r="K1289" s="8">
        <v>1000</v>
      </c>
    </row>
    <row r="1290" spans="1:11" hidden="1" x14ac:dyDescent="0.25">
      <c r="A1290" s="3" t="s">
        <v>2307</v>
      </c>
      <c r="B1290" s="3">
        <v>11</v>
      </c>
      <c r="C1290" s="5">
        <v>350</v>
      </c>
      <c r="D1290" s="6">
        <v>1</v>
      </c>
      <c r="E1290" s="7">
        <v>94500</v>
      </c>
      <c r="F1290" s="3">
        <v>55200</v>
      </c>
      <c r="G1290" s="3" t="str">
        <f t="shared" si="20"/>
        <v>5</v>
      </c>
      <c r="H1290" s="3" t="s">
        <v>2308</v>
      </c>
      <c r="I1290" s="8">
        <v>350</v>
      </c>
      <c r="J1290" s="8">
        <v>50</v>
      </c>
      <c r="K1290" s="8">
        <v>350</v>
      </c>
    </row>
    <row r="1291" spans="1:11" hidden="1" x14ac:dyDescent="0.25">
      <c r="A1291" s="3" t="s">
        <v>2309</v>
      </c>
      <c r="B1291" s="3">
        <v>11</v>
      </c>
      <c r="C1291" s="5">
        <v>350</v>
      </c>
      <c r="D1291" s="6">
        <v>1</v>
      </c>
      <c r="E1291" s="7">
        <v>94500</v>
      </c>
      <c r="F1291" s="3">
        <v>55630</v>
      </c>
      <c r="G1291" s="3" t="str">
        <f t="shared" si="20"/>
        <v>5</v>
      </c>
      <c r="H1291" s="3" t="s">
        <v>2310</v>
      </c>
      <c r="I1291" s="8">
        <v>100</v>
      </c>
      <c r="J1291" s="8">
        <v>0</v>
      </c>
      <c r="K1291" s="8">
        <v>100</v>
      </c>
    </row>
    <row r="1292" spans="1:11" hidden="1" x14ac:dyDescent="0.25">
      <c r="A1292" s="3" t="s">
        <v>2311</v>
      </c>
      <c r="B1292" s="3">
        <v>11</v>
      </c>
      <c r="C1292" s="5">
        <v>350</v>
      </c>
      <c r="D1292" s="6">
        <v>1</v>
      </c>
      <c r="E1292" s="7">
        <v>94500</v>
      </c>
      <c r="F1292" s="3">
        <v>55651</v>
      </c>
      <c r="G1292" s="3" t="str">
        <f t="shared" si="20"/>
        <v>5</v>
      </c>
      <c r="H1292" s="3" t="s">
        <v>2312</v>
      </c>
      <c r="I1292" s="8">
        <v>700</v>
      </c>
      <c r="J1292" s="8">
        <v>0</v>
      </c>
      <c r="K1292" s="8">
        <v>700</v>
      </c>
    </row>
    <row r="1293" spans="1:11" hidden="1" x14ac:dyDescent="0.25">
      <c r="A1293" s="3" t="s">
        <v>2313</v>
      </c>
      <c r="B1293" s="3">
        <v>11</v>
      </c>
      <c r="C1293" s="5">
        <v>350</v>
      </c>
      <c r="D1293" s="6">
        <v>1</v>
      </c>
      <c r="E1293" s="7">
        <v>94700</v>
      </c>
      <c r="F1293" s="3">
        <v>51100</v>
      </c>
      <c r="G1293" s="3" t="str">
        <f t="shared" si="20"/>
        <v>5</v>
      </c>
      <c r="H1293" s="3" t="s">
        <v>2314</v>
      </c>
      <c r="I1293" s="8">
        <v>185435</v>
      </c>
      <c r="J1293" s="8">
        <v>134861.68</v>
      </c>
      <c r="K1293" s="8">
        <v>185435</v>
      </c>
    </row>
    <row r="1294" spans="1:11" hidden="1" x14ac:dyDescent="0.25">
      <c r="A1294" s="3" t="s">
        <v>2315</v>
      </c>
      <c r="B1294" s="3">
        <v>11</v>
      </c>
      <c r="C1294" s="5">
        <v>350</v>
      </c>
      <c r="D1294" s="6">
        <v>1</v>
      </c>
      <c r="E1294" s="7">
        <v>94700</v>
      </c>
      <c r="F1294" s="3">
        <v>51310</v>
      </c>
      <c r="G1294" s="3" t="str">
        <f t="shared" si="20"/>
        <v>5</v>
      </c>
      <c r="H1294" s="3" t="s">
        <v>2316</v>
      </c>
      <c r="I1294" s="8">
        <v>34380</v>
      </c>
      <c r="J1294" s="8">
        <v>11268.8</v>
      </c>
      <c r="K1294" s="8">
        <v>34380</v>
      </c>
    </row>
    <row r="1295" spans="1:11" hidden="1" x14ac:dyDescent="0.25">
      <c r="A1295" s="3" t="s">
        <v>2317</v>
      </c>
      <c r="B1295" s="3">
        <v>11</v>
      </c>
      <c r="C1295" s="5">
        <v>350</v>
      </c>
      <c r="D1295" s="6">
        <v>1</v>
      </c>
      <c r="E1295" s="7">
        <v>94700</v>
      </c>
      <c r="F1295" s="3">
        <v>51311</v>
      </c>
      <c r="G1295" s="3" t="str">
        <f t="shared" si="20"/>
        <v>5</v>
      </c>
      <c r="H1295" s="3" t="s">
        <v>2318</v>
      </c>
      <c r="I1295" s="8">
        <v>46109</v>
      </c>
      <c r="J1295" s="8">
        <v>8419.7000000000007</v>
      </c>
      <c r="K1295" s="8">
        <v>46109</v>
      </c>
    </row>
    <row r="1296" spans="1:11" hidden="1" x14ac:dyDescent="0.25">
      <c r="A1296" s="3" t="s">
        <v>2319</v>
      </c>
      <c r="B1296" s="3">
        <v>11</v>
      </c>
      <c r="C1296" s="5">
        <v>350</v>
      </c>
      <c r="D1296" s="6">
        <v>1</v>
      </c>
      <c r="E1296" s="7">
        <v>94700</v>
      </c>
      <c r="F1296" s="3">
        <v>51412</v>
      </c>
      <c r="G1296" s="3" t="str">
        <f t="shared" si="20"/>
        <v>5</v>
      </c>
      <c r="H1296" s="3" t="s">
        <v>2320</v>
      </c>
      <c r="I1296" s="8">
        <v>1350</v>
      </c>
      <c r="J1296" s="8">
        <v>0</v>
      </c>
      <c r="K1296" s="8">
        <v>1350</v>
      </c>
    </row>
    <row r="1297" spans="1:11" hidden="1" x14ac:dyDescent="0.25">
      <c r="A1297" s="3" t="s">
        <v>2321</v>
      </c>
      <c r="B1297" s="3">
        <v>11</v>
      </c>
      <c r="C1297" s="5">
        <v>350</v>
      </c>
      <c r="D1297" s="6">
        <v>1</v>
      </c>
      <c r="E1297" s="7">
        <v>94700</v>
      </c>
      <c r="F1297" s="3">
        <v>52200</v>
      </c>
      <c r="G1297" s="3" t="str">
        <f t="shared" si="20"/>
        <v>5</v>
      </c>
      <c r="H1297" s="3" t="s">
        <v>2322</v>
      </c>
      <c r="I1297" s="8">
        <v>0</v>
      </c>
      <c r="J1297" s="8">
        <v>0</v>
      </c>
      <c r="K1297" s="8">
        <v>0</v>
      </c>
    </row>
    <row r="1298" spans="1:11" hidden="1" x14ac:dyDescent="0.25">
      <c r="A1298" s="3" t="s">
        <v>2323</v>
      </c>
      <c r="B1298" s="3">
        <v>11</v>
      </c>
      <c r="C1298" s="5">
        <v>350</v>
      </c>
      <c r="D1298" s="6">
        <v>1</v>
      </c>
      <c r="E1298" s="7">
        <v>94700</v>
      </c>
      <c r="F1298" s="3">
        <v>52360</v>
      </c>
      <c r="G1298" s="3" t="str">
        <f t="shared" si="20"/>
        <v>5</v>
      </c>
      <c r="H1298" s="3" t="s">
        <v>2324</v>
      </c>
      <c r="I1298" s="8">
        <v>50</v>
      </c>
      <c r="J1298" s="8">
        <v>0</v>
      </c>
      <c r="K1298" s="8">
        <v>50</v>
      </c>
    </row>
    <row r="1299" spans="1:11" hidden="1" x14ac:dyDescent="0.25">
      <c r="A1299" s="3" t="s">
        <v>2325</v>
      </c>
      <c r="B1299" s="3">
        <v>11</v>
      </c>
      <c r="C1299" s="5">
        <v>350</v>
      </c>
      <c r="D1299" s="6">
        <v>1</v>
      </c>
      <c r="E1299" s="7">
        <v>94700</v>
      </c>
      <c r="F1299" s="3">
        <v>53110</v>
      </c>
      <c r="G1299" s="3" t="str">
        <f t="shared" si="20"/>
        <v>5</v>
      </c>
      <c r="H1299" s="3" t="s">
        <v>2326</v>
      </c>
      <c r="I1299" s="8">
        <v>43156.67</v>
      </c>
      <c r="J1299" s="8">
        <v>24959.89</v>
      </c>
      <c r="K1299" s="8">
        <v>43156.67</v>
      </c>
    </row>
    <row r="1300" spans="1:11" hidden="1" x14ac:dyDescent="0.25">
      <c r="A1300" s="3" t="s">
        <v>2327</v>
      </c>
      <c r="B1300" s="3">
        <v>11</v>
      </c>
      <c r="C1300" s="5">
        <v>350</v>
      </c>
      <c r="D1300" s="6">
        <v>1</v>
      </c>
      <c r="E1300" s="7">
        <v>94700</v>
      </c>
      <c r="F1300" s="3">
        <v>53120</v>
      </c>
      <c r="G1300" s="3" t="str">
        <f t="shared" si="20"/>
        <v>5</v>
      </c>
      <c r="H1300" s="3" t="s">
        <v>2328</v>
      </c>
      <c r="I1300" s="8">
        <v>8.08</v>
      </c>
      <c r="J1300" s="8">
        <v>0</v>
      </c>
      <c r="K1300" s="8">
        <v>8.08</v>
      </c>
    </row>
    <row r="1301" spans="1:11" hidden="1" x14ac:dyDescent="0.25">
      <c r="A1301" s="3" t="s">
        <v>2329</v>
      </c>
      <c r="B1301" s="3">
        <v>11</v>
      </c>
      <c r="C1301" s="5">
        <v>350</v>
      </c>
      <c r="D1301" s="6">
        <v>1</v>
      </c>
      <c r="E1301" s="7">
        <v>94700</v>
      </c>
      <c r="F1301" s="3">
        <v>53210</v>
      </c>
      <c r="G1301" s="3" t="str">
        <f t="shared" si="20"/>
        <v>5</v>
      </c>
      <c r="H1301" s="3" t="s">
        <v>2330</v>
      </c>
      <c r="I1301" s="8">
        <v>0</v>
      </c>
      <c r="J1301" s="8">
        <v>0</v>
      </c>
      <c r="K1301" s="8">
        <v>0</v>
      </c>
    </row>
    <row r="1302" spans="1:11" hidden="1" x14ac:dyDescent="0.25">
      <c r="A1302" s="3" t="s">
        <v>2331</v>
      </c>
      <c r="B1302" s="3">
        <v>11</v>
      </c>
      <c r="C1302" s="5">
        <v>350</v>
      </c>
      <c r="D1302" s="6">
        <v>1</v>
      </c>
      <c r="E1302" s="7">
        <v>94700</v>
      </c>
      <c r="F1302" s="3">
        <v>53310</v>
      </c>
      <c r="G1302" s="3" t="str">
        <f t="shared" si="20"/>
        <v>5</v>
      </c>
      <c r="H1302" s="3" t="s">
        <v>2332</v>
      </c>
      <c r="I1302" s="8">
        <v>0</v>
      </c>
      <c r="J1302" s="8">
        <v>0</v>
      </c>
      <c r="K1302" s="8">
        <v>0</v>
      </c>
    </row>
    <row r="1303" spans="1:11" hidden="1" x14ac:dyDescent="0.25">
      <c r="A1303" s="3" t="s">
        <v>2333</v>
      </c>
      <c r="B1303" s="3">
        <v>11</v>
      </c>
      <c r="C1303" s="5">
        <v>350</v>
      </c>
      <c r="D1303" s="6">
        <v>1</v>
      </c>
      <c r="E1303" s="7">
        <v>94700</v>
      </c>
      <c r="F1303" s="3">
        <v>53320</v>
      </c>
      <c r="G1303" s="3" t="str">
        <f t="shared" si="20"/>
        <v>5</v>
      </c>
      <c r="H1303" s="3" t="s">
        <v>2334</v>
      </c>
      <c r="I1303" s="8">
        <v>3.1</v>
      </c>
      <c r="J1303" s="8">
        <v>0</v>
      </c>
      <c r="K1303" s="8">
        <v>3.1</v>
      </c>
    </row>
    <row r="1304" spans="1:11" hidden="1" x14ac:dyDescent="0.25">
      <c r="A1304" s="3" t="s">
        <v>2335</v>
      </c>
      <c r="B1304" s="3">
        <v>11</v>
      </c>
      <c r="C1304" s="5">
        <v>350</v>
      </c>
      <c r="D1304" s="6">
        <v>1</v>
      </c>
      <c r="E1304" s="7">
        <v>94700</v>
      </c>
      <c r="F1304" s="3">
        <v>53330</v>
      </c>
      <c r="G1304" s="3" t="str">
        <f t="shared" si="20"/>
        <v>5</v>
      </c>
      <c r="H1304" s="3" t="s">
        <v>2336</v>
      </c>
      <c r="I1304" s="8">
        <v>3874.75</v>
      </c>
      <c r="J1304" s="8">
        <v>2230.96</v>
      </c>
      <c r="K1304" s="8">
        <v>3874.75</v>
      </c>
    </row>
    <row r="1305" spans="1:11" hidden="1" x14ac:dyDescent="0.25">
      <c r="A1305" s="3" t="s">
        <v>2337</v>
      </c>
      <c r="B1305" s="3">
        <v>11</v>
      </c>
      <c r="C1305" s="5">
        <v>350</v>
      </c>
      <c r="D1305" s="6">
        <v>1</v>
      </c>
      <c r="E1305" s="7">
        <v>94700</v>
      </c>
      <c r="F1305" s="3">
        <v>53340</v>
      </c>
      <c r="G1305" s="3" t="str">
        <f t="shared" si="20"/>
        <v>5</v>
      </c>
      <c r="H1305" s="3" t="s">
        <v>2338</v>
      </c>
      <c r="I1305" s="8">
        <v>1.46</v>
      </c>
      <c r="J1305" s="8">
        <v>0</v>
      </c>
      <c r="K1305" s="8">
        <v>1.46</v>
      </c>
    </row>
    <row r="1306" spans="1:11" hidden="1" x14ac:dyDescent="0.25">
      <c r="A1306" s="3" t="s">
        <v>2339</v>
      </c>
      <c r="B1306" s="3">
        <v>11</v>
      </c>
      <c r="C1306" s="5">
        <v>350</v>
      </c>
      <c r="D1306" s="6">
        <v>1</v>
      </c>
      <c r="E1306" s="7">
        <v>94700</v>
      </c>
      <c r="F1306" s="3">
        <v>53410</v>
      </c>
      <c r="G1306" s="3" t="str">
        <f t="shared" si="20"/>
        <v>5</v>
      </c>
      <c r="H1306" s="3" t="s">
        <v>2340</v>
      </c>
      <c r="I1306" s="8">
        <v>34128.17</v>
      </c>
      <c r="J1306" s="8">
        <v>24303.38</v>
      </c>
      <c r="K1306" s="8">
        <v>34128.17</v>
      </c>
    </row>
    <row r="1307" spans="1:11" hidden="1" x14ac:dyDescent="0.25">
      <c r="A1307" s="3" t="s">
        <v>2341</v>
      </c>
      <c r="B1307" s="3">
        <v>11</v>
      </c>
      <c r="C1307" s="5">
        <v>350</v>
      </c>
      <c r="D1307" s="6">
        <v>1</v>
      </c>
      <c r="E1307" s="7">
        <v>94700</v>
      </c>
      <c r="F1307" s="3">
        <v>53510</v>
      </c>
      <c r="G1307" s="3" t="str">
        <f t="shared" si="20"/>
        <v>5</v>
      </c>
      <c r="H1307" s="3" t="s">
        <v>2342</v>
      </c>
      <c r="I1307" s="8">
        <v>133.6</v>
      </c>
      <c r="J1307" s="8">
        <v>77.33</v>
      </c>
      <c r="K1307" s="8">
        <v>133.6</v>
      </c>
    </row>
    <row r="1308" spans="1:11" hidden="1" x14ac:dyDescent="0.25">
      <c r="A1308" s="3" t="s">
        <v>2343</v>
      </c>
      <c r="B1308" s="3">
        <v>11</v>
      </c>
      <c r="C1308" s="5">
        <v>350</v>
      </c>
      <c r="D1308" s="6">
        <v>1</v>
      </c>
      <c r="E1308" s="7">
        <v>94700</v>
      </c>
      <c r="F1308" s="3">
        <v>53520</v>
      </c>
      <c r="G1308" s="3" t="str">
        <f t="shared" si="20"/>
        <v>5</v>
      </c>
      <c r="H1308" s="3" t="s">
        <v>2344</v>
      </c>
      <c r="I1308" s="8">
        <v>0.06</v>
      </c>
      <c r="J1308" s="8">
        <v>0</v>
      </c>
      <c r="K1308" s="8">
        <v>0.06</v>
      </c>
    </row>
    <row r="1309" spans="1:11" hidden="1" x14ac:dyDescent="0.25">
      <c r="A1309" s="3" t="s">
        <v>2345</v>
      </c>
      <c r="B1309" s="3">
        <v>11</v>
      </c>
      <c r="C1309" s="5">
        <v>350</v>
      </c>
      <c r="D1309" s="6">
        <v>1</v>
      </c>
      <c r="E1309" s="7">
        <v>94700</v>
      </c>
      <c r="F1309" s="3">
        <v>53610</v>
      </c>
      <c r="G1309" s="3" t="str">
        <f t="shared" si="20"/>
        <v>5</v>
      </c>
      <c r="H1309" s="3" t="s">
        <v>2346</v>
      </c>
      <c r="I1309" s="8">
        <v>5052.67</v>
      </c>
      <c r="J1309" s="8">
        <v>2924.2</v>
      </c>
      <c r="K1309" s="8">
        <v>5052.67</v>
      </c>
    </row>
    <row r="1310" spans="1:11" hidden="1" x14ac:dyDescent="0.25">
      <c r="A1310" s="3" t="s">
        <v>2347</v>
      </c>
      <c r="B1310" s="3">
        <v>11</v>
      </c>
      <c r="C1310" s="5">
        <v>350</v>
      </c>
      <c r="D1310" s="6">
        <v>1</v>
      </c>
      <c r="E1310" s="7">
        <v>94700</v>
      </c>
      <c r="F1310" s="3">
        <v>53620</v>
      </c>
      <c r="G1310" s="3" t="str">
        <f t="shared" si="20"/>
        <v>5</v>
      </c>
      <c r="H1310" s="3" t="s">
        <v>2348</v>
      </c>
      <c r="I1310" s="8">
        <v>1.9</v>
      </c>
      <c r="J1310" s="8">
        <v>0</v>
      </c>
      <c r="K1310" s="8">
        <v>1.9</v>
      </c>
    </row>
    <row r="1311" spans="1:11" hidden="1" x14ac:dyDescent="0.25">
      <c r="A1311" s="3" t="s">
        <v>2349</v>
      </c>
      <c r="B1311" s="3">
        <v>11</v>
      </c>
      <c r="C1311" s="5">
        <v>350</v>
      </c>
      <c r="D1311" s="6">
        <v>1</v>
      </c>
      <c r="E1311" s="7">
        <v>94700</v>
      </c>
      <c r="F1311" s="3">
        <v>53910</v>
      </c>
      <c r="G1311" s="3" t="str">
        <f t="shared" si="20"/>
        <v>5</v>
      </c>
      <c r="H1311" s="3" t="s">
        <v>2350</v>
      </c>
      <c r="I1311" s="8">
        <v>2400</v>
      </c>
      <c r="J1311" s="8">
        <v>1745.44</v>
      </c>
      <c r="K1311" s="8">
        <v>2400</v>
      </c>
    </row>
    <row r="1312" spans="1:11" hidden="1" x14ac:dyDescent="0.25">
      <c r="A1312" s="3" t="s">
        <v>2351</v>
      </c>
      <c r="B1312" s="3">
        <v>11</v>
      </c>
      <c r="C1312" s="5">
        <v>350</v>
      </c>
      <c r="D1312" s="6">
        <v>1</v>
      </c>
      <c r="E1312" s="7">
        <v>94700</v>
      </c>
      <c r="F1312" s="3">
        <v>54300</v>
      </c>
      <c r="G1312" s="3" t="str">
        <f t="shared" si="20"/>
        <v>5</v>
      </c>
      <c r="H1312" s="3" t="s">
        <v>2352</v>
      </c>
      <c r="I1312" s="8">
        <v>1500</v>
      </c>
      <c r="J1312" s="8">
        <v>-580.02</v>
      </c>
      <c r="K1312" s="8">
        <v>1500</v>
      </c>
    </row>
    <row r="1313" spans="1:11" hidden="1" x14ac:dyDescent="0.25">
      <c r="A1313" s="3" t="s">
        <v>2353</v>
      </c>
      <c r="B1313" s="3">
        <v>11</v>
      </c>
      <c r="C1313" s="5">
        <v>350</v>
      </c>
      <c r="D1313" s="6">
        <v>1</v>
      </c>
      <c r="E1313" s="7">
        <v>94700</v>
      </c>
      <c r="F1313" s="3">
        <v>55125</v>
      </c>
      <c r="G1313" s="3" t="str">
        <f t="shared" si="20"/>
        <v>5</v>
      </c>
      <c r="H1313" s="3" t="s">
        <v>2354</v>
      </c>
      <c r="I1313" s="8">
        <v>656</v>
      </c>
      <c r="J1313" s="8">
        <v>0</v>
      </c>
      <c r="K1313" s="8">
        <v>656</v>
      </c>
    </row>
    <row r="1314" spans="1:11" hidden="1" x14ac:dyDescent="0.25">
      <c r="A1314" s="3" t="s">
        <v>2355</v>
      </c>
      <c r="B1314" s="3">
        <v>11</v>
      </c>
      <c r="C1314" s="5">
        <v>350</v>
      </c>
      <c r="D1314" s="6">
        <v>1</v>
      </c>
      <c r="E1314" s="7">
        <v>94700</v>
      </c>
      <c r="F1314" s="3">
        <v>55575</v>
      </c>
      <c r="G1314" s="3" t="str">
        <f t="shared" si="20"/>
        <v>5</v>
      </c>
      <c r="H1314" s="3" t="s">
        <v>2356</v>
      </c>
      <c r="I1314" s="8">
        <v>139</v>
      </c>
      <c r="J1314" s="8">
        <v>0</v>
      </c>
      <c r="K1314" s="8">
        <v>139</v>
      </c>
    </row>
    <row r="1315" spans="1:11" hidden="1" x14ac:dyDescent="0.25">
      <c r="A1315" s="3" t="s">
        <v>2357</v>
      </c>
      <c r="B1315" s="3">
        <v>11</v>
      </c>
      <c r="C1315" s="5">
        <v>350</v>
      </c>
      <c r="D1315" s="6">
        <v>1</v>
      </c>
      <c r="E1315" s="7">
        <v>94700</v>
      </c>
      <c r="F1315" s="3">
        <v>55630</v>
      </c>
      <c r="G1315" s="3" t="str">
        <f t="shared" si="20"/>
        <v>5</v>
      </c>
      <c r="H1315" s="3" t="s">
        <v>2358</v>
      </c>
      <c r="I1315" s="8">
        <v>200</v>
      </c>
      <c r="J1315" s="8">
        <v>0</v>
      </c>
      <c r="K1315" s="8">
        <v>200</v>
      </c>
    </row>
    <row r="1316" spans="1:11" hidden="1" x14ac:dyDescent="0.25">
      <c r="A1316" s="3" t="s">
        <v>2359</v>
      </c>
      <c r="B1316" s="3">
        <v>11</v>
      </c>
      <c r="C1316" s="5">
        <v>350</v>
      </c>
      <c r="D1316" s="6">
        <v>1</v>
      </c>
      <c r="E1316" s="7">
        <v>94700</v>
      </c>
      <c r="F1316" s="3">
        <v>55650</v>
      </c>
      <c r="G1316" s="3" t="str">
        <f t="shared" si="20"/>
        <v>5</v>
      </c>
      <c r="H1316" s="3" t="s">
        <v>2360</v>
      </c>
      <c r="I1316" s="8">
        <v>4100</v>
      </c>
      <c r="J1316" s="8">
        <v>3181.7</v>
      </c>
      <c r="K1316" s="8">
        <v>4100</v>
      </c>
    </row>
    <row r="1317" spans="1:11" hidden="1" x14ac:dyDescent="0.25">
      <c r="A1317" s="3" t="s">
        <v>2361</v>
      </c>
      <c r="B1317" s="3">
        <v>11</v>
      </c>
      <c r="C1317" s="5">
        <v>350</v>
      </c>
      <c r="D1317" s="6">
        <v>1</v>
      </c>
      <c r="E1317" s="7">
        <v>94700</v>
      </c>
      <c r="F1317" s="3">
        <v>55651</v>
      </c>
      <c r="G1317" s="3" t="str">
        <f t="shared" si="20"/>
        <v>5</v>
      </c>
      <c r="H1317" s="3" t="s">
        <v>2362</v>
      </c>
      <c r="I1317" s="8">
        <v>642</v>
      </c>
      <c r="J1317" s="8">
        <v>0</v>
      </c>
      <c r="K1317" s="8">
        <v>642</v>
      </c>
    </row>
    <row r="1318" spans="1:11" hidden="1" x14ac:dyDescent="0.25">
      <c r="A1318" s="3" t="s">
        <v>2363</v>
      </c>
      <c r="B1318" s="3">
        <v>11</v>
      </c>
      <c r="C1318" s="5">
        <v>350</v>
      </c>
      <c r="D1318" s="6">
        <v>1</v>
      </c>
      <c r="E1318" s="7">
        <v>94700</v>
      </c>
      <c r="F1318" s="3">
        <v>55800</v>
      </c>
      <c r="G1318" s="3" t="str">
        <f t="shared" si="20"/>
        <v>5</v>
      </c>
      <c r="H1318" s="3" t="s">
        <v>2364</v>
      </c>
      <c r="I1318" s="8">
        <v>27</v>
      </c>
      <c r="J1318" s="8">
        <v>0</v>
      </c>
      <c r="K1318" s="8">
        <v>27</v>
      </c>
    </row>
    <row r="1319" spans="1:11" hidden="1" x14ac:dyDescent="0.25">
      <c r="A1319" s="3" t="s">
        <v>2365</v>
      </c>
      <c r="B1319" s="3">
        <v>11</v>
      </c>
      <c r="C1319" s="5">
        <v>350</v>
      </c>
      <c r="D1319" s="6">
        <v>1</v>
      </c>
      <c r="E1319" s="7">
        <v>94700</v>
      </c>
      <c r="F1319" s="3">
        <v>56400</v>
      </c>
      <c r="G1319" s="3" t="str">
        <f t="shared" si="20"/>
        <v>5</v>
      </c>
      <c r="H1319" s="3" t="s">
        <v>2366</v>
      </c>
      <c r="I1319" s="8">
        <v>300</v>
      </c>
      <c r="J1319" s="8">
        <v>0</v>
      </c>
      <c r="K1319" s="8">
        <v>300</v>
      </c>
    </row>
    <row r="1320" spans="1:11" hidden="1" x14ac:dyDescent="0.25">
      <c r="A1320" s="3" t="s">
        <v>2367</v>
      </c>
      <c r="B1320" s="3">
        <v>11</v>
      </c>
      <c r="C1320" s="5">
        <v>350</v>
      </c>
      <c r="D1320" s="6">
        <v>1</v>
      </c>
      <c r="E1320" s="7">
        <v>94800</v>
      </c>
      <c r="F1320" s="3">
        <v>51310</v>
      </c>
      <c r="G1320" s="3" t="str">
        <f t="shared" si="20"/>
        <v>5</v>
      </c>
      <c r="H1320" s="3" t="s">
        <v>2368</v>
      </c>
      <c r="I1320" s="8">
        <v>36528</v>
      </c>
      <c r="J1320" s="8">
        <v>18771.22</v>
      </c>
      <c r="K1320" s="8">
        <v>36528</v>
      </c>
    </row>
    <row r="1321" spans="1:11" hidden="1" x14ac:dyDescent="0.25">
      <c r="A1321" s="3" t="s">
        <v>2369</v>
      </c>
      <c r="B1321" s="3">
        <v>11</v>
      </c>
      <c r="C1321" s="5">
        <v>350</v>
      </c>
      <c r="D1321" s="6">
        <v>1</v>
      </c>
      <c r="E1321" s="7">
        <v>94800</v>
      </c>
      <c r="F1321" s="3">
        <v>51311</v>
      </c>
      <c r="G1321" s="3" t="str">
        <f t="shared" si="20"/>
        <v>5</v>
      </c>
      <c r="H1321" s="3" t="s">
        <v>2370</v>
      </c>
      <c r="I1321" s="8">
        <v>75234</v>
      </c>
      <c r="J1321" s="8">
        <v>22730.04</v>
      </c>
      <c r="K1321" s="8">
        <v>75234</v>
      </c>
    </row>
    <row r="1322" spans="1:11" hidden="1" x14ac:dyDescent="0.25">
      <c r="A1322" s="3" t="s">
        <v>2371</v>
      </c>
      <c r="B1322" s="3">
        <v>11</v>
      </c>
      <c r="C1322" s="5">
        <v>350</v>
      </c>
      <c r="D1322" s="6">
        <v>1</v>
      </c>
      <c r="E1322" s="7">
        <v>94800</v>
      </c>
      <c r="F1322" s="3">
        <v>51412</v>
      </c>
      <c r="G1322" s="3" t="str">
        <f t="shared" si="20"/>
        <v>5</v>
      </c>
      <c r="H1322" s="3" t="s">
        <v>2372</v>
      </c>
      <c r="I1322" s="8">
        <v>0</v>
      </c>
      <c r="J1322" s="8">
        <v>1417.4</v>
      </c>
      <c r="K1322" s="8">
        <v>0</v>
      </c>
    </row>
    <row r="1323" spans="1:11" hidden="1" x14ac:dyDescent="0.25">
      <c r="A1323" s="3" t="s">
        <v>2373</v>
      </c>
      <c r="B1323" s="3">
        <v>11</v>
      </c>
      <c r="C1323" s="5">
        <v>350</v>
      </c>
      <c r="D1323" s="6">
        <v>1</v>
      </c>
      <c r="E1323" s="7">
        <v>94800</v>
      </c>
      <c r="F1323" s="3">
        <v>53110</v>
      </c>
      <c r="G1323" s="3" t="str">
        <f t="shared" si="20"/>
        <v>5</v>
      </c>
      <c r="H1323" s="3" t="s">
        <v>2374</v>
      </c>
      <c r="I1323" s="8">
        <v>18049.560000000001</v>
      </c>
      <c r="J1323" s="8">
        <v>4675.72</v>
      </c>
      <c r="K1323" s="8">
        <v>18049.560000000001</v>
      </c>
    </row>
    <row r="1324" spans="1:11" hidden="1" x14ac:dyDescent="0.25">
      <c r="A1324" s="3" t="s">
        <v>2375</v>
      </c>
      <c r="B1324" s="3">
        <v>11</v>
      </c>
      <c r="C1324" s="5">
        <v>350</v>
      </c>
      <c r="D1324" s="6">
        <v>1</v>
      </c>
      <c r="E1324" s="7">
        <v>94800</v>
      </c>
      <c r="F1324" s="3">
        <v>53120</v>
      </c>
      <c r="G1324" s="3" t="str">
        <f t="shared" si="20"/>
        <v>5</v>
      </c>
      <c r="H1324" s="3" t="s">
        <v>2376</v>
      </c>
      <c r="I1324" s="8">
        <v>0</v>
      </c>
      <c r="J1324" s="8">
        <v>114.25</v>
      </c>
      <c r="K1324" s="8">
        <v>0</v>
      </c>
    </row>
    <row r="1325" spans="1:11" hidden="1" x14ac:dyDescent="0.25">
      <c r="A1325" s="3" t="s">
        <v>2377</v>
      </c>
      <c r="B1325" s="3">
        <v>11</v>
      </c>
      <c r="C1325" s="5">
        <v>350</v>
      </c>
      <c r="D1325" s="6">
        <v>1</v>
      </c>
      <c r="E1325" s="7">
        <v>94800</v>
      </c>
      <c r="F1325" s="3">
        <v>53310</v>
      </c>
      <c r="G1325" s="3" t="str">
        <f t="shared" si="20"/>
        <v>5</v>
      </c>
      <c r="H1325" s="3" t="s">
        <v>2378</v>
      </c>
      <c r="I1325" s="8">
        <v>0</v>
      </c>
      <c r="J1325" s="8">
        <v>822.08</v>
      </c>
      <c r="K1325" s="8">
        <v>0</v>
      </c>
    </row>
    <row r="1326" spans="1:11" hidden="1" x14ac:dyDescent="0.25">
      <c r="A1326" s="3" t="s">
        <v>2379</v>
      </c>
      <c r="B1326" s="3">
        <v>11</v>
      </c>
      <c r="C1326" s="5">
        <v>350</v>
      </c>
      <c r="D1326" s="6">
        <v>1</v>
      </c>
      <c r="E1326" s="7">
        <v>94800</v>
      </c>
      <c r="F1326" s="3">
        <v>53330</v>
      </c>
      <c r="G1326" s="3" t="str">
        <f t="shared" si="20"/>
        <v>5</v>
      </c>
      <c r="H1326" s="3" t="s">
        <v>2380</v>
      </c>
      <c r="I1326" s="8">
        <v>1620.55</v>
      </c>
      <c r="J1326" s="8">
        <v>612.12</v>
      </c>
      <c r="K1326" s="8">
        <v>1620.55</v>
      </c>
    </row>
    <row r="1327" spans="1:11" hidden="1" x14ac:dyDescent="0.25">
      <c r="A1327" s="3" t="s">
        <v>2381</v>
      </c>
      <c r="B1327" s="3">
        <v>11</v>
      </c>
      <c r="C1327" s="5">
        <v>350</v>
      </c>
      <c r="D1327" s="6">
        <v>1</v>
      </c>
      <c r="E1327" s="7">
        <v>94800</v>
      </c>
      <c r="F1327" s="3">
        <v>53340</v>
      </c>
      <c r="G1327" s="3" t="str">
        <f t="shared" si="20"/>
        <v>5</v>
      </c>
      <c r="H1327" s="3" t="s">
        <v>2382</v>
      </c>
      <c r="I1327" s="8">
        <v>0</v>
      </c>
      <c r="J1327" s="8">
        <v>10.26</v>
      </c>
      <c r="K1327" s="8">
        <v>0</v>
      </c>
    </row>
    <row r="1328" spans="1:11" hidden="1" x14ac:dyDescent="0.25">
      <c r="A1328" s="3" t="s">
        <v>2383</v>
      </c>
      <c r="B1328" s="3">
        <v>11</v>
      </c>
      <c r="C1328" s="5">
        <v>350</v>
      </c>
      <c r="D1328" s="6">
        <v>1</v>
      </c>
      <c r="E1328" s="7">
        <v>94800</v>
      </c>
      <c r="F1328" s="3">
        <v>53510</v>
      </c>
      <c r="G1328" s="3" t="str">
        <f t="shared" si="20"/>
        <v>5</v>
      </c>
      <c r="H1328" s="3" t="s">
        <v>2384</v>
      </c>
      <c r="I1328" s="8">
        <v>55.88</v>
      </c>
      <c r="J1328" s="8">
        <v>21.18</v>
      </c>
      <c r="K1328" s="8">
        <v>55.88</v>
      </c>
    </row>
    <row r="1329" spans="1:11" hidden="1" x14ac:dyDescent="0.25">
      <c r="A1329" s="3" t="s">
        <v>2385</v>
      </c>
      <c r="B1329" s="3">
        <v>11</v>
      </c>
      <c r="C1329" s="5">
        <v>350</v>
      </c>
      <c r="D1329" s="6">
        <v>1</v>
      </c>
      <c r="E1329" s="7">
        <v>94800</v>
      </c>
      <c r="F1329" s="3">
        <v>53520</v>
      </c>
      <c r="G1329" s="3" t="str">
        <f t="shared" si="20"/>
        <v>5</v>
      </c>
      <c r="H1329" s="3" t="s">
        <v>2386</v>
      </c>
      <c r="I1329" s="8">
        <v>0</v>
      </c>
      <c r="J1329" s="8">
        <v>0.35</v>
      </c>
      <c r="K1329" s="8">
        <v>0</v>
      </c>
    </row>
    <row r="1330" spans="1:11" hidden="1" x14ac:dyDescent="0.25">
      <c r="A1330" s="3" t="s">
        <v>2387</v>
      </c>
      <c r="B1330" s="3">
        <v>11</v>
      </c>
      <c r="C1330" s="5">
        <v>350</v>
      </c>
      <c r="D1330" s="6">
        <v>1</v>
      </c>
      <c r="E1330" s="7">
        <v>94800</v>
      </c>
      <c r="F1330" s="3">
        <v>53610</v>
      </c>
      <c r="G1330" s="3" t="str">
        <f t="shared" si="20"/>
        <v>5</v>
      </c>
      <c r="H1330" s="3" t="s">
        <v>2388</v>
      </c>
      <c r="I1330" s="8">
        <v>2113.19</v>
      </c>
      <c r="J1330" s="8">
        <v>798.17</v>
      </c>
      <c r="K1330" s="8">
        <v>2113.19</v>
      </c>
    </row>
    <row r="1331" spans="1:11" hidden="1" x14ac:dyDescent="0.25">
      <c r="A1331" s="3" t="s">
        <v>2389</v>
      </c>
      <c r="B1331" s="3">
        <v>11</v>
      </c>
      <c r="C1331" s="5">
        <v>350</v>
      </c>
      <c r="D1331" s="6">
        <v>1</v>
      </c>
      <c r="E1331" s="7">
        <v>94800</v>
      </c>
      <c r="F1331" s="3">
        <v>53620</v>
      </c>
      <c r="G1331" s="3" t="str">
        <f t="shared" si="20"/>
        <v>5</v>
      </c>
      <c r="H1331" s="3" t="s">
        <v>2390</v>
      </c>
      <c r="I1331" s="8">
        <v>0</v>
      </c>
      <c r="J1331" s="8">
        <v>13.38</v>
      </c>
      <c r="K1331" s="8">
        <v>0</v>
      </c>
    </row>
    <row r="1332" spans="1:11" hidden="1" x14ac:dyDescent="0.25">
      <c r="A1332" s="3" t="s">
        <v>2391</v>
      </c>
      <c r="B1332" s="3">
        <v>11</v>
      </c>
      <c r="C1332" s="5">
        <v>350</v>
      </c>
      <c r="D1332" s="6">
        <v>1</v>
      </c>
      <c r="E1332" s="7">
        <v>94800</v>
      </c>
      <c r="F1332" s="3">
        <v>54300</v>
      </c>
      <c r="G1332" s="3" t="str">
        <f t="shared" si="20"/>
        <v>5</v>
      </c>
      <c r="H1332" s="3" t="s">
        <v>2392</v>
      </c>
      <c r="I1332" s="8">
        <v>4500</v>
      </c>
      <c r="J1332" s="8">
        <v>-206.72</v>
      </c>
      <c r="K1332" s="8">
        <v>4500</v>
      </c>
    </row>
    <row r="1333" spans="1:11" hidden="1" x14ac:dyDescent="0.25">
      <c r="A1333" s="3" t="s">
        <v>2393</v>
      </c>
      <c r="B1333" s="3">
        <v>11</v>
      </c>
      <c r="C1333" s="5">
        <v>350</v>
      </c>
      <c r="D1333" s="6">
        <v>1</v>
      </c>
      <c r="E1333" s="7">
        <v>94800</v>
      </c>
      <c r="F1333" s="3">
        <v>55630</v>
      </c>
      <c r="G1333" s="3" t="str">
        <f t="shared" si="20"/>
        <v>5</v>
      </c>
      <c r="H1333" s="3" t="s">
        <v>2133</v>
      </c>
      <c r="I1333" s="8">
        <v>45</v>
      </c>
      <c r="J1333" s="8">
        <v>0</v>
      </c>
      <c r="K1333" s="8">
        <v>45</v>
      </c>
    </row>
    <row r="1334" spans="1:11" hidden="1" x14ac:dyDescent="0.25">
      <c r="A1334" s="3" t="s">
        <v>2394</v>
      </c>
      <c r="B1334" s="3">
        <v>11</v>
      </c>
      <c r="C1334" s="5">
        <v>350</v>
      </c>
      <c r="D1334" s="6">
        <v>1</v>
      </c>
      <c r="E1334" s="7">
        <v>94800</v>
      </c>
      <c r="F1334" s="3">
        <v>55650</v>
      </c>
      <c r="G1334" s="3" t="str">
        <f t="shared" si="20"/>
        <v>5</v>
      </c>
      <c r="H1334" s="3" t="s">
        <v>2395</v>
      </c>
      <c r="I1334" s="8">
        <v>1800</v>
      </c>
      <c r="J1334" s="8">
        <v>1800</v>
      </c>
      <c r="K1334" s="8">
        <v>1800</v>
      </c>
    </row>
    <row r="1335" spans="1:11" hidden="1" x14ac:dyDescent="0.25">
      <c r="A1335" s="3" t="s">
        <v>2396</v>
      </c>
      <c r="B1335" s="3">
        <v>11</v>
      </c>
      <c r="C1335" s="5">
        <v>350</v>
      </c>
      <c r="D1335" s="6">
        <v>1</v>
      </c>
      <c r="E1335" s="7">
        <v>94800</v>
      </c>
      <c r="F1335" s="3">
        <v>55651</v>
      </c>
      <c r="G1335" s="3" t="str">
        <f t="shared" si="20"/>
        <v>5</v>
      </c>
      <c r="H1335" s="3" t="s">
        <v>2397</v>
      </c>
      <c r="I1335" s="8">
        <v>2000</v>
      </c>
      <c r="J1335" s="8">
        <v>0</v>
      </c>
      <c r="K1335" s="8">
        <v>2000</v>
      </c>
    </row>
    <row r="1336" spans="1:11" hidden="1" x14ac:dyDescent="0.25">
      <c r="A1336" s="3" t="s">
        <v>2398</v>
      </c>
      <c r="B1336" s="3">
        <v>11</v>
      </c>
      <c r="C1336" s="5">
        <v>350</v>
      </c>
      <c r="D1336" s="6">
        <v>1</v>
      </c>
      <c r="E1336" s="7">
        <v>94800</v>
      </c>
      <c r="F1336" s="3">
        <v>56341</v>
      </c>
      <c r="G1336" s="3" t="str">
        <f t="shared" si="20"/>
        <v>5</v>
      </c>
      <c r="H1336" s="3" t="s">
        <v>2399</v>
      </c>
      <c r="I1336" s="8">
        <v>6720</v>
      </c>
      <c r="J1336" s="8">
        <v>975</v>
      </c>
      <c r="K1336" s="8">
        <v>6720</v>
      </c>
    </row>
    <row r="1337" spans="1:11" hidden="1" x14ac:dyDescent="0.25">
      <c r="A1337" s="3" t="s">
        <v>2400</v>
      </c>
      <c r="B1337" s="3">
        <v>11</v>
      </c>
      <c r="C1337" s="5">
        <v>350</v>
      </c>
      <c r="D1337" s="6">
        <v>1</v>
      </c>
      <c r="E1337" s="7">
        <v>95200</v>
      </c>
      <c r="F1337" s="3">
        <v>51100</v>
      </c>
      <c r="G1337" s="3" t="str">
        <f t="shared" si="20"/>
        <v>5</v>
      </c>
      <c r="H1337" s="3" t="s">
        <v>2401</v>
      </c>
      <c r="I1337" s="8">
        <v>102880</v>
      </c>
      <c r="J1337" s="8">
        <v>74821.84</v>
      </c>
      <c r="K1337" s="8">
        <v>102880</v>
      </c>
    </row>
    <row r="1338" spans="1:11" hidden="1" x14ac:dyDescent="0.25">
      <c r="A1338" s="3" t="s">
        <v>2402</v>
      </c>
      <c r="B1338" s="3">
        <v>11</v>
      </c>
      <c r="C1338" s="5">
        <v>350</v>
      </c>
      <c r="D1338" s="6">
        <v>1</v>
      </c>
      <c r="E1338" s="7">
        <v>95200</v>
      </c>
      <c r="F1338" s="3">
        <v>51310</v>
      </c>
      <c r="G1338" s="3" t="str">
        <f t="shared" si="20"/>
        <v>5</v>
      </c>
      <c r="H1338" s="3" t="s">
        <v>2403</v>
      </c>
      <c r="I1338" s="8">
        <v>13381</v>
      </c>
      <c r="J1338" s="8">
        <v>0</v>
      </c>
      <c r="K1338" s="8">
        <v>13381</v>
      </c>
    </row>
    <row r="1339" spans="1:11" hidden="1" x14ac:dyDescent="0.25">
      <c r="A1339" s="3" t="s">
        <v>2404</v>
      </c>
      <c r="B1339" s="3">
        <v>11</v>
      </c>
      <c r="C1339" s="5">
        <v>350</v>
      </c>
      <c r="D1339" s="6">
        <v>1</v>
      </c>
      <c r="E1339" s="7">
        <v>95200</v>
      </c>
      <c r="F1339" s="3">
        <v>51311</v>
      </c>
      <c r="G1339" s="3" t="str">
        <f t="shared" si="20"/>
        <v>5</v>
      </c>
      <c r="H1339" s="3" t="s">
        <v>2405</v>
      </c>
      <c r="I1339" s="8">
        <v>13944</v>
      </c>
      <c r="J1339" s="8">
        <v>3288.6</v>
      </c>
      <c r="K1339" s="8">
        <v>13944</v>
      </c>
    </row>
    <row r="1340" spans="1:11" hidden="1" x14ac:dyDescent="0.25">
      <c r="A1340" s="3" t="s">
        <v>2406</v>
      </c>
      <c r="B1340" s="3">
        <v>11</v>
      </c>
      <c r="C1340" s="5">
        <v>350</v>
      </c>
      <c r="D1340" s="6">
        <v>1</v>
      </c>
      <c r="E1340" s="7">
        <v>95200</v>
      </c>
      <c r="F1340" s="3">
        <v>53110</v>
      </c>
      <c r="G1340" s="3" t="str">
        <f t="shared" si="20"/>
        <v>5</v>
      </c>
      <c r="H1340" s="3" t="s">
        <v>2407</v>
      </c>
      <c r="I1340" s="8">
        <v>21028.11</v>
      </c>
      <c r="J1340" s="8">
        <v>12614.86</v>
      </c>
      <c r="K1340" s="8">
        <v>21028.11</v>
      </c>
    </row>
    <row r="1341" spans="1:11" hidden="1" x14ac:dyDescent="0.25">
      <c r="A1341" s="3" t="s">
        <v>2408</v>
      </c>
      <c r="B1341" s="3">
        <v>11</v>
      </c>
      <c r="C1341" s="5">
        <v>350</v>
      </c>
      <c r="D1341" s="6">
        <v>1</v>
      </c>
      <c r="E1341" s="7">
        <v>95200</v>
      </c>
      <c r="F1341" s="3">
        <v>53330</v>
      </c>
      <c r="G1341" s="3" t="str">
        <f t="shared" si="20"/>
        <v>5</v>
      </c>
      <c r="H1341" s="3" t="s">
        <v>2409</v>
      </c>
      <c r="I1341" s="8">
        <v>1887.97</v>
      </c>
      <c r="J1341" s="8">
        <v>1132.58</v>
      </c>
      <c r="K1341" s="8">
        <v>1887.97</v>
      </c>
    </row>
    <row r="1342" spans="1:11" hidden="1" x14ac:dyDescent="0.25">
      <c r="A1342" s="3" t="s">
        <v>2410</v>
      </c>
      <c r="B1342" s="3">
        <v>11</v>
      </c>
      <c r="C1342" s="5">
        <v>350</v>
      </c>
      <c r="D1342" s="6">
        <v>1</v>
      </c>
      <c r="E1342" s="7">
        <v>95200</v>
      </c>
      <c r="F1342" s="3">
        <v>53410</v>
      </c>
      <c r="G1342" s="3" t="str">
        <f t="shared" si="20"/>
        <v>5</v>
      </c>
      <c r="H1342" s="3" t="s">
        <v>2411</v>
      </c>
      <c r="I1342" s="8">
        <v>207.24</v>
      </c>
      <c r="J1342" s="8">
        <v>127.49</v>
      </c>
      <c r="K1342" s="8">
        <v>207.24</v>
      </c>
    </row>
    <row r="1343" spans="1:11" hidden="1" x14ac:dyDescent="0.25">
      <c r="A1343" s="3" t="s">
        <v>2412</v>
      </c>
      <c r="B1343" s="3">
        <v>11</v>
      </c>
      <c r="C1343" s="5">
        <v>350</v>
      </c>
      <c r="D1343" s="6">
        <v>1</v>
      </c>
      <c r="E1343" s="7">
        <v>95200</v>
      </c>
      <c r="F1343" s="3">
        <v>53510</v>
      </c>
      <c r="G1343" s="3" t="str">
        <f t="shared" si="20"/>
        <v>5</v>
      </c>
      <c r="H1343" s="3" t="s">
        <v>2413</v>
      </c>
      <c r="I1343" s="8">
        <v>65.099999999999994</v>
      </c>
      <c r="J1343" s="8">
        <v>39.090000000000003</v>
      </c>
      <c r="K1343" s="8">
        <v>65.099999999999994</v>
      </c>
    </row>
    <row r="1344" spans="1:11" hidden="1" x14ac:dyDescent="0.25">
      <c r="A1344" s="3" t="s">
        <v>2414</v>
      </c>
      <c r="B1344" s="3">
        <v>11</v>
      </c>
      <c r="C1344" s="5">
        <v>350</v>
      </c>
      <c r="D1344" s="6">
        <v>1</v>
      </c>
      <c r="E1344" s="7">
        <v>95200</v>
      </c>
      <c r="F1344" s="3">
        <v>53610</v>
      </c>
      <c r="G1344" s="3" t="str">
        <f t="shared" si="20"/>
        <v>5</v>
      </c>
      <c r="H1344" s="3" t="s">
        <v>2415</v>
      </c>
      <c r="I1344" s="8">
        <v>2461.92</v>
      </c>
      <c r="J1344" s="8">
        <v>1476.91</v>
      </c>
      <c r="K1344" s="8">
        <v>2461.92</v>
      </c>
    </row>
    <row r="1345" spans="1:11" hidden="1" x14ac:dyDescent="0.25">
      <c r="A1345" s="3" t="s">
        <v>2416</v>
      </c>
      <c r="B1345" s="3">
        <v>11</v>
      </c>
      <c r="C1345" s="5">
        <v>350</v>
      </c>
      <c r="D1345" s="6">
        <v>1</v>
      </c>
      <c r="E1345" s="7">
        <v>95200</v>
      </c>
      <c r="F1345" s="3">
        <v>53910</v>
      </c>
      <c r="G1345" s="3" t="str">
        <f t="shared" si="20"/>
        <v>5</v>
      </c>
      <c r="H1345" s="3" t="s">
        <v>2417</v>
      </c>
      <c r="I1345" s="8">
        <v>2400</v>
      </c>
      <c r="J1345" s="8">
        <v>1745.44</v>
      </c>
      <c r="K1345" s="8">
        <v>2400</v>
      </c>
    </row>
    <row r="1346" spans="1:11" hidden="1" x14ac:dyDescent="0.25">
      <c r="A1346" s="3" t="s">
        <v>2418</v>
      </c>
      <c r="B1346" s="3">
        <v>11</v>
      </c>
      <c r="C1346" s="5">
        <v>350</v>
      </c>
      <c r="D1346" s="6">
        <v>1</v>
      </c>
      <c r="E1346" s="7">
        <v>95200</v>
      </c>
      <c r="F1346" s="3">
        <v>54300</v>
      </c>
      <c r="G1346" s="3" t="str">
        <f t="shared" si="20"/>
        <v>5</v>
      </c>
      <c r="H1346" s="3" t="s">
        <v>2419</v>
      </c>
      <c r="I1346" s="8">
        <v>3000</v>
      </c>
      <c r="J1346" s="8">
        <v>0</v>
      </c>
      <c r="K1346" s="8">
        <v>3000</v>
      </c>
    </row>
    <row r="1347" spans="1:11" hidden="1" x14ac:dyDescent="0.25">
      <c r="A1347" s="3" t="s">
        <v>2420</v>
      </c>
      <c r="B1347" s="3">
        <v>11</v>
      </c>
      <c r="C1347" s="5">
        <v>350</v>
      </c>
      <c r="D1347" s="6">
        <v>1</v>
      </c>
      <c r="E1347" s="7">
        <v>95200</v>
      </c>
      <c r="F1347" s="3">
        <v>55300</v>
      </c>
      <c r="G1347" s="3" t="str">
        <f t="shared" ref="G1347:G1410" si="21">LEFT(F1347,1)</f>
        <v>5</v>
      </c>
      <c r="H1347" s="3" t="s">
        <v>2421</v>
      </c>
      <c r="I1347" s="8">
        <v>150</v>
      </c>
      <c r="J1347" s="8">
        <v>0</v>
      </c>
      <c r="K1347" s="8">
        <v>150</v>
      </c>
    </row>
    <row r="1348" spans="1:11" hidden="1" x14ac:dyDescent="0.25">
      <c r="A1348" s="3" t="s">
        <v>2422</v>
      </c>
      <c r="B1348" s="3">
        <v>11</v>
      </c>
      <c r="C1348" s="5">
        <v>350</v>
      </c>
      <c r="D1348" s="6">
        <v>1</v>
      </c>
      <c r="E1348" s="7">
        <v>95200</v>
      </c>
      <c r="F1348" s="3">
        <v>55309</v>
      </c>
      <c r="G1348" s="3" t="str">
        <f t="shared" si="21"/>
        <v>5</v>
      </c>
      <c r="H1348" s="3" t="s">
        <v>2423</v>
      </c>
      <c r="I1348" s="8">
        <v>150</v>
      </c>
      <c r="J1348" s="8">
        <v>0</v>
      </c>
      <c r="K1348" s="8">
        <v>150</v>
      </c>
    </row>
    <row r="1349" spans="1:11" hidden="1" x14ac:dyDescent="0.25">
      <c r="A1349" s="3" t="s">
        <v>2424</v>
      </c>
      <c r="B1349" s="3">
        <v>11</v>
      </c>
      <c r="C1349" s="5">
        <v>350</v>
      </c>
      <c r="D1349" s="6">
        <v>1</v>
      </c>
      <c r="E1349" s="7">
        <v>95200</v>
      </c>
      <c r="F1349" s="3">
        <v>55630</v>
      </c>
      <c r="G1349" s="3" t="str">
        <f t="shared" si="21"/>
        <v>5</v>
      </c>
      <c r="H1349" s="3" t="s">
        <v>2425</v>
      </c>
      <c r="I1349" s="8">
        <v>150</v>
      </c>
      <c r="J1349" s="8">
        <v>0</v>
      </c>
      <c r="K1349" s="8">
        <v>150</v>
      </c>
    </row>
    <row r="1350" spans="1:11" hidden="1" x14ac:dyDescent="0.25">
      <c r="A1350" s="3" t="s">
        <v>2426</v>
      </c>
      <c r="B1350" s="3">
        <v>11</v>
      </c>
      <c r="C1350" s="5">
        <v>350</v>
      </c>
      <c r="D1350" s="6">
        <v>1</v>
      </c>
      <c r="E1350" s="7">
        <v>95200</v>
      </c>
      <c r="F1350" s="3">
        <v>56400</v>
      </c>
      <c r="G1350" s="3" t="str">
        <f t="shared" si="21"/>
        <v>5</v>
      </c>
      <c r="H1350" s="3" t="s">
        <v>2427</v>
      </c>
      <c r="I1350" s="8">
        <v>200</v>
      </c>
      <c r="J1350" s="8">
        <v>0</v>
      </c>
      <c r="K1350" s="8">
        <v>200</v>
      </c>
    </row>
    <row r="1351" spans="1:11" hidden="1" x14ac:dyDescent="0.25">
      <c r="A1351" s="3" t="s">
        <v>2428</v>
      </c>
      <c r="B1351" s="3">
        <v>11</v>
      </c>
      <c r="C1351" s="5">
        <v>350</v>
      </c>
      <c r="D1351" s="6">
        <v>1</v>
      </c>
      <c r="E1351" s="7">
        <v>95220</v>
      </c>
      <c r="F1351" s="3">
        <v>55105</v>
      </c>
      <c r="G1351" s="3" t="str">
        <f t="shared" si="21"/>
        <v>5</v>
      </c>
      <c r="H1351" s="3" t="s">
        <v>2429</v>
      </c>
      <c r="I1351" s="8">
        <v>67000</v>
      </c>
      <c r="J1351" s="8">
        <v>0</v>
      </c>
      <c r="K1351" s="8">
        <v>67000</v>
      </c>
    </row>
    <row r="1352" spans="1:11" hidden="1" x14ac:dyDescent="0.25">
      <c r="A1352" s="3" t="s">
        <v>2430</v>
      </c>
      <c r="B1352" s="3">
        <v>11</v>
      </c>
      <c r="C1352" s="5">
        <v>350</v>
      </c>
      <c r="D1352" s="6">
        <v>1</v>
      </c>
      <c r="E1352" s="7">
        <v>95300</v>
      </c>
      <c r="F1352" s="3">
        <v>51100</v>
      </c>
      <c r="G1352" s="3" t="str">
        <f t="shared" si="21"/>
        <v>5</v>
      </c>
      <c r="H1352" s="3" t="s">
        <v>2431</v>
      </c>
      <c r="I1352" s="8">
        <v>83356.800000000003</v>
      </c>
      <c r="J1352" s="8">
        <v>60623.199999999997</v>
      </c>
      <c r="K1352" s="8">
        <v>83356.800000000003</v>
      </c>
    </row>
    <row r="1353" spans="1:11" hidden="1" x14ac:dyDescent="0.25">
      <c r="A1353" s="3" t="s">
        <v>2432</v>
      </c>
      <c r="B1353" s="3">
        <v>11</v>
      </c>
      <c r="C1353" s="5">
        <v>350</v>
      </c>
      <c r="D1353" s="6">
        <v>1</v>
      </c>
      <c r="E1353" s="7">
        <v>95300</v>
      </c>
      <c r="F1353" s="3">
        <v>53110</v>
      </c>
      <c r="G1353" s="3" t="str">
        <f t="shared" si="21"/>
        <v>5</v>
      </c>
      <c r="H1353" s="3" t="s">
        <v>2433</v>
      </c>
      <c r="I1353" s="8">
        <v>13462.12</v>
      </c>
      <c r="J1353" s="8">
        <v>9790.64</v>
      </c>
      <c r="K1353" s="8">
        <v>13462.12</v>
      </c>
    </row>
    <row r="1354" spans="1:11" hidden="1" x14ac:dyDescent="0.25">
      <c r="A1354" s="3" t="s">
        <v>2434</v>
      </c>
      <c r="B1354" s="3">
        <v>11</v>
      </c>
      <c r="C1354" s="5">
        <v>350</v>
      </c>
      <c r="D1354" s="6">
        <v>1</v>
      </c>
      <c r="E1354" s="7">
        <v>95300</v>
      </c>
      <c r="F1354" s="3">
        <v>53330</v>
      </c>
      <c r="G1354" s="3" t="str">
        <f t="shared" si="21"/>
        <v>5</v>
      </c>
      <c r="H1354" s="3" t="s">
        <v>2435</v>
      </c>
      <c r="I1354" s="8">
        <v>1208.67</v>
      </c>
      <c r="J1354" s="8">
        <v>870.32</v>
      </c>
      <c r="K1354" s="8">
        <v>1208.67</v>
      </c>
    </row>
    <row r="1355" spans="1:11" hidden="1" x14ac:dyDescent="0.25">
      <c r="A1355" s="3" t="s">
        <v>2436</v>
      </c>
      <c r="B1355" s="3">
        <v>11</v>
      </c>
      <c r="C1355" s="5">
        <v>350</v>
      </c>
      <c r="D1355" s="6">
        <v>1</v>
      </c>
      <c r="E1355" s="7">
        <v>95300</v>
      </c>
      <c r="F1355" s="3">
        <v>53410</v>
      </c>
      <c r="G1355" s="3" t="str">
        <f t="shared" si="21"/>
        <v>5</v>
      </c>
      <c r="H1355" s="3" t="s">
        <v>2437</v>
      </c>
      <c r="I1355" s="8">
        <v>26497.14</v>
      </c>
      <c r="J1355" s="8">
        <v>18886.939999999999</v>
      </c>
      <c r="K1355" s="8">
        <v>26497.14</v>
      </c>
    </row>
    <row r="1356" spans="1:11" hidden="1" x14ac:dyDescent="0.25">
      <c r="A1356" s="3" t="s">
        <v>2438</v>
      </c>
      <c r="B1356" s="3">
        <v>11</v>
      </c>
      <c r="C1356" s="5">
        <v>350</v>
      </c>
      <c r="D1356" s="6">
        <v>1</v>
      </c>
      <c r="E1356" s="7">
        <v>95300</v>
      </c>
      <c r="F1356" s="3">
        <v>53510</v>
      </c>
      <c r="G1356" s="3" t="str">
        <f t="shared" si="21"/>
        <v>5</v>
      </c>
      <c r="H1356" s="3" t="s">
        <v>2439</v>
      </c>
      <c r="I1356" s="8">
        <v>41.68</v>
      </c>
      <c r="J1356" s="8">
        <v>30.32</v>
      </c>
      <c r="K1356" s="8">
        <v>41.68</v>
      </c>
    </row>
    <row r="1357" spans="1:11" hidden="1" x14ac:dyDescent="0.25">
      <c r="A1357" s="3" t="s">
        <v>2440</v>
      </c>
      <c r="B1357" s="3">
        <v>11</v>
      </c>
      <c r="C1357" s="5">
        <v>350</v>
      </c>
      <c r="D1357" s="6">
        <v>1</v>
      </c>
      <c r="E1357" s="7">
        <v>95300</v>
      </c>
      <c r="F1357" s="3">
        <v>53610</v>
      </c>
      <c r="G1357" s="3" t="str">
        <f t="shared" si="21"/>
        <v>5</v>
      </c>
      <c r="H1357" s="3" t="s">
        <v>2441</v>
      </c>
      <c r="I1357" s="8">
        <v>1576.11</v>
      </c>
      <c r="J1357" s="8">
        <v>1146.24</v>
      </c>
      <c r="K1357" s="8">
        <v>1576.11</v>
      </c>
    </row>
    <row r="1358" spans="1:11" hidden="1" x14ac:dyDescent="0.25">
      <c r="A1358" s="3" t="s">
        <v>2442</v>
      </c>
      <c r="B1358" s="3">
        <v>11</v>
      </c>
      <c r="C1358" s="5">
        <v>350</v>
      </c>
      <c r="D1358" s="6">
        <v>1</v>
      </c>
      <c r="E1358" s="7">
        <v>95300</v>
      </c>
      <c r="F1358" s="3">
        <v>54300</v>
      </c>
      <c r="G1358" s="3" t="str">
        <f t="shared" si="21"/>
        <v>5</v>
      </c>
      <c r="H1358" s="3" t="s">
        <v>2443</v>
      </c>
      <c r="I1358" s="8">
        <v>107</v>
      </c>
      <c r="J1358" s="8">
        <v>0</v>
      </c>
      <c r="K1358" s="8">
        <v>107</v>
      </c>
    </row>
    <row r="1359" spans="1:11" hidden="1" x14ac:dyDescent="0.25">
      <c r="A1359" s="3" t="s">
        <v>2444</v>
      </c>
      <c r="B1359" s="3">
        <v>11</v>
      </c>
      <c r="C1359" s="5">
        <v>350</v>
      </c>
      <c r="D1359" s="6">
        <v>1</v>
      </c>
      <c r="E1359" s="7">
        <v>95300</v>
      </c>
      <c r="F1359" s="3">
        <v>55630</v>
      </c>
      <c r="G1359" s="3" t="str">
        <f t="shared" si="21"/>
        <v>5</v>
      </c>
      <c r="H1359" s="3" t="s">
        <v>2445</v>
      </c>
      <c r="I1359" s="8">
        <v>150</v>
      </c>
      <c r="J1359" s="8">
        <v>0</v>
      </c>
      <c r="K1359" s="8">
        <v>150</v>
      </c>
    </row>
    <row r="1360" spans="1:11" hidden="1" x14ac:dyDescent="0.25">
      <c r="A1360" s="3" t="s">
        <v>2446</v>
      </c>
      <c r="B1360" s="3">
        <v>11</v>
      </c>
      <c r="C1360" s="5">
        <v>350</v>
      </c>
      <c r="D1360" s="6">
        <v>1</v>
      </c>
      <c r="E1360" s="7">
        <v>95300</v>
      </c>
      <c r="F1360" s="3">
        <v>55651</v>
      </c>
      <c r="G1360" s="3" t="str">
        <f t="shared" si="21"/>
        <v>5</v>
      </c>
      <c r="H1360" s="3" t="s">
        <v>2447</v>
      </c>
      <c r="I1360" s="8">
        <v>54</v>
      </c>
      <c r="J1360" s="8">
        <v>0</v>
      </c>
      <c r="K1360" s="8">
        <v>54</v>
      </c>
    </row>
    <row r="1361" spans="1:11" hidden="1" x14ac:dyDescent="0.25">
      <c r="A1361" s="3" t="s">
        <v>2448</v>
      </c>
      <c r="B1361" s="3">
        <v>11</v>
      </c>
      <c r="C1361" s="5">
        <v>350</v>
      </c>
      <c r="D1361" s="6">
        <v>1</v>
      </c>
      <c r="E1361" s="7">
        <v>95300</v>
      </c>
      <c r="F1361" s="3">
        <v>56300</v>
      </c>
      <c r="G1361" s="3" t="str">
        <f t="shared" si="21"/>
        <v>5</v>
      </c>
      <c r="H1361" s="3" t="s">
        <v>2449</v>
      </c>
      <c r="I1361" s="8">
        <v>3000</v>
      </c>
      <c r="J1361" s="8">
        <v>0</v>
      </c>
      <c r="K1361" s="8">
        <v>3000</v>
      </c>
    </row>
    <row r="1362" spans="1:11" hidden="1" x14ac:dyDescent="0.25">
      <c r="A1362" s="3" t="s">
        <v>2450</v>
      </c>
      <c r="B1362" s="3">
        <v>11</v>
      </c>
      <c r="C1362" s="5">
        <v>350</v>
      </c>
      <c r="D1362" s="6">
        <v>1</v>
      </c>
      <c r="E1362" s="7">
        <v>95650</v>
      </c>
      <c r="F1362" s="3">
        <v>51100</v>
      </c>
      <c r="G1362" s="3" t="str">
        <f t="shared" si="21"/>
        <v>5</v>
      </c>
      <c r="H1362" s="3" t="s">
        <v>2451</v>
      </c>
      <c r="I1362" s="8">
        <v>92310</v>
      </c>
      <c r="J1362" s="8">
        <v>67134.559999999998</v>
      </c>
      <c r="K1362" s="8">
        <v>92310</v>
      </c>
    </row>
    <row r="1363" spans="1:11" hidden="1" x14ac:dyDescent="0.25">
      <c r="A1363" s="3" t="s">
        <v>2452</v>
      </c>
      <c r="B1363" s="3">
        <v>11</v>
      </c>
      <c r="C1363" s="5">
        <v>350</v>
      </c>
      <c r="D1363" s="6">
        <v>1</v>
      </c>
      <c r="E1363" s="7">
        <v>95650</v>
      </c>
      <c r="F1363" s="3">
        <v>51310</v>
      </c>
      <c r="G1363" s="3" t="str">
        <f t="shared" si="21"/>
        <v>5</v>
      </c>
      <c r="H1363" s="3" t="s">
        <v>2453</v>
      </c>
      <c r="I1363" s="8">
        <v>10000</v>
      </c>
      <c r="J1363" s="8">
        <v>0</v>
      </c>
      <c r="K1363" s="8">
        <v>10000</v>
      </c>
    </row>
    <row r="1364" spans="1:11" hidden="1" x14ac:dyDescent="0.25">
      <c r="A1364" s="3" t="s">
        <v>2454</v>
      </c>
      <c r="B1364" s="3">
        <v>11</v>
      </c>
      <c r="C1364" s="5">
        <v>350</v>
      </c>
      <c r="D1364" s="6">
        <v>1</v>
      </c>
      <c r="E1364" s="7">
        <v>95650</v>
      </c>
      <c r="F1364" s="3">
        <v>51311</v>
      </c>
      <c r="G1364" s="3" t="str">
        <f t="shared" si="21"/>
        <v>5</v>
      </c>
      <c r="H1364" s="3" t="s">
        <v>2455</v>
      </c>
      <c r="I1364" s="8">
        <v>23000</v>
      </c>
      <c r="J1364" s="8">
        <v>1683.94</v>
      </c>
      <c r="K1364" s="8">
        <v>23000</v>
      </c>
    </row>
    <row r="1365" spans="1:11" hidden="1" x14ac:dyDescent="0.25">
      <c r="A1365" s="3" t="s">
        <v>2456</v>
      </c>
      <c r="B1365" s="3">
        <v>11</v>
      </c>
      <c r="C1365" s="5">
        <v>350</v>
      </c>
      <c r="D1365" s="6">
        <v>1</v>
      </c>
      <c r="E1365" s="7">
        <v>95650</v>
      </c>
      <c r="F1365" s="3">
        <v>52200</v>
      </c>
      <c r="G1365" s="3" t="str">
        <f t="shared" si="21"/>
        <v>5</v>
      </c>
      <c r="H1365" s="3" t="s">
        <v>2457</v>
      </c>
      <c r="I1365" s="8">
        <v>27810</v>
      </c>
      <c r="J1365" s="8">
        <v>22519.17</v>
      </c>
      <c r="K1365" s="8">
        <v>27810</v>
      </c>
    </row>
    <row r="1366" spans="1:11" hidden="1" x14ac:dyDescent="0.25">
      <c r="A1366" s="3" t="s">
        <v>2458</v>
      </c>
      <c r="B1366" s="3">
        <v>11</v>
      </c>
      <c r="C1366" s="5">
        <v>350</v>
      </c>
      <c r="D1366" s="6">
        <v>1</v>
      </c>
      <c r="E1366" s="7">
        <v>95650</v>
      </c>
      <c r="F1366" s="3">
        <v>53110</v>
      </c>
      <c r="G1366" s="3" t="str">
        <f t="shared" si="21"/>
        <v>5</v>
      </c>
      <c r="H1366" s="3" t="s">
        <v>2459</v>
      </c>
      <c r="I1366" s="8">
        <v>20237.57</v>
      </c>
      <c r="J1366" s="8">
        <v>11114.18</v>
      </c>
      <c r="K1366" s="8">
        <v>20237.57</v>
      </c>
    </row>
    <row r="1367" spans="1:11" hidden="1" x14ac:dyDescent="0.25">
      <c r="A1367" s="3" t="s">
        <v>2460</v>
      </c>
      <c r="B1367" s="3">
        <v>11</v>
      </c>
      <c r="C1367" s="5">
        <v>350</v>
      </c>
      <c r="D1367" s="6">
        <v>1</v>
      </c>
      <c r="E1367" s="7">
        <v>95650</v>
      </c>
      <c r="F1367" s="3">
        <v>53210</v>
      </c>
      <c r="G1367" s="3" t="str">
        <f t="shared" si="21"/>
        <v>5</v>
      </c>
      <c r="H1367" s="3" t="s">
        <v>2461</v>
      </c>
      <c r="I1367" s="8">
        <v>5756.67</v>
      </c>
      <c r="J1367" s="8">
        <v>4660.45</v>
      </c>
      <c r="K1367" s="8">
        <v>5756.67</v>
      </c>
    </row>
    <row r="1368" spans="1:11" hidden="1" x14ac:dyDescent="0.25">
      <c r="A1368" s="3" t="s">
        <v>2462</v>
      </c>
      <c r="B1368" s="3">
        <v>11</v>
      </c>
      <c r="C1368" s="5">
        <v>350</v>
      </c>
      <c r="D1368" s="6">
        <v>1</v>
      </c>
      <c r="E1368" s="7">
        <v>95650</v>
      </c>
      <c r="F1368" s="3">
        <v>53310</v>
      </c>
      <c r="G1368" s="3" t="str">
        <f t="shared" si="21"/>
        <v>5</v>
      </c>
      <c r="H1368" s="3" t="s">
        <v>2463</v>
      </c>
      <c r="I1368" s="8">
        <v>1724.22</v>
      </c>
      <c r="J1368" s="8">
        <v>1396.18</v>
      </c>
      <c r="K1368" s="8">
        <v>1724.22</v>
      </c>
    </row>
    <row r="1369" spans="1:11" hidden="1" x14ac:dyDescent="0.25">
      <c r="A1369" s="3" t="s">
        <v>2464</v>
      </c>
      <c r="B1369" s="3">
        <v>11</v>
      </c>
      <c r="C1369" s="5">
        <v>350</v>
      </c>
      <c r="D1369" s="6">
        <v>1</v>
      </c>
      <c r="E1369" s="7">
        <v>95650</v>
      </c>
      <c r="F1369" s="3">
        <v>53330</v>
      </c>
      <c r="G1369" s="3" t="str">
        <f t="shared" si="21"/>
        <v>5</v>
      </c>
      <c r="H1369" s="3" t="s">
        <v>2465</v>
      </c>
      <c r="I1369" s="8">
        <v>2220.25</v>
      </c>
      <c r="J1369" s="8">
        <v>1317.83</v>
      </c>
      <c r="K1369" s="8">
        <v>2220.25</v>
      </c>
    </row>
    <row r="1370" spans="1:11" hidden="1" x14ac:dyDescent="0.25">
      <c r="A1370" s="3" t="s">
        <v>2466</v>
      </c>
      <c r="B1370" s="3">
        <v>11</v>
      </c>
      <c r="C1370" s="5">
        <v>350</v>
      </c>
      <c r="D1370" s="6">
        <v>1</v>
      </c>
      <c r="E1370" s="7">
        <v>95650</v>
      </c>
      <c r="F1370" s="3">
        <v>53410</v>
      </c>
      <c r="G1370" s="3" t="str">
        <f t="shared" si="21"/>
        <v>5</v>
      </c>
      <c r="H1370" s="3" t="s">
        <v>2467</v>
      </c>
      <c r="I1370" s="8">
        <v>31811.54</v>
      </c>
      <c r="J1370" s="8">
        <v>22793.95</v>
      </c>
      <c r="K1370" s="8">
        <v>31811.54</v>
      </c>
    </row>
    <row r="1371" spans="1:11" hidden="1" x14ac:dyDescent="0.25">
      <c r="A1371" s="3" t="s">
        <v>2468</v>
      </c>
      <c r="B1371" s="3">
        <v>11</v>
      </c>
      <c r="C1371" s="5">
        <v>350</v>
      </c>
      <c r="D1371" s="6">
        <v>1</v>
      </c>
      <c r="E1371" s="7">
        <v>95650</v>
      </c>
      <c r="F1371" s="3">
        <v>53510</v>
      </c>
      <c r="G1371" s="3" t="str">
        <f t="shared" si="21"/>
        <v>5</v>
      </c>
      <c r="H1371" s="3" t="s">
        <v>2469</v>
      </c>
      <c r="I1371" s="8">
        <v>76.569999999999993</v>
      </c>
      <c r="J1371" s="8">
        <v>45.72</v>
      </c>
      <c r="K1371" s="8">
        <v>76.569999999999993</v>
      </c>
    </row>
    <row r="1372" spans="1:11" hidden="1" x14ac:dyDescent="0.25">
      <c r="A1372" s="3" t="s">
        <v>2470</v>
      </c>
      <c r="B1372" s="3">
        <v>11</v>
      </c>
      <c r="C1372" s="5">
        <v>350</v>
      </c>
      <c r="D1372" s="6">
        <v>1</v>
      </c>
      <c r="E1372" s="7">
        <v>95650</v>
      </c>
      <c r="F1372" s="3">
        <v>53610</v>
      </c>
      <c r="G1372" s="3" t="str">
        <f t="shared" si="21"/>
        <v>5</v>
      </c>
      <c r="H1372" s="3" t="s">
        <v>2471</v>
      </c>
      <c r="I1372" s="8">
        <v>2895.19</v>
      </c>
      <c r="J1372" s="8">
        <v>1728.01</v>
      </c>
      <c r="K1372" s="8">
        <v>2895.19</v>
      </c>
    </row>
    <row r="1373" spans="1:11" hidden="1" x14ac:dyDescent="0.25">
      <c r="A1373" s="3" t="s">
        <v>2472</v>
      </c>
      <c r="B1373" s="3">
        <v>11</v>
      </c>
      <c r="C1373" s="5">
        <v>350</v>
      </c>
      <c r="D1373" s="6">
        <v>1</v>
      </c>
      <c r="E1373" s="7">
        <v>95650</v>
      </c>
      <c r="F1373" s="3">
        <v>54300</v>
      </c>
      <c r="G1373" s="3" t="str">
        <f t="shared" si="21"/>
        <v>5</v>
      </c>
      <c r="H1373" s="3" t="s">
        <v>2473</v>
      </c>
      <c r="I1373" s="8">
        <v>16000</v>
      </c>
      <c r="J1373" s="8">
        <v>0</v>
      </c>
      <c r="K1373" s="8">
        <v>16000</v>
      </c>
    </row>
    <row r="1374" spans="1:11" hidden="1" x14ac:dyDescent="0.25">
      <c r="A1374" s="3" t="s">
        <v>2474</v>
      </c>
      <c r="B1374" s="3">
        <v>11</v>
      </c>
      <c r="C1374" s="5">
        <v>350</v>
      </c>
      <c r="D1374" s="6">
        <v>1</v>
      </c>
      <c r="E1374" s="7">
        <v>95650</v>
      </c>
      <c r="F1374" s="3">
        <v>55630</v>
      </c>
      <c r="G1374" s="3" t="str">
        <f t="shared" si="21"/>
        <v>5</v>
      </c>
      <c r="H1374" s="3" t="s">
        <v>2475</v>
      </c>
      <c r="I1374" s="8">
        <v>600</v>
      </c>
      <c r="J1374" s="8">
        <v>0</v>
      </c>
      <c r="K1374" s="8">
        <v>600</v>
      </c>
    </row>
    <row r="1375" spans="1:11" hidden="1" x14ac:dyDescent="0.25">
      <c r="A1375" s="3" t="s">
        <v>2476</v>
      </c>
      <c r="B1375" s="3">
        <v>11</v>
      </c>
      <c r="C1375" s="5">
        <v>350</v>
      </c>
      <c r="D1375" s="6">
        <v>1</v>
      </c>
      <c r="E1375" s="7">
        <v>95650</v>
      </c>
      <c r="F1375" s="3">
        <v>55651</v>
      </c>
      <c r="G1375" s="3" t="str">
        <f t="shared" si="21"/>
        <v>5</v>
      </c>
      <c r="H1375" s="3" t="s">
        <v>2477</v>
      </c>
      <c r="I1375" s="8">
        <v>535</v>
      </c>
      <c r="J1375" s="8">
        <v>0</v>
      </c>
      <c r="K1375" s="8">
        <v>535</v>
      </c>
    </row>
    <row r="1376" spans="1:11" hidden="1" x14ac:dyDescent="0.25">
      <c r="A1376" s="3" t="s">
        <v>2478</v>
      </c>
      <c r="B1376" s="3">
        <v>11</v>
      </c>
      <c r="C1376" s="5">
        <v>350</v>
      </c>
      <c r="D1376" s="6">
        <v>1</v>
      </c>
      <c r="E1376" s="7">
        <v>95650</v>
      </c>
      <c r="F1376" s="3">
        <v>56400</v>
      </c>
      <c r="G1376" s="3" t="str">
        <f t="shared" si="21"/>
        <v>5</v>
      </c>
      <c r="H1376" s="3" t="s">
        <v>2479</v>
      </c>
      <c r="I1376" s="8">
        <v>600</v>
      </c>
      <c r="J1376" s="8">
        <v>0</v>
      </c>
      <c r="K1376" s="8">
        <v>600</v>
      </c>
    </row>
    <row r="1377" spans="1:11" hidden="1" x14ac:dyDescent="0.25">
      <c r="A1377" s="3" t="s">
        <v>2480</v>
      </c>
      <c r="B1377" s="3">
        <v>11</v>
      </c>
      <c r="C1377" s="5">
        <v>350</v>
      </c>
      <c r="D1377" s="6">
        <v>1</v>
      </c>
      <c r="E1377" s="7">
        <v>601000</v>
      </c>
      <c r="F1377" s="3">
        <v>51210</v>
      </c>
      <c r="G1377" s="3" t="str">
        <f t="shared" si="21"/>
        <v>5</v>
      </c>
      <c r="H1377" s="3" t="s">
        <v>477</v>
      </c>
      <c r="I1377" s="8">
        <v>0</v>
      </c>
      <c r="J1377" s="8">
        <v>110555.28</v>
      </c>
      <c r="K1377" s="8">
        <v>0</v>
      </c>
    </row>
    <row r="1378" spans="1:11" hidden="1" x14ac:dyDescent="0.25">
      <c r="A1378" s="3" t="s">
        <v>2481</v>
      </c>
      <c r="B1378" s="3">
        <v>11</v>
      </c>
      <c r="C1378" s="5">
        <v>350</v>
      </c>
      <c r="D1378" s="6">
        <v>1</v>
      </c>
      <c r="E1378" s="7">
        <v>601000</v>
      </c>
      <c r="F1378" s="3">
        <v>52105</v>
      </c>
      <c r="G1378" s="3" t="str">
        <f t="shared" si="21"/>
        <v>5</v>
      </c>
      <c r="H1378" s="3" t="s">
        <v>481</v>
      </c>
      <c r="I1378" s="8">
        <v>61886.83</v>
      </c>
      <c r="J1378" s="8">
        <v>47645.17</v>
      </c>
      <c r="K1378" s="8">
        <v>61886.83</v>
      </c>
    </row>
    <row r="1379" spans="1:11" hidden="1" x14ac:dyDescent="0.25">
      <c r="A1379" s="3" t="s">
        <v>2482</v>
      </c>
      <c r="B1379" s="3">
        <v>11</v>
      </c>
      <c r="C1379" s="5">
        <v>350</v>
      </c>
      <c r="D1379" s="6">
        <v>1</v>
      </c>
      <c r="E1379" s="7">
        <v>601000</v>
      </c>
      <c r="F1379" s="3">
        <v>52300</v>
      </c>
      <c r="G1379" s="3" t="str">
        <f t="shared" si="21"/>
        <v>5</v>
      </c>
      <c r="H1379" s="3" t="s">
        <v>483</v>
      </c>
      <c r="I1379" s="8">
        <v>0</v>
      </c>
      <c r="J1379" s="8">
        <v>0.56999999999999995</v>
      </c>
      <c r="K1379" s="8">
        <v>0</v>
      </c>
    </row>
    <row r="1380" spans="1:11" hidden="1" x14ac:dyDescent="0.25">
      <c r="A1380" s="3" t="s">
        <v>2483</v>
      </c>
      <c r="B1380" s="3">
        <v>11</v>
      </c>
      <c r="C1380" s="5">
        <v>350</v>
      </c>
      <c r="D1380" s="6">
        <v>1</v>
      </c>
      <c r="E1380" s="7">
        <v>601000</v>
      </c>
      <c r="F1380" s="3">
        <v>52350</v>
      </c>
      <c r="G1380" s="3" t="str">
        <f t="shared" si="21"/>
        <v>5</v>
      </c>
      <c r="H1380" s="3" t="s">
        <v>1006</v>
      </c>
      <c r="I1380" s="8">
        <v>3500</v>
      </c>
      <c r="J1380" s="8">
        <v>6151</v>
      </c>
      <c r="K1380" s="8">
        <v>3500</v>
      </c>
    </row>
    <row r="1381" spans="1:11" hidden="1" x14ac:dyDescent="0.25">
      <c r="A1381" s="3" t="s">
        <v>2484</v>
      </c>
      <c r="B1381" s="3">
        <v>11</v>
      </c>
      <c r="C1381" s="5">
        <v>350</v>
      </c>
      <c r="D1381" s="6">
        <v>1</v>
      </c>
      <c r="E1381" s="7">
        <v>601000</v>
      </c>
      <c r="F1381" s="3">
        <v>53120</v>
      </c>
      <c r="G1381" s="3" t="str">
        <f t="shared" si="21"/>
        <v>5</v>
      </c>
      <c r="H1381" s="3" t="s">
        <v>485</v>
      </c>
      <c r="I1381" s="8">
        <v>0</v>
      </c>
      <c r="J1381" s="8">
        <v>17854.650000000001</v>
      </c>
      <c r="K1381" s="8">
        <v>0</v>
      </c>
    </row>
    <row r="1382" spans="1:11" hidden="1" x14ac:dyDescent="0.25">
      <c r="A1382" s="3" t="s">
        <v>2485</v>
      </c>
      <c r="B1382" s="3">
        <v>11</v>
      </c>
      <c r="C1382" s="5">
        <v>350</v>
      </c>
      <c r="D1382" s="6">
        <v>1</v>
      </c>
      <c r="E1382" s="7">
        <v>601000</v>
      </c>
      <c r="F1382" s="3">
        <v>53220</v>
      </c>
      <c r="G1382" s="3" t="str">
        <f t="shared" si="21"/>
        <v>5</v>
      </c>
      <c r="H1382" s="3" t="s">
        <v>487</v>
      </c>
      <c r="I1382" s="8">
        <v>12810.57</v>
      </c>
      <c r="J1382" s="8">
        <v>9860.43</v>
      </c>
      <c r="K1382" s="8">
        <v>12810.57</v>
      </c>
    </row>
    <row r="1383" spans="1:11" hidden="1" x14ac:dyDescent="0.25">
      <c r="A1383" s="3" t="s">
        <v>2486</v>
      </c>
      <c r="B1383" s="3">
        <v>11</v>
      </c>
      <c r="C1383" s="5">
        <v>350</v>
      </c>
      <c r="D1383" s="6">
        <v>1</v>
      </c>
      <c r="E1383" s="7">
        <v>601000</v>
      </c>
      <c r="F1383" s="3">
        <v>53320</v>
      </c>
      <c r="G1383" s="3" t="str">
        <f t="shared" si="21"/>
        <v>5</v>
      </c>
      <c r="H1383" s="3" t="s">
        <v>489</v>
      </c>
      <c r="I1383" s="8">
        <v>3836.98</v>
      </c>
      <c r="J1383" s="8">
        <v>2954.05</v>
      </c>
      <c r="K1383" s="8">
        <v>3836.98</v>
      </c>
    </row>
    <row r="1384" spans="1:11" hidden="1" x14ac:dyDescent="0.25">
      <c r="A1384" s="3" t="s">
        <v>2487</v>
      </c>
      <c r="B1384" s="3">
        <v>11</v>
      </c>
      <c r="C1384" s="5">
        <v>350</v>
      </c>
      <c r="D1384" s="6">
        <v>1</v>
      </c>
      <c r="E1384" s="7">
        <v>601000</v>
      </c>
      <c r="F1384" s="3">
        <v>53340</v>
      </c>
      <c r="G1384" s="3" t="str">
        <f t="shared" si="21"/>
        <v>5</v>
      </c>
      <c r="H1384" s="3" t="s">
        <v>491</v>
      </c>
      <c r="I1384" s="8">
        <v>897.36</v>
      </c>
      <c r="J1384" s="8">
        <v>2294.39</v>
      </c>
      <c r="K1384" s="8">
        <v>897.36</v>
      </c>
    </row>
    <row r="1385" spans="1:11" hidden="1" x14ac:dyDescent="0.25">
      <c r="A1385" s="3" t="s">
        <v>2488</v>
      </c>
      <c r="B1385" s="3">
        <v>11</v>
      </c>
      <c r="C1385" s="5">
        <v>350</v>
      </c>
      <c r="D1385" s="6">
        <v>1</v>
      </c>
      <c r="E1385" s="7">
        <v>601000</v>
      </c>
      <c r="F1385" s="3">
        <v>53420</v>
      </c>
      <c r="G1385" s="3" t="str">
        <f t="shared" si="21"/>
        <v>5</v>
      </c>
      <c r="H1385" s="3" t="s">
        <v>493</v>
      </c>
      <c r="I1385" s="8">
        <v>13141.62</v>
      </c>
      <c r="J1385" s="8">
        <v>26526.18</v>
      </c>
      <c r="K1385" s="8">
        <v>13141.62</v>
      </c>
    </row>
    <row r="1386" spans="1:11" hidden="1" x14ac:dyDescent="0.25">
      <c r="A1386" s="3" t="s">
        <v>2489</v>
      </c>
      <c r="B1386" s="3">
        <v>11</v>
      </c>
      <c r="C1386" s="5">
        <v>350</v>
      </c>
      <c r="D1386" s="6">
        <v>1</v>
      </c>
      <c r="E1386" s="7">
        <v>601000</v>
      </c>
      <c r="F1386" s="3">
        <v>53520</v>
      </c>
      <c r="G1386" s="3" t="str">
        <f t="shared" si="21"/>
        <v>5</v>
      </c>
      <c r="H1386" s="3" t="s">
        <v>495</v>
      </c>
      <c r="I1386" s="8">
        <v>30.94</v>
      </c>
      <c r="J1386" s="8">
        <v>79.08</v>
      </c>
      <c r="K1386" s="8">
        <v>30.94</v>
      </c>
    </row>
    <row r="1387" spans="1:11" hidden="1" x14ac:dyDescent="0.25">
      <c r="A1387" s="3" t="s">
        <v>2490</v>
      </c>
      <c r="B1387" s="3">
        <v>11</v>
      </c>
      <c r="C1387" s="5">
        <v>350</v>
      </c>
      <c r="D1387" s="6">
        <v>1</v>
      </c>
      <c r="E1387" s="7">
        <v>601000</v>
      </c>
      <c r="F1387" s="3">
        <v>53620</v>
      </c>
      <c r="G1387" s="3" t="str">
        <f t="shared" si="21"/>
        <v>5</v>
      </c>
      <c r="H1387" s="3" t="s">
        <v>497</v>
      </c>
      <c r="I1387" s="8">
        <v>1236.3399999999999</v>
      </c>
      <c r="J1387" s="8">
        <v>3109.92</v>
      </c>
      <c r="K1387" s="8">
        <v>1236.3399999999999</v>
      </c>
    </row>
    <row r="1388" spans="1:11" hidden="1" x14ac:dyDescent="0.25">
      <c r="A1388" s="3" t="s">
        <v>2491</v>
      </c>
      <c r="B1388" s="3">
        <v>11</v>
      </c>
      <c r="C1388" s="5">
        <v>350</v>
      </c>
      <c r="D1388" s="6">
        <v>1</v>
      </c>
      <c r="E1388" s="7">
        <v>601000</v>
      </c>
      <c r="F1388" s="3">
        <v>53920</v>
      </c>
      <c r="G1388" s="3" t="str">
        <f t="shared" si="21"/>
        <v>5</v>
      </c>
      <c r="H1388" s="3" t="s">
        <v>499</v>
      </c>
      <c r="I1388" s="8">
        <v>0</v>
      </c>
      <c r="J1388" s="8">
        <v>1600</v>
      </c>
      <c r="K1388" s="8">
        <v>0</v>
      </c>
    </row>
    <row r="1389" spans="1:11" hidden="1" x14ac:dyDescent="0.25">
      <c r="A1389" s="3" t="s">
        <v>2492</v>
      </c>
      <c r="B1389" s="3">
        <v>11</v>
      </c>
      <c r="C1389" s="5">
        <v>350</v>
      </c>
      <c r="D1389" s="6">
        <v>1</v>
      </c>
      <c r="E1389" s="7">
        <v>601000</v>
      </c>
      <c r="F1389" s="3">
        <v>54300</v>
      </c>
      <c r="G1389" s="3" t="str">
        <f t="shared" si="21"/>
        <v>5</v>
      </c>
      <c r="H1389" s="3" t="s">
        <v>501</v>
      </c>
      <c r="I1389" s="8">
        <v>3300</v>
      </c>
      <c r="J1389" s="8">
        <v>68.150000000000006</v>
      </c>
      <c r="K1389" s="8">
        <v>3300</v>
      </c>
    </row>
    <row r="1390" spans="1:11" hidden="1" x14ac:dyDescent="0.25">
      <c r="A1390" s="3" t="s">
        <v>2493</v>
      </c>
      <c r="B1390" s="3">
        <v>11</v>
      </c>
      <c r="C1390" s="5">
        <v>350</v>
      </c>
      <c r="D1390" s="6">
        <v>1</v>
      </c>
      <c r="E1390" s="7">
        <v>601000</v>
      </c>
      <c r="F1390" s="3">
        <v>54349</v>
      </c>
      <c r="G1390" s="3" t="str">
        <f t="shared" si="21"/>
        <v>5</v>
      </c>
      <c r="H1390" s="3" t="s">
        <v>2208</v>
      </c>
      <c r="I1390" s="8">
        <v>1000</v>
      </c>
      <c r="J1390" s="8">
        <v>0</v>
      </c>
      <c r="K1390" s="8">
        <v>1000</v>
      </c>
    </row>
    <row r="1391" spans="1:11" hidden="1" x14ac:dyDescent="0.25">
      <c r="A1391" s="3" t="s">
        <v>2494</v>
      </c>
      <c r="B1391" s="3">
        <v>11</v>
      </c>
      <c r="C1391" s="5">
        <v>350</v>
      </c>
      <c r="D1391" s="6">
        <v>1</v>
      </c>
      <c r="E1391" s="7">
        <v>601000</v>
      </c>
      <c r="F1391" s="3">
        <v>55125</v>
      </c>
      <c r="G1391" s="3" t="str">
        <f t="shared" si="21"/>
        <v>5</v>
      </c>
      <c r="H1391" s="3" t="s">
        <v>503</v>
      </c>
      <c r="I1391" s="8">
        <v>1667</v>
      </c>
      <c r="J1391" s="8">
        <v>0</v>
      </c>
      <c r="K1391" s="8">
        <v>1667</v>
      </c>
    </row>
    <row r="1392" spans="1:11" hidden="1" x14ac:dyDescent="0.25">
      <c r="A1392" s="3" t="s">
        <v>2495</v>
      </c>
      <c r="B1392" s="3">
        <v>11</v>
      </c>
      <c r="C1392" s="5">
        <v>350</v>
      </c>
      <c r="D1392" s="6">
        <v>1</v>
      </c>
      <c r="E1392" s="7">
        <v>601000</v>
      </c>
      <c r="F1392" s="3">
        <v>55200</v>
      </c>
      <c r="G1392" s="3" t="str">
        <f t="shared" si="21"/>
        <v>5</v>
      </c>
      <c r="H1392" s="3" t="s">
        <v>505</v>
      </c>
      <c r="I1392" s="8">
        <v>1500</v>
      </c>
      <c r="J1392" s="8">
        <v>0</v>
      </c>
      <c r="K1392" s="8">
        <v>1500</v>
      </c>
    </row>
    <row r="1393" spans="1:11" hidden="1" x14ac:dyDescent="0.25">
      <c r="A1393" s="3" t="s">
        <v>2496</v>
      </c>
      <c r="B1393" s="3">
        <v>11</v>
      </c>
      <c r="C1393" s="5">
        <v>350</v>
      </c>
      <c r="D1393" s="6">
        <v>1</v>
      </c>
      <c r="E1393" s="7">
        <v>601000</v>
      </c>
      <c r="F1393" s="3">
        <v>55300</v>
      </c>
      <c r="G1393" s="3" t="str">
        <f t="shared" si="21"/>
        <v>5</v>
      </c>
      <c r="H1393" s="3" t="s">
        <v>1024</v>
      </c>
      <c r="I1393" s="8">
        <v>1500</v>
      </c>
      <c r="J1393" s="8">
        <v>915</v>
      </c>
      <c r="K1393" s="8">
        <v>1500</v>
      </c>
    </row>
    <row r="1394" spans="1:11" hidden="1" x14ac:dyDescent="0.25">
      <c r="A1394" s="3" t="s">
        <v>2497</v>
      </c>
      <c r="B1394" s="3">
        <v>11</v>
      </c>
      <c r="C1394" s="5">
        <v>350</v>
      </c>
      <c r="D1394" s="6">
        <v>1</v>
      </c>
      <c r="E1394" s="7">
        <v>601000</v>
      </c>
      <c r="F1394" s="3">
        <v>55309</v>
      </c>
      <c r="G1394" s="3" t="str">
        <f t="shared" si="21"/>
        <v>5</v>
      </c>
      <c r="H1394" s="3" t="s">
        <v>2498</v>
      </c>
      <c r="I1394" s="8">
        <v>107</v>
      </c>
      <c r="J1394" s="8">
        <v>0</v>
      </c>
      <c r="K1394" s="8">
        <v>107</v>
      </c>
    </row>
    <row r="1395" spans="1:11" hidden="1" x14ac:dyDescent="0.25">
      <c r="A1395" s="3" t="s">
        <v>2499</v>
      </c>
      <c r="B1395" s="3">
        <v>11</v>
      </c>
      <c r="C1395" s="5">
        <v>350</v>
      </c>
      <c r="D1395" s="6">
        <v>1</v>
      </c>
      <c r="E1395" s="7">
        <v>601000</v>
      </c>
      <c r="F1395" s="3">
        <v>55600</v>
      </c>
      <c r="G1395" s="3" t="str">
        <f t="shared" si="21"/>
        <v>5</v>
      </c>
      <c r="H1395" s="3" t="s">
        <v>2500</v>
      </c>
      <c r="I1395" s="8">
        <v>0</v>
      </c>
      <c r="J1395" s="8">
        <v>694.51</v>
      </c>
      <c r="K1395" s="8">
        <v>0</v>
      </c>
    </row>
    <row r="1396" spans="1:11" hidden="1" x14ac:dyDescent="0.25">
      <c r="A1396" s="3" t="s">
        <v>2501</v>
      </c>
      <c r="B1396" s="3">
        <v>11</v>
      </c>
      <c r="C1396" s="5">
        <v>350</v>
      </c>
      <c r="D1396" s="6">
        <v>1</v>
      </c>
      <c r="E1396" s="7">
        <v>601000</v>
      </c>
      <c r="F1396" s="3">
        <v>55630</v>
      </c>
      <c r="G1396" s="3" t="str">
        <f t="shared" si="21"/>
        <v>5</v>
      </c>
      <c r="H1396" s="3" t="s">
        <v>509</v>
      </c>
      <c r="I1396" s="8">
        <v>321</v>
      </c>
      <c r="J1396" s="8">
        <v>0</v>
      </c>
      <c r="K1396" s="8">
        <v>321</v>
      </c>
    </row>
    <row r="1397" spans="1:11" hidden="1" x14ac:dyDescent="0.25">
      <c r="A1397" s="3" t="s">
        <v>2502</v>
      </c>
      <c r="B1397" s="3">
        <v>11</v>
      </c>
      <c r="C1397" s="5">
        <v>350</v>
      </c>
      <c r="D1397" s="6">
        <v>1</v>
      </c>
      <c r="E1397" s="7">
        <v>601000</v>
      </c>
      <c r="F1397" s="3">
        <v>55635</v>
      </c>
      <c r="G1397" s="3" t="str">
        <f t="shared" si="21"/>
        <v>5</v>
      </c>
      <c r="H1397" s="3" t="s">
        <v>1027</v>
      </c>
      <c r="I1397" s="8">
        <v>214</v>
      </c>
      <c r="J1397" s="8">
        <v>0</v>
      </c>
      <c r="K1397" s="8">
        <v>214</v>
      </c>
    </row>
    <row r="1398" spans="1:11" hidden="1" x14ac:dyDescent="0.25">
      <c r="A1398" s="3" t="s">
        <v>2503</v>
      </c>
      <c r="B1398" s="3">
        <v>11</v>
      </c>
      <c r="C1398" s="5">
        <v>350</v>
      </c>
      <c r="D1398" s="6">
        <v>1</v>
      </c>
      <c r="E1398" s="7">
        <v>601000</v>
      </c>
      <c r="F1398" s="3">
        <v>55650</v>
      </c>
      <c r="G1398" s="3" t="str">
        <f t="shared" si="21"/>
        <v>5</v>
      </c>
      <c r="H1398" s="3" t="s">
        <v>511</v>
      </c>
      <c r="I1398" s="8">
        <v>7500</v>
      </c>
      <c r="J1398" s="8">
        <v>0</v>
      </c>
      <c r="K1398" s="8">
        <v>7500</v>
      </c>
    </row>
    <row r="1399" spans="1:11" hidden="1" x14ac:dyDescent="0.25">
      <c r="A1399" s="3" t="s">
        <v>2504</v>
      </c>
      <c r="B1399" s="3">
        <v>11</v>
      </c>
      <c r="C1399" s="5">
        <v>350</v>
      </c>
      <c r="D1399" s="6">
        <v>1</v>
      </c>
      <c r="E1399" s="7">
        <v>601000</v>
      </c>
      <c r="F1399" s="3">
        <v>55800</v>
      </c>
      <c r="G1399" s="3" t="str">
        <f t="shared" si="21"/>
        <v>5</v>
      </c>
      <c r="H1399" s="3" t="s">
        <v>2505</v>
      </c>
      <c r="I1399" s="8">
        <v>500</v>
      </c>
      <c r="J1399" s="8">
        <v>0</v>
      </c>
      <c r="K1399" s="8">
        <v>500</v>
      </c>
    </row>
    <row r="1400" spans="1:11" hidden="1" x14ac:dyDescent="0.25">
      <c r="A1400" s="3" t="s">
        <v>2506</v>
      </c>
      <c r="B1400" s="3">
        <v>11</v>
      </c>
      <c r="C1400" s="5">
        <v>350</v>
      </c>
      <c r="D1400" s="6">
        <v>1</v>
      </c>
      <c r="E1400" s="7">
        <v>601000</v>
      </c>
      <c r="F1400" s="3">
        <v>55830</v>
      </c>
      <c r="G1400" s="3" t="str">
        <f t="shared" si="21"/>
        <v>5</v>
      </c>
      <c r="H1400" s="3" t="s">
        <v>513</v>
      </c>
      <c r="I1400" s="8">
        <v>0</v>
      </c>
      <c r="J1400" s="8">
        <v>1433.75</v>
      </c>
      <c r="K1400" s="8">
        <v>0</v>
      </c>
    </row>
    <row r="1401" spans="1:11" hidden="1" x14ac:dyDescent="0.25">
      <c r="A1401" s="3" t="s">
        <v>2507</v>
      </c>
      <c r="B1401" s="3">
        <v>11</v>
      </c>
      <c r="C1401" s="5">
        <v>350</v>
      </c>
      <c r="D1401" s="6">
        <v>1</v>
      </c>
      <c r="E1401" s="7">
        <v>601000</v>
      </c>
      <c r="F1401" s="3">
        <v>56300</v>
      </c>
      <c r="G1401" s="3" t="str">
        <f t="shared" si="21"/>
        <v>5</v>
      </c>
      <c r="H1401" s="3" t="s">
        <v>2508</v>
      </c>
      <c r="I1401" s="8">
        <v>2660</v>
      </c>
      <c r="J1401" s="8">
        <v>0</v>
      </c>
      <c r="K1401" s="8">
        <v>2660</v>
      </c>
    </row>
    <row r="1402" spans="1:11" hidden="1" x14ac:dyDescent="0.25">
      <c r="A1402" s="3" t="s">
        <v>2509</v>
      </c>
      <c r="B1402" s="3">
        <v>11</v>
      </c>
      <c r="C1402" s="5">
        <v>360</v>
      </c>
      <c r="D1402" s="6">
        <v>0</v>
      </c>
      <c r="E1402" s="7">
        <v>160100</v>
      </c>
      <c r="F1402" s="3">
        <v>51100</v>
      </c>
      <c r="G1402" s="3" t="str">
        <f t="shared" si="21"/>
        <v>5</v>
      </c>
      <c r="H1402" s="3" t="s">
        <v>2510</v>
      </c>
      <c r="I1402" s="8">
        <v>117785.9</v>
      </c>
      <c r="J1402" s="8">
        <v>85662.56</v>
      </c>
      <c r="K1402" s="8">
        <v>117785.9</v>
      </c>
    </row>
    <row r="1403" spans="1:11" hidden="1" x14ac:dyDescent="0.25">
      <c r="A1403" s="3" t="s">
        <v>2511</v>
      </c>
      <c r="B1403" s="3">
        <v>11</v>
      </c>
      <c r="C1403" s="5">
        <v>360</v>
      </c>
      <c r="D1403" s="6">
        <v>0</v>
      </c>
      <c r="E1403" s="7">
        <v>160100</v>
      </c>
      <c r="F1403" s="3">
        <v>51310</v>
      </c>
      <c r="G1403" s="3" t="str">
        <f t="shared" si="21"/>
        <v>5</v>
      </c>
      <c r="H1403" s="3" t="s">
        <v>2512</v>
      </c>
      <c r="I1403" s="8">
        <v>7000</v>
      </c>
      <c r="J1403" s="8">
        <v>0</v>
      </c>
      <c r="K1403" s="8">
        <v>7000</v>
      </c>
    </row>
    <row r="1404" spans="1:11" hidden="1" x14ac:dyDescent="0.25">
      <c r="A1404" s="3" t="s">
        <v>2513</v>
      </c>
      <c r="B1404" s="3">
        <v>11</v>
      </c>
      <c r="C1404" s="5">
        <v>360</v>
      </c>
      <c r="D1404" s="6">
        <v>0</v>
      </c>
      <c r="E1404" s="7">
        <v>160100</v>
      </c>
      <c r="F1404" s="3">
        <v>51311</v>
      </c>
      <c r="G1404" s="3" t="str">
        <f t="shared" si="21"/>
        <v>5</v>
      </c>
      <c r="H1404" s="3" t="s">
        <v>2514</v>
      </c>
      <c r="I1404" s="8">
        <v>3000</v>
      </c>
      <c r="J1404" s="8">
        <v>4016.88</v>
      </c>
      <c r="K1404" s="8">
        <v>3000</v>
      </c>
    </row>
    <row r="1405" spans="1:11" hidden="1" x14ac:dyDescent="0.25">
      <c r="A1405" s="3" t="s">
        <v>2515</v>
      </c>
      <c r="B1405" s="3">
        <v>11</v>
      </c>
      <c r="C1405" s="5">
        <v>360</v>
      </c>
      <c r="D1405" s="6">
        <v>0</v>
      </c>
      <c r="E1405" s="7">
        <v>160100</v>
      </c>
      <c r="F1405" s="3">
        <v>53110</v>
      </c>
      <c r="G1405" s="3" t="str">
        <f t="shared" si="21"/>
        <v>5</v>
      </c>
      <c r="H1405" s="3" t="s">
        <v>2516</v>
      </c>
      <c r="I1405" s="8">
        <v>15692.47</v>
      </c>
      <c r="J1405" s="8">
        <v>10886.9</v>
      </c>
      <c r="K1405" s="8">
        <v>15692.47</v>
      </c>
    </row>
    <row r="1406" spans="1:11" hidden="1" x14ac:dyDescent="0.25">
      <c r="A1406" s="3" t="s">
        <v>2517</v>
      </c>
      <c r="B1406" s="3">
        <v>11</v>
      </c>
      <c r="C1406" s="5">
        <v>360</v>
      </c>
      <c r="D1406" s="6">
        <v>0</v>
      </c>
      <c r="E1406" s="7">
        <v>160100</v>
      </c>
      <c r="F1406" s="3">
        <v>53210</v>
      </c>
      <c r="G1406" s="3" t="str">
        <f t="shared" si="21"/>
        <v>5</v>
      </c>
      <c r="H1406" s="3" t="s">
        <v>2518</v>
      </c>
      <c r="I1406" s="8">
        <v>6338.11</v>
      </c>
      <c r="J1406" s="8">
        <v>4609.5200000000004</v>
      </c>
      <c r="K1406" s="8">
        <v>6338.11</v>
      </c>
    </row>
    <row r="1407" spans="1:11" hidden="1" x14ac:dyDescent="0.25">
      <c r="A1407" s="3" t="s">
        <v>2519</v>
      </c>
      <c r="B1407" s="3">
        <v>11</v>
      </c>
      <c r="C1407" s="5">
        <v>360</v>
      </c>
      <c r="D1407" s="6">
        <v>0</v>
      </c>
      <c r="E1407" s="7">
        <v>160100</v>
      </c>
      <c r="F1407" s="3">
        <v>53310</v>
      </c>
      <c r="G1407" s="3" t="str">
        <f t="shared" si="21"/>
        <v>5</v>
      </c>
      <c r="H1407" s="3" t="s">
        <v>2520</v>
      </c>
      <c r="I1407" s="8">
        <v>1898.37</v>
      </c>
      <c r="J1407" s="8">
        <v>1372.16</v>
      </c>
      <c r="K1407" s="8">
        <v>1898.37</v>
      </c>
    </row>
    <row r="1408" spans="1:11" hidden="1" x14ac:dyDescent="0.25">
      <c r="A1408" s="3" t="s">
        <v>2521</v>
      </c>
      <c r="B1408" s="3">
        <v>11</v>
      </c>
      <c r="C1408" s="5">
        <v>360</v>
      </c>
      <c r="D1408" s="6">
        <v>0</v>
      </c>
      <c r="E1408" s="7">
        <v>160100</v>
      </c>
      <c r="F1408" s="3">
        <v>53330</v>
      </c>
      <c r="G1408" s="3" t="str">
        <f t="shared" si="21"/>
        <v>5</v>
      </c>
      <c r="H1408" s="3" t="s">
        <v>2522</v>
      </c>
      <c r="I1408" s="8">
        <v>1852.89</v>
      </c>
      <c r="J1408" s="8">
        <v>1291.78</v>
      </c>
      <c r="K1408" s="8">
        <v>1852.89</v>
      </c>
    </row>
    <row r="1409" spans="1:11" hidden="1" x14ac:dyDescent="0.25">
      <c r="A1409" s="3" t="s">
        <v>2523</v>
      </c>
      <c r="B1409" s="3">
        <v>11</v>
      </c>
      <c r="C1409" s="5">
        <v>360</v>
      </c>
      <c r="D1409" s="6">
        <v>0</v>
      </c>
      <c r="E1409" s="7">
        <v>160100</v>
      </c>
      <c r="F1409" s="3">
        <v>53410</v>
      </c>
      <c r="G1409" s="3" t="str">
        <f t="shared" si="21"/>
        <v>5</v>
      </c>
      <c r="H1409" s="3" t="s">
        <v>2524</v>
      </c>
      <c r="I1409" s="8">
        <v>32812.949999999997</v>
      </c>
      <c r="J1409" s="8">
        <v>23383.57</v>
      </c>
      <c r="K1409" s="8">
        <v>32812.949999999997</v>
      </c>
    </row>
    <row r="1410" spans="1:11" hidden="1" x14ac:dyDescent="0.25">
      <c r="A1410" s="3" t="s">
        <v>2525</v>
      </c>
      <c r="B1410" s="3">
        <v>11</v>
      </c>
      <c r="C1410" s="5">
        <v>360</v>
      </c>
      <c r="D1410" s="6">
        <v>0</v>
      </c>
      <c r="E1410" s="7">
        <v>160100</v>
      </c>
      <c r="F1410" s="3">
        <v>53510</v>
      </c>
      <c r="G1410" s="3" t="str">
        <f t="shared" si="21"/>
        <v>5</v>
      </c>
      <c r="H1410" s="3" t="s">
        <v>2526</v>
      </c>
      <c r="I1410" s="8">
        <v>63.89</v>
      </c>
      <c r="J1410" s="8">
        <v>44.8</v>
      </c>
      <c r="K1410" s="8">
        <v>63.89</v>
      </c>
    </row>
    <row r="1411" spans="1:11" hidden="1" x14ac:dyDescent="0.25">
      <c r="A1411" s="3" t="s">
        <v>2527</v>
      </c>
      <c r="B1411" s="3">
        <v>11</v>
      </c>
      <c r="C1411" s="5">
        <v>360</v>
      </c>
      <c r="D1411" s="6">
        <v>0</v>
      </c>
      <c r="E1411" s="7">
        <v>160100</v>
      </c>
      <c r="F1411" s="3">
        <v>53610</v>
      </c>
      <c r="G1411" s="3" t="str">
        <f t="shared" ref="G1411:G1474" si="22">LEFT(F1411,1)</f>
        <v>5</v>
      </c>
      <c r="H1411" s="3" t="s">
        <v>2528</v>
      </c>
      <c r="I1411" s="8">
        <v>2416.17</v>
      </c>
      <c r="J1411" s="8">
        <v>1695.65</v>
      </c>
      <c r="K1411" s="8">
        <v>2416.17</v>
      </c>
    </row>
    <row r="1412" spans="1:11" hidden="1" x14ac:dyDescent="0.25">
      <c r="A1412" s="3" t="s">
        <v>2529</v>
      </c>
      <c r="B1412" s="3">
        <v>11</v>
      </c>
      <c r="C1412" s="5">
        <v>360</v>
      </c>
      <c r="D1412" s="6">
        <v>0</v>
      </c>
      <c r="E1412" s="7">
        <v>160100</v>
      </c>
      <c r="F1412" s="3">
        <v>54300</v>
      </c>
      <c r="G1412" s="3" t="str">
        <f t="shared" si="22"/>
        <v>5</v>
      </c>
      <c r="H1412" s="3" t="s">
        <v>2530</v>
      </c>
      <c r="I1412" s="8">
        <v>505</v>
      </c>
      <c r="J1412" s="8">
        <v>0</v>
      </c>
      <c r="K1412" s="8">
        <v>505</v>
      </c>
    </row>
    <row r="1413" spans="1:11" hidden="1" x14ac:dyDescent="0.25">
      <c r="A1413" s="3" t="s">
        <v>2531</v>
      </c>
      <c r="B1413" s="3">
        <v>11</v>
      </c>
      <c r="C1413" s="5">
        <v>360</v>
      </c>
      <c r="D1413" s="6">
        <v>0</v>
      </c>
      <c r="E1413" s="7">
        <v>160100</v>
      </c>
      <c r="F1413" s="3">
        <v>55200</v>
      </c>
      <c r="G1413" s="3" t="str">
        <f t="shared" si="22"/>
        <v>5</v>
      </c>
      <c r="H1413" s="3" t="s">
        <v>2532</v>
      </c>
      <c r="I1413" s="8">
        <v>500</v>
      </c>
      <c r="J1413" s="8">
        <v>0</v>
      </c>
      <c r="K1413" s="8">
        <v>500</v>
      </c>
    </row>
    <row r="1414" spans="1:11" hidden="1" x14ac:dyDescent="0.25">
      <c r="A1414" s="3" t="s">
        <v>2533</v>
      </c>
      <c r="B1414" s="3">
        <v>11</v>
      </c>
      <c r="C1414" s="5">
        <v>360</v>
      </c>
      <c r="D1414" s="6">
        <v>0</v>
      </c>
      <c r="E1414" s="7">
        <v>160100</v>
      </c>
      <c r="F1414" s="3">
        <v>55630</v>
      </c>
      <c r="G1414" s="3" t="str">
        <f t="shared" si="22"/>
        <v>5</v>
      </c>
      <c r="H1414" s="3" t="s">
        <v>2534</v>
      </c>
      <c r="I1414" s="8">
        <v>510</v>
      </c>
      <c r="J1414" s="8">
        <v>0</v>
      </c>
      <c r="K1414" s="8">
        <v>510</v>
      </c>
    </row>
    <row r="1415" spans="1:11" hidden="1" x14ac:dyDescent="0.25">
      <c r="A1415" s="3" t="s">
        <v>2535</v>
      </c>
      <c r="B1415" s="3">
        <v>11</v>
      </c>
      <c r="C1415" s="5">
        <v>360</v>
      </c>
      <c r="D1415" s="6">
        <v>0</v>
      </c>
      <c r="E1415" s="7">
        <v>490110</v>
      </c>
      <c r="F1415" s="3">
        <v>54300</v>
      </c>
      <c r="G1415" s="3" t="str">
        <f t="shared" si="22"/>
        <v>5</v>
      </c>
      <c r="H1415" s="3" t="s">
        <v>2536</v>
      </c>
      <c r="I1415" s="8">
        <v>705</v>
      </c>
      <c r="J1415" s="8">
        <v>0</v>
      </c>
      <c r="K1415" s="8">
        <v>705</v>
      </c>
    </row>
    <row r="1416" spans="1:11" hidden="1" x14ac:dyDescent="0.25">
      <c r="A1416" s="3" t="s">
        <v>2537</v>
      </c>
      <c r="B1416" s="3">
        <v>11</v>
      </c>
      <c r="C1416" s="5">
        <v>360</v>
      </c>
      <c r="D1416" s="6">
        <v>0</v>
      </c>
      <c r="E1416" s="7">
        <v>490110</v>
      </c>
      <c r="F1416" s="3">
        <v>55200</v>
      </c>
      <c r="G1416" s="3" t="str">
        <f t="shared" si="22"/>
        <v>5</v>
      </c>
      <c r="H1416" s="3" t="s">
        <v>2538</v>
      </c>
      <c r="I1416" s="8">
        <v>250</v>
      </c>
      <c r="J1416" s="8">
        <v>0</v>
      </c>
      <c r="K1416" s="8">
        <v>250</v>
      </c>
    </row>
    <row r="1417" spans="1:11" hidden="1" x14ac:dyDescent="0.25">
      <c r="A1417" s="3" t="s">
        <v>2539</v>
      </c>
      <c r="B1417" s="3">
        <v>11</v>
      </c>
      <c r="C1417" s="5">
        <v>360</v>
      </c>
      <c r="D1417" s="6">
        <v>0</v>
      </c>
      <c r="E1417" s="7">
        <v>490110</v>
      </c>
      <c r="F1417" s="3">
        <v>56300</v>
      </c>
      <c r="G1417" s="3" t="str">
        <f t="shared" si="22"/>
        <v>5</v>
      </c>
      <c r="H1417" s="3" t="s">
        <v>2540</v>
      </c>
      <c r="I1417" s="8">
        <v>500</v>
      </c>
      <c r="J1417" s="8">
        <v>92.86</v>
      </c>
      <c r="K1417" s="8">
        <v>500</v>
      </c>
    </row>
    <row r="1418" spans="1:11" hidden="1" x14ac:dyDescent="0.25">
      <c r="A1418" s="3" t="s">
        <v>2541</v>
      </c>
      <c r="B1418" s="3">
        <v>11</v>
      </c>
      <c r="C1418" s="5">
        <v>360</v>
      </c>
      <c r="D1418" s="6">
        <v>0</v>
      </c>
      <c r="E1418" s="7">
        <v>601000</v>
      </c>
      <c r="F1418" s="3">
        <v>51210</v>
      </c>
      <c r="G1418" s="3" t="str">
        <f t="shared" si="22"/>
        <v>5</v>
      </c>
      <c r="H1418" s="3" t="s">
        <v>477</v>
      </c>
      <c r="I1418" s="8">
        <v>142041</v>
      </c>
      <c r="J1418" s="8">
        <v>105865.78</v>
      </c>
      <c r="K1418" s="8">
        <v>142041</v>
      </c>
    </row>
    <row r="1419" spans="1:11" hidden="1" x14ac:dyDescent="0.25">
      <c r="A1419" s="3" t="s">
        <v>2542</v>
      </c>
      <c r="B1419" s="3">
        <v>11</v>
      </c>
      <c r="C1419" s="5">
        <v>360</v>
      </c>
      <c r="D1419" s="6">
        <v>0</v>
      </c>
      <c r="E1419" s="7">
        <v>601000</v>
      </c>
      <c r="F1419" s="3">
        <v>52105</v>
      </c>
      <c r="G1419" s="3" t="str">
        <f t="shared" si="22"/>
        <v>5</v>
      </c>
      <c r="H1419" s="3" t="s">
        <v>481</v>
      </c>
      <c r="I1419" s="8">
        <v>127776.55</v>
      </c>
      <c r="J1419" s="8">
        <v>96860.13</v>
      </c>
      <c r="K1419" s="8">
        <v>127776.55</v>
      </c>
    </row>
    <row r="1420" spans="1:11" hidden="1" x14ac:dyDescent="0.25">
      <c r="A1420" s="3" t="s">
        <v>2543</v>
      </c>
      <c r="B1420" s="3">
        <v>11</v>
      </c>
      <c r="C1420" s="5">
        <v>360</v>
      </c>
      <c r="D1420" s="6">
        <v>0</v>
      </c>
      <c r="E1420" s="7">
        <v>601000</v>
      </c>
      <c r="F1420" s="3">
        <v>52300</v>
      </c>
      <c r="G1420" s="3" t="str">
        <f t="shared" si="22"/>
        <v>5</v>
      </c>
      <c r="H1420" s="3" t="s">
        <v>483</v>
      </c>
      <c r="I1420" s="8">
        <v>0</v>
      </c>
      <c r="J1420" s="8">
        <v>3.17</v>
      </c>
      <c r="K1420" s="8">
        <v>0</v>
      </c>
    </row>
    <row r="1421" spans="1:11" hidden="1" x14ac:dyDescent="0.25">
      <c r="A1421" s="3" t="s">
        <v>2544</v>
      </c>
      <c r="B1421" s="3">
        <v>11</v>
      </c>
      <c r="C1421" s="5">
        <v>360</v>
      </c>
      <c r="D1421" s="6">
        <v>0</v>
      </c>
      <c r="E1421" s="7">
        <v>601000</v>
      </c>
      <c r="F1421" s="3">
        <v>52360</v>
      </c>
      <c r="G1421" s="3" t="str">
        <f t="shared" si="22"/>
        <v>5</v>
      </c>
      <c r="H1421" s="3" t="s">
        <v>1008</v>
      </c>
      <c r="I1421" s="8">
        <v>0</v>
      </c>
      <c r="J1421" s="8">
        <v>282.88</v>
      </c>
      <c r="K1421" s="8">
        <v>0</v>
      </c>
    </row>
    <row r="1422" spans="1:11" hidden="1" x14ac:dyDescent="0.25">
      <c r="A1422" s="3" t="s">
        <v>2545</v>
      </c>
      <c r="B1422" s="3">
        <v>11</v>
      </c>
      <c r="C1422" s="5">
        <v>360</v>
      </c>
      <c r="D1422" s="6">
        <v>0</v>
      </c>
      <c r="E1422" s="7">
        <v>601000</v>
      </c>
      <c r="F1422" s="3">
        <v>53120</v>
      </c>
      <c r="G1422" s="3" t="str">
        <f t="shared" si="22"/>
        <v>5</v>
      </c>
      <c r="H1422" s="3" t="s">
        <v>485</v>
      </c>
      <c r="I1422" s="8">
        <v>22939.62</v>
      </c>
      <c r="J1422" s="8">
        <v>17097.36</v>
      </c>
      <c r="K1422" s="8">
        <v>22939.62</v>
      </c>
    </row>
    <row r="1423" spans="1:11" hidden="1" x14ac:dyDescent="0.25">
      <c r="A1423" s="3" t="s">
        <v>2546</v>
      </c>
      <c r="B1423" s="3">
        <v>11</v>
      </c>
      <c r="C1423" s="5">
        <v>360</v>
      </c>
      <c r="D1423" s="6">
        <v>0</v>
      </c>
      <c r="E1423" s="7">
        <v>601000</v>
      </c>
      <c r="F1423" s="3">
        <v>53220</v>
      </c>
      <c r="G1423" s="3" t="str">
        <f t="shared" si="22"/>
        <v>5</v>
      </c>
      <c r="H1423" s="3" t="s">
        <v>487</v>
      </c>
      <c r="I1423" s="8">
        <v>26449.75</v>
      </c>
      <c r="J1423" s="8">
        <v>20042.27</v>
      </c>
      <c r="K1423" s="8">
        <v>26449.75</v>
      </c>
    </row>
    <row r="1424" spans="1:11" hidden="1" x14ac:dyDescent="0.25">
      <c r="A1424" s="3" t="s">
        <v>2547</v>
      </c>
      <c r="B1424" s="3">
        <v>11</v>
      </c>
      <c r="C1424" s="5">
        <v>360</v>
      </c>
      <c r="D1424" s="6">
        <v>0</v>
      </c>
      <c r="E1424" s="7">
        <v>601000</v>
      </c>
      <c r="F1424" s="3">
        <v>53320</v>
      </c>
      <c r="G1424" s="3" t="str">
        <f t="shared" si="22"/>
        <v>5</v>
      </c>
      <c r="H1424" s="3" t="s">
        <v>489</v>
      </c>
      <c r="I1424" s="8">
        <v>7922.15</v>
      </c>
      <c r="J1424" s="8">
        <v>5950.48</v>
      </c>
      <c r="K1424" s="8">
        <v>7922.15</v>
      </c>
    </row>
    <row r="1425" spans="1:11" hidden="1" x14ac:dyDescent="0.25">
      <c r="A1425" s="3" t="s">
        <v>2548</v>
      </c>
      <c r="B1425" s="3">
        <v>11</v>
      </c>
      <c r="C1425" s="5">
        <v>360</v>
      </c>
      <c r="D1425" s="6">
        <v>0</v>
      </c>
      <c r="E1425" s="7">
        <v>601000</v>
      </c>
      <c r="F1425" s="3">
        <v>53340</v>
      </c>
      <c r="G1425" s="3" t="str">
        <f t="shared" si="22"/>
        <v>5</v>
      </c>
      <c r="H1425" s="3" t="s">
        <v>491</v>
      </c>
      <c r="I1425" s="8">
        <v>3912.35</v>
      </c>
      <c r="J1425" s="8">
        <v>2926.75</v>
      </c>
      <c r="K1425" s="8">
        <v>3912.35</v>
      </c>
    </row>
    <row r="1426" spans="1:11" hidden="1" x14ac:dyDescent="0.25">
      <c r="A1426" s="3" t="s">
        <v>2549</v>
      </c>
      <c r="B1426" s="3">
        <v>11</v>
      </c>
      <c r="C1426" s="5">
        <v>360</v>
      </c>
      <c r="D1426" s="6">
        <v>0</v>
      </c>
      <c r="E1426" s="7">
        <v>601000</v>
      </c>
      <c r="F1426" s="3">
        <v>53420</v>
      </c>
      <c r="G1426" s="3" t="str">
        <f t="shared" si="22"/>
        <v>5</v>
      </c>
      <c r="H1426" s="3" t="s">
        <v>493</v>
      </c>
      <c r="I1426" s="8">
        <v>58569.4</v>
      </c>
      <c r="J1426" s="8">
        <v>42864.22</v>
      </c>
      <c r="K1426" s="8">
        <v>58569.4</v>
      </c>
    </row>
    <row r="1427" spans="1:11" hidden="1" x14ac:dyDescent="0.25">
      <c r="A1427" s="3" t="s">
        <v>2550</v>
      </c>
      <c r="B1427" s="3">
        <v>11</v>
      </c>
      <c r="C1427" s="5">
        <v>360</v>
      </c>
      <c r="D1427" s="6">
        <v>0</v>
      </c>
      <c r="E1427" s="7">
        <v>601000</v>
      </c>
      <c r="F1427" s="3">
        <v>53520</v>
      </c>
      <c r="G1427" s="3" t="str">
        <f t="shared" si="22"/>
        <v>5</v>
      </c>
      <c r="H1427" s="3" t="s">
        <v>495</v>
      </c>
      <c r="I1427" s="8">
        <v>134.91</v>
      </c>
      <c r="J1427" s="8">
        <v>101.48</v>
      </c>
      <c r="K1427" s="8">
        <v>134.91</v>
      </c>
    </row>
    <row r="1428" spans="1:11" hidden="1" x14ac:dyDescent="0.25">
      <c r="A1428" s="3" t="s">
        <v>2551</v>
      </c>
      <c r="B1428" s="3">
        <v>11</v>
      </c>
      <c r="C1428" s="5">
        <v>360</v>
      </c>
      <c r="D1428" s="6">
        <v>0</v>
      </c>
      <c r="E1428" s="7">
        <v>601000</v>
      </c>
      <c r="F1428" s="3">
        <v>53620</v>
      </c>
      <c r="G1428" s="3" t="str">
        <f t="shared" si="22"/>
        <v>5</v>
      </c>
      <c r="H1428" s="3" t="s">
        <v>497</v>
      </c>
      <c r="I1428" s="8">
        <v>5101.71</v>
      </c>
      <c r="J1428" s="8">
        <v>3843.46</v>
      </c>
      <c r="K1428" s="8">
        <v>5101.71</v>
      </c>
    </row>
    <row r="1429" spans="1:11" hidden="1" x14ac:dyDescent="0.25">
      <c r="A1429" s="3" t="s">
        <v>2552</v>
      </c>
      <c r="B1429" s="3">
        <v>11</v>
      </c>
      <c r="C1429" s="5">
        <v>360</v>
      </c>
      <c r="D1429" s="6">
        <v>0</v>
      </c>
      <c r="E1429" s="7">
        <v>601000</v>
      </c>
      <c r="F1429" s="3">
        <v>53920</v>
      </c>
      <c r="G1429" s="3" t="str">
        <f t="shared" si="22"/>
        <v>5</v>
      </c>
      <c r="H1429" s="3" t="s">
        <v>499</v>
      </c>
      <c r="I1429" s="8">
        <v>2400</v>
      </c>
      <c r="J1429" s="8">
        <v>1600</v>
      </c>
      <c r="K1429" s="8">
        <v>2400</v>
      </c>
    </row>
    <row r="1430" spans="1:11" hidden="1" x14ac:dyDescent="0.25">
      <c r="A1430" s="3" t="s">
        <v>2553</v>
      </c>
      <c r="B1430" s="3">
        <v>11</v>
      </c>
      <c r="C1430" s="5">
        <v>360</v>
      </c>
      <c r="D1430" s="6">
        <v>0</v>
      </c>
      <c r="E1430" s="7">
        <v>601000</v>
      </c>
      <c r="F1430" s="3">
        <v>54300</v>
      </c>
      <c r="G1430" s="3" t="str">
        <f t="shared" si="22"/>
        <v>5</v>
      </c>
      <c r="H1430" s="3" t="s">
        <v>501</v>
      </c>
      <c r="I1430" s="8">
        <v>500</v>
      </c>
      <c r="J1430" s="8">
        <v>0</v>
      </c>
      <c r="K1430" s="8">
        <v>500</v>
      </c>
    </row>
    <row r="1431" spans="1:11" hidden="1" x14ac:dyDescent="0.25">
      <c r="A1431" s="3" t="s">
        <v>2554</v>
      </c>
      <c r="B1431" s="3">
        <v>11</v>
      </c>
      <c r="C1431" s="5">
        <v>360</v>
      </c>
      <c r="D1431" s="6">
        <v>0</v>
      </c>
      <c r="E1431" s="7">
        <v>601000</v>
      </c>
      <c r="F1431" s="3">
        <v>55630</v>
      </c>
      <c r="G1431" s="3" t="str">
        <f t="shared" si="22"/>
        <v>5</v>
      </c>
      <c r="H1431" s="3" t="s">
        <v>509</v>
      </c>
      <c r="I1431" s="8">
        <v>0</v>
      </c>
      <c r="J1431" s="8">
        <v>4.22</v>
      </c>
      <c r="K1431" s="8">
        <v>0</v>
      </c>
    </row>
    <row r="1432" spans="1:11" hidden="1" x14ac:dyDescent="0.25">
      <c r="A1432" s="3" t="s">
        <v>2555</v>
      </c>
      <c r="B1432" s="3">
        <v>11</v>
      </c>
      <c r="C1432" s="5">
        <v>360</v>
      </c>
      <c r="D1432" s="6">
        <v>0</v>
      </c>
      <c r="E1432" s="7">
        <v>612000</v>
      </c>
      <c r="F1432" s="3">
        <v>51200</v>
      </c>
      <c r="G1432" s="3" t="str">
        <f t="shared" si="22"/>
        <v>5</v>
      </c>
      <c r="H1432" s="3" t="s">
        <v>2556</v>
      </c>
      <c r="I1432" s="8">
        <v>71444.100000000006</v>
      </c>
      <c r="J1432" s="8">
        <v>51959.360000000001</v>
      </c>
      <c r="K1432" s="8">
        <v>71444.100000000006</v>
      </c>
    </row>
    <row r="1433" spans="1:11" hidden="1" x14ac:dyDescent="0.25">
      <c r="A1433" s="3" t="s">
        <v>2557</v>
      </c>
      <c r="B1433" s="3">
        <v>11</v>
      </c>
      <c r="C1433" s="5">
        <v>360</v>
      </c>
      <c r="D1433" s="6">
        <v>0</v>
      </c>
      <c r="E1433" s="7">
        <v>612000</v>
      </c>
      <c r="F1433" s="3">
        <v>51411</v>
      </c>
      <c r="G1433" s="3" t="str">
        <f t="shared" si="22"/>
        <v>5</v>
      </c>
      <c r="H1433" s="3" t="s">
        <v>517</v>
      </c>
      <c r="I1433" s="8">
        <v>164000</v>
      </c>
      <c r="J1433" s="8">
        <v>71171.990000000005</v>
      </c>
      <c r="K1433" s="8">
        <v>164000</v>
      </c>
    </row>
    <row r="1434" spans="1:11" hidden="1" x14ac:dyDescent="0.25">
      <c r="A1434" s="3" t="s">
        <v>2558</v>
      </c>
      <c r="B1434" s="3">
        <v>11</v>
      </c>
      <c r="C1434" s="5">
        <v>360</v>
      </c>
      <c r="D1434" s="6">
        <v>0</v>
      </c>
      <c r="E1434" s="7">
        <v>612000</v>
      </c>
      <c r="F1434" s="3">
        <v>51412</v>
      </c>
      <c r="G1434" s="3" t="str">
        <f t="shared" si="22"/>
        <v>5</v>
      </c>
      <c r="H1434" s="3" t="s">
        <v>2559</v>
      </c>
      <c r="I1434" s="8">
        <v>3001</v>
      </c>
      <c r="J1434" s="8">
        <v>0</v>
      </c>
      <c r="K1434" s="8">
        <v>3001</v>
      </c>
    </row>
    <row r="1435" spans="1:11" hidden="1" x14ac:dyDescent="0.25">
      <c r="A1435" s="3" t="s">
        <v>2560</v>
      </c>
      <c r="B1435" s="3">
        <v>11</v>
      </c>
      <c r="C1435" s="5">
        <v>360</v>
      </c>
      <c r="D1435" s="6">
        <v>0</v>
      </c>
      <c r="E1435" s="7">
        <v>612000</v>
      </c>
      <c r="F1435" s="3">
        <v>52105</v>
      </c>
      <c r="G1435" s="3" t="str">
        <f t="shared" si="22"/>
        <v>5</v>
      </c>
      <c r="H1435" s="3" t="s">
        <v>2561</v>
      </c>
      <c r="I1435" s="8">
        <v>183164.66</v>
      </c>
      <c r="J1435" s="8">
        <v>131518.72</v>
      </c>
      <c r="K1435" s="8">
        <v>183164.66</v>
      </c>
    </row>
    <row r="1436" spans="1:11" hidden="1" x14ac:dyDescent="0.25">
      <c r="A1436" s="3" t="s">
        <v>2562</v>
      </c>
      <c r="B1436" s="3">
        <v>11</v>
      </c>
      <c r="C1436" s="5">
        <v>360</v>
      </c>
      <c r="D1436" s="6">
        <v>0</v>
      </c>
      <c r="E1436" s="7">
        <v>612000</v>
      </c>
      <c r="F1436" s="3">
        <v>52300</v>
      </c>
      <c r="G1436" s="3" t="str">
        <f t="shared" si="22"/>
        <v>5</v>
      </c>
      <c r="H1436" s="3" t="s">
        <v>2563</v>
      </c>
      <c r="I1436" s="8">
        <v>1800</v>
      </c>
      <c r="J1436" s="8">
        <v>90.31</v>
      </c>
      <c r="K1436" s="8">
        <v>1800</v>
      </c>
    </row>
    <row r="1437" spans="1:11" hidden="1" x14ac:dyDescent="0.25">
      <c r="A1437" s="3" t="s">
        <v>2564</v>
      </c>
      <c r="B1437" s="3">
        <v>11</v>
      </c>
      <c r="C1437" s="5">
        <v>360</v>
      </c>
      <c r="D1437" s="6">
        <v>0</v>
      </c>
      <c r="E1437" s="7">
        <v>612000</v>
      </c>
      <c r="F1437" s="3">
        <v>52350</v>
      </c>
      <c r="G1437" s="3" t="str">
        <f t="shared" si="22"/>
        <v>5</v>
      </c>
      <c r="H1437" s="3" t="s">
        <v>2565</v>
      </c>
      <c r="I1437" s="8">
        <v>9000</v>
      </c>
      <c r="J1437" s="8">
        <v>0</v>
      </c>
      <c r="K1437" s="8">
        <v>9000</v>
      </c>
    </row>
    <row r="1438" spans="1:11" hidden="1" x14ac:dyDescent="0.25">
      <c r="A1438" s="3" t="s">
        <v>2566</v>
      </c>
      <c r="B1438" s="3">
        <v>11</v>
      </c>
      <c r="C1438" s="5">
        <v>360</v>
      </c>
      <c r="D1438" s="6">
        <v>0</v>
      </c>
      <c r="E1438" s="7">
        <v>612000</v>
      </c>
      <c r="F1438" s="3">
        <v>53120</v>
      </c>
      <c r="G1438" s="3" t="str">
        <f t="shared" si="22"/>
        <v>5</v>
      </c>
      <c r="H1438" s="3" t="s">
        <v>519</v>
      </c>
      <c r="I1438" s="8">
        <v>26970.66</v>
      </c>
      <c r="J1438" s="8">
        <v>10350.89</v>
      </c>
      <c r="K1438" s="8">
        <v>26970.66</v>
      </c>
    </row>
    <row r="1439" spans="1:11" hidden="1" x14ac:dyDescent="0.25">
      <c r="A1439" s="3" t="s">
        <v>2567</v>
      </c>
      <c r="B1439" s="3">
        <v>11</v>
      </c>
      <c r="C1439" s="5">
        <v>360</v>
      </c>
      <c r="D1439" s="6">
        <v>0</v>
      </c>
      <c r="E1439" s="7">
        <v>612000</v>
      </c>
      <c r="F1439" s="3">
        <v>53220</v>
      </c>
      <c r="G1439" s="3" t="str">
        <f t="shared" si="22"/>
        <v>5</v>
      </c>
      <c r="H1439" s="3" t="s">
        <v>2568</v>
      </c>
      <c r="I1439" s="8">
        <v>52704.01</v>
      </c>
      <c r="J1439" s="8">
        <v>37983.94</v>
      </c>
      <c r="K1439" s="8">
        <v>52704.01</v>
      </c>
    </row>
    <row r="1440" spans="1:11" hidden="1" x14ac:dyDescent="0.25">
      <c r="A1440" s="3" t="s">
        <v>2569</v>
      </c>
      <c r="B1440" s="3">
        <v>11</v>
      </c>
      <c r="C1440" s="5">
        <v>360</v>
      </c>
      <c r="D1440" s="6">
        <v>0</v>
      </c>
      <c r="E1440" s="7">
        <v>612000</v>
      </c>
      <c r="F1440" s="3">
        <v>53320</v>
      </c>
      <c r="G1440" s="3" t="str">
        <f t="shared" si="22"/>
        <v>5</v>
      </c>
      <c r="H1440" s="3" t="s">
        <v>2570</v>
      </c>
      <c r="I1440" s="8">
        <v>15897.34</v>
      </c>
      <c r="J1440" s="8">
        <v>11679.69</v>
      </c>
      <c r="K1440" s="8">
        <v>15897.34</v>
      </c>
    </row>
    <row r="1441" spans="1:11" hidden="1" x14ac:dyDescent="0.25">
      <c r="A1441" s="3" t="s">
        <v>2571</v>
      </c>
      <c r="B1441" s="3">
        <v>11</v>
      </c>
      <c r="C1441" s="5">
        <v>360</v>
      </c>
      <c r="D1441" s="6">
        <v>0</v>
      </c>
      <c r="E1441" s="7">
        <v>612000</v>
      </c>
      <c r="F1441" s="3">
        <v>53340</v>
      </c>
      <c r="G1441" s="3" t="str">
        <f t="shared" si="22"/>
        <v>5</v>
      </c>
      <c r="H1441" s="3" t="s">
        <v>521</v>
      </c>
      <c r="I1441" s="8">
        <v>6139.44</v>
      </c>
      <c r="J1441" s="8">
        <v>3670.56</v>
      </c>
      <c r="K1441" s="8">
        <v>6139.44</v>
      </c>
    </row>
    <row r="1442" spans="1:11" hidden="1" x14ac:dyDescent="0.25">
      <c r="A1442" s="3" t="s">
        <v>2572</v>
      </c>
      <c r="B1442" s="3">
        <v>11</v>
      </c>
      <c r="C1442" s="5">
        <v>360</v>
      </c>
      <c r="D1442" s="6">
        <v>0</v>
      </c>
      <c r="E1442" s="7">
        <v>612000</v>
      </c>
      <c r="F1442" s="3">
        <v>53420</v>
      </c>
      <c r="G1442" s="3" t="str">
        <f t="shared" si="22"/>
        <v>5</v>
      </c>
      <c r="H1442" s="3" t="s">
        <v>2573</v>
      </c>
      <c r="I1442" s="8">
        <v>67226.38</v>
      </c>
      <c r="J1442" s="8">
        <v>47062.19</v>
      </c>
      <c r="K1442" s="8">
        <v>67226.38</v>
      </c>
    </row>
    <row r="1443" spans="1:11" hidden="1" x14ac:dyDescent="0.25">
      <c r="A1443" s="3" t="s">
        <v>2574</v>
      </c>
      <c r="B1443" s="3">
        <v>11</v>
      </c>
      <c r="C1443" s="5">
        <v>360</v>
      </c>
      <c r="D1443" s="6">
        <v>0</v>
      </c>
      <c r="E1443" s="7">
        <v>612000</v>
      </c>
      <c r="F1443" s="3">
        <v>53520</v>
      </c>
      <c r="G1443" s="3" t="str">
        <f t="shared" si="22"/>
        <v>5</v>
      </c>
      <c r="H1443" s="3" t="s">
        <v>523</v>
      </c>
      <c r="I1443" s="8">
        <v>211.7</v>
      </c>
      <c r="J1443" s="8">
        <v>127.04</v>
      </c>
      <c r="K1443" s="8">
        <v>211.7</v>
      </c>
    </row>
    <row r="1444" spans="1:11" hidden="1" x14ac:dyDescent="0.25">
      <c r="A1444" s="3" t="s">
        <v>2575</v>
      </c>
      <c r="B1444" s="3">
        <v>11</v>
      </c>
      <c r="C1444" s="5">
        <v>360</v>
      </c>
      <c r="D1444" s="6">
        <v>0</v>
      </c>
      <c r="E1444" s="7">
        <v>612000</v>
      </c>
      <c r="F1444" s="3">
        <v>53620</v>
      </c>
      <c r="G1444" s="3" t="str">
        <f t="shared" si="22"/>
        <v>5</v>
      </c>
      <c r="H1444" s="3" t="s">
        <v>525</v>
      </c>
      <c r="I1444" s="8">
        <v>8175.99</v>
      </c>
      <c r="J1444" s="8">
        <v>4823.7700000000004</v>
      </c>
      <c r="K1444" s="8">
        <v>8175.99</v>
      </c>
    </row>
    <row r="1445" spans="1:11" hidden="1" x14ac:dyDescent="0.25">
      <c r="A1445" s="3" t="s">
        <v>2576</v>
      </c>
      <c r="B1445" s="3">
        <v>11</v>
      </c>
      <c r="C1445" s="5">
        <v>360</v>
      </c>
      <c r="D1445" s="6">
        <v>0</v>
      </c>
      <c r="E1445" s="7">
        <v>612000</v>
      </c>
      <c r="F1445" s="3">
        <v>54300</v>
      </c>
      <c r="G1445" s="3" t="str">
        <f t="shared" si="22"/>
        <v>5</v>
      </c>
      <c r="H1445" s="3" t="s">
        <v>2577</v>
      </c>
      <c r="I1445" s="8">
        <v>4551</v>
      </c>
      <c r="J1445" s="8">
        <v>435.66</v>
      </c>
      <c r="K1445" s="8">
        <v>4551</v>
      </c>
    </row>
    <row r="1446" spans="1:11" hidden="1" x14ac:dyDescent="0.25">
      <c r="A1446" s="3" t="s">
        <v>2578</v>
      </c>
      <c r="B1446" s="3">
        <v>11</v>
      </c>
      <c r="C1446" s="5">
        <v>360</v>
      </c>
      <c r="D1446" s="6">
        <v>0</v>
      </c>
      <c r="E1446" s="7">
        <v>612000</v>
      </c>
      <c r="F1446" s="3">
        <v>55200</v>
      </c>
      <c r="G1446" s="3" t="str">
        <f t="shared" si="22"/>
        <v>5</v>
      </c>
      <c r="H1446" s="3" t="s">
        <v>2579</v>
      </c>
      <c r="I1446" s="8">
        <v>3100</v>
      </c>
      <c r="J1446" s="8">
        <v>0</v>
      </c>
      <c r="K1446" s="8">
        <v>3100</v>
      </c>
    </row>
    <row r="1447" spans="1:11" hidden="1" x14ac:dyDescent="0.25">
      <c r="A1447" s="3" t="s">
        <v>2580</v>
      </c>
      <c r="B1447" s="3">
        <v>11</v>
      </c>
      <c r="C1447" s="5">
        <v>360</v>
      </c>
      <c r="D1447" s="6">
        <v>0</v>
      </c>
      <c r="E1447" s="7">
        <v>612000</v>
      </c>
      <c r="F1447" s="3">
        <v>55300</v>
      </c>
      <c r="G1447" s="3" t="str">
        <f t="shared" si="22"/>
        <v>5</v>
      </c>
      <c r="H1447" s="3" t="s">
        <v>2581</v>
      </c>
      <c r="I1447" s="8">
        <v>3000</v>
      </c>
      <c r="J1447" s="8">
        <v>1650</v>
      </c>
      <c r="K1447" s="8">
        <v>3000</v>
      </c>
    </row>
    <row r="1448" spans="1:11" hidden="1" x14ac:dyDescent="0.25">
      <c r="A1448" s="3" t="s">
        <v>2582</v>
      </c>
      <c r="B1448" s="3">
        <v>11</v>
      </c>
      <c r="C1448" s="5">
        <v>360</v>
      </c>
      <c r="D1448" s="6">
        <v>0</v>
      </c>
      <c r="E1448" s="7">
        <v>612000</v>
      </c>
      <c r="F1448" s="3">
        <v>55630</v>
      </c>
      <c r="G1448" s="3" t="str">
        <f t="shared" si="22"/>
        <v>5</v>
      </c>
      <c r="H1448" s="3" t="s">
        <v>527</v>
      </c>
      <c r="I1448" s="8">
        <v>1442</v>
      </c>
      <c r="J1448" s="8">
        <v>44.7</v>
      </c>
      <c r="K1448" s="8">
        <v>1442</v>
      </c>
    </row>
    <row r="1449" spans="1:11" hidden="1" x14ac:dyDescent="0.25">
      <c r="A1449" s="3" t="s">
        <v>2583</v>
      </c>
      <c r="B1449" s="3">
        <v>11</v>
      </c>
      <c r="C1449" s="5">
        <v>360</v>
      </c>
      <c r="D1449" s="6">
        <v>0</v>
      </c>
      <c r="E1449" s="7">
        <v>612000</v>
      </c>
      <c r="F1449" s="3">
        <v>55650</v>
      </c>
      <c r="G1449" s="3" t="str">
        <f t="shared" si="22"/>
        <v>5</v>
      </c>
      <c r="H1449" s="3" t="s">
        <v>2584</v>
      </c>
      <c r="I1449" s="8">
        <v>5000</v>
      </c>
      <c r="J1449" s="8">
        <v>0</v>
      </c>
      <c r="K1449" s="8">
        <v>5000</v>
      </c>
    </row>
    <row r="1450" spans="1:11" hidden="1" x14ac:dyDescent="0.25">
      <c r="A1450" s="3" t="s">
        <v>2585</v>
      </c>
      <c r="B1450" s="3">
        <v>11</v>
      </c>
      <c r="C1450" s="5">
        <v>360</v>
      </c>
      <c r="D1450" s="6">
        <v>0</v>
      </c>
      <c r="E1450" s="7">
        <v>612000</v>
      </c>
      <c r="F1450" s="3">
        <v>56300</v>
      </c>
      <c r="G1450" s="3" t="str">
        <f t="shared" si="22"/>
        <v>5</v>
      </c>
      <c r="H1450" s="3" t="s">
        <v>2586</v>
      </c>
      <c r="I1450" s="8">
        <v>29000</v>
      </c>
      <c r="J1450" s="8">
        <v>15363.54</v>
      </c>
      <c r="K1450" s="8">
        <v>29000</v>
      </c>
    </row>
    <row r="1451" spans="1:11" hidden="1" x14ac:dyDescent="0.25">
      <c r="A1451" s="3" t="s">
        <v>2587</v>
      </c>
      <c r="B1451" s="3">
        <v>11</v>
      </c>
      <c r="C1451" s="5">
        <v>360</v>
      </c>
      <c r="D1451" s="6">
        <v>0</v>
      </c>
      <c r="E1451" s="7">
        <v>612000</v>
      </c>
      <c r="F1451" s="3">
        <v>56310</v>
      </c>
      <c r="G1451" s="3" t="str">
        <f t="shared" si="22"/>
        <v>5</v>
      </c>
      <c r="H1451" s="3" t="s">
        <v>1030</v>
      </c>
      <c r="I1451" s="8">
        <v>20871</v>
      </c>
      <c r="J1451" s="8">
        <v>17859.849999999999</v>
      </c>
      <c r="K1451" s="8">
        <v>20871</v>
      </c>
    </row>
    <row r="1452" spans="1:11" hidden="1" x14ac:dyDescent="0.25">
      <c r="A1452" s="3" t="s">
        <v>2588</v>
      </c>
      <c r="B1452" s="3">
        <v>11</v>
      </c>
      <c r="C1452" s="5">
        <v>360</v>
      </c>
      <c r="D1452" s="6">
        <v>0</v>
      </c>
      <c r="E1452" s="7">
        <v>612000</v>
      </c>
      <c r="F1452" s="3">
        <v>56340</v>
      </c>
      <c r="G1452" s="3" t="str">
        <f t="shared" si="22"/>
        <v>5</v>
      </c>
      <c r="H1452" s="3" t="s">
        <v>2589</v>
      </c>
      <c r="I1452" s="8">
        <v>7350</v>
      </c>
      <c r="J1452" s="8">
        <v>5667.6</v>
      </c>
      <c r="K1452" s="8">
        <v>7350</v>
      </c>
    </row>
    <row r="1453" spans="1:11" hidden="1" x14ac:dyDescent="0.25">
      <c r="A1453" s="3" t="s">
        <v>2590</v>
      </c>
      <c r="B1453" s="3">
        <v>11</v>
      </c>
      <c r="C1453" s="5">
        <v>360</v>
      </c>
      <c r="D1453" s="6">
        <v>0</v>
      </c>
      <c r="E1453" s="7">
        <v>612000</v>
      </c>
      <c r="F1453" s="3">
        <v>56341</v>
      </c>
      <c r="G1453" s="3" t="str">
        <f t="shared" si="22"/>
        <v>5</v>
      </c>
      <c r="H1453" s="3" t="s">
        <v>2591</v>
      </c>
      <c r="I1453" s="8">
        <v>1150</v>
      </c>
      <c r="J1453" s="8">
        <v>2239.98</v>
      </c>
      <c r="K1453" s="8">
        <v>1150</v>
      </c>
    </row>
    <row r="1454" spans="1:11" hidden="1" x14ac:dyDescent="0.25">
      <c r="A1454" s="3" t="s">
        <v>2592</v>
      </c>
      <c r="B1454" s="3">
        <v>11</v>
      </c>
      <c r="C1454" s="5">
        <v>360</v>
      </c>
      <c r="D1454" s="6">
        <v>0</v>
      </c>
      <c r="E1454" s="7">
        <v>613000</v>
      </c>
      <c r="F1454" s="3">
        <v>52105</v>
      </c>
      <c r="G1454" s="3" t="str">
        <f t="shared" si="22"/>
        <v>5</v>
      </c>
      <c r="H1454" s="3" t="s">
        <v>2593</v>
      </c>
      <c r="I1454" s="8">
        <v>117591.54</v>
      </c>
      <c r="J1454" s="8">
        <v>94837.85</v>
      </c>
      <c r="K1454" s="8">
        <v>117591.54</v>
      </c>
    </row>
    <row r="1455" spans="1:11" hidden="1" x14ac:dyDescent="0.25">
      <c r="A1455" s="3" t="s">
        <v>2594</v>
      </c>
      <c r="B1455" s="3">
        <v>11</v>
      </c>
      <c r="C1455" s="5">
        <v>360</v>
      </c>
      <c r="D1455" s="6">
        <v>0</v>
      </c>
      <c r="E1455" s="7">
        <v>613000</v>
      </c>
      <c r="F1455" s="3">
        <v>52300</v>
      </c>
      <c r="G1455" s="3" t="str">
        <f t="shared" si="22"/>
        <v>5</v>
      </c>
      <c r="H1455" s="3" t="s">
        <v>2595</v>
      </c>
      <c r="I1455" s="8">
        <v>700</v>
      </c>
      <c r="J1455" s="8">
        <v>0</v>
      </c>
      <c r="K1455" s="8">
        <v>700</v>
      </c>
    </row>
    <row r="1456" spans="1:11" hidden="1" x14ac:dyDescent="0.25">
      <c r="A1456" s="3" t="s">
        <v>2596</v>
      </c>
      <c r="B1456" s="3">
        <v>11</v>
      </c>
      <c r="C1456" s="5">
        <v>360</v>
      </c>
      <c r="D1456" s="6">
        <v>0</v>
      </c>
      <c r="E1456" s="7">
        <v>613000</v>
      </c>
      <c r="F1456" s="3">
        <v>53220</v>
      </c>
      <c r="G1456" s="3" t="str">
        <f t="shared" si="22"/>
        <v>5</v>
      </c>
      <c r="H1456" s="3" t="s">
        <v>2597</v>
      </c>
      <c r="I1456" s="8">
        <v>24341.46</v>
      </c>
      <c r="J1456" s="8">
        <v>19629.939999999999</v>
      </c>
      <c r="K1456" s="8">
        <v>24341.46</v>
      </c>
    </row>
    <row r="1457" spans="1:11" hidden="1" x14ac:dyDescent="0.25">
      <c r="A1457" s="3" t="s">
        <v>2598</v>
      </c>
      <c r="B1457" s="3">
        <v>11</v>
      </c>
      <c r="C1457" s="5">
        <v>360</v>
      </c>
      <c r="D1457" s="6">
        <v>0</v>
      </c>
      <c r="E1457" s="7">
        <v>613000</v>
      </c>
      <c r="F1457" s="3">
        <v>53320</v>
      </c>
      <c r="G1457" s="3" t="str">
        <f t="shared" si="22"/>
        <v>5</v>
      </c>
      <c r="H1457" s="3" t="s">
        <v>2599</v>
      </c>
      <c r="I1457" s="8">
        <v>7334.07</v>
      </c>
      <c r="J1457" s="8">
        <v>5846.85</v>
      </c>
      <c r="K1457" s="8">
        <v>7334.07</v>
      </c>
    </row>
    <row r="1458" spans="1:11" hidden="1" x14ac:dyDescent="0.25">
      <c r="A1458" s="3" t="s">
        <v>2600</v>
      </c>
      <c r="B1458" s="3">
        <v>11</v>
      </c>
      <c r="C1458" s="5">
        <v>360</v>
      </c>
      <c r="D1458" s="6">
        <v>0</v>
      </c>
      <c r="E1458" s="7">
        <v>613000</v>
      </c>
      <c r="F1458" s="3">
        <v>53340</v>
      </c>
      <c r="G1458" s="3" t="str">
        <f t="shared" si="22"/>
        <v>5</v>
      </c>
      <c r="H1458" s="3" t="s">
        <v>2601</v>
      </c>
      <c r="I1458" s="8">
        <v>1715.23</v>
      </c>
      <c r="J1458" s="8">
        <v>1367.37</v>
      </c>
      <c r="K1458" s="8">
        <v>1715.23</v>
      </c>
    </row>
    <row r="1459" spans="1:11" hidden="1" x14ac:dyDescent="0.25">
      <c r="A1459" s="3" t="s">
        <v>2602</v>
      </c>
      <c r="B1459" s="3">
        <v>11</v>
      </c>
      <c r="C1459" s="5">
        <v>360</v>
      </c>
      <c r="D1459" s="6">
        <v>0</v>
      </c>
      <c r="E1459" s="7">
        <v>613000</v>
      </c>
      <c r="F1459" s="3">
        <v>53420</v>
      </c>
      <c r="G1459" s="3" t="str">
        <f t="shared" si="22"/>
        <v>5</v>
      </c>
      <c r="H1459" s="3" t="s">
        <v>2603</v>
      </c>
      <c r="I1459" s="8">
        <v>23244.5</v>
      </c>
      <c r="J1459" s="8">
        <v>18636.13</v>
      </c>
      <c r="K1459" s="8">
        <v>23244.5</v>
      </c>
    </row>
    <row r="1460" spans="1:11" hidden="1" x14ac:dyDescent="0.25">
      <c r="A1460" s="3" t="s">
        <v>2604</v>
      </c>
      <c r="B1460" s="3">
        <v>11</v>
      </c>
      <c r="C1460" s="5">
        <v>360</v>
      </c>
      <c r="D1460" s="6">
        <v>0</v>
      </c>
      <c r="E1460" s="7">
        <v>613000</v>
      </c>
      <c r="F1460" s="3">
        <v>53520</v>
      </c>
      <c r="G1460" s="3" t="str">
        <f t="shared" si="22"/>
        <v>5</v>
      </c>
      <c r="H1460" s="3" t="s">
        <v>2605</v>
      </c>
      <c r="I1460" s="8">
        <v>59.15</v>
      </c>
      <c r="J1460" s="8">
        <v>47.22</v>
      </c>
      <c r="K1460" s="8">
        <v>59.15</v>
      </c>
    </row>
    <row r="1461" spans="1:11" hidden="1" x14ac:dyDescent="0.25">
      <c r="A1461" s="3" t="s">
        <v>2606</v>
      </c>
      <c r="B1461" s="3">
        <v>11</v>
      </c>
      <c r="C1461" s="5">
        <v>360</v>
      </c>
      <c r="D1461" s="6">
        <v>0</v>
      </c>
      <c r="E1461" s="7">
        <v>613000</v>
      </c>
      <c r="F1461" s="3">
        <v>53620</v>
      </c>
      <c r="G1461" s="3" t="str">
        <f t="shared" si="22"/>
        <v>5</v>
      </c>
      <c r="H1461" s="3" t="s">
        <v>2607</v>
      </c>
      <c r="I1461" s="8">
        <v>2236.66</v>
      </c>
      <c r="J1461" s="8">
        <v>1797.88</v>
      </c>
      <c r="K1461" s="8">
        <v>2236.66</v>
      </c>
    </row>
    <row r="1462" spans="1:11" hidden="1" x14ac:dyDescent="0.25">
      <c r="A1462" s="3" t="s">
        <v>2608</v>
      </c>
      <c r="B1462" s="3">
        <v>11</v>
      </c>
      <c r="C1462" s="5">
        <v>360</v>
      </c>
      <c r="D1462" s="6">
        <v>0</v>
      </c>
      <c r="E1462" s="7">
        <v>613000</v>
      </c>
      <c r="F1462" s="3">
        <v>54300</v>
      </c>
      <c r="G1462" s="3" t="str">
        <f t="shared" si="22"/>
        <v>5</v>
      </c>
      <c r="H1462" s="3" t="s">
        <v>2609</v>
      </c>
      <c r="I1462" s="8">
        <v>4615</v>
      </c>
      <c r="J1462" s="8">
        <v>0</v>
      </c>
      <c r="K1462" s="8">
        <v>4615</v>
      </c>
    </row>
    <row r="1463" spans="1:11" hidden="1" x14ac:dyDescent="0.25">
      <c r="A1463" s="3" t="s">
        <v>2610</v>
      </c>
      <c r="B1463" s="3">
        <v>11</v>
      </c>
      <c r="C1463" s="5">
        <v>360</v>
      </c>
      <c r="D1463" s="6">
        <v>0</v>
      </c>
      <c r="E1463" s="7">
        <v>613000</v>
      </c>
      <c r="F1463" s="3">
        <v>55630</v>
      </c>
      <c r="G1463" s="3" t="str">
        <f t="shared" si="22"/>
        <v>5</v>
      </c>
      <c r="H1463" s="3" t="s">
        <v>2611</v>
      </c>
      <c r="I1463" s="8">
        <v>500</v>
      </c>
      <c r="J1463" s="8">
        <v>11.94</v>
      </c>
      <c r="K1463" s="8">
        <v>500</v>
      </c>
    </row>
    <row r="1464" spans="1:11" hidden="1" x14ac:dyDescent="0.25">
      <c r="A1464" s="3" t="s">
        <v>2612</v>
      </c>
      <c r="B1464" s="3">
        <v>11</v>
      </c>
      <c r="C1464" s="5">
        <v>360</v>
      </c>
      <c r="D1464" s="6">
        <v>0</v>
      </c>
      <c r="E1464" s="7">
        <v>613000</v>
      </c>
      <c r="F1464" s="3">
        <v>56300</v>
      </c>
      <c r="G1464" s="3" t="str">
        <f t="shared" si="22"/>
        <v>5</v>
      </c>
      <c r="H1464" s="3" t="s">
        <v>2613</v>
      </c>
      <c r="I1464" s="8">
        <v>600</v>
      </c>
      <c r="J1464" s="8">
        <v>0</v>
      </c>
      <c r="K1464" s="8">
        <v>600</v>
      </c>
    </row>
    <row r="1465" spans="1:11" hidden="1" x14ac:dyDescent="0.25">
      <c r="A1465" s="3" t="s">
        <v>2614</v>
      </c>
      <c r="B1465" s="3">
        <v>11</v>
      </c>
      <c r="C1465" s="5">
        <v>360</v>
      </c>
      <c r="D1465" s="6">
        <v>0</v>
      </c>
      <c r="E1465" s="7">
        <v>613000</v>
      </c>
      <c r="F1465" s="3">
        <v>56400</v>
      </c>
      <c r="G1465" s="3" t="str">
        <f t="shared" si="22"/>
        <v>5</v>
      </c>
      <c r="H1465" s="3" t="s">
        <v>2615</v>
      </c>
      <c r="I1465" s="8">
        <v>500</v>
      </c>
      <c r="J1465" s="8">
        <v>0</v>
      </c>
      <c r="K1465" s="8">
        <v>500</v>
      </c>
    </row>
    <row r="1466" spans="1:11" hidden="1" x14ac:dyDescent="0.25">
      <c r="A1466" s="3" t="s">
        <v>2616</v>
      </c>
      <c r="B1466" s="3">
        <v>11</v>
      </c>
      <c r="C1466" s="5">
        <v>365</v>
      </c>
      <c r="D1466" s="6">
        <v>0</v>
      </c>
      <c r="E1466" s="7">
        <v>493034</v>
      </c>
      <c r="F1466" s="3">
        <v>51311</v>
      </c>
      <c r="G1466" s="3" t="str">
        <f t="shared" si="22"/>
        <v>5</v>
      </c>
      <c r="H1466" s="3" t="s">
        <v>2617</v>
      </c>
      <c r="I1466" s="8">
        <v>3000</v>
      </c>
      <c r="J1466" s="8">
        <v>28.44</v>
      </c>
      <c r="K1466" s="8">
        <v>3000</v>
      </c>
    </row>
    <row r="1467" spans="1:11" hidden="1" x14ac:dyDescent="0.25">
      <c r="A1467" s="3" t="s">
        <v>2618</v>
      </c>
      <c r="B1467" s="3">
        <v>11</v>
      </c>
      <c r="C1467" s="5">
        <v>365</v>
      </c>
      <c r="D1467" s="6">
        <v>0</v>
      </c>
      <c r="E1467" s="7">
        <v>493034</v>
      </c>
      <c r="F1467" s="3">
        <v>52350</v>
      </c>
      <c r="G1467" s="3" t="str">
        <f t="shared" si="22"/>
        <v>5</v>
      </c>
      <c r="H1467" s="3" t="s">
        <v>2619</v>
      </c>
      <c r="I1467" s="8">
        <v>23000</v>
      </c>
      <c r="J1467" s="8">
        <v>6738.25</v>
      </c>
      <c r="K1467" s="8">
        <v>23000</v>
      </c>
    </row>
    <row r="1468" spans="1:11" hidden="1" x14ac:dyDescent="0.25">
      <c r="A1468" s="3" t="s">
        <v>2620</v>
      </c>
      <c r="B1468" s="3">
        <v>11</v>
      </c>
      <c r="C1468" s="5">
        <v>365</v>
      </c>
      <c r="D1468" s="6">
        <v>0</v>
      </c>
      <c r="E1468" s="7">
        <v>493034</v>
      </c>
      <c r="F1468" s="3">
        <v>52420</v>
      </c>
      <c r="G1468" s="3" t="str">
        <f t="shared" si="22"/>
        <v>5</v>
      </c>
      <c r="H1468" s="3" t="s">
        <v>2621</v>
      </c>
      <c r="I1468" s="8">
        <v>0</v>
      </c>
      <c r="J1468" s="8">
        <v>511</v>
      </c>
      <c r="K1468" s="8">
        <v>0</v>
      </c>
    </row>
    <row r="1469" spans="1:11" hidden="1" x14ac:dyDescent="0.25">
      <c r="A1469" s="3" t="s">
        <v>2622</v>
      </c>
      <c r="B1469" s="3">
        <v>11</v>
      </c>
      <c r="C1469" s="5">
        <v>365</v>
      </c>
      <c r="D1469" s="6">
        <v>0</v>
      </c>
      <c r="E1469" s="7">
        <v>493034</v>
      </c>
      <c r="F1469" s="3">
        <v>53110</v>
      </c>
      <c r="G1469" s="3" t="str">
        <f t="shared" si="22"/>
        <v>5</v>
      </c>
      <c r="H1469" s="3" t="s">
        <v>2623</v>
      </c>
      <c r="I1469" s="8">
        <v>484.5</v>
      </c>
      <c r="J1469" s="8">
        <v>0</v>
      </c>
      <c r="K1469" s="8">
        <v>484.5</v>
      </c>
    </row>
    <row r="1470" spans="1:11" hidden="1" x14ac:dyDescent="0.25">
      <c r="A1470" s="3" t="s">
        <v>2624</v>
      </c>
      <c r="B1470" s="3">
        <v>11</v>
      </c>
      <c r="C1470" s="5">
        <v>365</v>
      </c>
      <c r="D1470" s="6">
        <v>0</v>
      </c>
      <c r="E1470" s="7">
        <v>493034</v>
      </c>
      <c r="F1470" s="3">
        <v>53310</v>
      </c>
      <c r="G1470" s="3" t="str">
        <f t="shared" si="22"/>
        <v>5</v>
      </c>
      <c r="H1470" s="3" t="s">
        <v>2625</v>
      </c>
      <c r="I1470" s="8">
        <v>0</v>
      </c>
      <c r="J1470" s="8">
        <v>1.76</v>
      </c>
      <c r="K1470" s="8">
        <v>0</v>
      </c>
    </row>
    <row r="1471" spans="1:11" hidden="1" x14ac:dyDescent="0.25">
      <c r="A1471" s="3" t="s">
        <v>2626</v>
      </c>
      <c r="B1471" s="3">
        <v>11</v>
      </c>
      <c r="C1471" s="5">
        <v>365</v>
      </c>
      <c r="D1471" s="6">
        <v>0</v>
      </c>
      <c r="E1471" s="7">
        <v>493034</v>
      </c>
      <c r="F1471" s="3">
        <v>53330</v>
      </c>
      <c r="G1471" s="3" t="str">
        <f t="shared" si="22"/>
        <v>5</v>
      </c>
      <c r="H1471" s="3" t="s">
        <v>2627</v>
      </c>
      <c r="I1471" s="8">
        <v>43.5</v>
      </c>
      <c r="J1471" s="8">
        <v>0.41</v>
      </c>
      <c r="K1471" s="8">
        <v>43.5</v>
      </c>
    </row>
    <row r="1472" spans="1:11" hidden="1" x14ac:dyDescent="0.25">
      <c r="A1472" s="3" t="s">
        <v>2628</v>
      </c>
      <c r="B1472" s="3">
        <v>11</v>
      </c>
      <c r="C1472" s="5">
        <v>365</v>
      </c>
      <c r="D1472" s="6">
        <v>0</v>
      </c>
      <c r="E1472" s="7">
        <v>493034</v>
      </c>
      <c r="F1472" s="3">
        <v>53510</v>
      </c>
      <c r="G1472" s="3" t="str">
        <f t="shared" si="22"/>
        <v>5</v>
      </c>
      <c r="H1472" s="3" t="s">
        <v>2629</v>
      </c>
      <c r="I1472" s="8">
        <v>1.5</v>
      </c>
      <c r="J1472" s="8">
        <v>0</v>
      </c>
      <c r="K1472" s="8">
        <v>1.5</v>
      </c>
    </row>
    <row r="1473" spans="1:11" hidden="1" x14ac:dyDescent="0.25">
      <c r="A1473" s="3" t="s">
        <v>2630</v>
      </c>
      <c r="B1473" s="3">
        <v>11</v>
      </c>
      <c r="C1473" s="5">
        <v>365</v>
      </c>
      <c r="D1473" s="6">
        <v>0</v>
      </c>
      <c r="E1473" s="7">
        <v>493034</v>
      </c>
      <c r="F1473" s="3">
        <v>53610</v>
      </c>
      <c r="G1473" s="3" t="str">
        <f t="shared" si="22"/>
        <v>5</v>
      </c>
      <c r="H1473" s="3" t="s">
        <v>2631</v>
      </c>
      <c r="I1473" s="8">
        <v>56.72</v>
      </c>
      <c r="J1473" s="8">
        <v>10.199999999999999</v>
      </c>
      <c r="K1473" s="8">
        <v>56.72</v>
      </c>
    </row>
    <row r="1474" spans="1:11" hidden="1" x14ac:dyDescent="0.25">
      <c r="A1474" s="3" t="s">
        <v>2632</v>
      </c>
      <c r="B1474" s="3">
        <v>11</v>
      </c>
      <c r="C1474" s="5">
        <v>365</v>
      </c>
      <c r="D1474" s="6">
        <v>0</v>
      </c>
      <c r="E1474" s="7">
        <v>493034</v>
      </c>
      <c r="F1474" s="3">
        <v>53620</v>
      </c>
      <c r="G1474" s="3" t="str">
        <f t="shared" si="22"/>
        <v>5</v>
      </c>
      <c r="H1474" s="3" t="s">
        <v>2633</v>
      </c>
      <c r="I1474" s="8">
        <v>434.88</v>
      </c>
      <c r="J1474" s="8">
        <v>127.39</v>
      </c>
      <c r="K1474" s="8">
        <v>434.88</v>
      </c>
    </row>
    <row r="1475" spans="1:11" hidden="1" x14ac:dyDescent="0.25">
      <c r="A1475" s="3" t="s">
        <v>2634</v>
      </c>
      <c r="B1475" s="3">
        <v>11</v>
      </c>
      <c r="C1475" s="5">
        <v>365</v>
      </c>
      <c r="D1475" s="6">
        <v>0</v>
      </c>
      <c r="E1475" s="7">
        <v>493034</v>
      </c>
      <c r="F1475" s="3">
        <v>55630</v>
      </c>
      <c r="G1475" s="3" t="str">
        <f t="shared" ref="G1475:G1538" si="23">LEFT(F1475,1)</f>
        <v>5</v>
      </c>
      <c r="H1475" s="3" t="s">
        <v>2635</v>
      </c>
      <c r="I1475" s="8">
        <v>100</v>
      </c>
      <c r="J1475" s="8">
        <v>0</v>
      </c>
      <c r="K1475" s="8">
        <v>100</v>
      </c>
    </row>
    <row r="1476" spans="1:11" hidden="1" x14ac:dyDescent="0.25">
      <c r="A1476" s="3" t="s">
        <v>2636</v>
      </c>
      <c r="B1476" s="3">
        <v>11</v>
      </c>
      <c r="C1476" s="5">
        <v>365</v>
      </c>
      <c r="D1476" s="6">
        <v>0</v>
      </c>
      <c r="E1476" s="7">
        <v>493035</v>
      </c>
      <c r="F1476" s="3">
        <v>52105</v>
      </c>
      <c r="G1476" s="3" t="str">
        <f t="shared" si="23"/>
        <v>5</v>
      </c>
      <c r="H1476" s="3" t="s">
        <v>2637</v>
      </c>
      <c r="I1476" s="8">
        <v>67315</v>
      </c>
      <c r="J1476" s="8">
        <v>55757.74</v>
      </c>
      <c r="K1476" s="8">
        <v>67315</v>
      </c>
    </row>
    <row r="1477" spans="1:11" hidden="1" x14ac:dyDescent="0.25">
      <c r="A1477" s="3" t="s">
        <v>2638</v>
      </c>
      <c r="B1477" s="3">
        <v>11</v>
      </c>
      <c r="C1477" s="5">
        <v>365</v>
      </c>
      <c r="D1477" s="6">
        <v>0</v>
      </c>
      <c r="E1477" s="7">
        <v>493035</v>
      </c>
      <c r="F1477" s="3">
        <v>52350</v>
      </c>
      <c r="G1477" s="3" t="str">
        <f t="shared" si="23"/>
        <v>5</v>
      </c>
      <c r="H1477" s="3" t="s">
        <v>2639</v>
      </c>
      <c r="I1477" s="8">
        <v>3800</v>
      </c>
      <c r="J1477" s="8">
        <v>3279.5</v>
      </c>
      <c r="K1477" s="8">
        <v>3800</v>
      </c>
    </row>
    <row r="1478" spans="1:11" hidden="1" x14ac:dyDescent="0.25">
      <c r="A1478" s="3" t="s">
        <v>2640</v>
      </c>
      <c r="B1478" s="3">
        <v>11</v>
      </c>
      <c r="C1478" s="5">
        <v>365</v>
      </c>
      <c r="D1478" s="6">
        <v>0</v>
      </c>
      <c r="E1478" s="7">
        <v>493035</v>
      </c>
      <c r="F1478" s="3">
        <v>52360</v>
      </c>
      <c r="G1478" s="3" t="str">
        <f t="shared" si="23"/>
        <v>5</v>
      </c>
      <c r="H1478" s="3" t="s">
        <v>2641</v>
      </c>
      <c r="I1478" s="8">
        <v>1000</v>
      </c>
      <c r="J1478" s="8">
        <v>0</v>
      </c>
      <c r="K1478" s="8">
        <v>1000</v>
      </c>
    </row>
    <row r="1479" spans="1:11" hidden="1" x14ac:dyDescent="0.25">
      <c r="A1479" s="3" t="s">
        <v>2642</v>
      </c>
      <c r="B1479" s="3">
        <v>11</v>
      </c>
      <c r="C1479" s="5">
        <v>365</v>
      </c>
      <c r="D1479" s="6">
        <v>0</v>
      </c>
      <c r="E1479" s="7">
        <v>493035</v>
      </c>
      <c r="F1479" s="3">
        <v>53220</v>
      </c>
      <c r="G1479" s="3" t="str">
        <f t="shared" si="23"/>
        <v>5</v>
      </c>
      <c r="H1479" s="3" t="s">
        <v>2643</v>
      </c>
      <c r="I1479" s="8">
        <v>13934.21</v>
      </c>
      <c r="J1479" s="8">
        <v>11538.86</v>
      </c>
      <c r="K1479" s="8">
        <v>13934.21</v>
      </c>
    </row>
    <row r="1480" spans="1:11" hidden="1" x14ac:dyDescent="0.25">
      <c r="A1480" s="3" t="s">
        <v>2644</v>
      </c>
      <c r="B1480" s="3">
        <v>11</v>
      </c>
      <c r="C1480" s="5">
        <v>365</v>
      </c>
      <c r="D1480" s="6">
        <v>0</v>
      </c>
      <c r="E1480" s="7">
        <v>493035</v>
      </c>
      <c r="F1480" s="3">
        <v>53320</v>
      </c>
      <c r="G1480" s="3" t="str">
        <f t="shared" si="23"/>
        <v>5</v>
      </c>
      <c r="H1480" s="3" t="s">
        <v>2645</v>
      </c>
      <c r="I1480" s="8">
        <v>4235.53</v>
      </c>
      <c r="J1480" s="8">
        <v>3428.05</v>
      </c>
      <c r="K1480" s="8">
        <v>4235.53</v>
      </c>
    </row>
    <row r="1481" spans="1:11" hidden="1" x14ac:dyDescent="0.25">
      <c r="A1481" s="3" t="s">
        <v>2646</v>
      </c>
      <c r="B1481" s="3">
        <v>11</v>
      </c>
      <c r="C1481" s="5">
        <v>365</v>
      </c>
      <c r="D1481" s="6">
        <v>0</v>
      </c>
      <c r="E1481" s="7">
        <v>493035</v>
      </c>
      <c r="F1481" s="3">
        <v>53340</v>
      </c>
      <c r="G1481" s="3" t="str">
        <f t="shared" si="23"/>
        <v>5</v>
      </c>
      <c r="H1481" s="3" t="s">
        <v>2647</v>
      </c>
      <c r="I1481" s="8">
        <v>990.57</v>
      </c>
      <c r="J1481" s="8">
        <v>801.69</v>
      </c>
      <c r="K1481" s="8">
        <v>990.57</v>
      </c>
    </row>
    <row r="1482" spans="1:11" hidden="1" x14ac:dyDescent="0.25">
      <c r="A1482" s="3" t="s">
        <v>2648</v>
      </c>
      <c r="B1482" s="3">
        <v>11</v>
      </c>
      <c r="C1482" s="5">
        <v>365</v>
      </c>
      <c r="D1482" s="6">
        <v>0</v>
      </c>
      <c r="E1482" s="7">
        <v>493035</v>
      </c>
      <c r="F1482" s="3">
        <v>53420</v>
      </c>
      <c r="G1482" s="3" t="str">
        <f t="shared" si="23"/>
        <v>5</v>
      </c>
      <c r="H1482" s="3" t="s">
        <v>2649</v>
      </c>
      <c r="I1482" s="8">
        <v>25240.73</v>
      </c>
      <c r="J1482" s="8">
        <v>18477.54</v>
      </c>
      <c r="K1482" s="8">
        <v>25240.73</v>
      </c>
    </row>
    <row r="1483" spans="1:11" hidden="1" x14ac:dyDescent="0.25">
      <c r="A1483" s="3" t="s">
        <v>2650</v>
      </c>
      <c r="B1483" s="3">
        <v>11</v>
      </c>
      <c r="C1483" s="5">
        <v>365</v>
      </c>
      <c r="D1483" s="6">
        <v>0</v>
      </c>
      <c r="E1483" s="7">
        <v>493035</v>
      </c>
      <c r="F1483" s="3">
        <v>53520</v>
      </c>
      <c r="G1483" s="3" t="str">
        <f t="shared" si="23"/>
        <v>5</v>
      </c>
      <c r="H1483" s="3" t="s">
        <v>2651</v>
      </c>
      <c r="I1483" s="8">
        <v>34.159999999999997</v>
      </c>
      <c r="J1483" s="8">
        <v>27.89</v>
      </c>
      <c r="K1483" s="8">
        <v>34.159999999999997</v>
      </c>
    </row>
    <row r="1484" spans="1:11" hidden="1" x14ac:dyDescent="0.25">
      <c r="A1484" s="3" t="s">
        <v>2652</v>
      </c>
      <c r="B1484" s="3">
        <v>11</v>
      </c>
      <c r="C1484" s="5">
        <v>365</v>
      </c>
      <c r="D1484" s="6">
        <v>0</v>
      </c>
      <c r="E1484" s="7">
        <v>493035</v>
      </c>
      <c r="F1484" s="3">
        <v>53620</v>
      </c>
      <c r="G1484" s="3" t="str">
        <f t="shared" si="23"/>
        <v>5</v>
      </c>
      <c r="H1484" s="3" t="s">
        <v>2653</v>
      </c>
      <c r="I1484" s="8">
        <v>1363.55</v>
      </c>
      <c r="J1484" s="8">
        <v>1118.9000000000001</v>
      </c>
      <c r="K1484" s="8">
        <v>1363.55</v>
      </c>
    </row>
    <row r="1485" spans="1:11" hidden="1" x14ac:dyDescent="0.25">
      <c r="A1485" s="3" t="s">
        <v>2654</v>
      </c>
      <c r="B1485" s="3">
        <v>11</v>
      </c>
      <c r="C1485" s="5">
        <v>365</v>
      </c>
      <c r="D1485" s="6">
        <v>0</v>
      </c>
      <c r="E1485" s="7">
        <v>493035</v>
      </c>
      <c r="F1485" s="3">
        <v>54300</v>
      </c>
      <c r="G1485" s="3" t="str">
        <f t="shared" si="23"/>
        <v>5</v>
      </c>
      <c r="H1485" s="3" t="s">
        <v>2655</v>
      </c>
      <c r="I1485" s="8">
        <v>2500</v>
      </c>
      <c r="J1485" s="8">
        <v>18.48</v>
      </c>
      <c r="K1485" s="8">
        <v>2500</v>
      </c>
    </row>
    <row r="1486" spans="1:11" hidden="1" x14ac:dyDescent="0.25">
      <c r="A1486" s="3" t="s">
        <v>2656</v>
      </c>
      <c r="B1486" s="3">
        <v>11</v>
      </c>
      <c r="C1486" s="5">
        <v>365</v>
      </c>
      <c r="D1486" s="6">
        <v>0</v>
      </c>
      <c r="E1486" s="7">
        <v>493035</v>
      </c>
      <c r="F1486" s="3">
        <v>55300</v>
      </c>
      <c r="G1486" s="3" t="str">
        <f t="shared" si="23"/>
        <v>5</v>
      </c>
      <c r="H1486" s="3" t="s">
        <v>2657</v>
      </c>
      <c r="I1486" s="8">
        <v>55</v>
      </c>
      <c r="J1486" s="8">
        <v>75</v>
      </c>
      <c r="K1486" s="8">
        <v>55</v>
      </c>
    </row>
    <row r="1487" spans="1:11" hidden="1" x14ac:dyDescent="0.25">
      <c r="A1487" s="3" t="s">
        <v>2658</v>
      </c>
      <c r="B1487" s="3">
        <v>11</v>
      </c>
      <c r="C1487" s="5">
        <v>370</v>
      </c>
      <c r="D1487" s="6">
        <v>0</v>
      </c>
      <c r="E1487" s="7">
        <v>708300</v>
      </c>
      <c r="F1487" s="3">
        <v>52105</v>
      </c>
      <c r="G1487" s="3" t="str">
        <f t="shared" si="23"/>
        <v>5</v>
      </c>
      <c r="H1487" s="3" t="s">
        <v>2659</v>
      </c>
      <c r="I1487" s="8">
        <v>9529.2000000000007</v>
      </c>
      <c r="J1487" s="8">
        <v>11121.62</v>
      </c>
      <c r="K1487" s="8">
        <v>9529.2000000000007</v>
      </c>
    </row>
    <row r="1488" spans="1:11" hidden="1" x14ac:dyDescent="0.25">
      <c r="A1488" s="3" t="s">
        <v>2660</v>
      </c>
      <c r="B1488" s="3">
        <v>11</v>
      </c>
      <c r="C1488" s="5">
        <v>370</v>
      </c>
      <c r="D1488" s="6">
        <v>0</v>
      </c>
      <c r="E1488" s="7">
        <v>708300</v>
      </c>
      <c r="F1488" s="3">
        <v>52130</v>
      </c>
      <c r="G1488" s="3" t="str">
        <f t="shared" si="23"/>
        <v>5</v>
      </c>
      <c r="H1488" s="3" t="s">
        <v>2661</v>
      </c>
      <c r="I1488" s="8">
        <v>18532.310000000001</v>
      </c>
      <c r="J1488" s="8">
        <v>13899.24</v>
      </c>
      <c r="K1488" s="8">
        <v>18532.310000000001</v>
      </c>
    </row>
    <row r="1489" spans="1:11" hidden="1" x14ac:dyDescent="0.25">
      <c r="A1489" s="3" t="s">
        <v>2662</v>
      </c>
      <c r="B1489" s="3">
        <v>11</v>
      </c>
      <c r="C1489" s="5">
        <v>370</v>
      </c>
      <c r="D1489" s="6">
        <v>0</v>
      </c>
      <c r="E1489" s="7">
        <v>708300</v>
      </c>
      <c r="F1489" s="3">
        <v>52360</v>
      </c>
      <c r="G1489" s="3" t="str">
        <f t="shared" si="23"/>
        <v>5</v>
      </c>
      <c r="H1489" s="3" t="s">
        <v>2663</v>
      </c>
      <c r="I1489" s="8">
        <v>24000</v>
      </c>
      <c r="J1489" s="8">
        <v>4203.87</v>
      </c>
      <c r="K1489" s="8">
        <v>24000</v>
      </c>
    </row>
    <row r="1490" spans="1:11" hidden="1" x14ac:dyDescent="0.25">
      <c r="A1490" s="3" t="s">
        <v>2664</v>
      </c>
      <c r="B1490" s="3">
        <v>11</v>
      </c>
      <c r="C1490" s="5">
        <v>370</v>
      </c>
      <c r="D1490" s="6">
        <v>0</v>
      </c>
      <c r="E1490" s="7">
        <v>708300</v>
      </c>
      <c r="F1490" s="3">
        <v>53220</v>
      </c>
      <c r="G1490" s="3" t="str">
        <f t="shared" si="23"/>
        <v>5</v>
      </c>
      <c r="H1490" s="3" t="s">
        <v>2665</v>
      </c>
      <c r="I1490" s="8">
        <v>5808.73</v>
      </c>
      <c r="J1490" s="8">
        <v>5748.69</v>
      </c>
      <c r="K1490" s="8">
        <v>5808.73</v>
      </c>
    </row>
    <row r="1491" spans="1:11" hidden="1" x14ac:dyDescent="0.25">
      <c r="A1491" s="3" t="s">
        <v>2666</v>
      </c>
      <c r="B1491" s="3">
        <v>11</v>
      </c>
      <c r="C1491" s="5">
        <v>370</v>
      </c>
      <c r="D1491" s="6">
        <v>0</v>
      </c>
      <c r="E1491" s="7">
        <v>708300</v>
      </c>
      <c r="F1491" s="3">
        <v>53320</v>
      </c>
      <c r="G1491" s="3" t="str">
        <f t="shared" si="23"/>
        <v>5</v>
      </c>
      <c r="H1491" s="3" t="s">
        <v>2667</v>
      </c>
      <c r="I1491" s="8">
        <v>3227.81</v>
      </c>
      <c r="J1491" s="8">
        <v>1845.94</v>
      </c>
      <c r="K1491" s="8">
        <v>3227.81</v>
      </c>
    </row>
    <row r="1492" spans="1:11" hidden="1" x14ac:dyDescent="0.25">
      <c r="A1492" s="3" t="s">
        <v>2668</v>
      </c>
      <c r="B1492" s="3">
        <v>11</v>
      </c>
      <c r="C1492" s="5">
        <v>370</v>
      </c>
      <c r="D1492" s="6">
        <v>0</v>
      </c>
      <c r="E1492" s="7">
        <v>708300</v>
      </c>
      <c r="F1492" s="3">
        <v>53340</v>
      </c>
      <c r="G1492" s="3" t="str">
        <f t="shared" si="23"/>
        <v>5</v>
      </c>
      <c r="H1492" s="3" t="s">
        <v>2669</v>
      </c>
      <c r="I1492" s="8">
        <v>754.89</v>
      </c>
      <c r="J1492" s="8">
        <v>431.72</v>
      </c>
      <c r="K1492" s="8">
        <v>754.89</v>
      </c>
    </row>
    <row r="1493" spans="1:11" hidden="1" x14ac:dyDescent="0.25">
      <c r="A1493" s="3" t="s">
        <v>2670</v>
      </c>
      <c r="B1493" s="3">
        <v>11</v>
      </c>
      <c r="C1493" s="5">
        <v>370</v>
      </c>
      <c r="D1493" s="6">
        <v>0</v>
      </c>
      <c r="E1493" s="7">
        <v>708300</v>
      </c>
      <c r="F1493" s="3">
        <v>53420</v>
      </c>
      <c r="G1493" s="3" t="str">
        <f t="shared" si="23"/>
        <v>5</v>
      </c>
      <c r="H1493" s="3" t="s">
        <v>2671</v>
      </c>
      <c r="I1493" s="8">
        <v>6250.17</v>
      </c>
      <c r="J1493" s="8">
        <v>6836.84</v>
      </c>
      <c r="K1493" s="8">
        <v>6250.17</v>
      </c>
    </row>
    <row r="1494" spans="1:11" hidden="1" x14ac:dyDescent="0.25">
      <c r="A1494" s="3" t="s">
        <v>2672</v>
      </c>
      <c r="B1494" s="3">
        <v>11</v>
      </c>
      <c r="C1494" s="5">
        <v>370</v>
      </c>
      <c r="D1494" s="6">
        <v>0</v>
      </c>
      <c r="E1494" s="7">
        <v>708300</v>
      </c>
      <c r="F1494" s="3">
        <v>53520</v>
      </c>
      <c r="G1494" s="3" t="str">
        <f t="shared" si="23"/>
        <v>5</v>
      </c>
      <c r="H1494" s="3" t="s">
        <v>2673</v>
      </c>
      <c r="I1494" s="8">
        <v>26.03</v>
      </c>
      <c r="J1494" s="8">
        <v>14.94</v>
      </c>
      <c r="K1494" s="8">
        <v>26.03</v>
      </c>
    </row>
    <row r="1495" spans="1:11" hidden="1" x14ac:dyDescent="0.25">
      <c r="A1495" s="3" t="s">
        <v>2674</v>
      </c>
      <c r="B1495" s="3">
        <v>11</v>
      </c>
      <c r="C1495" s="5">
        <v>370</v>
      </c>
      <c r="D1495" s="6">
        <v>0</v>
      </c>
      <c r="E1495" s="7">
        <v>708300</v>
      </c>
      <c r="F1495" s="3">
        <v>53620</v>
      </c>
      <c r="G1495" s="3" t="str">
        <f t="shared" si="23"/>
        <v>5</v>
      </c>
      <c r="H1495" s="3" t="s">
        <v>2675</v>
      </c>
      <c r="I1495" s="8">
        <v>984.38</v>
      </c>
      <c r="J1495" s="8">
        <v>568.13</v>
      </c>
      <c r="K1495" s="8">
        <v>984.38</v>
      </c>
    </row>
    <row r="1496" spans="1:11" hidden="1" x14ac:dyDescent="0.25">
      <c r="A1496" s="3" t="s">
        <v>2676</v>
      </c>
      <c r="B1496" s="3">
        <v>11</v>
      </c>
      <c r="C1496" s="5">
        <v>370</v>
      </c>
      <c r="D1496" s="6">
        <v>0</v>
      </c>
      <c r="E1496" s="7">
        <v>708300</v>
      </c>
      <c r="F1496" s="3">
        <v>54210</v>
      </c>
      <c r="G1496" s="3" t="str">
        <f t="shared" si="23"/>
        <v>5</v>
      </c>
      <c r="H1496" s="3" t="s">
        <v>2677</v>
      </c>
      <c r="I1496" s="8">
        <v>0</v>
      </c>
      <c r="J1496" s="8">
        <v>0</v>
      </c>
      <c r="K1496" s="8">
        <v>0</v>
      </c>
    </row>
    <row r="1497" spans="1:11" hidden="1" x14ac:dyDescent="0.25">
      <c r="A1497" s="3" t="s">
        <v>2678</v>
      </c>
      <c r="B1497" s="3">
        <v>11</v>
      </c>
      <c r="C1497" s="5">
        <v>370</v>
      </c>
      <c r="D1497" s="6">
        <v>0</v>
      </c>
      <c r="E1497" s="7">
        <v>708300</v>
      </c>
      <c r="F1497" s="3">
        <v>54300</v>
      </c>
      <c r="G1497" s="3" t="str">
        <f t="shared" si="23"/>
        <v>5</v>
      </c>
      <c r="H1497" s="3" t="s">
        <v>2679</v>
      </c>
      <c r="I1497" s="8">
        <v>3000</v>
      </c>
      <c r="J1497" s="8">
        <v>2366.67</v>
      </c>
      <c r="K1497" s="8">
        <v>3000</v>
      </c>
    </row>
    <row r="1498" spans="1:11" hidden="1" x14ac:dyDescent="0.25">
      <c r="A1498" s="3" t="s">
        <v>2680</v>
      </c>
      <c r="B1498" s="3">
        <v>11</v>
      </c>
      <c r="C1498" s="5">
        <v>370</v>
      </c>
      <c r="D1498" s="6">
        <v>0</v>
      </c>
      <c r="E1498" s="7">
        <v>708300</v>
      </c>
      <c r="F1498" s="3">
        <v>55100</v>
      </c>
      <c r="G1498" s="3" t="str">
        <f t="shared" si="23"/>
        <v>5</v>
      </c>
      <c r="H1498" s="3" t="s">
        <v>2681</v>
      </c>
      <c r="I1498" s="8">
        <v>2500</v>
      </c>
      <c r="J1498" s="8">
        <v>925</v>
      </c>
      <c r="K1498" s="8">
        <v>2500</v>
      </c>
    </row>
    <row r="1499" spans="1:11" hidden="1" x14ac:dyDescent="0.25">
      <c r="A1499" s="3" t="s">
        <v>2682</v>
      </c>
      <c r="B1499" s="3">
        <v>11</v>
      </c>
      <c r="C1499" s="5">
        <v>370</v>
      </c>
      <c r="D1499" s="6">
        <v>0</v>
      </c>
      <c r="E1499" s="7">
        <v>708300</v>
      </c>
      <c r="F1499" s="3">
        <v>55105</v>
      </c>
      <c r="G1499" s="3" t="str">
        <f t="shared" si="23"/>
        <v>5</v>
      </c>
      <c r="H1499" s="3" t="s">
        <v>2683</v>
      </c>
      <c r="I1499" s="8">
        <v>58658</v>
      </c>
      <c r="J1499" s="8">
        <v>20422.5</v>
      </c>
      <c r="K1499" s="8">
        <v>58658</v>
      </c>
    </row>
    <row r="1500" spans="1:11" hidden="1" x14ac:dyDescent="0.25">
      <c r="A1500" s="3" t="s">
        <v>2684</v>
      </c>
      <c r="B1500" s="3">
        <v>11</v>
      </c>
      <c r="C1500" s="5">
        <v>370</v>
      </c>
      <c r="D1500" s="6">
        <v>0</v>
      </c>
      <c r="E1500" s="7">
        <v>708300</v>
      </c>
      <c r="F1500" s="3">
        <v>55200</v>
      </c>
      <c r="G1500" s="3" t="str">
        <f t="shared" si="23"/>
        <v>5</v>
      </c>
      <c r="H1500" s="3" t="s">
        <v>2685</v>
      </c>
      <c r="I1500" s="8">
        <v>1800</v>
      </c>
      <c r="J1500" s="8">
        <v>91.52</v>
      </c>
      <c r="K1500" s="8">
        <v>1800</v>
      </c>
    </row>
    <row r="1501" spans="1:11" hidden="1" x14ac:dyDescent="0.25">
      <c r="A1501" s="3" t="s">
        <v>2686</v>
      </c>
      <c r="B1501" s="3">
        <v>11</v>
      </c>
      <c r="C1501" s="5">
        <v>370</v>
      </c>
      <c r="D1501" s="6">
        <v>0</v>
      </c>
      <c r="E1501" s="7">
        <v>708300</v>
      </c>
      <c r="F1501" s="3">
        <v>55600</v>
      </c>
      <c r="G1501" s="3" t="str">
        <f t="shared" si="23"/>
        <v>5</v>
      </c>
      <c r="H1501" s="3" t="s">
        <v>2687</v>
      </c>
      <c r="I1501" s="8">
        <v>3000</v>
      </c>
      <c r="J1501" s="8">
        <v>4147.6499999999996</v>
      </c>
      <c r="K1501" s="8">
        <v>3000</v>
      </c>
    </row>
    <row r="1502" spans="1:11" hidden="1" x14ac:dyDescent="0.25">
      <c r="A1502" s="3" t="s">
        <v>2688</v>
      </c>
      <c r="B1502" s="3">
        <v>11</v>
      </c>
      <c r="C1502" s="5">
        <v>370</v>
      </c>
      <c r="D1502" s="6">
        <v>0</v>
      </c>
      <c r="E1502" s="7">
        <v>708300</v>
      </c>
      <c r="F1502" s="3">
        <v>55630</v>
      </c>
      <c r="G1502" s="3" t="str">
        <f t="shared" si="23"/>
        <v>5</v>
      </c>
      <c r="H1502" s="3" t="s">
        <v>2689</v>
      </c>
      <c r="I1502" s="8">
        <v>1000</v>
      </c>
      <c r="J1502" s="8">
        <v>0.33</v>
      </c>
      <c r="K1502" s="8">
        <v>1000</v>
      </c>
    </row>
    <row r="1503" spans="1:11" hidden="1" x14ac:dyDescent="0.25">
      <c r="A1503" s="3" t="s">
        <v>2690</v>
      </c>
      <c r="B1503" s="3">
        <v>11</v>
      </c>
      <c r="C1503" s="5">
        <v>370</v>
      </c>
      <c r="D1503" s="6">
        <v>0</v>
      </c>
      <c r="E1503" s="7">
        <v>708300</v>
      </c>
      <c r="F1503" s="3">
        <v>55635</v>
      </c>
      <c r="G1503" s="3" t="str">
        <f t="shared" si="23"/>
        <v>5</v>
      </c>
      <c r="H1503" s="3" t="s">
        <v>2691</v>
      </c>
      <c r="I1503" s="8">
        <v>3000</v>
      </c>
      <c r="J1503" s="8">
        <v>50.26</v>
      </c>
      <c r="K1503" s="8">
        <v>3000</v>
      </c>
    </row>
    <row r="1504" spans="1:11" hidden="1" x14ac:dyDescent="0.25">
      <c r="A1504" s="3" t="s">
        <v>2692</v>
      </c>
      <c r="B1504" s="3">
        <v>11</v>
      </c>
      <c r="C1504" s="5">
        <v>370</v>
      </c>
      <c r="D1504" s="6">
        <v>0</v>
      </c>
      <c r="E1504" s="7">
        <v>708300</v>
      </c>
      <c r="F1504" s="3">
        <v>57350</v>
      </c>
      <c r="G1504" s="3" t="str">
        <f t="shared" si="23"/>
        <v>5</v>
      </c>
      <c r="H1504" s="3" t="s">
        <v>2693</v>
      </c>
      <c r="I1504" s="8">
        <v>41448</v>
      </c>
      <c r="J1504" s="8">
        <v>16063.63</v>
      </c>
      <c r="K1504" s="8">
        <v>41448</v>
      </c>
    </row>
    <row r="1505" spans="1:12" hidden="1" x14ac:dyDescent="0.25">
      <c r="A1505" s="3" t="s">
        <v>2694</v>
      </c>
      <c r="B1505" s="3">
        <v>11</v>
      </c>
      <c r="C1505" s="5">
        <v>372</v>
      </c>
      <c r="D1505" s="6">
        <v>0</v>
      </c>
      <c r="E1505" s="7">
        <v>601000</v>
      </c>
      <c r="F1505" s="3">
        <v>51412</v>
      </c>
      <c r="G1505" s="3" t="str">
        <f t="shared" si="23"/>
        <v>5</v>
      </c>
      <c r="H1505" s="3" t="s">
        <v>479</v>
      </c>
      <c r="I1505" s="8">
        <v>1663</v>
      </c>
      <c r="J1505" s="8">
        <v>0</v>
      </c>
      <c r="K1505" s="8">
        <v>1663</v>
      </c>
      <c r="L1505" s="3" t="s">
        <v>6678</v>
      </c>
    </row>
    <row r="1506" spans="1:12" hidden="1" x14ac:dyDescent="0.25">
      <c r="A1506" s="3" t="s">
        <v>2695</v>
      </c>
      <c r="B1506" s="3">
        <v>11</v>
      </c>
      <c r="C1506" s="5">
        <v>372</v>
      </c>
      <c r="D1506" s="6">
        <v>0</v>
      </c>
      <c r="E1506" s="7">
        <v>601000</v>
      </c>
      <c r="F1506" s="3">
        <v>53120</v>
      </c>
      <c r="G1506" s="3" t="str">
        <f t="shared" si="23"/>
        <v>5</v>
      </c>
      <c r="H1506" s="3" t="s">
        <v>485</v>
      </c>
      <c r="I1506" s="8">
        <v>591.57000000000005</v>
      </c>
      <c r="J1506" s="8">
        <v>0</v>
      </c>
      <c r="K1506" s="8">
        <v>591.57000000000005</v>
      </c>
      <c r="L1506" s="3" t="s">
        <v>6678</v>
      </c>
    </row>
    <row r="1507" spans="1:12" hidden="1" x14ac:dyDescent="0.25">
      <c r="A1507" s="3" t="s">
        <v>2696</v>
      </c>
      <c r="B1507" s="3">
        <v>11</v>
      </c>
      <c r="C1507" s="5">
        <v>372</v>
      </c>
      <c r="D1507" s="6">
        <v>0</v>
      </c>
      <c r="E1507" s="7">
        <v>601000</v>
      </c>
      <c r="F1507" s="3">
        <v>53340</v>
      </c>
      <c r="G1507" s="3" t="str">
        <f t="shared" si="23"/>
        <v>5</v>
      </c>
      <c r="H1507" s="3" t="s">
        <v>491</v>
      </c>
      <c r="I1507" s="8">
        <v>53.11</v>
      </c>
      <c r="J1507" s="8">
        <v>0</v>
      </c>
      <c r="K1507" s="8">
        <v>53.11</v>
      </c>
      <c r="L1507" s="3" t="s">
        <v>6678</v>
      </c>
    </row>
    <row r="1508" spans="1:12" hidden="1" x14ac:dyDescent="0.25">
      <c r="A1508" s="3" t="s">
        <v>2697</v>
      </c>
      <c r="B1508" s="3">
        <v>11</v>
      </c>
      <c r="C1508" s="5">
        <v>372</v>
      </c>
      <c r="D1508" s="6">
        <v>0</v>
      </c>
      <c r="E1508" s="7">
        <v>601000</v>
      </c>
      <c r="F1508" s="3">
        <v>53520</v>
      </c>
      <c r="G1508" s="3" t="str">
        <f t="shared" si="23"/>
        <v>5</v>
      </c>
      <c r="H1508" s="3" t="s">
        <v>495</v>
      </c>
      <c r="I1508" s="8">
        <v>1.83</v>
      </c>
      <c r="J1508" s="8">
        <v>0</v>
      </c>
      <c r="K1508" s="8">
        <v>1.83</v>
      </c>
      <c r="L1508" s="3" t="s">
        <v>6678</v>
      </c>
    </row>
    <row r="1509" spans="1:12" hidden="1" x14ac:dyDescent="0.25">
      <c r="A1509" s="3" t="s">
        <v>2698</v>
      </c>
      <c r="B1509" s="3">
        <v>11</v>
      </c>
      <c r="C1509" s="5">
        <v>372</v>
      </c>
      <c r="D1509" s="6">
        <v>0</v>
      </c>
      <c r="E1509" s="7">
        <v>601000</v>
      </c>
      <c r="F1509" s="3">
        <v>53620</v>
      </c>
      <c r="G1509" s="3" t="str">
        <f t="shared" si="23"/>
        <v>5</v>
      </c>
      <c r="H1509" s="3" t="s">
        <v>497</v>
      </c>
      <c r="I1509" s="8">
        <v>69.260000000000005</v>
      </c>
      <c r="J1509" s="8">
        <v>0</v>
      </c>
      <c r="K1509" s="8">
        <v>69.260000000000005</v>
      </c>
      <c r="L1509" s="3" t="s">
        <v>6678</v>
      </c>
    </row>
    <row r="1510" spans="1:12" hidden="1" x14ac:dyDescent="0.25">
      <c r="A1510" s="3" t="s">
        <v>2699</v>
      </c>
      <c r="B1510" s="3">
        <v>11</v>
      </c>
      <c r="C1510" s="5">
        <v>372</v>
      </c>
      <c r="D1510" s="6">
        <v>0</v>
      </c>
      <c r="E1510" s="7">
        <v>601000</v>
      </c>
      <c r="F1510" s="3">
        <v>54300</v>
      </c>
      <c r="G1510" s="3" t="str">
        <f t="shared" si="23"/>
        <v>5</v>
      </c>
      <c r="H1510" s="3" t="s">
        <v>501</v>
      </c>
      <c r="I1510" s="8">
        <v>3150</v>
      </c>
      <c r="J1510" s="8">
        <v>2254</v>
      </c>
      <c r="K1510" s="8">
        <v>3150</v>
      </c>
      <c r="L1510" s="3" t="s">
        <v>6678</v>
      </c>
    </row>
    <row r="1511" spans="1:12" hidden="1" x14ac:dyDescent="0.25">
      <c r="A1511" s="3" t="s">
        <v>2700</v>
      </c>
      <c r="B1511" s="3">
        <v>11</v>
      </c>
      <c r="C1511" s="5">
        <v>372</v>
      </c>
      <c r="D1511" s="6">
        <v>0</v>
      </c>
      <c r="E1511" s="7">
        <v>601000</v>
      </c>
      <c r="F1511" s="3">
        <v>55200</v>
      </c>
      <c r="G1511" s="3" t="str">
        <f t="shared" si="23"/>
        <v>5</v>
      </c>
      <c r="H1511" s="3" t="s">
        <v>505</v>
      </c>
      <c r="I1511" s="8">
        <v>2000</v>
      </c>
      <c r="J1511" s="8">
        <v>836.41</v>
      </c>
      <c r="K1511" s="8">
        <v>2000</v>
      </c>
      <c r="L1511" s="3" t="s">
        <v>6678</v>
      </c>
    </row>
    <row r="1512" spans="1:12" hidden="1" x14ac:dyDescent="0.25">
      <c r="A1512" s="3" t="s">
        <v>2701</v>
      </c>
      <c r="B1512" s="3">
        <v>11</v>
      </c>
      <c r="C1512" s="5">
        <v>372</v>
      </c>
      <c r="D1512" s="6">
        <v>0</v>
      </c>
      <c r="E1512" s="7">
        <v>601000</v>
      </c>
      <c r="F1512" s="3">
        <v>55821</v>
      </c>
      <c r="G1512" s="3" t="str">
        <f t="shared" si="23"/>
        <v>5</v>
      </c>
      <c r="H1512" s="3" t="s">
        <v>2702</v>
      </c>
      <c r="I1512" s="8">
        <v>1000</v>
      </c>
      <c r="J1512" s="8">
        <v>239.54</v>
      </c>
      <c r="K1512" s="8">
        <v>1000</v>
      </c>
      <c r="L1512" s="3" t="s">
        <v>6678</v>
      </c>
    </row>
    <row r="1513" spans="1:12" hidden="1" x14ac:dyDescent="0.25">
      <c r="A1513" s="3" t="s">
        <v>2703</v>
      </c>
      <c r="B1513" s="3">
        <v>11</v>
      </c>
      <c r="C1513" s="5">
        <v>372</v>
      </c>
      <c r="D1513" s="6">
        <v>0</v>
      </c>
      <c r="E1513" s="7">
        <v>601000</v>
      </c>
      <c r="F1513" s="3">
        <v>56400</v>
      </c>
      <c r="G1513" s="3" t="str">
        <f t="shared" si="23"/>
        <v>5</v>
      </c>
      <c r="H1513" s="3" t="s">
        <v>515</v>
      </c>
      <c r="I1513" s="8">
        <v>350</v>
      </c>
      <c r="J1513" s="8">
        <v>367.94</v>
      </c>
      <c r="K1513" s="8">
        <v>350</v>
      </c>
      <c r="L1513" s="3" t="s">
        <v>6678</v>
      </c>
    </row>
    <row r="1514" spans="1:12" hidden="1" x14ac:dyDescent="0.25">
      <c r="A1514" s="3" t="s">
        <v>2704</v>
      </c>
      <c r="B1514" s="3">
        <v>11</v>
      </c>
      <c r="C1514" s="5">
        <v>373</v>
      </c>
      <c r="D1514" s="6">
        <v>0</v>
      </c>
      <c r="E1514" s="7">
        <v>601000</v>
      </c>
      <c r="F1514" s="3">
        <v>51210</v>
      </c>
      <c r="G1514" s="3" t="str">
        <f t="shared" si="23"/>
        <v>5</v>
      </c>
      <c r="H1514" s="3" t="s">
        <v>477</v>
      </c>
      <c r="I1514" s="8">
        <v>19300.400000000001</v>
      </c>
      <c r="J1514" s="8">
        <v>0</v>
      </c>
      <c r="K1514" s="8">
        <v>19300.400000000001</v>
      </c>
      <c r="L1514" s="3" t="s">
        <v>6679</v>
      </c>
    </row>
    <row r="1515" spans="1:12" hidden="1" x14ac:dyDescent="0.25">
      <c r="A1515" s="3" t="s">
        <v>2705</v>
      </c>
      <c r="B1515" s="3">
        <v>11</v>
      </c>
      <c r="C1515" s="5">
        <v>373</v>
      </c>
      <c r="D1515" s="6">
        <v>0</v>
      </c>
      <c r="E1515" s="7">
        <v>601000</v>
      </c>
      <c r="F1515" s="3">
        <v>52105</v>
      </c>
      <c r="G1515" s="3" t="str">
        <f t="shared" si="23"/>
        <v>5</v>
      </c>
      <c r="H1515" s="3" t="s">
        <v>481</v>
      </c>
      <c r="I1515" s="8">
        <v>57311.25</v>
      </c>
      <c r="J1515" s="8">
        <v>0</v>
      </c>
      <c r="K1515" s="8">
        <v>57311.25</v>
      </c>
      <c r="L1515" s="3" t="s">
        <v>6679</v>
      </c>
    </row>
    <row r="1516" spans="1:12" hidden="1" x14ac:dyDescent="0.25">
      <c r="A1516" s="3" t="s">
        <v>2706</v>
      </c>
      <c r="B1516" s="3">
        <v>11</v>
      </c>
      <c r="C1516" s="5">
        <v>373</v>
      </c>
      <c r="D1516" s="6">
        <v>0</v>
      </c>
      <c r="E1516" s="7">
        <v>601000</v>
      </c>
      <c r="F1516" s="3">
        <v>53120</v>
      </c>
      <c r="G1516" s="3" t="str">
        <f t="shared" si="23"/>
        <v>5</v>
      </c>
      <c r="H1516" s="3" t="s">
        <v>485</v>
      </c>
      <c r="I1516" s="8">
        <v>3117.01</v>
      </c>
      <c r="J1516" s="8">
        <v>0</v>
      </c>
      <c r="K1516" s="8">
        <v>3117.01</v>
      </c>
      <c r="L1516" s="3" t="s">
        <v>6679</v>
      </c>
    </row>
    <row r="1517" spans="1:12" hidden="1" x14ac:dyDescent="0.25">
      <c r="A1517" s="3" t="s">
        <v>2707</v>
      </c>
      <c r="B1517" s="3">
        <v>11</v>
      </c>
      <c r="C1517" s="5">
        <v>373</v>
      </c>
      <c r="D1517" s="6">
        <v>0</v>
      </c>
      <c r="E1517" s="7">
        <v>601000</v>
      </c>
      <c r="F1517" s="3">
        <v>53220</v>
      </c>
      <c r="G1517" s="3" t="str">
        <f t="shared" si="23"/>
        <v>5</v>
      </c>
      <c r="H1517" s="3" t="s">
        <v>487</v>
      </c>
      <c r="I1517" s="8">
        <v>11863.43</v>
      </c>
      <c r="J1517" s="8">
        <v>0</v>
      </c>
      <c r="K1517" s="8">
        <v>11863.43</v>
      </c>
      <c r="L1517" s="3" t="s">
        <v>6679</v>
      </c>
    </row>
    <row r="1518" spans="1:12" hidden="1" x14ac:dyDescent="0.25">
      <c r="A1518" s="3" t="s">
        <v>2708</v>
      </c>
      <c r="B1518" s="3">
        <v>11</v>
      </c>
      <c r="C1518" s="5">
        <v>373</v>
      </c>
      <c r="D1518" s="6">
        <v>0</v>
      </c>
      <c r="E1518" s="7">
        <v>601000</v>
      </c>
      <c r="F1518" s="3">
        <v>53320</v>
      </c>
      <c r="G1518" s="3" t="str">
        <f t="shared" si="23"/>
        <v>5</v>
      </c>
      <c r="H1518" s="3" t="s">
        <v>489</v>
      </c>
      <c r="I1518" s="8">
        <v>3553.3</v>
      </c>
      <c r="J1518" s="8">
        <v>0</v>
      </c>
      <c r="K1518" s="8">
        <v>3553.3</v>
      </c>
      <c r="L1518" s="3" t="s">
        <v>6679</v>
      </c>
    </row>
    <row r="1519" spans="1:12" hidden="1" x14ac:dyDescent="0.25">
      <c r="A1519" s="3" t="s">
        <v>2709</v>
      </c>
      <c r="B1519" s="3">
        <v>11</v>
      </c>
      <c r="C1519" s="5">
        <v>373</v>
      </c>
      <c r="D1519" s="6">
        <v>0</v>
      </c>
      <c r="E1519" s="7">
        <v>601000</v>
      </c>
      <c r="F1519" s="3">
        <v>53340</v>
      </c>
      <c r="G1519" s="3" t="str">
        <f t="shared" si="23"/>
        <v>5</v>
      </c>
      <c r="H1519" s="3" t="s">
        <v>491</v>
      </c>
      <c r="I1519" s="8">
        <v>1110.8800000000001</v>
      </c>
      <c r="J1519" s="8">
        <v>0</v>
      </c>
      <c r="K1519" s="8">
        <v>1110.8800000000001</v>
      </c>
      <c r="L1519" s="3" t="s">
        <v>6679</v>
      </c>
    </row>
    <row r="1520" spans="1:12" hidden="1" x14ac:dyDescent="0.25">
      <c r="A1520" s="3" t="s">
        <v>2710</v>
      </c>
      <c r="B1520" s="3">
        <v>11</v>
      </c>
      <c r="C1520" s="5">
        <v>373</v>
      </c>
      <c r="D1520" s="6">
        <v>0</v>
      </c>
      <c r="E1520" s="7">
        <v>601000</v>
      </c>
      <c r="F1520" s="3">
        <v>53420</v>
      </c>
      <c r="G1520" s="3" t="str">
        <f t="shared" si="23"/>
        <v>5</v>
      </c>
      <c r="H1520" s="3" t="s">
        <v>493</v>
      </c>
      <c r="I1520" s="8">
        <v>12175.19</v>
      </c>
      <c r="J1520" s="8">
        <v>0</v>
      </c>
      <c r="K1520" s="8">
        <v>12175.19</v>
      </c>
      <c r="L1520" s="3" t="s">
        <v>6679</v>
      </c>
    </row>
    <row r="1521" spans="1:12" hidden="1" x14ac:dyDescent="0.25">
      <c r="A1521" s="3" t="s">
        <v>2711</v>
      </c>
      <c r="B1521" s="3">
        <v>11</v>
      </c>
      <c r="C1521" s="5">
        <v>373</v>
      </c>
      <c r="D1521" s="6">
        <v>0</v>
      </c>
      <c r="E1521" s="7">
        <v>601000</v>
      </c>
      <c r="F1521" s="3">
        <v>53520</v>
      </c>
      <c r="G1521" s="3" t="str">
        <f t="shared" si="23"/>
        <v>5</v>
      </c>
      <c r="H1521" s="3" t="s">
        <v>495</v>
      </c>
      <c r="I1521" s="8">
        <v>38.299999999999997</v>
      </c>
      <c r="J1521" s="8">
        <v>0</v>
      </c>
      <c r="K1521" s="8">
        <v>38.299999999999997</v>
      </c>
      <c r="L1521" s="3" t="s">
        <v>6679</v>
      </c>
    </row>
    <row r="1522" spans="1:12" hidden="1" x14ac:dyDescent="0.25">
      <c r="A1522" s="3" t="s">
        <v>2712</v>
      </c>
      <c r="B1522" s="3">
        <v>11</v>
      </c>
      <c r="C1522" s="5">
        <v>373</v>
      </c>
      <c r="D1522" s="6">
        <v>0</v>
      </c>
      <c r="E1522" s="7">
        <v>601000</v>
      </c>
      <c r="F1522" s="3">
        <v>53620</v>
      </c>
      <c r="G1522" s="3" t="str">
        <f t="shared" si="23"/>
        <v>5</v>
      </c>
      <c r="H1522" s="3" t="s">
        <v>497</v>
      </c>
      <c r="I1522" s="8">
        <v>1448.57</v>
      </c>
      <c r="J1522" s="8">
        <v>0</v>
      </c>
      <c r="K1522" s="8">
        <v>1448.57</v>
      </c>
      <c r="L1522" s="3" t="s">
        <v>6679</v>
      </c>
    </row>
    <row r="1523" spans="1:12" hidden="1" x14ac:dyDescent="0.25">
      <c r="A1523" s="3" t="s">
        <v>2713</v>
      </c>
      <c r="B1523" s="3">
        <v>11</v>
      </c>
      <c r="C1523" s="5">
        <v>373</v>
      </c>
      <c r="D1523" s="6">
        <v>0</v>
      </c>
      <c r="E1523" s="7">
        <v>601000</v>
      </c>
      <c r="F1523" s="3">
        <v>53920</v>
      </c>
      <c r="G1523" s="3" t="str">
        <f t="shared" si="23"/>
        <v>5</v>
      </c>
      <c r="H1523" s="3" t="s">
        <v>499</v>
      </c>
      <c r="I1523" s="8">
        <v>2160</v>
      </c>
      <c r="J1523" s="8">
        <v>0</v>
      </c>
      <c r="K1523" s="8">
        <v>2160</v>
      </c>
      <c r="L1523" s="3" t="s">
        <v>6679</v>
      </c>
    </row>
    <row r="1524" spans="1:12" hidden="1" x14ac:dyDescent="0.25">
      <c r="A1524" s="3" t="s">
        <v>2714</v>
      </c>
      <c r="B1524" s="3">
        <v>11</v>
      </c>
      <c r="C1524" s="5">
        <v>375</v>
      </c>
      <c r="D1524" s="6">
        <v>0</v>
      </c>
      <c r="E1524" s="7">
        <v>85000</v>
      </c>
      <c r="F1524" s="3">
        <v>51311</v>
      </c>
      <c r="G1524" s="3" t="str">
        <f t="shared" si="23"/>
        <v>5</v>
      </c>
      <c r="H1524" s="3" t="s">
        <v>2715</v>
      </c>
      <c r="I1524" s="8">
        <v>33050</v>
      </c>
      <c r="J1524" s="8">
        <v>26476.37</v>
      </c>
      <c r="K1524" s="8">
        <v>33050</v>
      </c>
    </row>
    <row r="1525" spans="1:12" hidden="1" x14ac:dyDescent="0.25">
      <c r="A1525" s="3" t="s">
        <v>2716</v>
      </c>
      <c r="B1525" s="3">
        <v>11</v>
      </c>
      <c r="C1525" s="5">
        <v>375</v>
      </c>
      <c r="D1525" s="6">
        <v>0</v>
      </c>
      <c r="E1525" s="7">
        <v>85000</v>
      </c>
      <c r="F1525" s="3">
        <v>51412</v>
      </c>
      <c r="G1525" s="3" t="str">
        <f t="shared" si="23"/>
        <v>5</v>
      </c>
      <c r="H1525" s="3" t="s">
        <v>2717</v>
      </c>
      <c r="I1525" s="8">
        <v>0</v>
      </c>
      <c r="J1525" s="8">
        <v>63.35</v>
      </c>
      <c r="K1525" s="8">
        <v>0</v>
      </c>
    </row>
    <row r="1526" spans="1:12" hidden="1" x14ac:dyDescent="0.25">
      <c r="A1526" s="3" t="s">
        <v>2718</v>
      </c>
      <c r="B1526" s="3">
        <v>11</v>
      </c>
      <c r="C1526" s="5">
        <v>375</v>
      </c>
      <c r="D1526" s="6">
        <v>0</v>
      </c>
      <c r="E1526" s="7">
        <v>85000</v>
      </c>
      <c r="F1526" s="3">
        <v>53110</v>
      </c>
      <c r="G1526" s="3" t="str">
        <f t="shared" si="23"/>
        <v>5</v>
      </c>
      <c r="H1526" s="3" t="s">
        <v>2719</v>
      </c>
      <c r="I1526" s="8">
        <v>5337.58</v>
      </c>
      <c r="J1526" s="8">
        <v>4275.9799999999996</v>
      </c>
      <c r="K1526" s="8">
        <v>5337.58</v>
      </c>
    </row>
    <row r="1527" spans="1:12" hidden="1" x14ac:dyDescent="0.25">
      <c r="A1527" s="3" t="s">
        <v>2720</v>
      </c>
      <c r="B1527" s="3">
        <v>11</v>
      </c>
      <c r="C1527" s="5">
        <v>375</v>
      </c>
      <c r="D1527" s="6">
        <v>0</v>
      </c>
      <c r="E1527" s="7">
        <v>85000</v>
      </c>
      <c r="F1527" s="3">
        <v>53120</v>
      </c>
      <c r="G1527" s="3" t="str">
        <f t="shared" si="23"/>
        <v>5</v>
      </c>
      <c r="H1527" s="3" t="s">
        <v>2721</v>
      </c>
      <c r="I1527" s="8">
        <v>0</v>
      </c>
      <c r="J1527" s="8">
        <v>10.23</v>
      </c>
      <c r="K1527" s="8">
        <v>0</v>
      </c>
    </row>
    <row r="1528" spans="1:12" hidden="1" x14ac:dyDescent="0.25">
      <c r="A1528" s="3" t="s">
        <v>2722</v>
      </c>
      <c r="B1528" s="3">
        <v>11</v>
      </c>
      <c r="C1528" s="5">
        <v>375</v>
      </c>
      <c r="D1528" s="6">
        <v>0</v>
      </c>
      <c r="E1528" s="7">
        <v>85000</v>
      </c>
      <c r="F1528" s="3">
        <v>53330</v>
      </c>
      <c r="G1528" s="3" t="str">
        <f t="shared" si="23"/>
        <v>5</v>
      </c>
      <c r="H1528" s="3" t="s">
        <v>2723</v>
      </c>
      <c r="I1528" s="8">
        <v>479.23</v>
      </c>
      <c r="J1528" s="8">
        <v>383.92</v>
      </c>
      <c r="K1528" s="8">
        <v>479.23</v>
      </c>
    </row>
    <row r="1529" spans="1:12" hidden="1" x14ac:dyDescent="0.25">
      <c r="A1529" s="3" t="s">
        <v>2724</v>
      </c>
      <c r="B1529" s="3">
        <v>11</v>
      </c>
      <c r="C1529" s="5">
        <v>375</v>
      </c>
      <c r="D1529" s="6">
        <v>0</v>
      </c>
      <c r="E1529" s="7">
        <v>85000</v>
      </c>
      <c r="F1529" s="3">
        <v>53340</v>
      </c>
      <c r="G1529" s="3" t="str">
        <f t="shared" si="23"/>
        <v>5</v>
      </c>
      <c r="H1529" s="3" t="s">
        <v>2725</v>
      </c>
      <c r="I1529" s="8">
        <v>0</v>
      </c>
      <c r="J1529" s="8">
        <v>0.92</v>
      </c>
      <c r="K1529" s="8">
        <v>0</v>
      </c>
    </row>
    <row r="1530" spans="1:12" hidden="1" x14ac:dyDescent="0.25">
      <c r="A1530" s="3" t="s">
        <v>2726</v>
      </c>
      <c r="B1530" s="3">
        <v>11</v>
      </c>
      <c r="C1530" s="5">
        <v>375</v>
      </c>
      <c r="D1530" s="6">
        <v>0</v>
      </c>
      <c r="E1530" s="7">
        <v>85000</v>
      </c>
      <c r="F1530" s="3">
        <v>53510</v>
      </c>
      <c r="G1530" s="3" t="str">
        <f t="shared" si="23"/>
        <v>5</v>
      </c>
      <c r="H1530" s="3" t="s">
        <v>2727</v>
      </c>
      <c r="I1530" s="8">
        <v>16.53</v>
      </c>
      <c r="J1530" s="8">
        <v>13.21</v>
      </c>
      <c r="K1530" s="8">
        <v>16.53</v>
      </c>
    </row>
    <row r="1531" spans="1:12" hidden="1" x14ac:dyDescent="0.25">
      <c r="A1531" s="3" t="s">
        <v>2728</v>
      </c>
      <c r="B1531" s="3">
        <v>11</v>
      </c>
      <c r="C1531" s="5">
        <v>375</v>
      </c>
      <c r="D1531" s="6">
        <v>0</v>
      </c>
      <c r="E1531" s="7">
        <v>85000</v>
      </c>
      <c r="F1531" s="3">
        <v>53520</v>
      </c>
      <c r="G1531" s="3" t="str">
        <f t="shared" si="23"/>
        <v>5</v>
      </c>
      <c r="H1531" s="3" t="s">
        <v>2729</v>
      </c>
      <c r="I1531" s="8">
        <v>0</v>
      </c>
      <c r="J1531" s="8">
        <v>0.03</v>
      </c>
      <c r="K1531" s="8">
        <v>0</v>
      </c>
    </row>
    <row r="1532" spans="1:12" hidden="1" x14ac:dyDescent="0.25">
      <c r="A1532" s="3" t="s">
        <v>2730</v>
      </c>
      <c r="B1532" s="3">
        <v>11</v>
      </c>
      <c r="C1532" s="5">
        <v>375</v>
      </c>
      <c r="D1532" s="6">
        <v>0</v>
      </c>
      <c r="E1532" s="7">
        <v>85000</v>
      </c>
      <c r="F1532" s="3">
        <v>53610</v>
      </c>
      <c r="G1532" s="3" t="str">
        <f t="shared" si="23"/>
        <v>5</v>
      </c>
      <c r="H1532" s="3" t="s">
        <v>2731</v>
      </c>
      <c r="I1532" s="8">
        <v>624.91</v>
      </c>
      <c r="J1532" s="8">
        <v>500.6</v>
      </c>
      <c r="K1532" s="8">
        <v>624.91</v>
      </c>
    </row>
    <row r="1533" spans="1:12" hidden="1" x14ac:dyDescent="0.25">
      <c r="A1533" s="3" t="s">
        <v>2732</v>
      </c>
      <c r="B1533" s="3">
        <v>11</v>
      </c>
      <c r="C1533" s="5">
        <v>375</v>
      </c>
      <c r="D1533" s="6">
        <v>0</v>
      </c>
      <c r="E1533" s="7">
        <v>85000</v>
      </c>
      <c r="F1533" s="3">
        <v>53620</v>
      </c>
      <c r="G1533" s="3" t="str">
        <f t="shared" si="23"/>
        <v>5</v>
      </c>
      <c r="H1533" s="3" t="s">
        <v>2733</v>
      </c>
      <c r="I1533" s="8">
        <v>0</v>
      </c>
      <c r="J1533" s="8">
        <v>1.2</v>
      </c>
      <c r="K1533" s="8">
        <v>0</v>
      </c>
    </row>
    <row r="1534" spans="1:12" hidden="1" x14ac:dyDescent="0.25">
      <c r="A1534" s="3" t="s">
        <v>2734</v>
      </c>
      <c r="B1534" s="3">
        <v>11</v>
      </c>
      <c r="C1534" s="5">
        <v>375</v>
      </c>
      <c r="D1534" s="6">
        <v>0</v>
      </c>
      <c r="E1534" s="7">
        <v>85000</v>
      </c>
      <c r="F1534" s="3">
        <v>55105</v>
      </c>
      <c r="G1534" s="3" t="str">
        <f t="shared" si="23"/>
        <v>5</v>
      </c>
      <c r="H1534" s="3" t="s">
        <v>2735</v>
      </c>
      <c r="I1534" s="8">
        <v>1800</v>
      </c>
      <c r="J1534" s="8">
        <v>0</v>
      </c>
      <c r="K1534" s="8">
        <v>1800</v>
      </c>
    </row>
    <row r="1535" spans="1:12" hidden="1" x14ac:dyDescent="0.25">
      <c r="A1535" s="3" t="s">
        <v>2736</v>
      </c>
      <c r="B1535" s="3">
        <v>11</v>
      </c>
      <c r="C1535" s="5">
        <v>375</v>
      </c>
      <c r="D1535" s="6">
        <v>0</v>
      </c>
      <c r="E1535" s="7">
        <v>110500</v>
      </c>
      <c r="F1535" s="3">
        <v>51100</v>
      </c>
      <c r="G1535" s="3" t="str">
        <f t="shared" si="23"/>
        <v>5</v>
      </c>
      <c r="H1535" s="3" t="s">
        <v>2737</v>
      </c>
      <c r="I1535" s="8">
        <v>173927</v>
      </c>
      <c r="J1535" s="8">
        <v>135085.96</v>
      </c>
      <c r="K1535" s="8">
        <v>173927</v>
      </c>
    </row>
    <row r="1536" spans="1:12" hidden="1" x14ac:dyDescent="0.25">
      <c r="A1536" s="3" t="s">
        <v>2738</v>
      </c>
      <c r="B1536" s="3">
        <v>11</v>
      </c>
      <c r="C1536" s="5">
        <v>375</v>
      </c>
      <c r="D1536" s="6">
        <v>0</v>
      </c>
      <c r="E1536" s="7">
        <v>110500</v>
      </c>
      <c r="F1536" s="3">
        <v>51310</v>
      </c>
      <c r="G1536" s="3" t="str">
        <f t="shared" si="23"/>
        <v>5</v>
      </c>
      <c r="H1536" s="3" t="s">
        <v>2739</v>
      </c>
      <c r="I1536" s="8">
        <v>6000</v>
      </c>
      <c r="J1536" s="8">
        <v>1432.26</v>
      </c>
      <c r="K1536" s="8">
        <v>6000</v>
      </c>
    </row>
    <row r="1537" spans="1:11" hidden="1" x14ac:dyDescent="0.25">
      <c r="A1537" s="3" t="s">
        <v>2740</v>
      </c>
      <c r="B1537" s="3">
        <v>11</v>
      </c>
      <c r="C1537" s="5">
        <v>375</v>
      </c>
      <c r="D1537" s="6">
        <v>0</v>
      </c>
      <c r="E1537" s="7">
        <v>110500</v>
      </c>
      <c r="F1537" s="3">
        <v>51311</v>
      </c>
      <c r="G1537" s="3" t="str">
        <f t="shared" si="23"/>
        <v>5</v>
      </c>
      <c r="H1537" s="3" t="s">
        <v>281</v>
      </c>
      <c r="I1537" s="8">
        <v>142912</v>
      </c>
      <c r="J1537" s="8">
        <v>138792.54</v>
      </c>
      <c r="K1537" s="8">
        <v>142912</v>
      </c>
    </row>
    <row r="1538" spans="1:11" hidden="1" x14ac:dyDescent="0.25">
      <c r="A1538" s="3" t="s">
        <v>2741</v>
      </c>
      <c r="B1538" s="3">
        <v>11</v>
      </c>
      <c r="C1538" s="5">
        <v>375</v>
      </c>
      <c r="D1538" s="6">
        <v>0</v>
      </c>
      <c r="E1538" s="7">
        <v>110500</v>
      </c>
      <c r="F1538" s="3">
        <v>53110</v>
      </c>
      <c r="G1538" s="3" t="str">
        <f t="shared" si="23"/>
        <v>5</v>
      </c>
      <c r="H1538" s="3" t="s">
        <v>283</v>
      </c>
      <c r="I1538" s="8">
        <v>52138.5</v>
      </c>
      <c r="J1538" s="8">
        <v>38562.559999999998</v>
      </c>
      <c r="K1538" s="8">
        <v>52138.5</v>
      </c>
    </row>
    <row r="1539" spans="1:11" hidden="1" x14ac:dyDescent="0.25">
      <c r="A1539" s="3" t="s">
        <v>2742</v>
      </c>
      <c r="B1539" s="3">
        <v>11</v>
      </c>
      <c r="C1539" s="5">
        <v>375</v>
      </c>
      <c r="D1539" s="6">
        <v>0</v>
      </c>
      <c r="E1539" s="7">
        <v>110500</v>
      </c>
      <c r="F1539" s="3">
        <v>53310</v>
      </c>
      <c r="G1539" s="3" t="str">
        <f t="shared" ref="G1539:G1602" si="24">LEFT(F1539,1)</f>
        <v>5</v>
      </c>
      <c r="H1539" s="3" t="s">
        <v>2743</v>
      </c>
      <c r="I1539" s="8">
        <v>0</v>
      </c>
      <c r="J1539" s="8">
        <v>1801.09</v>
      </c>
      <c r="K1539" s="8">
        <v>0</v>
      </c>
    </row>
    <row r="1540" spans="1:11" hidden="1" x14ac:dyDescent="0.25">
      <c r="A1540" s="3" t="s">
        <v>2744</v>
      </c>
      <c r="B1540" s="3">
        <v>11</v>
      </c>
      <c r="C1540" s="5">
        <v>375</v>
      </c>
      <c r="D1540" s="6">
        <v>0</v>
      </c>
      <c r="E1540" s="7">
        <v>110500</v>
      </c>
      <c r="F1540" s="3">
        <v>53330</v>
      </c>
      <c r="G1540" s="3" t="str">
        <f t="shared" si="24"/>
        <v>5</v>
      </c>
      <c r="H1540" s="3" t="s">
        <v>285</v>
      </c>
      <c r="I1540" s="8">
        <v>4681.16</v>
      </c>
      <c r="J1540" s="8">
        <v>3982.43</v>
      </c>
      <c r="K1540" s="8">
        <v>4681.16</v>
      </c>
    </row>
    <row r="1541" spans="1:11" hidden="1" x14ac:dyDescent="0.25">
      <c r="A1541" s="3" t="s">
        <v>2745</v>
      </c>
      <c r="B1541" s="3">
        <v>11</v>
      </c>
      <c r="C1541" s="5">
        <v>375</v>
      </c>
      <c r="D1541" s="6">
        <v>0</v>
      </c>
      <c r="E1541" s="7">
        <v>110500</v>
      </c>
      <c r="F1541" s="3">
        <v>53410</v>
      </c>
      <c r="G1541" s="3" t="str">
        <f t="shared" si="24"/>
        <v>5</v>
      </c>
      <c r="H1541" s="3" t="s">
        <v>2746</v>
      </c>
      <c r="I1541" s="8">
        <v>46335.74</v>
      </c>
      <c r="J1541" s="8">
        <v>32965.22</v>
      </c>
      <c r="K1541" s="8">
        <v>46335.74</v>
      </c>
    </row>
    <row r="1542" spans="1:11" hidden="1" x14ac:dyDescent="0.25">
      <c r="A1542" s="3" t="s">
        <v>2747</v>
      </c>
      <c r="B1542" s="3">
        <v>11</v>
      </c>
      <c r="C1542" s="5">
        <v>375</v>
      </c>
      <c r="D1542" s="6">
        <v>0</v>
      </c>
      <c r="E1542" s="7">
        <v>110500</v>
      </c>
      <c r="F1542" s="3">
        <v>53510</v>
      </c>
      <c r="G1542" s="3" t="str">
        <f t="shared" si="24"/>
        <v>5</v>
      </c>
      <c r="H1542" s="3" t="s">
        <v>287</v>
      </c>
      <c r="I1542" s="8">
        <v>161.41999999999999</v>
      </c>
      <c r="J1542" s="8">
        <v>137.61000000000001</v>
      </c>
      <c r="K1542" s="8">
        <v>161.41999999999999</v>
      </c>
    </row>
    <row r="1543" spans="1:11" hidden="1" x14ac:dyDescent="0.25">
      <c r="A1543" s="3" t="s">
        <v>2748</v>
      </c>
      <c r="B1543" s="3">
        <v>11</v>
      </c>
      <c r="C1543" s="5">
        <v>375</v>
      </c>
      <c r="D1543" s="6">
        <v>0</v>
      </c>
      <c r="E1543" s="7">
        <v>110500</v>
      </c>
      <c r="F1543" s="3">
        <v>53610</v>
      </c>
      <c r="G1543" s="3" t="str">
        <f t="shared" si="24"/>
        <v>5</v>
      </c>
      <c r="H1543" s="3" t="s">
        <v>289</v>
      </c>
      <c r="I1543" s="8">
        <v>6104.25</v>
      </c>
      <c r="J1543" s="8">
        <v>5205.58</v>
      </c>
      <c r="K1543" s="8">
        <v>6104.25</v>
      </c>
    </row>
    <row r="1544" spans="1:11" hidden="1" x14ac:dyDescent="0.25">
      <c r="A1544" s="3" t="s">
        <v>2749</v>
      </c>
      <c r="B1544" s="3">
        <v>11</v>
      </c>
      <c r="C1544" s="5">
        <v>375</v>
      </c>
      <c r="D1544" s="6">
        <v>0</v>
      </c>
      <c r="E1544" s="7">
        <v>110500</v>
      </c>
      <c r="F1544" s="3">
        <v>54300</v>
      </c>
      <c r="G1544" s="3" t="str">
        <f t="shared" si="24"/>
        <v>5</v>
      </c>
      <c r="H1544" s="3" t="s">
        <v>2750</v>
      </c>
      <c r="I1544" s="8">
        <v>303</v>
      </c>
      <c r="J1544" s="8">
        <v>0</v>
      </c>
      <c r="K1544" s="8">
        <v>303</v>
      </c>
    </row>
    <row r="1545" spans="1:11" hidden="1" x14ac:dyDescent="0.25">
      <c r="A1545" s="3" t="s">
        <v>2751</v>
      </c>
      <c r="B1545" s="3">
        <v>11</v>
      </c>
      <c r="C1545" s="5">
        <v>375</v>
      </c>
      <c r="D1545" s="6">
        <v>0</v>
      </c>
      <c r="E1545" s="7">
        <v>110500</v>
      </c>
      <c r="F1545" s="3">
        <v>55630</v>
      </c>
      <c r="G1545" s="3" t="str">
        <f t="shared" si="24"/>
        <v>5</v>
      </c>
      <c r="H1545" s="3" t="s">
        <v>2752</v>
      </c>
      <c r="I1545" s="8">
        <v>3000</v>
      </c>
      <c r="J1545" s="8">
        <v>0</v>
      </c>
      <c r="K1545" s="8">
        <v>3000</v>
      </c>
    </row>
    <row r="1546" spans="1:11" hidden="1" x14ac:dyDescent="0.25">
      <c r="A1546" s="3" t="s">
        <v>2753</v>
      </c>
      <c r="B1546" s="3">
        <v>11</v>
      </c>
      <c r="C1546" s="5">
        <v>375</v>
      </c>
      <c r="D1546" s="6">
        <v>0</v>
      </c>
      <c r="E1546" s="7">
        <v>150100</v>
      </c>
      <c r="F1546" s="3">
        <v>51100</v>
      </c>
      <c r="G1546" s="3" t="str">
        <f t="shared" si="24"/>
        <v>5</v>
      </c>
      <c r="H1546" s="3" t="s">
        <v>2754</v>
      </c>
      <c r="I1546" s="8">
        <v>1293861.2</v>
      </c>
      <c r="J1546" s="8">
        <v>918769.97</v>
      </c>
      <c r="K1546" s="8">
        <v>1293861.2</v>
      </c>
    </row>
    <row r="1547" spans="1:11" hidden="1" x14ac:dyDescent="0.25">
      <c r="A1547" s="3" t="s">
        <v>2755</v>
      </c>
      <c r="B1547" s="3">
        <v>11</v>
      </c>
      <c r="C1547" s="5">
        <v>375</v>
      </c>
      <c r="D1547" s="6">
        <v>0</v>
      </c>
      <c r="E1547" s="7">
        <v>150100</v>
      </c>
      <c r="F1547" s="3">
        <v>51310</v>
      </c>
      <c r="G1547" s="3" t="str">
        <f t="shared" si="24"/>
        <v>5</v>
      </c>
      <c r="H1547" s="3" t="s">
        <v>2756</v>
      </c>
      <c r="I1547" s="8">
        <v>71000</v>
      </c>
      <c r="J1547" s="8">
        <v>49548.24</v>
      </c>
      <c r="K1547" s="8">
        <v>71000</v>
      </c>
    </row>
    <row r="1548" spans="1:11" hidden="1" x14ac:dyDescent="0.25">
      <c r="A1548" s="3" t="s">
        <v>2757</v>
      </c>
      <c r="B1548" s="3">
        <v>11</v>
      </c>
      <c r="C1548" s="5">
        <v>375</v>
      </c>
      <c r="D1548" s="6">
        <v>0</v>
      </c>
      <c r="E1548" s="7">
        <v>150100</v>
      </c>
      <c r="F1548" s="3">
        <v>51311</v>
      </c>
      <c r="G1548" s="3" t="str">
        <f t="shared" si="24"/>
        <v>5</v>
      </c>
      <c r="H1548" s="3" t="s">
        <v>303</v>
      </c>
      <c r="I1548" s="8">
        <v>300000</v>
      </c>
      <c r="J1548" s="8">
        <v>144758.45000000001</v>
      </c>
      <c r="K1548" s="8">
        <v>300000</v>
      </c>
    </row>
    <row r="1549" spans="1:11" hidden="1" x14ac:dyDescent="0.25">
      <c r="A1549" s="3" t="s">
        <v>2758</v>
      </c>
      <c r="B1549" s="3">
        <v>11</v>
      </c>
      <c r="C1549" s="5">
        <v>375</v>
      </c>
      <c r="D1549" s="6">
        <v>0</v>
      </c>
      <c r="E1549" s="7">
        <v>150100</v>
      </c>
      <c r="F1549" s="3">
        <v>53110</v>
      </c>
      <c r="G1549" s="3" t="str">
        <f t="shared" si="24"/>
        <v>5</v>
      </c>
      <c r="H1549" s="3" t="s">
        <v>305</v>
      </c>
      <c r="I1549" s="8">
        <v>268875.06</v>
      </c>
      <c r="J1549" s="8">
        <v>177868.13</v>
      </c>
      <c r="K1549" s="8">
        <v>268875.06</v>
      </c>
    </row>
    <row r="1550" spans="1:11" hidden="1" x14ac:dyDescent="0.25">
      <c r="A1550" s="3" t="s">
        <v>2759</v>
      </c>
      <c r="B1550" s="3">
        <v>11</v>
      </c>
      <c r="C1550" s="5">
        <v>375</v>
      </c>
      <c r="D1550" s="6">
        <v>0</v>
      </c>
      <c r="E1550" s="7">
        <v>150100</v>
      </c>
      <c r="F1550" s="3">
        <v>53310</v>
      </c>
      <c r="G1550" s="3" t="str">
        <f t="shared" si="24"/>
        <v>5</v>
      </c>
      <c r="H1550" s="3" t="s">
        <v>307</v>
      </c>
      <c r="I1550" s="8">
        <v>0</v>
      </c>
      <c r="J1550" s="8">
        <v>2508.2399999999998</v>
      </c>
      <c r="K1550" s="8">
        <v>0</v>
      </c>
    </row>
    <row r="1551" spans="1:11" hidden="1" x14ac:dyDescent="0.25">
      <c r="A1551" s="3" t="s">
        <v>2760</v>
      </c>
      <c r="B1551" s="3">
        <v>11</v>
      </c>
      <c r="C1551" s="5">
        <v>375</v>
      </c>
      <c r="D1551" s="6">
        <v>0</v>
      </c>
      <c r="E1551" s="7">
        <v>150100</v>
      </c>
      <c r="F1551" s="3">
        <v>53330</v>
      </c>
      <c r="G1551" s="3" t="str">
        <f t="shared" si="24"/>
        <v>5</v>
      </c>
      <c r="H1551" s="3" t="s">
        <v>309</v>
      </c>
      <c r="I1551" s="8">
        <v>24140.47</v>
      </c>
      <c r="J1551" s="8">
        <v>15970.75</v>
      </c>
      <c r="K1551" s="8">
        <v>24140.47</v>
      </c>
    </row>
    <row r="1552" spans="1:11" hidden="1" x14ac:dyDescent="0.25">
      <c r="A1552" s="3" t="s">
        <v>2761</v>
      </c>
      <c r="B1552" s="3">
        <v>11</v>
      </c>
      <c r="C1552" s="5">
        <v>375</v>
      </c>
      <c r="D1552" s="6">
        <v>0</v>
      </c>
      <c r="E1552" s="7">
        <v>150100</v>
      </c>
      <c r="F1552" s="3">
        <v>53410</v>
      </c>
      <c r="G1552" s="3" t="str">
        <f t="shared" si="24"/>
        <v>5</v>
      </c>
      <c r="H1552" s="3" t="s">
        <v>2762</v>
      </c>
      <c r="I1552" s="8">
        <v>325963.31</v>
      </c>
      <c r="J1552" s="8">
        <v>232883.6</v>
      </c>
      <c r="K1552" s="8">
        <v>325963.31</v>
      </c>
    </row>
    <row r="1553" spans="1:11" hidden="1" x14ac:dyDescent="0.25">
      <c r="A1553" s="3" t="s">
        <v>2763</v>
      </c>
      <c r="B1553" s="3">
        <v>11</v>
      </c>
      <c r="C1553" s="5">
        <v>375</v>
      </c>
      <c r="D1553" s="6">
        <v>0</v>
      </c>
      <c r="E1553" s="7">
        <v>150100</v>
      </c>
      <c r="F1553" s="3">
        <v>53510</v>
      </c>
      <c r="G1553" s="3" t="str">
        <f t="shared" si="24"/>
        <v>5</v>
      </c>
      <c r="H1553" s="3" t="s">
        <v>311</v>
      </c>
      <c r="I1553" s="8">
        <v>832.45</v>
      </c>
      <c r="J1553" s="8">
        <v>553.78</v>
      </c>
      <c r="K1553" s="8">
        <v>832.45</v>
      </c>
    </row>
    <row r="1554" spans="1:11" hidden="1" x14ac:dyDescent="0.25">
      <c r="A1554" s="3" t="s">
        <v>2764</v>
      </c>
      <c r="B1554" s="3">
        <v>11</v>
      </c>
      <c r="C1554" s="5">
        <v>375</v>
      </c>
      <c r="D1554" s="6">
        <v>0</v>
      </c>
      <c r="E1554" s="7">
        <v>150100</v>
      </c>
      <c r="F1554" s="3">
        <v>53610</v>
      </c>
      <c r="G1554" s="3" t="str">
        <f t="shared" si="24"/>
        <v>5</v>
      </c>
      <c r="H1554" s="3" t="s">
        <v>313</v>
      </c>
      <c r="I1554" s="8">
        <v>31479.22</v>
      </c>
      <c r="J1554" s="8">
        <v>21046.15</v>
      </c>
      <c r="K1554" s="8">
        <v>31479.22</v>
      </c>
    </row>
    <row r="1555" spans="1:11" hidden="1" x14ac:dyDescent="0.25">
      <c r="A1555" s="3" t="s">
        <v>2765</v>
      </c>
      <c r="B1555" s="3">
        <v>11</v>
      </c>
      <c r="C1555" s="5">
        <v>375</v>
      </c>
      <c r="D1555" s="6">
        <v>0</v>
      </c>
      <c r="E1555" s="7">
        <v>150100</v>
      </c>
      <c r="F1555" s="3">
        <v>53910</v>
      </c>
      <c r="G1555" s="3" t="str">
        <f t="shared" si="24"/>
        <v>5</v>
      </c>
      <c r="H1555" s="3" t="s">
        <v>2766</v>
      </c>
      <c r="I1555" s="8">
        <v>4800</v>
      </c>
      <c r="J1555" s="8">
        <v>3054.52</v>
      </c>
      <c r="K1555" s="8">
        <v>4800</v>
      </c>
    </row>
    <row r="1556" spans="1:11" hidden="1" x14ac:dyDescent="0.25">
      <c r="A1556" s="3" t="s">
        <v>2767</v>
      </c>
      <c r="B1556" s="3">
        <v>11</v>
      </c>
      <c r="C1556" s="5">
        <v>375</v>
      </c>
      <c r="D1556" s="6">
        <v>0</v>
      </c>
      <c r="E1556" s="7">
        <v>150100</v>
      </c>
      <c r="F1556" s="3">
        <v>54300</v>
      </c>
      <c r="G1556" s="3" t="str">
        <f t="shared" si="24"/>
        <v>5</v>
      </c>
      <c r="H1556" s="3" t="s">
        <v>2768</v>
      </c>
      <c r="I1556" s="8">
        <v>910</v>
      </c>
      <c r="J1556" s="8">
        <v>0</v>
      </c>
      <c r="K1556" s="8">
        <v>910</v>
      </c>
    </row>
    <row r="1557" spans="1:11" hidden="1" x14ac:dyDescent="0.25">
      <c r="A1557" s="3" t="s">
        <v>2769</v>
      </c>
      <c r="B1557" s="3">
        <v>11</v>
      </c>
      <c r="C1557" s="5">
        <v>375</v>
      </c>
      <c r="D1557" s="6">
        <v>0</v>
      </c>
      <c r="E1557" s="7">
        <v>150100</v>
      </c>
      <c r="F1557" s="3">
        <v>55300</v>
      </c>
      <c r="G1557" s="3" t="str">
        <f t="shared" si="24"/>
        <v>5</v>
      </c>
      <c r="H1557" s="3" t="s">
        <v>2770</v>
      </c>
      <c r="I1557" s="8">
        <v>100</v>
      </c>
      <c r="J1557" s="8">
        <v>0</v>
      </c>
      <c r="K1557" s="8">
        <v>100</v>
      </c>
    </row>
    <row r="1558" spans="1:11" hidden="1" x14ac:dyDescent="0.25">
      <c r="A1558" s="3" t="s">
        <v>2771</v>
      </c>
      <c r="B1558" s="3">
        <v>11</v>
      </c>
      <c r="C1558" s="5">
        <v>375</v>
      </c>
      <c r="D1558" s="6">
        <v>0</v>
      </c>
      <c r="E1558" s="7">
        <v>150100</v>
      </c>
      <c r="F1558" s="3">
        <v>55630</v>
      </c>
      <c r="G1558" s="3" t="str">
        <f t="shared" si="24"/>
        <v>5</v>
      </c>
      <c r="H1558" s="3" t="s">
        <v>315</v>
      </c>
      <c r="I1558" s="8">
        <v>11000</v>
      </c>
      <c r="J1558" s="8">
        <v>0</v>
      </c>
      <c r="K1558" s="8">
        <v>11000</v>
      </c>
    </row>
    <row r="1559" spans="1:11" hidden="1" x14ac:dyDescent="0.25">
      <c r="A1559" s="3" t="s">
        <v>2772</v>
      </c>
      <c r="B1559" s="3">
        <v>11</v>
      </c>
      <c r="C1559" s="5">
        <v>375</v>
      </c>
      <c r="D1559" s="6">
        <v>0</v>
      </c>
      <c r="E1559" s="7">
        <v>150600</v>
      </c>
      <c r="F1559" s="3">
        <v>51100</v>
      </c>
      <c r="G1559" s="3" t="str">
        <f t="shared" si="24"/>
        <v>5</v>
      </c>
      <c r="H1559" s="3" t="s">
        <v>2773</v>
      </c>
      <c r="I1559" s="8">
        <v>173232.8</v>
      </c>
      <c r="J1559" s="8">
        <v>217073.6</v>
      </c>
      <c r="K1559" s="8">
        <v>173232.8</v>
      </c>
    </row>
    <row r="1560" spans="1:11" hidden="1" x14ac:dyDescent="0.25">
      <c r="A1560" s="3" t="s">
        <v>2774</v>
      </c>
      <c r="B1560" s="3">
        <v>11</v>
      </c>
      <c r="C1560" s="5">
        <v>375</v>
      </c>
      <c r="D1560" s="6">
        <v>0</v>
      </c>
      <c r="E1560" s="7">
        <v>150600</v>
      </c>
      <c r="F1560" s="3">
        <v>51310</v>
      </c>
      <c r="G1560" s="3" t="str">
        <f t="shared" si="24"/>
        <v>5</v>
      </c>
      <c r="H1560" s="3" t="s">
        <v>2775</v>
      </c>
      <c r="I1560" s="8">
        <v>35000</v>
      </c>
      <c r="J1560" s="8">
        <v>24420.22</v>
      </c>
      <c r="K1560" s="8">
        <v>35000</v>
      </c>
    </row>
    <row r="1561" spans="1:11" hidden="1" x14ac:dyDescent="0.25">
      <c r="A1561" s="3" t="s">
        <v>2776</v>
      </c>
      <c r="B1561" s="3">
        <v>11</v>
      </c>
      <c r="C1561" s="5">
        <v>375</v>
      </c>
      <c r="D1561" s="6">
        <v>0</v>
      </c>
      <c r="E1561" s="7">
        <v>150600</v>
      </c>
      <c r="F1561" s="3">
        <v>51311</v>
      </c>
      <c r="G1561" s="3" t="str">
        <f t="shared" si="24"/>
        <v>5</v>
      </c>
      <c r="H1561" s="3" t="s">
        <v>317</v>
      </c>
      <c r="I1561" s="8">
        <v>127000</v>
      </c>
      <c r="J1561" s="8">
        <v>99661.8</v>
      </c>
      <c r="K1561" s="8">
        <v>127000</v>
      </c>
    </row>
    <row r="1562" spans="1:11" hidden="1" x14ac:dyDescent="0.25">
      <c r="A1562" s="3" t="s">
        <v>2777</v>
      </c>
      <c r="B1562" s="3">
        <v>11</v>
      </c>
      <c r="C1562" s="5">
        <v>375</v>
      </c>
      <c r="D1562" s="6">
        <v>0</v>
      </c>
      <c r="E1562" s="7">
        <v>150600</v>
      </c>
      <c r="F1562" s="3">
        <v>53110</v>
      </c>
      <c r="G1562" s="3" t="str">
        <f t="shared" si="24"/>
        <v>5</v>
      </c>
      <c r="H1562" s="3" t="s">
        <v>319</v>
      </c>
      <c r="I1562" s="8">
        <v>54140.1</v>
      </c>
      <c r="J1562" s="8">
        <v>49351.18</v>
      </c>
      <c r="K1562" s="8">
        <v>54140.1</v>
      </c>
    </row>
    <row r="1563" spans="1:11" hidden="1" x14ac:dyDescent="0.25">
      <c r="A1563" s="3" t="s">
        <v>2778</v>
      </c>
      <c r="B1563" s="3">
        <v>11</v>
      </c>
      <c r="C1563" s="5">
        <v>375</v>
      </c>
      <c r="D1563" s="6">
        <v>0</v>
      </c>
      <c r="E1563" s="7">
        <v>150600</v>
      </c>
      <c r="F1563" s="3">
        <v>53310</v>
      </c>
      <c r="G1563" s="3" t="str">
        <f t="shared" si="24"/>
        <v>5</v>
      </c>
      <c r="H1563" s="3" t="s">
        <v>2779</v>
      </c>
      <c r="I1563" s="8">
        <v>0</v>
      </c>
      <c r="J1563" s="8">
        <v>2205.7199999999998</v>
      </c>
      <c r="K1563" s="8">
        <v>0</v>
      </c>
    </row>
    <row r="1564" spans="1:11" hidden="1" x14ac:dyDescent="0.25">
      <c r="A1564" s="3" t="s">
        <v>2780</v>
      </c>
      <c r="B1564" s="3">
        <v>11</v>
      </c>
      <c r="C1564" s="5">
        <v>375</v>
      </c>
      <c r="D1564" s="6">
        <v>0</v>
      </c>
      <c r="E1564" s="7">
        <v>150600</v>
      </c>
      <c r="F1564" s="3">
        <v>53330</v>
      </c>
      <c r="G1564" s="3" t="str">
        <f t="shared" si="24"/>
        <v>5</v>
      </c>
      <c r="H1564" s="3" t="s">
        <v>321</v>
      </c>
      <c r="I1564" s="8">
        <v>4860.88</v>
      </c>
      <c r="J1564" s="8">
        <v>4919.8999999999996</v>
      </c>
      <c r="K1564" s="8">
        <v>4860.88</v>
      </c>
    </row>
    <row r="1565" spans="1:11" hidden="1" x14ac:dyDescent="0.25">
      <c r="A1565" s="3" t="s">
        <v>2781</v>
      </c>
      <c r="B1565" s="3">
        <v>11</v>
      </c>
      <c r="C1565" s="5">
        <v>375</v>
      </c>
      <c r="D1565" s="6">
        <v>0</v>
      </c>
      <c r="E1565" s="7">
        <v>150600</v>
      </c>
      <c r="F1565" s="3">
        <v>53410</v>
      </c>
      <c r="G1565" s="3" t="str">
        <f t="shared" si="24"/>
        <v>5</v>
      </c>
      <c r="H1565" s="3" t="s">
        <v>2782</v>
      </c>
      <c r="I1565" s="8">
        <v>51737.87</v>
      </c>
      <c r="J1565" s="8">
        <v>65204.59</v>
      </c>
      <c r="K1565" s="8">
        <v>51737.87</v>
      </c>
    </row>
    <row r="1566" spans="1:11" hidden="1" x14ac:dyDescent="0.25">
      <c r="A1566" s="3" t="s">
        <v>2783</v>
      </c>
      <c r="B1566" s="3">
        <v>11</v>
      </c>
      <c r="C1566" s="5">
        <v>375</v>
      </c>
      <c r="D1566" s="6">
        <v>0</v>
      </c>
      <c r="E1566" s="7">
        <v>150600</v>
      </c>
      <c r="F1566" s="3">
        <v>53510</v>
      </c>
      <c r="G1566" s="3" t="str">
        <f t="shared" si="24"/>
        <v>5</v>
      </c>
      <c r="H1566" s="3" t="s">
        <v>323</v>
      </c>
      <c r="I1566" s="8">
        <v>167.62</v>
      </c>
      <c r="J1566" s="8">
        <v>170.6</v>
      </c>
      <c r="K1566" s="8">
        <v>167.62</v>
      </c>
    </row>
    <row r="1567" spans="1:11" hidden="1" x14ac:dyDescent="0.25">
      <c r="A1567" s="3" t="s">
        <v>2784</v>
      </c>
      <c r="B1567" s="3">
        <v>11</v>
      </c>
      <c r="C1567" s="5">
        <v>375</v>
      </c>
      <c r="D1567" s="6">
        <v>0</v>
      </c>
      <c r="E1567" s="7">
        <v>150600</v>
      </c>
      <c r="F1567" s="3">
        <v>53610</v>
      </c>
      <c r="G1567" s="3" t="str">
        <f t="shared" si="24"/>
        <v>5</v>
      </c>
      <c r="H1567" s="3" t="s">
        <v>325</v>
      </c>
      <c r="I1567" s="8">
        <v>6338.58</v>
      </c>
      <c r="J1567" s="8">
        <v>6450.62</v>
      </c>
      <c r="K1567" s="8">
        <v>6338.58</v>
      </c>
    </row>
    <row r="1568" spans="1:11" hidden="1" x14ac:dyDescent="0.25">
      <c r="A1568" s="3" t="s">
        <v>2785</v>
      </c>
      <c r="B1568" s="3">
        <v>11</v>
      </c>
      <c r="C1568" s="5">
        <v>375</v>
      </c>
      <c r="D1568" s="6">
        <v>0</v>
      </c>
      <c r="E1568" s="7">
        <v>150600</v>
      </c>
      <c r="F1568" s="3">
        <v>54300</v>
      </c>
      <c r="G1568" s="3" t="str">
        <f t="shared" si="24"/>
        <v>5</v>
      </c>
      <c r="H1568" s="3" t="s">
        <v>2786</v>
      </c>
      <c r="I1568" s="8">
        <v>303</v>
      </c>
      <c r="J1568" s="8">
        <v>0</v>
      </c>
      <c r="K1568" s="8">
        <v>303</v>
      </c>
    </row>
    <row r="1569" spans="1:11" hidden="1" x14ac:dyDescent="0.25">
      <c r="A1569" s="3" t="s">
        <v>2787</v>
      </c>
      <c r="B1569" s="3">
        <v>11</v>
      </c>
      <c r="C1569" s="5">
        <v>375</v>
      </c>
      <c r="D1569" s="6">
        <v>0</v>
      </c>
      <c r="E1569" s="7">
        <v>150600</v>
      </c>
      <c r="F1569" s="3">
        <v>55200</v>
      </c>
      <c r="G1569" s="3" t="str">
        <f t="shared" si="24"/>
        <v>5</v>
      </c>
      <c r="H1569" s="3" t="s">
        <v>2788</v>
      </c>
      <c r="I1569" s="8">
        <v>3000</v>
      </c>
      <c r="J1569" s="8">
        <v>0</v>
      </c>
      <c r="K1569" s="8">
        <v>3000</v>
      </c>
    </row>
    <row r="1570" spans="1:11" hidden="1" x14ac:dyDescent="0.25">
      <c r="A1570" s="3" t="s">
        <v>2789</v>
      </c>
      <c r="B1570" s="3">
        <v>11</v>
      </c>
      <c r="C1570" s="5">
        <v>375</v>
      </c>
      <c r="D1570" s="6">
        <v>0</v>
      </c>
      <c r="E1570" s="7">
        <v>150600</v>
      </c>
      <c r="F1570" s="3">
        <v>55630</v>
      </c>
      <c r="G1570" s="3" t="str">
        <f t="shared" si="24"/>
        <v>5</v>
      </c>
      <c r="H1570" s="3" t="s">
        <v>327</v>
      </c>
      <c r="I1570" s="8">
        <v>1600</v>
      </c>
      <c r="J1570" s="8">
        <v>2.44</v>
      </c>
      <c r="K1570" s="8">
        <v>1600</v>
      </c>
    </row>
    <row r="1571" spans="1:11" hidden="1" x14ac:dyDescent="0.25">
      <c r="A1571" s="3" t="s">
        <v>2790</v>
      </c>
      <c r="B1571" s="3">
        <v>11</v>
      </c>
      <c r="C1571" s="5">
        <v>375</v>
      </c>
      <c r="D1571" s="6">
        <v>0</v>
      </c>
      <c r="E1571" s="7">
        <v>493080</v>
      </c>
      <c r="F1571" s="3">
        <v>51100</v>
      </c>
      <c r="G1571" s="3" t="str">
        <f t="shared" si="24"/>
        <v>5</v>
      </c>
      <c r="H1571" s="3" t="s">
        <v>2791</v>
      </c>
      <c r="I1571" s="8">
        <v>321463</v>
      </c>
      <c r="J1571" s="8">
        <v>233791.35999999999</v>
      </c>
      <c r="K1571" s="8">
        <v>321463</v>
      </c>
    </row>
    <row r="1572" spans="1:11" hidden="1" x14ac:dyDescent="0.25">
      <c r="A1572" s="3" t="s">
        <v>2792</v>
      </c>
      <c r="B1572" s="3">
        <v>11</v>
      </c>
      <c r="C1572" s="5">
        <v>375</v>
      </c>
      <c r="D1572" s="6">
        <v>0</v>
      </c>
      <c r="E1572" s="7">
        <v>493080</v>
      </c>
      <c r="F1572" s="3">
        <v>51310</v>
      </c>
      <c r="G1572" s="3" t="str">
        <f t="shared" si="24"/>
        <v>5</v>
      </c>
      <c r="H1572" s="3" t="s">
        <v>2793</v>
      </c>
      <c r="I1572" s="8">
        <v>7600</v>
      </c>
      <c r="J1572" s="8">
        <v>5970.64</v>
      </c>
      <c r="K1572" s="8">
        <v>7600</v>
      </c>
    </row>
    <row r="1573" spans="1:11" hidden="1" x14ac:dyDescent="0.25">
      <c r="A1573" s="3" t="s">
        <v>2794</v>
      </c>
      <c r="B1573" s="3">
        <v>11</v>
      </c>
      <c r="C1573" s="5">
        <v>375</v>
      </c>
      <c r="D1573" s="6">
        <v>0</v>
      </c>
      <c r="E1573" s="7">
        <v>493080</v>
      </c>
      <c r="F1573" s="3">
        <v>51311</v>
      </c>
      <c r="G1573" s="3" t="str">
        <f t="shared" si="24"/>
        <v>5</v>
      </c>
      <c r="H1573" s="3" t="s">
        <v>467</v>
      </c>
      <c r="I1573" s="8">
        <v>175000</v>
      </c>
      <c r="J1573" s="8">
        <v>68537.960000000006</v>
      </c>
      <c r="K1573" s="8">
        <v>175000</v>
      </c>
    </row>
    <row r="1574" spans="1:11" hidden="1" x14ac:dyDescent="0.25">
      <c r="A1574" s="3" t="s">
        <v>2795</v>
      </c>
      <c r="B1574" s="3">
        <v>11</v>
      </c>
      <c r="C1574" s="5">
        <v>375</v>
      </c>
      <c r="D1574" s="6">
        <v>0</v>
      </c>
      <c r="E1574" s="7">
        <v>493080</v>
      </c>
      <c r="F1574" s="3">
        <v>53110</v>
      </c>
      <c r="G1574" s="3" t="str">
        <f t="shared" si="24"/>
        <v>5</v>
      </c>
      <c r="H1574" s="3" t="s">
        <v>469</v>
      </c>
      <c r="I1574" s="8">
        <v>81406.17</v>
      </c>
      <c r="J1574" s="8">
        <v>48874.75</v>
      </c>
      <c r="K1574" s="8">
        <v>81406.17</v>
      </c>
    </row>
    <row r="1575" spans="1:11" hidden="1" x14ac:dyDescent="0.25">
      <c r="A1575" s="3" t="s">
        <v>2796</v>
      </c>
      <c r="B1575" s="3">
        <v>11</v>
      </c>
      <c r="C1575" s="5">
        <v>375</v>
      </c>
      <c r="D1575" s="6">
        <v>0</v>
      </c>
      <c r="E1575" s="7">
        <v>493080</v>
      </c>
      <c r="F1575" s="3">
        <v>53330</v>
      </c>
      <c r="G1575" s="3" t="str">
        <f t="shared" si="24"/>
        <v>5</v>
      </c>
      <c r="H1575" s="3" t="s">
        <v>471</v>
      </c>
      <c r="I1575" s="8">
        <v>7308.91</v>
      </c>
      <c r="J1575" s="8">
        <v>3284.99</v>
      </c>
      <c r="K1575" s="8">
        <v>7308.91</v>
      </c>
    </row>
    <row r="1576" spans="1:11" hidden="1" x14ac:dyDescent="0.25">
      <c r="A1576" s="3" t="s">
        <v>2797</v>
      </c>
      <c r="B1576" s="3">
        <v>11</v>
      </c>
      <c r="C1576" s="5">
        <v>375</v>
      </c>
      <c r="D1576" s="6">
        <v>0</v>
      </c>
      <c r="E1576" s="7">
        <v>493080</v>
      </c>
      <c r="F1576" s="3">
        <v>53410</v>
      </c>
      <c r="G1576" s="3" t="str">
        <f t="shared" si="24"/>
        <v>5</v>
      </c>
      <c r="H1576" s="3" t="s">
        <v>2798</v>
      </c>
      <c r="I1576" s="8">
        <v>39642.93</v>
      </c>
      <c r="J1576" s="8">
        <v>28069.83</v>
      </c>
      <c r="K1576" s="8">
        <v>39642.93</v>
      </c>
    </row>
    <row r="1577" spans="1:11" hidden="1" x14ac:dyDescent="0.25">
      <c r="A1577" s="3" t="s">
        <v>2799</v>
      </c>
      <c r="B1577" s="3">
        <v>11</v>
      </c>
      <c r="C1577" s="5">
        <v>375</v>
      </c>
      <c r="D1577" s="6">
        <v>0</v>
      </c>
      <c r="E1577" s="7">
        <v>493080</v>
      </c>
      <c r="F1577" s="3">
        <v>53510</v>
      </c>
      <c r="G1577" s="3" t="str">
        <f t="shared" si="24"/>
        <v>5</v>
      </c>
      <c r="H1577" s="3" t="s">
        <v>473</v>
      </c>
      <c r="I1577" s="8">
        <v>252.03</v>
      </c>
      <c r="J1577" s="8">
        <v>154.22</v>
      </c>
      <c r="K1577" s="8">
        <v>252.03</v>
      </c>
    </row>
    <row r="1578" spans="1:11" hidden="1" x14ac:dyDescent="0.25">
      <c r="A1578" s="3" t="s">
        <v>2800</v>
      </c>
      <c r="B1578" s="3">
        <v>11</v>
      </c>
      <c r="C1578" s="5">
        <v>375</v>
      </c>
      <c r="D1578" s="6">
        <v>0</v>
      </c>
      <c r="E1578" s="7">
        <v>493080</v>
      </c>
      <c r="F1578" s="3">
        <v>53610</v>
      </c>
      <c r="G1578" s="3" t="str">
        <f t="shared" si="24"/>
        <v>5</v>
      </c>
      <c r="H1578" s="3" t="s">
        <v>475</v>
      </c>
      <c r="I1578" s="8">
        <v>9530.83</v>
      </c>
      <c r="J1578" s="8">
        <v>5829.36</v>
      </c>
      <c r="K1578" s="8">
        <v>9530.83</v>
      </c>
    </row>
    <row r="1579" spans="1:11" hidden="1" x14ac:dyDescent="0.25">
      <c r="A1579" s="3" t="s">
        <v>2801</v>
      </c>
      <c r="B1579" s="3">
        <v>11</v>
      </c>
      <c r="C1579" s="5">
        <v>375</v>
      </c>
      <c r="D1579" s="6">
        <v>0</v>
      </c>
      <c r="E1579" s="7">
        <v>493080</v>
      </c>
      <c r="F1579" s="3">
        <v>54300</v>
      </c>
      <c r="G1579" s="3" t="str">
        <f t="shared" si="24"/>
        <v>5</v>
      </c>
      <c r="H1579" s="3" t="s">
        <v>2802</v>
      </c>
      <c r="I1579" s="8">
        <v>600</v>
      </c>
      <c r="J1579" s="8">
        <v>0</v>
      </c>
      <c r="K1579" s="8">
        <v>600</v>
      </c>
    </row>
    <row r="1580" spans="1:11" hidden="1" x14ac:dyDescent="0.25">
      <c r="A1580" s="3" t="s">
        <v>2803</v>
      </c>
      <c r="B1580" s="3">
        <v>11</v>
      </c>
      <c r="C1580" s="5">
        <v>375</v>
      </c>
      <c r="D1580" s="6">
        <v>0</v>
      </c>
      <c r="E1580" s="7">
        <v>493080</v>
      </c>
      <c r="F1580" s="3">
        <v>55630</v>
      </c>
      <c r="G1580" s="3" t="str">
        <f t="shared" si="24"/>
        <v>5</v>
      </c>
      <c r="H1580" s="3" t="s">
        <v>2804</v>
      </c>
      <c r="I1580" s="8">
        <v>2200</v>
      </c>
      <c r="J1580" s="8">
        <v>0</v>
      </c>
      <c r="K1580" s="8">
        <v>2200</v>
      </c>
    </row>
    <row r="1581" spans="1:11" hidden="1" x14ac:dyDescent="0.25">
      <c r="A1581" s="3" t="s">
        <v>2805</v>
      </c>
      <c r="B1581" s="3">
        <v>11</v>
      </c>
      <c r="C1581" s="5">
        <v>395</v>
      </c>
      <c r="D1581" s="6">
        <v>0</v>
      </c>
      <c r="E1581" s="7">
        <v>635050</v>
      </c>
      <c r="F1581" s="3">
        <v>51412</v>
      </c>
      <c r="G1581" s="3" t="str">
        <f t="shared" si="24"/>
        <v>5</v>
      </c>
      <c r="H1581" s="3" t="s">
        <v>2806</v>
      </c>
      <c r="I1581" s="8">
        <v>2000</v>
      </c>
      <c r="J1581" s="8">
        <v>1702.86</v>
      </c>
      <c r="K1581" s="8">
        <v>2000</v>
      </c>
    </row>
    <row r="1582" spans="1:11" hidden="1" x14ac:dyDescent="0.25">
      <c r="A1582" s="3" t="s">
        <v>2807</v>
      </c>
      <c r="B1582" s="3">
        <v>11</v>
      </c>
      <c r="C1582" s="5">
        <v>395</v>
      </c>
      <c r="D1582" s="6">
        <v>0</v>
      </c>
      <c r="E1582" s="7">
        <v>635050</v>
      </c>
      <c r="F1582" s="3">
        <v>52105</v>
      </c>
      <c r="G1582" s="3" t="str">
        <f t="shared" si="24"/>
        <v>5</v>
      </c>
      <c r="H1582" s="3" t="s">
        <v>2808</v>
      </c>
      <c r="I1582" s="8">
        <v>35210.5</v>
      </c>
      <c r="J1582" s="8">
        <v>52246.12</v>
      </c>
      <c r="K1582" s="8">
        <v>35210.5</v>
      </c>
    </row>
    <row r="1583" spans="1:11" hidden="1" x14ac:dyDescent="0.25">
      <c r="A1583" s="3" t="s">
        <v>2809</v>
      </c>
      <c r="B1583" s="3">
        <v>11</v>
      </c>
      <c r="C1583" s="5">
        <v>395</v>
      </c>
      <c r="D1583" s="6">
        <v>0</v>
      </c>
      <c r="E1583" s="7">
        <v>635050</v>
      </c>
      <c r="F1583" s="3">
        <v>52350</v>
      </c>
      <c r="G1583" s="3" t="str">
        <f t="shared" si="24"/>
        <v>5</v>
      </c>
      <c r="H1583" s="3" t="s">
        <v>2810</v>
      </c>
      <c r="I1583" s="8">
        <v>14000</v>
      </c>
      <c r="J1583" s="8">
        <v>16319.5</v>
      </c>
      <c r="K1583" s="8">
        <v>14000</v>
      </c>
    </row>
    <row r="1584" spans="1:11" hidden="1" x14ac:dyDescent="0.25">
      <c r="A1584" s="3" t="s">
        <v>2811</v>
      </c>
      <c r="B1584" s="3">
        <v>11</v>
      </c>
      <c r="C1584" s="5">
        <v>395</v>
      </c>
      <c r="D1584" s="6">
        <v>0</v>
      </c>
      <c r="E1584" s="7">
        <v>635050</v>
      </c>
      <c r="F1584" s="3">
        <v>52360</v>
      </c>
      <c r="G1584" s="3" t="str">
        <f t="shared" si="24"/>
        <v>5</v>
      </c>
      <c r="H1584" s="3" t="s">
        <v>2812</v>
      </c>
      <c r="I1584" s="8">
        <v>0</v>
      </c>
      <c r="J1584" s="8">
        <v>12188.16</v>
      </c>
      <c r="K1584" s="8">
        <v>0</v>
      </c>
    </row>
    <row r="1585" spans="1:11" hidden="1" x14ac:dyDescent="0.25">
      <c r="A1585" s="3" t="s">
        <v>2813</v>
      </c>
      <c r="B1585" s="3">
        <v>11</v>
      </c>
      <c r="C1585" s="5">
        <v>395</v>
      </c>
      <c r="D1585" s="6">
        <v>0</v>
      </c>
      <c r="E1585" s="7">
        <v>635050</v>
      </c>
      <c r="F1585" s="3">
        <v>53120</v>
      </c>
      <c r="G1585" s="3" t="str">
        <f t="shared" si="24"/>
        <v>5</v>
      </c>
      <c r="H1585" s="3" t="s">
        <v>2814</v>
      </c>
      <c r="I1585" s="8">
        <v>323</v>
      </c>
      <c r="J1585" s="8">
        <v>275.01</v>
      </c>
      <c r="K1585" s="8">
        <v>323</v>
      </c>
    </row>
    <row r="1586" spans="1:11" hidden="1" x14ac:dyDescent="0.25">
      <c r="A1586" s="3" t="s">
        <v>2815</v>
      </c>
      <c r="B1586" s="3">
        <v>11</v>
      </c>
      <c r="C1586" s="5">
        <v>395</v>
      </c>
      <c r="D1586" s="6">
        <v>0</v>
      </c>
      <c r="E1586" s="7">
        <v>635050</v>
      </c>
      <c r="F1586" s="3">
        <v>53220</v>
      </c>
      <c r="G1586" s="3" t="str">
        <f t="shared" si="24"/>
        <v>5</v>
      </c>
      <c r="H1586" s="3" t="s">
        <v>2816</v>
      </c>
      <c r="I1586" s="8">
        <v>7288.57</v>
      </c>
      <c r="J1586" s="8">
        <v>12673.69</v>
      </c>
      <c r="K1586" s="8">
        <v>7288.57</v>
      </c>
    </row>
    <row r="1587" spans="1:11" hidden="1" x14ac:dyDescent="0.25">
      <c r="A1587" s="3" t="s">
        <v>2817</v>
      </c>
      <c r="B1587" s="3">
        <v>11</v>
      </c>
      <c r="C1587" s="5">
        <v>395</v>
      </c>
      <c r="D1587" s="6">
        <v>0</v>
      </c>
      <c r="E1587" s="7">
        <v>635050</v>
      </c>
      <c r="F1587" s="3">
        <v>53320</v>
      </c>
      <c r="G1587" s="3" t="str">
        <f t="shared" si="24"/>
        <v>5</v>
      </c>
      <c r="H1587" s="3" t="s">
        <v>2818</v>
      </c>
      <c r="I1587" s="8">
        <v>2183.0500000000002</v>
      </c>
      <c r="J1587" s="8">
        <v>3862.25</v>
      </c>
      <c r="K1587" s="8">
        <v>2183.0500000000002</v>
      </c>
    </row>
    <row r="1588" spans="1:11" hidden="1" x14ac:dyDescent="0.25">
      <c r="A1588" s="3" t="s">
        <v>2819</v>
      </c>
      <c r="B1588" s="3">
        <v>11</v>
      </c>
      <c r="C1588" s="5">
        <v>395</v>
      </c>
      <c r="D1588" s="6">
        <v>0</v>
      </c>
      <c r="E1588" s="7">
        <v>635050</v>
      </c>
      <c r="F1588" s="3">
        <v>53340</v>
      </c>
      <c r="G1588" s="3" t="str">
        <f t="shared" si="24"/>
        <v>5</v>
      </c>
      <c r="H1588" s="3" t="s">
        <v>2820</v>
      </c>
      <c r="I1588" s="8">
        <v>539.54999999999995</v>
      </c>
      <c r="J1588" s="8">
        <v>927.92</v>
      </c>
      <c r="K1588" s="8">
        <v>539.54999999999995</v>
      </c>
    </row>
    <row r="1589" spans="1:11" hidden="1" x14ac:dyDescent="0.25">
      <c r="A1589" s="3" t="s">
        <v>2821</v>
      </c>
      <c r="B1589" s="3">
        <v>11</v>
      </c>
      <c r="C1589" s="5">
        <v>395</v>
      </c>
      <c r="D1589" s="6">
        <v>0</v>
      </c>
      <c r="E1589" s="7">
        <v>635050</v>
      </c>
      <c r="F1589" s="3">
        <v>53420</v>
      </c>
      <c r="G1589" s="3" t="str">
        <f t="shared" si="24"/>
        <v>5</v>
      </c>
      <c r="H1589" s="3" t="s">
        <v>2822</v>
      </c>
      <c r="I1589" s="8">
        <v>16560.72</v>
      </c>
      <c r="J1589" s="8">
        <v>22905.09</v>
      </c>
      <c r="K1589" s="8">
        <v>16560.72</v>
      </c>
    </row>
    <row r="1590" spans="1:11" hidden="1" x14ac:dyDescent="0.25">
      <c r="A1590" s="3" t="s">
        <v>2823</v>
      </c>
      <c r="B1590" s="3">
        <v>11</v>
      </c>
      <c r="C1590" s="5">
        <v>395</v>
      </c>
      <c r="D1590" s="6">
        <v>0</v>
      </c>
      <c r="E1590" s="7">
        <v>635050</v>
      </c>
      <c r="F1590" s="3">
        <v>53520</v>
      </c>
      <c r="G1590" s="3" t="str">
        <f t="shared" si="24"/>
        <v>5</v>
      </c>
      <c r="H1590" s="3" t="s">
        <v>2824</v>
      </c>
      <c r="I1590" s="8">
        <v>18.61</v>
      </c>
      <c r="J1590" s="8">
        <v>32.29</v>
      </c>
      <c r="K1590" s="8">
        <v>18.61</v>
      </c>
    </row>
    <row r="1591" spans="1:11" hidden="1" x14ac:dyDescent="0.25">
      <c r="A1591" s="3" t="s">
        <v>2825</v>
      </c>
      <c r="B1591" s="3">
        <v>11</v>
      </c>
      <c r="C1591" s="5">
        <v>395</v>
      </c>
      <c r="D1591" s="6">
        <v>0</v>
      </c>
      <c r="E1591" s="7">
        <v>635050</v>
      </c>
      <c r="F1591" s="3">
        <v>53620</v>
      </c>
      <c r="G1591" s="3" t="str">
        <f t="shared" si="24"/>
        <v>5</v>
      </c>
      <c r="H1591" s="3" t="s">
        <v>2826</v>
      </c>
      <c r="I1591" s="8">
        <v>968.29</v>
      </c>
      <c r="J1591" s="8">
        <v>1560.47</v>
      </c>
      <c r="K1591" s="8">
        <v>968.29</v>
      </c>
    </row>
    <row r="1592" spans="1:11" hidden="1" x14ac:dyDescent="0.25">
      <c r="A1592" s="3" t="s">
        <v>2827</v>
      </c>
      <c r="B1592" s="3">
        <v>11</v>
      </c>
      <c r="C1592" s="5">
        <v>395</v>
      </c>
      <c r="D1592" s="6">
        <v>0</v>
      </c>
      <c r="E1592" s="7">
        <v>635050</v>
      </c>
      <c r="F1592" s="3">
        <v>54210</v>
      </c>
      <c r="G1592" s="3" t="str">
        <f t="shared" si="24"/>
        <v>5</v>
      </c>
      <c r="H1592" s="3" t="s">
        <v>2828</v>
      </c>
      <c r="I1592" s="8">
        <v>0</v>
      </c>
      <c r="J1592" s="8">
        <v>0</v>
      </c>
      <c r="K1592" s="8">
        <v>0</v>
      </c>
    </row>
    <row r="1593" spans="1:11" hidden="1" x14ac:dyDescent="0.25">
      <c r="A1593" s="3" t="s">
        <v>2829</v>
      </c>
      <c r="B1593" s="3">
        <v>11</v>
      </c>
      <c r="C1593" s="5">
        <v>395</v>
      </c>
      <c r="D1593" s="6">
        <v>0</v>
      </c>
      <c r="E1593" s="7">
        <v>635050</v>
      </c>
      <c r="F1593" s="3">
        <v>54300</v>
      </c>
      <c r="G1593" s="3" t="str">
        <f t="shared" si="24"/>
        <v>5</v>
      </c>
      <c r="H1593" s="3" t="s">
        <v>2830</v>
      </c>
      <c r="I1593" s="8">
        <v>3000</v>
      </c>
      <c r="J1593" s="8">
        <v>1968.86</v>
      </c>
      <c r="K1593" s="8">
        <v>3000</v>
      </c>
    </row>
    <row r="1594" spans="1:11" hidden="1" x14ac:dyDescent="0.25">
      <c r="A1594" s="3" t="s">
        <v>2831</v>
      </c>
      <c r="B1594" s="3">
        <v>11</v>
      </c>
      <c r="C1594" s="5">
        <v>395</v>
      </c>
      <c r="D1594" s="6">
        <v>0</v>
      </c>
      <c r="E1594" s="7">
        <v>635050</v>
      </c>
      <c r="F1594" s="3">
        <v>55105</v>
      </c>
      <c r="G1594" s="3" t="str">
        <f t="shared" si="24"/>
        <v>5</v>
      </c>
      <c r="H1594" s="3" t="s">
        <v>2832</v>
      </c>
      <c r="I1594" s="8">
        <v>450</v>
      </c>
      <c r="J1594" s="8">
        <v>0</v>
      </c>
      <c r="K1594" s="8">
        <v>450</v>
      </c>
    </row>
    <row r="1595" spans="1:11" hidden="1" x14ac:dyDescent="0.25">
      <c r="A1595" s="3" t="s">
        <v>2833</v>
      </c>
      <c r="B1595" s="3">
        <v>11</v>
      </c>
      <c r="C1595" s="5">
        <v>395</v>
      </c>
      <c r="D1595" s="6">
        <v>0</v>
      </c>
      <c r="E1595" s="7">
        <v>635050</v>
      </c>
      <c r="F1595" s="3">
        <v>55125</v>
      </c>
      <c r="G1595" s="3" t="str">
        <f t="shared" si="24"/>
        <v>5</v>
      </c>
      <c r="H1595" s="3" t="s">
        <v>2834</v>
      </c>
      <c r="I1595" s="8">
        <v>350</v>
      </c>
      <c r="J1595" s="8">
        <v>0</v>
      </c>
      <c r="K1595" s="8">
        <v>350</v>
      </c>
    </row>
    <row r="1596" spans="1:11" hidden="1" x14ac:dyDescent="0.25">
      <c r="A1596" s="3" t="s">
        <v>2835</v>
      </c>
      <c r="B1596" s="3">
        <v>11</v>
      </c>
      <c r="C1596" s="5">
        <v>395</v>
      </c>
      <c r="D1596" s="6">
        <v>0</v>
      </c>
      <c r="E1596" s="7">
        <v>635050</v>
      </c>
      <c r="F1596" s="3">
        <v>55200</v>
      </c>
      <c r="G1596" s="3" t="str">
        <f t="shared" si="24"/>
        <v>5</v>
      </c>
      <c r="H1596" s="3" t="s">
        <v>2836</v>
      </c>
      <c r="I1596" s="8">
        <v>1600</v>
      </c>
      <c r="J1596" s="8">
        <v>100</v>
      </c>
      <c r="K1596" s="8">
        <v>1600</v>
      </c>
    </row>
    <row r="1597" spans="1:11" hidden="1" x14ac:dyDescent="0.25">
      <c r="A1597" s="3" t="s">
        <v>2837</v>
      </c>
      <c r="B1597" s="3">
        <v>11</v>
      </c>
      <c r="C1597" s="5">
        <v>395</v>
      </c>
      <c r="D1597" s="6">
        <v>0</v>
      </c>
      <c r="E1597" s="7">
        <v>635050</v>
      </c>
      <c r="F1597" s="3">
        <v>55630</v>
      </c>
      <c r="G1597" s="3" t="str">
        <f t="shared" si="24"/>
        <v>5</v>
      </c>
      <c r="H1597" s="3" t="s">
        <v>2838</v>
      </c>
      <c r="I1597" s="8">
        <v>495</v>
      </c>
      <c r="J1597" s="8">
        <v>14.66</v>
      </c>
      <c r="K1597" s="8">
        <v>495</v>
      </c>
    </row>
    <row r="1598" spans="1:11" hidden="1" x14ac:dyDescent="0.25">
      <c r="A1598" s="3" t="s">
        <v>2839</v>
      </c>
      <c r="B1598" s="3">
        <v>11</v>
      </c>
      <c r="C1598" s="5">
        <v>395</v>
      </c>
      <c r="D1598" s="6">
        <v>0</v>
      </c>
      <c r="E1598" s="7">
        <v>635050</v>
      </c>
      <c r="F1598" s="3">
        <v>55650</v>
      </c>
      <c r="G1598" s="3" t="str">
        <f t="shared" si="24"/>
        <v>5</v>
      </c>
      <c r="H1598" s="3" t="s">
        <v>2840</v>
      </c>
      <c r="I1598" s="8">
        <v>160</v>
      </c>
      <c r="J1598" s="8">
        <v>21.5</v>
      </c>
      <c r="K1598" s="8">
        <v>160</v>
      </c>
    </row>
    <row r="1599" spans="1:11" hidden="1" x14ac:dyDescent="0.25">
      <c r="A1599" s="3" t="s">
        <v>2841</v>
      </c>
      <c r="B1599" s="3">
        <v>11</v>
      </c>
      <c r="C1599" s="5">
        <v>395</v>
      </c>
      <c r="D1599" s="6">
        <v>0</v>
      </c>
      <c r="E1599" s="7">
        <v>635050</v>
      </c>
      <c r="F1599" s="3">
        <v>56400</v>
      </c>
      <c r="G1599" s="3" t="str">
        <f t="shared" si="24"/>
        <v>5</v>
      </c>
      <c r="H1599" s="3" t="s">
        <v>2842</v>
      </c>
      <c r="I1599" s="8">
        <v>2224</v>
      </c>
      <c r="J1599" s="8">
        <v>2176.2600000000002</v>
      </c>
      <c r="K1599" s="8">
        <v>2224</v>
      </c>
    </row>
    <row r="1600" spans="1:11" hidden="1" x14ac:dyDescent="0.25">
      <c r="A1600" s="3" t="s">
        <v>2843</v>
      </c>
      <c r="B1600" s="3">
        <v>11</v>
      </c>
      <c r="C1600" s="5">
        <v>395</v>
      </c>
      <c r="D1600" s="6">
        <v>0</v>
      </c>
      <c r="E1600" s="7">
        <v>696000</v>
      </c>
      <c r="F1600" s="3">
        <v>52130</v>
      </c>
      <c r="G1600" s="3" t="str">
        <f t="shared" si="24"/>
        <v>5</v>
      </c>
      <c r="H1600" s="3" t="s">
        <v>2844</v>
      </c>
      <c r="I1600" s="8">
        <v>111022</v>
      </c>
      <c r="J1600" s="8">
        <v>83266.559999999998</v>
      </c>
      <c r="K1600" s="8">
        <v>111022</v>
      </c>
    </row>
    <row r="1601" spans="1:12" hidden="1" x14ac:dyDescent="0.25">
      <c r="A1601" s="3" t="s">
        <v>2845</v>
      </c>
      <c r="B1601" s="3">
        <v>11</v>
      </c>
      <c r="C1601" s="5">
        <v>395</v>
      </c>
      <c r="D1601" s="6">
        <v>0</v>
      </c>
      <c r="E1601" s="7">
        <v>696000</v>
      </c>
      <c r="F1601" s="3">
        <v>53220</v>
      </c>
      <c r="G1601" s="3" t="str">
        <f t="shared" si="24"/>
        <v>5</v>
      </c>
      <c r="H1601" s="3" t="s">
        <v>2846</v>
      </c>
      <c r="I1601" s="8">
        <v>22981.55</v>
      </c>
      <c r="J1601" s="8">
        <v>17236.169999999998</v>
      </c>
      <c r="K1601" s="8">
        <v>22981.55</v>
      </c>
    </row>
    <row r="1602" spans="1:12" hidden="1" x14ac:dyDescent="0.25">
      <c r="A1602" s="3" t="s">
        <v>2847</v>
      </c>
      <c r="B1602" s="3">
        <v>11</v>
      </c>
      <c r="C1602" s="5">
        <v>395</v>
      </c>
      <c r="D1602" s="6">
        <v>0</v>
      </c>
      <c r="E1602" s="7">
        <v>696000</v>
      </c>
      <c r="F1602" s="3">
        <v>53320</v>
      </c>
      <c r="G1602" s="3" t="str">
        <f t="shared" si="24"/>
        <v>5</v>
      </c>
      <c r="H1602" s="3" t="s">
        <v>2848</v>
      </c>
      <c r="I1602" s="8">
        <v>6883.36</v>
      </c>
      <c r="J1602" s="8">
        <v>5164.76</v>
      </c>
      <c r="K1602" s="8">
        <v>6883.36</v>
      </c>
    </row>
    <row r="1603" spans="1:12" hidden="1" x14ac:dyDescent="0.25">
      <c r="A1603" s="3" t="s">
        <v>2849</v>
      </c>
      <c r="B1603" s="3">
        <v>11</v>
      </c>
      <c r="C1603" s="5">
        <v>395</v>
      </c>
      <c r="D1603" s="6">
        <v>0</v>
      </c>
      <c r="E1603" s="7">
        <v>696000</v>
      </c>
      <c r="F1603" s="3">
        <v>53340</v>
      </c>
      <c r="G1603" s="3" t="str">
        <f t="shared" ref="G1603:G1666" si="25">LEFT(F1603,1)</f>
        <v>5</v>
      </c>
      <c r="H1603" s="3" t="s">
        <v>2850</v>
      </c>
      <c r="I1603" s="8">
        <v>1609.82</v>
      </c>
      <c r="J1603" s="8">
        <v>1207.8800000000001</v>
      </c>
      <c r="K1603" s="8">
        <v>1609.82</v>
      </c>
    </row>
    <row r="1604" spans="1:12" hidden="1" x14ac:dyDescent="0.25">
      <c r="A1604" s="3" t="s">
        <v>2851</v>
      </c>
      <c r="B1604" s="3">
        <v>11</v>
      </c>
      <c r="C1604" s="5">
        <v>395</v>
      </c>
      <c r="D1604" s="6">
        <v>0</v>
      </c>
      <c r="E1604" s="7">
        <v>696000</v>
      </c>
      <c r="F1604" s="3">
        <v>53420</v>
      </c>
      <c r="G1604" s="3" t="str">
        <f t="shared" si="25"/>
        <v>5</v>
      </c>
      <c r="H1604" s="3" t="s">
        <v>2852</v>
      </c>
      <c r="I1604" s="8">
        <v>23106.6</v>
      </c>
      <c r="J1604" s="8">
        <v>16913.09</v>
      </c>
      <c r="K1604" s="8">
        <v>23106.6</v>
      </c>
    </row>
    <row r="1605" spans="1:12" hidden="1" x14ac:dyDescent="0.25">
      <c r="A1605" s="3" t="s">
        <v>2853</v>
      </c>
      <c r="B1605" s="3">
        <v>11</v>
      </c>
      <c r="C1605" s="5">
        <v>395</v>
      </c>
      <c r="D1605" s="6">
        <v>0</v>
      </c>
      <c r="E1605" s="7">
        <v>696000</v>
      </c>
      <c r="F1605" s="3">
        <v>53520</v>
      </c>
      <c r="G1605" s="3" t="str">
        <f t="shared" si="25"/>
        <v>5</v>
      </c>
      <c r="H1605" s="3" t="s">
        <v>2854</v>
      </c>
      <c r="I1605" s="8">
        <v>55.51</v>
      </c>
      <c r="J1605" s="8">
        <v>41.67</v>
      </c>
      <c r="K1605" s="8">
        <v>55.51</v>
      </c>
    </row>
    <row r="1606" spans="1:12" hidden="1" x14ac:dyDescent="0.25">
      <c r="A1606" s="3" t="s">
        <v>2855</v>
      </c>
      <c r="B1606" s="3">
        <v>11</v>
      </c>
      <c r="C1606" s="5">
        <v>395</v>
      </c>
      <c r="D1606" s="6">
        <v>0</v>
      </c>
      <c r="E1606" s="7">
        <v>696000</v>
      </c>
      <c r="F1606" s="3">
        <v>53620</v>
      </c>
      <c r="G1606" s="3" t="str">
        <f t="shared" si="25"/>
        <v>5</v>
      </c>
      <c r="H1606" s="3" t="s">
        <v>2856</v>
      </c>
      <c r="I1606" s="8">
        <v>2099.1999999999998</v>
      </c>
      <c r="J1606" s="8">
        <v>1574.37</v>
      </c>
      <c r="K1606" s="8">
        <v>2099.1999999999998</v>
      </c>
    </row>
    <row r="1607" spans="1:12" hidden="1" x14ac:dyDescent="0.25">
      <c r="A1607" s="3" t="s">
        <v>2857</v>
      </c>
      <c r="B1607" s="3">
        <v>11</v>
      </c>
      <c r="C1607" s="5">
        <v>395</v>
      </c>
      <c r="D1607" s="6">
        <v>0</v>
      </c>
      <c r="E1607" s="7">
        <v>696000</v>
      </c>
      <c r="F1607" s="3">
        <v>53920</v>
      </c>
      <c r="G1607" s="3" t="str">
        <f t="shared" si="25"/>
        <v>5</v>
      </c>
      <c r="H1607" s="3" t="s">
        <v>2858</v>
      </c>
      <c r="I1607" s="8">
        <v>2400</v>
      </c>
      <c r="J1607" s="8">
        <v>1600</v>
      </c>
      <c r="K1607" s="8">
        <v>2400</v>
      </c>
    </row>
    <row r="1608" spans="1:12" hidden="1" x14ac:dyDescent="0.25">
      <c r="A1608" s="3" t="s">
        <v>2859</v>
      </c>
      <c r="B1608" s="3">
        <v>11</v>
      </c>
      <c r="C1608" s="5">
        <v>395</v>
      </c>
      <c r="D1608" s="6">
        <v>0</v>
      </c>
      <c r="E1608" s="7">
        <v>696000</v>
      </c>
      <c r="F1608" s="3">
        <v>55630</v>
      </c>
      <c r="G1608" s="3" t="str">
        <f t="shared" si="25"/>
        <v>5</v>
      </c>
      <c r="H1608" s="3" t="s">
        <v>2860</v>
      </c>
      <c r="I1608" s="8">
        <v>600</v>
      </c>
      <c r="J1608" s="8">
        <v>0</v>
      </c>
      <c r="K1608" s="8">
        <v>600</v>
      </c>
    </row>
    <row r="1609" spans="1:12" x14ac:dyDescent="0.25">
      <c r="A1609" s="3" t="s">
        <v>2861</v>
      </c>
      <c r="B1609" s="3">
        <v>11</v>
      </c>
      <c r="C1609" s="5">
        <v>398</v>
      </c>
      <c r="D1609" s="6">
        <v>0</v>
      </c>
      <c r="E1609" s="7">
        <v>0</v>
      </c>
      <c r="F1609" s="3">
        <v>48630</v>
      </c>
      <c r="G1609" s="3" t="str">
        <f t="shared" si="25"/>
        <v>4</v>
      </c>
      <c r="H1609" s="3" t="s">
        <v>19</v>
      </c>
      <c r="I1609" s="8">
        <v>-8139807</v>
      </c>
      <c r="J1609" s="8">
        <v>-6044209</v>
      </c>
      <c r="K1609" s="1">
        <f>ROUND(-8097061*104.05%,0)</f>
        <v>-8424992</v>
      </c>
      <c r="L1609" s="8" t="s">
        <v>9992</v>
      </c>
    </row>
    <row r="1610" spans="1:12" x14ac:dyDescent="0.25">
      <c r="A1610" s="3" t="s">
        <v>2862</v>
      </c>
      <c r="B1610" s="3">
        <v>11</v>
      </c>
      <c r="C1610" s="5">
        <v>399</v>
      </c>
      <c r="D1610" s="6">
        <v>0</v>
      </c>
      <c r="E1610" s="7">
        <v>0</v>
      </c>
      <c r="F1610" s="3">
        <v>48680</v>
      </c>
      <c r="G1610" s="3" t="str">
        <f t="shared" si="25"/>
        <v>4</v>
      </c>
      <c r="H1610" s="3" t="s">
        <v>2863</v>
      </c>
      <c r="I1610" s="8">
        <v>-1030341.12</v>
      </c>
      <c r="J1610" s="8">
        <v>-598964.18999999994</v>
      </c>
      <c r="K1610" s="8">
        <v>-1190593</v>
      </c>
      <c r="L1610" s="8" t="s">
        <v>6686</v>
      </c>
    </row>
    <row r="1611" spans="1:12" hidden="1" x14ac:dyDescent="0.25">
      <c r="A1611" s="3" t="s">
        <v>2864</v>
      </c>
      <c r="B1611" s="3">
        <v>11</v>
      </c>
      <c r="C1611" s="5">
        <v>400</v>
      </c>
      <c r="D1611" s="6">
        <v>0</v>
      </c>
      <c r="E1611" s="7">
        <v>493010</v>
      </c>
      <c r="F1611" s="3">
        <v>51310</v>
      </c>
      <c r="G1611" s="3" t="str">
        <f t="shared" si="25"/>
        <v>5</v>
      </c>
      <c r="H1611" s="3" t="s">
        <v>2865</v>
      </c>
      <c r="I1611" s="8">
        <v>0</v>
      </c>
      <c r="J1611" s="8">
        <v>1373.6</v>
      </c>
      <c r="K1611" s="8">
        <v>0</v>
      </c>
    </row>
    <row r="1612" spans="1:12" hidden="1" x14ac:dyDescent="0.25">
      <c r="A1612" s="3" t="s">
        <v>2866</v>
      </c>
      <c r="B1612" s="3">
        <v>11</v>
      </c>
      <c r="C1612" s="5">
        <v>400</v>
      </c>
      <c r="D1612" s="6">
        <v>0</v>
      </c>
      <c r="E1612" s="7">
        <v>493010</v>
      </c>
      <c r="F1612" s="3">
        <v>53110</v>
      </c>
      <c r="G1612" s="3" t="str">
        <f t="shared" si="25"/>
        <v>5</v>
      </c>
      <c r="H1612" s="3" t="s">
        <v>459</v>
      </c>
      <c r="I1612" s="8">
        <v>0</v>
      </c>
      <c r="J1612" s="8">
        <v>221.84</v>
      </c>
      <c r="K1612" s="8">
        <v>0</v>
      </c>
    </row>
    <row r="1613" spans="1:12" hidden="1" x14ac:dyDescent="0.25">
      <c r="A1613" s="3" t="s">
        <v>2867</v>
      </c>
      <c r="B1613" s="3">
        <v>11</v>
      </c>
      <c r="C1613" s="5">
        <v>400</v>
      </c>
      <c r="D1613" s="6">
        <v>0</v>
      </c>
      <c r="E1613" s="7">
        <v>493010</v>
      </c>
      <c r="F1613" s="3">
        <v>53330</v>
      </c>
      <c r="G1613" s="3" t="str">
        <f t="shared" si="25"/>
        <v>5</v>
      </c>
      <c r="H1613" s="3" t="s">
        <v>461</v>
      </c>
      <c r="I1613" s="8">
        <v>0</v>
      </c>
      <c r="J1613" s="8">
        <v>19.920000000000002</v>
      </c>
      <c r="K1613" s="8">
        <v>0</v>
      </c>
    </row>
    <row r="1614" spans="1:12" hidden="1" x14ac:dyDescent="0.25">
      <c r="A1614" s="3" t="s">
        <v>2868</v>
      </c>
      <c r="B1614" s="3">
        <v>11</v>
      </c>
      <c r="C1614" s="5">
        <v>400</v>
      </c>
      <c r="D1614" s="6">
        <v>0</v>
      </c>
      <c r="E1614" s="7">
        <v>493010</v>
      </c>
      <c r="F1614" s="3">
        <v>53510</v>
      </c>
      <c r="G1614" s="3" t="str">
        <f t="shared" si="25"/>
        <v>5</v>
      </c>
      <c r="H1614" s="3" t="s">
        <v>463</v>
      </c>
      <c r="I1614" s="8">
        <v>0</v>
      </c>
      <c r="J1614" s="8">
        <v>0.69</v>
      </c>
      <c r="K1614" s="8">
        <v>0</v>
      </c>
    </row>
    <row r="1615" spans="1:12" hidden="1" x14ac:dyDescent="0.25">
      <c r="A1615" s="3" t="s">
        <v>2869</v>
      </c>
      <c r="B1615" s="3">
        <v>11</v>
      </c>
      <c r="C1615" s="5">
        <v>400</v>
      </c>
      <c r="D1615" s="6">
        <v>0</v>
      </c>
      <c r="E1615" s="7">
        <v>493010</v>
      </c>
      <c r="F1615" s="3">
        <v>53610</v>
      </c>
      <c r="G1615" s="3" t="str">
        <f t="shared" si="25"/>
        <v>5</v>
      </c>
      <c r="H1615" s="3" t="s">
        <v>465</v>
      </c>
      <c r="I1615" s="8">
        <v>0</v>
      </c>
      <c r="J1615" s="8">
        <v>25.97</v>
      </c>
      <c r="K1615" s="8">
        <v>0</v>
      </c>
    </row>
    <row r="1616" spans="1:12" hidden="1" x14ac:dyDescent="0.25">
      <c r="A1616" s="3" t="s">
        <v>2870</v>
      </c>
      <c r="B1616" s="3">
        <v>11</v>
      </c>
      <c r="C1616" s="5">
        <v>400</v>
      </c>
      <c r="D1616" s="6">
        <v>0</v>
      </c>
      <c r="E1616" s="7">
        <v>620020</v>
      </c>
      <c r="F1616" s="3">
        <v>52300</v>
      </c>
      <c r="G1616" s="3" t="str">
        <f t="shared" si="25"/>
        <v>5</v>
      </c>
      <c r="H1616" s="3" t="s">
        <v>2871</v>
      </c>
      <c r="I1616" s="8">
        <v>3000</v>
      </c>
      <c r="J1616" s="8">
        <v>0</v>
      </c>
      <c r="K1616" s="8">
        <v>3000</v>
      </c>
    </row>
    <row r="1617" spans="1:11" hidden="1" x14ac:dyDescent="0.25">
      <c r="A1617" s="3" t="s">
        <v>2872</v>
      </c>
      <c r="B1617" s="3">
        <v>11</v>
      </c>
      <c r="C1617" s="5">
        <v>400</v>
      </c>
      <c r="D1617" s="6">
        <v>0</v>
      </c>
      <c r="E1617" s="7">
        <v>620020</v>
      </c>
      <c r="F1617" s="3">
        <v>53320</v>
      </c>
      <c r="G1617" s="3" t="str">
        <f t="shared" si="25"/>
        <v>5</v>
      </c>
      <c r="H1617" s="3" t="s">
        <v>2873</v>
      </c>
      <c r="I1617" s="8">
        <v>186</v>
      </c>
      <c r="J1617" s="8">
        <v>0</v>
      </c>
      <c r="K1617" s="8">
        <v>186</v>
      </c>
    </row>
    <row r="1618" spans="1:11" hidden="1" x14ac:dyDescent="0.25">
      <c r="A1618" s="3" t="s">
        <v>2874</v>
      </c>
      <c r="B1618" s="3">
        <v>11</v>
      </c>
      <c r="C1618" s="5">
        <v>400</v>
      </c>
      <c r="D1618" s="6">
        <v>0</v>
      </c>
      <c r="E1618" s="7">
        <v>620020</v>
      </c>
      <c r="F1618" s="3">
        <v>53340</v>
      </c>
      <c r="G1618" s="3" t="str">
        <f t="shared" si="25"/>
        <v>5</v>
      </c>
      <c r="H1618" s="3" t="s">
        <v>2875</v>
      </c>
      <c r="I1618" s="8">
        <v>43.5</v>
      </c>
      <c r="J1618" s="8">
        <v>0</v>
      </c>
      <c r="K1618" s="8">
        <v>43.5</v>
      </c>
    </row>
    <row r="1619" spans="1:11" hidden="1" x14ac:dyDescent="0.25">
      <c r="A1619" s="3" t="s">
        <v>2876</v>
      </c>
      <c r="B1619" s="3">
        <v>11</v>
      </c>
      <c r="C1619" s="5">
        <v>400</v>
      </c>
      <c r="D1619" s="6">
        <v>0</v>
      </c>
      <c r="E1619" s="7">
        <v>620020</v>
      </c>
      <c r="F1619" s="3">
        <v>53520</v>
      </c>
      <c r="G1619" s="3" t="str">
        <f t="shared" si="25"/>
        <v>5</v>
      </c>
      <c r="H1619" s="3" t="s">
        <v>2877</v>
      </c>
      <c r="I1619" s="8">
        <v>1.5</v>
      </c>
      <c r="J1619" s="8">
        <v>0</v>
      </c>
      <c r="K1619" s="8">
        <v>1.5</v>
      </c>
    </row>
    <row r="1620" spans="1:11" hidden="1" x14ac:dyDescent="0.25">
      <c r="A1620" s="3" t="s">
        <v>2878</v>
      </c>
      <c r="B1620" s="3">
        <v>11</v>
      </c>
      <c r="C1620" s="5">
        <v>400</v>
      </c>
      <c r="D1620" s="6">
        <v>0</v>
      </c>
      <c r="E1620" s="7">
        <v>620020</v>
      </c>
      <c r="F1620" s="3">
        <v>53620</v>
      </c>
      <c r="G1620" s="3" t="str">
        <f t="shared" si="25"/>
        <v>5</v>
      </c>
      <c r="H1620" s="3" t="s">
        <v>2879</v>
      </c>
      <c r="I1620" s="8">
        <v>56.72</v>
      </c>
      <c r="J1620" s="8">
        <v>0</v>
      </c>
      <c r="K1620" s="8">
        <v>56.72</v>
      </c>
    </row>
    <row r="1621" spans="1:11" hidden="1" x14ac:dyDescent="0.25">
      <c r="A1621" s="3" t="s">
        <v>2880</v>
      </c>
      <c r="B1621" s="3">
        <v>11</v>
      </c>
      <c r="C1621" s="5">
        <v>400</v>
      </c>
      <c r="D1621" s="6">
        <v>0</v>
      </c>
      <c r="E1621" s="7">
        <v>620020</v>
      </c>
      <c r="F1621" s="3">
        <v>54300</v>
      </c>
      <c r="G1621" s="3" t="str">
        <f t="shared" si="25"/>
        <v>5</v>
      </c>
      <c r="H1621" s="3" t="s">
        <v>2881</v>
      </c>
      <c r="I1621" s="8">
        <v>3000</v>
      </c>
      <c r="J1621" s="8">
        <v>0</v>
      </c>
      <c r="K1621" s="8">
        <v>3000</v>
      </c>
    </row>
    <row r="1622" spans="1:11" hidden="1" x14ac:dyDescent="0.25">
      <c r="A1622" s="3" t="s">
        <v>2882</v>
      </c>
      <c r="B1622" s="3">
        <v>11</v>
      </c>
      <c r="C1622" s="5">
        <v>400</v>
      </c>
      <c r="D1622" s="6">
        <v>0</v>
      </c>
      <c r="E1622" s="7">
        <v>620020</v>
      </c>
      <c r="F1622" s="3">
        <v>55100</v>
      </c>
      <c r="G1622" s="3" t="str">
        <f t="shared" si="25"/>
        <v>5</v>
      </c>
      <c r="H1622" s="3" t="s">
        <v>2883</v>
      </c>
      <c r="I1622" s="8">
        <v>5000</v>
      </c>
      <c r="J1622" s="8">
        <v>0</v>
      </c>
      <c r="K1622" s="8">
        <v>5000</v>
      </c>
    </row>
    <row r="1623" spans="1:11" hidden="1" x14ac:dyDescent="0.25">
      <c r="A1623" s="3" t="s">
        <v>2884</v>
      </c>
      <c r="B1623" s="3">
        <v>11</v>
      </c>
      <c r="C1623" s="5">
        <v>400</v>
      </c>
      <c r="D1623" s="6">
        <v>0</v>
      </c>
      <c r="E1623" s="7">
        <v>620020</v>
      </c>
      <c r="F1623" s="3">
        <v>55635</v>
      </c>
      <c r="G1623" s="3" t="str">
        <f t="shared" si="25"/>
        <v>5</v>
      </c>
      <c r="H1623" s="3" t="s">
        <v>2885</v>
      </c>
      <c r="I1623" s="8">
        <v>12000</v>
      </c>
      <c r="J1623" s="8">
        <v>0</v>
      </c>
      <c r="K1623" s="8">
        <v>12000</v>
      </c>
    </row>
    <row r="1624" spans="1:11" hidden="1" x14ac:dyDescent="0.25">
      <c r="A1624" s="3" t="s">
        <v>2886</v>
      </c>
      <c r="B1624" s="3">
        <v>11</v>
      </c>
      <c r="C1624" s="5">
        <v>400</v>
      </c>
      <c r="D1624" s="6">
        <v>0</v>
      </c>
      <c r="E1624" s="7">
        <v>631000</v>
      </c>
      <c r="F1624" s="3">
        <v>51200</v>
      </c>
      <c r="G1624" s="3" t="str">
        <f t="shared" si="25"/>
        <v>5</v>
      </c>
      <c r="H1624" s="3" t="s">
        <v>2887</v>
      </c>
      <c r="I1624" s="8">
        <v>615758.4</v>
      </c>
      <c r="J1624" s="8">
        <v>449724.48</v>
      </c>
      <c r="K1624" s="8">
        <v>615758.4</v>
      </c>
    </row>
    <row r="1625" spans="1:11" hidden="1" x14ac:dyDescent="0.25">
      <c r="A1625" s="3" t="s">
        <v>2888</v>
      </c>
      <c r="B1625" s="3">
        <v>11</v>
      </c>
      <c r="C1625" s="5">
        <v>400</v>
      </c>
      <c r="D1625" s="6">
        <v>0</v>
      </c>
      <c r="E1625" s="7">
        <v>631000</v>
      </c>
      <c r="F1625" s="3">
        <v>51210</v>
      </c>
      <c r="G1625" s="3" t="str">
        <f t="shared" si="25"/>
        <v>5</v>
      </c>
      <c r="H1625" s="3" t="s">
        <v>2889</v>
      </c>
      <c r="I1625" s="8">
        <v>137207</v>
      </c>
      <c r="J1625" s="8">
        <v>102404.76</v>
      </c>
      <c r="K1625" s="8">
        <v>137207</v>
      </c>
    </row>
    <row r="1626" spans="1:11" hidden="1" x14ac:dyDescent="0.25">
      <c r="A1626" s="3" t="s">
        <v>2890</v>
      </c>
      <c r="B1626" s="3">
        <v>11</v>
      </c>
      <c r="C1626" s="5">
        <v>400</v>
      </c>
      <c r="D1626" s="6">
        <v>0</v>
      </c>
      <c r="E1626" s="7">
        <v>631000</v>
      </c>
      <c r="F1626" s="3">
        <v>51310</v>
      </c>
      <c r="G1626" s="3" t="str">
        <f t="shared" si="25"/>
        <v>5</v>
      </c>
      <c r="H1626" s="3" t="s">
        <v>2891</v>
      </c>
      <c r="I1626" s="8">
        <v>148000</v>
      </c>
      <c r="J1626" s="8">
        <v>66240.31</v>
      </c>
      <c r="K1626" s="8">
        <v>148000</v>
      </c>
    </row>
    <row r="1627" spans="1:11" hidden="1" x14ac:dyDescent="0.25">
      <c r="A1627" s="3" t="s">
        <v>2892</v>
      </c>
      <c r="B1627" s="3">
        <v>11</v>
      </c>
      <c r="C1627" s="5">
        <v>400</v>
      </c>
      <c r="D1627" s="6">
        <v>0</v>
      </c>
      <c r="E1627" s="7">
        <v>631000</v>
      </c>
      <c r="F1627" s="3">
        <v>51311</v>
      </c>
      <c r="G1627" s="3" t="str">
        <f t="shared" si="25"/>
        <v>5</v>
      </c>
      <c r="H1627" s="3" t="s">
        <v>529</v>
      </c>
      <c r="I1627" s="8">
        <v>58317</v>
      </c>
      <c r="J1627" s="8">
        <v>33781.24</v>
      </c>
      <c r="K1627" s="8">
        <v>58317</v>
      </c>
    </row>
    <row r="1628" spans="1:11" hidden="1" x14ac:dyDescent="0.25">
      <c r="A1628" s="3" t="s">
        <v>2893</v>
      </c>
      <c r="B1628" s="3">
        <v>11</v>
      </c>
      <c r="C1628" s="5">
        <v>400</v>
      </c>
      <c r="D1628" s="6">
        <v>0</v>
      </c>
      <c r="E1628" s="7">
        <v>631000</v>
      </c>
      <c r="F1628" s="3">
        <v>51410</v>
      </c>
      <c r="G1628" s="3" t="str">
        <f t="shared" si="25"/>
        <v>5</v>
      </c>
      <c r="H1628" s="3" t="s">
        <v>2894</v>
      </c>
      <c r="I1628" s="8">
        <v>140000</v>
      </c>
      <c r="J1628" s="8">
        <v>33055.32</v>
      </c>
      <c r="K1628" s="8">
        <v>140000</v>
      </c>
    </row>
    <row r="1629" spans="1:11" hidden="1" x14ac:dyDescent="0.25">
      <c r="A1629" s="3" t="s">
        <v>2895</v>
      </c>
      <c r="B1629" s="3">
        <v>11</v>
      </c>
      <c r="C1629" s="5">
        <v>400</v>
      </c>
      <c r="D1629" s="6">
        <v>0</v>
      </c>
      <c r="E1629" s="7">
        <v>631000</v>
      </c>
      <c r="F1629" s="3">
        <v>51411</v>
      </c>
      <c r="G1629" s="3" t="str">
        <f t="shared" si="25"/>
        <v>5</v>
      </c>
      <c r="H1629" s="3" t="s">
        <v>531</v>
      </c>
      <c r="I1629" s="8">
        <v>110000</v>
      </c>
      <c r="J1629" s="8">
        <v>54601.26</v>
      </c>
      <c r="K1629" s="8">
        <v>110000</v>
      </c>
    </row>
    <row r="1630" spans="1:11" hidden="1" x14ac:dyDescent="0.25">
      <c r="A1630" s="3" t="s">
        <v>2896</v>
      </c>
      <c r="B1630" s="3">
        <v>11</v>
      </c>
      <c r="C1630" s="5">
        <v>400</v>
      </c>
      <c r="D1630" s="6">
        <v>0</v>
      </c>
      <c r="E1630" s="7">
        <v>631000</v>
      </c>
      <c r="F1630" s="3">
        <v>52105</v>
      </c>
      <c r="G1630" s="3" t="str">
        <f t="shared" si="25"/>
        <v>5</v>
      </c>
      <c r="H1630" s="3" t="s">
        <v>2897</v>
      </c>
      <c r="I1630" s="8">
        <v>54767.1</v>
      </c>
      <c r="J1630" s="8">
        <v>42125.2</v>
      </c>
      <c r="K1630" s="8">
        <v>54767.1</v>
      </c>
    </row>
    <row r="1631" spans="1:11" hidden="1" x14ac:dyDescent="0.25">
      <c r="A1631" s="3" t="s">
        <v>2898</v>
      </c>
      <c r="B1631" s="3">
        <v>11</v>
      </c>
      <c r="C1631" s="5">
        <v>400</v>
      </c>
      <c r="D1631" s="6">
        <v>0</v>
      </c>
      <c r="E1631" s="7">
        <v>631000</v>
      </c>
      <c r="F1631" s="3">
        <v>52300</v>
      </c>
      <c r="G1631" s="3" t="str">
        <f t="shared" si="25"/>
        <v>5</v>
      </c>
      <c r="H1631" s="3" t="s">
        <v>2899</v>
      </c>
      <c r="I1631" s="8">
        <v>726.23</v>
      </c>
      <c r="J1631" s="8">
        <v>726.23</v>
      </c>
      <c r="K1631" s="8">
        <v>726.23</v>
      </c>
    </row>
    <row r="1632" spans="1:11" hidden="1" x14ac:dyDescent="0.25">
      <c r="A1632" s="3" t="s">
        <v>2900</v>
      </c>
      <c r="B1632" s="3">
        <v>11</v>
      </c>
      <c r="C1632" s="5">
        <v>400</v>
      </c>
      <c r="D1632" s="6">
        <v>0</v>
      </c>
      <c r="E1632" s="7">
        <v>631000</v>
      </c>
      <c r="F1632" s="3">
        <v>52360</v>
      </c>
      <c r="G1632" s="3" t="str">
        <f t="shared" si="25"/>
        <v>5</v>
      </c>
      <c r="H1632" s="3" t="s">
        <v>2901</v>
      </c>
      <c r="I1632" s="8">
        <v>3253.12</v>
      </c>
      <c r="J1632" s="8">
        <v>3253.12</v>
      </c>
      <c r="K1632" s="8">
        <v>3253.12</v>
      </c>
    </row>
    <row r="1633" spans="1:11" hidden="1" x14ac:dyDescent="0.25">
      <c r="A1633" s="3" t="s">
        <v>2902</v>
      </c>
      <c r="B1633" s="3">
        <v>11</v>
      </c>
      <c r="C1633" s="5">
        <v>400</v>
      </c>
      <c r="D1633" s="6">
        <v>0</v>
      </c>
      <c r="E1633" s="7">
        <v>631000</v>
      </c>
      <c r="F1633" s="3">
        <v>53110</v>
      </c>
      <c r="G1633" s="3" t="str">
        <f t="shared" si="25"/>
        <v>5</v>
      </c>
      <c r="H1633" s="3" t="s">
        <v>533</v>
      </c>
      <c r="I1633" s="8">
        <v>33320.199999999997</v>
      </c>
      <c r="J1633" s="8">
        <v>13589.98</v>
      </c>
      <c r="K1633" s="8">
        <v>33320.199999999997</v>
      </c>
    </row>
    <row r="1634" spans="1:11" hidden="1" x14ac:dyDescent="0.25">
      <c r="A1634" s="3" t="s">
        <v>2903</v>
      </c>
      <c r="B1634" s="3">
        <v>11</v>
      </c>
      <c r="C1634" s="5">
        <v>400</v>
      </c>
      <c r="D1634" s="6">
        <v>0</v>
      </c>
      <c r="E1634" s="7">
        <v>631000</v>
      </c>
      <c r="F1634" s="3">
        <v>53120</v>
      </c>
      <c r="G1634" s="3" t="str">
        <f t="shared" si="25"/>
        <v>5</v>
      </c>
      <c r="H1634" s="3" t="s">
        <v>535</v>
      </c>
      <c r="I1634" s="8">
        <v>145570.99</v>
      </c>
      <c r="J1634" s="8">
        <v>74853.98</v>
      </c>
      <c r="K1634" s="8">
        <v>145570.99</v>
      </c>
    </row>
    <row r="1635" spans="1:11" hidden="1" x14ac:dyDescent="0.25">
      <c r="A1635" s="3" t="s">
        <v>2904</v>
      </c>
      <c r="B1635" s="3">
        <v>11</v>
      </c>
      <c r="C1635" s="5">
        <v>400</v>
      </c>
      <c r="D1635" s="6">
        <v>0</v>
      </c>
      <c r="E1635" s="7">
        <v>631000</v>
      </c>
      <c r="F1635" s="3">
        <v>53220</v>
      </c>
      <c r="G1635" s="3" t="str">
        <f t="shared" si="25"/>
        <v>5</v>
      </c>
      <c r="H1635" s="3" t="s">
        <v>2905</v>
      </c>
      <c r="I1635" s="8">
        <v>32367.37</v>
      </c>
      <c r="J1635" s="8">
        <v>45203.59</v>
      </c>
      <c r="K1635" s="8">
        <v>32367.37</v>
      </c>
    </row>
    <row r="1636" spans="1:11" hidden="1" x14ac:dyDescent="0.25">
      <c r="A1636" s="3" t="s">
        <v>2906</v>
      </c>
      <c r="B1636" s="3">
        <v>11</v>
      </c>
      <c r="C1636" s="5">
        <v>400</v>
      </c>
      <c r="D1636" s="6">
        <v>0</v>
      </c>
      <c r="E1636" s="7">
        <v>631000</v>
      </c>
      <c r="F1636" s="3">
        <v>53310</v>
      </c>
      <c r="G1636" s="3" t="str">
        <f t="shared" si="25"/>
        <v>5</v>
      </c>
      <c r="H1636" s="3" t="s">
        <v>2907</v>
      </c>
      <c r="I1636" s="8">
        <v>0</v>
      </c>
      <c r="J1636" s="8">
        <v>984.2</v>
      </c>
      <c r="K1636" s="8">
        <v>0</v>
      </c>
    </row>
    <row r="1637" spans="1:11" hidden="1" x14ac:dyDescent="0.25">
      <c r="A1637" s="3" t="s">
        <v>2908</v>
      </c>
      <c r="B1637" s="3">
        <v>11</v>
      </c>
      <c r="C1637" s="5">
        <v>400</v>
      </c>
      <c r="D1637" s="6">
        <v>0</v>
      </c>
      <c r="E1637" s="7">
        <v>631000</v>
      </c>
      <c r="F1637" s="3">
        <v>53320</v>
      </c>
      <c r="G1637" s="3" t="str">
        <f t="shared" si="25"/>
        <v>5</v>
      </c>
      <c r="H1637" s="3" t="s">
        <v>2909</v>
      </c>
      <c r="I1637" s="8">
        <v>9694.57</v>
      </c>
      <c r="J1637" s="8">
        <v>13677.14</v>
      </c>
      <c r="K1637" s="8">
        <v>9694.57</v>
      </c>
    </row>
    <row r="1638" spans="1:11" hidden="1" x14ac:dyDescent="0.25">
      <c r="A1638" s="3" t="s">
        <v>2910</v>
      </c>
      <c r="B1638" s="3">
        <v>11</v>
      </c>
      <c r="C1638" s="5">
        <v>400</v>
      </c>
      <c r="D1638" s="6">
        <v>0</v>
      </c>
      <c r="E1638" s="7">
        <v>631000</v>
      </c>
      <c r="F1638" s="3">
        <v>53330</v>
      </c>
      <c r="G1638" s="3" t="str">
        <f t="shared" si="25"/>
        <v>5</v>
      </c>
      <c r="H1638" s="3" t="s">
        <v>537</v>
      </c>
      <c r="I1638" s="8">
        <v>2991.6</v>
      </c>
      <c r="J1638" s="8">
        <v>1450.36</v>
      </c>
      <c r="K1638" s="8">
        <v>2991.6</v>
      </c>
    </row>
    <row r="1639" spans="1:11" hidden="1" x14ac:dyDescent="0.25">
      <c r="A1639" s="3" t="s">
        <v>2911</v>
      </c>
      <c r="B1639" s="3">
        <v>11</v>
      </c>
      <c r="C1639" s="5">
        <v>400</v>
      </c>
      <c r="D1639" s="6">
        <v>0</v>
      </c>
      <c r="E1639" s="7">
        <v>631000</v>
      </c>
      <c r="F1639" s="3">
        <v>53340</v>
      </c>
      <c r="G1639" s="3" t="str">
        <f t="shared" si="25"/>
        <v>5</v>
      </c>
      <c r="H1639" s="3" t="s">
        <v>539</v>
      </c>
      <c r="I1639" s="8">
        <v>15337.11</v>
      </c>
      <c r="J1639" s="8">
        <v>9903.51</v>
      </c>
      <c r="K1639" s="8">
        <v>15337.11</v>
      </c>
    </row>
    <row r="1640" spans="1:11" hidden="1" x14ac:dyDescent="0.25">
      <c r="A1640" s="3" t="s">
        <v>2912</v>
      </c>
      <c r="B1640" s="3">
        <v>11</v>
      </c>
      <c r="C1640" s="5">
        <v>400</v>
      </c>
      <c r="D1640" s="6">
        <v>0</v>
      </c>
      <c r="E1640" s="7">
        <v>631000</v>
      </c>
      <c r="F1640" s="3">
        <v>53410</v>
      </c>
      <c r="G1640" s="3" t="str">
        <f t="shared" si="25"/>
        <v>5</v>
      </c>
      <c r="H1640" s="3" t="s">
        <v>2913</v>
      </c>
      <c r="I1640" s="8">
        <v>0</v>
      </c>
      <c r="J1640" s="8">
        <v>838.04</v>
      </c>
      <c r="K1640" s="8">
        <v>0</v>
      </c>
    </row>
    <row r="1641" spans="1:11" hidden="1" x14ac:dyDescent="0.25">
      <c r="A1641" s="3" t="s">
        <v>2914</v>
      </c>
      <c r="B1641" s="3">
        <v>11</v>
      </c>
      <c r="C1641" s="5">
        <v>400</v>
      </c>
      <c r="D1641" s="6">
        <v>0</v>
      </c>
      <c r="E1641" s="7">
        <v>631000</v>
      </c>
      <c r="F1641" s="3">
        <v>53420</v>
      </c>
      <c r="G1641" s="3" t="str">
        <f t="shared" si="25"/>
        <v>5</v>
      </c>
      <c r="H1641" s="3" t="s">
        <v>2915</v>
      </c>
      <c r="I1641" s="8">
        <v>149763.62</v>
      </c>
      <c r="J1641" s="8">
        <v>106792.6</v>
      </c>
      <c r="K1641" s="8">
        <v>149763.62</v>
      </c>
    </row>
    <row r="1642" spans="1:11" hidden="1" x14ac:dyDescent="0.25">
      <c r="A1642" s="3" t="s">
        <v>2916</v>
      </c>
      <c r="B1642" s="3">
        <v>11</v>
      </c>
      <c r="C1642" s="5">
        <v>400</v>
      </c>
      <c r="D1642" s="6">
        <v>0</v>
      </c>
      <c r="E1642" s="7">
        <v>631000</v>
      </c>
      <c r="F1642" s="3">
        <v>53510</v>
      </c>
      <c r="G1642" s="3" t="str">
        <f t="shared" si="25"/>
        <v>5</v>
      </c>
      <c r="H1642" s="3" t="s">
        <v>541</v>
      </c>
      <c r="I1642" s="8">
        <v>103.16</v>
      </c>
      <c r="J1642" s="8">
        <v>49.92</v>
      </c>
      <c r="K1642" s="8">
        <v>103.16</v>
      </c>
    </row>
    <row r="1643" spans="1:11" hidden="1" x14ac:dyDescent="0.25">
      <c r="A1643" s="3" t="s">
        <v>2917</v>
      </c>
      <c r="B1643" s="3">
        <v>11</v>
      </c>
      <c r="C1643" s="5">
        <v>400</v>
      </c>
      <c r="D1643" s="6">
        <v>0</v>
      </c>
      <c r="E1643" s="7">
        <v>631000</v>
      </c>
      <c r="F1643" s="3">
        <v>53520</v>
      </c>
      <c r="G1643" s="3" t="str">
        <f t="shared" si="25"/>
        <v>5</v>
      </c>
      <c r="H1643" s="3" t="s">
        <v>543</v>
      </c>
      <c r="I1643" s="8">
        <v>528.86</v>
      </c>
      <c r="J1643" s="8">
        <v>342.42</v>
      </c>
      <c r="K1643" s="8">
        <v>528.86</v>
      </c>
    </row>
    <row r="1644" spans="1:11" hidden="1" x14ac:dyDescent="0.25">
      <c r="A1644" s="3" t="s">
        <v>2918</v>
      </c>
      <c r="B1644" s="3">
        <v>11</v>
      </c>
      <c r="C1644" s="5">
        <v>400</v>
      </c>
      <c r="D1644" s="6">
        <v>0</v>
      </c>
      <c r="E1644" s="7">
        <v>631000</v>
      </c>
      <c r="F1644" s="3">
        <v>53610</v>
      </c>
      <c r="G1644" s="3" t="str">
        <f t="shared" si="25"/>
        <v>5</v>
      </c>
      <c r="H1644" s="3" t="s">
        <v>545</v>
      </c>
      <c r="I1644" s="8">
        <v>3901.04</v>
      </c>
      <c r="J1644" s="8">
        <v>1890.89</v>
      </c>
      <c r="K1644" s="8">
        <v>3901.04</v>
      </c>
    </row>
    <row r="1645" spans="1:11" hidden="1" x14ac:dyDescent="0.25">
      <c r="A1645" s="3" t="s">
        <v>2919</v>
      </c>
      <c r="B1645" s="3">
        <v>11</v>
      </c>
      <c r="C1645" s="5">
        <v>400</v>
      </c>
      <c r="D1645" s="6">
        <v>0</v>
      </c>
      <c r="E1645" s="7">
        <v>631000</v>
      </c>
      <c r="F1645" s="3">
        <v>53620</v>
      </c>
      <c r="G1645" s="3" t="str">
        <f t="shared" si="25"/>
        <v>5</v>
      </c>
      <c r="H1645" s="3" t="s">
        <v>547</v>
      </c>
      <c r="I1645" s="8">
        <v>19999.61</v>
      </c>
      <c r="J1645" s="8">
        <v>12971.01</v>
      </c>
      <c r="K1645" s="8">
        <v>19999.61</v>
      </c>
    </row>
    <row r="1646" spans="1:11" hidden="1" x14ac:dyDescent="0.25">
      <c r="A1646" s="3" t="s">
        <v>2920</v>
      </c>
      <c r="B1646" s="3">
        <v>11</v>
      </c>
      <c r="C1646" s="5">
        <v>400</v>
      </c>
      <c r="D1646" s="6">
        <v>0</v>
      </c>
      <c r="E1646" s="7">
        <v>631000</v>
      </c>
      <c r="F1646" s="3">
        <v>53920</v>
      </c>
      <c r="G1646" s="3" t="str">
        <f t="shared" si="25"/>
        <v>5</v>
      </c>
      <c r="H1646" s="3" t="s">
        <v>2921</v>
      </c>
      <c r="I1646" s="8">
        <v>7200</v>
      </c>
      <c r="J1646" s="8">
        <v>4294.46</v>
      </c>
      <c r="K1646" s="8">
        <v>7200</v>
      </c>
    </row>
    <row r="1647" spans="1:11" hidden="1" x14ac:dyDescent="0.25">
      <c r="A1647" s="3" t="s">
        <v>2922</v>
      </c>
      <c r="B1647" s="3">
        <v>11</v>
      </c>
      <c r="C1647" s="5">
        <v>400</v>
      </c>
      <c r="D1647" s="6">
        <v>0</v>
      </c>
      <c r="E1647" s="7">
        <v>631000</v>
      </c>
      <c r="F1647" s="3">
        <v>54300</v>
      </c>
      <c r="G1647" s="3" t="str">
        <f t="shared" si="25"/>
        <v>5</v>
      </c>
      <c r="H1647" s="3" t="s">
        <v>2923</v>
      </c>
      <c r="I1647" s="8">
        <v>40</v>
      </c>
      <c r="J1647" s="8">
        <v>0</v>
      </c>
      <c r="K1647" s="8">
        <v>40</v>
      </c>
    </row>
    <row r="1648" spans="1:11" hidden="1" x14ac:dyDescent="0.25">
      <c r="A1648" s="3" t="s">
        <v>2924</v>
      </c>
      <c r="B1648" s="3">
        <v>11</v>
      </c>
      <c r="C1648" s="5">
        <v>400</v>
      </c>
      <c r="D1648" s="6">
        <v>0</v>
      </c>
      <c r="E1648" s="7">
        <v>631000</v>
      </c>
      <c r="F1648" s="3">
        <v>55630</v>
      </c>
      <c r="G1648" s="3" t="str">
        <f t="shared" si="25"/>
        <v>5</v>
      </c>
      <c r="H1648" s="3" t="s">
        <v>549</v>
      </c>
      <c r="I1648" s="8">
        <v>20.65</v>
      </c>
      <c r="J1648" s="8">
        <v>282.23</v>
      </c>
      <c r="K1648" s="8">
        <v>20.65</v>
      </c>
    </row>
    <row r="1649" spans="1:11" hidden="1" x14ac:dyDescent="0.25">
      <c r="A1649" s="3" t="s">
        <v>2925</v>
      </c>
      <c r="B1649" s="3">
        <v>11</v>
      </c>
      <c r="C1649" s="5">
        <v>400</v>
      </c>
      <c r="D1649" s="6">
        <v>0</v>
      </c>
      <c r="E1649" s="7">
        <v>631020</v>
      </c>
      <c r="F1649" s="3">
        <v>52360</v>
      </c>
      <c r="G1649" s="3" t="str">
        <f t="shared" si="25"/>
        <v>5</v>
      </c>
      <c r="H1649" s="3" t="s">
        <v>2926</v>
      </c>
      <c r="I1649" s="8">
        <v>71000</v>
      </c>
      <c r="J1649" s="8">
        <v>107425</v>
      </c>
      <c r="K1649" s="8">
        <v>71000</v>
      </c>
    </row>
    <row r="1650" spans="1:11" hidden="1" x14ac:dyDescent="0.25">
      <c r="A1650" s="3" t="s">
        <v>2927</v>
      </c>
      <c r="B1650" s="3">
        <v>11</v>
      </c>
      <c r="C1650" s="5">
        <v>400</v>
      </c>
      <c r="D1650" s="6">
        <v>0</v>
      </c>
      <c r="E1650" s="7">
        <v>631020</v>
      </c>
      <c r="F1650" s="3">
        <v>53120</v>
      </c>
      <c r="G1650" s="3" t="str">
        <f t="shared" si="25"/>
        <v>5</v>
      </c>
      <c r="H1650" s="3" t="s">
        <v>2928</v>
      </c>
      <c r="I1650" s="8">
        <v>0</v>
      </c>
      <c r="J1650" s="8">
        <v>254.37</v>
      </c>
      <c r="K1650" s="8">
        <v>0</v>
      </c>
    </row>
    <row r="1651" spans="1:11" hidden="1" x14ac:dyDescent="0.25">
      <c r="A1651" s="3" t="s">
        <v>2929</v>
      </c>
      <c r="B1651" s="3">
        <v>11</v>
      </c>
      <c r="C1651" s="5">
        <v>400</v>
      </c>
      <c r="D1651" s="6">
        <v>0</v>
      </c>
      <c r="E1651" s="7">
        <v>631020</v>
      </c>
      <c r="F1651" s="3">
        <v>53220</v>
      </c>
      <c r="G1651" s="3" t="str">
        <f t="shared" si="25"/>
        <v>5</v>
      </c>
      <c r="H1651" s="3" t="s">
        <v>2930</v>
      </c>
      <c r="I1651" s="8">
        <v>0</v>
      </c>
      <c r="J1651" s="8">
        <v>6844.72</v>
      </c>
      <c r="K1651" s="8">
        <v>0</v>
      </c>
    </row>
    <row r="1652" spans="1:11" hidden="1" x14ac:dyDescent="0.25">
      <c r="A1652" s="3" t="s">
        <v>2931</v>
      </c>
      <c r="B1652" s="3">
        <v>11</v>
      </c>
      <c r="C1652" s="5">
        <v>400</v>
      </c>
      <c r="D1652" s="6">
        <v>0</v>
      </c>
      <c r="E1652" s="7">
        <v>631020</v>
      </c>
      <c r="F1652" s="3">
        <v>53320</v>
      </c>
      <c r="G1652" s="3" t="str">
        <f t="shared" si="25"/>
        <v>5</v>
      </c>
      <c r="H1652" s="3" t="s">
        <v>2932</v>
      </c>
      <c r="I1652" s="8">
        <v>4402</v>
      </c>
      <c r="J1652" s="8">
        <v>6158.17</v>
      </c>
      <c r="K1652" s="8">
        <v>4402</v>
      </c>
    </row>
    <row r="1653" spans="1:11" hidden="1" x14ac:dyDescent="0.25">
      <c r="A1653" s="3" t="s">
        <v>2933</v>
      </c>
      <c r="B1653" s="3">
        <v>11</v>
      </c>
      <c r="C1653" s="5">
        <v>400</v>
      </c>
      <c r="D1653" s="6">
        <v>0</v>
      </c>
      <c r="E1653" s="7">
        <v>631020</v>
      </c>
      <c r="F1653" s="3">
        <v>53340</v>
      </c>
      <c r="G1653" s="3" t="str">
        <f t="shared" si="25"/>
        <v>5</v>
      </c>
      <c r="H1653" s="3" t="s">
        <v>2934</v>
      </c>
      <c r="I1653" s="8">
        <v>1029.5</v>
      </c>
      <c r="J1653" s="8">
        <v>1557.72</v>
      </c>
      <c r="K1653" s="8">
        <v>1029.5</v>
      </c>
    </row>
    <row r="1654" spans="1:11" hidden="1" x14ac:dyDescent="0.25">
      <c r="A1654" s="3" t="s">
        <v>2935</v>
      </c>
      <c r="B1654" s="3">
        <v>11</v>
      </c>
      <c r="C1654" s="5">
        <v>400</v>
      </c>
      <c r="D1654" s="6">
        <v>0</v>
      </c>
      <c r="E1654" s="7">
        <v>631020</v>
      </c>
      <c r="F1654" s="3">
        <v>53420</v>
      </c>
      <c r="G1654" s="3" t="str">
        <f t="shared" si="25"/>
        <v>5</v>
      </c>
      <c r="H1654" s="3" t="s">
        <v>2936</v>
      </c>
      <c r="I1654" s="8">
        <v>0</v>
      </c>
      <c r="J1654" s="8">
        <v>144.68</v>
      </c>
      <c r="K1654" s="8">
        <v>0</v>
      </c>
    </row>
    <row r="1655" spans="1:11" hidden="1" x14ac:dyDescent="0.25">
      <c r="A1655" s="3" t="s">
        <v>2937</v>
      </c>
      <c r="B1655" s="3">
        <v>11</v>
      </c>
      <c r="C1655" s="5">
        <v>400</v>
      </c>
      <c r="D1655" s="6">
        <v>0</v>
      </c>
      <c r="E1655" s="7">
        <v>631020</v>
      </c>
      <c r="F1655" s="3">
        <v>53520</v>
      </c>
      <c r="G1655" s="3" t="str">
        <f t="shared" si="25"/>
        <v>5</v>
      </c>
      <c r="H1655" s="3" t="s">
        <v>2938</v>
      </c>
      <c r="I1655" s="8">
        <v>35.5</v>
      </c>
      <c r="J1655" s="8">
        <v>53.79</v>
      </c>
      <c r="K1655" s="8">
        <v>35.5</v>
      </c>
    </row>
    <row r="1656" spans="1:11" hidden="1" x14ac:dyDescent="0.25">
      <c r="A1656" s="3" t="s">
        <v>2939</v>
      </c>
      <c r="B1656" s="3">
        <v>11</v>
      </c>
      <c r="C1656" s="5">
        <v>400</v>
      </c>
      <c r="D1656" s="6">
        <v>0</v>
      </c>
      <c r="E1656" s="7">
        <v>631020</v>
      </c>
      <c r="F1656" s="3">
        <v>53620</v>
      </c>
      <c r="G1656" s="3" t="str">
        <f t="shared" si="25"/>
        <v>5</v>
      </c>
      <c r="H1656" s="3" t="s">
        <v>2940</v>
      </c>
      <c r="I1656" s="8">
        <v>1342.47</v>
      </c>
      <c r="J1656" s="8">
        <v>2031.21</v>
      </c>
      <c r="K1656" s="8">
        <v>1342.47</v>
      </c>
    </row>
    <row r="1657" spans="1:11" hidden="1" x14ac:dyDescent="0.25">
      <c r="A1657" s="3" t="s">
        <v>2941</v>
      </c>
      <c r="B1657" s="3">
        <v>11</v>
      </c>
      <c r="C1657" s="5">
        <v>400</v>
      </c>
      <c r="D1657" s="6">
        <v>0</v>
      </c>
      <c r="E1657" s="7">
        <v>631020</v>
      </c>
      <c r="F1657" s="3">
        <v>55630</v>
      </c>
      <c r="G1657" s="3" t="str">
        <f t="shared" si="25"/>
        <v>5</v>
      </c>
      <c r="H1657" s="3" t="s">
        <v>2942</v>
      </c>
      <c r="I1657" s="8">
        <v>200</v>
      </c>
      <c r="J1657" s="8">
        <v>53.14</v>
      </c>
      <c r="K1657" s="8">
        <v>200</v>
      </c>
    </row>
    <row r="1658" spans="1:11" hidden="1" x14ac:dyDescent="0.25">
      <c r="A1658" s="3" t="s">
        <v>2943</v>
      </c>
      <c r="B1658" s="3">
        <v>11</v>
      </c>
      <c r="C1658" s="5">
        <v>400</v>
      </c>
      <c r="D1658" s="6">
        <v>0</v>
      </c>
      <c r="E1658" s="7">
        <v>633050</v>
      </c>
      <c r="F1658" s="3">
        <v>52310</v>
      </c>
      <c r="G1658" s="3" t="str">
        <f t="shared" si="25"/>
        <v>5</v>
      </c>
      <c r="H1658" s="3" t="s">
        <v>2944</v>
      </c>
      <c r="I1658" s="8">
        <v>1000</v>
      </c>
      <c r="J1658" s="8">
        <v>0</v>
      </c>
      <c r="K1658" s="8">
        <v>1000</v>
      </c>
    </row>
    <row r="1659" spans="1:11" hidden="1" x14ac:dyDescent="0.25">
      <c r="A1659" s="3" t="s">
        <v>2945</v>
      </c>
      <c r="B1659" s="3">
        <v>11</v>
      </c>
      <c r="C1659" s="5">
        <v>400</v>
      </c>
      <c r="D1659" s="6">
        <v>0</v>
      </c>
      <c r="E1659" s="7">
        <v>633050</v>
      </c>
      <c r="F1659" s="3">
        <v>53620</v>
      </c>
      <c r="G1659" s="3" t="str">
        <f t="shared" si="25"/>
        <v>5</v>
      </c>
      <c r="H1659" s="3" t="s">
        <v>2946</v>
      </c>
      <c r="I1659" s="8">
        <v>18.91</v>
      </c>
      <c r="J1659" s="8">
        <v>0</v>
      </c>
      <c r="K1659" s="8">
        <v>18.91</v>
      </c>
    </row>
    <row r="1660" spans="1:11" hidden="1" x14ac:dyDescent="0.25">
      <c r="A1660" s="3" t="s">
        <v>2947</v>
      </c>
      <c r="B1660" s="3">
        <v>11</v>
      </c>
      <c r="C1660" s="5">
        <v>400</v>
      </c>
      <c r="D1660" s="6">
        <v>0</v>
      </c>
      <c r="E1660" s="7">
        <v>634000</v>
      </c>
      <c r="F1660" s="3">
        <v>51200</v>
      </c>
      <c r="G1660" s="3" t="str">
        <f t="shared" si="25"/>
        <v>5</v>
      </c>
      <c r="H1660" s="3" t="s">
        <v>2948</v>
      </c>
      <c r="I1660" s="8">
        <v>92149</v>
      </c>
      <c r="J1660" s="8">
        <v>67017.52</v>
      </c>
      <c r="K1660" s="8">
        <v>92149</v>
      </c>
    </row>
    <row r="1661" spans="1:11" hidden="1" x14ac:dyDescent="0.25">
      <c r="A1661" s="3" t="s">
        <v>2949</v>
      </c>
      <c r="B1661" s="3">
        <v>11</v>
      </c>
      <c r="C1661" s="5">
        <v>400</v>
      </c>
      <c r="D1661" s="6">
        <v>0</v>
      </c>
      <c r="E1661" s="7">
        <v>634000</v>
      </c>
      <c r="F1661" s="3">
        <v>52105</v>
      </c>
      <c r="G1661" s="3" t="str">
        <f t="shared" si="25"/>
        <v>5</v>
      </c>
      <c r="H1661" s="3" t="s">
        <v>2950</v>
      </c>
      <c r="I1661" s="8">
        <v>52849</v>
      </c>
      <c r="J1661" s="8">
        <v>27532.68</v>
      </c>
      <c r="K1661" s="8">
        <v>52849</v>
      </c>
    </row>
    <row r="1662" spans="1:11" hidden="1" x14ac:dyDescent="0.25">
      <c r="A1662" s="3" t="s">
        <v>2951</v>
      </c>
      <c r="B1662" s="3">
        <v>11</v>
      </c>
      <c r="C1662" s="5">
        <v>400</v>
      </c>
      <c r="D1662" s="6">
        <v>0</v>
      </c>
      <c r="E1662" s="7">
        <v>634000</v>
      </c>
      <c r="F1662" s="3">
        <v>52300</v>
      </c>
      <c r="G1662" s="3" t="str">
        <f t="shared" si="25"/>
        <v>5</v>
      </c>
      <c r="H1662" s="3" t="s">
        <v>2952</v>
      </c>
      <c r="I1662" s="8">
        <v>0</v>
      </c>
      <c r="J1662" s="8">
        <v>20.88</v>
      </c>
      <c r="K1662" s="8">
        <v>0</v>
      </c>
    </row>
    <row r="1663" spans="1:11" hidden="1" x14ac:dyDescent="0.25">
      <c r="A1663" s="3" t="s">
        <v>2953</v>
      </c>
      <c r="B1663" s="3">
        <v>11</v>
      </c>
      <c r="C1663" s="5">
        <v>400</v>
      </c>
      <c r="D1663" s="6">
        <v>0</v>
      </c>
      <c r="E1663" s="7">
        <v>634000</v>
      </c>
      <c r="F1663" s="3">
        <v>53120</v>
      </c>
      <c r="G1663" s="3" t="str">
        <f t="shared" si="25"/>
        <v>5</v>
      </c>
      <c r="H1663" s="3" t="s">
        <v>2954</v>
      </c>
      <c r="I1663" s="8">
        <v>14882.06</v>
      </c>
      <c r="J1663" s="8">
        <v>10823.36</v>
      </c>
      <c r="K1663" s="8">
        <v>14882.06</v>
      </c>
    </row>
    <row r="1664" spans="1:11" hidden="1" x14ac:dyDescent="0.25">
      <c r="A1664" s="3" t="s">
        <v>2955</v>
      </c>
      <c r="B1664" s="3">
        <v>11</v>
      </c>
      <c r="C1664" s="5">
        <v>400</v>
      </c>
      <c r="D1664" s="6">
        <v>0</v>
      </c>
      <c r="E1664" s="7">
        <v>634000</v>
      </c>
      <c r="F1664" s="3">
        <v>53220</v>
      </c>
      <c r="G1664" s="3" t="str">
        <f t="shared" si="25"/>
        <v>5</v>
      </c>
      <c r="H1664" s="3" t="s">
        <v>2956</v>
      </c>
      <c r="I1664" s="8">
        <v>10939.74</v>
      </c>
      <c r="J1664" s="8">
        <v>5341.78</v>
      </c>
      <c r="K1664" s="8">
        <v>10939.74</v>
      </c>
    </row>
    <row r="1665" spans="1:11" hidden="1" x14ac:dyDescent="0.25">
      <c r="A1665" s="3" t="s">
        <v>2957</v>
      </c>
      <c r="B1665" s="3">
        <v>11</v>
      </c>
      <c r="C1665" s="5">
        <v>400</v>
      </c>
      <c r="D1665" s="6">
        <v>0</v>
      </c>
      <c r="E1665" s="7">
        <v>634000</v>
      </c>
      <c r="F1665" s="3">
        <v>53320</v>
      </c>
      <c r="G1665" s="3" t="str">
        <f t="shared" si="25"/>
        <v>5</v>
      </c>
      <c r="H1665" s="3" t="s">
        <v>2958</v>
      </c>
      <c r="I1665" s="8">
        <v>3276.64</v>
      </c>
      <c r="J1665" s="8">
        <v>1711.17</v>
      </c>
      <c r="K1665" s="8">
        <v>3276.64</v>
      </c>
    </row>
    <row r="1666" spans="1:11" hidden="1" x14ac:dyDescent="0.25">
      <c r="A1666" s="3" t="s">
        <v>2959</v>
      </c>
      <c r="B1666" s="3">
        <v>11</v>
      </c>
      <c r="C1666" s="5">
        <v>400</v>
      </c>
      <c r="D1666" s="6">
        <v>0</v>
      </c>
      <c r="E1666" s="7">
        <v>634000</v>
      </c>
      <c r="F1666" s="3">
        <v>53340</v>
      </c>
      <c r="G1666" s="3" t="str">
        <f t="shared" si="25"/>
        <v>5</v>
      </c>
      <c r="H1666" s="3" t="s">
        <v>2960</v>
      </c>
      <c r="I1666" s="8">
        <v>2102.4699999999998</v>
      </c>
      <c r="J1666" s="8">
        <v>1372.66</v>
      </c>
      <c r="K1666" s="8">
        <v>2102.4699999999998</v>
      </c>
    </row>
    <row r="1667" spans="1:11" hidden="1" x14ac:dyDescent="0.25">
      <c r="A1667" s="3" t="s">
        <v>2961</v>
      </c>
      <c r="B1667" s="3">
        <v>11</v>
      </c>
      <c r="C1667" s="5">
        <v>400</v>
      </c>
      <c r="D1667" s="6">
        <v>0</v>
      </c>
      <c r="E1667" s="7">
        <v>634000</v>
      </c>
      <c r="F1667" s="3">
        <v>53420</v>
      </c>
      <c r="G1667" s="3" t="str">
        <f t="shared" ref="G1667:G1730" si="26">LEFT(F1667,1)</f>
        <v>5</v>
      </c>
      <c r="H1667" s="3" t="s">
        <v>2962</v>
      </c>
      <c r="I1667" s="8">
        <v>31999.74</v>
      </c>
      <c r="J1667" s="8">
        <v>20706.89</v>
      </c>
      <c r="K1667" s="8">
        <v>31999.74</v>
      </c>
    </row>
    <row r="1668" spans="1:11" hidden="1" x14ac:dyDescent="0.25">
      <c r="A1668" s="3" t="s">
        <v>2963</v>
      </c>
      <c r="B1668" s="3">
        <v>11</v>
      </c>
      <c r="C1668" s="5">
        <v>400</v>
      </c>
      <c r="D1668" s="6">
        <v>0</v>
      </c>
      <c r="E1668" s="7">
        <v>634000</v>
      </c>
      <c r="F1668" s="3">
        <v>53520</v>
      </c>
      <c r="G1668" s="3" t="str">
        <f t="shared" si="26"/>
        <v>5</v>
      </c>
      <c r="H1668" s="3" t="s">
        <v>2964</v>
      </c>
      <c r="I1668" s="8">
        <v>72.489999999999995</v>
      </c>
      <c r="J1668" s="8">
        <v>47.28</v>
      </c>
      <c r="K1668" s="8">
        <v>72.489999999999995</v>
      </c>
    </row>
    <row r="1669" spans="1:11" hidden="1" x14ac:dyDescent="0.25">
      <c r="A1669" s="3" t="s">
        <v>2965</v>
      </c>
      <c r="B1669" s="3">
        <v>11</v>
      </c>
      <c r="C1669" s="5">
        <v>400</v>
      </c>
      <c r="D1669" s="6">
        <v>0</v>
      </c>
      <c r="E1669" s="7">
        <v>634000</v>
      </c>
      <c r="F1669" s="3">
        <v>53620</v>
      </c>
      <c r="G1669" s="3" t="str">
        <f t="shared" si="26"/>
        <v>5</v>
      </c>
      <c r="H1669" s="3" t="s">
        <v>2966</v>
      </c>
      <c r="I1669" s="8">
        <v>2741.62</v>
      </c>
      <c r="J1669" s="8">
        <v>1790.29</v>
      </c>
      <c r="K1669" s="8">
        <v>2741.62</v>
      </c>
    </row>
    <row r="1670" spans="1:11" hidden="1" x14ac:dyDescent="0.25">
      <c r="A1670" s="3" t="s">
        <v>2967</v>
      </c>
      <c r="B1670" s="3">
        <v>11</v>
      </c>
      <c r="C1670" s="5">
        <v>400</v>
      </c>
      <c r="D1670" s="6">
        <v>0</v>
      </c>
      <c r="E1670" s="7">
        <v>634000</v>
      </c>
      <c r="F1670" s="3">
        <v>53920</v>
      </c>
      <c r="G1670" s="3" t="str">
        <f t="shared" si="26"/>
        <v>5</v>
      </c>
      <c r="H1670" s="3" t="s">
        <v>2968</v>
      </c>
      <c r="I1670" s="8">
        <v>4800</v>
      </c>
      <c r="J1670" s="8">
        <v>2927.26</v>
      </c>
      <c r="K1670" s="8">
        <v>4800</v>
      </c>
    </row>
    <row r="1671" spans="1:11" hidden="1" x14ac:dyDescent="0.25">
      <c r="A1671" s="3" t="s">
        <v>2969</v>
      </c>
      <c r="B1671" s="3">
        <v>11</v>
      </c>
      <c r="C1671" s="5">
        <v>400</v>
      </c>
      <c r="D1671" s="6">
        <v>0</v>
      </c>
      <c r="E1671" s="7">
        <v>634000</v>
      </c>
      <c r="F1671" s="3">
        <v>54300</v>
      </c>
      <c r="G1671" s="3" t="str">
        <f t="shared" si="26"/>
        <v>5</v>
      </c>
      <c r="H1671" s="3" t="s">
        <v>2970</v>
      </c>
      <c r="I1671" s="8">
        <v>600</v>
      </c>
      <c r="J1671" s="8">
        <v>0</v>
      </c>
      <c r="K1671" s="8">
        <v>600</v>
      </c>
    </row>
    <row r="1672" spans="1:11" hidden="1" x14ac:dyDescent="0.25">
      <c r="A1672" s="3" t="s">
        <v>2971</v>
      </c>
      <c r="B1672" s="3">
        <v>11</v>
      </c>
      <c r="C1672" s="5">
        <v>400</v>
      </c>
      <c r="D1672" s="6">
        <v>0</v>
      </c>
      <c r="E1672" s="7">
        <v>634000</v>
      </c>
      <c r="F1672" s="3">
        <v>55200</v>
      </c>
      <c r="G1672" s="3" t="str">
        <f t="shared" si="26"/>
        <v>5</v>
      </c>
      <c r="H1672" s="3" t="s">
        <v>2972</v>
      </c>
      <c r="I1672" s="8">
        <v>500</v>
      </c>
      <c r="J1672" s="8">
        <v>0</v>
      </c>
      <c r="K1672" s="8">
        <v>500</v>
      </c>
    </row>
    <row r="1673" spans="1:11" hidden="1" x14ac:dyDescent="0.25">
      <c r="A1673" s="3" t="s">
        <v>2973</v>
      </c>
      <c r="B1673" s="3">
        <v>11</v>
      </c>
      <c r="C1673" s="5">
        <v>400</v>
      </c>
      <c r="D1673" s="6">
        <v>0</v>
      </c>
      <c r="E1673" s="7">
        <v>634000</v>
      </c>
      <c r="F1673" s="3">
        <v>55630</v>
      </c>
      <c r="G1673" s="3" t="str">
        <f t="shared" si="26"/>
        <v>5</v>
      </c>
      <c r="H1673" s="3" t="s">
        <v>2974</v>
      </c>
      <c r="I1673" s="8">
        <v>3000</v>
      </c>
      <c r="J1673" s="8">
        <v>97.43</v>
      </c>
      <c r="K1673" s="8">
        <v>3000</v>
      </c>
    </row>
    <row r="1674" spans="1:11" hidden="1" x14ac:dyDescent="0.25">
      <c r="A1674" s="3" t="s">
        <v>2975</v>
      </c>
      <c r="B1674" s="3">
        <v>11</v>
      </c>
      <c r="C1674" s="5">
        <v>400</v>
      </c>
      <c r="D1674" s="6">
        <v>0</v>
      </c>
      <c r="E1674" s="7">
        <v>665000</v>
      </c>
      <c r="F1674" s="3">
        <v>51210</v>
      </c>
      <c r="G1674" s="3" t="str">
        <f t="shared" si="26"/>
        <v>5</v>
      </c>
      <c r="H1674" s="3" t="s">
        <v>2976</v>
      </c>
      <c r="I1674" s="8">
        <v>172303</v>
      </c>
      <c r="J1674" s="8">
        <v>129227.31</v>
      </c>
      <c r="K1674" s="8">
        <v>172303</v>
      </c>
    </row>
    <row r="1675" spans="1:11" hidden="1" x14ac:dyDescent="0.25">
      <c r="A1675" s="3" t="s">
        <v>2977</v>
      </c>
      <c r="B1675" s="3">
        <v>11</v>
      </c>
      <c r="C1675" s="5">
        <v>400</v>
      </c>
      <c r="D1675" s="6">
        <v>0</v>
      </c>
      <c r="E1675" s="7">
        <v>665000</v>
      </c>
      <c r="F1675" s="3">
        <v>52120</v>
      </c>
      <c r="G1675" s="3" t="str">
        <f t="shared" si="26"/>
        <v>5</v>
      </c>
      <c r="H1675" s="3" t="s">
        <v>2978</v>
      </c>
      <c r="I1675" s="8">
        <v>71880</v>
      </c>
      <c r="J1675" s="8">
        <v>53910</v>
      </c>
      <c r="K1675" s="8">
        <v>71880</v>
      </c>
    </row>
    <row r="1676" spans="1:11" hidden="1" x14ac:dyDescent="0.25">
      <c r="A1676" s="3" t="s">
        <v>2979</v>
      </c>
      <c r="B1676" s="3">
        <v>11</v>
      </c>
      <c r="C1676" s="5">
        <v>400</v>
      </c>
      <c r="D1676" s="6">
        <v>0</v>
      </c>
      <c r="E1676" s="7">
        <v>665000</v>
      </c>
      <c r="F1676" s="3">
        <v>52300</v>
      </c>
      <c r="G1676" s="3" t="str">
        <f t="shared" si="26"/>
        <v>5</v>
      </c>
      <c r="H1676" s="3" t="s">
        <v>2980</v>
      </c>
      <c r="I1676" s="8">
        <v>0</v>
      </c>
      <c r="J1676" s="8">
        <v>13.02</v>
      </c>
      <c r="K1676" s="8">
        <v>0</v>
      </c>
    </row>
    <row r="1677" spans="1:11" hidden="1" x14ac:dyDescent="0.25">
      <c r="A1677" s="3" t="s">
        <v>2981</v>
      </c>
      <c r="B1677" s="3">
        <v>11</v>
      </c>
      <c r="C1677" s="5">
        <v>400</v>
      </c>
      <c r="D1677" s="6">
        <v>0</v>
      </c>
      <c r="E1677" s="7">
        <v>665000</v>
      </c>
      <c r="F1677" s="3">
        <v>52360</v>
      </c>
      <c r="G1677" s="3" t="str">
        <f t="shared" si="26"/>
        <v>5</v>
      </c>
      <c r="H1677" s="3" t="s">
        <v>2982</v>
      </c>
      <c r="I1677" s="8">
        <v>49000</v>
      </c>
      <c r="J1677" s="8">
        <v>28980</v>
      </c>
      <c r="K1677" s="8">
        <v>49000</v>
      </c>
    </row>
    <row r="1678" spans="1:11" hidden="1" x14ac:dyDescent="0.25">
      <c r="A1678" s="3" t="s">
        <v>2983</v>
      </c>
      <c r="B1678" s="3">
        <v>11</v>
      </c>
      <c r="C1678" s="5">
        <v>400</v>
      </c>
      <c r="D1678" s="6">
        <v>0</v>
      </c>
      <c r="E1678" s="7">
        <v>665000</v>
      </c>
      <c r="F1678" s="3">
        <v>53120</v>
      </c>
      <c r="G1678" s="3" t="str">
        <f t="shared" si="26"/>
        <v>5</v>
      </c>
      <c r="H1678" s="3" t="s">
        <v>2984</v>
      </c>
      <c r="I1678" s="8">
        <v>27826.93</v>
      </c>
      <c r="J1678" s="8">
        <v>20870.189999999999</v>
      </c>
      <c r="K1678" s="8">
        <v>27826.93</v>
      </c>
    </row>
    <row r="1679" spans="1:11" hidden="1" x14ac:dyDescent="0.25">
      <c r="A1679" s="3" t="s">
        <v>2985</v>
      </c>
      <c r="B1679" s="3">
        <v>11</v>
      </c>
      <c r="C1679" s="5">
        <v>400</v>
      </c>
      <c r="D1679" s="6">
        <v>0</v>
      </c>
      <c r="E1679" s="7">
        <v>665000</v>
      </c>
      <c r="F1679" s="3">
        <v>53220</v>
      </c>
      <c r="G1679" s="3" t="str">
        <f t="shared" si="26"/>
        <v>5</v>
      </c>
      <c r="H1679" s="3" t="s">
        <v>2986</v>
      </c>
      <c r="I1679" s="8">
        <v>14879.16</v>
      </c>
      <c r="J1679" s="8">
        <v>11159.37</v>
      </c>
      <c r="K1679" s="8">
        <v>14879.16</v>
      </c>
    </row>
    <row r="1680" spans="1:11" hidden="1" x14ac:dyDescent="0.25">
      <c r="A1680" s="3" t="s">
        <v>2987</v>
      </c>
      <c r="B1680" s="3">
        <v>11</v>
      </c>
      <c r="C1680" s="5">
        <v>400</v>
      </c>
      <c r="D1680" s="6">
        <v>0</v>
      </c>
      <c r="E1680" s="7">
        <v>665000</v>
      </c>
      <c r="F1680" s="3">
        <v>53320</v>
      </c>
      <c r="G1680" s="3" t="str">
        <f t="shared" si="26"/>
        <v>5</v>
      </c>
      <c r="H1680" s="3" t="s">
        <v>2988</v>
      </c>
      <c r="I1680" s="8">
        <v>7494.56</v>
      </c>
      <c r="J1680" s="8">
        <v>3346.22</v>
      </c>
      <c r="K1680" s="8">
        <v>7494.56</v>
      </c>
    </row>
    <row r="1681" spans="1:11" hidden="1" x14ac:dyDescent="0.25">
      <c r="A1681" s="3" t="s">
        <v>2989</v>
      </c>
      <c r="B1681" s="3">
        <v>11</v>
      </c>
      <c r="C1681" s="5">
        <v>400</v>
      </c>
      <c r="D1681" s="6">
        <v>0</v>
      </c>
      <c r="E1681" s="7">
        <v>665000</v>
      </c>
      <c r="F1681" s="3">
        <v>53340</v>
      </c>
      <c r="G1681" s="3" t="str">
        <f t="shared" si="26"/>
        <v>5</v>
      </c>
      <c r="H1681" s="3" t="s">
        <v>2990</v>
      </c>
      <c r="I1681" s="8">
        <v>4251.1499999999996</v>
      </c>
      <c r="J1681" s="8">
        <v>3066.2</v>
      </c>
      <c r="K1681" s="8">
        <v>4251.1499999999996</v>
      </c>
    </row>
    <row r="1682" spans="1:11" hidden="1" x14ac:dyDescent="0.25">
      <c r="A1682" s="3" t="s">
        <v>2991</v>
      </c>
      <c r="B1682" s="3">
        <v>11</v>
      </c>
      <c r="C1682" s="5">
        <v>400</v>
      </c>
      <c r="D1682" s="6">
        <v>0</v>
      </c>
      <c r="E1682" s="7">
        <v>665000</v>
      </c>
      <c r="F1682" s="3">
        <v>53420</v>
      </c>
      <c r="G1682" s="3" t="str">
        <f t="shared" si="26"/>
        <v>5</v>
      </c>
      <c r="H1682" s="3" t="s">
        <v>2992</v>
      </c>
      <c r="I1682" s="8">
        <v>46213.2</v>
      </c>
      <c r="J1682" s="8">
        <v>33826.18</v>
      </c>
      <c r="K1682" s="8">
        <v>46213.2</v>
      </c>
    </row>
    <row r="1683" spans="1:11" hidden="1" x14ac:dyDescent="0.25">
      <c r="A1683" s="3" t="s">
        <v>2993</v>
      </c>
      <c r="B1683" s="3">
        <v>11</v>
      </c>
      <c r="C1683" s="5">
        <v>400</v>
      </c>
      <c r="D1683" s="6">
        <v>0</v>
      </c>
      <c r="E1683" s="7">
        <v>665000</v>
      </c>
      <c r="F1683" s="3">
        <v>53520</v>
      </c>
      <c r="G1683" s="3" t="str">
        <f t="shared" si="26"/>
        <v>5</v>
      </c>
      <c r="H1683" s="3" t="s">
        <v>2994</v>
      </c>
      <c r="I1683" s="8">
        <v>146.59</v>
      </c>
      <c r="J1683" s="8">
        <v>105.83</v>
      </c>
      <c r="K1683" s="8">
        <v>146.59</v>
      </c>
    </row>
    <row r="1684" spans="1:11" hidden="1" x14ac:dyDescent="0.25">
      <c r="A1684" s="3" t="s">
        <v>2995</v>
      </c>
      <c r="B1684" s="3">
        <v>11</v>
      </c>
      <c r="C1684" s="5">
        <v>400</v>
      </c>
      <c r="D1684" s="6">
        <v>0</v>
      </c>
      <c r="E1684" s="7">
        <v>665000</v>
      </c>
      <c r="F1684" s="3">
        <v>53620</v>
      </c>
      <c r="G1684" s="3" t="str">
        <f t="shared" si="26"/>
        <v>5</v>
      </c>
      <c r="H1684" s="3" t="s">
        <v>2996</v>
      </c>
      <c r="I1684" s="8">
        <v>5543.51</v>
      </c>
      <c r="J1684" s="8">
        <v>4010.94</v>
      </c>
      <c r="K1684" s="8">
        <v>5543.51</v>
      </c>
    </row>
    <row r="1685" spans="1:11" hidden="1" x14ac:dyDescent="0.25">
      <c r="A1685" s="3" t="s">
        <v>2997</v>
      </c>
      <c r="B1685" s="3">
        <v>11</v>
      </c>
      <c r="C1685" s="5">
        <v>400</v>
      </c>
      <c r="D1685" s="6">
        <v>0</v>
      </c>
      <c r="E1685" s="7">
        <v>665000</v>
      </c>
      <c r="F1685" s="3">
        <v>53920</v>
      </c>
      <c r="G1685" s="3" t="str">
        <f t="shared" si="26"/>
        <v>5</v>
      </c>
      <c r="H1685" s="3" t="s">
        <v>2998</v>
      </c>
      <c r="I1685" s="8">
        <v>2400</v>
      </c>
      <c r="J1685" s="8">
        <v>3200</v>
      </c>
      <c r="K1685" s="8">
        <v>2400</v>
      </c>
    </row>
    <row r="1686" spans="1:11" hidden="1" x14ac:dyDescent="0.25">
      <c r="A1686" s="3" t="s">
        <v>2999</v>
      </c>
      <c r="B1686" s="3">
        <v>11</v>
      </c>
      <c r="C1686" s="5">
        <v>400</v>
      </c>
      <c r="D1686" s="6">
        <v>0</v>
      </c>
      <c r="E1686" s="7">
        <v>665000</v>
      </c>
      <c r="F1686" s="3">
        <v>54300</v>
      </c>
      <c r="G1686" s="3" t="str">
        <f t="shared" si="26"/>
        <v>5</v>
      </c>
      <c r="H1686" s="3" t="s">
        <v>3000</v>
      </c>
      <c r="I1686" s="8">
        <v>1800</v>
      </c>
      <c r="J1686" s="8">
        <v>0</v>
      </c>
      <c r="K1686" s="8">
        <v>1800</v>
      </c>
    </row>
    <row r="1687" spans="1:11" hidden="1" x14ac:dyDescent="0.25">
      <c r="A1687" s="3" t="s">
        <v>3001</v>
      </c>
      <c r="B1687" s="3">
        <v>11</v>
      </c>
      <c r="C1687" s="5">
        <v>400</v>
      </c>
      <c r="D1687" s="6">
        <v>0</v>
      </c>
      <c r="E1687" s="7">
        <v>665000</v>
      </c>
      <c r="F1687" s="3">
        <v>55100</v>
      </c>
      <c r="G1687" s="3" t="str">
        <f t="shared" si="26"/>
        <v>5</v>
      </c>
      <c r="H1687" s="3" t="s">
        <v>3002</v>
      </c>
      <c r="I1687" s="8">
        <v>0</v>
      </c>
      <c r="J1687" s="8">
        <v>200</v>
      </c>
      <c r="K1687" s="8">
        <v>0</v>
      </c>
    </row>
    <row r="1688" spans="1:11" hidden="1" x14ac:dyDescent="0.25">
      <c r="A1688" s="3" t="s">
        <v>3003</v>
      </c>
      <c r="B1688" s="3">
        <v>11</v>
      </c>
      <c r="C1688" s="5">
        <v>400</v>
      </c>
      <c r="D1688" s="6">
        <v>0</v>
      </c>
      <c r="E1688" s="7">
        <v>665000</v>
      </c>
      <c r="F1688" s="3">
        <v>55105</v>
      </c>
      <c r="G1688" s="3" t="str">
        <f t="shared" si="26"/>
        <v>5</v>
      </c>
      <c r="H1688" s="3" t="s">
        <v>3004</v>
      </c>
      <c r="I1688" s="8">
        <v>200</v>
      </c>
      <c r="J1688" s="8">
        <v>0</v>
      </c>
      <c r="K1688" s="8">
        <v>200</v>
      </c>
    </row>
    <row r="1689" spans="1:11" hidden="1" x14ac:dyDescent="0.25">
      <c r="A1689" s="3" t="s">
        <v>3005</v>
      </c>
      <c r="B1689" s="3">
        <v>11</v>
      </c>
      <c r="C1689" s="5">
        <v>400</v>
      </c>
      <c r="D1689" s="6">
        <v>0</v>
      </c>
      <c r="E1689" s="7">
        <v>665000</v>
      </c>
      <c r="F1689" s="3">
        <v>55200</v>
      </c>
      <c r="G1689" s="3" t="str">
        <f t="shared" si="26"/>
        <v>5</v>
      </c>
      <c r="H1689" s="3" t="s">
        <v>3006</v>
      </c>
      <c r="I1689" s="8">
        <v>6000</v>
      </c>
      <c r="J1689" s="8">
        <v>565</v>
      </c>
      <c r="K1689" s="8">
        <v>6000</v>
      </c>
    </row>
    <row r="1690" spans="1:11" hidden="1" x14ac:dyDescent="0.25">
      <c r="A1690" s="3" t="s">
        <v>3007</v>
      </c>
      <c r="B1690" s="3">
        <v>11</v>
      </c>
      <c r="C1690" s="5">
        <v>400</v>
      </c>
      <c r="D1690" s="6">
        <v>0</v>
      </c>
      <c r="E1690" s="7">
        <v>665000</v>
      </c>
      <c r="F1690" s="3">
        <v>55300</v>
      </c>
      <c r="G1690" s="3" t="str">
        <f t="shared" si="26"/>
        <v>5</v>
      </c>
      <c r="H1690" s="3" t="s">
        <v>3008</v>
      </c>
      <c r="I1690" s="8">
        <v>300</v>
      </c>
      <c r="J1690" s="8">
        <v>300</v>
      </c>
      <c r="K1690" s="8">
        <v>300</v>
      </c>
    </row>
    <row r="1691" spans="1:11" hidden="1" x14ac:dyDescent="0.25">
      <c r="A1691" s="3" t="s">
        <v>3009</v>
      </c>
      <c r="B1691" s="3">
        <v>11</v>
      </c>
      <c r="C1691" s="5">
        <v>400</v>
      </c>
      <c r="D1691" s="6">
        <v>0</v>
      </c>
      <c r="E1691" s="7">
        <v>665000</v>
      </c>
      <c r="F1691" s="3">
        <v>55400</v>
      </c>
      <c r="G1691" s="3" t="str">
        <f t="shared" si="26"/>
        <v>5</v>
      </c>
      <c r="H1691" s="3" t="s">
        <v>3010</v>
      </c>
      <c r="I1691" s="8">
        <v>119651</v>
      </c>
      <c r="J1691" s="8">
        <v>117067</v>
      </c>
      <c r="K1691" s="8">
        <v>119651</v>
      </c>
    </row>
    <row r="1692" spans="1:11" hidden="1" x14ac:dyDescent="0.25">
      <c r="A1692" s="3" t="s">
        <v>3011</v>
      </c>
      <c r="B1692" s="3">
        <v>11</v>
      </c>
      <c r="C1692" s="5">
        <v>400</v>
      </c>
      <c r="D1692" s="6">
        <v>0</v>
      </c>
      <c r="E1692" s="7">
        <v>665000</v>
      </c>
      <c r="F1692" s="3">
        <v>55630</v>
      </c>
      <c r="G1692" s="3" t="str">
        <f t="shared" si="26"/>
        <v>5</v>
      </c>
      <c r="H1692" s="3" t="s">
        <v>3012</v>
      </c>
      <c r="I1692" s="8">
        <v>500</v>
      </c>
      <c r="J1692" s="8">
        <v>71.19</v>
      </c>
      <c r="K1692" s="8">
        <v>500</v>
      </c>
    </row>
    <row r="1693" spans="1:11" hidden="1" x14ac:dyDescent="0.25">
      <c r="A1693" s="3" t="s">
        <v>3013</v>
      </c>
      <c r="B1693" s="3">
        <v>11</v>
      </c>
      <c r="C1693" s="5">
        <v>400</v>
      </c>
      <c r="D1693" s="6">
        <v>0</v>
      </c>
      <c r="E1693" s="7">
        <v>696000</v>
      </c>
      <c r="F1693" s="3">
        <v>52105</v>
      </c>
      <c r="G1693" s="3" t="str">
        <f t="shared" si="26"/>
        <v>5</v>
      </c>
      <c r="H1693" s="3" t="s">
        <v>3014</v>
      </c>
      <c r="I1693" s="8">
        <v>31764</v>
      </c>
      <c r="J1693" s="8">
        <v>23187.040000000001</v>
      </c>
      <c r="K1693" s="8">
        <v>31764</v>
      </c>
    </row>
    <row r="1694" spans="1:11" hidden="1" x14ac:dyDescent="0.25">
      <c r="A1694" s="3" t="s">
        <v>3015</v>
      </c>
      <c r="B1694" s="3">
        <v>11</v>
      </c>
      <c r="C1694" s="5">
        <v>400</v>
      </c>
      <c r="D1694" s="6">
        <v>0</v>
      </c>
      <c r="E1694" s="7">
        <v>696000</v>
      </c>
      <c r="F1694" s="3">
        <v>52130</v>
      </c>
      <c r="G1694" s="3" t="str">
        <f t="shared" si="26"/>
        <v>5</v>
      </c>
      <c r="H1694" s="3" t="s">
        <v>2844</v>
      </c>
      <c r="I1694" s="8">
        <v>111022</v>
      </c>
      <c r="J1694" s="8">
        <v>83266.559999999998</v>
      </c>
      <c r="K1694" s="8">
        <v>111022</v>
      </c>
    </row>
    <row r="1695" spans="1:11" hidden="1" x14ac:dyDescent="0.25">
      <c r="A1695" s="3" t="s">
        <v>3016</v>
      </c>
      <c r="B1695" s="3">
        <v>11</v>
      </c>
      <c r="C1695" s="5">
        <v>400</v>
      </c>
      <c r="D1695" s="6">
        <v>0</v>
      </c>
      <c r="E1695" s="7">
        <v>696000</v>
      </c>
      <c r="F1695" s="3">
        <v>52300</v>
      </c>
      <c r="G1695" s="3" t="str">
        <f t="shared" si="26"/>
        <v>5</v>
      </c>
      <c r="H1695" s="3" t="s">
        <v>3017</v>
      </c>
      <c r="I1695" s="8">
        <v>0</v>
      </c>
      <c r="J1695" s="8">
        <v>33.76</v>
      </c>
      <c r="K1695" s="8">
        <v>0</v>
      </c>
    </row>
    <row r="1696" spans="1:11" hidden="1" x14ac:dyDescent="0.25">
      <c r="A1696" s="3" t="s">
        <v>3018</v>
      </c>
      <c r="B1696" s="3">
        <v>11</v>
      </c>
      <c r="C1696" s="5">
        <v>400</v>
      </c>
      <c r="D1696" s="6">
        <v>0</v>
      </c>
      <c r="E1696" s="7">
        <v>696000</v>
      </c>
      <c r="F1696" s="3">
        <v>53220</v>
      </c>
      <c r="G1696" s="3" t="str">
        <f t="shared" si="26"/>
        <v>5</v>
      </c>
      <c r="H1696" s="3" t="s">
        <v>2846</v>
      </c>
      <c r="I1696" s="8">
        <v>29556.7</v>
      </c>
      <c r="J1696" s="8">
        <v>21990.29</v>
      </c>
      <c r="K1696" s="8">
        <v>29556.7</v>
      </c>
    </row>
    <row r="1697" spans="1:11" hidden="1" x14ac:dyDescent="0.25">
      <c r="A1697" s="3" t="s">
        <v>3019</v>
      </c>
      <c r="B1697" s="3">
        <v>11</v>
      </c>
      <c r="C1697" s="5">
        <v>400</v>
      </c>
      <c r="D1697" s="6">
        <v>0</v>
      </c>
      <c r="E1697" s="7">
        <v>696000</v>
      </c>
      <c r="F1697" s="3">
        <v>53320</v>
      </c>
      <c r="G1697" s="3" t="str">
        <f t="shared" si="26"/>
        <v>5</v>
      </c>
      <c r="H1697" s="3" t="s">
        <v>2848</v>
      </c>
      <c r="I1697" s="8">
        <v>8852.73</v>
      </c>
      <c r="J1697" s="8">
        <v>6508.22</v>
      </c>
      <c r="K1697" s="8">
        <v>8852.73</v>
      </c>
    </row>
    <row r="1698" spans="1:11" hidden="1" x14ac:dyDescent="0.25">
      <c r="A1698" s="3" t="s">
        <v>3020</v>
      </c>
      <c r="B1698" s="3">
        <v>11</v>
      </c>
      <c r="C1698" s="5">
        <v>400</v>
      </c>
      <c r="D1698" s="6">
        <v>0</v>
      </c>
      <c r="E1698" s="7">
        <v>696000</v>
      </c>
      <c r="F1698" s="3">
        <v>53340</v>
      </c>
      <c r="G1698" s="3" t="str">
        <f t="shared" si="26"/>
        <v>5</v>
      </c>
      <c r="H1698" s="3" t="s">
        <v>2850</v>
      </c>
      <c r="I1698" s="8">
        <v>2070.4</v>
      </c>
      <c r="J1698" s="8">
        <v>1522.06</v>
      </c>
      <c r="K1698" s="8">
        <v>2070.4</v>
      </c>
    </row>
    <row r="1699" spans="1:11" hidden="1" x14ac:dyDescent="0.25">
      <c r="A1699" s="3" t="s">
        <v>3021</v>
      </c>
      <c r="B1699" s="3">
        <v>11</v>
      </c>
      <c r="C1699" s="5">
        <v>400</v>
      </c>
      <c r="D1699" s="6">
        <v>0</v>
      </c>
      <c r="E1699" s="7">
        <v>696000</v>
      </c>
      <c r="F1699" s="3">
        <v>53420</v>
      </c>
      <c r="G1699" s="3" t="str">
        <f t="shared" si="26"/>
        <v>5</v>
      </c>
      <c r="H1699" s="3" t="s">
        <v>2852</v>
      </c>
      <c r="I1699" s="8">
        <v>39667.32</v>
      </c>
      <c r="J1699" s="8">
        <v>30603.96</v>
      </c>
      <c r="K1699" s="8">
        <v>39667.32</v>
      </c>
    </row>
    <row r="1700" spans="1:11" hidden="1" x14ac:dyDescent="0.25">
      <c r="A1700" s="3" t="s">
        <v>3022</v>
      </c>
      <c r="B1700" s="3">
        <v>11</v>
      </c>
      <c r="C1700" s="5">
        <v>400</v>
      </c>
      <c r="D1700" s="6">
        <v>0</v>
      </c>
      <c r="E1700" s="7">
        <v>696000</v>
      </c>
      <c r="F1700" s="3">
        <v>53520</v>
      </c>
      <c r="G1700" s="3" t="str">
        <f t="shared" si="26"/>
        <v>5</v>
      </c>
      <c r="H1700" s="3" t="s">
        <v>2854</v>
      </c>
      <c r="I1700" s="8">
        <v>71.39</v>
      </c>
      <c r="J1700" s="8">
        <v>52.87</v>
      </c>
      <c r="K1700" s="8">
        <v>71.39</v>
      </c>
    </row>
    <row r="1701" spans="1:11" hidden="1" x14ac:dyDescent="0.25">
      <c r="A1701" s="3" t="s">
        <v>3023</v>
      </c>
      <c r="B1701" s="3">
        <v>11</v>
      </c>
      <c r="C1701" s="5">
        <v>400</v>
      </c>
      <c r="D1701" s="6">
        <v>0</v>
      </c>
      <c r="E1701" s="7">
        <v>696000</v>
      </c>
      <c r="F1701" s="3">
        <v>53620</v>
      </c>
      <c r="G1701" s="3" t="str">
        <f t="shared" si="26"/>
        <v>5</v>
      </c>
      <c r="H1701" s="3" t="s">
        <v>2856</v>
      </c>
      <c r="I1701" s="8">
        <v>2699.79</v>
      </c>
      <c r="J1701" s="8">
        <v>2014.65</v>
      </c>
      <c r="K1701" s="8">
        <v>2699.79</v>
      </c>
    </row>
    <row r="1702" spans="1:11" hidden="1" x14ac:dyDescent="0.25">
      <c r="A1702" s="3" t="s">
        <v>3024</v>
      </c>
      <c r="B1702" s="3">
        <v>11</v>
      </c>
      <c r="C1702" s="5">
        <v>400</v>
      </c>
      <c r="D1702" s="6">
        <v>0</v>
      </c>
      <c r="E1702" s="7">
        <v>696000</v>
      </c>
      <c r="F1702" s="3">
        <v>53920</v>
      </c>
      <c r="G1702" s="3" t="str">
        <f t="shared" si="26"/>
        <v>5</v>
      </c>
      <c r="H1702" s="3" t="s">
        <v>2858</v>
      </c>
      <c r="I1702" s="8">
        <v>2400</v>
      </c>
      <c r="J1702" s="8">
        <v>0</v>
      </c>
      <c r="K1702" s="8">
        <v>2400</v>
      </c>
    </row>
    <row r="1703" spans="1:11" hidden="1" x14ac:dyDescent="0.25">
      <c r="A1703" s="3" t="s">
        <v>3025</v>
      </c>
      <c r="B1703" s="3">
        <v>11</v>
      </c>
      <c r="C1703" s="5">
        <v>400</v>
      </c>
      <c r="D1703" s="6">
        <v>0</v>
      </c>
      <c r="E1703" s="7">
        <v>696000</v>
      </c>
      <c r="F1703" s="3">
        <v>54300</v>
      </c>
      <c r="G1703" s="3" t="str">
        <f t="shared" si="26"/>
        <v>5</v>
      </c>
      <c r="H1703" s="3" t="s">
        <v>3026</v>
      </c>
      <c r="I1703" s="8">
        <v>100</v>
      </c>
      <c r="J1703" s="8">
        <v>0</v>
      </c>
      <c r="K1703" s="8">
        <v>100</v>
      </c>
    </row>
    <row r="1704" spans="1:11" hidden="1" x14ac:dyDescent="0.25">
      <c r="A1704" s="3" t="s">
        <v>3027</v>
      </c>
      <c r="B1704" s="3">
        <v>11</v>
      </c>
      <c r="C1704" s="5">
        <v>400</v>
      </c>
      <c r="D1704" s="6">
        <v>0</v>
      </c>
      <c r="E1704" s="7">
        <v>696000</v>
      </c>
      <c r="F1704" s="3">
        <v>55630</v>
      </c>
      <c r="G1704" s="3" t="str">
        <f t="shared" si="26"/>
        <v>5</v>
      </c>
      <c r="H1704" s="3" t="s">
        <v>2860</v>
      </c>
      <c r="I1704" s="8">
        <v>1200</v>
      </c>
      <c r="J1704" s="8">
        <v>34.14</v>
      </c>
      <c r="K1704" s="8">
        <v>1200</v>
      </c>
    </row>
    <row r="1705" spans="1:11" hidden="1" x14ac:dyDescent="0.25">
      <c r="A1705" s="3" t="s">
        <v>3028</v>
      </c>
      <c r="B1705" s="3">
        <v>11</v>
      </c>
      <c r="C1705" s="5">
        <v>400</v>
      </c>
      <c r="D1705" s="6">
        <v>0</v>
      </c>
      <c r="E1705" s="7">
        <v>703602</v>
      </c>
      <c r="F1705" s="3">
        <v>51200</v>
      </c>
      <c r="G1705" s="3" t="str">
        <f t="shared" si="26"/>
        <v>5</v>
      </c>
      <c r="H1705" s="3" t="s">
        <v>3029</v>
      </c>
      <c r="I1705" s="8">
        <v>44149.14</v>
      </c>
      <c r="J1705" s="8">
        <v>10708.96</v>
      </c>
      <c r="K1705" s="8">
        <v>44149.14</v>
      </c>
    </row>
    <row r="1706" spans="1:11" hidden="1" x14ac:dyDescent="0.25">
      <c r="A1706" s="3" t="s">
        <v>3030</v>
      </c>
      <c r="B1706" s="3">
        <v>11</v>
      </c>
      <c r="C1706" s="5">
        <v>400</v>
      </c>
      <c r="D1706" s="6">
        <v>0</v>
      </c>
      <c r="E1706" s="7">
        <v>703602</v>
      </c>
      <c r="F1706" s="3">
        <v>53120</v>
      </c>
      <c r="G1706" s="3" t="str">
        <f t="shared" si="26"/>
        <v>5</v>
      </c>
      <c r="H1706" s="3" t="s">
        <v>3031</v>
      </c>
      <c r="I1706" s="8">
        <v>7130.09</v>
      </c>
      <c r="J1706" s="8">
        <v>1729.52</v>
      </c>
      <c r="K1706" s="8">
        <v>7130.09</v>
      </c>
    </row>
    <row r="1707" spans="1:11" hidden="1" x14ac:dyDescent="0.25">
      <c r="A1707" s="3" t="s">
        <v>3032</v>
      </c>
      <c r="B1707" s="3">
        <v>11</v>
      </c>
      <c r="C1707" s="5">
        <v>400</v>
      </c>
      <c r="D1707" s="6">
        <v>0</v>
      </c>
      <c r="E1707" s="7">
        <v>703602</v>
      </c>
      <c r="F1707" s="3">
        <v>53340</v>
      </c>
      <c r="G1707" s="3" t="str">
        <f t="shared" si="26"/>
        <v>5</v>
      </c>
      <c r="H1707" s="3" t="s">
        <v>3033</v>
      </c>
      <c r="I1707" s="8">
        <v>640.16</v>
      </c>
      <c r="J1707" s="8">
        <v>153.86000000000001</v>
      </c>
      <c r="K1707" s="8">
        <v>640.16</v>
      </c>
    </row>
    <row r="1708" spans="1:11" hidden="1" x14ac:dyDescent="0.25">
      <c r="A1708" s="3" t="s">
        <v>3034</v>
      </c>
      <c r="B1708" s="3">
        <v>11</v>
      </c>
      <c r="C1708" s="5">
        <v>400</v>
      </c>
      <c r="D1708" s="6">
        <v>0</v>
      </c>
      <c r="E1708" s="7">
        <v>703602</v>
      </c>
      <c r="F1708" s="3">
        <v>53420</v>
      </c>
      <c r="G1708" s="3" t="str">
        <f t="shared" si="26"/>
        <v>5</v>
      </c>
      <c r="H1708" s="3" t="s">
        <v>3035</v>
      </c>
      <c r="I1708" s="8">
        <v>13911</v>
      </c>
      <c r="J1708" s="8">
        <v>3305.15</v>
      </c>
      <c r="K1708" s="8">
        <v>13911</v>
      </c>
    </row>
    <row r="1709" spans="1:11" hidden="1" x14ac:dyDescent="0.25">
      <c r="A1709" s="3" t="s">
        <v>3036</v>
      </c>
      <c r="B1709" s="3">
        <v>11</v>
      </c>
      <c r="C1709" s="5">
        <v>400</v>
      </c>
      <c r="D1709" s="6">
        <v>0</v>
      </c>
      <c r="E1709" s="7">
        <v>703602</v>
      </c>
      <c r="F1709" s="3">
        <v>53520</v>
      </c>
      <c r="G1709" s="3" t="str">
        <f t="shared" si="26"/>
        <v>5</v>
      </c>
      <c r="H1709" s="3" t="s">
        <v>3037</v>
      </c>
      <c r="I1709" s="8">
        <v>22.07</v>
      </c>
      <c r="J1709" s="8">
        <v>5.36</v>
      </c>
      <c r="K1709" s="8">
        <v>22.07</v>
      </c>
    </row>
    <row r="1710" spans="1:11" hidden="1" x14ac:dyDescent="0.25">
      <c r="A1710" s="3" t="s">
        <v>3038</v>
      </c>
      <c r="B1710" s="3">
        <v>11</v>
      </c>
      <c r="C1710" s="5">
        <v>400</v>
      </c>
      <c r="D1710" s="6">
        <v>0</v>
      </c>
      <c r="E1710" s="7">
        <v>703602</v>
      </c>
      <c r="F1710" s="3">
        <v>53620</v>
      </c>
      <c r="G1710" s="3" t="str">
        <f t="shared" si="26"/>
        <v>5</v>
      </c>
      <c r="H1710" s="3" t="s">
        <v>3039</v>
      </c>
      <c r="I1710" s="8">
        <v>834.77</v>
      </c>
      <c r="J1710" s="8">
        <v>202.48</v>
      </c>
      <c r="K1710" s="8">
        <v>834.77</v>
      </c>
    </row>
    <row r="1711" spans="1:11" hidden="1" x14ac:dyDescent="0.25">
      <c r="A1711" s="3" t="s">
        <v>3040</v>
      </c>
      <c r="B1711" s="3">
        <v>11</v>
      </c>
      <c r="C1711" s="5">
        <v>310</v>
      </c>
      <c r="D1711" s="6">
        <v>1</v>
      </c>
      <c r="E1711" s="7">
        <v>130500</v>
      </c>
      <c r="F1711" s="3">
        <v>52105</v>
      </c>
      <c r="G1711" s="3" t="str">
        <f t="shared" si="26"/>
        <v>5</v>
      </c>
      <c r="H1711" s="3" t="s">
        <v>3041</v>
      </c>
      <c r="I1711" s="8">
        <v>0</v>
      </c>
      <c r="J1711" s="8">
        <v>6462</v>
      </c>
      <c r="K1711" s="8">
        <v>0</v>
      </c>
    </row>
    <row r="1712" spans="1:11" hidden="1" x14ac:dyDescent="0.25">
      <c r="A1712" s="3" t="s">
        <v>3042</v>
      </c>
      <c r="B1712" s="3">
        <v>11</v>
      </c>
      <c r="C1712" s="5">
        <v>310</v>
      </c>
      <c r="D1712" s="6">
        <v>1</v>
      </c>
      <c r="E1712" s="7">
        <v>130500</v>
      </c>
      <c r="F1712" s="3">
        <v>53220</v>
      </c>
      <c r="G1712" s="3" t="str">
        <f t="shared" si="26"/>
        <v>5</v>
      </c>
      <c r="H1712" s="3" t="s">
        <v>3043</v>
      </c>
      <c r="I1712" s="8">
        <v>0</v>
      </c>
      <c r="J1712" s="8">
        <v>1337.6</v>
      </c>
      <c r="K1712" s="8">
        <v>0</v>
      </c>
    </row>
    <row r="1713" spans="1:11" hidden="1" x14ac:dyDescent="0.25">
      <c r="A1713" s="3" t="s">
        <v>3044</v>
      </c>
      <c r="B1713" s="3">
        <v>11</v>
      </c>
      <c r="C1713" s="5">
        <v>310</v>
      </c>
      <c r="D1713" s="6">
        <v>1</v>
      </c>
      <c r="E1713" s="7">
        <v>130500</v>
      </c>
      <c r="F1713" s="3">
        <v>53320</v>
      </c>
      <c r="G1713" s="3" t="str">
        <f t="shared" si="26"/>
        <v>5</v>
      </c>
      <c r="H1713" s="3" t="s">
        <v>3045</v>
      </c>
      <c r="I1713" s="8">
        <v>0</v>
      </c>
      <c r="J1713" s="8">
        <v>394.94</v>
      </c>
      <c r="K1713" s="8">
        <v>0</v>
      </c>
    </row>
    <row r="1714" spans="1:11" hidden="1" x14ac:dyDescent="0.25">
      <c r="A1714" s="3" t="s">
        <v>3046</v>
      </c>
      <c r="B1714" s="3">
        <v>11</v>
      </c>
      <c r="C1714" s="5">
        <v>310</v>
      </c>
      <c r="D1714" s="6">
        <v>1</v>
      </c>
      <c r="E1714" s="7">
        <v>130500</v>
      </c>
      <c r="F1714" s="3">
        <v>53340</v>
      </c>
      <c r="G1714" s="3" t="str">
        <f t="shared" si="26"/>
        <v>5</v>
      </c>
      <c r="H1714" s="3" t="s">
        <v>3047</v>
      </c>
      <c r="I1714" s="8">
        <v>0</v>
      </c>
      <c r="J1714" s="8">
        <v>92.41</v>
      </c>
      <c r="K1714" s="8">
        <v>0</v>
      </c>
    </row>
    <row r="1715" spans="1:11" hidden="1" x14ac:dyDescent="0.25">
      <c r="A1715" s="3" t="s">
        <v>3048</v>
      </c>
      <c r="B1715" s="3">
        <v>11</v>
      </c>
      <c r="C1715" s="5">
        <v>310</v>
      </c>
      <c r="D1715" s="6">
        <v>1</v>
      </c>
      <c r="E1715" s="7">
        <v>130500</v>
      </c>
      <c r="F1715" s="3">
        <v>53420</v>
      </c>
      <c r="G1715" s="3" t="str">
        <f t="shared" si="26"/>
        <v>5</v>
      </c>
      <c r="H1715" s="3" t="s">
        <v>3049</v>
      </c>
      <c r="I1715" s="8">
        <v>0</v>
      </c>
      <c r="J1715" s="8">
        <v>1847.91</v>
      </c>
      <c r="K1715" s="8">
        <v>0</v>
      </c>
    </row>
    <row r="1716" spans="1:11" hidden="1" x14ac:dyDescent="0.25">
      <c r="A1716" s="3" t="s">
        <v>3050</v>
      </c>
      <c r="B1716" s="3">
        <v>11</v>
      </c>
      <c r="C1716" s="5">
        <v>310</v>
      </c>
      <c r="D1716" s="6">
        <v>1</v>
      </c>
      <c r="E1716" s="7">
        <v>130500</v>
      </c>
      <c r="F1716" s="3">
        <v>53520</v>
      </c>
      <c r="G1716" s="3" t="str">
        <f t="shared" si="26"/>
        <v>5</v>
      </c>
      <c r="H1716" s="3" t="s">
        <v>3051</v>
      </c>
      <c r="I1716" s="8">
        <v>0</v>
      </c>
      <c r="J1716" s="8">
        <v>3.13</v>
      </c>
      <c r="K1716" s="8">
        <v>0</v>
      </c>
    </row>
    <row r="1717" spans="1:11" hidden="1" x14ac:dyDescent="0.25">
      <c r="A1717" s="3" t="s">
        <v>3052</v>
      </c>
      <c r="B1717" s="3">
        <v>11</v>
      </c>
      <c r="C1717" s="5">
        <v>310</v>
      </c>
      <c r="D1717" s="6">
        <v>1</v>
      </c>
      <c r="E1717" s="7">
        <v>130500</v>
      </c>
      <c r="F1717" s="3">
        <v>53620</v>
      </c>
      <c r="G1717" s="3" t="str">
        <f t="shared" si="26"/>
        <v>5</v>
      </c>
      <c r="H1717" s="3" t="s">
        <v>3053</v>
      </c>
      <c r="I1717" s="8">
        <v>0</v>
      </c>
      <c r="J1717" s="8">
        <v>122.17</v>
      </c>
      <c r="K1717" s="8">
        <v>0</v>
      </c>
    </row>
    <row r="1718" spans="1:11" x14ac:dyDescent="0.25">
      <c r="A1718" s="3" t="s">
        <v>3054</v>
      </c>
      <c r="B1718" s="3">
        <v>11</v>
      </c>
      <c r="C1718" s="5">
        <v>410</v>
      </c>
      <c r="D1718" s="6">
        <v>0</v>
      </c>
      <c r="E1718" s="7">
        <v>620000</v>
      </c>
      <c r="F1718" s="3">
        <v>48885</v>
      </c>
      <c r="G1718" s="3" t="str">
        <f t="shared" si="26"/>
        <v>4</v>
      </c>
      <c r="H1718" s="3" t="s">
        <v>3055</v>
      </c>
      <c r="I1718" s="8">
        <v>0</v>
      </c>
      <c r="J1718" s="8">
        <v>-20</v>
      </c>
      <c r="K1718" s="8">
        <v>0</v>
      </c>
    </row>
    <row r="1719" spans="1:11" hidden="1" x14ac:dyDescent="0.25">
      <c r="A1719" s="3" t="s">
        <v>3056</v>
      </c>
      <c r="B1719" s="3">
        <v>11</v>
      </c>
      <c r="C1719" s="5">
        <v>410</v>
      </c>
      <c r="D1719" s="6">
        <v>0</v>
      </c>
      <c r="E1719" s="7">
        <v>620000</v>
      </c>
      <c r="F1719" s="3">
        <v>52105</v>
      </c>
      <c r="G1719" s="3" t="str">
        <f t="shared" si="26"/>
        <v>5</v>
      </c>
      <c r="H1719" s="3" t="s">
        <v>3057</v>
      </c>
      <c r="I1719" s="8">
        <v>421395.7</v>
      </c>
      <c r="J1719" s="8">
        <v>308864.06</v>
      </c>
      <c r="K1719" s="8">
        <v>421395.7</v>
      </c>
    </row>
    <row r="1720" spans="1:11" hidden="1" x14ac:dyDescent="0.25">
      <c r="A1720" s="3" t="s">
        <v>3058</v>
      </c>
      <c r="B1720" s="3">
        <v>11</v>
      </c>
      <c r="C1720" s="5">
        <v>410</v>
      </c>
      <c r="D1720" s="6">
        <v>0</v>
      </c>
      <c r="E1720" s="7">
        <v>620000</v>
      </c>
      <c r="F1720" s="3">
        <v>52130</v>
      </c>
      <c r="G1720" s="3" t="str">
        <f t="shared" si="26"/>
        <v>5</v>
      </c>
      <c r="H1720" s="3" t="s">
        <v>3059</v>
      </c>
      <c r="I1720" s="8">
        <v>69104.5</v>
      </c>
      <c r="J1720" s="8">
        <v>51703.27</v>
      </c>
      <c r="K1720" s="8">
        <v>69104.5</v>
      </c>
    </row>
    <row r="1721" spans="1:11" hidden="1" x14ac:dyDescent="0.25">
      <c r="A1721" s="3" t="s">
        <v>3060</v>
      </c>
      <c r="B1721" s="3">
        <v>11</v>
      </c>
      <c r="C1721" s="5">
        <v>410</v>
      </c>
      <c r="D1721" s="6">
        <v>0</v>
      </c>
      <c r="E1721" s="7">
        <v>620000</v>
      </c>
      <c r="F1721" s="3">
        <v>52300</v>
      </c>
      <c r="G1721" s="3" t="str">
        <f t="shared" si="26"/>
        <v>5</v>
      </c>
      <c r="H1721" s="3" t="s">
        <v>3061</v>
      </c>
      <c r="I1721" s="8">
        <v>500</v>
      </c>
      <c r="J1721" s="8">
        <v>92.28</v>
      </c>
      <c r="K1721" s="8">
        <v>500</v>
      </c>
    </row>
    <row r="1722" spans="1:11" hidden="1" x14ac:dyDescent="0.25">
      <c r="A1722" s="3" t="s">
        <v>3062</v>
      </c>
      <c r="B1722" s="3">
        <v>11</v>
      </c>
      <c r="C1722" s="5">
        <v>410</v>
      </c>
      <c r="D1722" s="6">
        <v>0</v>
      </c>
      <c r="E1722" s="7">
        <v>620000</v>
      </c>
      <c r="F1722" s="3">
        <v>52360</v>
      </c>
      <c r="G1722" s="3" t="str">
        <f t="shared" si="26"/>
        <v>5</v>
      </c>
      <c r="H1722" s="3" t="s">
        <v>3063</v>
      </c>
      <c r="I1722" s="8">
        <v>18000</v>
      </c>
      <c r="J1722" s="8">
        <v>10799.52</v>
      </c>
      <c r="K1722" s="8">
        <v>18000</v>
      </c>
    </row>
    <row r="1723" spans="1:11" hidden="1" x14ac:dyDescent="0.25">
      <c r="A1723" s="3" t="s">
        <v>3064</v>
      </c>
      <c r="B1723" s="3">
        <v>11</v>
      </c>
      <c r="C1723" s="5">
        <v>410</v>
      </c>
      <c r="D1723" s="6">
        <v>0</v>
      </c>
      <c r="E1723" s="7">
        <v>620000</v>
      </c>
      <c r="F1723" s="3">
        <v>53220</v>
      </c>
      <c r="G1723" s="3" t="str">
        <f t="shared" si="26"/>
        <v>5</v>
      </c>
      <c r="H1723" s="3" t="s">
        <v>3065</v>
      </c>
      <c r="I1723" s="8">
        <v>101533.54</v>
      </c>
      <c r="J1723" s="8">
        <v>74327.600000000006</v>
      </c>
      <c r="K1723" s="8">
        <v>101533.54</v>
      </c>
    </row>
    <row r="1724" spans="1:11" hidden="1" x14ac:dyDescent="0.25">
      <c r="A1724" s="3" t="s">
        <v>3066</v>
      </c>
      <c r="B1724" s="3">
        <v>11</v>
      </c>
      <c r="C1724" s="5">
        <v>410</v>
      </c>
      <c r="D1724" s="6">
        <v>0</v>
      </c>
      <c r="E1724" s="7">
        <v>620000</v>
      </c>
      <c r="F1724" s="3">
        <v>53320</v>
      </c>
      <c r="G1724" s="3" t="str">
        <f t="shared" si="26"/>
        <v>5</v>
      </c>
      <c r="H1724" s="3" t="s">
        <v>3067</v>
      </c>
      <c r="I1724" s="8">
        <v>31558.02</v>
      </c>
      <c r="J1724" s="8">
        <v>22742.15</v>
      </c>
      <c r="K1724" s="8">
        <v>31558.02</v>
      </c>
    </row>
    <row r="1725" spans="1:11" hidden="1" x14ac:dyDescent="0.25">
      <c r="A1725" s="3" t="s">
        <v>3068</v>
      </c>
      <c r="B1725" s="3">
        <v>11</v>
      </c>
      <c r="C1725" s="5">
        <v>410</v>
      </c>
      <c r="D1725" s="6">
        <v>0</v>
      </c>
      <c r="E1725" s="7">
        <v>620000</v>
      </c>
      <c r="F1725" s="3">
        <v>53340</v>
      </c>
      <c r="G1725" s="3" t="str">
        <f t="shared" si="26"/>
        <v>5</v>
      </c>
      <c r="H1725" s="3" t="s">
        <v>3069</v>
      </c>
      <c r="I1725" s="8">
        <v>7380.52</v>
      </c>
      <c r="J1725" s="8">
        <v>5318.73</v>
      </c>
      <c r="K1725" s="8">
        <v>7380.52</v>
      </c>
    </row>
    <row r="1726" spans="1:11" hidden="1" x14ac:dyDescent="0.25">
      <c r="A1726" s="3" t="s">
        <v>3070</v>
      </c>
      <c r="B1726" s="3">
        <v>11</v>
      </c>
      <c r="C1726" s="5">
        <v>410</v>
      </c>
      <c r="D1726" s="6">
        <v>0</v>
      </c>
      <c r="E1726" s="7">
        <v>620000</v>
      </c>
      <c r="F1726" s="3">
        <v>53420</v>
      </c>
      <c r="G1726" s="3" t="str">
        <f t="shared" si="26"/>
        <v>5</v>
      </c>
      <c r="H1726" s="3" t="s">
        <v>3071</v>
      </c>
      <c r="I1726" s="8">
        <v>170628.12</v>
      </c>
      <c r="J1726" s="8">
        <v>123794.72</v>
      </c>
      <c r="K1726" s="8">
        <v>170628.12</v>
      </c>
    </row>
    <row r="1727" spans="1:11" hidden="1" x14ac:dyDescent="0.25">
      <c r="A1727" s="3" t="s">
        <v>3072</v>
      </c>
      <c r="B1727" s="3">
        <v>11</v>
      </c>
      <c r="C1727" s="5">
        <v>410</v>
      </c>
      <c r="D1727" s="6">
        <v>0</v>
      </c>
      <c r="E1727" s="7">
        <v>620000</v>
      </c>
      <c r="F1727" s="3">
        <v>53520</v>
      </c>
      <c r="G1727" s="3" t="str">
        <f t="shared" si="26"/>
        <v>5</v>
      </c>
      <c r="H1727" s="3" t="s">
        <v>3073</v>
      </c>
      <c r="I1727" s="8">
        <v>254.51</v>
      </c>
      <c r="J1727" s="8">
        <v>185.4</v>
      </c>
      <c r="K1727" s="8">
        <v>254.51</v>
      </c>
    </row>
    <row r="1728" spans="1:11" hidden="1" x14ac:dyDescent="0.25">
      <c r="A1728" s="3" t="s">
        <v>3074</v>
      </c>
      <c r="B1728" s="3">
        <v>11</v>
      </c>
      <c r="C1728" s="5">
        <v>410</v>
      </c>
      <c r="D1728" s="6">
        <v>0</v>
      </c>
      <c r="E1728" s="7">
        <v>620000</v>
      </c>
      <c r="F1728" s="3">
        <v>53620</v>
      </c>
      <c r="G1728" s="3" t="str">
        <f t="shared" si="26"/>
        <v>5</v>
      </c>
      <c r="H1728" s="3" t="s">
        <v>3075</v>
      </c>
      <c r="I1728" s="8">
        <v>9624.17</v>
      </c>
      <c r="J1728" s="8">
        <v>7040.21</v>
      </c>
      <c r="K1728" s="8">
        <v>9624.17</v>
      </c>
    </row>
    <row r="1729" spans="1:11" hidden="1" x14ac:dyDescent="0.25">
      <c r="A1729" s="3" t="s">
        <v>3076</v>
      </c>
      <c r="B1729" s="3">
        <v>11</v>
      </c>
      <c r="C1729" s="5">
        <v>410</v>
      </c>
      <c r="D1729" s="6">
        <v>0</v>
      </c>
      <c r="E1729" s="7">
        <v>620000</v>
      </c>
      <c r="F1729" s="3">
        <v>53920</v>
      </c>
      <c r="G1729" s="3" t="str">
        <f t="shared" si="26"/>
        <v>5</v>
      </c>
      <c r="H1729" s="3" t="s">
        <v>3077</v>
      </c>
      <c r="I1729" s="8">
        <v>2400</v>
      </c>
      <c r="J1729" s="8">
        <v>1599.99</v>
      </c>
      <c r="K1729" s="8">
        <v>2400</v>
      </c>
    </row>
    <row r="1730" spans="1:11" hidden="1" x14ac:dyDescent="0.25">
      <c r="A1730" s="3" t="s">
        <v>3078</v>
      </c>
      <c r="B1730" s="3">
        <v>11</v>
      </c>
      <c r="C1730" s="5">
        <v>410</v>
      </c>
      <c r="D1730" s="6">
        <v>0</v>
      </c>
      <c r="E1730" s="7">
        <v>620000</v>
      </c>
      <c r="F1730" s="3">
        <v>54300</v>
      </c>
      <c r="G1730" s="3" t="str">
        <f t="shared" si="26"/>
        <v>5</v>
      </c>
      <c r="H1730" s="3" t="s">
        <v>3079</v>
      </c>
      <c r="I1730" s="8">
        <v>1649</v>
      </c>
      <c r="J1730" s="8">
        <v>1070.57</v>
      </c>
      <c r="K1730" s="8">
        <v>1649</v>
      </c>
    </row>
    <row r="1731" spans="1:11" hidden="1" x14ac:dyDescent="0.25">
      <c r="A1731" s="3" t="s">
        <v>3080</v>
      </c>
      <c r="B1731" s="3">
        <v>11</v>
      </c>
      <c r="C1731" s="5">
        <v>410</v>
      </c>
      <c r="D1731" s="6">
        <v>0</v>
      </c>
      <c r="E1731" s="7">
        <v>620000</v>
      </c>
      <c r="F1731" s="3">
        <v>55200</v>
      </c>
      <c r="G1731" s="3" t="str">
        <f t="shared" ref="G1731:G1794" si="27">LEFT(F1731,1)</f>
        <v>5</v>
      </c>
      <c r="H1731" s="3" t="s">
        <v>3081</v>
      </c>
      <c r="I1731" s="8">
        <v>2910</v>
      </c>
      <c r="J1731" s="8">
        <v>50</v>
      </c>
      <c r="K1731" s="8">
        <v>2910</v>
      </c>
    </row>
    <row r="1732" spans="1:11" hidden="1" x14ac:dyDescent="0.25">
      <c r="A1732" s="3" t="s">
        <v>3082</v>
      </c>
      <c r="B1732" s="3">
        <v>11</v>
      </c>
      <c r="C1732" s="5">
        <v>410</v>
      </c>
      <c r="D1732" s="6">
        <v>0</v>
      </c>
      <c r="E1732" s="7">
        <v>620000</v>
      </c>
      <c r="F1732" s="3">
        <v>55300</v>
      </c>
      <c r="G1732" s="3" t="str">
        <f t="shared" si="27"/>
        <v>5</v>
      </c>
      <c r="H1732" s="3" t="s">
        <v>3083</v>
      </c>
      <c r="I1732" s="8">
        <v>0</v>
      </c>
      <c r="J1732" s="8">
        <v>300</v>
      </c>
      <c r="K1732" s="8">
        <v>0</v>
      </c>
    </row>
    <row r="1733" spans="1:11" hidden="1" x14ac:dyDescent="0.25">
      <c r="A1733" s="3" t="s">
        <v>3084</v>
      </c>
      <c r="B1733" s="3">
        <v>11</v>
      </c>
      <c r="C1733" s="5">
        <v>410</v>
      </c>
      <c r="D1733" s="6">
        <v>0</v>
      </c>
      <c r="E1733" s="7">
        <v>620000</v>
      </c>
      <c r="F1733" s="3">
        <v>55630</v>
      </c>
      <c r="G1733" s="3" t="str">
        <f t="shared" si="27"/>
        <v>5</v>
      </c>
      <c r="H1733" s="3" t="s">
        <v>3085</v>
      </c>
      <c r="I1733" s="8">
        <v>3820</v>
      </c>
      <c r="J1733" s="8">
        <v>3554.39</v>
      </c>
      <c r="K1733" s="8">
        <v>3820</v>
      </c>
    </row>
    <row r="1734" spans="1:11" hidden="1" x14ac:dyDescent="0.25">
      <c r="A1734" s="3" t="s">
        <v>3086</v>
      </c>
      <c r="B1734" s="3">
        <v>11</v>
      </c>
      <c r="C1734" s="5">
        <v>410</v>
      </c>
      <c r="D1734" s="6">
        <v>0</v>
      </c>
      <c r="E1734" s="7">
        <v>620000</v>
      </c>
      <c r="F1734" s="3">
        <v>55635</v>
      </c>
      <c r="G1734" s="3" t="str">
        <f t="shared" si="27"/>
        <v>5</v>
      </c>
      <c r="H1734" s="3" t="s">
        <v>3087</v>
      </c>
      <c r="I1734" s="8">
        <v>4074</v>
      </c>
      <c r="J1734" s="8">
        <v>3288.16</v>
      </c>
      <c r="K1734" s="8">
        <v>4074</v>
      </c>
    </row>
    <row r="1735" spans="1:11" hidden="1" x14ac:dyDescent="0.25">
      <c r="A1735" s="3" t="s">
        <v>3088</v>
      </c>
      <c r="B1735" s="3">
        <v>11</v>
      </c>
      <c r="C1735" s="5">
        <v>410</v>
      </c>
      <c r="D1735" s="6">
        <v>0</v>
      </c>
      <c r="E1735" s="7">
        <v>620000</v>
      </c>
      <c r="F1735" s="3">
        <v>55650</v>
      </c>
      <c r="G1735" s="3" t="str">
        <f t="shared" si="27"/>
        <v>5</v>
      </c>
      <c r="H1735" s="3" t="s">
        <v>3089</v>
      </c>
      <c r="I1735" s="8">
        <v>3820</v>
      </c>
      <c r="J1735" s="8">
        <v>1250</v>
      </c>
      <c r="K1735" s="8">
        <v>3820</v>
      </c>
    </row>
    <row r="1736" spans="1:11" hidden="1" x14ac:dyDescent="0.25">
      <c r="A1736" s="3" t="s">
        <v>3090</v>
      </c>
      <c r="B1736" s="3">
        <v>11</v>
      </c>
      <c r="C1736" s="5">
        <v>420</v>
      </c>
      <c r="D1736" s="6">
        <v>0</v>
      </c>
      <c r="E1736" s="7">
        <v>646000</v>
      </c>
      <c r="F1736" s="3">
        <v>52105</v>
      </c>
      <c r="G1736" s="3" t="str">
        <f t="shared" si="27"/>
        <v>5</v>
      </c>
      <c r="H1736" s="3" t="s">
        <v>3091</v>
      </c>
      <c r="I1736" s="8">
        <v>570948.55000000005</v>
      </c>
      <c r="J1736" s="8">
        <v>391417.55</v>
      </c>
      <c r="K1736" s="8">
        <v>570948.55000000005</v>
      </c>
    </row>
    <row r="1737" spans="1:11" hidden="1" x14ac:dyDescent="0.25">
      <c r="A1737" s="3" t="s">
        <v>3092</v>
      </c>
      <c r="B1737" s="3">
        <v>11</v>
      </c>
      <c r="C1737" s="5">
        <v>420</v>
      </c>
      <c r="D1737" s="6">
        <v>0</v>
      </c>
      <c r="E1737" s="7">
        <v>646000</v>
      </c>
      <c r="F1737" s="3">
        <v>52130</v>
      </c>
      <c r="G1737" s="3" t="str">
        <f t="shared" si="27"/>
        <v>5</v>
      </c>
      <c r="H1737" s="3" t="s">
        <v>3093</v>
      </c>
      <c r="I1737" s="8">
        <v>182797.5</v>
      </c>
      <c r="J1737" s="8">
        <v>183090.14</v>
      </c>
      <c r="K1737" s="8">
        <v>182797.5</v>
      </c>
    </row>
    <row r="1738" spans="1:11" hidden="1" x14ac:dyDescent="0.25">
      <c r="A1738" s="3" t="s">
        <v>3094</v>
      </c>
      <c r="B1738" s="3">
        <v>11</v>
      </c>
      <c r="C1738" s="5">
        <v>420</v>
      </c>
      <c r="D1738" s="6">
        <v>0</v>
      </c>
      <c r="E1738" s="7">
        <v>646000</v>
      </c>
      <c r="F1738" s="3">
        <v>52300</v>
      </c>
      <c r="G1738" s="3" t="str">
        <f t="shared" si="27"/>
        <v>5</v>
      </c>
      <c r="H1738" s="3" t="s">
        <v>3095</v>
      </c>
      <c r="I1738" s="8">
        <v>6000</v>
      </c>
      <c r="J1738" s="8">
        <v>1347.36</v>
      </c>
      <c r="K1738" s="8">
        <v>6000</v>
      </c>
    </row>
    <row r="1739" spans="1:11" hidden="1" x14ac:dyDescent="0.25">
      <c r="A1739" s="3" t="s">
        <v>3096</v>
      </c>
      <c r="B1739" s="3">
        <v>11</v>
      </c>
      <c r="C1739" s="5">
        <v>420</v>
      </c>
      <c r="D1739" s="6">
        <v>0</v>
      </c>
      <c r="E1739" s="7">
        <v>646000</v>
      </c>
      <c r="F1739" s="3">
        <v>52310</v>
      </c>
      <c r="G1739" s="3" t="str">
        <f t="shared" si="27"/>
        <v>5</v>
      </c>
      <c r="H1739" s="3" t="s">
        <v>3097</v>
      </c>
      <c r="I1739" s="8">
        <v>45000</v>
      </c>
      <c r="J1739" s="8">
        <v>15129.92</v>
      </c>
      <c r="K1739" s="8">
        <v>45000</v>
      </c>
    </row>
    <row r="1740" spans="1:11" hidden="1" x14ac:dyDescent="0.25">
      <c r="A1740" s="3" t="s">
        <v>3098</v>
      </c>
      <c r="B1740" s="3">
        <v>11</v>
      </c>
      <c r="C1740" s="5">
        <v>420</v>
      </c>
      <c r="D1740" s="6">
        <v>0</v>
      </c>
      <c r="E1740" s="7">
        <v>646000</v>
      </c>
      <c r="F1740" s="3">
        <v>52360</v>
      </c>
      <c r="G1740" s="3" t="str">
        <f t="shared" si="27"/>
        <v>5</v>
      </c>
      <c r="H1740" s="3" t="s">
        <v>3099</v>
      </c>
      <c r="I1740" s="8">
        <v>200</v>
      </c>
      <c r="J1740" s="8">
        <v>0</v>
      </c>
      <c r="K1740" s="8">
        <v>200</v>
      </c>
    </row>
    <row r="1741" spans="1:11" hidden="1" x14ac:dyDescent="0.25">
      <c r="A1741" s="3" t="s">
        <v>3100</v>
      </c>
      <c r="B1741" s="3">
        <v>11</v>
      </c>
      <c r="C1741" s="5">
        <v>420</v>
      </c>
      <c r="D1741" s="6">
        <v>0</v>
      </c>
      <c r="E1741" s="7">
        <v>646000</v>
      </c>
      <c r="F1741" s="3">
        <v>53220</v>
      </c>
      <c r="G1741" s="3" t="str">
        <f t="shared" si="27"/>
        <v>5</v>
      </c>
      <c r="H1741" s="3" t="s">
        <v>3101</v>
      </c>
      <c r="I1741" s="8">
        <v>156025.44</v>
      </c>
      <c r="J1741" s="8">
        <v>118775.6</v>
      </c>
      <c r="K1741" s="8">
        <v>156025.44</v>
      </c>
    </row>
    <row r="1742" spans="1:11" hidden="1" x14ac:dyDescent="0.25">
      <c r="A1742" s="3" t="s">
        <v>3102</v>
      </c>
      <c r="B1742" s="3">
        <v>11</v>
      </c>
      <c r="C1742" s="5">
        <v>420</v>
      </c>
      <c r="D1742" s="6">
        <v>0</v>
      </c>
      <c r="E1742" s="7">
        <v>646000</v>
      </c>
      <c r="F1742" s="3">
        <v>53320</v>
      </c>
      <c r="G1742" s="3" t="str">
        <f t="shared" si="27"/>
        <v>5</v>
      </c>
      <c r="H1742" s="3" t="s">
        <v>3103</v>
      </c>
      <c r="I1742" s="8">
        <v>47116.67</v>
      </c>
      <c r="J1742" s="8">
        <v>35283.67</v>
      </c>
      <c r="K1742" s="8">
        <v>47116.67</v>
      </c>
    </row>
    <row r="1743" spans="1:11" hidden="1" x14ac:dyDescent="0.25">
      <c r="A1743" s="3" t="s">
        <v>3104</v>
      </c>
      <c r="B1743" s="3">
        <v>11</v>
      </c>
      <c r="C1743" s="5">
        <v>420</v>
      </c>
      <c r="D1743" s="6">
        <v>0</v>
      </c>
      <c r="E1743" s="7">
        <v>646000</v>
      </c>
      <c r="F1743" s="3">
        <v>53340</v>
      </c>
      <c r="G1743" s="3" t="str">
        <f t="shared" si="27"/>
        <v>5</v>
      </c>
      <c r="H1743" s="3" t="s">
        <v>3105</v>
      </c>
      <c r="I1743" s="8">
        <v>11019.23</v>
      </c>
      <c r="J1743" s="8">
        <v>8251.8799999999992</v>
      </c>
      <c r="K1743" s="8">
        <v>11019.23</v>
      </c>
    </row>
    <row r="1744" spans="1:11" hidden="1" x14ac:dyDescent="0.25">
      <c r="A1744" s="3" t="s">
        <v>3106</v>
      </c>
      <c r="B1744" s="3">
        <v>11</v>
      </c>
      <c r="C1744" s="5">
        <v>420</v>
      </c>
      <c r="D1744" s="6">
        <v>0</v>
      </c>
      <c r="E1744" s="7">
        <v>646000</v>
      </c>
      <c r="F1744" s="3">
        <v>53420</v>
      </c>
      <c r="G1744" s="3" t="str">
        <f t="shared" si="27"/>
        <v>5</v>
      </c>
      <c r="H1744" s="3" t="s">
        <v>3107</v>
      </c>
      <c r="I1744" s="8">
        <v>257368.26</v>
      </c>
      <c r="J1744" s="8">
        <v>197224.93</v>
      </c>
      <c r="K1744" s="8">
        <v>257368.26</v>
      </c>
    </row>
    <row r="1745" spans="1:11" hidden="1" x14ac:dyDescent="0.25">
      <c r="A1745" s="3" t="s">
        <v>3108</v>
      </c>
      <c r="B1745" s="3">
        <v>11</v>
      </c>
      <c r="C1745" s="5">
        <v>420</v>
      </c>
      <c r="D1745" s="6">
        <v>0</v>
      </c>
      <c r="E1745" s="7">
        <v>646000</v>
      </c>
      <c r="F1745" s="3">
        <v>53520</v>
      </c>
      <c r="G1745" s="3" t="str">
        <f t="shared" si="27"/>
        <v>5</v>
      </c>
      <c r="H1745" s="3" t="s">
        <v>3109</v>
      </c>
      <c r="I1745" s="8">
        <v>379.98</v>
      </c>
      <c r="J1745" s="8">
        <v>287.43</v>
      </c>
      <c r="K1745" s="8">
        <v>379.98</v>
      </c>
    </row>
    <row r="1746" spans="1:11" hidden="1" x14ac:dyDescent="0.25">
      <c r="A1746" s="3" t="s">
        <v>3110</v>
      </c>
      <c r="B1746" s="3">
        <v>11</v>
      </c>
      <c r="C1746" s="5">
        <v>420</v>
      </c>
      <c r="D1746" s="6">
        <v>0</v>
      </c>
      <c r="E1746" s="7">
        <v>646000</v>
      </c>
      <c r="F1746" s="3">
        <v>53620</v>
      </c>
      <c r="G1746" s="3" t="str">
        <f t="shared" si="27"/>
        <v>5</v>
      </c>
      <c r="H1746" s="3" t="s">
        <v>3111</v>
      </c>
      <c r="I1746" s="8">
        <v>15219.93</v>
      </c>
      <c r="J1746" s="8">
        <v>12055.12</v>
      </c>
      <c r="K1746" s="8">
        <v>15219.93</v>
      </c>
    </row>
    <row r="1747" spans="1:11" hidden="1" x14ac:dyDescent="0.25">
      <c r="A1747" s="3" t="s">
        <v>3112</v>
      </c>
      <c r="B1747" s="3">
        <v>11</v>
      </c>
      <c r="C1747" s="5">
        <v>420</v>
      </c>
      <c r="D1747" s="6">
        <v>0</v>
      </c>
      <c r="E1747" s="7">
        <v>646000</v>
      </c>
      <c r="F1747" s="3">
        <v>53920</v>
      </c>
      <c r="G1747" s="3" t="str">
        <f t="shared" si="27"/>
        <v>5</v>
      </c>
      <c r="H1747" s="3" t="s">
        <v>3113</v>
      </c>
      <c r="I1747" s="8">
        <v>2400</v>
      </c>
      <c r="J1747" s="8">
        <v>1600.01</v>
      </c>
      <c r="K1747" s="8">
        <v>2400</v>
      </c>
    </row>
    <row r="1748" spans="1:11" hidden="1" x14ac:dyDescent="0.25">
      <c r="A1748" s="3" t="s">
        <v>3114</v>
      </c>
      <c r="B1748" s="3">
        <v>11</v>
      </c>
      <c r="C1748" s="5">
        <v>420</v>
      </c>
      <c r="D1748" s="6">
        <v>0</v>
      </c>
      <c r="E1748" s="7">
        <v>646000</v>
      </c>
      <c r="F1748" s="3">
        <v>54300</v>
      </c>
      <c r="G1748" s="3" t="str">
        <f t="shared" si="27"/>
        <v>5</v>
      </c>
      <c r="H1748" s="3" t="s">
        <v>3115</v>
      </c>
      <c r="I1748" s="8">
        <v>2820</v>
      </c>
      <c r="J1748" s="8">
        <v>779.09</v>
      </c>
      <c r="K1748" s="8">
        <v>2820</v>
      </c>
    </row>
    <row r="1749" spans="1:11" hidden="1" x14ac:dyDescent="0.25">
      <c r="A1749" s="3" t="s">
        <v>3116</v>
      </c>
      <c r="B1749" s="3">
        <v>11</v>
      </c>
      <c r="C1749" s="5">
        <v>420</v>
      </c>
      <c r="D1749" s="6">
        <v>0</v>
      </c>
      <c r="E1749" s="7">
        <v>646000</v>
      </c>
      <c r="F1749" s="3">
        <v>55200</v>
      </c>
      <c r="G1749" s="3" t="str">
        <f t="shared" si="27"/>
        <v>5</v>
      </c>
      <c r="H1749" s="3" t="s">
        <v>3117</v>
      </c>
      <c r="I1749" s="8">
        <v>4850</v>
      </c>
      <c r="J1749" s="8">
        <v>0</v>
      </c>
      <c r="K1749" s="8">
        <v>4850</v>
      </c>
    </row>
    <row r="1750" spans="1:11" hidden="1" x14ac:dyDescent="0.25">
      <c r="A1750" s="3" t="s">
        <v>3118</v>
      </c>
      <c r="B1750" s="3">
        <v>11</v>
      </c>
      <c r="C1750" s="5">
        <v>420</v>
      </c>
      <c r="D1750" s="6">
        <v>0</v>
      </c>
      <c r="E1750" s="7">
        <v>646000</v>
      </c>
      <c r="F1750" s="3">
        <v>55300</v>
      </c>
      <c r="G1750" s="3" t="str">
        <f t="shared" si="27"/>
        <v>5</v>
      </c>
      <c r="H1750" s="3" t="s">
        <v>3119</v>
      </c>
      <c r="I1750" s="8">
        <v>1509</v>
      </c>
      <c r="J1750" s="8">
        <v>1460</v>
      </c>
      <c r="K1750" s="8">
        <v>1509</v>
      </c>
    </row>
    <row r="1751" spans="1:11" hidden="1" x14ac:dyDescent="0.25">
      <c r="A1751" s="3" t="s">
        <v>3120</v>
      </c>
      <c r="B1751" s="3">
        <v>11</v>
      </c>
      <c r="C1751" s="5">
        <v>420</v>
      </c>
      <c r="D1751" s="6">
        <v>0</v>
      </c>
      <c r="E1751" s="7">
        <v>646000</v>
      </c>
      <c r="F1751" s="3">
        <v>55309</v>
      </c>
      <c r="G1751" s="3" t="str">
        <f t="shared" si="27"/>
        <v>5</v>
      </c>
      <c r="H1751" s="3" t="s">
        <v>3121</v>
      </c>
      <c r="I1751" s="8">
        <v>12100</v>
      </c>
      <c r="J1751" s="8">
        <v>16463.099999999999</v>
      </c>
      <c r="K1751" s="8">
        <v>12100</v>
      </c>
    </row>
    <row r="1752" spans="1:11" hidden="1" x14ac:dyDescent="0.25">
      <c r="A1752" s="3" t="s">
        <v>3122</v>
      </c>
      <c r="B1752" s="3">
        <v>11</v>
      </c>
      <c r="C1752" s="5">
        <v>420</v>
      </c>
      <c r="D1752" s="6">
        <v>0</v>
      </c>
      <c r="E1752" s="7">
        <v>646000</v>
      </c>
      <c r="F1752" s="3">
        <v>55630</v>
      </c>
      <c r="G1752" s="3" t="str">
        <f t="shared" si="27"/>
        <v>5</v>
      </c>
      <c r="H1752" s="3" t="s">
        <v>3123</v>
      </c>
      <c r="I1752" s="8">
        <v>5828</v>
      </c>
      <c r="J1752" s="8">
        <v>1530.28</v>
      </c>
      <c r="K1752" s="8">
        <v>5828</v>
      </c>
    </row>
    <row r="1753" spans="1:11" hidden="1" x14ac:dyDescent="0.25">
      <c r="A1753" s="3" t="s">
        <v>3124</v>
      </c>
      <c r="B1753" s="3">
        <v>11</v>
      </c>
      <c r="C1753" s="5">
        <v>420</v>
      </c>
      <c r="D1753" s="6">
        <v>0</v>
      </c>
      <c r="E1753" s="7">
        <v>646021</v>
      </c>
      <c r="F1753" s="3">
        <v>52105</v>
      </c>
      <c r="G1753" s="3" t="str">
        <f t="shared" si="27"/>
        <v>5</v>
      </c>
      <c r="H1753" s="3" t="s">
        <v>3125</v>
      </c>
      <c r="I1753" s="8">
        <v>40235.870000000003</v>
      </c>
      <c r="J1753" s="8">
        <v>30054.68</v>
      </c>
      <c r="K1753" s="8">
        <v>40235.870000000003</v>
      </c>
    </row>
    <row r="1754" spans="1:11" hidden="1" x14ac:dyDescent="0.25">
      <c r="A1754" s="3" t="s">
        <v>3126</v>
      </c>
      <c r="B1754" s="3">
        <v>11</v>
      </c>
      <c r="C1754" s="5">
        <v>420</v>
      </c>
      <c r="D1754" s="6">
        <v>0</v>
      </c>
      <c r="E1754" s="7">
        <v>646021</v>
      </c>
      <c r="F1754" s="3">
        <v>52300</v>
      </c>
      <c r="G1754" s="3" t="str">
        <f t="shared" si="27"/>
        <v>5</v>
      </c>
      <c r="H1754" s="3" t="s">
        <v>3127</v>
      </c>
      <c r="I1754" s="8">
        <v>200</v>
      </c>
      <c r="J1754" s="8">
        <v>2.67</v>
      </c>
      <c r="K1754" s="8">
        <v>200</v>
      </c>
    </row>
    <row r="1755" spans="1:11" hidden="1" x14ac:dyDescent="0.25">
      <c r="A1755" s="3" t="s">
        <v>3128</v>
      </c>
      <c r="B1755" s="3">
        <v>11</v>
      </c>
      <c r="C1755" s="5">
        <v>420</v>
      </c>
      <c r="D1755" s="6">
        <v>0</v>
      </c>
      <c r="E1755" s="7">
        <v>646021</v>
      </c>
      <c r="F1755" s="3">
        <v>53220</v>
      </c>
      <c r="G1755" s="3" t="str">
        <f t="shared" si="27"/>
        <v>5</v>
      </c>
      <c r="H1755" s="3" t="s">
        <v>3129</v>
      </c>
      <c r="I1755" s="8">
        <v>8328.83</v>
      </c>
      <c r="J1755" s="8">
        <v>6221.37</v>
      </c>
      <c r="K1755" s="8">
        <v>8328.83</v>
      </c>
    </row>
    <row r="1756" spans="1:11" hidden="1" x14ac:dyDescent="0.25">
      <c r="A1756" s="3" t="s">
        <v>3130</v>
      </c>
      <c r="B1756" s="3">
        <v>11</v>
      </c>
      <c r="C1756" s="5">
        <v>420</v>
      </c>
      <c r="D1756" s="6">
        <v>0</v>
      </c>
      <c r="E1756" s="7">
        <v>646021</v>
      </c>
      <c r="F1756" s="3">
        <v>53320</v>
      </c>
      <c r="G1756" s="3" t="str">
        <f t="shared" si="27"/>
        <v>5</v>
      </c>
      <c r="H1756" s="3" t="s">
        <v>3131</v>
      </c>
      <c r="I1756" s="8">
        <v>2507.02</v>
      </c>
      <c r="J1756" s="8">
        <v>1865.3</v>
      </c>
      <c r="K1756" s="8">
        <v>2507.02</v>
      </c>
    </row>
    <row r="1757" spans="1:11" hidden="1" x14ac:dyDescent="0.25">
      <c r="A1757" s="3" t="s">
        <v>3132</v>
      </c>
      <c r="B1757" s="3">
        <v>11</v>
      </c>
      <c r="C1757" s="5">
        <v>420</v>
      </c>
      <c r="D1757" s="6">
        <v>0</v>
      </c>
      <c r="E1757" s="7">
        <v>646021</v>
      </c>
      <c r="F1757" s="3">
        <v>53340</v>
      </c>
      <c r="G1757" s="3" t="str">
        <f t="shared" si="27"/>
        <v>5</v>
      </c>
      <c r="H1757" s="3" t="s">
        <v>3133</v>
      </c>
      <c r="I1757" s="8">
        <v>586.32000000000005</v>
      </c>
      <c r="J1757" s="8">
        <v>436.18</v>
      </c>
      <c r="K1757" s="8">
        <v>586.32000000000005</v>
      </c>
    </row>
    <row r="1758" spans="1:11" hidden="1" x14ac:dyDescent="0.25">
      <c r="A1758" s="3" t="s">
        <v>3134</v>
      </c>
      <c r="B1758" s="3">
        <v>11</v>
      </c>
      <c r="C1758" s="5">
        <v>420</v>
      </c>
      <c r="D1758" s="6">
        <v>0</v>
      </c>
      <c r="E1758" s="7">
        <v>646021</v>
      </c>
      <c r="F1758" s="3">
        <v>53420</v>
      </c>
      <c r="G1758" s="3" t="str">
        <f t="shared" si="27"/>
        <v>5</v>
      </c>
      <c r="H1758" s="3" t="s">
        <v>3135</v>
      </c>
      <c r="I1758" s="8">
        <v>9856.2199999999993</v>
      </c>
      <c r="J1758" s="8">
        <v>7209.87</v>
      </c>
      <c r="K1758" s="8">
        <v>9856.2199999999993</v>
      </c>
    </row>
    <row r="1759" spans="1:11" hidden="1" x14ac:dyDescent="0.25">
      <c r="A1759" s="3" t="s">
        <v>3136</v>
      </c>
      <c r="B1759" s="3">
        <v>11</v>
      </c>
      <c r="C1759" s="5">
        <v>420</v>
      </c>
      <c r="D1759" s="6">
        <v>0</v>
      </c>
      <c r="E1759" s="7">
        <v>646021</v>
      </c>
      <c r="F1759" s="3">
        <v>53520</v>
      </c>
      <c r="G1759" s="3" t="str">
        <f t="shared" si="27"/>
        <v>5</v>
      </c>
      <c r="H1759" s="3" t="s">
        <v>3137</v>
      </c>
      <c r="I1759" s="8">
        <v>20.22</v>
      </c>
      <c r="J1759" s="8">
        <v>15.03</v>
      </c>
      <c r="K1759" s="8">
        <v>20.22</v>
      </c>
    </row>
    <row r="1760" spans="1:11" hidden="1" x14ac:dyDescent="0.25">
      <c r="A1760" s="3" t="s">
        <v>3138</v>
      </c>
      <c r="B1760" s="3">
        <v>11</v>
      </c>
      <c r="C1760" s="5">
        <v>420</v>
      </c>
      <c r="D1760" s="6">
        <v>0</v>
      </c>
      <c r="E1760" s="7">
        <v>646021</v>
      </c>
      <c r="F1760" s="3">
        <v>53620</v>
      </c>
      <c r="G1760" s="3" t="str">
        <f t="shared" si="27"/>
        <v>5</v>
      </c>
      <c r="H1760" s="3" t="s">
        <v>3139</v>
      </c>
      <c r="I1760" s="8">
        <v>764.56</v>
      </c>
      <c r="J1760" s="8">
        <v>569.91999999999996</v>
      </c>
      <c r="K1760" s="8">
        <v>764.56</v>
      </c>
    </row>
    <row r="1761" spans="1:11" hidden="1" x14ac:dyDescent="0.25">
      <c r="A1761" s="3" t="s">
        <v>3140</v>
      </c>
      <c r="B1761" s="3">
        <v>11</v>
      </c>
      <c r="C1761" s="5">
        <v>420</v>
      </c>
      <c r="D1761" s="6">
        <v>0</v>
      </c>
      <c r="E1761" s="7">
        <v>646021</v>
      </c>
      <c r="F1761" s="3">
        <v>55630</v>
      </c>
      <c r="G1761" s="3" t="str">
        <f t="shared" si="27"/>
        <v>5</v>
      </c>
      <c r="H1761" s="3" t="s">
        <v>3141</v>
      </c>
      <c r="I1761" s="8">
        <v>388</v>
      </c>
      <c r="J1761" s="8">
        <v>21.56</v>
      </c>
      <c r="K1761" s="8">
        <v>388</v>
      </c>
    </row>
    <row r="1762" spans="1:11" hidden="1" x14ac:dyDescent="0.25">
      <c r="A1762" s="3" t="s">
        <v>3142</v>
      </c>
      <c r="B1762" s="3">
        <v>11</v>
      </c>
      <c r="C1762" s="5">
        <v>420</v>
      </c>
      <c r="D1762" s="6">
        <v>0</v>
      </c>
      <c r="E1762" s="7">
        <v>648000</v>
      </c>
      <c r="F1762" s="3">
        <v>51200</v>
      </c>
      <c r="G1762" s="3" t="str">
        <f t="shared" si="27"/>
        <v>5</v>
      </c>
      <c r="H1762" s="3" t="s">
        <v>3143</v>
      </c>
      <c r="I1762" s="8">
        <v>29542.69</v>
      </c>
      <c r="J1762" s="8">
        <v>21485.599999999999</v>
      </c>
      <c r="K1762" s="8">
        <v>29542.69</v>
      </c>
    </row>
    <row r="1763" spans="1:11" hidden="1" x14ac:dyDescent="0.25">
      <c r="A1763" s="3" t="s">
        <v>3144</v>
      </c>
      <c r="B1763" s="3">
        <v>11</v>
      </c>
      <c r="C1763" s="5">
        <v>420</v>
      </c>
      <c r="D1763" s="6">
        <v>0</v>
      </c>
      <c r="E1763" s="7">
        <v>648000</v>
      </c>
      <c r="F1763" s="3">
        <v>52105</v>
      </c>
      <c r="G1763" s="3" t="str">
        <f t="shared" si="27"/>
        <v>5</v>
      </c>
      <c r="H1763" s="3" t="s">
        <v>3145</v>
      </c>
      <c r="I1763" s="8">
        <v>26375.27</v>
      </c>
      <c r="J1763" s="8">
        <v>19776.57</v>
      </c>
      <c r="K1763" s="8">
        <v>26375.27</v>
      </c>
    </row>
    <row r="1764" spans="1:11" hidden="1" x14ac:dyDescent="0.25">
      <c r="A1764" s="3" t="s">
        <v>3146</v>
      </c>
      <c r="B1764" s="3">
        <v>11</v>
      </c>
      <c r="C1764" s="5">
        <v>420</v>
      </c>
      <c r="D1764" s="6">
        <v>0</v>
      </c>
      <c r="E1764" s="7">
        <v>648000</v>
      </c>
      <c r="F1764" s="3">
        <v>52300</v>
      </c>
      <c r="G1764" s="3" t="str">
        <f t="shared" si="27"/>
        <v>5</v>
      </c>
      <c r="H1764" s="3" t="s">
        <v>3147</v>
      </c>
      <c r="I1764" s="8">
        <v>0</v>
      </c>
      <c r="J1764" s="8">
        <v>6.18</v>
      </c>
      <c r="K1764" s="8">
        <v>0</v>
      </c>
    </row>
    <row r="1765" spans="1:11" hidden="1" x14ac:dyDescent="0.25">
      <c r="A1765" s="3" t="s">
        <v>3148</v>
      </c>
      <c r="B1765" s="3">
        <v>11</v>
      </c>
      <c r="C1765" s="5">
        <v>420</v>
      </c>
      <c r="D1765" s="6">
        <v>0</v>
      </c>
      <c r="E1765" s="7">
        <v>648000</v>
      </c>
      <c r="F1765" s="3">
        <v>53120</v>
      </c>
      <c r="G1765" s="3" t="str">
        <f t="shared" si="27"/>
        <v>5</v>
      </c>
      <c r="H1765" s="3" t="s">
        <v>3149</v>
      </c>
      <c r="I1765" s="8">
        <v>4771.1400000000003</v>
      </c>
      <c r="J1765" s="8">
        <v>3469.92</v>
      </c>
      <c r="K1765" s="8">
        <v>4771.1400000000003</v>
      </c>
    </row>
    <row r="1766" spans="1:11" hidden="1" x14ac:dyDescent="0.25">
      <c r="A1766" s="3" t="s">
        <v>3150</v>
      </c>
      <c r="B1766" s="3">
        <v>11</v>
      </c>
      <c r="C1766" s="5">
        <v>420</v>
      </c>
      <c r="D1766" s="6">
        <v>0</v>
      </c>
      <c r="E1766" s="7">
        <v>648000</v>
      </c>
      <c r="F1766" s="3">
        <v>53220</v>
      </c>
      <c r="G1766" s="3" t="str">
        <f t="shared" si="27"/>
        <v>5</v>
      </c>
      <c r="H1766" s="3" t="s">
        <v>3151</v>
      </c>
      <c r="I1766" s="8">
        <v>5459.68</v>
      </c>
      <c r="J1766" s="8">
        <v>4090.88</v>
      </c>
      <c r="K1766" s="8">
        <v>5459.68</v>
      </c>
    </row>
    <row r="1767" spans="1:11" hidden="1" x14ac:dyDescent="0.25">
      <c r="A1767" s="3" t="s">
        <v>3152</v>
      </c>
      <c r="B1767" s="3">
        <v>11</v>
      </c>
      <c r="C1767" s="5">
        <v>420</v>
      </c>
      <c r="D1767" s="6">
        <v>0</v>
      </c>
      <c r="E1767" s="7">
        <v>648000</v>
      </c>
      <c r="F1767" s="3">
        <v>53320</v>
      </c>
      <c r="G1767" s="3" t="str">
        <f t="shared" si="27"/>
        <v>5</v>
      </c>
      <c r="H1767" s="3" t="s">
        <v>3153</v>
      </c>
      <c r="I1767" s="8">
        <v>1635.27</v>
      </c>
      <c r="J1767" s="8">
        <v>1222.23</v>
      </c>
      <c r="K1767" s="8">
        <v>1635.27</v>
      </c>
    </row>
    <row r="1768" spans="1:11" hidden="1" x14ac:dyDescent="0.25">
      <c r="A1768" s="3" t="s">
        <v>3154</v>
      </c>
      <c r="B1768" s="3">
        <v>11</v>
      </c>
      <c r="C1768" s="5">
        <v>420</v>
      </c>
      <c r="D1768" s="6">
        <v>0</v>
      </c>
      <c r="E1768" s="7">
        <v>648000</v>
      </c>
      <c r="F1768" s="3">
        <v>53340</v>
      </c>
      <c r="G1768" s="3" t="str">
        <f t="shared" si="27"/>
        <v>5</v>
      </c>
      <c r="H1768" s="3" t="s">
        <v>3155</v>
      </c>
      <c r="I1768" s="8">
        <v>810.81</v>
      </c>
      <c r="J1768" s="8">
        <v>594.1</v>
      </c>
      <c r="K1768" s="8">
        <v>810.81</v>
      </c>
    </row>
    <row r="1769" spans="1:11" hidden="1" x14ac:dyDescent="0.25">
      <c r="A1769" s="3" t="s">
        <v>3156</v>
      </c>
      <c r="B1769" s="3">
        <v>11</v>
      </c>
      <c r="C1769" s="5">
        <v>420</v>
      </c>
      <c r="D1769" s="6">
        <v>0</v>
      </c>
      <c r="E1769" s="7">
        <v>648000</v>
      </c>
      <c r="F1769" s="3">
        <v>53420</v>
      </c>
      <c r="G1769" s="3" t="str">
        <f t="shared" si="27"/>
        <v>5</v>
      </c>
      <c r="H1769" s="3" t="s">
        <v>3157</v>
      </c>
      <c r="I1769" s="8">
        <v>14867.2</v>
      </c>
      <c r="J1769" s="8">
        <v>10683.35</v>
      </c>
      <c r="K1769" s="8">
        <v>14867.2</v>
      </c>
    </row>
    <row r="1770" spans="1:11" hidden="1" x14ac:dyDescent="0.25">
      <c r="A1770" s="3" t="s">
        <v>3158</v>
      </c>
      <c r="B1770" s="3">
        <v>11</v>
      </c>
      <c r="C1770" s="5">
        <v>420</v>
      </c>
      <c r="D1770" s="6">
        <v>0</v>
      </c>
      <c r="E1770" s="7">
        <v>648000</v>
      </c>
      <c r="F1770" s="3">
        <v>53520</v>
      </c>
      <c r="G1770" s="3" t="str">
        <f t="shared" si="27"/>
        <v>5</v>
      </c>
      <c r="H1770" s="3" t="s">
        <v>3159</v>
      </c>
      <c r="I1770" s="8">
        <v>27.96</v>
      </c>
      <c r="J1770" s="8">
        <v>20.61</v>
      </c>
      <c r="K1770" s="8">
        <v>27.96</v>
      </c>
    </row>
    <row r="1771" spans="1:11" hidden="1" x14ac:dyDescent="0.25">
      <c r="A1771" s="3" t="s">
        <v>3160</v>
      </c>
      <c r="B1771" s="3">
        <v>11</v>
      </c>
      <c r="C1771" s="5">
        <v>420</v>
      </c>
      <c r="D1771" s="6">
        <v>0</v>
      </c>
      <c r="E1771" s="7">
        <v>648000</v>
      </c>
      <c r="F1771" s="3">
        <v>53620</v>
      </c>
      <c r="G1771" s="3" t="str">
        <f t="shared" si="27"/>
        <v>5</v>
      </c>
      <c r="H1771" s="3" t="s">
        <v>3161</v>
      </c>
      <c r="I1771" s="8">
        <v>1057.29</v>
      </c>
      <c r="J1771" s="8">
        <v>781.29</v>
      </c>
      <c r="K1771" s="8">
        <v>1057.29</v>
      </c>
    </row>
    <row r="1772" spans="1:11" hidden="1" x14ac:dyDescent="0.25">
      <c r="A1772" s="3" t="s">
        <v>3162</v>
      </c>
      <c r="B1772" s="3">
        <v>11</v>
      </c>
      <c r="C1772" s="5">
        <v>420</v>
      </c>
      <c r="D1772" s="6">
        <v>0</v>
      </c>
      <c r="E1772" s="7">
        <v>648000</v>
      </c>
      <c r="F1772" s="3">
        <v>55200</v>
      </c>
      <c r="G1772" s="3" t="str">
        <f t="shared" si="27"/>
        <v>5</v>
      </c>
      <c r="H1772" s="3" t="s">
        <v>3163</v>
      </c>
      <c r="I1772" s="8">
        <v>1000</v>
      </c>
      <c r="J1772" s="8">
        <v>0</v>
      </c>
      <c r="K1772" s="8">
        <v>1000</v>
      </c>
    </row>
    <row r="1773" spans="1:11" hidden="1" x14ac:dyDescent="0.25">
      <c r="A1773" s="3" t="s">
        <v>3164</v>
      </c>
      <c r="B1773" s="3">
        <v>11</v>
      </c>
      <c r="C1773" s="5">
        <v>420</v>
      </c>
      <c r="D1773" s="6">
        <v>0</v>
      </c>
      <c r="E1773" s="7">
        <v>648000</v>
      </c>
      <c r="F1773" s="3">
        <v>55300</v>
      </c>
      <c r="G1773" s="3" t="str">
        <f t="shared" si="27"/>
        <v>5</v>
      </c>
      <c r="H1773" s="3" t="s">
        <v>3165</v>
      </c>
      <c r="I1773" s="8">
        <v>100</v>
      </c>
      <c r="J1773" s="8">
        <v>0</v>
      </c>
      <c r="K1773" s="8">
        <v>100</v>
      </c>
    </row>
    <row r="1774" spans="1:11" hidden="1" x14ac:dyDescent="0.25">
      <c r="A1774" s="3" t="s">
        <v>3166</v>
      </c>
      <c r="B1774" s="3">
        <v>11</v>
      </c>
      <c r="C1774" s="5">
        <v>420</v>
      </c>
      <c r="D1774" s="6">
        <v>0</v>
      </c>
      <c r="E1774" s="7">
        <v>648000</v>
      </c>
      <c r="F1774" s="3">
        <v>55630</v>
      </c>
      <c r="G1774" s="3" t="str">
        <f t="shared" si="27"/>
        <v>5</v>
      </c>
      <c r="H1774" s="3" t="s">
        <v>3167</v>
      </c>
      <c r="I1774" s="8">
        <v>8</v>
      </c>
      <c r="J1774" s="8">
        <v>1.57</v>
      </c>
      <c r="K1774" s="8">
        <v>8</v>
      </c>
    </row>
    <row r="1775" spans="1:11" hidden="1" x14ac:dyDescent="0.25">
      <c r="A1775" s="3" t="s">
        <v>3168</v>
      </c>
      <c r="B1775" s="3">
        <v>11</v>
      </c>
      <c r="C1775" s="5">
        <v>430</v>
      </c>
      <c r="D1775" s="6">
        <v>0</v>
      </c>
      <c r="E1775" s="7">
        <v>643000</v>
      </c>
      <c r="F1775" s="3">
        <v>51210</v>
      </c>
      <c r="G1775" s="3" t="str">
        <f t="shared" si="27"/>
        <v>5</v>
      </c>
      <c r="H1775" s="3" t="s">
        <v>3169</v>
      </c>
      <c r="I1775" s="8">
        <v>123021</v>
      </c>
      <c r="J1775" s="8">
        <v>0</v>
      </c>
      <c r="K1775" s="8">
        <v>123021</v>
      </c>
    </row>
    <row r="1776" spans="1:11" hidden="1" x14ac:dyDescent="0.25">
      <c r="A1776" s="3" t="s">
        <v>3170</v>
      </c>
      <c r="B1776" s="3">
        <v>11</v>
      </c>
      <c r="C1776" s="5">
        <v>430</v>
      </c>
      <c r="D1776" s="6">
        <v>0</v>
      </c>
      <c r="E1776" s="7">
        <v>643000</v>
      </c>
      <c r="F1776" s="3">
        <v>53220</v>
      </c>
      <c r="G1776" s="3" t="str">
        <f t="shared" si="27"/>
        <v>5</v>
      </c>
      <c r="H1776" s="3" t="s">
        <v>3171</v>
      </c>
      <c r="I1776" s="8">
        <v>25465.35</v>
      </c>
      <c r="J1776" s="8">
        <v>0</v>
      </c>
      <c r="K1776" s="8">
        <v>25465.35</v>
      </c>
    </row>
    <row r="1777" spans="1:11" hidden="1" x14ac:dyDescent="0.25">
      <c r="A1777" s="3" t="s">
        <v>3172</v>
      </c>
      <c r="B1777" s="3">
        <v>11</v>
      </c>
      <c r="C1777" s="5">
        <v>430</v>
      </c>
      <c r="D1777" s="6">
        <v>0</v>
      </c>
      <c r="E1777" s="7">
        <v>643000</v>
      </c>
      <c r="F1777" s="3">
        <v>53320</v>
      </c>
      <c r="G1777" s="3" t="str">
        <f t="shared" si="27"/>
        <v>5</v>
      </c>
      <c r="H1777" s="3" t="s">
        <v>3173</v>
      </c>
      <c r="I1777" s="8">
        <v>7627.3</v>
      </c>
      <c r="J1777" s="8">
        <v>0</v>
      </c>
      <c r="K1777" s="8">
        <v>7627.3</v>
      </c>
    </row>
    <row r="1778" spans="1:11" hidden="1" x14ac:dyDescent="0.25">
      <c r="A1778" s="3" t="s">
        <v>3174</v>
      </c>
      <c r="B1778" s="3">
        <v>11</v>
      </c>
      <c r="C1778" s="5">
        <v>430</v>
      </c>
      <c r="D1778" s="6">
        <v>0</v>
      </c>
      <c r="E1778" s="7">
        <v>643000</v>
      </c>
      <c r="F1778" s="3">
        <v>53340</v>
      </c>
      <c r="G1778" s="3" t="str">
        <f t="shared" si="27"/>
        <v>5</v>
      </c>
      <c r="H1778" s="3" t="s">
        <v>3175</v>
      </c>
      <c r="I1778" s="8">
        <v>1783.8</v>
      </c>
      <c r="J1778" s="8">
        <v>0</v>
      </c>
      <c r="K1778" s="8">
        <v>1783.8</v>
      </c>
    </row>
    <row r="1779" spans="1:11" hidden="1" x14ac:dyDescent="0.25">
      <c r="A1779" s="3" t="s">
        <v>3176</v>
      </c>
      <c r="B1779" s="3">
        <v>11</v>
      </c>
      <c r="C1779" s="5">
        <v>430</v>
      </c>
      <c r="D1779" s="6">
        <v>0</v>
      </c>
      <c r="E1779" s="7">
        <v>643000</v>
      </c>
      <c r="F1779" s="3">
        <v>53420</v>
      </c>
      <c r="G1779" s="3" t="str">
        <f t="shared" si="27"/>
        <v>5</v>
      </c>
      <c r="H1779" s="3" t="s">
        <v>3177</v>
      </c>
      <c r="I1779" s="8">
        <v>13141.62</v>
      </c>
      <c r="J1779" s="8">
        <v>0</v>
      </c>
      <c r="K1779" s="8">
        <v>13141.62</v>
      </c>
    </row>
    <row r="1780" spans="1:11" hidden="1" x14ac:dyDescent="0.25">
      <c r="A1780" s="3" t="s">
        <v>3178</v>
      </c>
      <c r="B1780" s="3">
        <v>11</v>
      </c>
      <c r="C1780" s="5">
        <v>430</v>
      </c>
      <c r="D1780" s="6">
        <v>0</v>
      </c>
      <c r="E1780" s="7">
        <v>643000</v>
      </c>
      <c r="F1780" s="3">
        <v>53520</v>
      </c>
      <c r="G1780" s="3" t="str">
        <f t="shared" si="27"/>
        <v>5</v>
      </c>
      <c r="H1780" s="3" t="s">
        <v>3179</v>
      </c>
      <c r="I1780" s="8">
        <v>61.51</v>
      </c>
      <c r="J1780" s="8">
        <v>0</v>
      </c>
      <c r="K1780" s="8">
        <v>61.51</v>
      </c>
    </row>
    <row r="1781" spans="1:11" hidden="1" x14ac:dyDescent="0.25">
      <c r="A1781" s="3" t="s">
        <v>3180</v>
      </c>
      <c r="B1781" s="3">
        <v>11</v>
      </c>
      <c r="C1781" s="5">
        <v>430</v>
      </c>
      <c r="D1781" s="6">
        <v>0</v>
      </c>
      <c r="E1781" s="7">
        <v>643000</v>
      </c>
      <c r="F1781" s="3">
        <v>53620</v>
      </c>
      <c r="G1781" s="3" t="str">
        <f t="shared" si="27"/>
        <v>5</v>
      </c>
      <c r="H1781" s="3" t="s">
        <v>3181</v>
      </c>
      <c r="I1781" s="8">
        <v>2326.08</v>
      </c>
      <c r="J1781" s="8">
        <v>0</v>
      </c>
      <c r="K1781" s="8">
        <v>2326.08</v>
      </c>
    </row>
    <row r="1782" spans="1:11" hidden="1" x14ac:dyDescent="0.25">
      <c r="A1782" s="3" t="s">
        <v>3182</v>
      </c>
      <c r="B1782" s="3">
        <v>11</v>
      </c>
      <c r="C1782" s="5">
        <v>430</v>
      </c>
      <c r="D1782" s="6">
        <v>0</v>
      </c>
      <c r="E1782" s="7">
        <v>700500</v>
      </c>
      <c r="F1782" s="3">
        <v>51210</v>
      </c>
      <c r="G1782" s="3" t="str">
        <f t="shared" si="27"/>
        <v>5</v>
      </c>
      <c r="H1782" s="3" t="s">
        <v>3183</v>
      </c>
      <c r="I1782" s="8">
        <v>0</v>
      </c>
      <c r="J1782" s="8">
        <v>92265.75</v>
      </c>
      <c r="K1782" s="8">
        <v>0</v>
      </c>
    </row>
    <row r="1783" spans="1:11" hidden="1" x14ac:dyDescent="0.25">
      <c r="A1783" s="3" t="s">
        <v>3184</v>
      </c>
      <c r="B1783" s="3">
        <v>11</v>
      </c>
      <c r="C1783" s="5">
        <v>430</v>
      </c>
      <c r="D1783" s="6">
        <v>0</v>
      </c>
      <c r="E1783" s="7">
        <v>700500</v>
      </c>
      <c r="F1783" s="3">
        <v>53220</v>
      </c>
      <c r="G1783" s="3" t="str">
        <f t="shared" si="27"/>
        <v>5</v>
      </c>
      <c r="H1783" s="3" t="s">
        <v>3185</v>
      </c>
      <c r="I1783" s="8">
        <v>0</v>
      </c>
      <c r="J1783" s="8">
        <v>19098.990000000002</v>
      </c>
      <c r="K1783" s="8">
        <v>0</v>
      </c>
    </row>
    <row r="1784" spans="1:11" hidden="1" x14ac:dyDescent="0.25">
      <c r="A1784" s="3" t="s">
        <v>3186</v>
      </c>
      <c r="B1784" s="3">
        <v>11</v>
      </c>
      <c r="C1784" s="5">
        <v>430</v>
      </c>
      <c r="D1784" s="6">
        <v>0</v>
      </c>
      <c r="E1784" s="7">
        <v>700500</v>
      </c>
      <c r="F1784" s="3">
        <v>53320</v>
      </c>
      <c r="G1784" s="3" t="str">
        <f t="shared" si="27"/>
        <v>5</v>
      </c>
      <c r="H1784" s="3" t="s">
        <v>3187</v>
      </c>
      <c r="I1784" s="8">
        <v>0</v>
      </c>
      <c r="J1784" s="8">
        <v>5720.49</v>
      </c>
      <c r="K1784" s="8">
        <v>0</v>
      </c>
    </row>
    <row r="1785" spans="1:11" hidden="1" x14ac:dyDescent="0.25">
      <c r="A1785" s="3" t="s">
        <v>3188</v>
      </c>
      <c r="B1785" s="3">
        <v>11</v>
      </c>
      <c r="C1785" s="5">
        <v>430</v>
      </c>
      <c r="D1785" s="6">
        <v>0</v>
      </c>
      <c r="E1785" s="7">
        <v>700500</v>
      </c>
      <c r="F1785" s="3">
        <v>53340</v>
      </c>
      <c r="G1785" s="3" t="str">
        <f t="shared" si="27"/>
        <v>5</v>
      </c>
      <c r="H1785" s="3" t="s">
        <v>3189</v>
      </c>
      <c r="I1785" s="8">
        <v>0</v>
      </c>
      <c r="J1785" s="8">
        <v>1337.85</v>
      </c>
      <c r="K1785" s="8">
        <v>0</v>
      </c>
    </row>
    <row r="1786" spans="1:11" hidden="1" x14ac:dyDescent="0.25">
      <c r="A1786" s="3" t="s">
        <v>3190</v>
      </c>
      <c r="B1786" s="3">
        <v>11</v>
      </c>
      <c r="C1786" s="5">
        <v>430</v>
      </c>
      <c r="D1786" s="6">
        <v>0</v>
      </c>
      <c r="E1786" s="7">
        <v>700500</v>
      </c>
      <c r="F1786" s="3">
        <v>53420</v>
      </c>
      <c r="G1786" s="3" t="str">
        <f t="shared" si="27"/>
        <v>5</v>
      </c>
      <c r="H1786" s="3" t="s">
        <v>3191</v>
      </c>
      <c r="I1786" s="8">
        <v>0</v>
      </c>
      <c r="J1786" s="8">
        <v>9613.09</v>
      </c>
      <c r="K1786" s="8">
        <v>0</v>
      </c>
    </row>
    <row r="1787" spans="1:11" hidden="1" x14ac:dyDescent="0.25">
      <c r="A1787" s="3" t="s">
        <v>3192</v>
      </c>
      <c r="B1787" s="3">
        <v>11</v>
      </c>
      <c r="C1787" s="5">
        <v>430</v>
      </c>
      <c r="D1787" s="6">
        <v>0</v>
      </c>
      <c r="E1787" s="7">
        <v>700500</v>
      </c>
      <c r="F1787" s="3">
        <v>53520</v>
      </c>
      <c r="G1787" s="3" t="str">
        <f t="shared" si="27"/>
        <v>5</v>
      </c>
      <c r="H1787" s="3" t="s">
        <v>3193</v>
      </c>
      <c r="I1787" s="8">
        <v>0</v>
      </c>
      <c r="J1787" s="8">
        <v>46.17</v>
      </c>
      <c r="K1787" s="8">
        <v>0</v>
      </c>
    </row>
    <row r="1788" spans="1:11" hidden="1" x14ac:dyDescent="0.25">
      <c r="A1788" s="3" t="s">
        <v>3194</v>
      </c>
      <c r="B1788" s="3">
        <v>11</v>
      </c>
      <c r="C1788" s="5">
        <v>430</v>
      </c>
      <c r="D1788" s="6">
        <v>0</v>
      </c>
      <c r="E1788" s="7">
        <v>700500</v>
      </c>
      <c r="F1788" s="3">
        <v>53620</v>
      </c>
      <c r="G1788" s="3" t="str">
        <f t="shared" si="27"/>
        <v>5</v>
      </c>
      <c r="H1788" s="3" t="s">
        <v>3195</v>
      </c>
      <c r="I1788" s="8">
        <v>0</v>
      </c>
      <c r="J1788" s="8">
        <v>1744.56</v>
      </c>
      <c r="K1788" s="8">
        <v>0</v>
      </c>
    </row>
    <row r="1789" spans="1:11" hidden="1" x14ac:dyDescent="0.25">
      <c r="A1789" s="3" t="s">
        <v>3196</v>
      </c>
      <c r="B1789" s="3">
        <v>11</v>
      </c>
      <c r="C1789" s="5">
        <v>430</v>
      </c>
      <c r="D1789" s="6">
        <v>0</v>
      </c>
      <c r="E1789" s="7">
        <v>700500</v>
      </c>
      <c r="F1789" s="3">
        <v>55630</v>
      </c>
      <c r="G1789" s="3" t="str">
        <f t="shared" si="27"/>
        <v>5</v>
      </c>
      <c r="H1789" s="3" t="s">
        <v>3197</v>
      </c>
      <c r="I1789" s="8">
        <v>0</v>
      </c>
      <c r="J1789" s="8">
        <v>66.760000000000005</v>
      </c>
      <c r="K1789" s="8">
        <v>0</v>
      </c>
    </row>
    <row r="1790" spans="1:11" hidden="1" x14ac:dyDescent="0.25">
      <c r="A1790" s="3" t="s">
        <v>3198</v>
      </c>
      <c r="B1790" s="3">
        <v>11</v>
      </c>
      <c r="C1790" s="5">
        <v>430</v>
      </c>
      <c r="D1790" s="6">
        <v>0</v>
      </c>
      <c r="E1790" s="7">
        <v>704700</v>
      </c>
      <c r="F1790" s="3">
        <v>52315</v>
      </c>
      <c r="G1790" s="3" t="str">
        <f t="shared" si="27"/>
        <v>5</v>
      </c>
      <c r="H1790" s="3" t="s">
        <v>3199</v>
      </c>
      <c r="I1790" s="8">
        <v>15000</v>
      </c>
      <c r="J1790" s="8">
        <v>1339</v>
      </c>
      <c r="K1790" s="8">
        <v>15000</v>
      </c>
    </row>
    <row r="1791" spans="1:11" hidden="1" x14ac:dyDescent="0.25">
      <c r="A1791" s="3" t="s">
        <v>3200</v>
      </c>
      <c r="B1791" s="3">
        <v>11</v>
      </c>
      <c r="C1791" s="5">
        <v>430</v>
      </c>
      <c r="D1791" s="6">
        <v>0</v>
      </c>
      <c r="E1791" s="7">
        <v>704700</v>
      </c>
      <c r="F1791" s="3">
        <v>53620</v>
      </c>
      <c r="G1791" s="3" t="str">
        <f t="shared" si="27"/>
        <v>5</v>
      </c>
      <c r="H1791" s="3" t="s">
        <v>3201</v>
      </c>
      <c r="I1791" s="8">
        <v>283.62</v>
      </c>
      <c r="J1791" s="8">
        <v>25.31</v>
      </c>
      <c r="K1791" s="8">
        <v>283.62</v>
      </c>
    </row>
    <row r="1792" spans="1:11" hidden="1" x14ac:dyDescent="0.25">
      <c r="A1792" s="3" t="s">
        <v>3202</v>
      </c>
      <c r="B1792" s="3">
        <v>11</v>
      </c>
      <c r="C1792" s="5">
        <v>440</v>
      </c>
      <c r="D1792" s="6">
        <v>0</v>
      </c>
      <c r="E1792" s="7">
        <v>493032</v>
      </c>
      <c r="F1792" s="3">
        <v>51210</v>
      </c>
      <c r="G1792" s="3" t="str">
        <f t="shared" si="27"/>
        <v>5</v>
      </c>
      <c r="H1792" s="3" t="s">
        <v>3203</v>
      </c>
      <c r="I1792" s="8">
        <v>70015.8</v>
      </c>
      <c r="J1792" s="8">
        <v>52162.35</v>
      </c>
      <c r="K1792" s="8">
        <v>70015.8</v>
      </c>
    </row>
    <row r="1793" spans="1:11" hidden="1" x14ac:dyDescent="0.25">
      <c r="A1793" s="3" t="s">
        <v>3204</v>
      </c>
      <c r="B1793" s="3">
        <v>11</v>
      </c>
      <c r="C1793" s="5">
        <v>440</v>
      </c>
      <c r="D1793" s="6">
        <v>0</v>
      </c>
      <c r="E1793" s="7">
        <v>493032</v>
      </c>
      <c r="F1793" s="3">
        <v>51311</v>
      </c>
      <c r="G1793" s="3" t="str">
        <f t="shared" si="27"/>
        <v>5</v>
      </c>
      <c r="H1793" s="3" t="s">
        <v>3205</v>
      </c>
      <c r="I1793" s="8">
        <v>5000</v>
      </c>
      <c r="J1793" s="8">
        <v>0</v>
      </c>
      <c r="K1793" s="8">
        <v>5000</v>
      </c>
    </row>
    <row r="1794" spans="1:11" hidden="1" x14ac:dyDescent="0.25">
      <c r="A1794" s="3" t="s">
        <v>3206</v>
      </c>
      <c r="B1794" s="3">
        <v>11</v>
      </c>
      <c r="C1794" s="5">
        <v>440</v>
      </c>
      <c r="D1794" s="6">
        <v>0</v>
      </c>
      <c r="E1794" s="7">
        <v>493032</v>
      </c>
      <c r="F1794" s="3">
        <v>51411</v>
      </c>
      <c r="G1794" s="3" t="str">
        <f t="shared" si="27"/>
        <v>5</v>
      </c>
      <c r="H1794" s="3" t="s">
        <v>3207</v>
      </c>
      <c r="I1794" s="8">
        <v>3850</v>
      </c>
      <c r="J1794" s="8">
        <v>0</v>
      </c>
      <c r="K1794" s="8">
        <v>3850</v>
      </c>
    </row>
    <row r="1795" spans="1:11" hidden="1" x14ac:dyDescent="0.25">
      <c r="A1795" s="3" t="s">
        <v>3208</v>
      </c>
      <c r="B1795" s="3">
        <v>11</v>
      </c>
      <c r="C1795" s="5">
        <v>440</v>
      </c>
      <c r="D1795" s="6">
        <v>0</v>
      </c>
      <c r="E1795" s="7">
        <v>493032</v>
      </c>
      <c r="F1795" s="3">
        <v>52400</v>
      </c>
      <c r="G1795" s="3" t="str">
        <f t="shared" ref="G1795:G1858" si="28">LEFT(F1795,1)</f>
        <v>5</v>
      </c>
      <c r="H1795" s="3" t="s">
        <v>3209</v>
      </c>
      <c r="I1795" s="8">
        <v>0</v>
      </c>
      <c r="J1795" s="8">
        <v>333</v>
      </c>
      <c r="K1795" s="8">
        <v>0</v>
      </c>
    </row>
    <row r="1796" spans="1:11" hidden="1" x14ac:dyDescent="0.25">
      <c r="A1796" s="3" t="s">
        <v>3210</v>
      </c>
      <c r="B1796" s="3">
        <v>11</v>
      </c>
      <c r="C1796" s="5">
        <v>440</v>
      </c>
      <c r="D1796" s="6">
        <v>0</v>
      </c>
      <c r="E1796" s="7">
        <v>493032</v>
      </c>
      <c r="F1796" s="3">
        <v>52420</v>
      </c>
      <c r="G1796" s="3" t="str">
        <f t="shared" si="28"/>
        <v>5</v>
      </c>
      <c r="H1796" s="3" t="s">
        <v>3211</v>
      </c>
      <c r="I1796" s="8">
        <v>1500</v>
      </c>
      <c r="J1796" s="8">
        <v>0</v>
      </c>
      <c r="K1796" s="8">
        <v>1500</v>
      </c>
    </row>
    <row r="1797" spans="1:11" hidden="1" x14ac:dyDescent="0.25">
      <c r="A1797" s="3" t="s">
        <v>3212</v>
      </c>
      <c r="B1797" s="3">
        <v>11</v>
      </c>
      <c r="C1797" s="5">
        <v>440</v>
      </c>
      <c r="D1797" s="6">
        <v>0</v>
      </c>
      <c r="E1797" s="7">
        <v>493032</v>
      </c>
      <c r="F1797" s="3">
        <v>53110</v>
      </c>
      <c r="G1797" s="3" t="str">
        <f t="shared" si="28"/>
        <v>5</v>
      </c>
      <c r="H1797" s="3" t="s">
        <v>3213</v>
      </c>
      <c r="I1797" s="8">
        <v>807.5</v>
      </c>
      <c r="J1797" s="8">
        <v>0</v>
      </c>
      <c r="K1797" s="8">
        <v>807.5</v>
      </c>
    </row>
    <row r="1798" spans="1:11" hidden="1" x14ac:dyDescent="0.25">
      <c r="A1798" s="3" t="s">
        <v>3214</v>
      </c>
      <c r="B1798" s="3">
        <v>11</v>
      </c>
      <c r="C1798" s="5">
        <v>440</v>
      </c>
      <c r="D1798" s="6">
        <v>0</v>
      </c>
      <c r="E1798" s="7">
        <v>493032</v>
      </c>
      <c r="F1798" s="3">
        <v>53120</v>
      </c>
      <c r="G1798" s="3" t="str">
        <f t="shared" si="28"/>
        <v>5</v>
      </c>
      <c r="H1798" s="3" t="s">
        <v>3215</v>
      </c>
      <c r="I1798" s="8">
        <v>11929.33</v>
      </c>
      <c r="J1798" s="8">
        <v>8424.2199999999993</v>
      </c>
      <c r="K1798" s="8">
        <v>11929.33</v>
      </c>
    </row>
    <row r="1799" spans="1:11" hidden="1" x14ac:dyDescent="0.25">
      <c r="A1799" s="3" t="s">
        <v>3216</v>
      </c>
      <c r="B1799" s="3">
        <v>11</v>
      </c>
      <c r="C1799" s="5">
        <v>440</v>
      </c>
      <c r="D1799" s="6">
        <v>0</v>
      </c>
      <c r="E1799" s="7">
        <v>493032</v>
      </c>
      <c r="F1799" s="3">
        <v>53310</v>
      </c>
      <c r="G1799" s="3" t="str">
        <f t="shared" si="28"/>
        <v>5</v>
      </c>
      <c r="H1799" s="3" t="s">
        <v>3217</v>
      </c>
      <c r="I1799" s="8">
        <v>0</v>
      </c>
      <c r="J1799" s="8">
        <v>20.64</v>
      </c>
      <c r="K1799" s="8">
        <v>0</v>
      </c>
    </row>
    <row r="1800" spans="1:11" hidden="1" x14ac:dyDescent="0.25">
      <c r="A1800" s="3" t="s">
        <v>3218</v>
      </c>
      <c r="B1800" s="3">
        <v>11</v>
      </c>
      <c r="C1800" s="5">
        <v>440</v>
      </c>
      <c r="D1800" s="6">
        <v>0</v>
      </c>
      <c r="E1800" s="7">
        <v>493032</v>
      </c>
      <c r="F1800" s="3">
        <v>53320</v>
      </c>
      <c r="G1800" s="3" t="str">
        <f t="shared" si="28"/>
        <v>5</v>
      </c>
      <c r="H1800" s="3" t="s">
        <v>3219</v>
      </c>
      <c r="I1800" s="8">
        <v>0</v>
      </c>
      <c r="J1800" s="8">
        <v>0</v>
      </c>
      <c r="K1800" s="8">
        <v>0</v>
      </c>
    </row>
    <row r="1801" spans="1:11" hidden="1" x14ac:dyDescent="0.25">
      <c r="A1801" s="3" t="s">
        <v>3220</v>
      </c>
      <c r="B1801" s="3">
        <v>11</v>
      </c>
      <c r="C1801" s="5">
        <v>440</v>
      </c>
      <c r="D1801" s="6">
        <v>0</v>
      </c>
      <c r="E1801" s="7">
        <v>493032</v>
      </c>
      <c r="F1801" s="3">
        <v>53330</v>
      </c>
      <c r="G1801" s="3" t="str">
        <f t="shared" si="28"/>
        <v>5</v>
      </c>
      <c r="H1801" s="3" t="s">
        <v>3221</v>
      </c>
      <c r="I1801" s="8">
        <v>72.5</v>
      </c>
      <c r="J1801" s="8">
        <v>4.83</v>
      </c>
      <c r="K1801" s="8">
        <v>72.5</v>
      </c>
    </row>
    <row r="1802" spans="1:11" hidden="1" x14ac:dyDescent="0.25">
      <c r="A1802" s="3" t="s">
        <v>3222</v>
      </c>
      <c r="B1802" s="3">
        <v>11</v>
      </c>
      <c r="C1802" s="5">
        <v>440</v>
      </c>
      <c r="D1802" s="6">
        <v>0</v>
      </c>
      <c r="E1802" s="7">
        <v>493032</v>
      </c>
      <c r="F1802" s="3">
        <v>53340</v>
      </c>
      <c r="G1802" s="3" t="str">
        <f t="shared" si="28"/>
        <v>5</v>
      </c>
      <c r="H1802" s="3" t="s">
        <v>3223</v>
      </c>
      <c r="I1802" s="8">
        <v>1071.06</v>
      </c>
      <c r="J1802" s="8">
        <v>738.45</v>
      </c>
      <c r="K1802" s="8">
        <v>1071.06</v>
      </c>
    </row>
    <row r="1803" spans="1:11" hidden="1" x14ac:dyDescent="0.25">
      <c r="A1803" s="3" t="s">
        <v>3224</v>
      </c>
      <c r="B1803" s="3">
        <v>11</v>
      </c>
      <c r="C1803" s="5">
        <v>440</v>
      </c>
      <c r="D1803" s="6">
        <v>0</v>
      </c>
      <c r="E1803" s="7">
        <v>493032</v>
      </c>
      <c r="F1803" s="3">
        <v>53420</v>
      </c>
      <c r="G1803" s="3" t="str">
        <f t="shared" si="28"/>
        <v>5</v>
      </c>
      <c r="H1803" s="3" t="s">
        <v>3225</v>
      </c>
      <c r="I1803" s="8">
        <v>7884.97</v>
      </c>
      <c r="J1803" s="8">
        <v>5767.85</v>
      </c>
      <c r="K1803" s="8">
        <v>7884.97</v>
      </c>
    </row>
    <row r="1804" spans="1:11" hidden="1" x14ac:dyDescent="0.25">
      <c r="A1804" s="3" t="s">
        <v>3226</v>
      </c>
      <c r="B1804" s="3">
        <v>11</v>
      </c>
      <c r="C1804" s="5">
        <v>440</v>
      </c>
      <c r="D1804" s="6">
        <v>0</v>
      </c>
      <c r="E1804" s="7">
        <v>493032</v>
      </c>
      <c r="F1804" s="3">
        <v>53510</v>
      </c>
      <c r="G1804" s="3" t="str">
        <f t="shared" si="28"/>
        <v>5</v>
      </c>
      <c r="H1804" s="3" t="s">
        <v>3227</v>
      </c>
      <c r="I1804" s="8">
        <v>2.5</v>
      </c>
      <c r="J1804" s="8">
        <v>0.17</v>
      </c>
      <c r="K1804" s="8">
        <v>2.5</v>
      </c>
    </row>
    <row r="1805" spans="1:11" hidden="1" x14ac:dyDescent="0.25">
      <c r="A1805" s="3" t="s">
        <v>3228</v>
      </c>
      <c r="B1805" s="3">
        <v>11</v>
      </c>
      <c r="C1805" s="5">
        <v>440</v>
      </c>
      <c r="D1805" s="6">
        <v>0</v>
      </c>
      <c r="E1805" s="7">
        <v>493032</v>
      </c>
      <c r="F1805" s="3">
        <v>53520</v>
      </c>
      <c r="G1805" s="3" t="str">
        <f t="shared" si="28"/>
        <v>5</v>
      </c>
      <c r="H1805" s="3" t="s">
        <v>3229</v>
      </c>
      <c r="I1805" s="8">
        <v>36.94</v>
      </c>
      <c r="J1805" s="8">
        <v>25.47</v>
      </c>
      <c r="K1805" s="8">
        <v>36.94</v>
      </c>
    </row>
    <row r="1806" spans="1:11" hidden="1" x14ac:dyDescent="0.25">
      <c r="A1806" s="3" t="s">
        <v>3230</v>
      </c>
      <c r="B1806" s="3">
        <v>11</v>
      </c>
      <c r="C1806" s="5">
        <v>440</v>
      </c>
      <c r="D1806" s="6">
        <v>0</v>
      </c>
      <c r="E1806" s="7">
        <v>493032</v>
      </c>
      <c r="F1806" s="3">
        <v>53610</v>
      </c>
      <c r="G1806" s="3" t="str">
        <f t="shared" si="28"/>
        <v>5</v>
      </c>
      <c r="H1806" s="3" t="s">
        <v>3231</v>
      </c>
      <c r="I1806" s="8">
        <v>122.9</v>
      </c>
      <c r="J1806" s="8">
        <v>6.3</v>
      </c>
      <c r="K1806" s="8">
        <v>122.9</v>
      </c>
    </row>
    <row r="1807" spans="1:11" hidden="1" x14ac:dyDescent="0.25">
      <c r="A1807" s="3" t="s">
        <v>3232</v>
      </c>
      <c r="B1807" s="3">
        <v>11</v>
      </c>
      <c r="C1807" s="5">
        <v>440</v>
      </c>
      <c r="D1807" s="6">
        <v>0</v>
      </c>
      <c r="E1807" s="7">
        <v>493032</v>
      </c>
      <c r="F1807" s="3">
        <v>53620</v>
      </c>
      <c r="G1807" s="3" t="str">
        <f t="shared" si="28"/>
        <v>5</v>
      </c>
      <c r="H1807" s="3" t="s">
        <v>3233</v>
      </c>
      <c r="I1807" s="8">
        <v>1396.66</v>
      </c>
      <c r="J1807" s="8">
        <v>986.29</v>
      </c>
      <c r="K1807" s="8">
        <v>1396.66</v>
      </c>
    </row>
    <row r="1808" spans="1:11" hidden="1" x14ac:dyDescent="0.25">
      <c r="A1808" s="3" t="s">
        <v>3234</v>
      </c>
      <c r="B1808" s="3">
        <v>11</v>
      </c>
      <c r="C1808" s="5">
        <v>440</v>
      </c>
      <c r="D1808" s="6">
        <v>0</v>
      </c>
      <c r="E1808" s="7">
        <v>493032</v>
      </c>
      <c r="F1808" s="3">
        <v>54300</v>
      </c>
      <c r="G1808" s="3" t="str">
        <f t="shared" si="28"/>
        <v>5</v>
      </c>
      <c r="H1808" s="3" t="s">
        <v>3235</v>
      </c>
      <c r="I1808" s="8">
        <v>1500</v>
      </c>
      <c r="J1808" s="8">
        <v>0</v>
      </c>
      <c r="K1808" s="8">
        <v>1500</v>
      </c>
    </row>
    <row r="1809" spans="1:11" hidden="1" x14ac:dyDescent="0.25">
      <c r="A1809" s="3" t="s">
        <v>3236</v>
      </c>
      <c r="B1809" s="3">
        <v>11</v>
      </c>
      <c r="C1809" s="5">
        <v>440</v>
      </c>
      <c r="D1809" s="6">
        <v>0</v>
      </c>
      <c r="E1809" s="7">
        <v>493032</v>
      </c>
      <c r="F1809" s="3">
        <v>55105</v>
      </c>
      <c r="G1809" s="3" t="str">
        <f t="shared" si="28"/>
        <v>5</v>
      </c>
      <c r="H1809" s="3" t="s">
        <v>3237</v>
      </c>
      <c r="I1809" s="8">
        <v>12000</v>
      </c>
      <c r="J1809" s="8">
        <v>0</v>
      </c>
      <c r="K1809" s="8">
        <v>12000</v>
      </c>
    </row>
    <row r="1810" spans="1:11" hidden="1" x14ac:dyDescent="0.25">
      <c r="A1810" s="3" t="s">
        <v>3238</v>
      </c>
      <c r="B1810" s="3">
        <v>11</v>
      </c>
      <c r="C1810" s="5">
        <v>440</v>
      </c>
      <c r="D1810" s="6">
        <v>0</v>
      </c>
      <c r="E1810" s="7">
        <v>493032</v>
      </c>
      <c r="F1810" s="3">
        <v>55200</v>
      </c>
      <c r="G1810" s="3" t="str">
        <f t="shared" si="28"/>
        <v>5</v>
      </c>
      <c r="H1810" s="3" t="s">
        <v>3239</v>
      </c>
      <c r="I1810" s="8">
        <v>500</v>
      </c>
      <c r="J1810" s="8">
        <v>0</v>
      </c>
      <c r="K1810" s="8">
        <v>500</v>
      </c>
    </row>
    <row r="1811" spans="1:11" hidden="1" x14ac:dyDescent="0.25">
      <c r="A1811" s="3" t="s">
        <v>3240</v>
      </c>
      <c r="B1811" s="3">
        <v>11</v>
      </c>
      <c r="C1811" s="5">
        <v>440</v>
      </c>
      <c r="D1811" s="6">
        <v>0</v>
      </c>
      <c r="E1811" s="7">
        <v>493032</v>
      </c>
      <c r="F1811" s="3">
        <v>55309</v>
      </c>
      <c r="G1811" s="3" t="str">
        <f t="shared" si="28"/>
        <v>5</v>
      </c>
      <c r="H1811" s="3" t="s">
        <v>3241</v>
      </c>
      <c r="I1811" s="8">
        <v>500</v>
      </c>
      <c r="J1811" s="8">
        <v>0</v>
      </c>
      <c r="K1811" s="8">
        <v>500</v>
      </c>
    </row>
    <row r="1812" spans="1:11" hidden="1" x14ac:dyDescent="0.25">
      <c r="A1812" s="3" t="s">
        <v>3242</v>
      </c>
      <c r="B1812" s="3">
        <v>11</v>
      </c>
      <c r="C1812" s="5">
        <v>440</v>
      </c>
      <c r="D1812" s="6">
        <v>0</v>
      </c>
      <c r="E1812" s="7">
        <v>493032</v>
      </c>
      <c r="F1812" s="3">
        <v>55630</v>
      </c>
      <c r="G1812" s="3" t="str">
        <f t="shared" si="28"/>
        <v>5</v>
      </c>
      <c r="H1812" s="3" t="s">
        <v>3243</v>
      </c>
      <c r="I1812" s="8">
        <v>250</v>
      </c>
      <c r="J1812" s="8">
        <v>277.11</v>
      </c>
      <c r="K1812" s="8">
        <v>250</v>
      </c>
    </row>
    <row r="1813" spans="1:11" hidden="1" x14ac:dyDescent="0.25">
      <c r="A1813" s="3" t="s">
        <v>3244</v>
      </c>
      <c r="B1813" s="3">
        <v>11</v>
      </c>
      <c r="C1813" s="5">
        <v>440</v>
      </c>
      <c r="D1813" s="6">
        <v>0</v>
      </c>
      <c r="E1813" s="7">
        <v>701021</v>
      </c>
      <c r="F1813" s="3">
        <v>55105</v>
      </c>
      <c r="G1813" s="3" t="str">
        <f t="shared" si="28"/>
        <v>5</v>
      </c>
      <c r="H1813" s="3" t="s">
        <v>3245</v>
      </c>
      <c r="I1813" s="8">
        <v>47500</v>
      </c>
      <c r="J1813" s="8">
        <v>0</v>
      </c>
      <c r="K1813" s="8">
        <v>47500</v>
      </c>
    </row>
    <row r="1814" spans="1:11" hidden="1" x14ac:dyDescent="0.25">
      <c r="A1814" s="3" t="s">
        <v>3246</v>
      </c>
      <c r="B1814" s="3">
        <v>11</v>
      </c>
      <c r="C1814" s="5">
        <v>500</v>
      </c>
      <c r="D1814" s="6">
        <v>0</v>
      </c>
      <c r="E1814" s="7">
        <v>673000</v>
      </c>
      <c r="F1814" s="3">
        <v>52120</v>
      </c>
      <c r="G1814" s="3" t="str">
        <f t="shared" si="28"/>
        <v>5</v>
      </c>
      <c r="H1814" s="3" t="s">
        <v>3247</v>
      </c>
      <c r="I1814" s="8">
        <v>384174.5</v>
      </c>
      <c r="J1814" s="8">
        <v>293942.92</v>
      </c>
      <c r="K1814" s="8">
        <v>384174.5</v>
      </c>
    </row>
    <row r="1815" spans="1:11" hidden="1" x14ac:dyDescent="0.25">
      <c r="A1815" s="3" t="s">
        <v>3248</v>
      </c>
      <c r="B1815" s="3">
        <v>11</v>
      </c>
      <c r="C1815" s="5">
        <v>500</v>
      </c>
      <c r="D1815" s="6">
        <v>0</v>
      </c>
      <c r="E1815" s="7">
        <v>673000</v>
      </c>
      <c r="F1815" s="3">
        <v>52130</v>
      </c>
      <c r="G1815" s="3" t="str">
        <f t="shared" si="28"/>
        <v>5</v>
      </c>
      <c r="H1815" s="3" t="s">
        <v>3249</v>
      </c>
      <c r="I1815" s="8">
        <v>163297</v>
      </c>
      <c r="J1815" s="8">
        <v>121665.78</v>
      </c>
      <c r="K1815" s="8">
        <v>163297</v>
      </c>
    </row>
    <row r="1816" spans="1:11" hidden="1" x14ac:dyDescent="0.25">
      <c r="A1816" s="3" t="s">
        <v>3250</v>
      </c>
      <c r="B1816" s="3">
        <v>11</v>
      </c>
      <c r="C1816" s="5">
        <v>500</v>
      </c>
      <c r="D1816" s="6">
        <v>0</v>
      </c>
      <c r="E1816" s="7">
        <v>673000</v>
      </c>
      <c r="F1816" s="3">
        <v>52300</v>
      </c>
      <c r="G1816" s="3" t="str">
        <f t="shared" si="28"/>
        <v>5</v>
      </c>
      <c r="H1816" s="3" t="s">
        <v>3251</v>
      </c>
      <c r="I1816" s="8">
        <v>3300</v>
      </c>
      <c r="J1816" s="8">
        <v>29801.79</v>
      </c>
      <c r="K1816" s="8">
        <v>3300</v>
      </c>
    </row>
    <row r="1817" spans="1:11" hidden="1" x14ac:dyDescent="0.25">
      <c r="A1817" s="3" t="s">
        <v>3252</v>
      </c>
      <c r="B1817" s="3">
        <v>11</v>
      </c>
      <c r="C1817" s="5">
        <v>500</v>
      </c>
      <c r="D1817" s="6">
        <v>0</v>
      </c>
      <c r="E1817" s="7">
        <v>673000</v>
      </c>
      <c r="F1817" s="3">
        <v>52360</v>
      </c>
      <c r="G1817" s="3" t="str">
        <f t="shared" si="28"/>
        <v>5</v>
      </c>
      <c r="H1817" s="3" t="s">
        <v>3253</v>
      </c>
      <c r="I1817" s="8">
        <v>6500</v>
      </c>
      <c r="J1817" s="8">
        <v>25605.56</v>
      </c>
      <c r="K1817" s="8">
        <v>6500</v>
      </c>
    </row>
    <row r="1818" spans="1:11" hidden="1" x14ac:dyDescent="0.25">
      <c r="A1818" s="3" t="s">
        <v>3254</v>
      </c>
      <c r="B1818" s="3">
        <v>11</v>
      </c>
      <c r="C1818" s="5">
        <v>500</v>
      </c>
      <c r="D1818" s="6">
        <v>0</v>
      </c>
      <c r="E1818" s="7">
        <v>673000</v>
      </c>
      <c r="F1818" s="3">
        <v>53220</v>
      </c>
      <c r="G1818" s="3" t="str">
        <f t="shared" si="28"/>
        <v>5</v>
      </c>
      <c r="H1818" s="3" t="s">
        <v>3255</v>
      </c>
      <c r="I1818" s="8">
        <v>113326.6</v>
      </c>
      <c r="J1818" s="8">
        <v>84445.88</v>
      </c>
      <c r="K1818" s="8">
        <v>113326.6</v>
      </c>
    </row>
    <row r="1819" spans="1:11" hidden="1" x14ac:dyDescent="0.25">
      <c r="A1819" s="3" t="s">
        <v>3256</v>
      </c>
      <c r="B1819" s="3">
        <v>11</v>
      </c>
      <c r="C1819" s="5">
        <v>500</v>
      </c>
      <c r="D1819" s="6">
        <v>0</v>
      </c>
      <c r="E1819" s="7">
        <v>673000</v>
      </c>
      <c r="F1819" s="3">
        <v>53320</v>
      </c>
      <c r="G1819" s="3" t="str">
        <f t="shared" si="28"/>
        <v>5</v>
      </c>
      <c r="H1819" s="3" t="s">
        <v>3257</v>
      </c>
      <c r="I1819" s="8">
        <v>34550.83</v>
      </c>
      <c r="J1819" s="8">
        <v>28639.88</v>
      </c>
      <c r="K1819" s="8">
        <v>34550.83</v>
      </c>
    </row>
    <row r="1820" spans="1:11" hidden="1" x14ac:dyDescent="0.25">
      <c r="A1820" s="3" t="s">
        <v>3258</v>
      </c>
      <c r="B1820" s="3">
        <v>11</v>
      </c>
      <c r="C1820" s="5">
        <v>500</v>
      </c>
      <c r="D1820" s="6">
        <v>0</v>
      </c>
      <c r="E1820" s="7">
        <v>673000</v>
      </c>
      <c r="F1820" s="3">
        <v>53340</v>
      </c>
      <c r="G1820" s="3" t="str">
        <f t="shared" si="28"/>
        <v>5</v>
      </c>
      <c r="H1820" s="3" t="s">
        <v>3259</v>
      </c>
      <c r="I1820" s="8">
        <v>8080.44</v>
      </c>
      <c r="J1820" s="8">
        <v>6792.67</v>
      </c>
      <c r="K1820" s="8">
        <v>8080.44</v>
      </c>
    </row>
    <row r="1821" spans="1:11" hidden="1" x14ac:dyDescent="0.25">
      <c r="A1821" s="3" t="s">
        <v>3260</v>
      </c>
      <c r="B1821" s="3">
        <v>11</v>
      </c>
      <c r="C1821" s="5">
        <v>500</v>
      </c>
      <c r="D1821" s="6">
        <v>0</v>
      </c>
      <c r="E1821" s="7">
        <v>673000</v>
      </c>
      <c r="F1821" s="3">
        <v>53420</v>
      </c>
      <c r="G1821" s="3" t="str">
        <f t="shared" si="28"/>
        <v>5</v>
      </c>
      <c r="H1821" s="3" t="s">
        <v>3261</v>
      </c>
      <c r="I1821" s="8">
        <v>130836.34</v>
      </c>
      <c r="J1821" s="8">
        <v>93442.16</v>
      </c>
      <c r="K1821" s="8">
        <v>130836.34</v>
      </c>
    </row>
    <row r="1822" spans="1:11" hidden="1" x14ac:dyDescent="0.25">
      <c r="A1822" s="3" t="s">
        <v>3262</v>
      </c>
      <c r="B1822" s="3">
        <v>11</v>
      </c>
      <c r="C1822" s="5">
        <v>500</v>
      </c>
      <c r="D1822" s="6">
        <v>0</v>
      </c>
      <c r="E1822" s="7">
        <v>673000</v>
      </c>
      <c r="F1822" s="3">
        <v>53520</v>
      </c>
      <c r="G1822" s="3" t="str">
        <f t="shared" si="28"/>
        <v>5</v>
      </c>
      <c r="H1822" s="3" t="s">
        <v>3263</v>
      </c>
      <c r="I1822" s="8">
        <v>278.63</v>
      </c>
      <c r="J1822" s="8">
        <v>234.71</v>
      </c>
      <c r="K1822" s="8">
        <v>278.63</v>
      </c>
    </row>
    <row r="1823" spans="1:11" hidden="1" x14ac:dyDescent="0.25">
      <c r="A1823" s="3" t="s">
        <v>3264</v>
      </c>
      <c r="B1823" s="3">
        <v>11</v>
      </c>
      <c r="C1823" s="5">
        <v>500</v>
      </c>
      <c r="D1823" s="6">
        <v>0</v>
      </c>
      <c r="E1823" s="7">
        <v>673000</v>
      </c>
      <c r="F1823" s="3">
        <v>53620</v>
      </c>
      <c r="G1823" s="3" t="str">
        <f t="shared" si="28"/>
        <v>5</v>
      </c>
      <c r="H1823" s="3" t="s">
        <v>3265</v>
      </c>
      <c r="I1823" s="8">
        <v>10536.9</v>
      </c>
      <c r="J1823" s="8">
        <v>8906.01</v>
      </c>
      <c r="K1823" s="8">
        <v>10536.9</v>
      </c>
    </row>
    <row r="1824" spans="1:11" hidden="1" x14ac:dyDescent="0.25">
      <c r="A1824" s="3" t="s">
        <v>3266</v>
      </c>
      <c r="B1824" s="3">
        <v>11</v>
      </c>
      <c r="C1824" s="5">
        <v>500</v>
      </c>
      <c r="D1824" s="6">
        <v>0</v>
      </c>
      <c r="E1824" s="7">
        <v>673000</v>
      </c>
      <c r="F1824" s="3">
        <v>53920</v>
      </c>
      <c r="G1824" s="3" t="str">
        <f t="shared" si="28"/>
        <v>5</v>
      </c>
      <c r="H1824" s="3" t="s">
        <v>3267</v>
      </c>
      <c r="I1824" s="8">
        <v>9600</v>
      </c>
      <c r="J1824" s="8">
        <v>6448.84</v>
      </c>
      <c r="K1824" s="8">
        <v>9600</v>
      </c>
    </row>
    <row r="1825" spans="1:11" hidden="1" x14ac:dyDescent="0.25">
      <c r="A1825" s="3" t="s">
        <v>3268</v>
      </c>
      <c r="B1825" s="3">
        <v>11</v>
      </c>
      <c r="C1825" s="5">
        <v>500</v>
      </c>
      <c r="D1825" s="6">
        <v>0</v>
      </c>
      <c r="E1825" s="7">
        <v>673000</v>
      </c>
      <c r="F1825" s="3">
        <v>54300</v>
      </c>
      <c r="G1825" s="3" t="str">
        <f t="shared" si="28"/>
        <v>5</v>
      </c>
      <c r="H1825" s="3" t="s">
        <v>3269</v>
      </c>
      <c r="I1825" s="8">
        <v>3500</v>
      </c>
      <c r="J1825" s="8">
        <v>850.21</v>
      </c>
      <c r="K1825" s="8">
        <v>3500</v>
      </c>
    </row>
    <row r="1826" spans="1:11" hidden="1" x14ac:dyDescent="0.25">
      <c r="A1826" s="3" t="s">
        <v>3270</v>
      </c>
      <c r="B1826" s="3">
        <v>11</v>
      </c>
      <c r="C1826" s="5">
        <v>500</v>
      </c>
      <c r="D1826" s="6">
        <v>0</v>
      </c>
      <c r="E1826" s="7">
        <v>673000</v>
      </c>
      <c r="F1826" s="3">
        <v>55105</v>
      </c>
      <c r="G1826" s="3" t="str">
        <f t="shared" si="28"/>
        <v>5</v>
      </c>
      <c r="H1826" s="3" t="s">
        <v>3271</v>
      </c>
      <c r="I1826" s="8">
        <v>2000</v>
      </c>
      <c r="J1826" s="8">
        <v>0</v>
      </c>
      <c r="K1826" s="8">
        <v>2000</v>
      </c>
    </row>
    <row r="1827" spans="1:11" hidden="1" x14ac:dyDescent="0.25">
      <c r="A1827" s="3" t="s">
        <v>3272</v>
      </c>
      <c r="B1827" s="3">
        <v>11</v>
      </c>
      <c r="C1827" s="5">
        <v>500</v>
      </c>
      <c r="D1827" s="6">
        <v>0</v>
      </c>
      <c r="E1827" s="7">
        <v>673000</v>
      </c>
      <c r="F1827" s="3">
        <v>55125</v>
      </c>
      <c r="G1827" s="3" t="str">
        <f t="shared" si="28"/>
        <v>5</v>
      </c>
      <c r="H1827" s="3" t="s">
        <v>3273</v>
      </c>
      <c r="I1827" s="8">
        <v>35000</v>
      </c>
      <c r="J1827" s="8">
        <v>19620</v>
      </c>
      <c r="K1827" s="8">
        <v>35000</v>
      </c>
    </row>
    <row r="1828" spans="1:11" hidden="1" x14ac:dyDescent="0.25">
      <c r="A1828" s="3" t="s">
        <v>3274</v>
      </c>
      <c r="B1828" s="3">
        <v>11</v>
      </c>
      <c r="C1828" s="5">
        <v>500</v>
      </c>
      <c r="D1828" s="6">
        <v>0</v>
      </c>
      <c r="E1828" s="7">
        <v>673000</v>
      </c>
      <c r="F1828" s="3">
        <v>55200</v>
      </c>
      <c r="G1828" s="3" t="str">
        <f t="shared" si="28"/>
        <v>5</v>
      </c>
      <c r="H1828" s="3" t="s">
        <v>3275</v>
      </c>
      <c r="I1828" s="8">
        <v>2000</v>
      </c>
      <c r="J1828" s="8">
        <v>0</v>
      </c>
      <c r="K1828" s="8">
        <v>2000</v>
      </c>
    </row>
    <row r="1829" spans="1:11" hidden="1" x14ac:dyDescent="0.25">
      <c r="A1829" s="3" t="s">
        <v>3276</v>
      </c>
      <c r="B1829" s="3">
        <v>11</v>
      </c>
      <c r="C1829" s="5">
        <v>500</v>
      </c>
      <c r="D1829" s="6">
        <v>0</v>
      </c>
      <c r="E1829" s="7">
        <v>673000</v>
      </c>
      <c r="F1829" s="3">
        <v>55300</v>
      </c>
      <c r="G1829" s="3" t="str">
        <f t="shared" si="28"/>
        <v>5</v>
      </c>
      <c r="H1829" s="3" t="s">
        <v>3277</v>
      </c>
      <c r="I1829" s="8">
        <v>2695</v>
      </c>
      <c r="J1829" s="8">
        <v>0</v>
      </c>
      <c r="K1829" s="8">
        <v>2695</v>
      </c>
    </row>
    <row r="1830" spans="1:11" hidden="1" x14ac:dyDescent="0.25">
      <c r="A1830" s="3" t="s">
        <v>3278</v>
      </c>
      <c r="B1830" s="3">
        <v>11</v>
      </c>
      <c r="C1830" s="5">
        <v>500</v>
      </c>
      <c r="D1830" s="6">
        <v>0</v>
      </c>
      <c r="E1830" s="7">
        <v>673000</v>
      </c>
      <c r="F1830" s="3">
        <v>55625</v>
      </c>
      <c r="G1830" s="3" t="str">
        <f t="shared" si="28"/>
        <v>5</v>
      </c>
      <c r="H1830" s="3" t="s">
        <v>3279</v>
      </c>
      <c r="I1830" s="8">
        <v>15000</v>
      </c>
      <c r="J1830" s="8">
        <v>3124</v>
      </c>
      <c r="K1830" s="8">
        <v>15000</v>
      </c>
    </row>
    <row r="1831" spans="1:11" hidden="1" x14ac:dyDescent="0.25">
      <c r="A1831" s="3" t="s">
        <v>3280</v>
      </c>
      <c r="B1831" s="3">
        <v>11</v>
      </c>
      <c r="C1831" s="5">
        <v>500</v>
      </c>
      <c r="D1831" s="6">
        <v>0</v>
      </c>
      <c r="E1831" s="7">
        <v>673000</v>
      </c>
      <c r="F1831" s="3">
        <v>55630</v>
      </c>
      <c r="G1831" s="3" t="str">
        <f t="shared" si="28"/>
        <v>5</v>
      </c>
      <c r="H1831" s="3" t="s">
        <v>3281</v>
      </c>
      <c r="I1831" s="8">
        <v>3000</v>
      </c>
      <c r="J1831" s="8">
        <v>1626.08</v>
      </c>
      <c r="K1831" s="8">
        <v>3000</v>
      </c>
    </row>
    <row r="1832" spans="1:11" hidden="1" x14ac:dyDescent="0.25">
      <c r="A1832" s="3" t="s">
        <v>3282</v>
      </c>
      <c r="B1832" s="3">
        <v>11</v>
      </c>
      <c r="C1832" s="5">
        <v>500</v>
      </c>
      <c r="D1832" s="6">
        <v>0</v>
      </c>
      <c r="E1832" s="7">
        <v>673000</v>
      </c>
      <c r="F1832" s="3">
        <v>55635</v>
      </c>
      <c r="G1832" s="3" t="str">
        <f t="shared" si="28"/>
        <v>5</v>
      </c>
      <c r="H1832" s="3" t="s">
        <v>3283</v>
      </c>
      <c r="I1832" s="8">
        <v>200</v>
      </c>
      <c r="J1832" s="8">
        <v>0</v>
      </c>
      <c r="K1832" s="8">
        <v>200</v>
      </c>
    </row>
    <row r="1833" spans="1:11" hidden="1" x14ac:dyDescent="0.25">
      <c r="A1833" s="3" t="s">
        <v>3284</v>
      </c>
      <c r="B1833" s="3">
        <v>11</v>
      </c>
      <c r="C1833" s="5">
        <v>500</v>
      </c>
      <c r="D1833" s="6">
        <v>0</v>
      </c>
      <c r="E1833" s="7">
        <v>673000</v>
      </c>
      <c r="F1833" s="3">
        <v>55700</v>
      </c>
      <c r="G1833" s="3" t="str">
        <f t="shared" si="28"/>
        <v>5</v>
      </c>
      <c r="H1833" s="3" t="s">
        <v>3285</v>
      </c>
      <c r="I1833" s="8">
        <v>75000</v>
      </c>
      <c r="J1833" s="8">
        <v>167295</v>
      </c>
      <c r="K1833" s="8">
        <v>75000</v>
      </c>
    </row>
    <row r="1834" spans="1:11" hidden="1" x14ac:dyDescent="0.25">
      <c r="A1834" s="3" t="s">
        <v>3286</v>
      </c>
      <c r="B1834" s="3">
        <v>11</v>
      </c>
      <c r="C1834" s="5">
        <v>500</v>
      </c>
      <c r="D1834" s="6">
        <v>0</v>
      </c>
      <c r="E1834" s="7">
        <v>673000</v>
      </c>
      <c r="F1834" s="3">
        <v>55825</v>
      </c>
      <c r="G1834" s="3" t="str">
        <f t="shared" si="28"/>
        <v>5</v>
      </c>
      <c r="H1834" s="3" t="s">
        <v>3287</v>
      </c>
      <c r="I1834" s="8">
        <v>0</v>
      </c>
      <c r="J1834" s="8">
        <v>8000.2</v>
      </c>
      <c r="K1834" s="8">
        <v>0</v>
      </c>
    </row>
    <row r="1835" spans="1:11" hidden="1" x14ac:dyDescent="0.25">
      <c r="A1835" s="3" t="s">
        <v>3288</v>
      </c>
      <c r="B1835" s="3">
        <v>11</v>
      </c>
      <c r="C1835" s="5">
        <v>500</v>
      </c>
      <c r="D1835" s="6">
        <v>0</v>
      </c>
      <c r="E1835" s="7">
        <v>673000</v>
      </c>
      <c r="F1835" s="3">
        <v>56400</v>
      </c>
      <c r="G1835" s="3" t="str">
        <f t="shared" si="28"/>
        <v>5</v>
      </c>
      <c r="H1835" s="3" t="s">
        <v>3289</v>
      </c>
      <c r="I1835" s="8">
        <v>6000</v>
      </c>
      <c r="J1835" s="8">
        <v>0</v>
      </c>
      <c r="K1835" s="8">
        <v>6000</v>
      </c>
    </row>
    <row r="1836" spans="1:11" hidden="1" x14ac:dyDescent="0.25">
      <c r="A1836" s="3" t="s">
        <v>3290</v>
      </c>
      <c r="B1836" s="3">
        <v>11</v>
      </c>
      <c r="C1836" s="5">
        <v>600</v>
      </c>
      <c r="D1836" s="6">
        <v>0</v>
      </c>
      <c r="E1836" s="7">
        <v>678000</v>
      </c>
      <c r="F1836" s="3">
        <v>52105</v>
      </c>
      <c r="G1836" s="3" t="str">
        <f t="shared" si="28"/>
        <v>5</v>
      </c>
      <c r="H1836" s="3" t="s">
        <v>3291</v>
      </c>
      <c r="I1836" s="8">
        <v>1213225.72</v>
      </c>
      <c r="J1836" s="8">
        <v>948020.44</v>
      </c>
      <c r="K1836" s="8">
        <v>1213225.72</v>
      </c>
    </row>
    <row r="1837" spans="1:11" hidden="1" x14ac:dyDescent="0.25">
      <c r="A1837" s="3" t="s">
        <v>3292</v>
      </c>
      <c r="B1837" s="3">
        <v>11</v>
      </c>
      <c r="C1837" s="5">
        <v>600</v>
      </c>
      <c r="D1837" s="6">
        <v>0</v>
      </c>
      <c r="E1837" s="7">
        <v>678000</v>
      </c>
      <c r="F1837" s="3">
        <v>52130</v>
      </c>
      <c r="G1837" s="3" t="str">
        <f t="shared" si="28"/>
        <v>5</v>
      </c>
      <c r="H1837" s="3" t="s">
        <v>3293</v>
      </c>
      <c r="I1837" s="8">
        <v>312113</v>
      </c>
      <c r="J1837" s="8">
        <v>234084.87</v>
      </c>
      <c r="K1837" s="8">
        <v>312113</v>
      </c>
    </row>
    <row r="1838" spans="1:11" hidden="1" x14ac:dyDescent="0.25">
      <c r="A1838" s="3" t="s">
        <v>3294</v>
      </c>
      <c r="B1838" s="3">
        <v>11</v>
      </c>
      <c r="C1838" s="5">
        <v>600</v>
      </c>
      <c r="D1838" s="6">
        <v>0</v>
      </c>
      <c r="E1838" s="7">
        <v>678000</v>
      </c>
      <c r="F1838" s="3">
        <v>52300</v>
      </c>
      <c r="G1838" s="3" t="str">
        <f t="shared" si="28"/>
        <v>5</v>
      </c>
      <c r="H1838" s="3" t="s">
        <v>3295</v>
      </c>
      <c r="I1838" s="8">
        <v>20000</v>
      </c>
      <c r="J1838" s="8">
        <v>4340.57</v>
      </c>
      <c r="K1838" s="8">
        <v>20000</v>
      </c>
    </row>
    <row r="1839" spans="1:11" hidden="1" x14ac:dyDescent="0.25">
      <c r="A1839" s="3" t="s">
        <v>3296</v>
      </c>
      <c r="B1839" s="3">
        <v>11</v>
      </c>
      <c r="C1839" s="5">
        <v>600</v>
      </c>
      <c r="D1839" s="6">
        <v>0</v>
      </c>
      <c r="E1839" s="7">
        <v>678000</v>
      </c>
      <c r="F1839" s="3">
        <v>52350</v>
      </c>
      <c r="G1839" s="3" t="str">
        <f t="shared" si="28"/>
        <v>5</v>
      </c>
      <c r="H1839" s="3" t="s">
        <v>3297</v>
      </c>
      <c r="I1839" s="8">
        <v>30000</v>
      </c>
      <c r="J1839" s="8">
        <v>986</v>
      </c>
      <c r="K1839" s="8">
        <v>30000</v>
      </c>
    </row>
    <row r="1840" spans="1:11" hidden="1" x14ac:dyDescent="0.25">
      <c r="A1840" s="3" t="s">
        <v>3298</v>
      </c>
      <c r="B1840" s="3">
        <v>11</v>
      </c>
      <c r="C1840" s="5">
        <v>600</v>
      </c>
      <c r="D1840" s="6">
        <v>0</v>
      </c>
      <c r="E1840" s="7">
        <v>678000</v>
      </c>
      <c r="F1840" s="3">
        <v>53220</v>
      </c>
      <c r="G1840" s="3" t="str">
        <f t="shared" si="28"/>
        <v>5</v>
      </c>
      <c r="H1840" s="3" t="s">
        <v>3299</v>
      </c>
      <c r="I1840" s="8">
        <v>315745.13</v>
      </c>
      <c r="J1840" s="8">
        <v>240444.15</v>
      </c>
      <c r="K1840" s="8">
        <v>315745.13</v>
      </c>
    </row>
    <row r="1841" spans="1:11" hidden="1" x14ac:dyDescent="0.25">
      <c r="A1841" s="3" t="s">
        <v>3300</v>
      </c>
      <c r="B1841" s="3">
        <v>11</v>
      </c>
      <c r="C1841" s="5">
        <v>600</v>
      </c>
      <c r="D1841" s="6">
        <v>0</v>
      </c>
      <c r="E1841" s="7">
        <v>678000</v>
      </c>
      <c r="F1841" s="3">
        <v>53320</v>
      </c>
      <c r="G1841" s="3" t="str">
        <f t="shared" si="28"/>
        <v>5</v>
      </c>
      <c r="H1841" s="3" t="s">
        <v>3301</v>
      </c>
      <c r="I1841" s="8">
        <v>95811</v>
      </c>
      <c r="J1841" s="8">
        <v>70657.119999999995</v>
      </c>
      <c r="K1841" s="8">
        <v>95811</v>
      </c>
    </row>
    <row r="1842" spans="1:11" hidden="1" x14ac:dyDescent="0.25">
      <c r="A1842" s="3" t="s">
        <v>3302</v>
      </c>
      <c r="B1842" s="3">
        <v>11</v>
      </c>
      <c r="C1842" s="5">
        <v>600</v>
      </c>
      <c r="D1842" s="6">
        <v>0</v>
      </c>
      <c r="E1842" s="7">
        <v>678000</v>
      </c>
      <c r="F1842" s="3">
        <v>53340</v>
      </c>
      <c r="G1842" s="3" t="str">
        <f t="shared" si="28"/>
        <v>5</v>
      </c>
      <c r="H1842" s="3" t="s">
        <v>3303</v>
      </c>
      <c r="I1842" s="8">
        <v>22407.41</v>
      </c>
      <c r="J1842" s="8">
        <v>17111.05</v>
      </c>
      <c r="K1842" s="8">
        <v>22407.41</v>
      </c>
    </row>
    <row r="1843" spans="1:11" hidden="1" x14ac:dyDescent="0.25">
      <c r="A1843" s="3" t="s">
        <v>3304</v>
      </c>
      <c r="B1843" s="3">
        <v>11</v>
      </c>
      <c r="C1843" s="5">
        <v>600</v>
      </c>
      <c r="D1843" s="6">
        <v>0</v>
      </c>
      <c r="E1843" s="7">
        <v>678000</v>
      </c>
      <c r="F1843" s="3">
        <v>53420</v>
      </c>
      <c r="G1843" s="3" t="str">
        <f t="shared" si="28"/>
        <v>5</v>
      </c>
      <c r="H1843" s="3" t="s">
        <v>3305</v>
      </c>
      <c r="I1843" s="8">
        <v>372703.85</v>
      </c>
      <c r="J1843" s="8">
        <v>273906.32</v>
      </c>
      <c r="K1843" s="8">
        <v>372703.85</v>
      </c>
    </row>
    <row r="1844" spans="1:11" hidden="1" x14ac:dyDescent="0.25">
      <c r="A1844" s="3" t="s">
        <v>3306</v>
      </c>
      <c r="B1844" s="3">
        <v>11</v>
      </c>
      <c r="C1844" s="5">
        <v>600</v>
      </c>
      <c r="D1844" s="6">
        <v>0</v>
      </c>
      <c r="E1844" s="7">
        <v>678000</v>
      </c>
      <c r="F1844" s="3">
        <v>53520</v>
      </c>
      <c r="G1844" s="3" t="str">
        <f t="shared" si="28"/>
        <v>5</v>
      </c>
      <c r="H1844" s="3" t="s">
        <v>3307</v>
      </c>
      <c r="I1844" s="8">
        <v>772.67</v>
      </c>
      <c r="J1844" s="8">
        <v>592.72</v>
      </c>
      <c r="K1844" s="8">
        <v>772.67</v>
      </c>
    </row>
    <row r="1845" spans="1:11" hidden="1" x14ac:dyDescent="0.25">
      <c r="A1845" s="3" t="s">
        <v>3308</v>
      </c>
      <c r="B1845" s="3">
        <v>11</v>
      </c>
      <c r="C1845" s="5">
        <v>600</v>
      </c>
      <c r="D1845" s="6">
        <v>0</v>
      </c>
      <c r="E1845" s="7">
        <v>678000</v>
      </c>
      <c r="F1845" s="3">
        <v>53620</v>
      </c>
      <c r="G1845" s="3" t="str">
        <f t="shared" si="28"/>
        <v>5</v>
      </c>
      <c r="H1845" s="3" t="s">
        <v>3309</v>
      </c>
      <c r="I1845" s="8">
        <v>29786.5</v>
      </c>
      <c r="J1845" s="8">
        <v>22499.63</v>
      </c>
      <c r="K1845" s="8">
        <v>29786.5</v>
      </c>
    </row>
    <row r="1846" spans="1:11" hidden="1" x14ac:dyDescent="0.25">
      <c r="A1846" s="3" t="s">
        <v>3310</v>
      </c>
      <c r="B1846" s="3">
        <v>11</v>
      </c>
      <c r="C1846" s="5">
        <v>600</v>
      </c>
      <c r="D1846" s="6">
        <v>0</v>
      </c>
      <c r="E1846" s="7">
        <v>678000</v>
      </c>
      <c r="F1846" s="3">
        <v>53920</v>
      </c>
      <c r="G1846" s="3" t="str">
        <f t="shared" si="28"/>
        <v>5</v>
      </c>
      <c r="H1846" s="3" t="s">
        <v>3311</v>
      </c>
      <c r="I1846" s="8">
        <v>14400</v>
      </c>
      <c r="J1846" s="8">
        <v>9600</v>
      </c>
      <c r="K1846" s="8">
        <v>14400</v>
      </c>
    </row>
    <row r="1847" spans="1:11" hidden="1" x14ac:dyDescent="0.25">
      <c r="A1847" s="3" t="s">
        <v>3312</v>
      </c>
      <c r="B1847" s="3">
        <v>11</v>
      </c>
      <c r="C1847" s="5">
        <v>600</v>
      </c>
      <c r="D1847" s="6">
        <v>0</v>
      </c>
      <c r="E1847" s="7">
        <v>678000</v>
      </c>
      <c r="F1847" s="3">
        <v>54300</v>
      </c>
      <c r="G1847" s="3" t="str">
        <f t="shared" si="28"/>
        <v>5</v>
      </c>
      <c r="H1847" s="3" t="s">
        <v>3313</v>
      </c>
      <c r="I1847" s="8">
        <v>4500</v>
      </c>
      <c r="J1847" s="8">
        <v>817.75</v>
      </c>
      <c r="K1847" s="8">
        <v>4500</v>
      </c>
    </row>
    <row r="1848" spans="1:11" hidden="1" x14ac:dyDescent="0.25">
      <c r="A1848" s="3" t="s">
        <v>3314</v>
      </c>
      <c r="B1848" s="3">
        <v>11</v>
      </c>
      <c r="C1848" s="5">
        <v>600</v>
      </c>
      <c r="D1848" s="6">
        <v>0</v>
      </c>
      <c r="E1848" s="7">
        <v>678000</v>
      </c>
      <c r="F1848" s="3">
        <v>55105</v>
      </c>
      <c r="G1848" s="3" t="str">
        <f t="shared" si="28"/>
        <v>5</v>
      </c>
      <c r="H1848" s="3" t="s">
        <v>3315</v>
      </c>
      <c r="I1848" s="8">
        <v>80170</v>
      </c>
      <c r="J1848" s="8">
        <v>42640</v>
      </c>
      <c r="K1848" s="8">
        <v>80170</v>
      </c>
    </row>
    <row r="1849" spans="1:11" hidden="1" x14ac:dyDescent="0.25">
      <c r="A1849" s="3" t="s">
        <v>3316</v>
      </c>
      <c r="B1849" s="3">
        <v>11</v>
      </c>
      <c r="C1849" s="5">
        <v>600</v>
      </c>
      <c r="D1849" s="6">
        <v>0</v>
      </c>
      <c r="E1849" s="7">
        <v>678000</v>
      </c>
      <c r="F1849" s="3">
        <v>55125</v>
      </c>
      <c r="G1849" s="3" t="str">
        <f t="shared" si="28"/>
        <v>5</v>
      </c>
      <c r="H1849" s="3" t="s">
        <v>3317</v>
      </c>
      <c r="I1849" s="8">
        <v>10000</v>
      </c>
      <c r="J1849" s="8">
        <v>0</v>
      </c>
      <c r="K1849" s="8">
        <v>10000</v>
      </c>
    </row>
    <row r="1850" spans="1:11" hidden="1" x14ac:dyDescent="0.25">
      <c r="A1850" s="3" t="s">
        <v>3318</v>
      </c>
      <c r="B1850" s="3">
        <v>11</v>
      </c>
      <c r="C1850" s="5">
        <v>600</v>
      </c>
      <c r="D1850" s="6">
        <v>0</v>
      </c>
      <c r="E1850" s="7">
        <v>678000</v>
      </c>
      <c r="F1850" s="3">
        <v>55200</v>
      </c>
      <c r="G1850" s="3" t="str">
        <f t="shared" si="28"/>
        <v>5</v>
      </c>
      <c r="H1850" s="3" t="s">
        <v>3319</v>
      </c>
      <c r="I1850" s="8">
        <v>10000</v>
      </c>
      <c r="J1850" s="8">
        <v>477.22</v>
      </c>
      <c r="K1850" s="8">
        <v>10000</v>
      </c>
    </row>
    <row r="1851" spans="1:11" hidden="1" x14ac:dyDescent="0.25">
      <c r="A1851" s="3" t="s">
        <v>3320</v>
      </c>
      <c r="B1851" s="3">
        <v>11</v>
      </c>
      <c r="C1851" s="5">
        <v>600</v>
      </c>
      <c r="D1851" s="6">
        <v>0</v>
      </c>
      <c r="E1851" s="7">
        <v>678000</v>
      </c>
      <c r="F1851" s="3">
        <v>55300</v>
      </c>
      <c r="G1851" s="3" t="str">
        <f t="shared" si="28"/>
        <v>5</v>
      </c>
      <c r="H1851" s="3" t="s">
        <v>3321</v>
      </c>
      <c r="I1851" s="8">
        <v>1500</v>
      </c>
      <c r="J1851" s="8">
        <v>1490</v>
      </c>
      <c r="K1851" s="8">
        <v>1500</v>
      </c>
    </row>
    <row r="1852" spans="1:11" hidden="1" x14ac:dyDescent="0.25">
      <c r="A1852" s="3" t="s">
        <v>3322</v>
      </c>
      <c r="B1852" s="3">
        <v>11</v>
      </c>
      <c r="C1852" s="5">
        <v>600</v>
      </c>
      <c r="D1852" s="6">
        <v>0</v>
      </c>
      <c r="E1852" s="7">
        <v>678000</v>
      </c>
      <c r="F1852" s="3">
        <v>55550</v>
      </c>
      <c r="G1852" s="3" t="str">
        <f t="shared" si="28"/>
        <v>5</v>
      </c>
      <c r="H1852" s="3" t="s">
        <v>3323</v>
      </c>
      <c r="I1852" s="8">
        <v>139000</v>
      </c>
      <c r="J1852" s="8">
        <v>121586.69</v>
      </c>
      <c r="K1852" s="8">
        <v>139000</v>
      </c>
    </row>
    <row r="1853" spans="1:11" hidden="1" x14ac:dyDescent="0.25">
      <c r="A1853" s="3" t="s">
        <v>3324</v>
      </c>
      <c r="B1853" s="3">
        <v>11</v>
      </c>
      <c r="C1853" s="5">
        <v>600</v>
      </c>
      <c r="D1853" s="6">
        <v>0</v>
      </c>
      <c r="E1853" s="7">
        <v>678000</v>
      </c>
      <c r="F1853" s="3">
        <v>55610</v>
      </c>
      <c r="G1853" s="3" t="str">
        <f t="shared" si="28"/>
        <v>5</v>
      </c>
      <c r="H1853" s="3" t="s">
        <v>3325</v>
      </c>
      <c r="I1853" s="8">
        <v>50000</v>
      </c>
      <c r="J1853" s="8">
        <v>18442.5</v>
      </c>
      <c r="K1853" s="8">
        <v>50000</v>
      </c>
    </row>
    <row r="1854" spans="1:11" hidden="1" x14ac:dyDescent="0.25">
      <c r="A1854" s="3" t="s">
        <v>3326</v>
      </c>
      <c r="B1854" s="3">
        <v>11</v>
      </c>
      <c r="C1854" s="5">
        <v>600</v>
      </c>
      <c r="D1854" s="6">
        <v>0</v>
      </c>
      <c r="E1854" s="7">
        <v>678000</v>
      </c>
      <c r="F1854" s="3">
        <v>55630</v>
      </c>
      <c r="G1854" s="3" t="str">
        <f t="shared" si="28"/>
        <v>5</v>
      </c>
      <c r="H1854" s="3" t="s">
        <v>3327</v>
      </c>
      <c r="I1854" s="8">
        <v>1000</v>
      </c>
      <c r="J1854" s="8">
        <v>9.07</v>
      </c>
      <c r="K1854" s="8">
        <v>1000</v>
      </c>
    </row>
    <row r="1855" spans="1:11" hidden="1" x14ac:dyDescent="0.25">
      <c r="A1855" s="3" t="s">
        <v>3328</v>
      </c>
      <c r="B1855" s="3">
        <v>11</v>
      </c>
      <c r="C1855" s="5">
        <v>600</v>
      </c>
      <c r="D1855" s="6">
        <v>0</v>
      </c>
      <c r="E1855" s="7">
        <v>678000</v>
      </c>
      <c r="F1855" s="3">
        <v>55650</v>
      </c>
      <c r="G1855" s="3" t="str">
        <f t="shared" si="28"/>
        <v>5</v>
      </c>
      <c r="H1855" s="3" t="s">
        <v>3329</v>
      </c>
      <c r="I1855" s="8">
        <v>1190285</v>
      </c>
      <c r="J1855" s="8">
        <v>1187092.1000000001</v>
      </c>
      <c r="K1855" s="8">
        <v>1190285</v>
      </c>
    </row>
    <row r="1856" spans="1:11" hidden="1" x14ac:dyDescent="0.25">
      <c r="A1856" s="3" t="s">
        <v>3330</v>
      </c>
      <c r="B1856" s="3">
        <v>11</v>
      </c>
      <c r="C1856" s="5">
        <v>600</v>
      </c>
      <c r="D1856" s="6">
        <v>0</v>
      </c>
      <c r="E1856" s="7">
        <v>678000</v>
      </c>
      <c r="F1856" s="3">
        <v>55653</v>
      </c>
      <c r="G1856" s="3" t="str">
        <f t="shared" si="28"/>
        <v>5</v>
      </c>
      <c r="H1856" s="3" t="s">
        <v>3331</v>
      </c>
      <c r="I1856" s="8">
        <v>1500</v>
      </c>
      <c r="J1856" s="8">
        <v>0</v>
      </c>
      <c r="K1856" s="8">
        <v>1500</v>
      </c>
    </row>
    <row r="1857" spans="1:11" hidden="1" x14ac:dyDescent="0.25">
      <c r="A1857" s="3" t="s">
        <v>3332</v>
      </c>
      <c r="B1857" s="3">
        <v>11</v>
      </c>
      <c r="C1857" s="5">
        <v>600</v>
      </c>
      <c r="D1857" s="6">
        <v>0</v>
      </c>
      <c r="E1857" s="7">
        <v>678000</v>
      </c>
      <c r="F1857" s="3">
        <v>56400</v>
      </c>
      <c r="G1857" s="3" t="str">
        <f t="shared" si="28"/>
        <v>5</v>
      </c>
      <c r="H1857" s="3" t="s">
        <v>3333</v>
      </c>
      <c r="I1857" s="8">
        <v>3300</v>
      </c>
      <c r="J1857" s="8">
        <v>3095.4</v>
      </c>
      <c r="K1857" s="8">
        <v>3300</v>
      </c>
    </row>
    <row r="1858" spans="1:11" hidden="1" x14ac:dyDescent="0.25">
      <c r="A1858" s="3" t="s">
        <v>3334</v>
      </c>
      <c r="B1858" s="3">
        <v>12</v>
      </c>
      <c r="C1858" s="5">
        <v>0</v>
      </c>
      <c r="D1858" s="6">
        <v>0</v>
      </c>
      <c r="E1858" s="7">
        <v>0</v>
      </c>
      <c r="F1858" s="3">
        <v>48860</v>
      </c>
      <c r="G1858" s="3" t="str">
        <f t="shared" si="28"/>
        <v>4</v>
      </c>
      <c r="H1858" s="3" t="s">
        <v>41</v>
      </c>
      <c r="I1858" s="8">
        <v>0</v>
      </c>
      <c r="J1858" s="8">
        <v>-62.89</v>
      </c>
      <c r="K1858" s="8">
        <v>0</v>
      </c>
    </row>
    <row r="1859" spans="1:11" hidden="1" x14ac:dyDescent="0.25">
      <c r="A1859" s="3" t="s">
        <v>3335</v>
      </c>
      <c r="B1859" s="3">
        <v>12</v>
      </c>
      <c r="C1859" s="5">
        <v>100</v>
      </c>
      <c r="D1859" s="6">
        <v>0</v>
      </c>
      <c r="E1859" s="7">
        <v>709650</v>
      </c>
      <c r="F1859" s="3">
        <v>48120</v>
      </c>
      <c r="G1859" s="3" t="str">
        <f t="shared" ref="G1859:G1922" si="29">LEFT(F1859,1)</f>
        <v>4</v>
      </c>
      <c r="H1859" s="3" t="s">
        <v>3336</v>
      </c>
      <c r="I1859" s="8">
        <v>-910408.44</v>
      </c>
      <c r="J1859" s="8">
        <v>-412111.31</v>
      </c>
      <c r="K1859" s="8">
        <v>-910408.44</v>
      </c>
    </row>
    <row r="1860" spans="1:11" hidden="1" x14ac:dyDescent="0.25">
      <c r="A1860" s="3" t="s">
        <v>3337</v>
      </c>
      <c r="B1860" s="3">
        <v>12</v>
      </c>
      <c r="C1860" s="5">
        <v>100</v>
      </c>
      <c r="D1860" s="6">
        <v>0</v>
      </c>
      <c r="E1860" s="7">
        <v>709650</v>
      </c>
      <c r="F1860" s="3">
        <v>51200</v>
      </c>
      <c r="G1860" s="3" t="str">
        <f t="shared" si="29"/>
        <v>5</v>
      </c>
      <c r="H1860" s="3" t="s">
        <v>3338</v>
      </c>
      <c r="I1860" s="8">
        <v>16454</v>
      </c>
      <c r="J1860" s="8">
        <v>37533.550000000003</v>
      </c>
      <c r="K1860" s="8">
        <v>16454</v>
      </c>
    </row>
    <row r="1861" spans="1:11" hidden="1" x14ac:dyDescent="0.25">
      <c r="A1861" s="3" t="s">
        <v>3339</v>
      </c>
      <c r="B1861" s="3">
        <v>12</v>
      </c>
      <c r="C1861" s="5">
        <v>100</v>
      </c>
      <c r="D1861" s="6">
        <v>0</v>
      </c>
      <c r="E1861" s="7">
        <v>709650</v>
      </c>
      <c r="F1861" s="3">
        <v>51210</v>
      </c>
      <c r="G1861" s="3" t="str">
        <f t="shared" si="29"/>
        <v>5</v>
      </c>
      <c r="H1861" s="3" t="s">
        <v>3340</v>
      </c>
      <c r="I1861" s="8">
        <v>0</v>
      </c>
      <c r="J1861" s="8">
        <v>188.22</v>
      </c>
      <c r="K1861" s="8">
        <v>0</v>
      </c>
    </row>
    <row r="1862" spans="1:11" hidden="1" x14ac:dyDescent="0.25">
      <c r="A1862" s="3" t="s">
        <v>3341</v>
      </c>
      <c r="B1862" s="3">
        <v>12</v>
      </c>
      <c r="C1862" s="5">
        <v>100</v>
      </c>
      <c r="D1862" s="6">
        <v>0</v>
      </c>
      <c r="E1862" s="7">
        <v>709650</v>
      </c>
      <c r="F1862" s="3">
        <v>51412</v>
      </c>
      <c r="G1862" s="3" t="str">
        <f t="shared" si="29"/>
        <v>5</v>
      </c>
      <c r="H1862" s="3" t="s">
        <v>3342</v>
      </c>
      <c r="I1862" s="8">
        <v>44500</v>
      </c>
      <c r="J1862" s="8">
        <v>22490</v>
      </c>
      <c r="K1862" s="8">
        <v>44500</v>
      </c>
    </row>
    <row r="1863" spans="1:11" hidden="1" x14ac:dyDescent="0.25">
      <c r="A1863" s="3" t="s">
        <v>3343</v>
      </c>
      <c r="B1863" s="3">
        <v>12</v>
      </c>
      <c r="C1863" s="5">
        <v>100</v>
      </c>
      <c r="D1863" s="6">
        <v>0</v>
      </c>
      <c r="E1863" s="7">
        <v>709650</v>
      </c>
      <c r="F1863" s="3">
        <v>52105</v>
      </c>
      <c r="G1863" s="3" t="str">
        <f t="shared" si="29"/>
        <v>5</v>
      </c>
      <c r="H1863" s="3" t="s">
        <v>3344</v>
      </c>
      <c r="I1863" s="8">
        <v>113973</v>
      </c>
      <c r="J1863" s="8">
        <v>95852.4</v>
      </c>
      <c r="K1863" s="8">
        <v>113973</v>
      </c>
    </row>
    <row r="1864" spans="1:11" hidden="1" x14ac:dyDescent="0.25">
      <c r="A1864" s="3" t="s">
        <v>3345</v>
      </c>
      <c r="B1864" s="3">
        <v>12</v>
      </c>
      <c r="C1864" s="5">
        <v>100</v>
      </c>
      <c r="D1864" s="6">
        <v>0</v>
      </c>
      <c r="E1864" s="7">
        <v>709650</v>
      </c>
      <c r="F1864" s="3">
        <v>52130</v>
      </c>
      <c r="G1864" s="3" t="str">
        <f t="shared" si="29"/>
        <v>5</v>
      </c>
      <c r="H1864" s="3" t="s">
        <v>3346</v>
      </c>
      <c r="I1864" s="8">
        <v>103534</v>
      </c>
      <c r="J1864" s="8">
        <v>100191.2</v>
      </c>
      <c r="K1864" s="8">
        <v>103534</v>
      </c>
    </row>
    <row r="1865" spans="1:11" hidden="1" x14ac:dyDescent="0.25">
      <c r="A1865" s="3" t="s">
        <v>3347</v>
      </c>
      <c r="B1865" s="3">
        <v>12</v>
      </c>
      <c r="C1865" s="5">
        <v>100</v>
      </c>
      <c r="D1865" s="6">
        <v>0</v>
      </c>
      <c r="E1865" s="7">
        <v>709650</v>
      </c>
      <c r="F1865" s="3">
        <v>52300</v>
      </c>
      <c r="G1865" s="3" t="str">
        <f t="shared" si="29"/>
        <v>5</v>
      </c>
      <c r="H1865" s="3" t="s">
        <v>3348</v>
      </c>
      <c r="I1865" s="8">
        <v>0</v>
      </c>
      <c r="J1865" s="8">
        <v>1.83</v>
      </c>
      <c r="K1865" s="8">
        <v>0</v>
      </c>
    </row>
    <row r="1866" spans="1:11" hidden="1" x14ac:dyDescent="0.25">
      <c r="A1866" s="3" t="s">
        <v>3349</v>
      </c>
      <c r="B1866" s="3">
        <v>12</v>
      </c>
      <c r="C1866" s="5">
        <v>100</v>
      </c>
      <c r="D1866" s="6">
        <v>0</v>
      </c>
      <c r="E1866" s="7">
        <v>709650</v>
      </c>
      <c r="F1866" s="3">
        <v>52360</v>
      </c>
      <c r="G1866" s="3" t="str">
        <f t="shared" si="29"/>
        <v>5</v>
      </c>
      <c r="H1866" s="3" t="s">
        <v>3350</v>
      </c>
      <c r="I1866" s="8">
        <v>32423</v>
      </c>
      <c r="J1866" s="8">
        <v>0</v>
      </c>
      <c r="K1866" s="8">
        <v>32423</v>
      </c>
    </row>
    <row r="1867" spans="1:11" hidden="1" x14ac:dyDescent="0.25">
      <c r="A1867" s="3" t="s">
        <v>3351</v>
      </c>
      <c r="B1867" s="3">
        <v>12</v>
      </c>
      <c r="C1867" s="5">
        <v>100</v>
      </c>
      <c r="D1867" s="6">
        <v>0</v>
      </c>
      <c r="E1867" s="7">
        <v>709650</v>
      </c>
      <c r="F1867" s="3">
        <v>53120</v>
      </c>
      <c r="G1867" s="3" t="str">
        <f t="shared" si="29"/>
        <v>5</v>
      </c>
      <c r="H1867" s="3" t="s">
        <v>3352</v>
      </c>
      <c r="I1867" s="8">
        <v>9845</v>
      </c>
      <c r="J1867" s="8">
        <v>9709.1299999999992</v>
      </c>
      <c r="K1867" s="8">
        <v>9845</v>
      </c>
    </row>
    <row r="1868" spans="1:11" hidden="1" x14ac:dyDescent="0.25">
      <c r="A1868" s="3" t="s">
        <v>3353</v>
      </c>
      <c r="B1868" s="3">
        <v>12</v>
      </c>
      <c r="C1868" s="5">
        <v>100</v>
      </c>
      <c r="D1868" s="6">
        <v>0</v>
      </c>
      <c r="E1868" s="7">
        <v>709650</v>
      </c>
      <c r="F1868" s="3">
        <v>53220</v>
      </c>
      <c r="G1868" s="3" t="str">
        <f t="shared" si="29"/>
        <v>5</v>
      </c>
      <c r="H1868" s="3" t="s">
        <v>3354</v>
      </c>
      <c r="I1868" s="8">
        <v>39382</v>
      </c>
      <c r="J1868" s="8">
        <v>40542.57</v>
      </c>
      <c r="K1868" s="8">
        <v>39382</v>
      </c>
    </row>
    <row r="1869" spans="1:11" hidden="1" x14ac:dyDescent="0.25">
      <c r="A1869" s="3" t="s">
        <v>3355</v>
      </c>
      <c r="B1869" s="3">
        <v>12</v>
      </c>
      <c r="C1869" s="5">
        <v>100</v>
      </c>
      <c r="D1869" s="6">
        <v>0</v>
      </c>
      <c r="E1869" s="7">
        <v>709650</v>
      </c>
      <c r="F1869" s="3">
        <v>53320</v>
      </c>
      <c r="G1869" s="3" t="str">
        <f t="shared" si="29"/>
        <v>5</v>
      </c>
      <c r="H1869" s="3" t="s">
        <v>3356</v>
      </c>
      <c r="I1869" s="8">
        <v>13806</v>
      </c>
      <c r="J1869" s="8">
        <v>12125.92</v>
      </c>
      <c r="K1869" s="8">
        <v>13806</v>
      </c>
    </row>
    <row r="1870" spans="1:11" hidden="1" x14ac:dyDescent="0.25">
      <c r="A1870" s="3" t="s">
        <v>3357</v>
      </c>
      <c r="B1870" s="3">
        <v>12</v>
      </c>
      <c r="C1870" s="5">
        <v>100</v>
      </c>
      <c r="D1870" s="6">
        <v>0</v>
      </c>
      <c r="E1870" s="7">
        <v>709650</v>
      </c>
      <c r="F1870" s="3">
        <v>53340</v>
      </c>
      <c r="G1870" s="3" t="str">
        <f t="shared" si="29"/>
        <v>5</v>
      </c>
      <c r="H1870" s="3" t="s">
        <v>3358</v>
      </c>
      <c r="I1870" s="8">
        <v>4113</v>
      </c>
      <c r="J1870" s="8">
        <v>4999.95</v>
      </c>
      <c r="K1870" s="8">
        <v>4113</v>
      </c>
    </row>
    <row r="1871" spans="1:11" hidden="1" x14ac:dyDescent="0.25">
      <c r="A1871" s="3" t="s">
        <v>3359</v>
      </c>
      <c r="B1871" s="3">
        <v>12</v>
      </c>
      <c r="C1871" s="5">
        <v>100</v>
      </c>
      <c r="D1871" s="6">
        <v>0</v>
      </c>
      <c r="E1871" s="7">
        <v>709650</v>
      </c>
      <c r="F1871" s="3">
        <v>53420</v>
      </c>
      <c r="G1871" s="3" t="str">
        <f t="shared" si="29"/>
        <v>5</v>
      </c>
      <c r="H1871" s="3" t="s">
        <v>3360</v>
      </c>
      <c r="I1871" s="8">
        <v>61085</v>
      </c>
      <c r="J1871" s="8">
        <v>50243.57</v>
      </c>
      <c r="K1871" s="8">
        <v>61085</v>
      </c>
    </row>
    <row r="1872" spans="1:11" hidden="1" x14ac:dyDescent="0.25">
      <c r="A1872" s="3" t="s">
        <v>3361</v>
      </c>
      <c r="B1872" s="3">
        <v>12</v>
      </c>
      <c r="C1872" s="5">
        <v>100</v>
      </c>
      <c r="D1872" s="6">
        <v>0</v>
      </c>
      <c r="E1872" s="7">
        <v>709650</v>
      </c>
      <c r="F1872" s="3">
        <v>53520</v>
      </c>
      <c r="G1872" s="3" t="str">
        <f t="shared" si="29"/>
        <v>5</v>
      </c>
      <c r="H1872" s="3" t="s">
        <v>3362</v>
      </c>
      <c r="I1872" s="8">
        <v>141</v>
      </c>
      <c r="J1872" s="8">
        <v>126.92</v>
      </c>
      <c r="K1872" s="8">
        <v>141</v>
      </c>
    </row>
    <row r="1873" spans="1:11" hidden="1" x14ac:dyDescent="0.25">
      <c r="A1873" s="3" t="s">
        <v>3363</v>
      </c>
      <c r="B1873" s="3">
        <v>12</v>
      </c>
      <c r="C1873" s="5">
        <v>100</v>
      </c>
      <c r="D1873" s="6">
        <v>0</v>
      </c>
      <c r="E1873" s="7">
        <v>709650</v>
      </c>
      <c r="F1873" s="3">
        <v>53620</v>
      </c>
      <c r="G1873" s="3" t="str">
        <f t="shared" si="29"/>
        <v>5</v>
      </c>
      <c r="H1873" s="3" t="s">
        <v>3364</v>
      </c>
      <c r="I1873" s="8">
        <v>5363</v>
      </c>
      <c r="J1873" s="8">
        <v>4849.8900000000003</v>
      </c>
      <c r="K1873" s="8">
        <v>5363</v>
      </c>
    </row>
    <row r="1874" spans="1:11" hidden="1" x14ac:dyDescent="0.25">
      <c r="A1874" s="3" t="s">
        <v>3365</v>
      </c>
      <c r="B1874" s="3">
        <v>12</v>
      </c>
      <c r="C1874" s="5">
        <v>100</v>
      </c>
      <c r="D1874" s="6">
        <v>0</v>
      </c>
      <c r="E1874" s="7">
        <v>709650</v>
      </c>
      <c r="F1874" s="3">
        <v>53920</v>
      </c>
      <c r="G1874" s="3" t="str">
        <f t="shared" si="29"/>
        <v>5</v>
      </c>
      <c r="H1874" s="3" t="s">
        <v>3366</v>
      </c>
      <c r="I1874" s="8">
        <v>2400</v>
      </c>
      <c r="J1874" s="8">
        <v>1600</v>
      </c>
      <c r="K1874" s="8">
        <v>2400</v>
      </c>
    </row>
    <row r="1875" spans="1:11" hidden="1" x14ac:dyDescent="0.25">
      <c r="A1875" s="3" t="s">
        <v>3367</v>
      </c>
      <c r="B1875" s="3">
        <v>12</v>
      </c>
      <c r="C1875" s="5">
        <v>100</v>
      </c>
      <c r="D1875" s="6">
        <v>0</v>
      </c>
      <c r="E1875" s="7">
        <v>709650</v>
      </c>
      <c r="F1875" s="3">
        <v>54210</v>
      </c>
      <c r="G1875" s="3" t="str">
        <f t="shared" si="29"/>
        <v>5</v>
      </c>
      <c r="H1875" s="3" t="s">
        <v>3368</v>
      </c>
      <c r="I1875" s="8">
        <v>0</v>
      </c>
      <c r="J1875" s="8">
        <v>0</v>
      </c>
      <c r="K1875" s="8">
        <v>0</v>
      </c>
    </row>
    <row r="1876" spans="1:11" hidden="1" x14ac:dyDescent="0.25">
      <c r="A1876" s="3" t="s">
        <v>3369</v>
      </c>
      <c r="B1876" s="3">
        <v>12</v>
      </c>
      <c r="C1876" s="5">
        <v>100</v>
      </c>
      <c r="D1876" s="6">
        <v>0</v>
      </c>
      <c r="E1876" s="7">
        <v>709650</v>
      </c>
      <c r="F1876" s="3">
        <v>54300</v>
      </c>
      <c r="G1876" s="3" t="str">
        <f t="shared" si="29"/>
        <v>5</v>
      </c>
      <c r="H1876" s="3" t="s">
        <v>3370</v>
      </c>
      <c r="I1876" s="8">
        <v>8753.06</v>
      </c>
      <c r="J1876" s="8">
        <v>0</v>
      </c>
      <c r="K1876" s="8">
        <v>8753.06</v>
      </c>
    </row>
    <row r="1877" spans="1:11" hidden="1" x14ac:dyDescent="0.25">
      <c r="A1877" s="3" t="s">
        <v>3371</v>
      </c>
      <c r="B1877" s="3">
        <v>12</v>
      </c>
      <c r="C1877" s="5">
        <v>100</v>
      </c>
      <c r="D1877" s="6">
        <v>0</v>
      </c>
      <c r="E1877" s="7">
        <v>709650</v>
      </c>
      <c r="F1877" s="3">
        <v>55100</v>
      </c>
      <c r="G1877" s="3" t="str">
        <f t="shared" si="29"/>
        <v>5</v>
      </c>
      <c r="H1877" s="3" t="s">
        <v>3372</v>
      </c>
      <c r="I1877" s="8">
        <v>3130</v>
      </c>
      <c r="J1877" s="8">
        <v>0</v>
      </c>
      <c r="K1877" s="8">
        <v>3130</v>
      </c>
    </row>
    <row r="1878" spans="1:11" hidden="1" x14ac:dyDescent="0.25">
      <c r="A1878" s="3" t="s">
        <v>3373</v>
      </c>
      <c r="B1878" s="3">
        <v>12</v>
      </c>
      <c r="C1878" s="5">
        <v>100</v>
      </c>
      <c r="D1878" s="6">
        <v>0</v>
      </c>
      <c r="E1878" s="7">
        <v>709650</v>
      </c>
      <c r="F1878" s="3">
        <v>55105</v>
      </c>
      <c r="G1878" s="3" t="str">
        <f t="shared" si="29"/>
        <v>5</v>
      </c>
      <c r="H1878" s="3" t="s">
        <v>3374</v>
      </c>
      <c r="I1878" s="8">
        <v>50366.53</v>
      </c>
      <c r="J1878" s="8">
        <v>52838.2</v>
      </c>
      <c r="K1878" s="8">
        <v>50366.53</v>
      </c>
    </row>
    <row r="1879" spans="1:11" hidden="1" x14ac:dyDescent="0.25">
      <c r="A1879" s="3" t="s">
        <v>3375</v>
      </c>
      <c r="B1879" s="3">
        <v>12</v>
      </c>
      <c r="C1879" s="5">
        <v>100</v>
      </c>
      <c r="D1879" s="6">
        <v>0</v>
      </c>
      <c r="E1879" s="7">
        <v>709650</v>
      </c>
      <c r="F1879" s="3">
        <v>55200</v>
      </c>
      <c r="G1879" s="3" t="str">
        <f t="shared" si="29"/>
        <v>5</v>
      </c>
      <c r="H1879" s="3" t="s">
        <v>3376</v>
      </c>
      <c r="I1879" s="8">
        <v>28012.74</v>
      </c>
      <c r="J1879" s="8">
        <v>7915</v>
      </c>
      <c r="K1879" s="8">
        <v>28012.74</v>
      </c>
    </row>
    <row r="1880" spans="1:11" hidden="1" x14ac:dyDescent="0.25">
      <c r="A1880" s="3" t="s">
        <v>3377</v>
      </c>
      <c r="B1880" s="3">
        <v>12</v>
      </c>
      <c r="C1880" s="5">
        <v>100</v>
      </c>
      <c r="D1880" s="6">
        <v>0</v>
      </c>
      <c r="E1880" s="7">
        <v>709650</v>
      </c>
      <c r="F1880" s="3">
        <v>55240</v>
      </c>
      <c r="G1880" s="3" t="str">
        <f t="shared" si="29"/>
        <v>5</v>
      </c>
      <c r="H1880" s="3" t="s">
        <v>3378</v>
      </c>
      <c r="I1880" s="8">
        <v>13076</v>
      </c>
      <c r="J1880" s="8">
        <v>0</v>
      </c>
      <c r="K1880" s="8">
        <v>13076</v>
      </c>
    </row>
    <row r="1881" spans="1:11" hidden="1" x14ac:dyDescent="0.25">
      <c r="A1881" s="3" t="s">
        <v>3379</v>
      </c>
      <c r="B1881" s="3">
        <v>12</v>
      </c>
      <c r="C1881" s="5">
        <v>100</v>
      </c>
      <c r="D1881" s="6">
        <v>0</v>
      </c>
      <c r="E1881" s="7">
        <v>709650</v>
      </c>
      <c r="F1881" s="3">
        <v>55309</v>
      </c>
      <c r="G1881" s="3" t="str">
        <f t="shared" si="29"/>
        <v>5</v>
      </c>
      <c r="H1881" s="3" t="s">
        <v>3380</v>
      </c>
      <c r="I1881" s="8">
        <v>0</v>
      </c>
      <c r="J1881" s="8">
        <v>12500</v>
      </c>
      <c r="K1881" s="8">
        <v>0</v>
      </c>
    </row>
    <row r="1882" spans="1:11" hidden="1" x14ac:dyDescent="0.25">
      <c r="A1882" s="3" t="s">
        <v>3381</v>
      </c>
      <c r="B1882" s="3">
        <v>12</v>
      </c>
      <c r="C1882" s="5">
        <v>100</v>
      </c>
      <c r="D1882" s="6">
        <v>0</v>
      </c>
      <c r="E1882" s="7">
        <v>709650</v>
      </c>
      <c r="F1882" s="3">
        <v>55600</v>
      </c>
      <c r="G1882" s="3" t="str">
        <f t="shared" si="29"/>
        <v>5</v>
      </c>
      <c r="H1882" s="3" t="s">
        <v>3382</v>
      </c>
      <c r="I1882" s="8">
        <v>250</v>
      </c>
      <c r="J1882" s="8">
        <v>-750</v>
      </c>
      <c r="K1882" s="8">
        <v>250</v>
      </c>
    </row>
    <row r="1883" spans="1:11" hidden="1" x14ac:dyDescent="0.25">
      <c r="A1883" s="3" t="s">
        <v>3383</v>
      </c>
      <c r="B1883" s="3">
        <v>12</v>
      </c>
      <c r="C1883" s="5">
        <v>100</v>
      </c>
      <c r="D1883" s="6">
        <v>0</v>
      </c>
      <c r="E1883" s="7">
        <v>709650</v>
      </c>
      <c r="F1883" s="3">
        <v>55630</v>
      </c>
      <c r="G1883" s="3" t="str">
        <f t="shared" si="29"/>
        <v>5</v>
      </c>
      <c r="H1883" s="3" t="s">
        <v>3384</v>
      </c>
      <c r="I1883" s="8">
        <v>0</v>
      </c>
      <c r="J1883" s="8">
        <v>13</v>
      </c>
      <c r="K1883" s="8">
        <v>0</v>
      </c>
    </row>
    <row r="1884" spans="1:11" hidden="1" x14ac:dyDescent="0.25">
      <c r="A1884" s="3" t="s">
        <v>3385</v>
      </c>
      <c r="B1884" s="3">
        <v>12</v>
      </c>
      <c r="C1884" s="5">
        <v>100</v>
      </c>
      <c r="D1884" s="6">
        <v>0</v>
      </c>
      <c r="E1884" s="7">
        <v>709650</v>
      </c>
      <c r="F1884" s="3">
        <v>55635</v>
      </c>
      <c r="G1884" s="3" t="str">
        <f t="shared" si="29"/>
        <v>5</v>
      </c>
      <c r="H1884" s="3" t="s">
        <v>3386</v>
      </c>
      <c r="I1884" s="8">
        <v>2279.65</v>
      </c>
      <c r="J1884" s="8">
        <v>0</v>
      </c>
      <c r="K1884" s="8">
        <v>2279.65</v>
      </c>
    </row>
    <row r="1885" spans="1:11" hidden="1" x14ac:dyDescent="0.25">
      <c r="A1885" s="3" t="s">
        <v>3387</v>
      </c>
      <c r="B1885" s="3">
        <v>12</v>
      </c>
      <c r="C1885" s="5">
        <v>100</v>
      </c>
      <c r="D1885" s="6">
        <v>0</v>
      </c>
      <c r="E1885" s="7">
        <v>709650</v>
      </c>
      <c r="F1885" s="3">
        <v>55800</v>
      </c>
      <c r="G1885" s="3" t="str">
        <f t="shared" si="29"/>
        <v>5</v>
      </c>
      <c r="H1885" s="3" t="s">
        <v>3388</v>
      </c>
      <c r="I1885" s="8">
        <v>14460.64</v>
      </c>
      <c r="J1885" s="8">
        <v>0</v>
      </c>
      <c r="K1885" s="8">
        <v>14460.64</v>
      </c>
    </row>
    <row r="1886" spans="1:11" hidden="1" x14ac:dyDescent="0.25">
      <c r="A1886" s="3" t="s">
        <v>3389</v>
      </c>
      <c r="B1886" s="3">
        <v>12</v>
      </c>
      <c r="C1886" s="5">
        <v>100</v>
      </c>
      <c r="D1886" s="6">
        <v>0</v>
      </c>
      <c r="E1886" s="7">
        <v>709650</v>
      </c>
      <c r="F1886" s="3">
        <v>56200</v>
      </c>
      <c r="G1886" s="3" t="str">
        <f t="shared" si="29"/>
        <v>5</v>
      </c>
      <c r="H1886" s="3" t="s">
        <v>3390</v>
      </c>
      <c r="I1886" s="8">
        <v>0</v>
      </c>
      <c r="J1886" s="8">
        <v>0</v>
      </c>
      <c r="K1886" s="8">
        <v>0</v>
      </c>
    </row>
    <row r="1887" spans="1:11" hidden="1" x14ac:dyDescent="0.25">
      <c r="A1887" s="3" t="s">
        <v>3391</v>
      </c>
      <c r="B1887" s="3">
        <v>12</v>
      </c>
      <c r="C1887" s="5">
        <v>100</v>
      </c>
      <c r="D1887" s="6">
        <v>0</v>
      </c>
      <c r="E1887" s="7">
        <v>709650</v>
      </c>
      <c r="F1887" s="3">
        <v>56300</v>
      </c>
      <c r="G1887" s="3" t="str">
        <f t="shared" si="29"/>
        <v>5</v>
      </c>
      <c r="H1887" s="3" t="s">
        <v>3392</v>
      </c>
      <c r="I1887" s="8">
        <v>334232.5</v>
      </c>
      <c r="J1887" s="8">
        <v>4104.32</v>
      </c>
      <c r="K1887" s="8">
        <v>334232.5</v>
      </c>
    </row>
    <row r="1888" spans="1:11" hidden="1" x14ac:dyDescent="0.25">
      <c r="A1888" s="3" t="s">
        <v>3393</v>
      </c>
      <c r="B1888" s="3">
        <v>12</v>
      </c>
      <c r="C1888" s="5">
        <v>100</v>
      </c>
      <c r="D1888" s="6">
        <v>0</v>
      </c>
      <c r="E1888" s="7">
        <v>709650</v>
      </c>
      <c r="F1888" s="3">
        <v>56400</v>
      </c>
      <c r="G1888" s="3" t="str">
        <f t="shared" si="29"/>
        <v>5</v>
      </c>
      <c r="H1888" s="3" t="s">
        <v>3394</v>
      </c>
      <c r="I1888" s="8">
        <v>8828.32</v>
      </c>
      <c r="J1888" s="8">
        <v>0</v>
      </c>
      <c r="K1888" s="8">
        <v>8828.32</v>
      </c>
    </row>
    <row r="1889" spans="1:11" hidden="1" x14ac:dyDescent="0.25">
      <c r="A1889" s="3" t="s">
        <v>3395</v>
      </c>
      <c r="B1889" s="3">
        <v>12</v>
      </c>
      <c r="C1889" s="5">
        <v>120</v>
      </c>
      <c r="D1889" s="6">
        <v>2</v>
      </c>
      <c r="E1889" s="7">
        <v>706140</v>
      </c>
      <c r="F1889" s="3">
        <v>48690</v>
      </c>
      <c r="G1889" s="3" t="str">
        <f t="shared" si="29"/>
        <v>4</v>
      </c>
      <c r="H1889" s="3" t="s">
        <v>3396</v>
      </c>
      <c r="I1889" s="8">
        <v>-53681.47</v>
      </c>
      <c r="J1889" s="8">
        <v>0</v>
      </c>
      <c r="K1889" s="8">
        <v>-53681.47</v>
      </c>
    </row>
    <row r="1890" spans="1:11" hidden="1" x14ac:dyDescent="0.25">
      <c r="A1890" s="3" t="s">
        <v>3397</v>
      </c>
      <c r="B1890" s="3">
        <v>12</v>
      </c>
      <c r="C1890" s="5">
        <v>120</v>
      </c>
      <c r="D1890" s="6">
        <v>2</v>
      </c>
      <c r="E1890" s="7">
        <v>706140</v>
      </c>
      <c r="F1890" s="3">
        <v>52360</v>
      </c>
      <c r="G1890" s="3" t="str">
        <f t="shared" si="29"/>
        <v>5</v>
      </c>
      <c r="H1890" s="3" t="s">
        <v>3398</v>
      </c>
      <c r="I1890" s="8">
        <v>29500</v>
      </c>
      <c r="J1890" s="8">
        <v>4336.8500000000004</v>
      </c>
      <c r="K1890" s="8">
        <v>29500</v>
      </c>
    </row>
    <row r="1891" spans="1:11" hidden="1" x14ac:dyDescent="0.25">
      <c r="A1891" s="3" t="s">
        <v>3399</v>
      </c>
      <c r="B1891" s="3">
        <v>12</v>
      </c>
      <c r="C1891" s="5">
        <v>120</v>
      </c>
      <c r="D1891" s="6">
        <v>2</v>
      </c>
      <c r="E1891" s="7">
        <v>706140</v>
      </c>
      <c r="F1891" s="3">
        <v>53000</v>
      </c>
      <c r="G1891" s="3" t="str">
        <f t="shared" si="29"/>
        <v>5</v>
      </c>
      <c r="H1891" s="3" t="s">
        <v>3400</v>
      </c>
      <c r="I1891" s="8">
        <v>11</v>
      </c>
      <c r="J1891" s="8">
        <v>0</v>
      </c>
      <c r="K1891" s="8">
        <v>11</v>
      </c>
    </row>
    <row r="1892" spans="1:11" hidden="1" x14ac:dyDescent="0.25">
      <c r="A1892" s="3" t="s">
        <v>3401</v>
      </c>
      <c r="B1892" s="3">
        <v>12</v>
      </c>
      <c r="C1892" s="5">
        <v>120</v>
      </c>
      <c r="D1892" s="6">
        <v>2</v>
      </c>
      <c r="E1892" s="7">
        <v>706140</v>
      </c>
      <c r="F1892" s="3">
        <v>53320</v>
      </c>
      <c r="G1892" s="3" t="str">
        <f t="shared" si="29"/>
        <v>5</v>
      </c>
      <c r="H1892" s="3" t="s">
        <v>3402</v>
      </c>
      <c r="I1892" s="8">
        <v>1829</v>
      </c>
      <c r="J1892" s="8">
        <v>268.88</v>
      </c>
      <c r="K1892" s="8">
        <v>1829</v>
      </c>
    </row>
    <row r="1893" spans="1:11" hidden="1" x14ac:dyDescent="0.25">
      <c r="A1893" s="3" t="s">
        <v>3403</v>
      </c>
      <c r="B1893" s="3">
        <v>12</v>
      </c>
      <c r="C1893" s="5">
        <v>120</v>
      </c>
      <c r="D1893" s="6">
        <v>2</v>
      </c>
      <c r="E1893" s="7">
        <v>706140</v>
      </c>
      <c r="F1893" s="3">
        <v>53340</v>
      </c>
      <c r="G1893" s="3" t="str">
        <f t="shared" si="29"/>
        <v>5</v>
      </c>
      <c r="H1893" s="3" t="s">
        <v>3404</v>
      </c>
      <c r="I1893" s="8">
        <v>428</v>
      </c>
      <c r="J1893" s="8">
        <v>62.88</v>
      </c>
      <c r="K1893" s="8">
        <v>428</v>
      </c>
    </row>
    <row r="1894" spans="1:11" hidden="1" x14ac:dyDescent="0.25">
      <c r="A1894" s="3" t="s">
        <v>3405</v>
      </c>
      <c r="B1894" s="3">
        <v>12</v>
      </c>
      <c r="C1894" s="5">
        <v>120</v>
      </c>
      <c r="D1894" s="6">
        <v>2</v>
      </c>
      <c r="E1894" s="7">
        <v>706140</v>
      </c>
      <c r="F1894" s="3">
        <v>53520</v>
      </c>
      <c r="G1894" s="3" t="str">
        <f t="shared" si="29"/>
        <v>5</v>
      </c>
      <c r="H1894" s="3" t="s">
        <v>3406</v>
      </c>
      <c r="I1894" s="8">
        <v>15</v>
      </c>
      <c r="J1894" s="8">
        <v>2.17</v>
      </c>
      <c r="K1894" s="8">
        <v>15</v>
      </c>
    </row>
    <row r="1895" spans="1:11" hidden="1" x14ac:dyDescent="0.25">
      <c r="A1895" s="3" t="s">
        <v>3407</v>
      </c>
      <c r="B1895" s="3">
        <v>12</v>
      </c>
      <c r="C1895" s="5">
        <v>120</v>
      </c>
      <c r="D1895" s="6">
        <v>2</v>
      </c>
      <c r="E1895" s="7">
        <v>706140</v>
      </c>
      <c r="F1895" s="3">
        <v>53620</v>
      </c>
      <c r="G1895" s="3" t="str">
        <f t="shared" si="29"/>
        <v>5</v>
      </c>
      <c r="H1895" s="3" t="s">
        <v>3408</v>
      </c>
      <c r="I1895" s="8">
        <v>533</v>
      </c>
      <c r="J1895" s="8">
        <v>82</v>
      </c>
      <c r="K1895" s="8">
        <v>533</v>
      </c>
    </row>
    <row r="1896" spans="1:11" hidden="1" x14ac:dyDescent="0.25">
      <c r="A1896" s="3" t="s">
        <v>3409</v>
      </c>
      <c r="B1896" s="3">
        <v>12</v>
      </c>
      <c r="C1896" s="5">
        <v>120</v>
      </c>
      <c r="D1896" s="6">
        <v>2</v>
      </c>
      <c r="E1896" s="7">
        <v>706140</v>
      </c>
      <c r="F1896" s="3">
        <v>54300</v>
      </c>
      <c r="G1896" s="3" t="str">
        <f t="shared" si="29"/>
        <v>5</v>
      </c>
      <c r="H1896" s="3" t="s">
        <v>3410</v>
      </c>
      <c r="I1896" s="8">
        <v>1269.47</v>
      </c>
      <c r="J1896" s="8">
        <v>0</v>
      </c>
      <c r="K1896" s="8">
        <v>1269.47</v>
      </c>
    </row>
    <row r="1897" spans="1:11" hidden="1" x14ac:dyDescent="0.25">
      <c r="A1897" s="3" t="s">
        <v>3411</v>
      </c>
      <c r="B1897" s="3">
        <v>12</v>
      </c>
      <c r="C1897" s="5">
        <v>120</v>
      </c>
      <c r="D1897" s="6">
        <v>2</v>
      </c>
      <c r="E1897" s="7">
        <v>706140</v>
      </c>
      <c r="F1897" s="3">
        <v>55200</v>
      </c>
      <c r="G1897" s="3" t="str">
        <f t="shared" si="29"/>
        <v>5</v>
      </c>
      <c r="H1897" s="3" t="s">
        <v>3412</v>
      </c>
      <c r="I1897" s="8">
        <v>5906</v>
      </c>
      <c r="J1897" s="8">
        <v>0</v>
      </c>
      <c r="K1897" s="8">
        <v>5906</v>
      </c>
    </row>
    <row r="1898" spans="1:11" hidden="1" x14ac:dyDescent="0.25">
      <c r="A1898" s="3" t="s">
        <v>3413</v>
      </c>
      <c r="B1898" s="3">
        <v>12</v>
      </c>
      <c r="C1898" s="5">
        <v>120</v>
      </c>
      <c r="D1898" s="6">
        <v>2</v>
      </c>
      <c r="E1898" s="7">
        <v>706140</v>
      </c>
      <c r="F1898" s="3">
        <v>55830</v>
      </c>
      <c r="G1898" s="3" t="str">
        <f t="shared" si="29"/>
        <v>5</v>
      </c>
      <c r="H1898" s="3" t="s">
        <v>3414</v>
      </c>
      <c r="I1898" s="8">
        <v>5049</v>
      </c>
      <c r="J1898" s="8">
        <v>0</v>
      </c>
      <c r="K1898" s="8">
        <v>5049</v>
      </c>
    </row>
    <row r="1899" spans="1:11" hidden="1" x14ac:dyDescent="0.25">
      <c r="A1899" s="3" t="s">
        <v>3415</v>
      </c>
      <c r="B1899" s="3">
        <v>12</v>
      </c>
      <c r="C1899" s="5">
        <v>120</v>
      </c>
      <c r="D1899" s="6">
        <v>2</v>
      </c>
      <c r="E1899" s="7">
        <v>706140</v>
      </c>
      <c r="F1899" s="3">
        <v>56400</v>
      </c>
      <c r="G1899" s="3" t="str">
        <f t="shared" si="29"/>
        <v>5</v>
      </c>
      <c r="H1899" s="3" t="s">
        <v>3416</v>
      </c>
      <c r="I1899" s="8">
        <v>8312</v>
      </c>
      <c r="J1899" s="8">
        <v>0</v>
      </c>
      <c r="K1899" s="8">
        <v>8312</v>
      </c>
    </row>
    <row r="1900" spans="1:11" hidden="1" x14ac:dyDescent="0.25">
      <c r="A1900" s="3" t="s">
        <v>3417</v>
      </c>
      <c r="B1900" s="3">
        <v>12</v>
      </c>
      <c r="C1900" s="5">
        <v>120</v>
      </c>
      <c r="D1900" s="6">
        <v>2</v>
      </c>
      <c r="E1900" s="7">
        <v>706140</v>
      </c>
      <c r="F1900" s="3">
        <v>56402</v>
      </c>
      <c r="G1900" s="3" t="str">
        <f t="shared" si="29"/>
        <v>5</v>
      </c>
      <c r="H1900" s="3" t="s">
        <v>3418</v>
      </c>
      <c r="I1900" s="8">
        <v>829</v>
      </c>
      <c r="J1900" s="8">
        <v>0</v>
      </c>
      <c r="K1900" s="8">
        <v>829</v>
      </c>
    </row>
    <row r="1901" spans="1:11" hidden="1" x14ac:dyDescent="0.25">
      <c r="A1901" s="3" t="s">
        <v>3419</v>
      </c>
      <c r="B1901" s="3">
        <v>12</v>
      </c>
      <c r="C1901" s="5">
        <v>140</v>
      </c>
      <c r="D1901" s="6">
        <v>0</v>
      </c>
      <c r="E1901" s="7">
        <v>760000</v>
      </c>
      <c r="F1901" s="3">
        <v>48890</v>
      </c>
      <c r="G1901" s="3" t="str">
        <f t="shared" si="29"/>
        <v>4</v>
      </c>
      <c r="H1901" s="3" t="s">
        <v>3420</v>
      </c>
      <c r="I1901" s="8">
        <v>-2991</v>
      </c>
      <c r="J1901" s="8">
        <v>0</v>
      </c>
      <c r="K1901" s="8">
        <v>-2991</v>
      </c>
    </row>
    <row r="1902" spans="1:11" hidden="1" x14ac:dyDescent="0.25">
      <c r="A1902" s="3" t="s">
        <v>3421</v>
      </c>
      <c r="B1902" s="3">
        <v>12</v>
      </c>
      <c r="C1902" s="5">
        <v>140</v>
      </c>
      <c r="D1902" s="6">
        <v>0</v>
      </c>
      <c r="E1902" s="7">
        <v>760000</v>
      </c>
      <c r="F1902" s="3">
        <v>51412</v>
      </c>
      <c r="G1902" s="3" t="str">
        <f t="shared" si="29"/>
        <v>5</v>
      </c>
      <c r="H1902" s="3" t="s">
        <v>3422</v>
      </c>
      <c r="I1902" s="8">
        <v>2500</v>
      </c>
      <c r="J1902" s="8">
        <v>0</v>
      </c>
      <c r="K1902" s="8">
        <v>2500</v>
      </c>
    </row>
    <row r="1903" spans="1:11" hidden="1" x14ac:dyDescent="0.25">
      <c r="A1903" s="3" t="s">
        <v>3423</v>
      </c>
      <c r="B1903" s="3">
        <v>12</v>
      </c>
      <c r="C1903" s="5">
        <v>140</v>
      </c>
      <c r="D1903" s="6">
        <v>0</v>
      </c>
      <c r="E1903" s="7">
        <v>760000</v>
      </c>
      <c r="F1903" s="3">
        <v>53120</v>
      </c>
      <c r="G1903" s="3" t="str">
        <f t="shared" si="29"/>
        <v>5</v>
      </c>
      <c r="H1903" s="3" t="s">
        <v>3424</v>
      </c>
      <c r="I1903" s="8">
        <v>404</v>
      </c>
      <c r="J1903" s="8">
        <v>0</v>
      </c>
      <c r="K1903" s="8">
        <v>404</v>
      </c>
    </row>
    <row r="1904" spans="1:11" hidden="1" x14ac:dyDescent="0.25">
      <c r="A1904" s="3" t="s">
        <v>3425</v>
      </c>
      <c r="B1904" s="3">
        <v>12</v>
      </c>
      <c r="C1904" s="5">
        <v>140</v>
      </c>
      <c r="D1904" s="6">
        <v>0</v>
      </c>
      <c r="E1904" s="7">
        <v>760000</v>
      </c>
      <c r="F1904" s="3">
        <v>53340</v>
      </c>
      <c r="G1904" s="3" t="str">
        <f t="shared" si="29"/>
        <v>5</v>
      </c>
      <c r="H1904" s="3" t="s">
        <v>3426</v>
      </c>
      <c r="I1904" s="8">
        <v>37</v>
      </c>
      <c r="J1904" s="8">
        <v>0</v>
      </c>
      <c r="K1904" s="8">
        <v>37</v>
      </c>
    </row>
    <row r="1905" spans="1:11" hidden="1" x14ac:dyDescent="0.25">
      <c r="A1905" s="3" t="s">
        <v>3427</v>
      </c>
      <c r="B1905" s="3">
        <v>12</v>
      </c>
      <c r="C1905" s="5">
        <v>140</v>
      </c>
      <c r="D1905" s="6">
        <v>0</v>
      </c>
      <c r="E1905" s="7">
        <v>760000</v>
      </c>
      <c r="F1905" s="3">
        <v>53520</v>
      </c>
      <c r="G1905" s="3" t="str">
        <f t="shared" si="29"/>
        <v>5</v>
      </c>
      <c r="H1905" s="3" t="s">
        <v>3428</v>
      </c>
      <c r="I1905" s="8">
        <v>2</v>
      </c>
      <c r="J1905" s="8">
        <v>0</v>
      </c>
      <c r="K1905" s="8">
        <v>2</v>
      </c>
    </row>
    <row r="1906" spans="1:11" hidden="1" x14ac:dyDescent="0.25">
      <c r="A1906" s="3" t="s">
        <v>3429</v>
      </c>
      <c r="B1906" s="3">
        <v>12</v>
      </c>
      <c r="C1906" s="5">
        <v>140</v>
      </c>
      <c r="D1906" s="6">
        <v>0</v>
      </c>
      <c r="E1906" s="7">
        <v>760000</v>
      </c>
      <c r="F1906" s="3">
        <v>53620</v>
      </c>
      <c r="G1906" s="3" t="str">
        <f t="shared" si="29"/>
        <v>5</v>
      </c>
      <c r="H1906" s="3" t="s">
        <v>3430</v>
      </c>
      <c r="I1906" s="8">
        <v>48</v>
      </c>
      <c r="J1906" s="8">
        <v>0</v>
      </c>
      <c r="K1906" s="8">
        <v>48</v>
      </c>
    </row>
    <row r="1907" spans="1:11" hidden="1" x14ac:dyDescent="0.25">
      <c r="A1907" s="3" t="s">
        <v>3431</v>
      </c>
      <c r="B1907" s="3">
        <v>12</v>
      </c>
      <c r="C1907" s="5">
        <v>140</v>
      </c>
      <c r="D1907" s="6">
        <v>0</v>
      </c>
      <c r="E1907" s="7">
        <v>760005</v>
      </c>
      <c r="F1907" s="3">
        <v>52105</v>
      </c>
      <c r="G1907" s="3" t="str">
        <f t="shared" si="29"/>
        <v>5</v>
      </c>
      <c r="H1907" s="3" t="s">
        <v>3432</v>
      </c>
      <c r="I1907" s="8">
        <v>0</v>
      </c>
      <c r="J1907" s="8">
        <v>1638.4</v>
      </c>
      <c r="K1907" s="8">
        <v>0</v>
      </c>
    </row>
    <row r="1908" spans="1:11" hidden="1" x14ac:dyDescent="0.25">
      <c r="A1908" s="3" t="s">
        <v>3433</v>
      </c>
      <c r="B1908" s="3">
        <v>12</v>
      </c>
      <c r="C1908" s="5">
        <v>140</v>
      </c>
      <c r="D1908" s="6">
        <v>0</v>
      </c>
      <c r="E1908" s="7">
        <v>760005</v>
      </c>
      <c r="F1908" s="3">
        <v>53220</v>
      </c>
      <c r="G1908" s="3" t="str">
        <f t="shared" si="29"/>
        <v>5</v>
      </c>
      <c r="H1908" s="3" t="s">
        <v>3434</v>
      </c>
      <c r="I1908" s="8">
        <v>0</v>
      </c>
      <c r="J1908" s="8">
        <v>323.11</v>
      </c>
      <c r="K1908" s="8">
        <v>0</v>
      </c>
    </row>
    <row r="1909" spans="1:11" hidden="1" x14ac:dyDescent="0.25">
      <c r="A1909" s="3" t="s">
        <v>3435</v>
      </c>
      <c r="B1909" s="3">
        <v>12</v>
      </c>
      <c r="C1909" s="5">
        <v>140</v>
      </c>
      <c r="D1909" s="6">
        <v>0</v>
      </c>
      <c r="E1909" s="7">
        <v>760005</v>
      </c>
      <c r="F1909" s="3">
        <v>53320</v>
      </c>
      <c r="G1909" s="3" t="str">
        <f t="shared" si="29"/>
        <v>5</v>
      </c>
      <c r="H1909" s="3" t="s">
        <v>3436</v>
      </c>
      <c r="I1909" s="8">
        <v>0</v>
      </c>
      <c r="J1909" s="8">
        <v>101.6</v>
      </c>
      <c r="K1909" s="8">
        <v>0</v>
      </c>
    </row>
    <row r="1910" spans="1:11" hidden="1" x14ac:dyDescent="0.25">
      <c r="A1910" s="3" t="s">
        <v>3437</v>
      </c>
      <c r="B1910" s="3">
        <v>12</v>
      </c>
      <c r="C1910" s="5">
        <v>140</v>
      </c>
      <c r="D1910" s="6">
        <v>0</v>
      </c>
      <c r="E1910" s="7">
        <v>760005</v>
      </c>
      <c r="F1910" s="3">
        <v>53340</v>
      </c>
      <c r="G1910" s="3" t="str">
        <f t="shared" si="29"/>
        <v>5</v>
      </c>
      <c r="H1910" s="3" t="s">
        <v>3438</v>
      </c>
      <c r="I1910" s="8">
        <v>0</v>
      </c>
      <c r="J1910" s="8">
        <v>23.74</v>
      </c>
      <c r="K1910" s="8">
        <v>0</v>
      </c>
    </row>
    <row r="1911" spans="1:11" hidden="1" x14ac:dyDescent="0.25">
      <c r="A1911" s="3" t="s">
        <v>3439</v>
      </c>
      <c r="B1911" s="3">
        <v>12</v>
      </c>
      <c r="C1911" s="5">
        <v>140</v>
      </c>
      <c r="D1911" s="6">
        <v>0</v>
      </c>
      <c r="E1911" s="7">
        <v>760005</v>
      </c>
      <c r="F1911" s="3">
        <v>53520</v>
      </c>
      <c r="G1911" s="3" t="str">
        <f t="shared" si="29"/>
        <v>5</v>
      </c>
      <c r="H1911" s="3" t="s">
        <v>3440</v>
      </c>
      <c r="I1911" s="8">
        <v>0</v>
      </c>
      <c r="J1911" s="8">
        <v>0.82</v>
      </c>
      <c r="K1911" s="8">
        <v>0</v>
      </c>
    </row>
    <row r="1912" spans="1:11" hidden="1" x14ac:dyDescent="0.25">
      <c r="A1912" s="3" t="s">
        <v>3441</v>
      </c>
      <c r="B1912" s="3">
        <v>12</v>
      </c>
      <c r="C1912" s="5">
        <v>140</v>
      </c>
      <c r="D1912" s="6">
        <v>0</v>
      </c>
      <c r="E1912" s="7">
        <v>760005</v>
      </c>
      <c r="F1912" s="3">
        <v>53620</v>
      </c>
      <c r="G1912" s="3" t="str">
        <f t="shared" si="29"/>
        <v>5</v>
      </c>
      <c r="H1912" s="3" t="s">
        <v>3442</v>
      </c>
      <c r="I1912" s="8">
        <v>0</v>
      </c>
      <c r="J1912" s="8">
        <v>30.97</v>
      </c>
      <c r="K1912" s="8">
        <v>0</v>
      </c>
    </row>
    <row r="1913" spans="1:11" hidden="1" x14ac:dyDescent="0.25">
      <c r="A1913" s="3" t="s">
        <v>3443</v>
      </c>
      <c r="B1913" s="3">
        <v>12</v>
      </c>
      <c r="C1913" s="5">
        <v>140</v>
      </c>
      <c r="D1913" s="6">
        <v>0</v>
      </c>
      <c r="E1913" s="7">
        <v>760005</v>
      </c>
      <c r="F1913" s="3">
        <v>55630</v>
      </c>
      <c r="G1913" s="3" t="str">
        <f t="shared" si="29"/>
        <v>5</v>
      </c>
      <c r="H1913" s="3" t="s">
        <v>3444</v>
      </c>
      <c r="I1913" s="8">
        <v>0</v>
      </c>
      <c r="J1913" s="8">
        <v>58.27</v>
      </c>
      <c r="K1913" s="8">
        <v>0</v>
      </c>
    </row>
    <row r="1914" spans="1:11" hidden="1" x14ac:dyDescent="0.25">
      <c r="A1914" s="3" t="s">
        <v>3445</v>
      </c>
      <c r="B1914" s="3">
        <v>12</v>
      </c>
      <c r="C1914" s="5">
        <v>140</v>
      </c>
      <c r="D1914" s="6">
        <v>0</v>
      </c>
      <c r="E1914" s="7">
        <v>760045</v>
      </c>
      <c r="F1914" s="3">
        <v>48890</v>
      </c>
      <c r="G1914" s="3" t="str">
        <f t="shared" si="29"/>
        <v>4</v>
      </c>
      <c r="H1914" s="3" t="s">
        <v>3446</v>
      </c>
      <c r="I1914" s="8">
        <v>-208240.3</v>
      </c>
      <c r="J1914" s="8">
        <v>-71541.31</v>
      </c>
      <c r="K1914" s="8">
        <v>-208240.3</v>
      </c>
    </row>
    <row r="1915" spans="1:11" hidden="1" x14ac:dyDescent="0.25">
      <c r="A1915" s="3" t="s">
        <v>3447</v>
      </c>
      <c r="B1915" s="3">
        <v>12</v>
      </c>
      <c r="C1915" s="5">
        <v>140</v>
      </c>
      <c r="D1915" s="6">
        <v>0</v>
      </c>
      <c r="E1915" s="7">
        <v>760045</v>
      </c>
      <c r="F1915" s="3">
        <v>52130</v>
      </c>
      <c r="G1915" s="3" t="str">
        <f t="shared" si="29"/>
        <v>5</v>
      </c>
      <c r="H1915" s="3" t="s">
        <v>3448</v>
      </c>
      <c r="I1915" s="8">
        <v>94832</v>
      </c>
      <c r="J1915" s="8">
        <v>71124.75</v>
      </c>
      <c r="K1915" s="8">
        <v>94832</v>
      </c>
    </row>
    <row r="1916" spans="1:11" hidden="1" x14ac:dyDescent="0.25">
      <c r="A1916" s="3" t="s">
        <v>3449</v>
      </c>
      <c r="B1916" s="3">
        <v>12</v>
      </c>
      <c r="C1916" s="5">
        <v>140</v>
      </c>
      <c r="D1916" s="6">
        <v>0</v>
      </c>
      <c r="E1916" s="7">
        <v>760045</v>
      </c>
      <c r="F1916" s="3">
        <v>53220</v>
      </c>
      <c r="G1916" s="3" t="str">
        <f t="shared" si="29"/>
        <v>5</v>
      </c>
      <c r="H1916" s="3" t="s">
        <v>3450</v>
      </c>
      <c r="I1916" s="8">
        <v>19630</v>
      </c>
      <c r="J1916" s="8">
        <v>14722.83</v>
      </c>
      <c r="K1916" s="8">
        <v>19630</v>
      </c>
    </row>
    <row r="1917" spans="1:11" hidden="1" x14ac:dyDescent="0.25">
      <c r="A1917" s="3" t="s">
        <v>3451</v>
      </c>
      <c r="B1917" s="3">
        <v>12</v>
      </c>
      <c r="C1917" s="5">
        <v>140</v>
      </c>
      <c r="D1917" s="6">
        <v>0</v>
      </c>
      <c r="E1917" s="7">
        <v>760045</v>
      </c>
      <c r="F1917" s="3">
        <v>53320</v>
      </c>
      <c r="G1917" s="3" t="str">
        <f t="shared" si="29"/>
        <v>5</v>
      </c>
      <c r="H1917" s="3" t="s">
        <v>3452</v>
      </c>
      <c r="I1917" s="8">
        <v>5880</v>
      </c>
      <c r="J1917" s="8">
        <v>4411.58</v>
      </c>
      <c r="K1917" s="8">
        <v>5880</v>
      </c>
    </row>
    <row r="1918" spans="1:11" hidden="1" x14ac:dyDescent="0.25">
      <c r="A1918" s="3" t="s">
        <v>3453</v>
      </c>
      <c r="B1918" s="3">
        <v>12</v>
      </c>
      <c r="C1918" s="5">
        <v>140</v>
      </c>
      <c r="D1918" s="6">
        <v>0</v>
      </c>
      <c r="E1918" s="7">
        <v>760045</v>
      </c>
      <c r="F1918" s="3">
        <v>53340</v>
      </c>
      <c r="G1918" s="3" t="str">
        <f t="shared" si="29"/>
        <v>5</v>
      </c>
      <c r="H1918" s="3" t="s">
        <v>3454</v>
      </c>
      <c r="I1918" s="8">
        <v>1375</v>
      </c>
      <c r="J1918" s="8">
        <v>1031.74</v>
      </c>
      <c r="K1918" s="8">
        <v>1375</v>
      </c>
    </row>
    <row r="1919" spans="1:11" hidden="1" x14ac:dyDescent="0.25">
      <c r="A1919" s="3" t="s">
        <v>3455</v>
      </c>
      <c r="B1919" s="3">
        <v>12</v>
      </c>
      <c r="C1919" s="5">
        <v>140</v>
      </c>
      <c r="D1919" s="6">
        <v>0</v>
      </c>
      <c r="E1919" s="7">
        <v>760045</v>
      </c>
      <c r="F1919" s="3">
        <v>53420</v>
      </c>
      <c r="G1919" s="3" t="str">
        <f t="shared" si="29"/>
        <v>5</v>
      </c>
      <c r="H1919" s="3" t="s">
        <v>3456</v>
      </c>
      <c r="I1919" s="8">
        <v>13142</v>
      </c>
      <c r="J1919" s="8">
        <v>9613.09</v>
      </c>
      <c r="K1919" s="8">
        <v>13142</v>
      </c>
    </row>
    <row r="1920" spans="1:11" hidden="1" x14ac:dyDescent="0.25">
      <c r="A1920" s="3" t="s">
        <v>3457</v>
      </c>
      <c r="B1920" s="3">
        <v>12</v>
      </c>
      <c r="C1920" s="5">
        <v>140</v>
      </c>
      <c r="D1920" s="6">
        <v>0</v>
      </c>
      <c r="E1920" s="7">
        <v>760045</v>
      </c>
      <c r="F1920" s="3">
        <v>53520</v>
      </c>
      <c r="G1920" s="3" t="str">
        <f t="shared" si="29"/>
        <v>5</v>
      </c>
      <c r="H1920" s="3" t="s">
        <v>3458</v>
      </c>
      <c r="I1920" s="8">
        <v>47</v>
      </c>
      <c r="J1920" s="8">
        <v>35.549999999999997</v>
      </c>
      <c r="K1920" s="8">
        <v>47</v>
      </c>
    </row>
    <row r="1921" spans="1:11" hidden="1" x14ac:dyDescent="0.25">
      <c r="A1921" s="3" t="s">
        <v>3459</v>
      </c>
      <c r="B1921" s="3">
        <v>12</v>
      </c>
      <c r="C1921" s="5">
        <v>140</v>
      </c>
      <c r="D1921" s="6">
        <v>0</v>
      </c>
      <c r="E1921" s="7">
        <v>760045</v>
      </c>
      <c r="F1921" s="3">
        <v>53620</v>
      </c>
      <c r="G1921" s="3" t="str">
        <f t="shared" si="29"/>
        <v>5</v>
      </c>
      <c r="H1921" s="3" t="s">
        <v>3460</v>
      </c>
      <c r="I1921" s="8">
        <v>1793</v>
      </c>
      <c r="J1921" s="8">
        <v>1344.87</v>
      </c>
      <c r="K1921" s="8">
        <v>1793</v>
      </c>
    </row>
    <row r="1922" spans="1:11" hidden="1" x14ac:dyDescent="0.25">
      <c r="A1922" s="3" t="s">
        <v>3461</v>
      </c>
      <c r="B1922" s="3">
        <v>12</v>
      </c>
      <c r="C1922" s="5">
        <v>140</v>
      </c>
      <c r="D1922" s="6">
        <v>0</v>
      </c>
      <c r="E1922" s="7">
        <v>760045</v>
      </c>
      <c r="F1922" s="3">
        <v>54210</v>
      </c>
      <c r="G1922" s="3" t="str">
        <f t="shared" si="29"/>
        <v>5</v>
      </c>
      <c r="H1922" s="3" t="s">
        <v>3462</v>
      </c>
      <c r="I1922" s="8">
        <v>400</v>
      </c>
      <c r="J1922" s="8">
        <v>0</v>
      </c>
      <c r="K1922" s="8">
        <v>400</v>
      </c>
    </row>
    <row r="1923" spans="1:11" hidden="1" x14ac:dyDescent="0.25">
      <c r="A1923" s="3" t="s">
        <v>3463</v>
      </c>
      <c r="B1923" s="3">
        <v>12</v>
      </c>
      <c r="C1923" s="5">
        <v>140</v>
      </c>
      <c r="D1923" s="6">
        <v>0</v>
      </c>
      <c r="E1923" s="7">
        <v>760045</v>
      </c>
      <c r="F1923" s="3">
        <v>55100</v>
      </c>
      <c r="G1923" s="3" t="str">
        <f t="shared" ref="G1923:G1986" si="30">LEFT(F1923,1)</f>
        <v>5</v>
      </c>
      <c r="H1923" s="3" t="s">
        <v>3464</v>
      </c>
      <c r="I1923" s="8">
        <v>10000</v>
      </c>
      <c r="J1923" s="8">
        <v>3112.5</v>
      </c>
      <c r="K1923" s="8">
        <v>10000</v>
      </c>
    </row>
    <row r="1924" spans="1:11" hidden="1" x14ac:dyDescent="0.25">
      <c r="A1924" s="3" t="s">
        <v>3465</v>
      </c>
      <c r="B1924" s="3">
        <v>12</v>
      </c>
      <c r="C1924" s="5">
        <v>140</v>
      </c>
      <c r="D1924" s="6">
        <v>0</v>
      </c>
      <c r="E1924" s="7">
        <v>760045</v>
      </c>
      <c r="F1924" s="3">
        <v>55200</v>
      </c>
      <c r="G1924" s="3" t="str">
        <f t="shared" si="30"/>
        <v>5</v>
      </c>
      <c r="H1924" s="3" t="s">
        <v>3466</v>
      </c>
      <c r="I1924" s="8">
        <v>500</v>
      </c>
      <c r="J1924" s="8">
        <v>0</v>
      </c>
      <c r="K1924" s="8">
        <v>500</v>
      </c>
    </row>
    <row r="1925" spans="1:11" hidden="1" x14ac:dyDescent="0.25">
      <c r="A1925" s="3" t="s">
        <v>3467</v>
      </c>
      <c r="B1925" s="3">
        <v>12</v>
      </c>
      <c r="C1925" s="5">
        <v>140</v>
      </c>
      <c r="D1925" s="6">
        <v>0</v>
      </c>
      <c r="E1925" s="7">
        <v>760045</v>
      </c>
      <c r="F1925" s="3">
        <v>55630</v>
      </c>
      <c r="G1925" s="3" t="str">
        <f t="shared" si="30"/>
        <v>5</v>
      </c>
      <c r="H1925" s="3" t="s">
        <v>3468</v>
      </c>
      <c r="I1925" s="8">
        <v>400</v>
      </c>
      <c r="J1925" s="8">
        <v>0</v>
      </c>
      <c r="K1925" s="8">
        <v>400</v>
      </c>
    </row>
    <row r="1926" spans="1:11" hidden="1" x14ac:dyDescent="0.25">
      <c r="A1926" s="3" t="s">
        <v>3469</v>
      </c>
      <c r="B1926" s="3">
        <v>12</v>
      </c>
      <c r="C1926" s="5">
        <v>140</v>
      </c>
      <c r="D1926" s="6">
        <v>0</v>
      </c>
      <c r="E1926" s="7">
        <v>760045</v>
      </c>
      <c r="F1926" s="3">
        <v>55800</v>
      </c>
      <c r="G1926" s="3" t="str">
        <f t="shared" si="30"/>
        <v>5</v>
      </c>
      <c r="H1926" s="3" t="s">
        <v>3470</v>
      </c>
      <c r="I1926" s="8">
        <v>60241.3</v>
      </c>
      <c r="J1926" s="8">
        <v>0</v>
      </c>
      <c r="K1926" s="8">
        <v>60241.3</v>
      </c>
    </row>
    <row r="1927" spans="1:11" hidden="1" x14ac:dyDescent="0.25">
      <c r="A1927" s="3" t="s">
        <v>3471</v>
      </c>
      <c r="B1927" s="3">
        <v>12</v>
      </c>
      <c r="C1927" s="5">
        <v>150</v>
      </c>
      <c r="D1927" s="6">
        <v>0</v>
      </c>
      <c r="E1927" s="7">
        <v>679030</v>
      </c>
      <c r="F1927" s="3">
        <v>48690</v>
      </c>
      <c r="G1927" s="3" t="str">
        <f t="shared" si="30"/>
        <v>4</v>
      </c>
      <c r="H1927" s="3" t="s">
        <v>3472</v>
      </c>
      <c r="I1927" s="8">
        <v>-200000</v>
      </c>
      <c r="J1927" s="8">
        <v>-200000</v>
      </c>
      <c r="K1927" s="8">
        <v>-200000</v>
      </c>
    </row>
    <row r="1928" spans="1:11" hidden="1" x14ac:dyDescent="0.25">
      <c r="A1928" s="3" t="s">
        <v>3473</v>
      </c>
      <c r="B1928" s="3">
        <v>12</v>
      </c>
      <c r="C1928" s="5">
        <v>150</v>
      </c>
      <c r="D1928" s="6">
        <v>0</v>
      </c>
      <c r="E1928" s="7">
        <v>679030</v>
      </c>
      <c r="F1928" s="3">
        <v>51310</v>
      </c>
      <c r="G1928" s="3" t="str">
        <f t="shared" si="30"/>
        <v>5</v>
      </c>
      <c r="H1928" s="3" t="s">
        <v>3474</v>
      </c>
      <c r="I1928" s="8">
        <v>66650</v>
      </c>
      <c r="J1928" s="8">
        <v>0</v>
      </c>
      <c r="K1928" s="8">
        <v>66650</v>
      </c>
    </row>
    <row r="1929" spans="1:11" hidden="1" x14ac:dyDescent="0.25">
      <c r="A1929" s="3" t="s">
        <v>3475</v>
      </c>
      <c r="B1929" s="3">
        <v>12</v>
      </c>
      <c r="C1929" s="5">
        <v>150</v>
      </c>
      <c r="D1929" s="6">
        <v>0</v>
      </c>
      <c r="E1929" s="7">
        <v>679030</v>
      </c>
      <c r="F1929" s="3">
        <v>51412</v>
      </c>
      <c r="G1929" s="3" t="str">
        <f t="shared" si="30"/>
        <v>5</v>
      </c>
      <c r="H1929" s="3" t="s">
        <v>3476</v>
      </c>
      <c r="I1929" s="8">
        <v>13650</v>
      </c>
      <c r="J1929" s="8">
        <v>0</v>
      </c>
      <c r="K1929" s="8">
        <v>13650</v>
      </c>
    </row>
    <row r="1930" spans="1:11" hidden="1" x14ac:dyDescent="0.25">
      <c r="A1930" s="3" t="s">
        <v>3477</v>
      </c>
      <c r="B1930" s="3">
        <v>12</v>
      </c>
      <c r="C1930" s="5">
        <v>150</v>
      </c>
      <c r="D1930" s="6">
        <v>0</v>
      </c>
      <c r="E1930" s="7">
        <v>679030</v>
      </c>
      <c r="F1930" s="3">
        <v>53000</v>
      </c>
      <c r="G1930" s="3" t="str">
        <f t="shared" si="30"/>
        <v>5</v>
      </c>
      <c r="H1930" s="3" t="s">
        <v>3478</v>
      </c>
      <c r="I1930" s="8">
        <v>15700</v>
      </c>
      <c r="J1930" s="8">
        <v>0</v>
      </c>
      <c r="K1930" s="8">
        <v>15700</v>
      </c>
    </row>
    <row r="1931" spans="1:11" hidden="1" x14ac:dyDescent="0.25">
      <c r="A1931" s="3" t="s">
        <v>3479</v>
      </c>
      <c r="B1931" s="3">
        <v>12</v>
      </c>
      <c r="C1931" s="5">
        <v>150</v>
      </c>
      <c r="D1931" s="6">
        <v>0</v>
      </c>
      <c r="E1931" s="7">
        <v>679030</v>
      </c>
      <c r="F1931" s="3">
        <v>54300</v>
      </c>
      <c r="G1931" s="3" t="str">
        <f t="shared" si="30"/>
        <v>5</v>
      </c>
      <c r="H1931" s="3" t="s">
        <v>3480</v>
      </c>
      <c r="I1931" s="8">
        <v>9000</v>
      </c>
      <c r="J1931" s="8">
        <v>0</v>
      </c>
      <c r="K1931" s="8">
        <v>9000</v>
      </c>
    </row>
    <row r="1932" spans="1:11" hidden="1" x14ac:dyDescent="0.25">
      <c r="A1932" s="3" t="s">
        <v>3481</v>
      </c>
      <c r="B1932" s="3">
        <v>12</v>
      </c>
      <c r="C1932" s="5">
        <v>150</v>
      </c>
      <c r="D1932" s="6">
        <v>0</v>
      </c>
      <c r="E1932" s="7">
        <v>679030</v>
      </c>
      <c r="F1932" s="3">
        <v>55800</v>
      </c>
      <c r="G1932" s="3" t="str">
        <f t="shared" si="30"/>
        <v>5</v>
      </c>
      <c r="H1932" s="3" t="s">
        <v>3482</v>
      </c>
      <c r="I1932" s="8">
        <v>50000</v>
      </c>
      <c r="J1932" s="8">
        <v>0</v>
      </c>
      <c r="K1932" s="8">
        <v>50000</v>
      </c>
    </row>
    <row r="1933" spans="1:11" hidden="1" x14ac:dyDescent="0.25">
      <c r="A1933" s="3" t="s">
        <v>3483</v>
      </c>
      <c r="B1933" s="3">
        <v>12</v>
      </c>
      <c r="C1933" s="5">
        <v>150</v>
      </c>
      <c r="D1933" s="6">
        <v>0</v>
      </c>
      <c r="E1933" s="7">
        <v>679030</v>
      </c>
      <c r="F1933" s="3">
        <v>56405</v>
      </c>
      <c r="G1933" s="3" t="str">
        <f t="shared" si="30"/>
        <v>5</v>
      </c>
      <c r="H1933" s="3" t="s">
        <v>3484</v>
      </c>
      <c r="I1933" s="8">
        <v>45000</v>
      </c>
      <c r="J1933" s="8">
        <v>0</v>
      </c>
      <c r="K1933" s="8">
        <v>45000</v>
      </c>
    </row>
    <row r="1934" spans="1:11" hidden="1" x14ac:dyDescent="0.25">
      <c r="A1934" s="3" t="s">
        <v>3485</v>
      </c>
      <c r="B1934" s="3">
        <v>12</v>
      </c>
      <c r="C1934" s="5">
        <v>150</v>
      </c>
      <c r="D1934" s="6">
        <v>0</v>
      </c>
      <c r="E1934" s="7">
        <v>706620</v>
      </c>
      <c r="F1934" s="3">
        <v>48627</v>
      </c>
      <c r="G1934" s="3" t="str">
        <f t="shared" si="30"/>
        <v>4</v>
      </c>
      <c r="H1934" s="3" t="s">
        <v>3486</v>
      </c>
      <c r="I1934" s="8">
        <v>-302979.43</v>
      </c>
      <c r="J1934" s="8">
        <v>-273320.43</v>
      </c>
      <c r="K1934" s="8">
        <v>-302979.43</v>
      </c>
    </row>
    <row r="1935" spans="1:11" hidden="1" x14ac:dyDescent="0.25">
      <c r="A1935" s="3" t="s">
        <v>3487</v>
      </c>
      <c r="B1935" s="3">
        <v>12</v>
      </c>
      <c r="C1935" s="5">
        <v>150</v>
      </c>
      <c r="D1935" s="6">
        <v>0</v>
      </c>
      <c r="E1935" s="7">
        <v>706620</v>
      </c>
      <c r="F1935" s="3">
        <v>51200</v>
      </c>
      <c r="G1935" s="3" t="str">
        <f t="shared" si="30"/>
        <v>5</v>
      </c>
      <c r="H1935" s="3" t="s">
        <v>3488</v>
      </c>
      <c r="I1935" s="8">
        <v>19146</v>
      </c>
      <c r="J1935" s="8">
        <v>8531.19</v>
      </c>
      <c r="K1935" s="8">
        <v>19146</v>
      </c>
    </row>
    <row r="1936" spans="1:11" hidden="1" x14ac:dyDescent="0.25">
      <c r="A1936" s="3" t="s">
        <v>3489</v>
      </c>
      <c r="B1936" s="3">
        <v>12</v>
      </c>
      <c r="C1936" s="5">
        <v>150</v>
      </c>
      <c r="D1936" s="6">
        <v>0</v>
      </c>
      <c r="E1936" s="7">
        <v>706620</v>
      </c>
      <c r="F1936" s="3">
        <v>51412</v>
      </c>
      <c r="G1936" s="3" t="str">
        <f t="shared" si="30"/>
        <v>5</v>
      </c>
      <c r="H1936" s="3" t="s">
        <v>3490</v>
      </c>
      <c r="I1936" s="8">
        <v>131040</v>
      </c>
      <c r="J1936" s="8">
        <v>78282.66</v>
      </c>
      <c r="K1936" s="8">
        <v>131040</v>
      </c>
    </row>
    <row r="1937" spans="1:11" hidden="1" x14ac:dyDescent="0.25">
      <c r="A1937" s="3" t="s">
        <v>3491</v>
      </c>
      <c r="B1937" s="3">
        <v>12</v>
      </c>
      <c r="C1937" s="5">
        <v>150</v>
      </c>
      <c r="D1937" s="6">
        <v>0</v>
      </c>
      <c r="E1937" s="7">
        <v>706620</v>
      </c>
      <c r="F1937" s="3">
        <v>52360</v>
      </c>
      <c r="G1937" s="3" t="str">
        <f t="shared" si="30"/>
        <v>5</v>
      </c>
      <c r="H1937" s="3" t="s">
        <v>3492</v>
      </c>
      <c r="I1937" s="8">
        <v>30000</v>
      </c>
      <c r="J1937" s="8">
        <v>0</v>
      </c>
      <c r="K1937" s="8">
        <v>30000</v>
      </c>
    </row>
    <row r="1938" spans="1:11" hidden="1" x14ac:dyDescent="0.25">
      <c r="A1938" s="3" t="s">
        <v>3493</v>
      </c>
      <c r="B1938" s="3">
        <v>12</v>
      </c>
      <c r="C1938" s="5">
        <v>150</v>
      </c>
      <c r="D1938" s="6">
        <v>0</v>
      </c>
      <c r="E1938" s="7">
        <v>706620</v>
      </c>
      <c r="F1938" s="3">
        <v>53120</v>
      </c>
      <c r="G1938" s="3" t="str">
        <f t="shared" si="30"/>
        <v>5</v>
      </c>
      <c r="H1938" s="3" t="s">
        <v>3494</v>
      </c>
      <c r="I1938" s="8">
        <v>27634</v>
      </c>
      <c r="J1938" s="8">
        <v>12197.9</v>
      </c>
      <c r="K1938" s="8">
        <v>27634</v>
      </c>
    </row>
    <row r="1939" spans="1:11" hidden="1" x14ac:dyDescent="0.25">
      <c r="A1939" s="3" t="s">
        <v>3495</v>
      </c>
      <c r="B1939" s="3">
        <v>12</v>
      </c>
      <c r="C1939" s="5">
        <v>150</v>
      </c>
      <c r="D1939" s="6">
        <v>0</v>
      </c>
      <c r="E1939" s="7">
        <v>706620</v>
      </c>
      <c r="F1939" s="3">
        <v>53320</v>
      </c>
      <c r="G1939" s="3" t="str">
        <f t="shared" si="30"/>
        <v>5</v>
      </c>
      <c r="H1939" s="3" t="s">
        <v>3496</v>
      </c>
      <c r="I1939" s="8">
        <v>1860</v>
      </c>
      <c r="J1939" s="8">
        <v>0</v>
      </c>
      <c r="K1939" s="8">
        <v>1860</v>
      </c>
    </row>
    <row r="1940" spans="1:11" hidden="1" x14ac:dyDescent="0.25">
      <c r="A1940" s="3" t="s">
        <v>3497</v>
      </c>
      <c r="B1940" s="3">
        <v>12</v>
      </c>
      <c r="C1940" s="5">
        <v>150</v>
      </c>
      <c r="D1940" s="6">
        <v>0</v>
      </c>
      <c r="E1940" s="7">
        <v>706620</v>
      </c>
      <c r="F1940" s="3">
        <v>53340</v>
      </c>
      <c r="G1940" s="3" t="str">
        <f t="shared" si="30"/>
        <v>5</v>
      </c>
      <c r="H1940" s="3" t="s">
        <v>3498</v>
      </c>
      <c r="I1940" s="8">
        <v>2613</v>
      </c>
      <c r="J1940" s="8">
        <v>1254.83</v>
      </c>
      <c r="K1940" s="8">
        <v>2613</v>
      </c>
    </row>
    <row r="1941" spans="1:11" hidden="1" x14ac:dyDescent="0.25">
      <c r="A1941" s="3" t="s">
        <v>3499</v>
      </c>
      <c r="B1941" s="3">
        <v>12</v>
      </c>
      <c r="C1941" s="5">
        <v>150</v>
      </c>
      <c r="D1941" s="6">
        <v>0</v>
      </c>
      <c r="E1941" s="7">
        <v>706620</v>
      </c>
      <c r="F1941" s="3">
        <v>53420</v>
      </c>
      <c r="G1941" s="3" t="str">
        <f t="shared" si="30"/>
        <v>5</v>
      </c>
      <c r="H1941" s="3" t="s">
        <v>3500</v>
      </c>
      <c r="I1941" s="8">
        <v>4505</v>
      </c>
      <c r="J1941" s="8">
        <v>4048.81</v>
      </c>
      <c r="K1941" s="8">
        <v>4505</v>
      </c>
    </row>
    <row r="1942" spans="1:11" hidden="1" x14ac:dyDescent="0.25">
      <c r="A1942" s="3" t="s">
        <v>3501</v>
      </c>
      <c r="B1942" s="3">
        <v>12</v>
      </c>
      <c r="C1942" s="5">
        <v>150</v>
      </c>
      <c r="D1942" s="6">
        <v>0</v>
      </c>
      <c r="E1942" s="7">
        <v>706620</v>
      </c>
      <c r="F1942" s="3">
        <v>53520</v>
      </c>
      <c r="G1942" s="3" t="str">
        <f t="shared" si="30"/>
        <v>5</v>
      </c>
      <c r="H1942" s="3" t="s">
        <v>3502</v>
      </c>
      <c r="I1942" s="8">
        <v>90</v>
      </c>
      <c r="J1942" s="8">
        <v>43.35</v>
      </c>
      <c r="K1942" s="8">
        <v>90</v>
      </c>
    </row>
    <row r="1943" spans="1:11" hidden="1" x14ac:dyDescent="0.25">
      <c r="A1943" s="3" t="s">
        <v>3503</v>
      </c>
      <c r="B1943" s="3">
        <v>12</v>
      </c>
      <c r="C1943" s="5">
        <v>150</v>
      </c>
      <c r="D1943" s="6">
        <v>0</v>
      </c>
      <c r="E1943" s="7">
        <v>706620</v>
      </c>
      <c r="F1943" s="3">
        <v>53620</v>
      </c>
      <c r="G1943" s="3" t="str">
        <f t="shared" si="30"/>
        <v>5</v>
      </c>
      <c r="H1943" s="3" t="s">
        <v>3504</v>
      </c>
      <c r="I1943" s="8">
        <v>3255</v>
      </c>
      <c r="J1943" s="8">
        <v>1641.43</v>
      </c>
      <c r="K1943" s="8">
        <v>3255</v>
      </c>
    </row>
    <row r="1944" spans="1:11" hidden="1" x14ac:dyDescent="0.25">
      <c r="A1944" s="3" t="s">
        <v>3505</v>
      </c>
      <c r="B1944" s="3">
        <v>12</v>
      </c>
      <c r="C1944" s="5">
        <v>150</v>
      </c>
      <c r="D1944" s="6">
        <v>0</v>
      </c>
      <c r="E1944" s="7">
        <v>706620</v>
      </c>
      <c r="F1944" s="3">
        <v>53920</v>
      </c>
      <c r="G1944" s="3" t="str">
        <f t="shared" si="30"/>
        <v>5</v>
      </c>
      <c r="H1944" s="3" t="s">
        <v>3506</v>
      </c>
      <c r="I1944" s="8">
        <v>3000</v>
      </c>
      <c r="J1944" s="8">
        <v>0</v>
      </c>
      <c r="K1944" s="8">
        <v>3000</v>
      </c>
    </row>
    <row r="1945" spans="1:11" hidden="1" x14ac:dyDescent="0.25">
      <c r="A1945" s="3" t="s">
        <v>3507</v>
      </c>
      <c r="B1945" s="3">
        <v>12</v>
      </c>
      <c r="C1945" s="5">
        <v>150</v>
      </c>
      <c r="D1945" s="6">
        <v>0</v>
      </c>
      <c r="E1945" s="7">
        <v>706620</v>
      </c>
      <c r="F1945" s="3">
        <v>54210</v>
      </c>
      <c r="G1945" s="3" t="str">
        <f t="shared" si="30"/>
        <v>5</v>
      </c>
      <c r="H1945" s="3" t="s">
        <v>3508</v>
      </c>
      <c r="I1945" s="8">
        <v>3000</v>
      </c>
      <c r="J1945" s="8">
        <v>0</v>
      </c>
      <c r="K1945" s="8">
        <v>3000</v>
      </c>
    </row>
    <row r="1946" spans="1:11" hidden="1" x14ac:dyDescent="0.25">
      <c r="A1946" s="3" t="s">
        <v>3509</v>
      </c>
      <c r="B1946" s="3">
        <v>12</v>
      </c>
      <c r="C1946" s="5">
        <v>150</v>
      </c>
      <c r="D1946" s="6">
        <v>0</v>
      </c>
      <c r="E1946" s="7">
        <v>706620</v>
      </c>
      <c r="F1946" s="3">
        <v>54300</v>
      </c>
      <c r="G1946" s="3" t="str">
        <f t="shared" si="30"/>
        <v>5</v>
      </c>
      <c r="H1946" s="3" t="s">
        <v>3510</v>
      </c>
      <c r="I1946" s="8">
        <v>5000</v>
      </c>
      <c r="J1946" s="8">
        <v>0</v>
      </c>
      <c r="K1946" s="8">
        <v>5000</v>
      </c>
    </row>
    <row r="1947" spans="1:11" hidden="1" x14ac:dyDescent="0.25">
      <c r="A1947" s="3" t="s">
        <v>3511</v>
      </c>
      <c r="B1947" s="3">
        <v>12</v>
      </c>
      <c r="C1947" s="5">
        <v>150</v>
      </c>
      <c r="D1947" s="6">
        <v>0</v>
      </c>
      <c r="E1947" s="7">
        <v>706620</v>
      </c>
      <c r="F1947" s="3">
        <v>55100</v>
      </c>
      <c r="G1947" s="3" t="str">
        <f t="shared" si="30"/>
        <v>5</v>
      </c>
      <c r="H1947" s="3" t="s">
        <v>3512</v>
      </c>
      <c r="I1947" s="8">
        <v>19000</v>
      </c>
      <c r="J1947" s="8">
        <v>0</v>
      </c>
      <c r="K1947" s="8">
        <v>19000</v>
      </c>
    </row>
    <row r="1948" spans="1:11" hidden="1" x14ac:dyDescent="0.25">
      <c r="A1948" s="3" t="s">
        <v>3513</v>
      </c>
      <c r="B1948" s="3">
        <v>12</v>
      </c>
      <c r="C1948" s="5">
        <v>150</v>
      </c>
      <c r="D1948" s="6">
        <v>0</v>
      </c>
      <c r="E1948" s="7">
        <v>706620</v>
      </c>
      <c r="F1948" s="3">
        <v>55105</v>
      </c>
      <c r="G1948" s="3" t="str">
        <f t="shared" si="30"/>
        <v>5</v>
      </c>
      <c r="H1948" s="3" t="s">
        <v>3514</v>
      </c>
      <c r="I1948" s="8">
        <v>20000</v>
      </c>
      <c r="J1948" s="8">
        <v>0</v>
      </c>
      <c r="K1948" s="8">
        <v>20000</v>
      </c>
    </row>
    <row r="1949" spans="1:11" hidden="1" x14ac:dyDescent="0.25">
      <c r="A1949" s="3" t="s">
        <v>3515</v>
      </c>
      <c r="B1949" s="3">
        <v>12</v>
      </c>
      <c r="C1949" s="5">
        <v>150</v>
      </c>
      <c r="D1949" s="6">
        <v>0</v>
      </c>
      <c r="E1949" s="7">
        <v>706620</v>
      </c>
      <c r="F1949" s="3">
        <v>55200</v>
      </c>
      <c r="G1949" s="3" t="str">
        <f t="shared" si="30"/>
        <v>5</v>
      </c>
      <c r="H1949" s="3" t="s">
        <v>3516</v>
      </c>
      <c r="I1949" s="8">
        <v>10000</v>
      </c>
      <c r="J1949" s="8">
        <v>0</v>
      </c>
      <c r="K1949" s="8">
        <v>10000</v>
      </c>
    </row>
    <row r="1950" spans="1:11" hidden="1" x14ac:dyDescent="0.25">
      <c r="A1950" s="3" t="s">
        <v>3517</v>
      </c>
      <c r="B1950" s="3">
        <v>12</v>
      </c>
      <c r="C1950" s="5">
        <v>150</v>
      </c>
      <c r="D1950" s="6">
        <v>0</v>
      </c>
      <c r="E1950" s="7">
        <v>706620</v>
      </c>
      <c r="F1950" s="3">
        <v>55300</v>
      </c>
      <c r="G1950" s="3" t="str">
        <f t="shared" si="30"/>
        <v>5</v>
      </c>
      <c r="H1950" s="3" t="s">
        <v>3518</v>
      </c>
      <c r="I1950" s="8">
        <v>2000</v>
      </c>
      <c r="J1950" s="8">
        <v>0</v>
      </c>
      <c r="K1950" s="8">
        <v>2000</v>
      </c>
    </row>
    <row r="1951" spans="1:11" hidden="1" x14ac:dyDescent="0.25">
      <c r="A1951" s="3" t="s">
        <v>3519</v>
      </c>
      <c r="B1951" s="3">
        <v>12</v>
      </c>
      <c r="C1951" s="5">
        <v>150</v>
      </c>
      <c r="D1951" s="6">
        <v>0</v>
      </c>
      <c r="E1951" s="7">
        <v>706620</v>
      </c>
      <c r="F1951" s="3">
        <v>55309</v>
      </c>
      <c r="G1951" s="3" t="str">
        <f t="shared" si="30"/>
        <v>5</v>
      </c>
      <c r="H1951" s="3" t="s">
        <v>3520</v>
      </c>
      <c r="I1951" s="8">
        <v>5000</v>
      </c>
      <c r="J1951" s="8">
        <v>0</v>
      </c>
      <c r="K1951" s="8">
        <v>5000</v>
      </c>
    </row>
    <row r="1952" spans="1:11" hidden="1" x14ac:dyDescent="0.25">
      <c r="A1952" s="3" t="s">
        <v>3521</v>
      </c>
      <c r="B1952" s="3">
        <v>12</v>
      </c>
      <c r="C1952" s="5">
        <v>150</v>
      </c>
      <c r="D1952" s="6">
        <v>0</v>
      </c>
      <c r="E1952" s="7">
        <v>706620</v>
      </c>
      <c r="F1952" s="3">
        <v>55630</v>
      </c>
      <c r="G1952" s="3" t="str">
        <f t="shared" si="30"/>
        <v>5</v>
      </c>
      <c r="H1952" s="3" t="s">
        <v>3522</v>
      </c>
      <c r="I1952" s="8">
        <v>2000</v>
      </c>
      <c r="J1952" s="8">
        <v>0</v>
      </c>
      <c r="K1952" s="8">
        <v>2000</v>
      </c>
    </row>
    <row r="1953" spans="1:11" hidden="1" x14ac:dyDescent="0.25">
      <c r="A1953" s="3" t="s">
        <v>3523</v>
      </c>
      <c r="B1953" s="3">
        <v>12</v>
      </c>
      <c r="C1953" s="5">
        <v>150</v>
      </c>
      <c r="D1953" s="6">
        <v>0</v>
      </c>
      <c r="E1953" s="7">
        <v>706620</v>
      </c>
      <c r="F1953" s="3">
        <v>55800</v>
      </c>
      <c r="G1953" s="3" t="str">
        <f t="shared" si="30"/>
        <v>5</v>
      </c>
      <c r="H1953" s="3" t="s">
        <v>3524</v>
      </c>
      <c r="I1953" s="8">
        <v>1336.43</v>
      </c>
      <c r="J1953" s="8">
        <v>0</v>
      </c>
      <c r="K1953" s="8">
        <v>1336.43</v>
      </c>
    </row>
    <row r="1954" spans="1:11" hidden="1" x14ac:dyDescent="0.25">
      <c r="A1954" s="3" t="s">
        <v>3525</v>
      </c>
      <c r="B1954" s="3">
        <v>12</v>
      </c>
      <c r="C1954" s="5">
        <v>150</v>
      </c>
      <c r="D1954" s="6">
        <v>0</v>
      </c>
      <c r="E1954" s="7">
        <v>706620</v>
      </c>
      <c r="F1954" s="3">
        <v>55830</v>
      </c>
      <c r="G1954" s="3" t="str">
        <f t="shared" si="30"/>
        <v>5</v>
      </c>
      <c r="H1954" s="3" t="s">
        <v>3526</v>
      </c>
      <c r="I1954" s="8">
        <v>5000</v>
      </c>
      <c r="J1954" s="8">
        <v>0</v>
      </c>
      <c r="K1954" s="8">
        <v>5000</v>
      </c>
    </row>
    <row r="1955" spans="1:11" hidden="1" x14ac:dyDescent="0.25">
      <c r="A1955" s="3" t="s">
        <v>3527</v>
      </c>
      <c r="B1955" s="3">
        <v>12</v>
      </c>
      <c r="C1955" s="5">
        <v>150</v>
      </c>
      <c r="D1955" s="6">
        <v>0</v>
      </c>
      <c r="E1955" s="7">
        <v>706620</v>
      </c>
      <c r="F1955" s="3">
        <v>56400</v>
      </c>
      <c r="G1955" s="3" t="str">
        <f t="shared" si="30"/>
        <v>5</v>
      </c>
      <c r="H1955" s="3" t="s">
        <v>3528</v>
      </c>
      <c r="I1955" s="8">
        <v>2500</v>
      </c>
      <c r="J1955" s="8">
        <v>0</v>
      </c>
      <c r="K1955" s="8">
        <v>2500</v>
      </c>
    </row>
    <row r="1956" spans="1:11" hidden="1" x14ac:dyDescent="0.25">
      <c r="A1956" s="3" t="s">
        <v>3529</v>
      </c>
      <c r="B1956" s="3">
        <v>12</v>
      </c>
      <c r="C1956" s="5">
        <v>150</v>
      </c>
      <c r="D1956" s="6">
        <v>0</v>
      </c>
      <c r="E1956" s="7">
        <v>706620</v>
      </c>
      <c r="F1956" s="3">
        <v>56402</v>
      </c>
      <c r="G1956" s="3" t="str">
        <f t="shared" si="30"/>
        <v>5</v>
      </c>
      <c r="H1956" s="3" t="s">
        <v>3530</v>
      </c>
      <c r="I1956" s="8">
        <v>5000</v>
      </c>
      <c r="J1956" s="8">
        <v>0</v>
      </c>
      <c r="K1956" s="8">
        <v>5000</v>
      </c>
    </row>
    <row r="1957" spans="1:11" hidden="1" x14ac:dyDescent="0.25">
      <c r="A1957" s="3" t="s">
        <v>3531</v>
      </c>
      <c r="B1957" s="3">
        <v>12</v>
      </c>
      <c r="C1957" s="5">
        <v>200</v>
      </c>
      <c r="D1957" s="6">
        <v>0</v>
      </c>
      <c r="E1957" s="7">
        <v>679000</v>
      </c>
      <c r="F1957" s="3">
        <v>48190</v>
      </c>
      <c r="G1957" s="3" t="str">
        <f t="shared" si="30"/>
        <v>4</v>
      </c>
      <c r="H1957" s="3" t="s">
        <v>3532</v>
      </c>
      <c r="I1957" s="8">
        <v>-8736692.1699999999</v>
      </c>
      <c r="J1957" s="8">
        <v>-917760.7</v>
      </c>
      <c r="K1957" s="8">
        <v>-8736692.1699999999</v>
      </c>
    </row>
    <row r="1958" spans="1:11" hidden="1" x14ac:dyDescent="0.25">
      <c r="A1958" s="3" t="s">
        <v>3533</v>
      </c>
      <c r="B1958" s="3">
        <v>12</v>
      </c>
      <c r="C1958" s="5">
        <v>200</v>
      </c>
      <c r="D1958" s="6">
        <v>0</v>
      </c>
      <c r="E1958" s="7">
        <v>679000</v>
      </c>
      <c r="F1958" s="3">
        <v>51412</v>
      </c>
      <c r="G1958" s="3" t="str">
        <f t="shared" si="30"/>
        <v>5</v>
      </c>
      <c r="H1958" s="3" t="s">
        <v>3534</v>
      </c>
      <c r="I1958" s="8">
        <v>0</v>
      </c>
      <c r="J1958" s="8">
        <v>500</v>
      </c>
      <c r="K1958" s="8">
        <v>0</v>
      </c>
    </row>
    <row r="1959" spans="1:11" hidden="1" x14ac:dyDescent="0.25">
      <c r="A1959" s="3" t="s">
        <v>3535</v>
      </c>
      <c r="B1959" s="3">
        <v>12</v>
      </c>
      <c r="C1959" s="5">
        <v>200</v>
      </c>
      <c r="D1959" s="6">
        <v>0</v>
      </c>
      <c r="E1959" s="7">
        <v>679000</v>
      </c>
      <c r="F1959" s="3">
        <v>53120</v>
      </c>
      <c r="G1959" s="3" t="str">
        <f t="shared" si="30"/>
        <v>5</v>
      </c>
      <c r="H1959" s="3" t="s">
        <v>3536</v>
      </c>
      <c r="I1959" s="8">
        <v>0</v>
      </c>
      <c r="J1959" s="8">
        <v>80.75</v>
      </c>
      <c r="K1959" s="8">
        <v>0</v>
      </c>
    </row>
    <row r="1960" spans="1:11" hidden="1" x14ac:dyDescent="0.25">
      <c r="A1960" s="3" t="s">
        <v>3537</v>
      </c>
      <c r="B1960" s="3">
        <v>12</v>
      </c>
      <c r="C1960" s="5">
        <v>200</v>
      </c>
      <c r="D1960" s="6">
        <v>0</v>
      </c>
      <c r="E1960" s="7">
        <v>679000</v>
      </c>
      <c r="F1960" s="3">
        <v>53320</v>
      </c>
      <c r="G1960" s="3" t="str">
        <f t="shared" si="30"/>
        <v>5</v>
      </c>
      <c r="H1960" s="3" t="s">
        <v>3538</v>
      </c>
      <c r="I1960" s="8">
        <v>0</v>
      </c>
      <c r="J1960" s="8">
        <v>0</v>
      </c>
      <c r="K1960" s="8">
        <v>0</v>
      </c>
    </row>
    <row r="1961" spans="1:11" hidden="1" x14ac:dyDescent="0.25">
      <c r="A1961" s="3" t="s">
        <v>3539</v>
      </c>
      <c r="B1961" s="3">
        <v>12</v>
      </c>
      <c r="C1961" s="5">
        <v>200</v>
      </c>
      <c r="D1961" s="6">
        <v>0</v>
      </c>
      <c r="E1961" s="7">
        <v>679000</v>
      </c>
      <c r="F1961" s="3">
        <v>53340</v>
      </c>
      <c r="G1961" s="3" t="str">
        <f t="shared" si="30"/>
        <v>5</v>
      </c>
      <c r="H1961" s="3" t="s">
        <v>3540</v>
      </c>
      <c r="I1961" s="8">
        <v>0</v>
      </c>
      <c r="J1961" s="8">
        <v>7.25</v>
      </c>
      <c r="K1961" s="8">
        <v>0</v>
      </c>
    </row>
    <row r="1962" spans="1:11" hidden="1" x14ac:dyDescent="0.25">
      <c r="A1962" s="3" t="s">
        <v>3541</v>
      </c>
      <c r="B1962" s="3">
        <v>12</v>
      </c>
      <c r="C1962" s="5">
        <v>200</v>
      </c>
      <c r="D1962" s="6">
        <v>0</v>
      </c>
      <c r="E1962" s="7">
        <v>679000</v>
      </c>
      <c r="F1962" s="3">
        <v>53420</v>
      </c>
      <c r="G1962" s="3" t="str">
        <f t="shared" si="30"/>
        <v>5</v>
      </c>
      <c r="H1962" s="3" t="s">
        <v>3542</v>
      </c>
      <c r="I1962" s="8">
        <v>0</v>
      </c>
      <c r="J1962" s="8">
        <v>0</v>
      </c>
      <c r="K1962" s="8">
        <v>0</v>
      </c>
    </row>
    <row r="1963" spans="1:11" hidden="1" x14ac:dyDescent="0.25">
      <c r="A1963" s="3" t="s">
        <v>3543</v>
      </c>
      <c r="B1963" s="3">
        <v>12</v>
      </c>
      <c r="C1963" s="5">
        <v>200</v>
      </c>
      <c r="D1963" s="6">
        <v>0</v>
      </c>
      <c r="E1963" s="7">
        <v>679000</v>
      </c>
      <c r="F1963" s="3">
        <v>53520</v>
      </c>
      <c r="G1963" s="3" t="str">
        <f t="shared" si="30"/>
        <v>5</v>
      </c>
      <c r="H1963" s="3" t="s">
        <v>3544</v>
      </c>
      <c r="I1963" s="8">
        <v>0</v>
      </c>
      <c r="J1963" s="8">
        <v>0.25</v>
      </c>
      <c r="K1963" s="8">
        <v>0</v>
      </c>
    </row>
    <row r="1964" spans="1:11" hidden="1" x14ac:dyDescent="0.25">
      <c r="A1964" s="3" t="s">
        <v>3545</v>
      </c>
      <c r="B1964" s="3">
        <v>12</v>
      </c>
      <c r="C1964" s="5">
        <v>200</v>
      </c>
      <c r="D1964" s="6">
        <v>0</v>
      </c>
      <c r="E1964" s="7">
        <v>679000</v>
      </c>
      <c r="F1964" s="3">
        <v>53620</v>
      </c>
      <c r="G1964" s="3" t="str">
        <f t="shared" si="30"/>
        <v>5</v>
      </c>
      <c r="H1964" s="3" t="s">
        <v>3546</v>
      </c>
      <c r="I1964" s="8">
        <v>0</v>
      </c>
      <c r="J1964" s="8">
        <v>9.4499999999999993</v>
      </c>
      <c r="K1964" s="8">
        <v>0</v>
      </c>
    </row>
    <row r="1965" spans="1:11" hidden="1" x14ac:dyDescent="0.25">
      <c r="A1965" s="3" t="s">
        <v>3547</v>
      </c>
      <c r="B1965" s="3">
        <v>12</v>
      </c>
      <c r="C1965" s="5">
        <v>200</v>
      </c>
      <c r="D1965" s="6">
        <v>0</v>
      </c>
      <c r="E1965" s="7">
        <v>679000</v>
      </c>
      <c r="F1965" s="3">
        <v>55555</v>
      </c>
      <c r="G1965" s="3" t="str">
        <f t="shared" si="30"/>
        <v>5</v>
      </c>
      <c r="H1965" s="3" t="s">
        <v>3548</v>
      </c>
      <c r="I1965" s="8">
        <v>0</v>
      </c>
      <c r="J1965" s="8">
        <v>274748.03999999998</v>
      </c>
      <c r="K1965" s="8">
        <v>0</v>
      </c>
    </row>
    <row r="1966" spans="1:11" hidden="1" x14ac:dyDescent="0.25">
      <c r="A1966" s="3" t="s">
        <v>3549</v>
      </c>
      <c r="B1966" s="3">
        <v>12</v>
      </c>
      <c r="C1966" s="5">
        <v>200</v>
      </c>
      <c r="D1966" s="6">
        <v>0</v>
      </c>
      <c r="E1966" s="7">
        <v>679000</v>
      </c>
      <c r="F1966" s="3">
        <v>55610</v>
      </c>
      <c r="G1966" s="3" t="str">
        <f t="shared" si="30"/>
        <v>5</v>
      </c>
      <c r="H1966" s="3" t="s">
        <v>3550</v>
      </c>
      <c r="I1966" s="8">
        <v>0</v>
      </c>
      <c r="J1966" s="8">
        <v>12996.75</v>
      </c>
      <c r="K1966" s="8">
        <v>0</v>
      </c>
    </row>
    <row r="1967" spans="1:11" hidden="1" x14ac:dyDescent="0.25">
      <c r="A1967" s="3" t="s">
        <v>3551</v>
      </c>
      <c r="B1967" s="3">
        <v>12</v>
      </c>
      <c r="C1967" s="5">
        <v>200</v>
      </c>
      <c r="D1967" s="6">
        <v>0</v>
      </c>
      <c r="E1967" s="7">
        <v>679000</v>
      </c>
      <c r="F1967" s="3">
        <v>55800</v>
      </c>
      <c r="G1967" s="3" t="str">
        <f t="shared" si="30"/>
        <v>5</v>
      </c>
      <c r="H1967" s="3" t="s">
        <v>3552</v>
      </c>
      <c r="I1967" s="8">
        <v>7598346.1699999999</v>
      </c>
      <c r="J1967" s="8">
        <v>0</v>
      </c>
      <c r="K1967" s="8">
        <v>7598346.1699999999</v>
      </c>
    </row>
    <row r="1968" spans="1:11" hidden="1" x14ac:dyDescent="0.25">
      <c r="A1968" s="3" t="s">
        <v>3553</v>
      </c>
      <c r="B1968" s="3">
        <v>12</v>
      </c>
      <c r="C1968" s="5">
        <v>200</v>
      </c>
      <c r="D1968" s="6">
        <v>0</v>
      </c>
      <c r="E1968" s="7">
        <v>679000</v>
      </c>
      <c r="F1968" s="3">
        <v>56100</v>
      </c>
      <c r="G1968" s="3" t="str">
        <f t="shared" si="30"/>
        <v>5</v>
      </c>
      <c r="H1968" s="3" t="s">
        <v>3554</v>
      </c>
      <c r="I1968" s="8">
        <v>52525</v>
      </c>
      <c r="J1968" s="8">
        <v>0</v>
      </c>
      <c r="K1968" s="8">
        <v>52525</v>
      </c>
    </row>
    <row r="1969" spans="1:11" hidden="1" x14ac:dyDescent="0.25">
      <c r="A1969" s="3" t="s">
        <v>3555</v>
      </c>
      <c r="B1969" s="3">
        <v>12</v>
      </c>
      <c r="C1969" s="5">
        <v>200</v>
      </c>
      <c r="D1969" s="6">
        <v>0</v>
      </c>
      <c r="E1969" s="7">
        <v>679000</v>
      </c>
      <c r="F1969" s="3">
        <v>56400</v>
      </c>
      <c r="G1969" s="3" t="str">
        <f t="shared" si="30"/>
        <v>5</v>
      </c>
      <c r="H1969" s="3" t="s">
        <v>3556</v>
      </c>
      <c r="I1969" s="8">
        <v>0</v>
      </c>
      <c r="J1969" s="8">
        <v>139198.6</v>
      </c>
      <c r="K1969" s="8">
        <v>0</v>
      </c>
    </row>
    <row r="1970" spans="1:11" hidden="1" x14ac:dyDescent="0.25">
      <c r="A1970" s="3" t="s">
        <v>3557</v>
      </c>
      <c r="B1970" s="3">
        <v>12</v>
      </c>
      <c r="C1970" s="5">
        <v>200</v>
      </c>
      <c r="D1970" s="6">
        <v>0</v>
      </c>
      <c r="E1970" s="7">
        <v>679000</v>
      </c>
      <c r="F1970" s="3">
        <v>57500</v>
      </c>
      <c r="G1970" s="3" t="str">
        <f t="shared" si="30"/>
        <v>5</v>
      </c>
      <c r="H1970" s="3" t="s">
        <v>3558</v>
      </c>
      <c r="I1970" s="8">
        <v>0</v>
      </c>
      <c r="J1970" s="8">
        <v>6698.96</v>
      </c>
      <c r="K1970" s="8">
        <v>0</v>
      </c>
    </row>
    <row r="1971" spans="1:11" hidden="1" x14ac:dyDescent="0.25">
      <c r="A1971" s="3" t="s">
        <v>3559</v>
      </c>
      <c r="B1971" s="3">
        <v>12</v>
      </c>
      <c r="C1971" s="5">
        <v>200</v>
      </c>
      <c r="D1971" s="6">
        <v>0</v>
      </c>
      <c r="E1971" s="7">
        <v>679010</v>
      </c>
      <c r="F1971" s="3">
        <v>48190</v>
      </c>
      <c r="G1971" s="3" t="str">
        <f t="shared" si="30"/>
        <v>4</v>
      </c>
      <c r="H1971" s="3" t="s">
        <v>3560</v>
      </c>
      <c r="I1971" s="8">
        <v>-562911.77</v>
      </c>
      <c r="J1971" s="8">
        <v>-25086.37</v>
      </c>
      <c r="K1971" s="8">
        <v>-562911.77</v>
      </c>
    </row>
    <row r="1972" spans="1:11" hidden="1" x14ac:dyDescent="0.25">
      <c r="A1972" s="3" t="s">
        <v>3561</v>
      </c>
      <c r="B1972" s="3">
        <v>12</v>
      </c>
      <c r="C1972" s="5">
        <v>200</v>
      </c>
      <c r="D1972" s="6">
        <v>0</v>
      </c>
      <c r="E1972" s="7">
        <v>679010</v>
      </c>
      <c r="F1972" s="3">
        <v>54300</v>
      </c>
      <c r="G1972" s="3" t="str">
        <f t="shared" si="30"/>
        <v>5</v>
      </c>
      <c r="H1972" s="3" t="s">
        <v>3562</v>
      </c>
      <c r="I1972" s="8">
        <v>0</v>
      </c>
      <c r="J1972" s="8">
        <v>0</v>
      </c>
      <c r="K1972" s="8">
        <v>0</v>
      </c>
    </row>
    <row r="1973" spans="1:11" hidden="1" x14ac:dyDescent="0.25">
      <c r="A1973" s="3" t="s">
        <v>3563</v>
      </c>
      <c r="B1973" s="3">
        <v>12</v>
      </c>
      <c r="C1973" s="5">
        <v>200</v>
      </c>
      <c r="D1973" s="6">
        <v>0</v>
      </c>
      <c r="E1973" s="7">
        <v>679010</v>
      </c>
      <c r="F1973" s="3">
        <v>55610</v>
      </c>
      <c r="G1973" s="3" t="str">
        <f t="shared" si="30"/>
        <v>5</v>
      </c>
      <c r="H1973" s="3" t="s">
        <v>3564</v>
      </c>
      <c r="I1973" s="8">
        <v>0</v>
      </c>
      <c r="J1973" s="8">
        <v>0</v>
      </c>
      <c r="K1973" s="8">
        <v>0</v>
      </c>
    </row>
    <row r="1974" spans="1:11" hidden="1" x14ac:dyDescent="0.25">
      <c r="A1974" s="3" t="s">
        <v>3565</v>
      </c>
      <c r="B1974" s="3">
        <v>12</v>
      </c>
      <c r="C1974" s="5">
        <v>200</v>
      </c>
      <c r="D1974" s="6">
        <v>0</v>
      </c>
      <c r="E1974" s="7">
        <v>679010</v>
      </c>
      <c r="F1974" s="3">
        <v>55800</v>
      </c>
      <c r="G1974" s="3" t="str">
        <f t="shared" si="30"/>
        <v>5</v>
      </c>
      <c r="H1974" s="3" t="s">
        <v>3566</v>
      </c>
      <c r="I1974" s="8">
        <v>530026</v>
      </c>
      <c r="J1974" s="8">
        <v>0</v>
      </c>
      <c r="K1974" s="8">
        <v>530026</v>
      </c>
    </row>
    <row r="1975" spans="1:11" hidden="1" x14ac:dyDescent="0.25">
      <c r="A1975" s="3" t="s">
        <v>3567</v>
      </c>
      <c r="B1975" s="3">
        <v>12</v>
      </c>
      <c r="C1975" s="5">
        <v>200</v>
      </c>
      <c r="D1975" s="6">
        <v>0</v>
      </c>
      <c r="E1975" s="7">
        <v>679020</v>
      </c>
      <c r="F1975" s="3">
        <v>48190</v>
      </c>
      <c r="G1975" s="3" t="str">
        <f t="shared" si="30"/>
        <v>4</v>
      </c>
      <c r="H1975" s="3" t="s">
        <v>3568</v>
      </c>
      <c r="I1975" s="8">
        <v>-161647.88</v>
      </c>
      <c r="J1975" s="8">
        <v>-161647.88</v>
      </c>
      <c r="K1975" s="8">
        <v>-161647.88</v>
      </c>
    </row>
    <row r="1976" spans="1:11" hidden="1" x14ac:dyDescent="0.25">
      <c r="A1976" s="3" t="s">
        <v>3569</v>
      </c>
      <c r="B1976" s="3">
        <v>12</v>
      </c>
      <c r="C1976" s="5">
        <v>200</v>
      </c>
      <c r="D1976" s="6">
        <v>0</v>
      </c>
      <c r="E1976" s="7">
        <v>679020</v>
      </c>
      <c r="F1976" s="3">
        <v>48627</v>
      </c>
      <c r="G1976" s="3" t="str">
        <f t="shared" si="30"/>
        <v>4</v>
      </c>
      <c r="H1976" s="3" t="s">
        <v>3570</v>
      </c>
      <c r="I1976" s="8">
        <v>-440232</v>
      </c>
      <c r="J1976" s="8">
        <v>-440232</v>
      </c>
      <c r="K1976" s="8">
        <v>-440232</v>
      </c>
    </row>
    <row r="1977" spans="1:11" hidden="1" x14ac:dyDescent="0.25">
      <c r="A1977" s="3" t="s">
        <v>3571</v>
      </c>
      <c r="B1977" s="3">
        <v>12</v>
      </c>
      <c r="C1977" s="5">
        <v>200</v>
      </c>
      <c r="D1977" s="6">
        <v>0</v>
      </c>
      <c r="E1977" s="7">
        <v>679020</v>
      </c>
      <c r="F1977" s="3">
        <v>56400</v>
      </c>
      <c r="G1977" s="3" t="str">
        <f t="shared" si="30"/>
        <v>5</v>
      </c>
      <c r="H1977" s="3" t="s">
        <v>3572</v>
      </c>
      <c r="I1977" s="8">
        <v>145646.64000000001</v>
      </c>
      <c r="J1977" s="8">
        <v>145646.64000000001</v>
      </c>
      <c r="K1977" s="8">
        <v>145646.64000000001</v>
      </c>
    </row>
    <row r="1978" spans="1:11" hidden="1" x14ac:dyDescent="0.25">
      <c r="A1978" s="3" t="s">
        <v>3573</v>
      </c>
      <c r="B1978" s="3">
        <v>12</v>
      </c>
      <c r="C1978" s="5">
        <v>210</v>
      </c>
      <c r="D1978" s="6">
        <v>0</v>
      </c>
      <c r="E1978" s="7">
        <v>695020</v>
      </c>
      <c r="F1978" s="3">
        <v>48627</v>
      </c>
      <c r="G1978" s="3" t="str">
        <f t="shared" si="30"/>
        <v>4</v>
      </c>
      <c r="H1978" s="3" t="s">
        <v>3574</v>
      </c>
      <c r="I1978" s="8">
        <v>-18547</v>
      </c>
      <c r="J1978" s="8">
        <v>-18547</v>
      </c>
      <c r="K1978" s="8">
        <v>-18547</v>
      </c>
    </row>
    <row r="1979" spans="1:11" hidden="1" x14ac:dyDescent="0.25">
      <c r="A1979" s="3" t="s">
        <v>3575</v>
      </c>
      <c r="B1979" s="3">
        <v>12</v>
      </c>
      <c r="C1979" s="5">
        <v>210</v>
      </c>
      <c r="D1979" s="6">
        <v>0</v>
      </c>
      <c r="E1979" s="7">
        <v>695020</v>
      </c>
      <c r="F1979" s="3">
        <v>55800</v>
      </c>
      <c r="G1979" s="3" t="str">
        <f t="shared" si="30"/>
        <v>5</v>
      </c>
      <c r="H1979" s="3" t="s">
        <v>3576</v>
      </c>
      <c r="I1979" s="8">
        <v>18547</v>
      </c>
      <c r="J1979" s="8">
        <v>0</v>
      </c>
      <c r="K1979" s="8">
        <v>18547</v>
      </c>
    </row>
    <row r="1980" spans="1:11" hidden="1" x14ac:dyDescent="0.25">
      <c r="A1980" s="3" t="s">
        <v>3577</v>
      </c>
      <c r="B1980" s="3">
        <v>12</v>
      </c>
      <c r="C1980" s="5">
        <v>220</v>
      </c>
      <c r="D1980" s="6">
        <v>0</v>
      </c>
      <c r="E1980" s="7">
        <v>679000</v>
      </c>
      <c r="F1980" s="3">
        <v>54300</v>
      </c>
      <c r="G1980" s="3" t="str">
        <f t="shared" si="30"/>
        <v>5</v>
      </c>
      <c r="H1980" s="3" t="s">
        <v>3578</v>
      </c>
      <c r="I1980" s="8">
        <v>66270</v>
      </c>
      <c r="J1980" s="8">
        <v>6175.64</v>
      </c>
      <c r="K1980" s="8">
        <v>66270</v>
      </c>
    </row>
    <row r="1981" spans="1:11" hidden="1" x14ac:dyDescent="0.25">
      <c r="A1981" s="3" t="s">
        <v>3579</v>
      </c>
      <c r="B1981" s="3">
        <v>12</v>
      </c>
      <c r="C1981" s="5">
        <v>220</v>
      </c>
      <c r="D1981" s="6">
        <v>0</v>
      </c>
      <c r="E1981" s="7">
        <v>679020</v>
      </c>
      <c r="F1981" s="3">
        <v>54300</v>
      </c>
      <c r="G1981" s="3" t="str">
        <f t="shared" si="30"/>
        <v>5</v>
      </c>
      <c r="H1981" s="3" t="s">
        <v>3580</v>
      </c>
      <c r="I1981" s="8">
        <v>8296.23</v>
      </c>
      <c r="J1981" s="8">
        <v>8296.23</v>
      </c>
      <c r="K1981" s="8">
        <v>8296.23</v>
      </c>
    </row>
    <row r="1982" spans="1:11" hidden="1" x14ac:dyDescent="0.25">
      <c r="A1982" s="3" t="s">
        <v>3581</v>
      </c>
      <c r="B1982" s="3">
        <v>12</v>
      </c>
      <c r="C1982" s="5">
        <v>220</v>
      </c>
      <c r="D1982" s="6">
        <v>0</v>
      </c>
      <c r="E1982" s="7">
        <v>679020</v>
      </c>
      <c r="F1982" s="3">
        <v>55105</v>
      </c>
      <c r="G1982" s="3" t="str">
        <f t="shared" si="30"/>
        <v>5</v>
      </c>
      <c r="H1982" s="3" t="s">
        <v>3582</v>
      </c>
      <c r="I1982" s="8">
        <v>7242.54</v>
      </c>
      <c r="J1982" s="8">
        <v>7242.54</v>
      </c>
      <c r="K1982" s="8">
        <v>7242.54</v>
      </c>
    </row>
    <row r="1983" spans="1:11" hidden="1" x14ac:dyDescent="0.25">
      <c r="A1983" s="3" t="s">
        <v>3583</v>
      </c>
      <c r="B1983" s="3">
        <v>12</v>
      </c>
      <c r="C1983" s="5">
        <v>220</v>
      </c>
      <c r="D1983" s="6">
        <v>0</v>
      </c>
      <c r="E1983" s="7">
        <v>679020</v>
      </c>
      <c r="F1983" s="3">
        <v>55800</v>
      </c>
      <c r="G1983" s="3" t="str">
        <f t="shared" si="30"/>
        <v>5</v>
      </c>
      <c r="H1983" s="3" t="s">
        <v>3584</v>
      </c>
      <c r="I1983" s="8">
        <v>424694.47</v>
      </c>
      <c r="J1983" s="8">
        <v>0</v>
      </c>
      <c r="K1983" s="8">
        <v>424694.47</v>
      </c>
    </row>
    <row r="1984" spans="1:11" hidden="1" x14ac:dyDescent="0.25">
      <c r="A1984" s="3" t="s">
        <v>3585</v>
      </c>
      <c r="B1984" s="3">
        <v>12</v>
      </c>
      <c r="C1984" s="5">
        <v>220</v>
      </c>
      <c r="D1984" s="6">
        <v>0</v>
      </c>
      <c r="E1984" s="7">
        <v>679020</v>
      </c>
      <c r="F1984" s="3">
        <v>56400</v>
      </c>
      <c r="G1984" s="3" t="str">
        <f t="shared" si="30"/>
        <v>5</v>
      </c>
      <c r="H1984" s="3" t="s">
        <v>3572</v>
      </c>
      <c r="I1984" s="8">
        <v>6000</v>
      </c>
      <c r="J1984" s="8">
        <v>0</v>
      </c>
      <c r="K1984" s="8">
        <v>6000</v>
      </c>
    </row>
    <row r="1985" spans="1:11" hidden="1" x14ac:dyDescent="0.25">
      <c r="A1985" s="3" t="s">
        <v>3586</v>
      </c>
      <c r="B1985" s="3">
        <v>12</v>
      </c>
      <c r="C1985" s="5">
        <v>225</v>
      </c>
      <c r="D1985" s="6">
        <v>0</v>
      </c>
      <c r="E1985" s="7">
        <v>679000</v>
      </c>
      <c r="F1985" s="3">
        <v>54300</v>
      </c>
      <c r="G1985" s="3" t="str">
        <f t="shared" si="30"/>
        <v>5</v>
      </c>
      <c r="H1985" s="3" t="s">
        <v>3578</v>
      </c>
      <c r="I1985" s="8">
        <v>58698</v>
      </c>
      <c r="J1985" s="8">
        <v>52440</v>
      </c>
      <c r="K1985" s="8">
        <v>58698</v>
      </c>
    </row>
    <row r="1986" spans="1:11" hidden="1" x14ac:dyDescent="0.25">
      <c r="A1986" s="3" t="s">
        <v>3587</v>
      </c>
      <c r="B1986" s="3">
        <v>12</v>
      </c>
      <c r="C1986" s="5">
        <v>225</v>
      </c>
      <c r="D1986" s="6">
        <v>0</v>
      </c>
      <c r="E1986" s="7">
        <v>679010</v>
      </c>
      <c r="F1986" s="3">
        <v>54300</v>
      </c>
      <c r="G1986" s="3" t="str">
        <f t="shared" si="30"/>
        <v>5</v>
      </c>
      <c r="H1986" s="3" t="s">
        <v>3562</v>
      </c>
      <c r="I1986" s="8">
        <v>30865.77</v>
      </c>
      <c r="J1986" s="8">
        <v>25895.87</v>
      </c>
      <c r="K1986" s="8">
        <v>30865.77</v>
      </c>
    </row>
    <row r="1987" spans="1:11" hidden="1" x14ac:dyDescent="0.25">
      <c r="A1987" s="3" t="s">
        <v>3588</v>
      </c>
      <c r="B1987" s="3">
        <v>12</v>
      </c>
      <c r="C1987" s="5">
        <v>225</v>
      </c>
      <c r="D1987" s="6">
        <v>0</v>
      </c>
      <c r="E1987" s="7">
        <v>679010</v>
      </c>
      <c r="F1987" s="3">
        <v>55610</v>
      </c>
      <c r="G1987" s="3" t="str">
        <f t="shared" ref="G1987:G2050" si="31">LEFT(F1987,1)</f>
        <v>5</v>
      </c>
      <c r="H1987" s="3" t="s">
        <v>3564</v>
      </c>
      <c r="I1987" s="8">
        <v>2020</v>
      </c>
      <c r="J1987" s="8">
        <v>0</v>
      </c>
      <c r="K1987" s="8">
        <v>2020</v>
      </c>
    </row>
    <row r="1988" spans="1:11" hidden="1" x14ac:dyDescent="0.25">
      <c r="A1988" s="3" t="s">
        <v>3589</v>
      </c>
      <c r="B1988" s="3">
        <v>12</v>
      </c>
      <c r="C1988" s="5">
        <v>230</v>
      </c>
      <c r="D1988" s="6">
        <v>0</v>
      </c>
      <c r="E1988" s="7">
        <v>679000</v>
      </c>
      <c r="F1988" s="3">
        <v>52105</v>
      </c>
      <c r="G1988" s="3" t="str">
        <f t="shared" si="31"/>
        <v>5</v>
      </c>
      <c r="H1988" s="3" t="s">
        <v>3590</v>
      </c>
      <c r="I1988" s="8">
        <v>22130</v>
      </c>
      <c r="J1988" s="8">
        <v>16338.42</v>
      </c>
      <c r="K1988" s="8">
        <v>22130</v>
      </c>
    </row>
    <row r="1989" spans="1:11" hidden="1" x14ac:dyDescent="0.25">
      <c r="A1989" s="3" t="s">
        <v>3591</v>
      </c>
      <c r="B1989" s="3">
        <v>12</v>
      </c>
      <c r="C1989" s="5">
        <v>230</v>
      </c>
      <c r="D1989" s="6">
        <v>0</v>
      </c>
      <c r="E1989" s="7">
        <v>679000</v>
      </c>
      <c r="F1989" s="3">
        <v>52115</v>
      </c>
      <c r="G1989" s="3" t="str">
        <f t="shared" si="31"/>
        <v>5</v>
      </c>
      <c r="H1989" s="3" t="s">
        <v>3592</v>
      </c>
      <c r="I1989" s="8">
        <v>109438</v>
      </c>
      <c r="J1989" s="8">
        <v>70298.34</v>
      </c>
      <c r="K1989" s="8">
        <v>109438</v>
      </c>
    </row>
    <row r="1990" spans="1:11" hidden="1" x14ac:dyDescent="0.25">
      <c r="A1990" s="3" t="s">
        <v>3593</v>
      </c>
      <c r="B1990" s="3">
        <v>12</v>
      </c>
      <c r="C1990" s="5">
        <v>230</v>
      </c>
      <c r="D1990" s="6">
        <v>0</v>
      </c>
      <c r="E1990" s="7">
        <v>679000</v>
      </c>
      <c r="F1990" s="3">
        <v>52120</v>
      </c>
      <c r="G1990" s="3" t="str">
        <f t="shared" si="31"/>
        <v>5</v>
      </c>
      <c r="H1990" s="3" t="s">
        <v>3594</v>
      </c>
      <c r="I1990" s="8">
        <v>2103</v>
      </c>
      <c r="J1990" s="8">
        <v>10203.290000000001</v>
      </c>
      <c r="K1990" s="8">
        <v>2103</v>
      </c>
    </row>
    <row r="1991" spans="1:11" hidden="1" x14ac:dyDescent="0.25">
      <c r="A1991" s="3" t="s">
        <v>3595</v>
      </c>
      <c r="B1991" s="3">
        <v>12</v>
      </c>
      <c r="C1991" s="5">
        <v>230</v>
      </c>
      <c r="D1991" s="6">
        <v>0</v>
      </c>
      <c r="E1991" s="7">
        <v>679000</v>
      </c>
      <c r="F1991" s="3">
        <v>52125</v>
      </c>
      <c r="G1991" s="3" t="str">
        <f t="shared" si="31"/>
        <v>5</v>
      </c>
      <c r="H1991" s="3" t="s">
        <v>3596</v>
      </c>
      <c r="I1991" s="8">
        <v>137781</v>
      </c>
      <c r="J1991" s="8">
        <v>85279.9</v>
      </c>
      <c r="K1991" s="8">
        <v>137781</v>
      </c>
    </row>
    <row r="1992" spans="1:11" hidden="1" x14ac:dyDescent="0.25">
      <c r="A1992" s="3" t="s">
        <v>3597</v>
      </c>
      <c r="B1992" s="3">
        <v>12</v>
      </c>
      <c r="C1992" s="5">
        <v>230</v>
      </c>
      <c r="D1992" s="6">
        <v>0</v>
      </c>
      <c r="E1992" s="7">
        <v>679000</v>
      </c>
      <c r="F1992" s="3">
        <v>52130</v>
      </c>
      <c r="G1992" s="3" t="str">
        <f t="shared" si="31"/>
        <v>5</v>
      </c>
      <c r="H1992" s="3" t="s">
        <v>3598</v>
      </c>
      <c r="I1992" s="8">
        <v>95167</v>
      </c>
      <c r="J1992" s="8">
        <v>80648.55</v>
      </c>
      <c r="K1992" s="8">
        <v>95167</v>
      </c>
    </row>
    <row r="1993" spans="1:11" hidden="1" x14ac:dyDescent="0.25">
      <c r="A1993" s="3" t="s">
        <v>3599</v>
      </c>
      <c r="B1993" s="3">
        <v>12</v>
      </c>
      <c r="C1993" s="5">
        <v>230</v>
      </c>
      <c r="D1993" s="6">
        <v>0</v>
      </c>
      <c r="E1993" s="7">
        <v>679000</v>
      </c>
      <c r="F1993" s="3">
        <v>52300</v>
      </c>
      <c r="G1993" s="3" t="str">
        <f t="shared" si="31"/>
        <v>5</v>
      </c>
      <c r="H1993" s="3" t="s">
        <v>3600</v>
      </c>
      <c r="I1993" s="8">
        <v>7500</v>
      </c>
      <c r="J1993" s="8">
        <v>6577.52</v>
      </c>
      <c r="K1993" s="8">
        <v>7500</v>
      </c>
    </row>
    <row r="1994" spans="1:11" hidden="1" x14ac:dyDescent="0.25">
      <c r="A1994" s="3" t="s">
        <v>3601</v>
      </c>
      <c r="B1994" s="3">
        <v>12</v>
      </c>
      <c r="C1994" s="5">
        <v>230</v>
      </c>
      <c r="D1994" s="6">
        <v>0</v>
      </c>
      <c r="E1994" s="7">
        <v>679000</v>
      </c>
      <c r="F1994" s="3">
        <v>53220</v>
      </c>
      <c r="G1994" s="3" t="str">
        <f t="shared" si="31"/>
        <v>5</v>
      </c>
      <c r="H1994" s="3" t="s">
        <v>3602</v>
      </c>
      <c r="I1994" s="8">
        <v>75891</v>
      </c>
      <c r="J1994" s="8">
        <v>55482.29</v>
      </c>
      <c r="K1994" s="8">
        <v>75891</v>
      </c>
    </row>
    <row r="1995" spans="1:11" hidden="1" x14ac:dyDescent="0.25">
      <c r="A1995" s="3" t="s">
        <v>3603</v>
      </c>
      <c r="B1995" s="3">
        <v>12</v>
      </c>
      <c r="C1995" s="5">
        <v>230</v>
      </c>
      <c r="D1995" s="6">
        <v>0</v>
      </c>
      <c r="E1995" s="7">
        <v>679000</v>
      </c>
      <c r="F1995" s="3">
        <v>53320</v>
      </c>
      <c r="G1995" s="3" t="str">
        <f t="shared" si="31"/>
        <v>5</v>
      </c>
      <c r="H1995" s="3" t="s">
        <v>3538</v>
      </c>
      <c r="I1995" s="8">
        <v>23319</v>
      </c>
      <c r="J1995" s="8">
        <v>16525.400000000001</v>
      </c>
      <c r="K1995" s="8">
        <v>23319</v>
      </c>
    </row>
    <row r="1996" spans="1:11" hidden="1" x14ac:dyDescent="0.25">
      <c r="A1996" s="3" t="s">
        <v>3604</v>
      </c>
      <c r="B1996" s="3">
        <v>12</v>
      </c>
      <c r="C1996" s="5">
        <v>230</v>
      </c>
      <c r="D1996" s="6">
        <v>0</v>
      </c>
      <c r="E1996" s="7">
        <v>679000</v>
      </c>
      <c r="F1996" s="3">
        <v>53340</v>
      </c>
      <c r="G1996" s="3" t="str">
        <f t="shared" si="31"/>
        <v>5</v>
      </c>
      <c r="H1996" s="3" t="s">
        <v>3540</v>
      </c>
      <c r="I1996" s="8">
        <v>5454</v>
      </c>
      <c r="J1996" s="8">
        <v>3864.78</v>
      </c>
      <c r="K1996" s="8">
        <v>5454</v>
      </c>
    </row>
    <row r="1997" spans="1:11" hidden="1" x14ac:dyDescent="0.25">
      <c r="A1997" s="3" t="s">
        <v>3605</v>
      </c>
      <c r="B1997" s="3">
        <v>12</v>
      </c>
      <c r="C1997" s="5">
        <v>230</v>
      </c>
      <c r="D1997" s="6">
        <v>0</v>
      </c>
      <c r="E1997" s="7">
        <v>679000</v>
      </c>
      <c r="F1997" s="3">
        <v>53420</v>
      </c>
      <c r="G1997" s="3" t="str">
        <f t="shared" si="31"/>
        <v>5</v>
      </c>
      <c r="H1997" s="3" t="s">
        <v>3542</v>
      </c>
      <c r="I1997" s="8">
        <v>129803</v>
      </c>
      <c r="J1997" s="8">
        <v>93731.11</v>
      </c>
      <c r="K1997" s="8">
        <v>129803</v>
      </c>
    </row>
    <row r="1998" spans="1:11" hidden="1" x14ac:dyDescent="0.25">
      <c r="A1998" s="3" t="s">
        <v>3606</v>
      </c>
      <c r="B1998" s="3">
        <v>12</v>
      </c>
      <c r="C1998" s="5">
        <v>230</v>
      </c>
      <c r="D1998" s="6">
        <v>0</v>
      </c>
      <c r="E1998" s="7">
        <v>679000</v>
      </c>
      <c r="F1998" s="3">
        <v>53520</v>
      </c>
      <c r="G1998" s="3" t="str">
        <f t="shared" si="31"/>
        <v>5</v>
      </c>
      <c r="H1998" s="3" t="s">
        <v>3544</v>
      </c>
      <c r="I1998" s="8">
        <v>188</v>
      </c>
      <c r="J1998" s="8">
        <v>134.32</v>
      </c>
      <c r="K1998" s="8">
        <v>188</v>
      </c>
    </row>
    <row r="1999" spans="1:11" hidden="1" x14ac:dyDescent="0.25">
      <c r="A1999" s="3" t="s">
        <v>3607</v>
      </c>
      <c r="B1999" s="3">
        <v>12</v>
      </c>
      <c r="C1999" s="5">
        <v>230</v>
      </c>
      <c r="D1999" s="6">
        <v>0</v>
      </c>
      <c r="E1999" s="7">
        <v>679000</v>
      </c>
      <c r="F1999" s="3">
        <v>53620</v>
      </c>
      <c r="G1999" s="3" t="str">
        <f t="shared" si="31"/>
        <v>5</v>
      </c>
      <c r="H1999" s="3" t="s">
        <v>3546</v>
      </c>
      <c r="I1999" s="8">
        <v>6759</v>
      </c>
      <c r="J1999" s="8">
        <v>5152.18</v>
      </c>
      <c r="K1999" s="8">
        <v>6759</v>
      </c>
    </row>
    <row r="2000" spans="1:11" hidden="1" x14ac:dyDescent="0.25">
      <c r="A2000" s="3" t="s">
        <v>3608</v>
      </c>
      <c r="B2000" s="3">
        <v>12</v>
      </c>
      <c r="C2000" s="5">
        <v>230</v>
      </c>
      <c r="D2000" s="6">
        <v>0</v>
      </c>
      <c r="E2000" s="7">
        <v>679000</v>
      </c>
      <c r="F2000" s="3">
        <v>53920</v>
      </c>
      <c r="G2000" s="3" t="str">
        <f t="shared" si="31"/>
        <v>5</v>
      </c>
      <c r="H2000" s="3" t="s">
        <v>3609</v>
      </c>
      <c r="I2000" s="8">
        <v>2472</v>
      </c>
      <c r="J2000" s="8">
        <v>1600</v>
      </c>
      <c r="K2000" s="8">
        <v>2472</v>
      </c>
    </row>
    <row r="2001" spans="1:11" hidden="1" x14ac:dyDescent="0.25">
      <c r="A2001" s="3" t="s">
        <v>3610</v>
      </c>
      <c r="B2001" s="3">
        <v>12</v>
      </c>
      <c r="C2001" s="5">
        <v>300</v>
      </c>
      <c r="D2001" s="6">
        <v>0</v>
      </c>
      <c r="E2001" s="7">
        <v>602001</v>
      </c>
      <c r="F2001" s="3">
        <v>48890</v>
      </c>
      <c r="G2001" s="3" t="str">
        <f t="shared" si="31"/>
        <v>4</v>
      </c>
      <c r="H2001" s="3" t="s">
        <v>3611</v>
      </c>
      <c r="I2001" s="8">
        <v>-366667</v>
      </c>
      <c r="J2001" s="8">
        <v>0</v>
      </c>
      <c r="K2001" s="8">
        <v>-366667</v>
      </c>
    </row>
    <row r="2002" spans="1:11" hidden="1" x14ac:dyDescent="0.25">
      <c r="A2002" s="3" t="s">
        <v>3612</v>
      </c>
      <c r="B2002" s="3">
        <v>12</v>
      </c>
      <c r="C2002" s="5">
        <v>300</v>
      </c>
      <c r="D2002" s="6">
        <v>0</v>
      </c>
      <c r="E2002" s="7">
        <v>602001</v>
      </c>
      <c r="F2002" s="3">
        <v>51100</v>
      </c>
      <c r="G2002" s="3" t="str">
        <f t="shared" si="31"/>
        <v>5</v>
      </c>
      <c r="H2002" s="3" t="s">
        <v>3613</v>
      </c>
      <c r="I2002" s="8">
        <v>0</v>
      </c>
      <c r="J2002" s="8">
        <v>18003.009999999998</v>
      </c>
      <c r="K2002" s="8">
        <v>0</v>
      </c>
    </row>
    <row r="2003" spans="1:11" hidden="1" x14ac:dyDescent="0.25">
      <c r="A2003" s="3" t="s">
        <v>3614</v>
      </c>
      <c r="B2003" s="3">
        <v>12</v>
      </c>
      <c r="C2003" s="5">
        <v>300</v>
      </c>
      <c r="D2003" s="6">
        <v>0</v>
      </c>
      <c r="E2003" s="7">
        <v>602001</v>
      </c>
      <c r="F2003" s="3">
        <v>51412</v>
      </c>
      <c r="G2003" s="3" t="str">
        <f t="shared" si="31"/>
        <v>5</v>
      </c>
      <c r="H2003" s="3" t="s">
        <v>3615</v>
      </c>
      <c r="I2003" s="8">
        <v>53550</v>
      </c>
      <c r="J2003" s="8">
        <v>0</v>
      </c>
      <c r="K2003" s="8">
        <v>53550</v>
      </c>
    </row>
    <row r="2004" spans="1:11" hidden="1" x14ac:dyDescent="0.25">
      <c r="A2004" s="3" t="s">
        <v>3616</v>
      </c>
      <c r="B2004" s="3">
        <v>12</v>
      </c>
      <c r="C2004" s="5">
        <v>300</v>
      </c>
      <c r="D2004" s="6">
        <v>0</v>
      </c>
      <c r="E2004" s="7">
        <v>602001</v>
      </c>
      <c r="F2004" s="3">
        <v>52300</v>
      </c>
      <c r="G2004" s="3" t="str">
        <f t="shared" si="31"/>
        <v>5</v>
      </c>
      <c r="H2004" s="3" t="s">
        <v>3617</v>
      </c>
      <c r="I2004" s="8">
        <v>38118</v>
      </c>
      <c r="J2004" s="8">
        <v>0</v>
      </c>
      <c r="K2004" s="8">
        <v>38118</v>
      </c>
    </row>
    <row r="2005" spans="1:11" hidden="1" x14ac:dyDescent="0.25">
      <c r="A2005" s="3" t="s">
        <v>3618</v>
      </c>
      <c r="B2005" s="3">
        <v>12</v>
      </c>
      <c r="C2005" s="5">
        <v>300</v>
      </c>
      <c r="D2005" s="6">
        <v>0</v>
      </c>
      <c r="E2005" s="7">
        <v>602001</v>
      </c>
      <c r="F2005" s="3">
        <v>53000</v>
      </c>
      <c r="G2005" s="3" t="str">
        <f t="shared" si="31"/>
        <v>5</v>
      </c>
      <c r="H2005" s="3" t="s">
        <v>3619</v>
      </c>
      <c r="I2005" s="8">
        <v>22068</v>
      </c>
      <c r="J2005" s="8">
        <v>0</v>
      </c>
      <c r="K2005" s="8">
        <v>22068</v>
      </c>
    </row>
    <row r="2006" spans="1:11" hidden="1" x14ac:dyDescent="0.25">
      <c r="A2006" s="3" t="s">
        <v>3620</v>
      </c>
      <c r="B2006" s="3">
        <v>12</v>
      </c>
      <c r="C2006" s="5">
        <v>300</v>
      </c>
      <c r="D2006" s="6">
        <v>0</v>
      </c>
      <c r="E2006" s="7">
        <v>602001</v>
      </c>
      <c r="F2006" s="3">
        <v>53110</v>
      </c>
      <c r="G2006" s="3" t="str">
        <f t="shared" si="31"/>
        <v>5</v>
      </c>
      <c r="H2006" s="3" t="s">
        <v>3621</v>
      </c>
      <c r="I2006" s="8">
        <v>0</v>
      </c>
      <c r="J2006" s="8">
        <v>2907.49</v>
      </c>
      <c r="K2006" s="8">
        <v>0</v>
      </c>
    </row>
    <row r="2007" spans="1:11" hidden="1" x14ac:dyDescent="0.25">
      <c r="A2007" s="3" t="s">
        <v>3622</v>
      </c>
      <c r="B2007" s="3">
        <v>12</v>
      </c>
      <c r="C2007" s="5">
        <v>300</v>
      </c>
      <c r="D2007" s="6">
        <v>0</v>
      </c>
      <c r="E2007" s="7">
        <v>602001</v>
      </c>
      <c r="F2007" s="3">
        <v>53330</v>
      </c>
      <c r="G2007" s="3" t="str">
        <f t="shared" si="31"/>
        <v>5</v>
      </c>
      <c r="H2007" s="3" t="s">
        <v>3623</v>
      </c>
      <c r="I2007" s="8">
        <v>0</v>
      </c>
      <c r="J2007" s="8">
        <v>258.49</v>
      </c>
      <c r="K2007" s="8">
        <v>0</v>
      </c>
    </row>
    <row r="2008" spans="1:11" hidden="1" x14ac:dyDescent="0.25">
      <c r="A2008" s="3" t="s">
        <v>3624</v>
      </c>
      <c r="B2008" s="3">
        <v>12</v>
      </c>
      <c r="C2008" s="5">
        <v>300</v>
      </c>
      <c r="D2008" s="6">
        <v>0</v>
      </c>
      <c r="E2008" s="7">
        <v>602001</v>
      </c>
      <c r="F2008" s="3">
        <v>53410</v>
      </c>
      <c r="G2008" s="3" t="str">
        <f t="shared" si="31"/>
        <v>5</v>
      </c>
      <c r="H2008" s="3" t="s">
        <v>3625</v>
      </c>
      <c r="I2008" s="8">
        <v>0</v>
      </c>
      <c r="J2008" s="8">
        <v>6996.42</v>
      </c>
      <c r="K2008" s="8">
        <v>0</v>
      </c>
    </row>
    <row r="2009" spans="1:11" hidden="1" x14ac:dyDescent="0.25">
      <c r="A2009" s="3" t="s">
        <v>3626</v>
      </c>
      <c r="B2009" s="3">
        <v>12</v>
      </c>
      <c r="C2009" s="5">
        <v>300</v>
      </c>
      <c r="D2009" s="6">
        <v>0</v>
      </c>
      <c r="E2009" s="7">
        <v>602001</v>
      </c>
      <c r="F2009" s="3">
        <v>53510</v>
      </c>
      <c r="G2009" s="3" t="str">
        <f t="shared" si="31"/>
        <v>5</v>
      </c>
      <c r="H2009" s="3" t="s">
        <v>3627</v>
      </c>
      <c r="I2009" s="8">
        <v>0</v>
      </c>
      <c r="J2009" s="8">
        <v>9.01</v>
      </c>
      <c r="K2009" s="8">
        <v>0</v>
      </c>
    </row>
    <row r="2010" spans="1:11" hidden="1" x14ac:dyDescent="0.25">
      <c r="A2010" s="3" t="s">
        <v>3628</v>
      </c>
      <c r="B2010" s="3">
        <v>12</v>
      </c>
      <c r="C2010" s="5">
        <v>300</v>
      </c>
      <c r="D2010" s="6">
        <v>0</v>
      </c>
      <c r="E2010" s="7">
        <v>602001</v>
      </c>
      <c r="F2010" s="3">
        <v>53610</v>
      </c>
      <c r="G2010" s="3" t="str">
        <f t="shared" si="31"/>
        <v>5</v>
      </c>
      <c r="H2010" s="3" t="s">
        <v>3629</v>
      </c>
      <c r="I2010" s="8">
        <v>0</v>
      </c>
      <c r="J2010" s="8">
        <v>340.4</v>
      </c>
      <c r="K2010" s="8">
        <v>0</v>
      </c>
    </row>
    <row r="2011" spans="1:11" hidden="1" x14ac:dyDescent="0.25">
      <c r="A2011" s="3" t="s">
        <v>3630</v>
      </c>
      <c r="B2011" s="3">
        <v>12</v>
      </c>
      <c r="C2011" s="5">
        <v>300</v>
      </c>
      <c r="D2011" s="6">
        <v>0</v>
      </c>
      <c r="E2011" s="7">
        <v>602001</v>
      </c>
      <c r="F2011" s="3">
        <v>55105</v>
      </c>
      <c r="G2011" s="3" t="str">
        <f t="shared" si="31"/>
        <v>5</v>
      </c>
      <c r="H2011" s="3" t="s">
        <v>3631</v>
      </c>
      <c r="I2011" s="8">
        <v>29000</v>
      </c>
      <c r="J2011" s="8">
        <v>0</v>
      </c>
      <c r="K2011" s="8">
        <v>29000</v>
      </c>
    </row>
    <row r="2012" spans="1:11" hidden="1" x14ac:dyDescent="0.25">
      <c r="A2012" s="3" t="s">
        <v>3632</v>
      </c>
      <c r="B2012" s="3">
        <v>12</v>
      </c>
      <c r="C2012" s="5">
        <v>300</v>
      </c>
      <c r="D2012" s="6">
        <v>0</v>
      </c>
      <c r="E2012" s="7">
        <v>602001</v>
      </c>
      <c r="F2012" s="3">
        <v>56400</v>
      </c>
      <c r="G2012" s="3" t="str">
        <f t="shared" si="31"/>
        <v>5</v>
      </c>
      <c r="H2012" s="3" t="s">
        <v>3633</v>
      </c>
      <c r="I2012" s="8">
        <v>223931</v>
      </c>
      <c r="J2012" s="8">
        <v>0</v>
      </c>
      <c r="K2012" s="8">
        <v>223931</v>
      </c>
    </row>
    <row r="2013" spans="1:11" hidden="1" x14ac:dyDescent="0.25">
      <c r="A2013" s="3" t="s">
        <v>3634</v>
      </c>
      <c r="B2013" s="3">
        <v>12</v>
      </c>
      <c r="C2013" s="5">
        <v>300</v>
      </c>
      <c r="D2013" s="6">
        <v>0</v>
      </c>
      <c r="E2013" s="7">
        <v>679000</v>
      </c>
      <c r="F2013" s="3">
        <v>51412</v>
      </c>
      <c r="G2013" s="3" t="str">
        <f t="shared" si="31"/>
        <v>5</v>
      </c>
      <c r="H2013" s="3" t="s">
        <v>3534</v>
      </c>
      <c r="I2013" s="8">
        <v>21000</v>
      </c>
      <c r="J2013" s="8">
        <v>140</v>
      </c>
      <c r="K2013" s="8">
        <v>21000</v>
      </c>
    </row>
    <row r="2014" spans="1:11" hidden="1" x14ac:dyDescent="0.25">
      <c r="A2014" s="3" t="s">
        <v>3635</v>
      </c>
      <c r="B2014" s="3">
        <v>12</v>
      </c>
      <c r="C2014" s="5">
        <v>300</v>
      </c>
      <c r="D2014" s="6">
        <v>0</v>
      </c>
      <c r="E2014" s="7">
        <v>679000</v>
      </c>
      <c r="F2014" s="3">
        <v>53120</v>
      </c>
      <c r="G2014" s="3" t="str">
        <f t="shared" si="31"/>
        <v>5</v>
      </c>
      <c r="H2014" s="3" t="s">
        <v>3536</v>
      </c>
      <c r="I2014" s="8">
        <v>3392</v>
      </c>
      <c r="J2014" s="8">
        <v>22.61</v>
      </c>
      <c r="K2014" s="8">
        <v>3392</v>
      </c>
    </row>
    <row r="2015" spans="1:11" hidden="1" x14ac:dyDescent="0.25">
      <c r="A2015" s="3" t="s">
        <v>3636</v>
      </c>
      <c r="B2015" s="3">
        <v>12</v>
      </c>
      <c r="C2015" s="5">
        <v>300</v>
      </c>
      <c r="D2015" s="6">
        <v>0</v>
      </c>
      <c r="E2015" s="7">
        <v>679000</v>
      </c>
      <c r="F2015" s="3">
        <v>53340</v>
      </c>
      <c r="G2015" s="3" t="str">
        <f t="shared" si="31"/>
        <v>5</v>
      </c>
      <c r="H2015" s="3" t="s">
        <v>3540</v>
      </c>
      <c r="I2015" s="8">
        <v>305</v>
      </c>
      <c r="J2015" s="8">
        <v>2.0299999999999998</v>
      </c>
      <c r="K2015" s="8">
        <v>305</v>
      </c>
    </row>
    <row r="2016" spans="1:11" hidden="1" x14ac:dyDescent="0.25">
      <c r="A2016" s="3" t="s">
        <v>3637</v>
      </c>
      <c r="B2016" s="3">
        <v>12</v>
      </c>
      <c r="C2016" s="5">
        <v>300</v>
      </c>
      <c r="D2016" s="6">
        <v>0</v>
      </c>
      <c r="E2016" s="7">
        <v>679000</v>
      </c>
      <c r="F2016" s="3">
        <v>53520</v>
      </c>
      <c r="G2016" s="3" t="str">
        <f t="shared" si="31"/>
        <v>5</v>
      </c>
      <c r="H2016" s="3" t="s">
        <v>3544</v>
      </c>
      <c r="I2016" s="8">
        <v>11</v>
      </c>
      <c r="J2016" s="8">
        <v>7.0000000000000007E-2</v>
      </c>
      <c r="K2016" s="8">
        <v>11</v>
      </c>
    </row>
    <row r="2017" spans="1:11" hidden="1" x14ac:dyDescent="0.25">
      <c r="A2017" s="3" t="s">
        <v>3638</v>
      </c>
      <c r="B2017" s="3">
        <v>12</v>
      </c>
      <c r="C2017" s="5">
        <v>300</v>
      </c>
      <c r="D2017" s="6">
        <v>0</v>
      </c>
      <c r="E2017" s="7">
        <v>679000</v>
      </c>
      <c r="F2017" s="3">
        <v>53620</v>
      </c>
      <c r="G2017" s="3" t="str">
        <f t="shared" si="31"/>
        <v>5</v>
      </c>
      <c r="H2017" s="3" t="s">
        <v>3546</v>
      </c>
      <c r="I2017" s="8">
        <v>397</v>
      </c>
      <c r="J2017" s="8">
        <v>2.65</v>
      </c>
      <c r="K2017" s="8">
        <v>397</v>
      </c>
    </row>
    <row r="2018" spans="1:11" hidden="1" x14ac:dyDescent="0.25">
      <c r="A2018" s="3" t="s">
        <v>3639</v>
      </c>
      <c r="B2018" s="3">
        <v>12</v>
      </c>
      <c r="C2018" s="5">
        <v>300</v>
      </c>
      <c r="D2018" s="6">
        <v>0</v>
      </c>
      <c r="E2018" s="7">
        <v>720000</v>
      </c>
      <c r="F2018" s="3">
        <v>48627</v>
      </c>
      <c r="G2018" s="3" t="str">
        <f t="shared" si="31"/>
        <v>4</v>
      </c>
      <c r="H2018" s="3" t="s">
        <v>3640</v>
      </c>
      <c r="I2018" s="8">
        <v>-42987.5</v>
      </c>
      <c r="J2018" s="8">
        <v>-42987.5</v>
      </c>
      <c r="K2018" s="8">
        <v>-42987.5</v>
      </c>
    </row>
    <row r="2019" spans="1:11" hidden="1" x14ac:dyDescent="0.25">
      <c r="A2019" s="3" t="s">
        <v>3641</v>
      </c>
      <c r="B2019" s="3">
        <v>12</v>
      </c>
      <c r="C2019" s="5">
        <v>300</v>
      </c>
      <c r="D2019" s="6">
        <v>0</v>
      </c>
      <c r="E2019" s="7">
        <v>720000</v>
      </c>
      <c r="F2019" s="3">
        <v>56400</v>
      </c>
      <c r="G2019" s="3" t="str">
        <f t="shared" si="31"/>
        <v>5</v>
      </c>
      <c r="H2019" s="3" t="s">
        <v>3642</v>
      </c>
      <c r="I2019" s="8">
        <v>26486.86</v>
      </c>
      <c r="J2019" s="8">
        <v>0</v>
      </c>
      <c r="K2019" s="8">
        <v>26486.86</v>
      </c>
    </row>
    <row r="2020" spans="1:11" hidden="1" x14ac:dyDescent="0.25">
      <c r="A2020" s="3" t="s">
        <v>3643</v>
      </c>
      <c r="B2020" s="3">
        <v>12</v>
      </c>
      <c r="C2020" s="5">
        <v>300</v>
      </c>
      <c r="D2020" s="6">
        <v>0</v>
      </c>
      <c r="E2020" s="7">
        <v>720000</v>
      </c>
      <c r="F2020" s="3">
        <v>56405</v>
      </c>
      <c r="G2020" s="3" t="str">
        <f t="shared" si="31"/>
        <v>5</v>
      </c>
      <c r="H2020" s="3" t="s">
        <v>3644</v>
      </c>
      <c r="I2020" s="8">
        <v>16500.64</v>
      </c>
      <c r="J2020" s="8">
        <v>0</v>
      </c>
      <c r="K2020" s="8">
        <v>16500.64</v>
      </c>
    </row>
    <row r="2021" spans="1:11" hidden="1" x14ac:dyDescent="0.25">
      <c r="A2021" s="3" t="s">
        <v>3645</v>
      </c>
      <c r="B2021" s="3">
        <v>12</v>
      </c>
      <c r="C2021" s="5">
        <v>301</v>
      </c>
      <c r="D2021" s="6">
        <v>0</v>
      </c>
      <c r="E2021" s="7">
        <v>601010</v>
      </c>
      <c r="F2021" s="3">
        <v>48690</v>
      </c>
      <c r="G2021" s="3" t="str">
        <f t="shared" si="31"/>
        <v>4</v>
      </c>
      <c r="H2021" s="3" t="s">
        <v>3646</v>
      </c>
      <c r="I2021" s="8">
        <v>-132013.79999999999</v>
      </c>
      <c r="J2021" s="8">
        <v>-132013.79999999999</v>
      </c>
      <c r="K2021" s="8">
        <v>-132013.79999999999</v>
      </c>
    </row>
    <row r="2022" spans="1:11" hidden="1" x14ac:dyDescent="0.25">
      <c r="A2022" s="3" t="s">
        <v>3647</v>
      </c>
      <c r="B2022" s="3">
        <v>12</v>
      </c>
      <c r="C2022" s="5">
        <v>301</v>
      </c>
      <c r="D2022" s="6">
        <v>0</v>
      </c>
      <c r="E2022" s="7">
        <v>601010</v>
      </c>
      <c r="F2022" s="3">
        <v>51200</v>
      </c>
      <c r="G2022" s="3" t="str">
        <f t="shared" si="31"/>
        <v>5</v>
      </c>
      <c r="H2022" s="3" t="s">
        <v>3648</v>
      </c>
      <c r="I2022" s="8">
        <v>0</v>
      </c>
      <c r="J2022" s="8">
        <v>53347.92</v>
      </c>
      <c r="K2022" s="8">
        <v>0</v>
      </c>
    </row>
    <row r="2023" spans="1:11" hidden="1" x14ac:dyDescent="0.25">
      <c r="A2023" s="3" t="s">
        <v>3649</v>
      </c>
      <c r="B2023" s="3">
        <v>12</v>
      </c>
      <c r="C2023" s="5">
        <v>301</v>
      </c>
      <c r="D2023" s="6">
        <v>0</v>
      </c>
      <c r="E2023" s="7">
        <v>601010</v>
      </c>
      <c r="F2023" s="3">
        <v>51412</v>
      </c>
      <c r="G2023" s="3" t="str">
        <f t="shared" si="31"/>
        <v>5</v>
      </c>
      <c r="H2023" s="3" t="s">
        <v>3650</v>
      </c>
      <c r="I2023" s="8">
        <v>57533</v>
      </c>
      <c r="J2023" s="8">
        <v>27800</v>
      </c>
      <c r="K2023" s="8">
        <v>57533</v>
      </c>
    </row>
    <row r="2024" spans="1:11" hidden="1" x14ac:dyDescent="0.25">
      <c r="A2024" s="3" t="s">
        <v>3651</v>
      </c>
      <c r="B2024" s="3">
        <v>12</v>
      </c>
      <c r="C2024" s="5">
        <v>301</v>
      </c>
      <c r="D2024" s="6">
        <v>0</v>
      </c>
      <c r="E2024" s="7">
        <v>601010</v>
      </c>
      <c r="F2024" s="3">
        <v>52300</v>
      </c>
      <c r="G2024" s="3" t="str">
        <f t="shared" si="31"/>
        <v>5</v>
      </c>
      <c r="H2024" s="3" t="s">
        <v>3652</v>
      </c>
      <c r="I2024" s="8">
        <v>51437</v>
      </c>
      <c r="J2024" s="8">
        <v>1515.2</v>
      </c>
      <c r="K2024" s="8">
        <v>51437</v>
      </c>
    </row>
    <row r="2025" spans="1:11" hidden="1" x14ac:dyDescent="0.25">
      <c r="A2025" s="3" t="s">
        <v>3653</v>
      </c>
      <c r="B2025" s="3">
        <v>12</v>
      </c>
      <c r="C2025" s="5">
        <v>301</v>
      </c>
      <c r="D2025" s="6">
        <v>0</v>
      </c>
      <c r="E2025" s="7">
        <v>601010</v>
      </c>
      <c r="F2025" s="3">
        <v>52360</v>
      </c>
      <c r="G2025" s="3" t="str">
        <f t="shared" si="31"/>
        <v>5</v>
      </c>
      <c r="H2025" s="3" t="s">
        <v>3654</v>
      </c>
      <c r="I2025" s="8">
        <v>4121</v>
      </c>
      <c r="J2025" s="8">
        <v>34476.75</v>
      </c>
      <c r="K2025" s="8">
        <v>4121</v>
      </c>
    </row>
    <row r="2026" spans="1:11" hidden="1" x14ac:dyDescent="0.25">
      <c r="A2026" s="3" t="s">
        <v>3655</v>
      </c>
      <c r="B2026" s="3">
        <v>12</v>
      </c>
      <c r="C2026" s="5">
        <v>301</v>
      </c>
      <c r="D2026" s="6">
        <v>0</v>
      </c>
      <c r="E2026" s="7">
        <v>601010</v>
      </c>
      <c r="F2026" s="3">
        <v>53000</v>
      </c>
      <c r="G2026" s="3" t="str">
        <f t="shared" si="31"/>
        <v>5</v>
      </c>
      <c r="H2026" s="3" t="s">
        <v>3656</v>
      </c>
      <c r="I2026" s="8">
        <v>7350.8</v>
      </c>
      <c r="J2026" s="8">
        <v>0</v>
      </c>
      <c r="K2026" s="8">
        <v>7350.8</v>
      </c>
    </row>
    <row r="2027" spans="1:11" hidden="1" x14ac:dyDescent="0.25">
      <c r="A2027" s="3" t="s">
        <v>3657</v>
      </c>
      <c r="B2027" s="3">
        <v>12</v>
      </c>
      <c r="C2027" s="5">
        <v>301</v>
      </c>
      <c r="D2027" s="6">
        <v>0</v>
      </c>
      <c r="E2027" s="7">
        <v>601010</v>
      </c>
      <c r="F2027" s="3">
        <v>53120</v>
      </c>
      <c r="G2027" s="3" t="str">
        <f t="shared" si="31"/>
        <v>5</v>
      </c>
      <c r="H2027" s="3" t="s">
        <v>3658</v>
      </c>
      <c r="I2027" s="8">
        <v>10836</v>
      </c>
      <c r="J2027" s="8">
        <v>8474.44</v>
      </c>
      <c r="K2027" s="8">
        <v>10836</v>
      </c>
    </row>
    <row r="2028" spans="1:11" hidden="1" x14ac:dyDescent="0.25">
      <c r="A2028" s="3" t="s">
        <v>3659</v>
      </c>
      <c r="B2028" s="3">
        <v>12</v>
      </c>
      <c r="C2028" s="5">
        <v>301</v>
      </c>
      <c r="D2028" s="6">
        <v>0</v>
      </c>
      <c r="E2028" s="7">
        <v>601010</v>
      </c>
      <c r="F2028" s="3">
        <v>53220</v>
      </c>
      <c r="G2028" s="3" t="str">
        <f t="shared" si="31"/>
        <v>5</v>
      </c>
      <c r="H2028" s="3" t="s">
        <v>3660</v>
      </c>
      <c r="I2028" s="8">
        <v>0</v>
      </c>
      <c r="J2028" s="8">
        <v>1350.68</v>
      </c>
      <c r="K2028" s="8">
        <v>0</v>
      </c>
    </row>
    <row r="2029" spans="1:11" hidden="1" x14ac:dyDescent="0.25">
      <c r="A2029" s="3" t="s">
        <v>3661</v>
      </c>
      <c r="B2029" s="3">
        <v>12</v>
      </c>
      <c r="C2029" s="5">
        <v>301</v>
      </c>
      <c r="D2029" s="6">
        <v>0</v>
      </c>
      <c r="E2029" s="7">
        <v>601010</v>
      </c>
      <c r="F2029" s="3">
        <v>53320</v>
      </c>
      <c r="G2029" s="3" t="str">
        <f t="shared" si="31"/>
        <v>5</v>
      </c>
      <c r="H2029" s="3" t="s">
        <v>3662</v>
      </c>
      <c r="I2029" s="8">
        <v>0</v>
      </c>
      <c r="J2029" s="8">
        <v>2330.6799999999998</v>
      </c>
      <c r="K2029" s="8">
        <v>0</v>
      </c>
    </row>
    <row r="2030" spans="1:11" hidden="1" x14ac:dyDescent="0.25">
      <c r="A2030" s="3" t="s">
        <v>3663</v>
      </c>
      <c r="B2030" s="3">
        <v>12</v>
      </c>
      <c r="C2030" s="5">
        <v>301</v>
      </c>
      <c r="D2030" s="6">
        <v>0</v>
      </c>
      <c r="E2030" s="7">
        <v>601010</v>
      </c>
      <c r="F2030" s="3">
        <v>53340</v>
      </c>
      <c r="G2030" s="3" t="str">
        <f t="shared" si="31"/>
        <v>5</v>
      </c>
      <c r="H2030" s="3" t="s">
        <v>3664</v>
      </c>
      <c r="I2030" s="8">
        <v>0</v>
      </c>
      <c r="J2030" s="8">
        <v>1640.51</v>
      </c>
      <c r="K2030" s="8">
        <v>0</v>
      </c>
    </row>
    <row r="2031" spans="1:11" hidden="1" x14ac:dyDescent="0.25">
      <c r="A2031" s="3" t="s">
        <v>3665</v>
      </c>
      <c r="B2031" s="3">
        <v>12</v>
      </c>
      <c r="C2031" s="5">
        <v>301</v>
      </c>
      <c r="D2031" s="6">
        <v>0</v>
      </c>
      <c r="E2031" s="7">
        <v>601010</v>
      </c>
      <c r="F2031" s="3">
        <v>53420</v>
      </c>
      <c r="G2031" s="3" t="str">
        <f t="shared" si="31"/>
        <v>5</v>
      </c>
      <c r="H2031" s="3" t="s">
        <v>3666</v>
      </c>
      <c r="I2031" s="8">
        <v>0</v>
      </c>
      <c r="J2031" s="8">
        <v>5717.88</v>
      </c>
      <c r="K2031" s="8">
        <v>0</v>
      </c>
    </row>
    <row r="2032" spans="1:11" hidden="1" x14ac:dyDescent="0.25">
      <c r="A2032" s="3" t="s">
        <v>3667</v>
      </c>
      <c r="B2032" s="3">
        <v>12</v>
      </c>
      <c r="C2032" s="5">
        <v>301</v>
      </c>
      <c r="D2032" s="6">
        <v>0</v>
      </c>
      <c r="E2032" s="7">
        <v>601010</v>
      </c>
      <c r="F2032" s="3">
        <v>53520</v>
      </c>
      <c r="G2032" s="3" t="str">
        <f t="shared" si="31"/>
        <v>5</v>
      </c>
      <c r="H2032" s="3" t="s">
        <v>3668</v>
      </c>
      <c r="I2032" s="8">
        <v>0</v>
      </c>
      <c r="J2032" s="8">
        <v>56.59</v>
      </c>
      <c r="K2032" s="8">
        <v>0</v>
      </c>
    </row>
    <row r="2033" spans="1:11" hidden="1" x14ac:dyDescent="0.25">
      <c r="A2033" s="3" t="s">
        <v>3669</v>
      </c>
      <c r="B2033" s="3">
        <v>12</v>
      </c>
      <c r="C2033" s="5">
        <v>301</v>
      </c>
      <c r="D2033" s="6">
        <v>0</v>
      </c>
      <c r="E2033" s="7">
        <v>601010</v>
      </c>
      <c r="F2033" s="3">
        <v>53620</v>
      </c>
      <c r="G2033" s="3" t="str">
        <f t="shared" si="31"/>
        <v>5</v>
      </c>
      <c r="H2033" s="3" t="s">
        <v>3670</v>
      </c>
      <c r="I2033" s="8">
        <v>0</v>
      </c>
      <c r="J2033" s="8">
        <v>2136.8000000000002</v>
      </c>
      <c r="K2033" s="8">
        <v>0</v>
      </c>
    </row>
    <row r="2034" spans="1:11" hidden="1" x14ac:dyDescent="0.25">
      <c r="A2034" s="3" t="s">
        <v>3671</v>
      </c>
      <c r="B2034" s="3">
        <v>12</v>
      </c>
      <c r="C2034" s="5">
        <v>301</v>
      </c>
      <c r="D2034" s="6">
        <v>0</v>
      </c>
      <c r="E2034" s="7">
        <v>601010</v>
      </c>
      <c r="F2034" s="3">
        <v>54210</v>
      </c>
      <c r="G2034" s="3" t="str">
        <f t="shared" si="31"/>
        <v>5</v>
      </c>
      <c r="H2034" s="3" t="s">
        <v>3672</v>
      </c>
      <c r="I2034" s="8">
        <v>236</v>
      </c>
      <c r="J2034" s="8">
        <v>0</v>
      </c>
      <c r="K2034" s="8">
        <v>236</v>
      </c>
    </row>
    <row r="2035" spans="1:11" hidden="1" x14ac:dyDescent="0.25">
      <c r="A2035" s="3" t="s">
        <v>3673</v>
      </c>
      <c r="B2035" s="3">
        <v>12</v>
      </c>
      <c r="C2035" s="5">
        <v>301</v>
      </c>
      <c r="D2035" s="6">
        <v>0</v>
      </c>
      <c r="E2035" s="7">
        <v>601010</v>
      </c>
      <c r="F2035" s="3">
        <v>54300</v>
      </c>
      <c r="G2035" s="3" t="str">
        <f t="shared" si="31"/>
        <v>5</v>
      </c>
      <c r="H2035" s="3" t="s">
        <v>3674</v>
      </c>
      <c r="I2035" s="8">
        <v>500</v>
      </c>
      <c r="J2035" s="8">
        <v>476.88</v>
      </c>
      <c r="K2035" s="8">
        <v>500</v>
      </c>
    </row>
    <row r="2036" spans="1:11" hidden="1" x14ac:dyDescent="0.25">
      <c r="A2036" s="3" t="s">
        <v>3675</v>
      </c>
      <c r="B2036" s="3">
        <v>12</v>
      </c>
      <c r="C2036" s="5">
        <v>301</v>
      </c>
      <c r="D2036" s="6">
        <v>0</v>
      </c>
      <c r="E2036" s="7">
        <v>601010</v>
      </c>
      <c r="F2036" s="3">
        <v>55200</v>
      </c>
      <c r="G2036" s="3" t="str">
        <f t="shared" si="31"/>
        <v>5</v>
      </c>
      <c r="H2036" s="3" t="s">
        <v>3676</v>
      </c>
      <c r="I2036" s="8">
        <v>0</v>
      </c>
      <c r="J2036" s="8">
        <v>0</v>
      </c>
      <c r="K2036" s="8">
        <v>0</v>
      </c>
    </row>
    <row r="2037" spans="1:11" hidden="1" x14ac:dyDescent="0.25">
      <c r="A2037" s="3" t="s">
        <v>3677</v>
      </c>
      <c r="B2037" s="3">
        <v>12</v>
      </c>
      <c r="C2037" s="5">
        <v>301</v>
      </c>
      <c r="D2037" s="6">
        <v>0</v>
      </c>
      <c r="E2037" s="7">
        <v>601010</v>
      </c>
      <c r="F2037" s="3">
        <v>55830</v>
      </c>
      <c r="G2037" s="3" t="str">
        <f t="shared" si="31"/>
        <v>5</v>
      </c>
      <c r="H2037" s="3" t="s">
        <v>3678</v>
      </c>
      <c r="I2037" s="8">
        <v>0</v>
      </c>
      <c r="J2037" s="8">
        <v>0</v>
      </c>
      <c r="K2037" s="8">
        <v>0</v>
      </c>
    </row>
    <row r="2038" spans="1:11" hidden="1" x14ac:dyDescent="0.25">
      <c r="A2038" s="3" t="s">
        <v>3679</v>
      </c>
      <c r="B2038" s="3">
        <v>12</v>
      </c>
      <c r="C2038" s="5">
        <v>301</v>
      </c>
      <c r="D2038" s="6">
        <v>0</v>
      </c>
      <c r="E2038" s="7">
        <v>601011</v>
      </c>
      <c r="F2038" s="3">
        <v>48690</v>
      </c>
      <c r="G2038" s="3" t="str">
        <f t="shared" si="31"/>
        <v>4</v>
      </c>
      <c r="H2038" s="3" t="s">
        <v>3680</v>
      </c>
      <c r="I2038" s="8">
        <v>-15000</v>
      </c>
      <c r="J2038" s="8">
        <v>-15000</v>
      </c>
      <c r="K2038" s="8">
        <v>-15000</v>
      </c>
    </row>
    <row r="2039" spans="1:11" hidden="1" x14ac:dyDescent="0.25">
      <c r="A2039" s="3" t="s">
        <v>3681</v>
      </c>
      <c r="B2039" s="3">
        <v>12</v>
      </c>
      <c r="C2039" s="5">
        <v>301</v>
      </c>
      <c r="D2039" s="6">
        <v>0</v>
      </c>
      <c r="E2039" s="7">
        <v>601011</v>
      </c>
      <c r="F2039" s="3">
        <v>51412</v>
      </c>
      <c r="G2039" s="3" t="str">
        <f t="shared" si="31"/>
        <v>5</v>
      </c>
      <c r="H2039" s="3" t="s">
        <v>3682</v>
      </c>
      <c r="I2039" s="8">
        <v>6450</v>
      </c>
      <c r="J2039" s="8">
        <v>6450</v>
      </c>
      <c r="K2039" s="8">
        <v>6450</v>
      </c>
    </row>
    <row r="2040" spans="1:11" hidden="1" x14ac:dyDescent="0.25">
      <c r="A2040" s="3" t="s">
        <v>3683</v>
      </c>
      <c r="B2040" s="3">
        <v>12</v>
      </c>
      <c r="C2040" s="5">
        <v>301</v>
      </c>
      <c r="D2040" s="6">
        <v>0</v>
      </c>
      <c r="E2040" s="7">
        <v>601011</v>
      </c>
      <c r="F2040" s="3">
        <v>52300</v>
      </c>
      <c r="G2040" s="3" t="str">
        <f t="shared" si="31"/>
        <v>5</v>
      </c>
      <c r="H2040" s="3" t="s">
        <v>3684</v>
      </c>
      <c r="I2040" s="8">
        <v>0</v>
      </c>
      <c r="J2040" s="8">
        <v>354.4</v>
      </c>
      <c r="K2040" s="8">
        <v>0</v>
      </c>
    </row>
    <row r="2041" spans="1:11" hidden="1" x14ac:dyDescent="0.25">
      <c r="A2041" s="3" t="s">
        <v>3685</v>
      </c>
      <c r="B2041" s="3">
        <v>12</v>
      </c>
      <c r="C2041" s="5">
        <v>301</v>
      </c>
      <c r="D2041" s="6">
        <v>0</v>
      </c>
      <c r="E2041" s="7">
        <v>601011</v>
      </c>
      <c r="F2041" s="3">
        <v>52360</v>
      </c>
      <c r="G2041" s="3" t="str">
        <f t="shared" si="31"/>
        <v>5</v>
      </c>
      <c r="H2041" s="3" t="s">
        <v>3686</v>
      </c>
      <c r="I2041" s="8">
        <v>6652</v>
      </c>
      <c r="J2041" s="8">
        <v>0</v>
      </c>
      <c r="K2041" s="8">
        <v>6652</v>
      </c>
    </row>
    <row r="2042" spans="1:11" hidden="1" x14ac:dyDescent="0.25">
      <c r="A2042" s="3" t="s">
        <v>3687</v>
      </c>
      <c r="B2042" s="3">
        <v>12</v>
      </c>
      <c r="C2042" s="5">
        <v>301</v>
      </c>
      <c r="D2042" s="6">
        <v>0</v>
      </c>
      <c r="E2042" s="7">
        <v>601011</v>
      </c>
      <c r="F2042" s="3">
        <v>53000</v>
      </c>
      <c r="G2042" s="3" t="str">
        <f t="shared" si="31"/>
        <v>5</v>
      </c>
      <c r="H2042" s="3" t="s">
        <v>3688</v>
      </c>
      <c r="I2042" s="8">
        <v>1898</v>
      </c>
      <c r="J2042" s="8">
        <v>0</v>
      </c>
      <c r="K2042" s="8">
        <v>1898</v>
      </c>
    </row>
    <row r="2043" spans="1:11" hidden="1" x14ac:dyDescent="0.25">
      <c r="A2043" s="3" t="s">
        <v>3689</v>
      </c>
      <c r="B2043" s="3">
        <v>12</v>
      </c>
      <c r="C2043" s="5">
        <v>301</v>
      </c>
      <c r="D2043" s="6">
        <v>0</v>
      </c>
      <c r="E2043" s="7">
        <v>601011</v>
      </c>
      <c r="F2043" s="3">
        <v>53120</v>
      </c>
      <c r="G2043" s="3" t="str">
        <f t="shared" si="31"/>
        <v>5</v>
      </c>
      <c r="H2043" s="3" t="s">
        <v>3690</v>
      </c>
      <c r="I2043" s="8">
        <v>0</v>
      </c>
      <c r="J2043" s="8">
        <v>1041.68</v>
      </c>
      <c r="K2043" s="8">
        <v>0</v>
      </c>
    </row>
    <row r="2044" spans="1:11" hidden="1" x14ac:dyDescent="0.25">
      <c r="A2044" s="3" t="s">
        <v>3691</v>
      </c>
      <c r="B2044" s="3">
        <v>12</v>
      </c>
      <c r="C2044" s="5">
        <v>301</v>
      </c>
      <c r="D2044" s="6">
        <v>0</v>
      </c>
      <c r="E2044" s="7">
        <v>601011</v>
      </c>
      <c r="F2044" s="3">
        <v>53320</v>
      </c>
      <c r="G2044" s="3" t="str">
        <f t="shared" si="31"/>
        <v>5</v>
      </c>
      <c r="H2044" s="3" t="s">
        <v>3692</v>
      </c>
      <c r="I2044" s="8">
        <v>0</v>
      </c>
      <c r="J2044" s="8">
        <v>21.98</v>
      </c>
      <c r="K2044" s="8">
        <v>0</v>
      </c>
    </row>
    <row r="2045" spans="1:11" hidden="1" x14ac:dyDescent="0.25">
      <c r="A2045" s="3" t="s">
        <v>3693</v>
      </c>
      <c r="B2045" s="3">
        <v>12</v>
      </c>
      <c r="C2045" s="5">
        <v>301</v>
      </c>
      <c r="D2045" s="6">
        <v>0</v>
      </c>
      <c r="E2045" s="7">
        <v>601011</v>
      </c>
      <c r="F2045" s="3">
        <v>53340</v>
      </c>
      <c r="G2045" s="3" t="str">
        <f t="shared" si="31"/>
        <v>5</v>
      </c>
      <c r="H2045" s="3" t="s">
        <v>3694</v>
      </c>
      <c r="I2045" s="8">
        <v>0</v>
      </c>
      <c r="J2045" s="8">
        <v>98.67</v>
      </c>
      <c r="K2045" s="8">
        <v>0</v>
      </c>
    </row>
    <row r="2046" spans="1:11" hidden="1" x14ac:dyDescent="0.25">
      <c r="A2046" s="3" t="s">
        <v>3695</v>
      </c>
      <c r="B2046" s="3">
        <v>12</v>
      </c>
      <c r="C2046" s="5">
        <v>301</v>
      </c>
      <c r="D2046" s="6">
        <v>0</v>
      </c>
      <c r="E2046" s="7">
        <v>601011</v>
      </c>
      <c r="F2046" s="3">
        <v>53520</v>
      </c>
      <c r="G2046" s="3" t="str">
        <f t="shared" si="31"/>
        <v>5</v>
      </c>
      <c r="H2046" s="3" t="s">
        <v>3696</v>
      </c>
      <c r="I2046" s="8">
        <v>0</v>
      </c>
      <c r="J2046" s="8">
        <v>3.41</v>
      </c>
      <c r="K2046" s="8">
        <v>0</v>
      </c>
    </row>
    <row r="2047" spans="1:11" hidden="1" x14ac:dyDescent="0.25">
      <c r="A2047" s="3" t="s">
        <v>3697</v>
      </c>
      <c r="B2047" s="3">
        <v>12</v>
      </c>
      <c r="C2047" s="5">
        <v>301</v>
      </c>
      <c r="D2047" s="6">
        <v>0</v>
      </c>
      <c r="E2047" s="7">
        <v>601011</v>
      </c>
      <c r="F2047" s="3">
        <v>53620</v>
      </c>
      <c r="G2047" s="3" t="str">
        <f t="shared" si="31"/>
        <v>5</v>
      </c>
      <c r="H2047" s="3" t="s">
        <v>3698</v>
      </c>
      <c r="I2047" s="8">
        <v>0</v>
      </c>
      <c r="J2047" s="8">
        <v>128.66</v>
      </c>
      <c r="K2047" s="8">
        <v>0</v>
      </c>
    </row>
    <row r="2048" spans="1:11" hidden="1" x14ac:dyDescent="0.25">
      <c r="A2048" s="3" t="s">
        <v>3699</v>
      </c>
      <c r="B2048" s="3">
        <v>12</v>
      </c>
      <c r="C2048" s="5">
        <v>301</v>
      </c>
      <c r="D2048" s="6">
        <v>0</v>
      </c>
      <c r="E2048" s="7">
        <v>679000</v>
      </c>
      <c r="F2048" s="3">
        <v>51412</v>
      </c>
      <c r="G2048" s="3" t="str">
        <f t="shared" si="31"/>
        <v>5</v>
      </c>
      <c r="H2048" s="3" t="s">
        <v>3534</v>
      </c>
      <c r="I2048" s="8">
        <v>12000</v>
      </c>
      <c r="J2048" s="8">
        <v>0</v>
      </c>
      <c r="K2048" s="8">
        <v>12000</v>
      </c>
    </row>
    <row r="2049" spans="1:11" hidden="1" x14ac:dyDescent="0.25">
      <c r="A2049" s="3" t="s">
        <v>3700</v>
      </c>
      <c r="B2049" s="3">
        <v>12</v>
      </c>
      <c r="C2049" s="5">
        <v>301</v>
      </c>
      <c r="D2049" s="6">
        <v>0</v>
      </c>
      <c r="E2049" s="7">
        <v>679000</v>
      </c>
      <c r="F2049" s="3">
        <v>53120</v>
      </c>
      <c r="G2049" s="3" t="str">
        <f t="shared" si="31"/>
        <v>5</v>
      </c>
      <c r="H2049" s="3" t="s">
        <v>3536</v>
      </c>
      <c r="I2049" s="8">
        <v>1938</v>
      </c>
      <c r="J2049" s="8">
        <v>0</v>
      </c>
      <c r="K2049" s="8">
        <v>1938</v>
      </c>
    </row>
    <row r="2050" spans="1:11" hidden="1" x14ac:dyDescent="0.25">
      <c r="A2050" s="3" t="s">
        <v>3701</v>
      </c>
      <c r="B2050" s="3">
        <v>12</v>
      </c>
      <c r="C2050" s="5">
        <v>301</v>
      </c>
      <c r="D2050" s="6">
        <v>0</v>
      </c>
      <c r="E2050" s="7">
        <v>679000</v>
      </c>
      <c r="F2050" s="3">
        <v>53340</v>
      </c>
      <c r="G2050" s="3" t="str">
        <f t="shared" si="31"/>
        <v>5</v>
      </c>
      <c r="H2050" s="3" t="s">
        <v>3540</v>
      </c>
      <c r="I2050" s="8">
        <v>174</v>
      </c>
      <c r="J2050" s="8">
        <v>0</v>
      </c>
      <c r="K2050" s="8">
        <v>174</v>
      </c>
    </row>
    <row r="2051" spans="1:11" hidden="1" x14ac:dyDescent="0.25">
      <c r="A2051" s="3" t="s">
        <v>3702</v>
      </c>
      <c r="B2051" s="3">
        <v>12</v>
      </c>
      <c r="C2051" s="5">
        <v>301</v>
      </c>
      <c r="D2051" s="6">
        <v>0</v>
      </c>
      <c r="E2051" s="7">
        <v>679000</v>
      </c>
      <c r="F2051" s="3">
        <v>53520</v>
      </c>
      <c r="G2051" s="3" t="str">
        <f t="shared" ref="G2051:G2114" si="32">LEFT(F2051,1)</f>
        <v>5</v>
      </c>
      <c r="H2051" s="3" t="s">
        <v>3544</v>
      </c>
      <c r="I2051" s="8">
        <v>6</v>
      </c>
      <c r="J2051" s="8">
        <v>0</v>
      </c>
      <c r="K2051" s="8">
        <v>6</v>
      </c>
    </row>
    <row r="2052" spans="1:11" hidden="1" x14ac:dyDescent="0.25">
      <c r="A2052" s="3" t="s">
        <v>3703</v>
      </c>
      <c r="B2052" s="3">
        <v>12</v>
      </c>
      <c r="C2052" s="5">
        <v>301</v>
      </c>
      <c r="D2052" s="6">
        <v>0</v>
      </c>
      <c r="E2052" s="7">
        <v>679000</v>
      </c>
      <c r="F2052" s="3">
        <v>53620</v>
      </c>
      <c r="G2052" s="3" t="str">
        <f t="shared" si="32"/>
        <v>5</v>
      </c>
      <c r="H2052" s="3" t="s">
        <v>3546</v>
      </c>
      <c r="I2052" s="8">
        <v>227</v>
      </c>
      <c r="J2052" s="8">
        <v>0</v>
      </c>
      <c r="K2052" s="8">
        <v>227</v>
      </c>
    </row>
    <row r="2053" spans="1:11" hidden="1" x14ac:dyDescent="0.25">
      <c r="A2053" s="3" t="s">
        <v>3704</v>
      </c>
      <c r="B2053" s="3">
        <v>12</v>
      </c>
      <c r="C2053" s="5">
        <v>301</v>
      </c>
      <c r="D2053" s="6">
        <v>0</v>
      </c>
      <c r="E2053" s="7">
        <v>703605</v>
      </c>
      <c r="F2053" s="3">
        <v>48890</v>
      </c>
      <c r="G2053" s="3" t="str">
        <f t="shared" si="32"/>
        <v>4</v>
      </c>
      <c r="H2053" s="3" t="s">
        <v>3705</v>
      </c>
      <c r="I2053" s="8">
        <v>-579939.28</v>
      </c>
      <c r="J2053" s="8">
        <v>-38976.35</v>
      </c>
      <c r="K2053" s="8">
        <v>-579939.28</v>
      </c>
    </row>
    <row r="2054" spans="1:11" hidden="1" x14ac:dyDescent="0.25">
      <c r="A2054" s="3" t="s">
        <v>3706</v>
      </c>
      <c r="B2054" s="3">
        <v>12</v>
      </c>
      <c r="C2054" s="5">
        <v>301</v>
      </c>
      <c r="D2054" s="6">
        <v>0</v>
      </c>
      <c r="E2054" s="7">
        <v>703605</v>
      </c>
      <c r="F2054" s="3">
        <v>51412</v>
      </c>
      <c r="G2054" s="3" t="str">
        <f t="shared" si="32"/>
        <v>5</v>
      </c>
      <c r="H2054" s="3" t="s">
        <v>3707</v>
      </c>
      <c r="I2054" s="8">
        <v>2318.2800000000002</v>
      </c>
      <c r="J2054" s="8">
        <v>769.21</v>
      </c>
      <c r="K2054" s="8">
        <v>2318.2800000000002</v>
      </c>
    </row>
    <row r="2055" spans="1:11" hidden="1" x14ac:dyDescent="0.25">
      <c r="A2055" s="3" t="s">
        <v>3708</v>
      </c>
      <c r="B2055" s="3">
        <v>12</v>
      </c>
      <c r="C2055" s="5">
        <v>301</v>
      </c>
      <c r="D2055" s="6">
        <v>0</v>
      </c>
      <c r="E2055" s="7">
        <v>703605</v>
      </c>
      <c r="F2055" s="3">
        <v>52105</v>
      </c>
      <c r="G2055" s="3" t="str">
        <f t="shared" si="32"/>
        <v>5</v>
      </c>
      <c r="H2055" s="3" t="s">
        <v>3709</v>
      </c>
      <c r="I2055" s="8">
        <v>25778</v>
      </c>
      <c r="J2055" s="8">
        <v>19075.64</v>
      </c>
      <c r="K2055" s="8">
        <v>25778</v>
      </c>
    </row>
    <row r="2056" spans="1:11" hidden="1" x14ac:dyDescent="0.25">
      <c r="A2056" s="3" t="s">
        <v>3710</v>
      </c>
      <c r="B2056" s="3">
        <v>12</v>
      </c>
      <c r="C2056" s="5">
        <v>301</v>
      </c>
      <c r="D2056" s="6">
        <v>0</v>
      </c>
      <c r="E2056" s="7">
        <v>703605</v>
      </c>
      <c r="F2056" s="3">
        <v>52130</v>
      </c>
      <c r="G2056" s="3" t="str">
        <f t="shared" si="32"/>
        <v>5</v>
      </c>
      <c r="H2056" s="3" t="s">
        <v>3711</v>
      </c>
      <c r="I2056" s="8">
        <v>13226</v>
      </c>
      <c r="J2056" s="8">
        <v>10219.32</v>
      </c>
      <c r="K2056" s="8">
        <v>13226</v>
      </c>
    </row>
    <row r="2057" spans="1:11" hidden="1" x14ac:dyDescent="0.25">
      <c r="A2057" s="3" t="s">
        <v>3712</v>
      </c>
      <c r="B2057" s="3">
        <v>12</v>
      </c>
      <c r="C2057" s="5">
        <v>301</v>
      </c>
      <c r="D2057" s="6">
        <v>0</v>
      </c>
      <c r="E2057" s="7">
        <v>703605</v>
      </c>
      <c r="F2057" s="3">
        <v>52350</v>
      </c>
      <c r="G2057" s="3" t="str">
        <f t="shared" si="32"/>
        <v>5</v>
      </c>
      <c r="H2057" s="3" t="s">
        <v>3713</v>
      </c>
      <c r="I2057" s="8">
        <v>0</v>
      </c>
      <c r="J2057" s="8">
        <v>0</v>
      </c>
      <c r="K2057" s="8">
        <v>0</v>
      </c>
    </row>
    <row r="2058" spans="1:11" hidden="1" x14ac:dyDescent="0.25">
      <c r="A2058" s="3" t="s">
        <v>3714</v>
      </c>
      <c r="B2058" s="3">
        <v>12</v>
      </c>
      <c r="C2058" s="5">
        <v>301</v>
      </c>
      <c r="D2058" s="6">
        <v>0</v>
      </c>
      <c r="E2058" s="7">
        <v>703605</v>
      </c>
      <c r="F2058" s="3">
        <v>53120</v>
      </c>
      <c r="G2058" s="3" t="str">
        <f t="shared" si="32"/>
        <v>5</v>
      </c>
      <c r="H2058" s="3" t="s">
        <v>3715</v>
      </c>
      <c r="I2058" s="8">
        <v>374.4</v>
      </c>
      <c r="J2058" s="8">
        <v>124.22</v>
      </c>
      <c r="K2058" s="8">
        <v>374.4</v>
      </c>
    </row>
    <row r="2059" spans="1:11" hidden="1" x14ac:dyDescent="0.25">
      <c r="A2059" s="3" t="s">
        <v>3716</v>
      </c>
      <c r="B2059" s="3">
        <v>12</v>
      </c>
      <c r="C2059" s="5">
        <v>301</v>
      </c>
      <c r="D2059" s="6">
        <v>0</v>
      </c>
      <c r="E2059" s="7">
        <v>703605</v>
      </c>
      <c r="F2059" s="3">
        <v>53220</v>
      </c>
      <c r="G2059" s="3" t="str">
        <f t="shared" si="32"/>
        <v>5</v>
      </c>
      <c r="H2059" s="3" t="s">
        <v>3717</v>
      </c>
      <c r="I2059" s="8">
        <v>8074</v>
      </c>
      <c r="J2059" s="8">
        <v>6066.55</v>
      </c>
      <c r="K2059" s="8">
        <v>8074</v>
      </c>
    </row>
    <row r="2060" spans="1:11" hidden="1" x14ac:dyDescent="0.25">
      <c r="A2060" s="3" t="s">
        <v>3718</v>
      </c>
      <c r="B2060" s="3">
        <v>12</v>
      </c>
      <c r="C2060" s="5">
        <v>301</v>
      </c>
      <c r="D2060" s="6">
        <v>0</v>
      </c>
      <c r="E2060" s="7">
        <v>703605</v>
      </c>
      <c r="F2060" s="3">
        <v>53320</v>
      </c>
      <c r="G2060" s="3" t="str">
        <f t="shared" si="32"/>
        <v>5</v>
      </c>
      <c r="H2060" s="3" t="s">
        <v>3719</v>
      </c>
      <c r="I2060" s="8">
        <v>2418</v>
      </c>
      <c r="J2060" s="8">
        <v>1766.03</v>
      </c>
      <c r="K2060" s="8">
        <v>2418</v>
      </c>
    </row>
    <row r="2061" spans="1:11" hidden="1" x14ac:dyDescent="0.25">
      <c r="A2061" s="3" t="s">
        <v>3720</v>
      </c>
      <c r="B2061" s="3">
        <v>12</v>
      </c>
      <c r="C2061" s="5">
        <v>301</v>
      </c>
      <c r="D2061" s="6">
        <v>0</v>
      </c>
      <c r="E2061" s="7">
        <v>703605</v>
      </c>
      <c r="F2061" s="3">
        <v>53340</v>
      </c>
      <c r="G2061" s="3" t="str">
        <f t="shared" si="32"/>
        <v>5</v>
      </c>
      <c r="H2061" s="3" t="s">
        <v>3721</v>
      </c>
      <c r="I2061" s="8">
        <v>599.62</v>
      </c>
      <c r="J2061" s="8">
        <v>424.2</v>
      </c>
      <c r="K2061" s="8">
        <v>599.62</v>
      </c>
    </row>
    <row r="2062" spans="1:11" hidden="1" x14ac:dyDescent="0.25">
      <c r="A2062" s="3" t="s">
        <v>3722</v>
      </c>
      <c r="B2062" s="3">
        <v>12</v>
      </c>
      <c r="C2062" s="5">
        <v>301</v>
      </c>
      <c r="D2062" s="6">
        <v>0</v>
      </c>
      <c r="E2062" s="7">
        <v>703605</v>
      </c>
      <c r="F2062" s="3">
        <v>53420</v>
      </c>
      <c r="G2062" s="3" t="str">
        <f t="shared" si="32"/>
        <v>5</v>
      </c>
      <c r="H2062" s="3" t="s">
        <v>3723</v>
      </c>
      <c r="I2062" s="8">
        <v>12979</v>
      </c>
      <c r="J2062" s="8">
        <v>9550.64</v>
      </c>
      <c r="K2062" s="8">
        <v>12979</v>
      </c>
    </row>
    <row r="2063" spans="1:11" hidden="1" x14ac:dyDescent="0.25">
      <c r="A2063" s="3" t="s">
        <v>3724</v>
      </c>
      <c r="B2063" s="3">
        <v>12</v>
      </c>
      <c r="C2063" s="5">
        <v>301</v>
      </c>
      <c r="D2063" s="6">
        <v>0</v>
      </c>
      <c r="E2063" s="7">
        <v>703605</v>
      </c>
      <c r="F2063" s="3">
        <v>53520</v>
      </c>
      <c r="G2063" s="3" t="str">
        <f t="shared" si="32"/>
        <v>5</v>
      </c>
      <c r="H2063" s="3" t="s">
        <v>3725</v>
      </c>
      <c r="I2063" s="8">
        <v>21.16</v>
      </c>
      <c r="J2063" s="8">
        <v>14.75</v>
      </c>
      <c r="K2063" s="8">
        <v>21.16</v>
      </c>
    </row>
    <row r="2064" spans="1:11" hidden="1" x14ac:dyDescent="0.25">
      <c r="A2064" s="3" t="s">
        <v>3726</v>
      </c>
      <c r="B2064" s="3">
        <v>12</v>
      </c>
      <c r="C2064" s="5">
        <v>301</v>
      </c>
      <c r="D2064" s="6">
        <v>0</v>
      </c>
      <c r="E2064" s="7">
        <v>703605</v>
      </c>
      <c r="F2064" s="3">
        <v>53620</v>
      </c>
      <c r="G2064" s="3" t="str">
        <f t="shared" si="32"/>
        <v>5</v>
      </c>
      <c r="H2064" s="3" t="s">
        <v>3727</v>
      </c>
      <c r="I2064" s="8">
        <v>552.02</v>
      </c>
      <c r="J2064" s="8">
        <v>569.44000000000005</v>
      </c>
      <c r="K2064" s="8">
        <v>552.02</v>
      </c>
    </row>
    <row r="2065" spans="1:12" hidden="1" x14ac:dyDescent="0.25">
      <c r="A2065" s="3" t="s">
        <v>3728</v>
      </c>
      <c r="B2065" s="3">
        <v>12</v>
      </c>
      <c r="C2065" s="5">
        <v>301</v>
      </c>
      <c r="D2065" s="6">
        <v>0</v>
      </c>
      <c r="E2065" s="7">
        <v>703605</v>
      </c>
      <c r="F2065" s="3">
        <v>54210</v>
      </c>
      <c r="G2065" s="3" t="str">
        <f t="shared" si="32"/>
        <v>5</v>
      </c>
      <c r="H2065" s="3" t="s">
        <v>3729</v>
      </c>
      <c r="I2065" s="8">
        <v>0</v>
      </c>
      <c r="J2065" s="8">
        <v>0</v>
      </c>
      <c r="K2065" s="8">
        <v>0</v>
      </c>
    </row>
    <row r="2066" spans="1:12" hidden="1" x14ac:dyDescent="0.25">
      <c r="A2066" s="3" t="s">
        <v>3730</v>
      </c>
      <c r="B2066" s="3">
        <v>12</v>
      </c>
      <c r="C2066" s="5">
        <v>301</v>
      </c>
      <c r="D2066" s="6">
        <v>0</v>
      </c>
      <c r="E2066" s="7">
        <v>703605</v>
      </c>
      <c r="F2066" s="3">
        <v>54300</v>
      </c>
      <c r="G2066" s="3" t="str">
        <f t="shared" si="32"/>
        <v>5</v>
      </c>
      <c r="H2066" s="3" t="s">
        <v>3731</v>
      </c>
      <c r="I2066" s="8">
        <v>9100</v>
      </c>
      <c r="J2066" s="8">
        <v>1914.42</v>
      </c>
      <c r="K2066" s="8">
        <v>9100</v>
      </c>
    </row>
    <row r="2067" spans="1:12" hidden="1" x14ac:dyDescent="0.25">
      <c r="A2067" s="3" t="s">
        <v>3732</v>
      </c>
      <c r="B2067" s="3">
        <v>12</v>
      </c>
      <c r="C2067" s="5">
        <v>301</v>
      </c>
      <c r="D2067" s="6">
        <v>0</v>
      </c>
      <c r="E2067" s="7">
        <v>703605</v>
      </c>
      <c r="F2067" s="3">
        <v>55100</v>
      </c>
      <c r="G2067" s="3" t="str">
        <f t="shared" si="32"/>
        <v>5</v>
      </c>
      <c r="H2067" s="3" t="s">
        <v>3733</v>
      </c>
      <c r="I2067" s="8">
        <v>2000</v>
      </c>
      <c r="J2067" s="8">
        <v>550</v>
      </c>
      <c r="K2067" s="8">
        <v>2000</v>
      </c>
    </row>
    <row r="2068" spans="1:12" hidden="1" x14ac:dyDescent="0.25">
      <c r="A2068" s="3" t="s">
        <v>3734</v>
      </c>
      <c r="B2068" s="3">
        <v>12</v>
      </c>
      <c r="C2068" s="5">
        <v>301</v>
      </c>
      <c r="D2068" s="6">
        <v>0</v>
      </c>
      <c r="E2068" s="7">
        <v>703605</v>
      </c>
      <c r="F2068" s="3">
        <v>55105</v>
      </c>
      <c r="G2068" s="3" t="str">
        <f t="shared" si="32"/>
        <v>5</v>
      </c>
      <c r="H2068" s="3" t="s">
        <v>3735</v>
      </c>
      <c r="I2068" s="8">
        <v>7000</v>
      </c>
      <c r="J2068" s="8">
        <v>6000</v>
      </c>
      <c r="K2068" s="8">
        <v>7000</v>
      </c>
    </row>
    <row r="2069" spans="1:12" hidden="1" x14ac:dyDescent="0.25">
      <c r="A2069" s="3" t="s">
        <v>3736</v>
      </c>
      <c r="B2069" s="3">
        <v>12</v>
      </c>
      <c r="C2069" s="5">
        <v>301</v>
      </c>
      <c r="D2069" s="6">
        <v>0</v>
      </c>
      <c r="E2069" s="7">
        <v>703605</v>
      </c>
      <c r="F2069" s="3">
        <v>55200</v>
      </c>
      <c r="G2069" s="3" t="str">
        <f t="shared" si="32"/>
        <v>5</v>
      </c>
      <c r="H2069" s="3" t="s">
        <v>3737</v>
      </c>
      <c r="I2069" s="8">
        <v>1445</v>
      </c>
      <c r="J2069" s="8">
        <v>0</v>
      </c>
      <c r="K2069" s="8">
        <v>1445</v>
      </c>
    </row>
    <row r="2070" spans="1:12" hidden="1" x14ac:dyDescent="0.25">
      <c r="A2070" s="3" t="s">
        <v>3738</v>
      </c>
      <c r="B2070" s="3">
        <v>12</v>
      </c>
      <c r="C2070" s="5">
        <v>301</v>
      </c>
      <c r="D2070" s="6">
        <v>0</v>
      </c>
      <c r="E2070" s="7">
        <v>703605</v>
      </c>
      <c r="F2070" s="3">
        <v>55240</v>
      </c>
      <c r="G2070" s="3" t="str">
        <f t="shared" si="32"/>
        <v>5</v>
      </c>
      <c r="H2070" s="3" t="s">
        <v>3739</v>
      </c>
      <c r="I2070" s="8">
        <v>0</v>
      </c>
      <c r="J2070" s="8">
        <v>0</v>
      </c>
      <c r="K2070" s="8">
        <v>0</v>
      </c>
    </row>
    <row r="2071" spans="1:12" hidden="1" x14ac:dyDescent="0.25">
      <c r="A2071" s="3" t="s">
        <v>3740</v>
      </c>
      <c r="B2071" s="3">
        <v>12</v>
      </c>
      <c r="C2071" s="5">
        <v>301</v>
      </c>
      <c r="D2071" s="6">
        <v>0</v>
      </c>
      <c r="E2071" s="7">
        <v>703605</v>
      </c>
      <c r="F2071" s="3">
        <v>55630</v>
      </c>
      <c r="G2071" s="3" t="str">
        <f t="shared" si="32"/>
        <v>5</v>
      </c>
      <c r="H2071" s="3" t="s">
        <v>3741</v>
      </c>
      <c r="I2071" s="8">
        <v>1100</v>
      </c>
      <c r="J2071" s="8">
        <v>11.35</v>
      </c>
      <c r="K2071" s="8">
        <v>1100</v>
      </c>
    </row>
    <row r="2072" spans="1:12" hidden="1" x14ac:dyDescent="0.25">
      <c r="A2072" s="3" t="s">
        <v>3742</v>
      </c>
      <c r="B2072" s="3">
        <v>12</v>
      </c>
      <c r="C2072" s="5">
        <v>301</v>
      </c>
      <c r="D2072" s="6">
        <v>0</v>
      </c>
      <c r="E2072" s="7">
        <v>703605</v>
      </c>
      <c r="F2072" s="3">
        <v>55800</v>
      </c>
      <c r="G2072" s="3" t="str">
        <f t="shared" si="32"/>
        <v>5</v>
      </c>
      <c r="H2072" s="3" t="s">
        <v>3743</v>
      </c>
      <c r="I2072" s="8">
        <v>459953.8</v>
      </c>
      <c r="J2072" s="8">
        <v>0</v>
      </c>
      <c r="K2072" s="8">
        <v>459953.8</v>
      </c>
    </row>
    <row r="2073" spans="1:12" hidden="1" x14ac:dyDescent="0.25">
      <c r="A2073" s="3" t="s">
        <v>3744</v>
      </c>
      <c r="B2073" s="3">
        <v>12</v>
      </c>
      <c r="C2073" s="5">
        <v>301</v>
      </c>
      <c r="D2073" s="6">
        <v>0</v>
      </c>
      <c r="E2073" s="7">
        <v>703605</v>
      </c>
      <c r="F2073" s="3">
        <v>57510</v>
      </c>
      <c r="G2073" s="3" t="str">
        <f t="shared" si="32"/>
        <v>5</v>
      </c>
      <c r="H2073" s="3" t="s">
        <v>3745</v>
      </c>
      <c r="I2073" s="8">
        <v>30000</v>
      </c>
      <c r="J2073" s="8">
        <v>558</v>
      </c>
      <c r="K2073" s="8">
        <v>30000</v>
      </c>
    </row>
    <row r="2074" spans="1:12" hidden="1" x14ac:dyDescent="0.25">
      <c r="A2074" s="3" t="s">
        <v>3746</v>
      </c>
      <c r="B2074" s="3">
        <v>12</v>
      </c>
      <c r="C2074" s="5">
        <v>301</v>
      </c>
      <c r="D2074" s="6">
        <v>0</v>
      </c>
      <c r="E2074" s="7">
        <v>703605</v>
      </c>
      <c r="F2074" s="3">
        <v>57600</v>
      </c>
      <c r="G2074" s="3" t="str">
        <f t="shared" si="32"/>
        <v>5</v>
      </c>
      <c r="H2074" s="3" t="s">
        <v>3747</v>
      </c>
      <c r="I2074" s="8">
        <v>3000</v>
      </c>
      <c r="J2074" s="8">
        <v>520</v>
      </c>
      <c r="K2074" s="8">
        <v>3000</v>
      </c>
    </row>
    <row r="2075" spans="1:12" hidden="1" x14ac:dyDescent="0.25">
      <c r="A2075" s="3" t="s">
        <v>3748</v>
      </c>
      <c r="B2075" s="3">
        <v>12</v>
      </c>
      <c r="C2075" s="5">
        <v>301</v>
      </c>
      <c r="D2075" s="6">
        <v>0</v>
      </c>
      <c r="E2075" s="7">
        <v>703608</v>
      </c>
      <c r="F2075" s="3">
        <v>52350</v>
      </c>
      <c r="G2075" s="3" t="str">
        <f t="shared" si="32"/>
        <v>5</v>
      </c>
      <c r="H2075" s="3" t="s">
        <v>3749</v>
      </c>
      <c r="I2075" s="8">
        <v>0</v>
      </c>
      <c r="J2075" s="8">
        <v>0</v>
      </c>
      <c r="K2075" s="8">
        <v>0</v>
      </c>
    </row>
    <row r="2076" spans="1:12" hidden="1" x14ac:dyDescent="0.25">
      <c r="A2076" s="3" t="s">
        <v>3750</v>
      </c>
      <c r="B2076" s="3">
        <v>12</v>
      </c>
      <c r="C2076" s="5">
        <v>301</v>
      </c>
      <c r="D2076" s="6">
        <v>0</v>
      </c>
      <c r="E2076" s="7">
        <v>703608</v>
      </c>
      <c r="F2076" s="3">
        <v>53620</v>
      </c>
      <c r="G2076" s="3" t="str">
        <f t="shared" si="32"/>
        <v>5</v>
      </c>
      <c r="H2076" s="3" t="s">
        <v>3751</v>
      </c>
      <c r="I2076" s="8">
        <v>0</v>
      </c>
      <c r="J2076" s="8">
        <v>0</v>
      </c>
      <c r="K2076" s="8">
        <v>0</v>
      </c>
    </row>
    <row r="2077" spans="1:12" hidden="1" x14ac:dyDescent="0.25">
      <c r="A2077" s="3" t="s">
        <v>3752</v>
      </c>
      <c r="B2077" s="3">
        <v>12</v>
      </c>
      <c r="C2077" s="5">
        <v>301</v>
      </c>
      <c r="D2077" s="6">
        <v>0</v>
      </c>
      <c r="E2077" s="7">
        <v>706260</v>
      </c>
      <c r="F2077" s="3">
        <v>48120</v>
      </c>
      <c r="G2077" s="3" t="str">
        <f t="shared" si="32"/>
        <v>4</v>
      </c>
      <c r="H2077" s="3" t="s">
        <v>3753</v>
      </c>
      <c r="I2077" s="8">
        <v>-345019.08</v>
      </c>
      <c r="J2077" s="8">
        <v>-169539.27</v>
      </c>
      <c r="K2077" s="8">
        <v>-345019.08</v>
      </c>
    </row>
    <row r="2078" spans="1:12" hidden="1" x14ac:dyDescent="0.25">
      <c r="A2078" s="3" t="s">
        <v>3754</v>
      </c>
      <c r="B2078" s="3">
        <v>12</v>
      </c>
      <c r="C2078" s="5">
        <v>301</v>
      </c>
      <c r="D2078" s="6">
        <v>0</v>
      </c>
      <c r="E2078" s="7">
        <v>706260</v>
      </c>
      <c r="F2078" s="3">
        <v>52105</v>
      </c>
      <c r="G2078" s="3" t="str">
        <f t="shared" si="32"/>
        <v>5</v>
      </c>
      <c r="H2078" s="3" t="s">
        <v>3755</v>
      </c>
      <c r="I2078" s="8">
        <v>76798</v>
      </c>
      <c r="J2078" s="8">
        <v>55296.47</v>
      </c>
      <c r="K2078" s="8">
        <v>76798</v>
      </c>
      <c r="L2078" s="8" t="s">
        <v>6681</v>
      </c>
    </row>
    <row r="2079" spans="1:12" hidden="1" x14ac:dyDescent="0.25">
      <c r="A2079" s="3" t="s">
        <v>3756</v>
      </c>
      <c r="B2079" s="3">
        <v>12</v>
      </c>
      <c r="C2079" s="5">
        <v>301</v>
      </c>
      <c r="D2079" s="6">
        <v>0</v>
      </c>
      <c r="E2079" s="7">
        <v>706260</v>
      </c>
      <c r="F2079" s="3">
        <v>52130</v>
      </c>
      <c r="G2079" s="3" t="str">
        <f t="shared" si="32"/>
        <v>5</v>
      </c>
      <c r="H2079" s="3" t="s">
        <v>3757</v>
      </c>
      <c r="I2079" s="8">
        <v>74946</v>
      </c>
      <c r="J2079" s="8">
        <v>57909.24</v>
      </c>
      <c r="K2079" s="8">
        <v>74946</v>
      </c>
      <c r="L2079" s="8" t="s">
        <v>6681</v>
      </c>
    </row>
    <row r="2080" spans="1:12" hidden="1" x14ac:dyDescent="0.25">
      <c r="A2080" s="3" t="s">
        <v>3758</v>
      </c>
      <c r="B2080" s="3">
        <v>12</v>
      </c>
      <c r="C2080" s="5">
        <v>301</v>
      </c>
      <c r="D2080" s="6">
        <v>0</v>
      </c>
      <c r="E2080" s="7">
        <v>706260</v>
      </c>
      <c r="F2080" s="3">
        <v>52350</v>
      </c>
      <c r="G2080" s="3" t="str">
        <f t="shared" si="32"/>
        <v>5</v>
      </c>
      <c r="H2080" s="3" t="s">
        <v>3759</v>
      </c>
      <c r="I2080" s="8">
        <v>20000</v>
      </c>
      <c r="J2080" s="8">
        <v>6172.77</v>
      </c>
      <c r="K2080" s="8">
        <v>20000</v>
      </c>
      <c r="L2080" s="8" t="s">
        <v>6681</v>
      </c>
    </row>
    <row r="2081" spans="1:12" hidden="1" x14ac:dyDescent="0.25">
      <c r="A2081" s="3" t="s">
        <v>3760</v>
      </c>
      <c r="B2081" s="3">
        <v>12</v>
      </c>
      <c r="C2081" s="5">
        <v>301</v>
      </c>
      <c r="D2081" s="6">
        <v>0</v>
      </c>
      <c r="E2081" s="7">
        <v>706260</v>
      </c>
      <c r="F2081" s="3">
        <v>53220</v>
      </c>
      <c r="G2081" s="3" t="str">
        <f t="shared" si="32"/>
        <v>5</v>
      </c>
      <c r="H2081" s="3" t="s">
        <v>3761</v>
      </c>
      <c r="I2081" s="8">
        <v>31411</v>
      </c>
      <c r="J2081" s="8">
        <v>23387.25</v>
      </c>
      <c r="K2081" s="8">
        <v>31411</v>
      </c>
      <c r="L2081" s="8" t="s">
        <v>6681</v>
      </c>
    </row>
    <row r="2082" spans="1:12" hidden="1" x14ac:dyDescent="0.25">
      <c r="A2082" s="3" t="s">
        <v>3762</v>
      </c>
      <c r="B2082" s="3">
        <v>12</v>
      </c>
      <c r="C2082" s="5">
        <v>301</v>
      </c>
      <c r="D2082" s="6">
        <v>0</v>
      </c>
      <c r="E2082" s="7">
        <v>706260</v>
      </c>
      <c r="F2082" s="3">
        <v>53320</v>
      </c>
      <c r="G2082" s="3" t="str">
        <f t="shared" si="32"/>
        <v>5</v>
      </c>
      <c r="H2082" s="3" t="s">
        <v>3763</v>
      </c>
      <c r="I2082" s="8">
        <v>9408</v>
      </c>
      <c r="J2082" s="8">
        <v>6764.69</v>
      </c>
      <c r="K2082" s="8">
        <v>9408</v>
      </c>
      <c r="L2082" s="8" t="s">
        <v>6681</v>
      </c>
    </row>
    <row r="2083" spans="1:12" hidden="1" x14ac:dyDescent="0.25">
      <c r="A2083" s="3" t="s">
        <v>3764</v>
      </c>
      <c r="B2083" s="3">
        <v>12</v>
      </c>
      <c r="C2083" s="5">
        <v>301</v>
      </c>
      <c r="D2083" s="6">
        <v>0</v>
      </c>
      <c r="E2083" s="7">
        <v>706260</v>
      </c>
      <c r="F2083" s="3">
        <v>53340</v>
      </c>
      <c r="G2083" s="3" t="str">
        <f t="shared" si="32"/>
        <v>5</v>
      </c>
      <c r="H2083" s="3" t="s">
        <v>3765</v>
      </c>
      <c r="I2083" s="8">
        <v>2200</v>
      </c>
      <c r="J2083" s="8">
        <v>1582.07</v>
      </c>
      <c r="K2083" s="8">
        <v>2200</v>
      </c>
      <c r="L2083" s="8" t="s">
        <v>6681</v>
      </c>
    </row>
    <row r="2084" spans="1:12" hidden="1" x14ac:dyDescent="0.25">
      <c r="A2084" s="3" t="s">
        <v>3766</v>
      </c>
      <c r="B2084" s="3">
        <v>12</v>
      </c>
      <c r="C2084" s="5">
        <v>301</v>
      </c>
      <c r="D2084" s="6">
        <v>0</v>
      </c>
      <c r="E2084" s="7">
        <v>706260</v>
      </c>
      <c r="F2084" s="3">
        <v>53420</v>
      </c>
      <c r="G2084" s="3" t="str">
        <f t="shared" si="32"/>
        <v>5</v>
      </c>
      <c r="H2084" s="3" t="s">
        <v>3767</v>
      </c>
      <c r="I2084" s="8">
        <v>45445</v>
      </c>
      <c r="J2084" s="8">
        <v>33261.18</v>
      </c>
      <c r="K2084" s="8">
        <v>45445</v>
      </c>
      <c r="L2084" s="8" t="s">
        <v>6681</v>
      </c>
    </row>
    <row r="2085" spans="1:12" hidden="1" x14ac:dyDescent="0.25">
      <c r="A2085" s="3" t="s">
        <v>3768</v>
      </c>
      <c r="B2085" s="3">
        <v>12</v>
      </c>
      <c r="C2085" s="5">
        <v>301</v>
      </c>
      <c r="D2085" s="6">
        <v>0</v>
      </c>
      <c r="E2085" s="7">
        <v>706260</v>
      </c>
      <c r="F2085" s="3">
        <v>53520</v>
      </c>
      <c r="G2085" s="3" t="str">
        <f t="shared" si="32"/>
        <v>5</v>
      </c>
      <c r="H2085" s="3" t="s">
        <v>3769</v>
      </c>
      <c r="I2085" s="8">
        <v>76</v>
      </c>
      <c r="J2085" s="8">
        <v>55.02</v>
      </c>
      <c r="K2085" s="8">
        <v>76</v>
      </c>
      <c r="L2085" s="8" t="s">
        <v>6681</v>
      </c>
    </row>
    <row r="2086" spans="1:12" hidden="1" x14ac:dyDescent="0.25">
      <c r="A2086" s="3" t="s">
        <v>3770</v>
      </c>
      <c r="B2086" s="3">
        <v>12</v>
      </c>
      <c r="C2086" s="5">
        <v>301</v>
      </c>
      <c r="D2086" s="6">
        <v>0</v>
      </c>
      <c r="E2086" s="7">
        <v>706260</v>
      </c>
      <c r="F2086" s="3">
        <v>53620</v>
      </c>
      <c r="G2086" s="3" t="str">
        <f t="shared" si="32"/>
        <v>5</v>
      </c>
      <c r="H2086" s="3" t="s">
        <v>3771</v>
      </c>
      <c r="I2086" s="8">
        <v>2869</v>
      </c>
      <c r="J2086" s="8">
        <v>2259.38</v>
      </c>
      <c r="K2086" s="8">
        <v>2869</v>
      </c>
      <c r="L2086" s="8" t="s">
        <v>6681</v>
      </c>
    </row>
    <row r="2087" spans="1:12" hidden="1" x14ac:dyDescent="0.25">
      <c r="A2087" s="3" t="s">
        <v>3772</v>
      </c>
      <c r="B2087" s="3">
        <v>12</v>
      </c>
      <c r="C2087" s="5">
        <v>301</v>
      </c>
      <c r="D2087" s="6">
        <v>0</v>
      </c>
      <c r="E2087" s="7">
        <v>706260</v>
      </c>
      <c r="F2087" s="3">
        <v>54300</v>
      </c>
      <c r="G2087" s="3" t="str">
        <f t="shared" si="32"/>
        <v>5</v>
      </c>
      <c r="H2087" s="3" t="s">
        <v>3773</v>
      </c>
      <c r="I2087" s="8">
        <v>12000</v>
      </c>
      <c r="J2087" s="8">
        <v>2321.36</v>
      </c>
      <c r="K2087" s="8">
        <v>12000</v>
      </c>
      <c r="L2087" s="8" t="s">
        <v>6681</v>
      </c>
    </row>
    <row r="2088" spans="1:12" hidden="1" x14ac:dyDescent="0.25">
      <c r="A2088" s="3" t="s">
        <v>3774</v>
      </c>
      <c r="B2088" s="3">
        <v>12</v>
      </c>
      <c r="C2088" s="5">
        <v>301</v>
      </c>
      <c r="D2088" s="6">
        <v>0</v>
      </c>
      <c r="E2088" s="7">
        <v>706260</v>
      </c>
      <c r="F2088" s="3">
        <v>55100</v>
      </c>
      <c r="G2088" s="3" t="str">
        <f t="shared" si="32"/>
        <v>5</v>
      </c>
      <c r="H2088" s="3" t="s">
        <v>3775</v>
      </c>
      <c r="I2088" s="8">
        <v>0</v>
      </c>
      <c r="J2088" s="8">
        <v>270</v>
      </c>
      <c r="K2088" s="8">
        <v>0</v>
      </c>
      <c r="L2088" s="8" t="s">
        <v>6681</v>
      </c>
    </row>
    <row r="2089" spans="1:12" hidden="1" x14ac:dyDescent="0.25">
      <c r="A2089" s="3" t="s">
        <v>3776</v>
      </c>
      <c r="B2089" s="3">
        <v>12</v>
      </c>
      <c r="C2089" s="5">
        <v>301</v>
      </c>
      <c r="D2089" s="6">
        <v>0</v>
      </c>
      <c r="E2089" s="7">
        <v>706260</v>
      </c>
      <c r="F2089" s="3">
        <v>55105</v>
      </c>
      <c r="G2089" s="3" t="str">
        <f t="shared" si="32"/>
        <v>5</v>
      </c>
      <c r="H2089" s="3" t="s">
        <v>3777</v>
      </c>
      <c r="I2089" s="8">
        <v>2000</v>
      </c>
      <c r="J2089" s="8">
        <v>228.33</v>
      </c>
      <c r="K2089" s="8">
        <v>2000</v>
      </c>
      <c r="L2089" s="8" t="s">
        <v>6681</v>
      </c>
    </row>
    <row r="2090" spans="1:12" hidden="1" x14ac:dyDescent="0.25">
      <c r="A2090" s="3" t="s">
        <v>3778</v>
      </c>
      <c r="B2090" s="3">
        <v>12</v>
      </c>
      <c r="C2090" s="5">
        <v>301</v>
      </c>
      <c r="D2090" s="6">
        <v>0</v>
      </c>
      <c r="E2090" s="7">
        <v>706260</v>
      </c>
      <c r="F2090" s="3">
        <v>55200</v>
      </c>
      <c r="G2090" s="3" t="str">
        <f t="shared" si="32"/>
        <v>5</v>
      </c>
      <c r="H2090" s="3" t="s">
        <v>3779</v>
      </c>
      <c r="I2090" s="8">
        <v>3156.14</v>
      </c>
      <c r="J2090" s="8">
        <v>349.72</v>
      </c>
      <c r="K2090" s="8">
        <v>3156.14</v>
      </c>
      <c r="L2090" s="8" t="s">
        <v>6681</v>
      </c>
    </row>
    <row r="2091" spans="1:12" hidden="1" x14ac:dyDescent="0.25">
      <c r="A2091" s="3" t="s">
        <v>3780</v>
      </c>
      <c r="B2091" s="3">
        <v>12</v>
      </c>
      <c r="C2091" s="5">
        <v>301</v>
      </c>
      <c r="D2091" s="6">
        <v>0</v>
      </c>
      <c r="E2091" s="7">
        <v>706260</v>
      </c>
      <c r="F2091" s="3">
        <v>55240</v>
      </c>
      <c r="G2091" s="3" t="str">
        <f t="shared" si="32"/>
        <v>5</v>
      </c>
      <c r="H2091" s="3" t="s">
        <v>3781</v>
      </c>
      <c r="I2091" s="8">
        <v>0</v>
      </c>
      <c r="J2091" s="8">
        <v>0</v>
      </c>
      <c r="K2091" s="8">
        <v>0</v>
      </c>
      <c r="L2091" s="8" t="s">
        <v>6681</v>
      </c>
    </row>
    <row r="2092" spans="1:12" hidden="1" x14ac:dyDescent="0.25">
      <c r="A2092" s="3" t="s">
        <v>3782</v>
      </c>
      <c r="B2092" s="3">
        <v>12</v>
      </c>
      <c r="C2092" s="5">
        <v>301</v>
      </c>
      <c r="D2092" s="6">
        <v>0</v>
      </c>
      <c r="E2092" s="7">
        <v>706260</v>
      </c>
      <c r="F2092" s="3">
        <v>55300</v>
      </c>
      <c r="G2092" s="3" t="str">
        <f t="shared" si="32"/>
        <v>5</v>
      </c>
      <c r="H2092" s="3" t="s">
        <v>3783</v>
      </c>
      <c r="I2092" s="8">
        <v>400</v>
      </c>
      <c r="J2092" s="8">
        <v>150</v>
      </c>
      <c r="K2092" s="8">
        <v>400</v>
      </c>
      <c r="L2092" s="8" t="s">
        <v>6681</v>
      </c>
    </row>
    <row r="2093" spans="1:12" hidden="1" x14ac:dyDescent="0.25">
      <c r="A2093" s="3" t="s">
        <v>3784</v>
      </c>
      <c r="B2093" s="3">
        <v>12</v>
      </c>
      <c r="C2093" s="5">
        <v>301</v>
      </c>
      <c r="D2093" s="6">
        <v>0</v>
      </c>
      <c r="E2093" s="7">
        <v>706260</v>
      </c>
      <c r="F2093" s="3">
        <v>55309</v>
      </c>
      <c r="G2093" s="3" t="str">
        <f t="shared" si="32"/>
        <v>5</v>
      </c>
      <c r="H2093" s="3" t="s">
        <v>3785</v>
      </c>
      <c r="I2093" s="8">
        <v>200</v>
      </c>
      <c r="J2093" s="8">
        <v>189.39</v>
      </c>
      <c r="K2093" s="8">
        <v>200</v>
      </c>
      <c r="L2093" s="8" t="s">
        <v>6681</v>
      </c>
    </row>
    <row r="2094" spans="1:12" hidden="1" x14ac:dyDescent="0.25">
      <c r="A2094" s="3" t="s">
        <v>3786</v>
      </c>
      <c r="B2094" s="3">
        <v>12</v>
      </c>
      <c r="C2094" s="5">
        <v>301</v>
      </c>
      <c r="D2094" s="6">
        <v>0</v>
      </c>
      <c r="E2094" s="7">
        <v>706260</v>
      </c>
      <c r="F2094" s="3">
        <v>55800</v>
      </c>
      <c r="G2094" s="3" t="str">
        <f t="shared" si="32"/>
        <v>5</v>
      </c>
      <c r="H2094" s="3" t="s">
        <v>3787</v>
      </c>
      <c r="I2094" s="8">
        <v>62666.080000000002</v>
      </c>
      <c r="J2094" s="8">
        <v>0</v>
      </c>
      <c r="K2094" s="8">
        <v>62666.080000000002</v>
      </c>
      <c r="L2094" s="8" t="s">
        <v>6681</v>
      </c>
    </row>
    <row r="2095" spans="1:12" hidden="1" x14ac:dyDescent="0.25">
      <c r="A2095" s="3" t="s">
        <v>3788</v>
      </c>
      <c r="B2095" s="3">
        <v>12</v>
      </c>
      <c r="C2095" s="5">
        <v>301</v>
      </c>
      <c r="D2095" s="6">
        <v>0</v>
      </c>
      <c r="E2095" s="7">
        <v>706260</v>
      </c>
      <c r="F2095" s="3">
        <v>56400</v>
      </c>
      <c r="G2095" s="3" t="str">
        <f t="shared" si="32"/>
        <v>5</v>
      </c>
      <c r="H2095" s="3" t="s">
        <v>3789</v>
      </c>
      <c r="I2095" s="8">
        <v>1443.86</v>
      </c>
      <c r="J2095" s="8">
        <v>1443.86</v>
      </c>
      <c r="K2095" s="8">
        <v>1443.86</v>
      </c>
      <c r="L2095" s="8" t="s">
        <v>6681</v>
      </c>
    </row>
    <row r="2096" spans="1:12" hidden="1" x14ac:dyDescent="0.25">
      <c r="A2096" s="3" t="s">
        <v>3790</v>
      </c>
      <c r="B2096" s="3">
        <v>12</v>
      </c>
      <c r="C2096" s="5">
        <v>303</v>
      </c>
      <c r="D2096" s="6">
        <v>0</v>
      </c>
      <c r="E2096" s="7">
        <v>705701</v>
      </c>
      <c r="F2096" s="3">
        <v>48890</v>
      </c>
      <c r="G2096" s="3" t="str">
        <f t="shared" si="32"/>
        <v>4</v>
      </c>
      <c r="H2096" s="3" t="s">
        <v>3791</v>
      </c>
      <c r="I2096" s="8">
        <v>-18438</v>
      </c>
      <c r="J2096" s="8">
        <v>0</v>
      </c>
      <c r="K2096" s="8">
        <v>-18438</v>
      </c>
    </row>
    <row r="2097" spans="1:11" hidden="1" x14ac:dyDescent="0.25">
      <c r="A2097" s="3" t="s">
        <v>3792</v>
      </c>
      <c r="B2097" s="3">
        <v>12</v>
      </c>
      <c r="C2097" s="5">
        <v>303</v>
      </c>
      <c r="D2097" s="6">
        <v>0</v>
      </c>
      <c r="E2097" s="7">
        <v>705701</v>
      </c>
      <c r="F2097" s="3">
        <v>51412</v>
      </c>
      <c r="G2097" s="3" t="str">
        <f t="shared" si="32"/>
        <v>5</v>
      </c>
      <c r="H2097" s="3" t="s">
        <v>3793</v>
      </c>
      <c r="I2097" s="8">
        <v>15423</v>
      </c>
      <c r="J2097" s="8">
        <v>3811.01</v>
      </c>
      <c r="K2097" s="8">
        <v>15423</v>
      </c>
    </row>
    <row r="2098" spans="1:11" hidden="1" x14ac:dyDescent="0.25">
      <c r="A2098" s="3" t="s">
        <v>3794</v>
      </c>
      <c r="B2098" s="3">
        <v>12</v>
      </c>
      <c r="C2098" s="5">
        <v>303</v>
      </c>
      <c r="D2098" s="6">
        <v>0</v>
      </c>
      <c r="E2098" s="7">
        <v>705701</v>
      </c>
      <c r="F2098" s="3">
        <v>53120</v>
      </c>
      <c r="G2098" s="3" t="str">
        <f t="shared" si="32"/>
        <v>5</v>
      </c>
      <c r="H2098" s="3" t="s">
        <v>3795</v>
      </c>
      <c r="I2098" s="8">
        <v>2491</v>
      </c>
      <c r="J2098" s="8">
        <v>626.91999999999996</v>
      </c>
      <c r="K2098" s="8">
        <v>2491</v>
      </c>
    </row>
    <row r="2099" spans="1:11" hidden="1" x14ac:dyDescent="0.25">
      <c r="A2099" s="3" t="s">
        <v>3796</v>
      </c>
      <c r="B2099" s="3">
        <v>12</v>
      </c>
      <c r="C2099" s="5">
        <v>303</v>
      </c>
      <c r="D2099" s="6">
        <v>0</v>
      </c>
      <c r="E2099" s="7">
        <v>705701</v>
      </c>
      <c r="F2099" s="3">
        <v>53340</v>
      </c>
      <c r="G2099" s="3" t="str">
        <f t="shared" si="32"/>
        <v>5</v>
      </c>
      <c r="H2099" s="3" t="s">
        <v>3797</v>
      </c>
      <c r="I2099" s="8">
        <v>224</v>
      </c>
      <c r="J2099" s="8">
        <v>55.25</v>
      </c>
      <c r="K2099" s="8">
        <v>224</v>
      </c>
    </row>
    <row r="2100" spans="1:11" hidden="1" x14ac:dyDescent="0.25">
      <c r="A2100" s="3" t="s">
        <v>3798</v>
      </c>
      <c r="B2100" s="3">
        <v>12</v>
      </c>
      <c r="C2100" s="5">
        <v>303</v>
      </c>
      <c r="D2100" s="6">
        <v>0</v>
      </c>
      <c r="E2100" s="7">
        <v>705701</v>
      </c>
      <c r="F2100" s="3">
        <v>53520</v>
      </c>
      <c r="G2100" s="3" t="str">
        <f t="shared" si="32"/>
        <v>5</v>
      </c>
      <c r="H2100" s="3" t="s">
        <v>3799</v>
      </c>
      <c r="I2100" s="8">
        <v>8</v>
      </c>
      <c r="J2100" s="8">
        <v>1.9</v>
      </c>
      <c r="K2100" s="8">
        <v>8</v>
      </c>
    </row>
    <row r="2101" spans="1:11" hidden="1" x14ac:dyDescent="0.25">
      <c r="A2101" s="3" t="s">
        <v>3800</v>
      </c>
      <c r="B2101" s="3">
        <v>12</v>
      </c>
      <c r="C2101" s="5">
        <v>303</v>
      </c>
      <c r="D2101" s="6">
        <v>0</v>
      </c>
      <c r="E2101" s="7">
        <v>705701</v>
      </c>
      <c r="F2101" s="3">
        <v>53620</v>
      </c>
      <c r="G2101" s="3" t="str">
        <f t="shared" si="32"/>
        <v>5</v>
      </c>
      <c r="H2101" s="3" t="s">
        <v>3801</v>
      </c>
      <c r="I2101" s="8">
        <v>292</v>
      </c>
      <c r="J2101" s="8">
        <v>72.06</v>
      </c>
      <c r="K2101" s="8">
        <v>292</v>
      </c>
    </row>
    <row r="2102" spans="1:11" hidden="1" x14ac:dyDescent="0.25">
      <c r="A2102" s="3" t="s">
        <v>3802</v>
      </c>
      <c r="B2102" s="3">
        <v>12</v>
      </c>
      <c r="C2102" s="5">
        <v>304</v>
      </c>
      <c r="D2102" s="6">
        <v>0</v>
      </c>
      <c r="E2102" s="7">
        <v>679000</v>
      </c>
      <c r="F2102" s="3">
        <v>54300</v>
      </c>
      <c r="G2102" s="3" t="str">
        <f t="shared" si="32"/>
        <v>5</v>
      </c>
      <c r="H2102" s="3" t="s">
        <v>3578</v>
      </c>
      <c r="I2102" s="8">
        <v>8200</v>
      </c>
      <c r="J2102" s="8">
        <v>4313.87</v>
      </c>
      <c r="K2102" s="8">
        <v>8200</v>
      </c>
    </row>
    <row r="2103" spans="1:11" hidden="1" x14ac:dyDescent="0.25">
      <c r="A2103" s="3" t="s">
        <v>3803</v>
      </c>
      <c r="B2103" s="3">
        <v>12</v>
      </c>
      <c r="C2103" s="5">
        <v>304</v>
      </c>
      <c r="D2103" s="6">
        <v>0</v>
      </c>
      <c r="E2103" s="7">
        <v>679000</v>
      </c>
      <c r="F2103" s="3">
        <v>55610</v>
      </c>
      <c r="G2103" s="3" t="str">
        <f t="shared" si="32"/>
        <v>5</v>
      </c>
      <c r="H2103" s="3" t="s">
        <v>3550</v>
      </c>
      <c r="I2103" s="8">
        <v>500</v>
      </c>
      <c r="J2103" s="8">
        <v>0</v>
      </c>
      <c r="K2103" s="8">
        <v>500</v>
      </c>
    </row>
    <row r="2104" spans="1:11" hidden="1" x14ac:dyDescent="0.25">
      <c r="A2104" s="3" t="s">
        <v>3804</v>
      </c>
      <c r="B2104" s="3">
        <v>12</v>
      </c>
      <c r="C2104" s="5">
        <v>304</v>
      </c>
      <c r="D2104" s="6">
        <v>0</v>
      </c>
      <c r="E2104" s="7">
        <v>703402</v>
      </c>
      <c r="F2104" s="3">
        <v>48890</v>
      </c>
      <c r="G2104" s="3" t="str">
        <f t="shared" si="32"/>
        <v>4</v>
      </c>
      <c r="H2104" s="3" t="s">
        <v>3805</v>
      </c>
      <c r="I2104" s="8">
        <v>-224116.92</v>
      </c>
      <c r="J2104" s="8">
        <v>-98312.83</v>
      </c>
      <c r="K2104" s="8">
        <v>-224116.92</v>
      </c>
    </row>
    <row r="2105" spans="1:11" hidden="1" x14ac:dyDescent="0.25">
      <c r="A2105" s="3" t="s">
        <v>3806</v>
      </c>
      <c r="B2105" s="3">
        <v>12</v>
      </c>
      <c r="C2105" s="5">
        <v>304</v>
      </c>
      <c r="D2105" s="6">
        <v>0</v>
      </c>
      <c r="E2105" s="7">
        <v>703402</v>
      </c>
      <c r="F2105" s="3">
        <v>51210</v>
      </c>
      <c r="G2105" s="3" t="str">
        <f t="shared" si="32"/>
        <v>5</v>
      </c>
      <c r="H2105" s="3" t="s">
        <v>3807</v>
      </c>
      <c r="I2105" s="8">
        <v>0</v>
      </c>
      <c r="J2105" s="8">
        <v>22238.79</v>
      </c>
      <c r="K2105" s="8">
        <v>0</v>
      </c>
    </row>
    <row r="2106" spans="1:11" hidden="1" x14ac:dyDescent="0.25">
      <c r="A2106" s="3" t="s">
        <v>3808</v>
      </c>
      <c r="B2106" s="3">
        <v>12</v>
      </c>
      <c r="C2106" s="5">
        <v>304</v>
      </c>
      <c r="D2106" s="6">
        <v>0</v>
      </c>
      <c r="E2106" s="7">
        <v>703402</v>
      </c>
      <c r="F2106" s="3">
        <v>52105</v>
      </c>
      <c r="G2106" s="3" t="str">
        <f t="shared" si="32"/>
        <v>5</v>
      </c>
      <c r="H2106" s="3" t="s">
        <v>3809</v>
      </c>
      <c r="I2106" s="8">
        <v>54264</v>
      </c>
      <c r="J2106" s="8">
        <v>40698</v>
      </c>
      <c r="K2106" s="8">
        <v>54264</v>
      </c>
    </row>
    <row r="2107" spans="1:11" hidden="1" x14ac:dyDescent="0.25">
      <c r="A2107" s="3" t="s">
        <v>3810</v>
      </c>
      <c r="B2107" s="3">
        <v>12</v>
      </c>
      <c r="C2107" s="5">
        <v>304</v>
      </c>
      <c r="D2107" s="6">
        <v>0</v>
      </c>
      <c r="E2107" s="7">
        <v>703402</v>
      </c>
      <c r="F2107" s="3">
        <v>52130</v>
      </c>
      <c r="G2107" s="3" t="str">
        <f t="shared" si="32"/>
        <v>5</v>
      </c>
      <c r="H2107" s="3" t="s">
        <v>3811</v>
      </c>
      <c r="I2107" s="8">
        <v>55511</v>
      </c>
      <c r="J2107" s="8">
        <v>41633.279999999999</v>
      </c>
      <c r="K2107" s="8">
        <v>55511</v>
      </c>
    </row>
    <row r="2108" spans="1:11" hidden="1" x14ac:dyDescent="0.25">
      <c r="A2108" s="3" t="s">
        <v>3812</v>
      </c>
      <c r="B2108" s="3">
        <v>12</v>
      </c>
      <c r="C2108" s="5">
        <v>304</v>
      </c>
      <c r="D2108" s="6">
        <v>0</v>
      </c>
      <c r="E2108" s="7">
        <v>703402</v>
      </c>
      <c r="F2108" s="3">
        <v>52350</v>
      </c>
      <c r="G2108" s="3" t="str">
        <f t="shared" si="32"/>
        <v>5</v>
      </c>
      <c r="H2108" s="3" t="s">
        <v>3813</v>
      </c>
      <c r="I2108" s="8">
        <v>39110</v>
      </c>
      <c r="J2108" s="8">
        <v>11391.75</v>
      </c>
      <c r="K2108" s="8">
        <v>39110</v>
      </c>
    </row>
    <row r="2109" spans="1:11" hidden="1" x14ac:dyDescent="0.25">
      <c r="A2109" s="3" t="s">
        <v>3814</v>
      </c>
      <c r="B2109" s="3">
        <v>12</v>
      </c>
      <c r="C2109" s="5">
        <v>304</v>
      </c>
      <c r="D2109" s="6">
        <v>0</v>
      </c>
      <c r="E2109" s="7">
        <v>703402</v>
      </c>
      <c r="F2109" s="3">
        <v>53120</v>
      </c>
      <c r="G2109" s="3" t="str">
        <f t="shared" si="32"/>
        <v>5</v>
      </c>
      <c r="H2109" s="3" t="s">
        <v>3815</v>
      </c>
      <c r="I2109" s="8">
        <v>0</v>
      </c>
      <c r="J2109" s="8">
        <v>10315.290000000001</v>
      </c>
      <c r="K2109" s="8">
        <v>0</v>
      </c>
    </row>
    <row r="2110" spans="1:11" hidden="1" x14ac:dyDescent="0.25">
      <c r="A2110" s="3" t="s">
        <v>3816</v>
      </c>
      <c r="B2110" s="3">
        <v>12</v>
      </c>
      <c r="C2110" s="5">
        <v>304</v>
      </c>
      <c r="D2110" s="6">
        <v>0</v>
      </c>
      <c r="E2110" s="7">
        <v>703402</v>
      </c>
      <c r="F2110" s="3">
        <v>53220</v>
      </c>
      <c r="G2110" s="3" t="str">
        <f t="shared" si="32"/>
        <v>5</v>
      </c>
      <c r="H2110" s="3" t="s">
        <v>3817</v>
      </c>
      <c r="I2110" s="8">
        <v>22723</v>
      </c>
      <c r="J2110" s="8">
        <v>8424.5</v>
      </c>
      <c r="K2110" s="8">
        <v>22723</v>
      </c>
    </row>
    <row r="2111" spans="1:11" hidden="1" x14ac:dyDescent="0.25">
      <c r="A2111" s="3" t="s">
        <v>3818</v>
      </c>
      <c r="B2111" s="3">
        <v>12</v>
      </c>
      <c r="C2111" s="5">
        <v>304</v>
      </c>
      <c r="D2111" s="6">
        <v>0</v>
      </c>
      <c r="E2111" s="7">
        <v>703402</v>
      </c>
      <c r="F2111" s="3">
        <v>53320</v>
      </c>
      <c r="G2111" s="3" t="str">
        <f t="shared" si="32"/>
        <v>5</v>
      </c>
      <c r="H2111" s="3" t="s">
        <v>3819</v>
      </c>
      <c r="I2111" s="8">
        <v>6806</v>
      </c>
      <c r="J2111" s="8">
        <v>2523.61</v>
      </c>
      <c r="K2111" s="8">
        <v>6806</v>
      </c>
    </row>
    <row r="2112" spans="1:11" hidden="1" x14ac:dyDescent="0.25">
      <c r="A2112" s="3" t="s">
        <v>3820</v>
      </c>
      <c r="B2112" s="3">
        <v>12</v>
      </c>
      <c r="C2112" s="5">
        <v>304</v>
      </c>
      <c r="D2112" s="6">
        <v>0</v>
      </c>
      <c r="E2112" s="7">
        <v>703402</v>
      </c>
      <c r="F2112" s="3">
        <v>53340</v>
      </c>
      <c r="G2112" s="3" t="str">
        <f t="shared" si="32"/>
        <v>5</v>
      </c>
      <c r="H2112" s="3" t="s">
        <v>3821</v>
      </c>
      <c r="I2112" s="8">
        <v>1592</v>
      </c>
      <c r="J2112" s="8">
        <v>1510.82</v>
      </c>
      <c r="K2112" s="8">
        <v>1592</v>
      </c>
    </row>
    <row r="2113" spans="1:11" hidden="1" x14ac:dyDescent="0.25">
      <c r="A2113" s="3" t="s">
        <v>3822</v>
      </c>
      <c r="B2113" s="3">
        <v>12</v>
      </c>
      <c r="C2113" s="5">
        <v>304</v>
      </c>
      <c r="D2113" s="6">
        <v>0</v>
      </c>
      <c r="E2113" s="7">
        <v>703402</v>
      </c>
      <c r="F2113" s="3">
        <v>53420</v>
      </c>
      <c r="G2113" s="3" t="str">
        <f t="shared" si="32"/>
        <v>5</v>
      </c>
      <c r="H2113" s="3" t="s">
        <v>3823</v>
      </c>
      <c r="I2113" s="8">
        <v>39667</v>
      </c>
      <c r="J2113" s="8">
        <v>34246.07</v>
      </c>
      <c r="K2113" s="8">
        <v>39667</v>
      </c>
    </row>
    <row r="2114" spans="1:11" hidden="1" x14ac:dyDescent="0.25">
      <c r="A2114" s="3" t="s">
        <v>3824</v>
      </c>
      <c r="B2114" s="3">
        <v>12</v>
      </c>
      <c r="C2114" s="5">
        <v>304</v>
      </c>
      <c r="D2114" s="6">
        <v>0</v>
      </c>
      <c r="E2114" s="7">
        <v>703402</v>
      </c>
      <c r="F2114" s="3">
        <v>53520</v>
      </c>
      <c r="G2114" s="3" t="str">
        <f t="shared" si="32"/>
        <v>5</v>
      </c>
      <c r="H2114" s="3" t="s">
        <v>3825</v>
      </c>
      <c r="I2114" s="8">
        <v>55</v>
      </c>
      <c r="J2114" s="8">
        <v>52.35</v>
      </c>
      <c r="K2114" s="8">
        <v>55</v>
      </c>
    </row>
    <row r="2115" spans="1:11" hidden="1" x14ac:dyDescent="0.25">
      <c r="A2115" s="3" t="s">
        <v>3826</v>
      </c>
      <c r="B2115" s="3">
        <v>12</v>
      </c>
      <c r="C2115" s="5">
        <v>304</v>
      </c>
      <c r="D2115" s="6">
        <v>0</v>
      </c>
      <c r="E2115" s="7">
        <v>703402</v>
      </c>
      <c r="F2115" s="3">
        <v>53620</v>
      </c>
      <c r="G2115" s="3" t="str">
        <f t="shared" ref="G2115:G2178" si="33">LEFT(F2115,1)</f>
        <v>5</v>
      </c>
      <c r="H2115" s="3" t="s">
        <v>3827</v>
      </c>
      <c r="I2115" s="8">
        <v>2689</v>
      </c>
      <c r="J2115" s="8">
        <v>2194.67</v>
      </c>
      <c r="K2115" s="8">
        <v>2689</v>
      </c>
    </row>
    <row r="2116" spans="1:11" hidden="1" x14ac:dyDescent="0.25">
      <c r="A2116" s="3" t="s">
        <v>3828</v>
      </c>
      <c r="B2116" s="3">
        <v>12</v>
      </c>
      <c r="C2116" s="5">
        <v>304</v>
      </c>
      <c r="D2116" s="6">
        <v>0</v>
      </c>
      <c r="E2116" s="7">
        <v>703402</v>
      </c>
      <c r="F2116" s="3">
        <v>53920</v>
      </c>
      <c r="G2116" s="3" t="str">
        <f t="shared" si="33"/>
        <v>5</v>
      </c>
      <c r="H2116" s="3" t="s">
        <v>3829</v>
      </c>
      <c r="I2116" s="8">
        <v>1200</v>
      </c>
      <c r="J2116" s="8">
        <v>1960</v>
      </c>
      <c r="K2116" s="8">
        <v>1200</v>
      </c>
    </row>
    <row r="2117" spans="1:11" hidden="1" x14ac:dyDescent="0.25">
      <c r="A2117" s="3" t="s">
        <v>3830</v>
      </c>
      <c r="B2117" s="3">
        <v>12</v>
      </c>
      <c r="C2117" s="5">
        <v>304</v>
      </c>
      <c r="D2117" s="6">
        <v>0</v>
      </c>
      <c r="E2117" s="7">
        <v>703402</v>
      </c>
      <c r="F2117" s="3">
        <v>55630</v>
      </c>
      <c r="G2117" s="3" t="str">
        <f t="shared" si="33"/>
        <v>5</v>
      </c>
      <c r="H2117" s="3" t="s">
        <v>3831</v>
      </c>
      <c r="I2117" s="8">
        <v>499.92</v>
      </c>
      <c r="J2117" s="8">
        <v>0</v>
      </c>
      <c r="K2117" s="8">
        <v>499.92</v>
      </c>
    </row>
    <row r="2118" spans="1:11" hidden="1" x14ac:dyDescent="0.25">
      <c r="A2118" s="3" t="s">
        <v>3832</v>
      </c>
      <c r="B2118" s="3">
        <v>12</v>
      </c>
      <c r="C2118" s="5">
        <v>304</v>
      </c>
      <c r="D2118" s="6">
        <v>0</v>
      </c>
      <c r="E2118" s="7">
        <v>703404</v>
      </c>
      <c r="F2118" s="3">
        <v>48890</v>
      </c>
      <c r="G2118" s="3" t="str">
        <f t="shared" si="33"/>
        <v>4</v>
      </c>
      <c r="H2118" s="3" t="s">
        <v>3833</v>
      </c>
      <c r="I2118" s="8">
        <v>-100588</v>
      </c>
      <c r="J2118" s="8">
        <v>-45412.75</v>
      </c>
      <c r="K2118" s="8">
        <v>-100588</v>
      </c>
    </row>
    <row r="2119" spans="1:11" hidden="1" x14ac:dyDescent="0.25">
      <c r="A2119" s="3" t="s">
        <v>3834</v>
      </c>
      <c r="B2119" s="3">
        <v>12</v>
      </c>
      <c r="C2119" s="5">
        <v>304</v>
      </c>
      <c r="D2119" s="6">
        <v>0</v>
      </c>
      <c r="E2119" s="7">
        <v>703404</v>
      </c>
      <c r="F2119" s="3">
        <v>52105</v>
      </c>
      <c r="G2119" s="3" t="str">
        <f t="shared" si="33"/>
        <v>5</v>
      </c>
      <c r="H2119" s="3" t="s">
        <v>3835</v>
      </c>
      <c r="I2119" s="8">
        <v>67331</v>
      </c>
      <c r="J2119" s="8">
        <v>47690.55</v>
      </c>
      <c r="K2119" s="8">
        <v>67331</v>
      </c>
    </row>
    <row r="2120" spans="1:11" hidden="1" x14ac:dyDescent="0.25">
      <c r="A2120" s="3" t="s">
        <v>3836</v>
      </c>
      <c r="B2120" s="3">
        <v>12</v>
      </c>
      <c r="C2120" s="5">
        <v>304</v>
      </c>
      <c r="D2120" s="6">
        <v>0</v>
      </c>
      <c r="E2120" s="7">
        <v>703404</v>
      </c>
      <c r="F2120" s="3">
        <v>53220</v>
      </c>
      <c r="G2120" s="3" t="str">
        <f t="shared" si="33"/>
        <v>5</v>
      </c>
      <c r="H2120" s="3" t="s">
        <v>3837</v>
      </c>
      <c r="I2120" s="8">
        <v>13938</v>
      </c>
      <c r="J2120" s="8">
        <v>9883.6299999999992</v>
      </c>
      <c r="K2120" s="8">
        <v>13938</v>
      </c>
    </row>
    <row r="2121" spans="1:11" hidden="1" x14ac:dyDescent="0.25">
      <c r="A2121" s="3" t="s">
        <v>3838</v>
      </c>
      <c r="B2121" s="3">
        <v>12</v>
      </c>
      <c r="C2121" s="5">
        <v>304</v>
      </c>
      <c r="D2121" s="6">
        <v>0</v>
      </c>
      <c r="E2121" s="7">
        <v>703404</v>
      </c>
      <c r="F2121" s="3">
        <v>53320</v>
      </c>
      <c r="G2121" s="3" t="str">
        <f t="shared" si="33"/>
        <v>5</v>
      </c>
      <c r="H2121" s="3" t="s">
        <v>3839</v>
      </c>
      <c r="I2121" s="8">
        <v>4175</v>
      </c>
      <c r="J2121" s="8">
        <v>2960.14</v>
      </c>
      <c r="K2121" s="8">
        <v>4175</v>
      </c>
    </row>
    <row r="2122" spans="1:11" hidden="1" x14ac:dyDescent="0.25">
      <c r="A2122" s="3" t="s">
        <v>3840</v>
      </c>
      <c r="B2122" s="3">
        <v>12</v>
      </c>
      <c r="C2122" s="5">
        <v>304</v>
      </c>
      <c r="D2122" s="6">
        <v>0</v>
      </c>
      <c r="E2122" s="7">
        <v>703404</v>
      </c>
      <c r="F2122" s="3">
        <v>53340</v>
      </c>
      <c r="G2122" s="3" t="str">
        <f t="shared" si="33"/>
        <v>5</v>
      </c>
      <c r="H2122" s="3" t="s">
        <v>3841</v>
      </c>
      <c r="I2122" s="8">
        <v>976</v>
      </c>
      <c r="J2122" s="8">
        <v>692.31</v>
      </c>
      <c r="K2122" s="8">
        <v>976</v>
      </c>
    </row>
    <row r="2123" spans="1:11" hidden="1" x14ac:dyDescent="0.25">
      <c r="A2123" s="3" t="s">
        <v>3842</v>
      </c>
      <c r="B2123" s="3">
        <v>12</v>
      </c>
      <c r="C2123" s="5">
        <v>304</v>
      </c>
      <c r="D2123" s="6">
        <v>0</v>
      </c>
      <c r="E2123" s="7">
        <v>703404</v>
      </c>
      <c r="F2123" s="3">
        <v>53420</v>
      </c>
      <c r="G2123" s="3" t="str">
        <f t="shared" si="33"/>
        <v>5</v>
      </c>
      <c r="H2123" s="3" t="s">
        <v>3843</v>
      </c>
      <c r="I2123" s="8">
        <v>8161</v>
      </c>
      <c r="J2123" s="8">
        <v>6176.24</v>
      </c>
      <c r="K2123" s="8">
        <v>8161</v>
      </c>
    </row>
    <row r="2124" spans="1:11" hidden="1" x14ac:dyDescent="0.25">
      <c r="A2124" s="3" t="s">
        <v>3844</v>
      </c>
      <c r="B2124" s="3">
        <v>12</v>
      </c>
      <c r="C2124" s="5">
        <v>304</v>
      </c>
      <c r="D2124" s="6">
        <v>0</v>
      </c>
      <c r="E2124" s="7">
        <v>703404</v>
      </c>
      <c r="F2124" s="3">
        <v>53520</v>
      </c>
      <c r="G2124" s="3" t="str">
        <f t="shared" si="33"/>
        <v>5</v>
      </c>
      <c r="H2124" s="3" t="s">
        <v>3845</v>
      </c>
      <c r="I2124" s="8">
        <v>34</v>
      </c>
      <c r="J2124" s="8">
        <v>23.87</v>
      </c>
      <c r="K2124" s="8">
        <v>34</v>
      </c>
    </row>
    <row r="2125" spans="1:11" hidden="1" x14ac:dyDescent="0.25">
      <c r="A2125" s="3" t="s">
        <v>3846</v>
      </c>
      <c r="B2125" s="3">
        <v>12</v>
      </c>
      <c r="C2125" s="5">
        <v>304</v>
      </c>
      <c r="D2125" s="6">
        <v>0</v>
      </c>
      <c r="E2125" s="7">
        <v>703404</v>
      </c>
      <c r="F2125" s="3">
        <v>53620</v>
      </c>
      <c r="G2125" s="3" t="str">
        <f t="shared" si="33"/>
        <v>5</v>
      </c>
      <c r="H2125" s="3" t="s">
        <v>3847</v>
      </c>
      <c r="I2125" s="8">
        <v>1273</v>
      </c>
      <c r="J2125" s="8">
        <v>904.35</v>
      </c>
      <c r="K2125" s="8">
        <v>1273</v>
      </c>
    </row>
    <row r="2126" spans="1:11" hidden="1" x14ac:dyDescent="0.25">
      <c r="A2126" s="3" t="s">
        <v>3848</v>
      </c>
      <c r="B2126" s="3">
        <v>12</v>
      </c>
      <c r="C2126" s="5">
        <v>304</v>
      </c>
      <c r="D2126" s="6">
        <v>0</v>
      </c>
      <c r="E2126" s="7">
        <v>703404</v>
      </c>
      <c r="F2126" s="3">
        <v>53920</v>
      </c>
      <c r="G2126" s="3" t="str">
        <f t="shared" si="33"/>
        <v>5</v>
      </c>
      <c r="H2126" s="3" t="s">
        <v>3849</v>
      </c>
      <c r="I2126" s="8">
        <v>2400</v>
      </c>
      <c r="J2126" s="8">
        <v>1600</v>
      </c>
      <c r="K2126" s="8">
        <v>2400</v>
      </c>
    </row>
    <row r="2127" spans="1:11" hidden="1" x14ac:dyDescent="0.25">
      <c r="A2127" s="3" t="s">
        <v>3850</v>
      </c>
      <c r="B2127" s="3">
        <v>12</v>
      </c>
      <c r="C2127" s="5">
        <v>304</v>
      </c>
      <c r="D2127" s="6">
        <v>0</v>
      </c>
      <c r="E2127" s="7">
        <v>703404</v>
      </c>
      <c r="F2127" s="3">
        <v>55630</v>
      </c>
      <c r="G2127" s="3" t="str">
        <f t="shared" si="33"/>
        <v>5</v>
      </c>
      <c r="H2127" s="3" t="s">
        <v>3851</v>
      </c>
      <c r="I2127" s="8">
        <v>2300</v>
      </c>
      <c r="J2127" s="8">
        <v>1649.55</v>
      </c>
      <c r="K2127" s="8">
        <v>2300</v>
      </c>
    </row>
    <row r="2128" spans="1:11" hidden="1" x14ac:dyDescent="0.25">
      <c r="A2128" s="3" t="s">
        <v>3852</v>
      </c>
      <c r="B2128" s="3">
        <v>12</v>
      </c>
      <c r="C2128" s="5">
        <v>304</v>
      </c>
      <c r="D2128" s="6">
        <v>0</v>
      </c>
      <c r="E2128" s="7">
        <v>703405</v>
      </c>
      <c r="F2128" s="3">
        <v>48190</v>
      </c>
      <c r="G2128" s="3" t="str">
        <f t="shared" si="33"/>
        <v>4</v>
      </c>
      <c r="H2128" s="3" t="s">
        <v>3853</v>
      </c>
      <c r="I2128" s="8">
        <v>-177304.41</v>
      </c>
      <c r="J2128" s="8">
        <v>-71031.289999999994</v>
      </c>
      <c r="K2128" s="8">
        <v>-177304.41</v>
      </c>
    </row>
    <row r="2129" spans="1:11" hidden="1" x14ac:dyDescent="0.25">
      <c r="A2129" s="3" t="s">
        <v>3854</v>
      </c>
      <c r="B2129" s="3">
        <v>12</v>
      </c>
      <c r="C2129" s="5">
        <v>304</v>
      </c>
      <c r="D2129" s="6">
        <v>0</v>
      </c>
      <c r="E2129" s="7">
        <v>703405</v>
      </c>
      <c r="F2129" s="3">
        <v>52130</v>
      </c>
      <c r="G2129" s="3" t="str">
        <f t="shared" si="33"/>
        <v>5</v>
      </c>
      <c r="H2129" s="3" t="s">
        <v>3855</v>
      </c>
      <c r="I2129" s="8">
        <v>55511</v>
      </c>
      <c r="J2129" s="8">
        <v>41633.279999999999</v>
      </c>
      <c r="K2129" s="8">
        <v>55511</v>
      </c>
    </row>
    <row r="2130" spans="1:11" hidden="1" x14ac:dyDescent="0.25">
      <c r="A2130" s="3" t="s">
        <v>3856</v>
      </c>
      <c r="B2130" s="3">
        <v>12</v>
      </c>
      <c r="C2130" s="5">
        <v>304</v>
      </c>
      <c r="D2130" s="6">
        <v>0</v>
      </c>
      <c r="E2130" s="7">
        <v>703405</v>
      </c>
      <c r="F2130" s="3">
        <v>53000</v>
      </c>
      <c r="G2130" s="3" t="str">
        <f t="shared" si="33"/>
        <v>5</v>
      </c>
      <c r="H2130" s="3" t="s">
        <v>3857</v>
      </c>
      <c r="I2130" s="8">
        <v>33375</v>
      </c>
      <c r="J2130" s="8">
        <v>0</v>
      </c>
      <c r="K2130" s="8">
        <v>33375</v>
      </c>
    </row>
    <row r="2131" spans="1:11" hidden="1" x14ac:dyDescent="0.25">
      <c r="A2131" s="3" t="s">
        <v>3858</v>
      </c>
      <c r="B2131" s="3">
        <v>12</v>
      </c>
      <c r="C2131" s="5">
        <v>304</v>
      </c>
      <c r="D2131" s="6">
        <v>0</v>
      </c>
      <c r="E2131" s="7">
        <v>703405</v>
      </c>
      <c r="F2131" s="3">
        <v>53120</v>
      </c>
      <c r="G2131" s="3" t="str">
        <f t="shared" si="33"/>
        <v>5</v>
      </c>
      <c r="H2131" s="3" t="s">
        <v>3859</v>
      </c>
      <c r="I2131" s="8">
        <v>0</v>
      </c>
      <c r="J2131" s="8">
        <v>6723.81</v>
      </c>
      <c r="K2131" s="8">
        <v>0</v>
      </c>
    </row>
    <row r="2132" spans="1:11" hidden="1" x14ac:dyDescent="0.25">
      <c r="A2132" s="3" t="s">
        <v>3860</v>
      </c>
      <c r="B2132" s="3">
        <v>12</v>
      </c>
      <c r="C2132" s="5">
        <v>304</v>
      </c>
      <c r="D2132" s="6">
        <v>0</v>
      </c>
      <c r="E2132" s="7">
        <v>703405</v>
      </c>
      <c r="F2132" s="3">
        <v>53340</v>
      </c>
      <c r="G2132" s="3" t="str">
        <f t="shared" si="33"/>
        <v>5</v>
      </c>
      <c r="H2132" s="3" t="s">
        <v>3861</v>
      </c>
      <c r="I2132" s="8">
        <v>0</v>
      </c>
      <c r="J2132" s="8">
        <v>598.11</v>
      </c>
      <c r="K2132" s="8">
        <v>0</v>
      </c>
    </row>
    <row r="2133" spans="1:11" hidden="1" x14ac:dyDescent="0.25">
      <c r="A2133" s="3" t="s">
        <v>3862</v>
      </c>
      <c r="B2133" s="3">
        <v>12</v>
      </c>
      <c r="C2133" s="5">
        <v>304</v>
      </c>
      <c r="D2133" s="6">
        <v>0</v>
      </c>
      <c r="E2133" s="7">
        <v>703405</v>
      </c>
      <c r="F2133" s="3">
        <v>53420</v>
      </c>
      <c r="G2133" s="3" t="str">
        <f t="shared" si="33"/>
        <v>5</v>
      </c>
      <c r="H2133" s="3" t="s">
        <v>3863</v>
      </c>
      <c r="I2133" s="8">
        <v>0</v>
      </c>
      <c r="J2133" s="8">
        <v>12059.34</v>
      </c>
      <c r="K2133" s="8">
        <v>0</v>
      </c>
    </row>
    <row r="2134" spans="1:11" hidden="1" x14ac:dyDescent="0.25">
      <c r="A2134" s="3" t="s">
        <v>3864</v>
      </c>
      <c r="B2134" s="3">
        <v>12</v>
      </c>
      <c r="C2134" s="5">
        <v>304</v>
      </c>
      <c r="D2134" s="6">
        <v>0</v>
      </c>
      <c r="E2134" s="7">
        <v>703405</v>
      </c>
      <c r="F2134" s="3">
        <v>53520</v>
      </c>
      <c r="G2134" s="3" t="str">
        <f t="shared" si="33"/>
        <v>5</v>
      </c>
      <c r="H2134" s="3" t="s">
        <v>3865</v>
      </c>
      <c r="I2134" s="8">
        <v>0</v>
      </c>
      <c r="J2134" s="8">
        <v>20.79</v>
      </c>
      <c r="K2134" s="8">
        <v>0</v>
      </c>
    </row>
    <row r="2135" spans="1:11" hidden="1" x14ac:dyDescent="0.25">
      <c r="A2135" s="3" t="s">
        <v>3866</v>
      </c>
      <c r="B2135" s="3">
        <v>12</v>
      </c>
      <c r="C2135" s="5">
        <v>304</v>
      </c>
      <c r="D2135" s="6">
        <v>0</v>
      </c>
      <c r="E2135" s="7">
        <v>703405</v>
      </c>
      <c r="F2135" s="3">
        <v>53620</v>
      </c>
      <c r="G2135" s="3" t="str">
        <f t="shared" si="33"/>
        <v>5</v>
      </c>
      <c r="H2135" s="3" t="s">
        <v>3867</v>
      </c>
      <c r="I2135" s="8">
        <v>0</v>
      </c>
      <c r="J2135" s="8">
        <v>787.23</v>
      </c>
      <c r="K2135" s="8">
        <v>0</v>
      </c>
    </row>
    <row r="2136" spans="1:11" hidden="1" x14ac:dyDescent="0.25">
      <c r="A2136" s="3" t="s">
        <v>3868</v>
      </c>
      <c r="B2136" s="3">
        <v>12</v>
      </c>
      <c r="C2136" s="5">
        <v>304</v>
      </c>
      <c r="D2136" s="6">
        <v>0</v>
      </c>
      <c r="E2136" s="7">
        <v>703405</v>
      </c>
      <c r="F2136" s="3">
        <v>54300</v>
      </c>
      <c r="G2136" s="3" t="str">
        <f t="shared" si="33"/>
        <v>5</v>
      </c>
      <c r="H2136" s="3" t="s">
        <v>3869</v>
      </c>
      <c r="I2136" s="8">
        <v>0</v>
      </c>
      <c r="J2136" s="8">
        <v>0</v>
      </c>
      <c r="K2136" s="8">
        <v>0</v>
      </c>
    </row>
    <row r="2137" spans="1:11" hidden="1" x14ac:dyDescent="0.25">
      <c r="A2137" s="3" t="s">
        <v>3870</v>
      </c>
      <c r="B2137" s="3">
        <v>12</v>
      </c>
      <c r="C2137" s="5">
        <v>304</v>
      </c>
      <c r="D2137" s="6">
        <v>0</v>
      </c>
      <c r="E2137" s="7">
        <v>703405</v>
      </c>
      <c r="F2137" s="3">
        <v>55105</v>
      </c>
      <c r="G2137" s="3" t="str">
        <f t="shared" si="33"/>
        <v>5</v>
      </c>
      <c r="H2137" s="3" t="s">
        <v>3871</v>
      </c>
      <c r="I2137" s="8">
        <v>32930.239999999998</v>
      </c>
      <c r="J2137" s="8">
        <v>4578</v>
      </c>
      <c r="K2137" s="8">
        <v>32930.239999999998</v>
      </c>
    </row>
    <row r="2138" spans="1:11" hidden="1" x14ac:dyDescent="0.25">
      <c r="A2138" s="3" t="s">
        <v>3872</v>
      </c>
      <c r="B2138" s="3">
        <v>12</v>
      </c>
      <c r="C2138" s="5">
        <v>304</v>
      </c>
      <c r="D2138" s="6">
        <v>0</v>
      </c>
      <c r="E2138" s="7">
        <v>703405</v>
      </c>
      <c r="F2138" s="3">
        <v>55200</v>
      </c>
      <c r="G2138" s="3" t="str">
        <f t="shared" si="33"/>
        <v>5</v>
      </c>
      <c r="H2138" s="3" t="s">
        <v>3873</v>
      </c>
      <c r="I2138" s="8">
        <v>5765.17</v>
      </c>
      <c r="J2138" s="8">
        <v>0</v>
      </c>
      <c r="K2138" s="8">
        <v>5765.17</v>
      </c>
    </row>
    <row r="2139" spans="1:11" hidden="1" x14ac:dyDescent="0.25">
      <c r="A2139" s="3" t="s">
        <v>3874</v>
      </c>
      <c r="B2139" s="3">
        <v>12</v>
      </c>
      <c r="C2139" s="5">
        <v>304</v>
      </c>
      <c r="D2139" s="6">
        <v>0</v>
      </c>
      <c r="E2139" s="7">
        <v>703405</v>
      </c>
      <c r="F2139" s="3">
        <v>56405</v>
      </c>
      <c r="G2139" s="3" t="str">
        <f t="shared" si="33"/>
        <v>5</v>
      </c>
      <c r="H2139" s="3" t="s">
        <v>3875</v>
      </c>
      <c r="I2139" s="8">
        <v>14000</v>
      </c>
      <c r="J2139" s="8">
        <v>0</v>
      </c>
      <c r="K2139" s="8">
        <v>14000</v>
      </c>
    </row>
    <row r="2140" spans="1:11" hidden="1" x14ac:dyDescent="0.25">
      <c r="A2140" s="3" t="s">
        <v>3876</v>
      </c>
      <c r="B2140" s="3">
        <v>12</v>
      </c>
      <c r="C2140" s="5">
        <v>304</v>
      </c>
      <c r="D2140" s="6">
        <v>0</v>
      </c>
      <c r="E2140" s="7">
        <v>703405</v>
      </c>
      <c r="F2140" s="3">
        <v>57350</v>
      </c>
      <c r="G2140" s="3" t="str">
        <f t="shared" si="33"/>
        <v>5</v>
      </c>
      <c r="H2140" s="3" t="s">
        <v>3877</v>
      </c>
      <c r="I2140" s="8">
        <v>35723</v>
      </c>
      <c r="J2140" s="8">
        <v>11553.46</v>
      </c>
      <c r="K2140" s="8">
        <v>35723</v>
      </c>
    </row>
    <row r="2141" spans="1:11" hidden="1" x14ac:dyDescent="0.25">
      <c r="A2141" s="3" t="s">
        <v>3878</v>
      </c>
      <c r="B2141" s="3">
        <v>12</v>
      </c>
      <c r="C2141" s="5">
        <v>304</v>
      </c>
      <c r="D2141" s="6">
        <v>0</v>
      </c>
      <c r="E2141" s="7">
        <v>760000</v>
      </c>
      <c r="F2141" s="3">
        <v>51412</v>
      </c>
      <c r="G2141" s="3" t="str">
        <f t="shared" si="33"/>
        <v>5</v>
      </c>
      <c r="H2141" s="3" t="s">
        <v>3422</v>
      </c>
      <c r="I2141" s="8">
        <v>0</v>
      </c>
      <c r="J2141" s="8">
        <v>6874.98</v>
      </c>
      <c r="K2141" s="8">
        <v>0</v>
      </c>
    </row>
    <row r="2142" spans="1:11" hidden="1" x14ac:dyDescent="0.25">
      <c r="A2142" s="3" t="s">
        <v>3879</v>
      </c>
      <c r="B2142" s="3">
        <v>12</v>
      </c>
      <c r="C2142" s="5">
        <v>304</v>
      </c>
      <c r="D2142" s="6">
        <v>0</v>
      </c>
      <c r="E2142" s="7">
        <v>760000</v>
      </c>
      <c r="F2142" s="3">
        <v>53120</v>
      </c>
      <c r="G2142" s="3" t="str">
        <f t="shared" si="33"/>
        <v>5</v>
      </c>
      <c r="H2142" s="3" t="s">
        <v>3424</v>
      </c>
      <c r="I2142" s="8">
        <v>0</v>
      </c>
      <c r="J2142" s="8">
        <v>1132.07</v>
      </c>
      <c r="K2142" s="8">
        <v>0</v>
      </c>
    </row>
    <row r="2143" spans="1:11" hidden="1" x14ac:dyDescent="0.25">
      <c r="A2143" s="3" t="s">
        <v>3880</v>
      </c>
      <c r="B2143" s="3">
        <v>12</v>
      </c>
      <c r="C2143" s="5">
        <v>304</v>
      </c>
      <c r="D2143" s="6">
        <v>0</v>
      </c>
      <c r="E2143" s="7">
        <v>760000</v>
      </c>
      <c r="F2143" s="3">
        <v>53340</v>
      </c>
      <c r="G2143" s="3" t="str">
        <f t="shared" si="33"/>
        <v>5</v>
      </c>
      <c r="H2143" s="3" t="s">
        <v>3426</v>
      </c>
      <c r="I2143" s="8">
        <v>0</v>
      </c>
      <c r="J2143" s="8">
        <v>99.69</v>
      </c>
      <c r="K2143" s="8">
        <v>0</v>
      </c>
    </row>
    <row r="2144" spans="1:11" hidden="1" x14ac:dyDescent="0.25">
      <c r="A2144" s="3" t="s">
        <v>3881</v>
      </c>
      <c r="B2144" s="3">
        <v>12</v>
      </c>
      <c r="C2144" s="5">
        <v>304</v>
      </c>
      <c r="D2144" s="6">
        <v>0</v>
      </c>
      <c r="E2144" s="7">
        <v>760000</v>
      </c>
      <c r="F2144" s="3">
        <v>53520</v>
      </c>
      <c r="G2144" s="3" t="str">
        <f t="shared" si="33"/>
        <v>5</v>
      </c>
      <c r="H2144" s="3" t="s">
        <v>3428</v>
      </c>
      <c r="I2144" s="8">
        <v>0</v>
      </c>
      <c r="J2144" s="8">
        <v>3.45</v>
      </c>
      <c r="K2144" s="8">
        <v>0</v>
      </c>
    </row>
    <row r="2145" spans="1:12" hidden="1" x14ac:dyDescent="0.25">
      <c r="A2145" s="3" t="s">
        <v>3882</v>
      </c>
      <c r="B2145" s="3">
        <v>12</v>
      </c>
      <c r="C2145" s="5">
        <v>304</v>
      </c>
      <c r="D2145" s="6">
        <v>0</v>
      </c>
      <c r="E2145" s="7">
        <v>760000</v>
      </c>
      <c r="F2145" s="3">
        <v>53620</v>
      </c>
      <c r="G2145" s="3" t="str">
        <f t="shared" si="33"/>
        <v>5</v>
      </c>
      <c r="H2145" s="3" t="s">
        <v>3430</v>
      </c>
      <c r="I2145" s="8">
        <v>0</v>
      </c>
      <c r="J2145" s="8">
        <v>129.99</v>
      </c>
      <c r="K2145" s="8">
        <v>0</v>
      </c>
    </row>
    <row r="2146" spans="1:12" hidden="1" x14ac:dyDescent="0.25">
      <c r="A2146" s="3" t="s">
        <v>3883</v>
      </c>
      <c r="B2146" s="3">
        <v>12</v>
      </c>
      <c r="C2146" s="5">
        <v>305</v>
      </c>
      <c r="D2146" s="6">
        <v>0</v>
      </c>
      <c r="E2146" s="7">
        <v>601015</v>
      </c>
      <c r="F2146" s="3">
        <v>48890</v>
      </c>
      <c r="G2146" s="3" t="str">
        <f t="shared" si="33"/>
        <v>4</v>
      </c>
      <c r="H2146" s="3" t="s">
        <v>3884</v>
      </c>
      <c r="I2146" s="8">
        <v>-9255</v>
      </c>
      <c r="J2146" s="8">
        <v>-9255</v>
      </c>
      <c r="K2146" s="8">
        <v>-9255</v>
      </c>
    </row>
    <row r="2147" spans="1:12" hidden="1" x14ac:dyDescent="0.25">
      <c r="A2147" s="3" t="s">
        <v>3885</v>
      </c>
      <c r="B2147" s="3">
        <v>12</v>
      </c>
      <c r="C2147" s="5">
        <v>305</v>
      </c>
      <c r="D2147" s="6">
        <v>0</v>
      </c>
      <c r="E2147" s="7">
        <v>601015</v>
      </c>
      <c r="F2147" s="3">
        <v>52350</v>
      </c>
      <c r="G2147" s="3" t="str">
        <f t="shared" si="33"/>
        <v>5</v>
      </c>
      <c r="H2147" s="3" t="s">
        <v>3886</v>
      </c>
      <c r="I2147" s="8">
        <v>0</v>
      </c>
      <c r="J2147" s="8">
        <v>0</v>
      </c>
      <c r="K2147" s="8">
        <v>0</v>
      </c>
    </row>
    <row r="2148" spans="1:12" hidden="1" x14ac:dyDescent="0.25">
      <c r="A2148" s="3" t="s">
        <v>3887</v>
      </c>
      <c r="B2148" s="3">
        <v>12</v>
      </c>
      <c r="C2148" s="5">
        <v>305</v>
      </c>
      <c r="D2148" s="6">
        <v>0</v>
      </c>
      <c r="E2148" s="7">
        <v>601015</v>
      </c>
      <c r="F2148" s="3">
        <v>53620</v>
      </c>
      <c r="G2148" s="3" t="str">
        <f t="shared" si="33"/>
        <v>5</v>
      </c>
      <c r="H2148" s="3" t="s">
        <v>3888</v>
      </c>
      <c r="I2148" s="8">
        <v>0</v>
      </c>
      <c r="J2148" s="8">
        <v>0</v>
      </c>
      <c r="K2148" s="8">
        <v>0</v>
      </c>
    </row>
    <row r="2149" spans="1:12" hidden="1" x14ac:dyDescent="0.25">
      <c r="A2149" s="3" t="s">
        <v>3889</v>
      </c>
      <c r="B2149" s="3">
        <v>12</v>
      </c>
      <c r="C2149" s="5">
        <v>305</v>
      </c>
      <c r="D2149" s="6">
        <v>0</v>
      </c>
      <c r="E2149" s="7">
        <v>601015</v>
      </c>
      <c r="F2149" s="3">
        <v>56400</v>
      </c>
      <c r="G2149" s="3" t="str">
        <f t="shared" si="33"/>
        <v>5</v>
      </c>
      <c r="H2149" s="3" t="s">
        <v>3890</v>
      </c>
      <c r="I2149" s="8">
        <v>5000</v>
      </c>
      <c r="J2149" s="8">
        <v>5000</v>
      </c>
      <c r="K2149" s="8">
        <v>5000</v>
      </c>
    </row>
    <row r="2150" spans="1:12" hidden="1" x14ac:dyDescent="0.25">
      <c r="A2150" s="3" t="s">
        <v>3891</v>
      </c>
      <c r="B2150" s="3">
        <v>12</v>
      </c>
      <c r="C2150" s="5">
        <v>305</v>
      </c>
      <c r="D2150" s="6">
        <v>0</v>
      </c>
      <c r="E2150" s="7">
        <v>601015</v>
      </c>
      <c r="F2150" s="3">
        <v>57510</v>
      </c>
      <c r="G2150" s="3" t="str">
        <f t="shared" si="33"/>
        <v>5</v>
      </c>
      <c r="H2150" s="3" t="s">
        <v>3892</v>
      </c>
      <c r="I2150" s="8">
        <v>4255</v>
      </c>
      <c r="J2150" s="8">
        <v>4150</v>
      </c>
      <c r="K2150" s="8">
        <v>4255</v>
      </c>
    </row>
    <row r="2151" spans="1:12" hidden="1" x14ac:dyDescent="0.25">
      <c r="A2151" s="3" t="s">
        <v>3893</v>
      </c>
      <c r="B2151" s="3">
        <v>12</v>
      </c>
      <c r="C2151" s="5">
        <v>306</v>
      </c>
      <c r="D2151" s="6">
        <v>4</v>
      </c>
      <c r="E2151" s="7">
        <v>601000</v>
      </c>
      <c r="F2151" s="3">
        <v>48890</v>
      </c>
      <c r="G2151" s="3" t="str">
        <f t="shared" si="33"/>
        <v>4</v>
      </c>
      <c r="H2151" s="3" t="s">
        <v>3894</v>
      </c>
      <c r="I2151" s="8">
        <v>-14589</v>
      </c>
      <c r="J2151" s="8">
        <v>0</v>
      </c>
      <c r="K2151" s="8">
        <v>-14589</v>
      </c>
    </row>
    <row r="2152" spans="1:12" hidden="1" x14ac:dyDescent="0.25">
      <c r="A2152" s="3" t="s">
        <v>3895</v>
      </c>
      <c r="B2152" s="3">
        <v>12</v>
      </c>
      <c r="C2152" s="5">
        <v>306</v>
      </c>
      <c r="D2152" s="6">
        <v>4</v>
      </c>
      <c r="E2152" s="7">
        <v>601000</v>
      </c>
      <c r="F2152" s="3">
        <v>51210</v>
      </c>
      <c r="G2152" s="3" t="str">
        <f t="shared" si="33"/>
        <v>5</v>
      </c>
      <c r="H2152" s="3" t="s">
        <v>477</v>
      </c>
      <c r="I2152" s="8">
        <v>9578</v>
      </c>
      <c r="J2152" s="8">
        <v>0</v>
      </c>
      <c r="K2152" s="8">
        <v>9578</v>
      </c>
    </row>
    <row r="2153" spans="1:12" hidden="1" x14ac:dyDescent="0.25">
      <c r="A2153" s="3" t="s">
        <v>3896</v>
      </c>
      <c r="B2153" s="3">
        <v>12</v>
      </c>
      <c r="C2153" s="5">
        <v>306</v>
      </c>
      <c r="D2153" s="6">
        <v>4</v>
      </c>
      <c r="E2153" s="7">
        <v>601000</v>
      </c>
      <c r="F2153" s="3">
        <v>53120</v>
      </c>
      <c r="G2153" s="3" t="str">
        <f t="shared" si="33"/>
        <v>5</v>
      </c>
      <c r="H2153" s="3" t="s">
        <v>485</v>
      </c>
      <c r="I2153" s="8">
        <v>1547</v>
      </c>
      <c r="J2153" s="8">
        <v>0</v>
      </c>
      <c r="K2153" s="8">
        <v>1547</v>
      </c>
    </row>
    <row r="2154" spans="1:12" hidden="1" x14ac:dyDescent="0.25">
      <c r="A2154" s="3" t="s">
        <v>3897</v>
      </c>
      <c r="B2154" s="3">
        <v>12</v>
      </c>
      <c r="C2154" s="5">
        <v>306</v>
      </c>
      <c r="D2154" s="6">
        <v>4</v>
      </c>
      <c r="E2154" s="7">
        <v>601000</v>
      </c>
      <c r="F2154" s="3">
        <v>53340</v>
      </c>
      <c r="G2154" s="3" t="str">
        <f t="shared" si="33"/>
        <v>5</v>
      </c>
      <c r="H2154" s="3" t="s">
        <v>491</v>
      </c>
      <c r="I2154" s="8">
        <v>139</v>
      </c>
      <c r="J2154" s="8">
        <v>0</v>
      </c>
      <c r="K2154" s="8">
        <v>139</v>
      </c>
    </row>
    <row r="2155" spans="1:12" hidden="1" x14ac:dyDescent="0.25">
      <c r="A2155" s="3" t="s">
        <v>3898</v>
      </c>
      <c r="B2155" s="3">
        <v>12</v>
      </c>
      <c r="C2155" s="5">
        <v>306</v>
      </c>
      <c r="D2155" s="6">
        <v>4</v>
      </c>
      <c r="E2155" s="7">
        <v>601000</v>
      </c>
      <c r="F2155" s="3">
        <v>53420</v>
      </c>
      <c r="G2155" s="3" t="str">
        <f t="shared" si="33"/>
        <v>5</v>
      </c>
      <c r="H2155" s="3" t="s">
        <v>493</v>
      </c>
      <c r="I2155" s="8">
        <v>3118</v>
      </c>
      <c r="J2155" s="8">
        <v>0</v>
      </c>
      <c r="K2155" s="8">
        <v>3118</v>
      </c>
    </row>
    <row r="2156" spans="1:12" hidden="1" x14ac:dyDescent="0.25">
      <c r="A2156" s="3" t="s">
        <v>3899</v>
      </c>
      <c r="B2156" s="3">
        <v>12</v>
      </c>
      <c r="C2156" s="5">
        <v>306</v>
      </c>
      <c r="D2156" s="6">
        <v>4</v>
      </c>
      <c r="E2156" s="7">
        <v>601000</v>
      </c>
      <c r="F2156" s="3">
        <v>53520</v>
      </c>
      <c r="G2156" s="3" t="str">
        <f t="shared" si="33"/>
        <v>5</v>
      </c>
      <c r="H2156" s="3" t="s">
        <v>495</v>
      </c>
      <c r="I2156" s="8">
        <v>5</v>
      </c>
      <c r="J2156" s="8">
        <v>0</v>
      </c>
      <c r="K2156" s="8">
        <v>5</v>
      </c>
    </row>
    <row r="2157" spans="1:12" hidden="1" x14ac:dyDescent="0.25">
      <c r="A2157" s="3" t="s">
        <v>3900</v>
      </c>
      <c r="B2157" s="3">
        <v>12</v>
      </c>
      <c r="C2157" s="5">
        <v>306</v>
      </c>
      <c r="D2157" s="6">
        <v>4</v>
      </c>
      <c r="E2157" s="7">
        <v>601000</v>
      </c>
      <c r="F2157" s="3">
        <v>53620</v>
      </c>
      <c r="G2157" s="3" t="str">
        <f t="shared" si="33"/>
        <v>5</v>
      </c>
      <c r="H2157" s="3" t="s">
        <v>497</v>
      </c>
      <c r="I2157" s="8">
        <v>182</v>
      </c>
      <c r="J2157" s="8">
        <v>0</v>
      </c>
      <c r="K2157" s="8">
        <v>182</v>
      </c>
    </row>
    <row r="2158" spans="1:12" hidden="1" x14ac:dyDescent="0.25">
      <c r="A2158" s="3" t="s">
        <v>3901</v>
      </c>
      <c r="B2158" s="3">
        <v>12</v>
      </c>
      <c r="C2158" s="5">
        <v>306</v>
      </c>
      <c r="D2158" s="6">
        <v>4</v>
      </c>
      <c r="E2158" s="7">
        <v>601000</v>
      </c>
      <c r="F2158" s="3">
        <v>53920</v>
      </c>
      <c r="G2158" s="3" t="str">
        <f t="shared" si="33"/>
        <v>5</v>
      </c>
      <c r="H2158" s="3" t="s">
        <v>499</v>
      </c>
      <c r="I2158" s="8">
        <v>20</v>
      </c>
      <c r="J2158" s="8">
        <v>0</v>
      </c>
      <c r="K2158" s="8">
        <v>20</v>
      </c>
    </row>
    <row r="2159" spans="1:12" hidden="1" x14ac:dyDescent="0.25">
      <c r="A2159" s="3" t="s">
        <v>3902</v>
      </c>
      <c r="B2159" s="3">
        <v>12</v>
      </c>
      <c r="C2159" s="5">
        <v>310</v>
      </c>
      <c r="D2159" s="6">
        <v>0</v>
      </c>
      <c r="E2159" s="7">
        <v>619005</v>
      </c>
      <c r="F2159" s="3">
        <v>48190</v>
      </c>
      <c r="G2159" s="3" t="str">
        <f t="shared" si="33"/>
        <v>4</v>
      </c>
      <c r="H2159" s="3" t="s">
        <v>3903</v>
      </c>
      <c r="I2159" s="8">
        <v>-259551</v>
      </c>
      <c r="J2159" s="8">
        <v>0</v>
      </c>
      <c r="K2159" s="8">
        <v>-259551</v>
      </c>
      <c r="L2159" s="8" t="s">
        <v>6682</v>
      </c>
    </row>
    <row r="2160" spans="1:12" hidden="1" x14ac:dyDescent="0.25">
      <c r="A2160" s="3" t="s">
        <v>3904</v>
      </c>
      <c r="B2160" s="3">
        <v>12</v>
      </c>
      <c r="C2160" s="5">
        <v>310</v>
      </c>
      <c r="D2160" s="6">
        <v>0</v>
      </c>
      <c r="E2160" s="7">
        <v>619005</v>
      </c>
      <c r="F2160" s="3">
        <v>51412</v>
      </c>
      <c r="G2160" s="3" t="str">
        <f t="shared" si="33"/>
        <v>5</v>
      </c>
      <c r="H2160" s="3" t="s">
        <v>3905</v>
      </c>
      <c r="I2160" s="8">
        <v>20000</v>
      </c>
      <c r="J2160" s="8">
        <v>5982</v>
      </c>
      <c r="K2160" s="8">
        <v>20000</v>
      </c>
      <c r="L2160" s="8" t="s">
        <v>6682</v>
      </c>
    </row>
    <row r="2161" spans="1:12" hidden="1" x14ac:dyDescent="0.25">
      <c r="A2161" s="3" t="s">
        <v>3906</v>
      </c>
      <c r="B2161" s="3">
        <v>12</v>
      </c>
      <c r="C2161" s="5">
        <v>310</v>
      </c>
      <c r="D2161" s="6">
        <v>0</v>
      </c>
      <c r="E2161" s="7">
        <v>619005</v>
      </c>
      <c r="F2161" s="3">
        <v>53120</v>
      </c>
      <c r="G2161" s="3" t="str">
        <f t="shared" si="33"/>
        <v>5</v>
      </c>
      <c r="H2161" s="3" t="s">
        <v>3907</v>
      </c>
      <c r="I2161" s="8">
        <v>3230</v>
      </c>
      <c r="J2161" s="8">
        <v>966.09</v>
      </c>
      <c r="K2161" s="8">
        <v>3230</v>
      </c>
      <c r="L2161" s="8" t="s">
        <v>6682</v>
      </c>
    </row>
    <row r="2162" spans="1:12" hidden="1" x14ac:dyDescent="0.25">
      <c r="A2162" s="3" t="s">
        <v>3908</v>
      </c>
      <c r="B2162" s="3">
        <v>12</v>
      </c>
      <c r="C2162" s="5">
        <v>310</v>
      </c>
      <c r="D2162" s="6">
        <v>0</v>
      </c>
      <c r="E2162" s="7">
        <v>619005</v>
      </c>
      <c r="F2162" s="3">
        <v>53340</v>
      </c>
      <c r="G2162" s="3" t="str">
        <f t="shared" si="33"/>
        <v>5</v>
      </c>
      <c r="H2162" s="3" t="s">
        <v>3909</v>
      </c>
      <c r="I2162" s="8">
        <v>290</v>
      </c>
      <c r="J2162" s="8">
        <v>86.75</v>
      </c>
      <c r="K2162" s="8">
        <v>290</v>
      </c>
      <c r="L2162" s="8" t="s">
        <v>6682</v>
      </c>
    </row>
    <row r="2163" spans="1:12" hidden="1" x14ac:dyDescent="0.25">
      <c r="A2163" s="3" t="s">
        <v>3910</v>
      </c>
      <c r="B2163" s="3">
        <v>12</v>
      </c>
      <c r="C2163" s="5">
        <v>310</v>
      </c>
      <c r="D2163" s="6">
        <v>0</v>
      </c>
      <c r="E2163" s="7">
        <v>619005</v>
      </c>
      <c r="F2163" s="3">
        <v>53520</v>
      </c>
      <c r="G2163" s="3" t="str">
        <f t="shared" si="33"/>
        <v>5</v>
      </c>
      <c r="H2163" s="3" t="s">
        <v>3911</v>
      </c>
      <c r="I2163" s="8">
        <v>10</v>
      </c>
      <c r="J2163" s="8">
        <v>2.99</v>
      </c>
      <c r="K2163" s="8">
        <v>10</v>
      </c>
      <c r="L2163" s="8" t="s">
        <v>6682</v>
      </c>
    </row>
    <row r="2164" spans="1:12" hidden="1" x14ac:dyDescent="0.25">
      <c r="A2164" s="3" t="s">
        <v>3912</v>
      </c>
      <c r="B2164" s="3">
        <v>12</v>
      </c>
      <c r="C2164" s="5">
        <v>310</v>
      </c>
      <c r="D2164" s="6">
        <v>0</v>
      </c>
      <c r="E2164" s="7">
        <v>619005</v>
      </c>
      <c r="F2164" s="3">
        <v>53620</v>
      </c>
      <c r="G2164" s="3" t="str">
        <f t="shared" si="33"/>
        <v>5</v>
      </c>
      <c r="H2164" s="3" t="s">
        <v>3913</v>
      </c>
      <c r="I2164" s="8">
        <v>380</v>
      </c>
      <c r="J2164" s="8">
        <v>113.11</v>
      </c>
      <c r="K2164" s="8">
        <v>380</v>
      </c>
      <c r="L2164" s="8" t="s">
        <v>6682</v>
      </c>
    </row>
    <row r="2165" spans="1:12" hidden="1" x14ac:dyDescent="0.25">
      <c r="A2165" s="3" t="s">
        <v>3914</v>
      </c>
      <c r="B2165" s="3">
        <v>12</v>
      </c>
      <c r="C2165" s="5">
        <v>310</v>
      </c>
      <c r="D2165" s="6">
        <v>0</v>
      </c>
      <c r="E2165" s="7">
        <v>619005</v>
      </c>
      <c r="F2165" s="3">
        <v>54300</v>
      </c>
      <c r="G2165" s="3" t="str">
        <f t="shared" si="33"/>
        <v>5</v>
      </c>
      <c r="H2165" s="3" t="s">
        <v>3915</v>
      </c>
      <c r="I2165" s="8">
        <v>15000</v>
      </c>
      <c r="J2165" s="8">
        <v>4973.53</v>
      </c>
      <c r="K2165" s="8">
        <v>15000</v>
      </c>
      <c r="L2165" s="8" t="s">
        <v>6682</v>
      </c>
    </row>
    <row r="2166" spans="1:12" hidden="1" x14ac:dyDescent="0.25">
      <c r="A2166" s="3" t="s">
        <v>3916</v>
      </c>
      <c r="B2166" s="3">
        <v>12</v>
      </c>
      <c r="C2166" s="5">
        <v>310</v>
      </c>
      <c r="D2166" s="6">
        <v>0</v>
      </c>
      <c r="E2166" s="7">
        <v>619005</v>
      </c>
      <c r="F2166" s="3">
        <v>54301</v>
      </c>
      <c r="G2166" s="3" t="str">
        <f t="shared" si="33"/>
        <v>5</v>
      </c>
      <c r="H2166" s="3" t="s">
        <v>3917</v>
      </c>
      <c r="I2166" s="8">
        <v>5000</v>
      </c>
      <c r="J2166" s="8">
        <v>0</v>
      </c>
      <c r="K2166" s="8">
        <v>5000</v>
      </c>
      <c r="L2166" s="8" t="s">
        <v>6682</v>
      </c>
    </row>
    <row r="2167" spans="1:12" hidden="1" x14ac:dyDescent="0.25">
      <c r="A2167" s="3" t="s">
        <v>3918</v>
      </c>
      <c r="B2167" s="3">
        <v>12</v>
      </c>
      <c r="C2167" s="5">
        <v>310</v>
      </c>
      <c r="D2167" s="6">
        <v>0</v>
      </c>
      <c r="E2167" s="7">
        <v>619005</v>
      </c>
      <c r="F2167" s="3">
        <v>55100</v>
      </c>
      <c r="G2167" s="3" t="str">
        <f t="shared" si="33"/>
        <v>5</v>
      </c>
      <c r="H2167" s="3" t="s">
        <v>3919</v>
      </c>
      <c r="I2167" s="8">
        <v>0</v>
      </c>
      <c r="J2167" s="8">
        <v>1200</v>
      </c>
      <c r="K2167" s="8">
        <v>0</v>
      </c>
      <c r="L2167" s="8" t="s">
        <v>6682</v>
      </c>
    </row>
    <row r="2168" spans="1:12" hidden="1" x14ac:dyDescent="0.25">
      <c r="A2168" s="3" t="s">
        <v>3920</v>
      </c>
      <c r="B2168" s="3">
        <v>12</v>
      </c>
      <c r="C2168" s="5">
        <v>310</v>
      </c>
      <c r="D2168" s="6">
        <v>0</v>
      </c>
      <c r="E2168" s="7">
        <v>619005</v>
      </c>
      <c r="F2168" s="3">
        <v>55105</v>
      </c>
      <c r="G2168" s="3" t="str">
        <f t="shared" si="33"/>
        <v>5</v>
      </c>
      <c r="H2168" s="3" t="s">
        <v>3921</v>
      </c>
      <c r="I2168" s="8">
        <v>46962</v>
      </c>
      <c r="J2168" s="8">
        <v>11280</v>
      </c>
      <c r="K2168" s="8">
        <v>46962</v>
      </c>
      <c r="L2168" s="8" t="s">
        <v>6682</v>
      </c>
    </row>
    <row r="2169" spans="1:12" hidden="1" x14ac:dyDescent="0.25">
      <c r="A2169" s="3" t="s">
        <v>3922</v>
      </c>
      <c r="B2169" s="3">
        <v>12</v>
      </c>
      <c r="C2169" s="5">
        <v>310</v>
      </c>
      <c r="D2169" s="6">
        <v>0</v>
      </c>
      <c r="E2169" s="7">
        <v>619005</v>
      </c>
      <c r="F2169" s="3">
        <v>55300</v>
      </c>
      <c r="G2169" s="3" t="str">
        <f t="shared" si="33"/>
        <v>5</v>
      </c>
      <c r="H2169" s="3" t="s">
        <v>3923</v>
      </c>
      <c r="I2169" s="8">
        <v>5000</v>
      </c>
      <c r="J2169" s="8">
        <v>5000</v>
      </c>
      <c r="K2169" s="8">
        <v>5000</v>
      </c>
      <c r="L2169" s="8" t="s">
        <v>6682</v>
      </c>
    </row>
    <row r="2170" spans="1:12" hidden="1" x14ac:dyDescent="0.25">
      <c r="A2170" s="3" t="s">
        <v>3924</v>
      </c>
      <c r="B2170" s="3">
        <v>12</v>
      </c>
      <c r="C2170" s="5">
        <v>310</v>
      </c>
      <c r="D2170" s="6">
        <v>0</v>
      </c>
      <c r="E2170" s="7">
        <v>619005</v>
      </c>
      <c r="F2170" s="3">
        <v>55309</v>
      </c>
      <c r="G2170" s="3" t="str">
        <f t="shared" si="33"/>
        <v>5</v>
      </c>
      <c r="H2170" s="3" t="s">
        <v>3925</v>
      </c>
      <c r="I2170" s="8">
        <v>20000</v>
      </c>
      <c r="J2170" s="8">
        <v>0</v>
      </c>
      <c r="K2170" s="8">
        <v>20000</v>
      </c>
      <c r="L2170" s="8" t="s">
        <v>6682</v>
      </c>
    </row>
    <row r="2171" spans="1:12" hidden="1" x14ac:dyDescent="0.25">
      <c r="A2171" s="3" t="s">
        <v>3926</v>
      </c>
      <c r="B2171" s="3">
        <v>12</v>
      </c>
      <c r="C2171" s="5">
        <v>310</v>
      </c>
      <c r="D2171" s="6">
        <v>0</v>
      </c>
      <c r="E2171" s="7">
        <v>619005</v>
      </c>
      <c r="F2171" s="3">
        <v>55800</v>
      </c>
      <c r="G2171" s="3" t="str">
        <f t="shared" si="33"/>
        <v>5</v>
      </c>
      <c r="H2171" s="3" t="s">
        <v>3927</v>
      </c>
      <c r="I2171" s="8">
        <v>83990</v>
      </c>
      <c r="J2171" s="8">
        <v>0</v>
      </c>
      <c r="K2171" s="8">
        <v>83990</v>
      </c>
      <c r="L2171" s="8" t="s">
        <v>6682</v>
      </c>
    </row>
    <row r="2172" spans="1:12" hidden="1" x14ac:dyDescent="0.25">
      <c r="A2172" s="3" t="s">
        <v>3928</v>
      </c>
      <c r="B2172" s="3">
        <v>12</v>
      </c>
      <c r="C2172" s="5">
        <v>310</v>
      </c>
      <c r="D2172" s="6">
        <v>0</v>
      </c>
      <c r="E2172" s="7">
        <v>619005</v>
      </c>
      <c r="F2172" s="3">
        <v>57350</v>
      </c>
      <c r="G2172" s="3" t="str">
        <f t="shared" si="33"/>
        <v>5</v>
      </c>
      <c r="H2172" s="3" t="s">
        <v>3929</v>
      </c>
      <c r="I2172" s="8">
        <v>59689</v>
      </c>
      <c r="J2172" s="8">
        <v>0</v>
      </c>
      <c r="K2172" s="8">
        <v>59689</v>
      </c>
      <c r="L2172" s="8" t="s">
        <v>6682</v>
      </c>
    </row>
    <row r="2173" spans="1:12" hidden="1" x14ac:dyDescent="0.25">
      <c r="A2173" s="3" t="s">
        <v>3930</v>
      </c>
      <c r="B2173" s="3">
        <v>12</v>
      </c>
      <c r="C2173" s="5">
        <v>320</v>
      </c>
      <c r="D2173" s="6">
        <v>0</v>
      </c>
      <c r="E2173" s="7">
        <v>679000</v>
      </c>
      <c r="F2173" s="3">
        <v>54300</v>
      </c>
      <c r="G2173" s="3" t="str">
        <f t="shared" si="33"/>
        <v>5</v>
      </c>
      <c r="H2173" s="3" t="s">
        <v>3578</v>
      </c>
      <c r="I2173" s="8">
        <v>5000</v>
      </c>
      <c r="J2173" s="8">
        <v>0</v>
      </c>
      <c r="K2173" s="8">
        <v>5000</v>
      </c>
    </row>
    <row r="2174" spans="1:12" hidden="1" x14ac:dyDescent="0.25">
      <c r="A2174" s="3" t="s">
        <v>3931</v>
      </c>
      <c r="B2174" s="3">
        <v>12</v>
      </c>
      <c r="C2174" s="5">
        <v>320</v>
      </c>
      <c r="D2174" s="6">
        <v>0</v>
      </c>
      <c r="E2174" s="7">
        <v>679000</v>
      </c>
      <c r="F2174" s="3">
        <v>55105</v>
      </c>
      <c r="G2174" s="3" t="str">
        <f t="shared" si="33"/>
        <v>5</v>
      </c>
      <c r="H2174" s="3" t="s">
        <v>3932</v>
      </c>
      <c r="I2174" s="8">
        <v>250000</v>
      </c>
      <c r="J2174" s="8">
        <v>0</v>
      </c>
      <c r="K2174" s="8">
        <v>250000</v>
      </c>
    </row>
    <row r="2175" spans="1:12" hidden="1" x14ac:dyDescent="0.25">
      <c r="A2175" s="3" t="s">
        <v>3933</v>
      </c>
      <c r="B2175" s="3">
        <v>12</v>
      </c>
      <c r="C2175" s="5">
        <v>320</v>
      </c>
      <c r="D2175" s="6">
        <v>0</v>
      </c>
      <c r="E2175" s="7">
        <v>679000</v>
      </c>
      <c r="F2175" s="3">
        <v>55610</v>
      </c>
      <c r="G2175" s="3" t="str">
        <f t="shared" si="33"/>
        <v>5</v>
      </c>
      <c r="H2175" s="3" t="s">
        <v>3550</v>
      </c>
      <c r="I2175" s="8">
        <v>10000</v>
      </c>
      <c r="J2175" s="8">
        <v>0</v>
      </c>
      <c r="K2175" s="8">
        <v>10000</v>
      </c>
    </row>
    <row r="2176" spans="1:12" hidden="1" x14ac:dyDescent="0.25">
      <c r="A2176" s="3" t="s">
        <v>3934</v>
      </c>
      <c r="B2176" s="3">
        <v>12</v>
      </c>
      <c r="C2176" s="5">
        <v>330</v>
      </c>
      <c r="D2176" s="6">
        <v>0</v>
      </c>
      <c r="E2176" s="7">
        <v>602002</v>
      </c>
      <c r="F2176" s="3">
        <v>48190</v>
      </c>
      <c r="G2176" s="3" t="str">
        <f t="shared" si="33"/>
        <v>4</v>
      </c>
      <c r="H2176" s="3" t="s">
        <v>3935</v>
      </c>
      <c r="I2176" s="8">
        <v>-12000</v>
      </c>
      <c r="J2176" s="8">
        <v>0</v>
      </c>
      <c r="K2176" s="8">
        <v>-12000</v>
      </c>
    </row>
    <row r="2177" spans="1:11" hidden="1" x14ac:dyDescent="0.25">
      <c r="A2177" s="3" t="s">
        <v>3936</v>
      </c>
      <c r="B2177" s="3">
        <v>12</v>
      </c>
      <c r="C2177" s="5">
        <v>330</v>
      </c>
      <c r="D2177" s="6">
        <v>0</v>
      </c>
      <c r="E2177" s="7">
        <v>602002</v>
      </c>
      <c r="F2177" s="3">
        <v>51412</v>
      </c>
      <c r="G2177" s="3" t="str">
        <f t="shared" si="33"/>
        <v>5</v>
      </c>
      <c r="H2177" s="3" t="s">
        <v>3937</v>
      </c>
      <c r="I2177" s="8">
        <v>1700</v>
      </c>
      <c r="J2177" s="8">
        <v>0</v>
      </c>
      <c r="K2177" s="8">
        <v>1700</v>
      </c>
    </row>
    <row r="2178" spans="1:11" hidden="1" x14ac:dyDescent="0.25">
      <c r="A2178" s="3" t="s">
        <v>3938</v>
      </c>
      <c r="B2178" s="3">
        <v>12</v>
      </c>
      <c r="C2178" s="5">
        <v>330</v>
      </c>
      <c r="D2178" s="6">
        <v>0</v>
      </c>
      <c r="E2178" s="7">
        <v>602002</v>
      </c>
      <c r="F2178" s="3">
        <v>53120</v>
      </c>
      <c r="G2178" s="3" t="str">
        <f t="shared" si="33"/>
        <v>5</v>
      </c>
      <c r="H2178" s="3" t="s">
        <v>3939</v>
      </c>
      <c r="I2178" s="8">
        <v>275</v>
      </c>
      <c r="J2178" s="8">
        <v>0</v>
      </c>
      <c r="K2178" s="8">
        <v>275</v>
      </c>
    </row>
    <row r="2179" spans="1:11" hidden="1" x14ac:dyDescent="0.25">
      <c r="A2179" s="3" t="s">
        <v>3940</v>
      </c>
      <c r="B2179" s="3">
        <v>12</v>
      </c>
      <c r="C2179" s="5">
        <v>330</v>
      </c>
      <c r="D2179" s="6">
        <v>0</v>
      </c>
      <c r="E2179" s="7">
        <v>602002</v>
      </c>
      <c r="F2179" s="3">
        <v>53340</v>
      </c>
      <c r="G2179" s="3" t="str">
        <f t="shared" ref="G2179:G2242" si="34">LEFT(F2179,1)</f>
        <v>5</v>
      </c>
      <c r="H2179" s="3" t="s">
        <v>3941</v>
      </c>
      <c r="I2179" s="8">
        <v>25</v>
      </c>
      <c r="J2179" s="8">
        <v>0</v>
      </c>
      <c r="K2179" s="8">
        <v>25</v>
      </c>
    </row>
    <row r="2180" spans="1:11" hidden="1" x14ac:dyDescent="0.25">
      <c r="A2180" s="3" t="s">
        <v>3942</v>
      </c>
      <c r="B2180" s="3">
        <v>12</v>
      </c>
      <c r="C2180" s="5">
        <v>330</v>
      </c>
      <c r="D2180" s="6">
        <v>0</v>
      </c>
      <c r="E2180" s="7">
        <v>602002</v>
      </c>
      <c r="F2180" s="3">
        <v>53520</v>
      </c>
      <c r="G2180" s="3" t="str">
        <f t="shared" si="34"/>
        <v>5</v>
      </c>
      <c r="H2180" s="3" t="s">
        <v>3943</v>
      </c>
      <c r="I2180" s="8">
        <v>1</v>
      </c>
      <c r="J2180" s="8">
        <v>0</v>
      </c>
      <c r="K2180" s="8">
        <v>1</v>
      </c>
    </row>
    <row r="2181" spans="1:11" hidden="1" x14ac:dyDescent="0.25">
      <c r="A2181" s="3" t="s">
        <v>3944</v>
      </c>
      <c r="B2181" s="3">
        <v>12</v>
      </c>
      <c r="C2181" s="5">
        <v>330</v>
      </c>
      <c r="D2181" s="6">
        <v>0</v>
      </c>
      <c r="E2181" s="7">
        <v>602002</v>
      </c>
      <c r="F2181" s="3">
        <v>53620</v>
      </c>
      <c r="G2181" s="3" t="str">
        <f t="shared" si="34"/>
        <v>5</v>
      </c>
      <c r="H2181" s="3" t="s">
        <v>3945</v>
      </c>
      <c r="I2181" s="8">
        <v>33</v>
      </c>
      <c r="J2181" s="8">
        <v>0</v>
      </c>
      <c r="K2181" s="8">
        <v>33</v>
      </c>
    </row>
    <row r="2182" spans="1:11" hidden="1" x14ac:dyDescent="0.25">
      <c r="A2182" s="3" t="s">
        <v>3946</v>
      </c>
      <c r="B2182" s="3">
        <v>12</v>
      </c>
      <c r="C2182" s="5">
        <v>330</v>
      </c>
      <c r="D2182" s="6">
        <v>0</v>
      </c>
      <c r="E2182" s="7">
        <v>602002</v>
      </c>
      <c r="F2182" s="3">
        <v>54300</v>
      </c>
      <c r="G2182" s="3" t="str">
        <f t="shared" si="34"/>
        <v>5</v>
      </c>
      <c r="H2182" s="3" t="s">
        <v>3947</v>
      </c>
      <c r="I2182" s="8">
        <v>4276</v>
      </c>
      <c r="J2182" s="8">
        <v>0</v>
      </c>
      <c r="K2182" s="8">
        <v>4276</v>
      </c>
    </row>
    <row r="2183" spans="1:11" hidden="1" x14ac:dyDescent="0.25">
      <c r="A2183" s="3" t="s">
        <v>3948</v>
      </c>
      <c r="B2183" s="3">
        <v>12</v>
      </c>
      <c r="C2183" s="5">
        <v>330</v>
      </c>
      <c r="D2183" s="6">
        <v>0</v>
      </c>
      <c r="E2183" s="7">
        <v>602002</v>
      </c>
      <c r="F2183" s="3">
        <v>55100</v>
      </c>
      <c r="G2183" s="3" t="str">
        <f t="shared" si="34"/>
        <v>5</v>
      </c>
      <c r="H2183" s="3" t="s">
        <v>3949</v>
      </c>
      <c r="I2183" s="8">
        <v>600</v>
      </c>
      <c r="J2183" s="8">
        <v>225</v>
      </c>
      <c r="K2183" s="8">
        <v>600</v>
      </c>
    </row>
    <row r="2184" spans="1:11" hidden="1" x14ac:dyDescent="0.25">
      <c r="A2184" s="3" t="s">
        <v>3950</v>
      </c>
      <c r="B2184" s="3">
        <v>12</v>
      </c>
      <c r="C2184" s="5">
        <v>330</v>
      </c>
      <c r="D2184" s="6">
        <v>0</v>
      </c>
      <c r="E2184" s="7">
        <v>602002</v>
      </c>
      <c r="F2184" s="3">
        <v>55125</v>
      </c>
      <c r="G2184" s="3" t="str">
        <f t="shared" si="34"/>
        <v>5</v>
      </c>
      <c r="H2184" s="3" t="s">
        <v>3951</v>
      </c>
      <c r="I2184" s="8">
        <v>1666</v>
      </c>
      <c r="J2184" s="8">
        <v>0</v>
      </c>
      <c r="K2184" s="8">
        <v>1666</v>
      </c>
    </row>
    <row r="2185" spans="1:11" hidden="1" x14ac:dyDescent="0.25">
      <c r="A2185" s="3" t="s">
        <v>3952</v>
      </c>
      <c r="B2185" s="3">
        <v>12</v>
      </c>
      <c r="C2185" s="5">
        <v>330</v>
      </c>
      <c r="D2185" s="6">
        <v>0</v>
      </c>
      <c r="E2185" s="7">
        <v>602002</v>
      </c>
      <c r="F2185" s="3">
        <v>55200</v>
      </c>
      <c r="G2185" s="3" t="str">
        <f t="shared" si="34"/>
        <v>5</v>
      </c>
      <c r="H2185" s="3" t="s">
        <v>3953</v>
      </c>
      <c r="I2185" s="8">
        <v>800</v>
      </c>
      <c r="J2185" s="8">
        <v>0</v>
      </c>
      <c r="K2185" s="8">
        <v>800</v>
      </c>
    </row>
    <row r="2186" spans="1:11" hidden="1" x14ac:dyDescent="0.25">
      <c r="A2186" s="3" t="s">
        <v>3954</v>
      </c>
      <c r="B2186" s="3">
        <v>12</v>
      </c>
      <c r="C2186" s="5">
        <v>330</v>
      </c>
      <c r="D2186" s="6">
        <v>0</v>
      </c>
      <c r="E2186" s="7">
        <v>602002</v>
      </c>
      <c r="F2186" s="3">
        <v>57350</v>
      </c>
      <c r="G2186" s="3" t="str">
        <f t="shared" si="34"/>
        <v>5</v>
      </c>
      <c r="H2186" s="3" t="s">
        <v>3955</v>
      </c>
      <c r="I2186" s="8">
        <v>2624</v>
      </c>
      <c r="J2186" s="8">
        <v>0</v>
      </c>
      <c r="K2186" s="8">
        <v>2624</v>
      </c>
    </row>
    <row r="2187" spans="1:11" hidden="1" x14ac:dyDescent="0.25">
      <c r="A2187" s="3" t="s">
        <v>3956</v>
      </c>
      <c r="B2187" s="3">
        <v>12</v>
      </c>
      <c r="C2187" s="5">
        <v>330</v>
      </c>
      <c r="D2187" s="6">
        <v>0</v>
      </c>
      <c r="E2187" s="7">
        <v>602010</v>
      </c>
      <c r="F2187" s="3">
        <v>48600</v>
      </c>
      <c r="G2187" s="3" t="str">
        <f t="shared" si="34"/>
        <v>4</v>
      </c>
      <c r="H2187" s="3" t="s">
        <v>3957</v>
      </c>
      <c r="I2187" s="8">
        <v>-18000</v>
      </c>
      <c r="J2187" s="8">
        <v>0</v>
      </c>
      <c r="K2187" s="8">
        <v>-18000</v>
      </c>
    </row>
    <row r="2188" spans="1:11" hidden="1" x14ac:dyDescent="0.25">
      <c r="A2188" s="3" t="s">
        <v>3958</v>
      </c>
      <c r="B2188" s="3">
        <v>12</v>
      </c>
      <c r="C2188" s="5">
        <v>330</v>
      </c>
      <c r="D2188" s="6">
        <v>0</v>
      </c>
      <c r="E2188" s="7">
        <v>602010</v>
      </c>
      <c r="F2188" s="3">
        <v>51412</v>
      </c>
      <c r="G2188" s="3" t="str">
        <f t="shared" si="34"/>
        <v>5</v>
      </c>
      <c r="H2188" s="3" t="s">
        <v>3959</v>
      </c>
      <c r="I2188" s="8">
        <v>15057.62</v>
      </c>
      <c r="J2188" s="8">
        <v>0</v>
      </c>
      <c r="K2188" s="8">
        <v>15057.62</v>
      </c>
    </row>
    <row r="2189" spans="1:11" hidden="1" x14ac:dyDescent="0.25">
      <c r="A2189" s="3" t="s">
        <v>3960</v>
      </c>
      <c r="B2189" s="3">
        <v>12</v>
      </c>
      <c r="C2189" s="5">
        <v>330</v>
      </c>
      <c r="D2189" s="6">
        <v>0</v>
      </c>
      <c r="E2189" s="7">
        <v>602010</v>
      </c>
      <c r="F2189" s="3">
        <v>53000</v>
      </c>
      <c r="G2189" s="3" t="str">
        <f t="shared" si="34"/>
        <v>5</v>
      </c>
      <c r="H2189" s="3" t="s">
        <v>3961</v>
      </c>
      <c r="I2189" s="8">
        <v>2942.38</v>
      </c>
      <c r="J2189" s="8">
        <v>0</v>
      </c>
      <c r="K2189" s="8">
        <v>2942.38</v>
      </c>
    </row>
    <row r="2190" spans="1:11" hidden="1" x14ac:dyDescent="0.25">
      <c r="A2190" s="3" t="s">
        <v>3962</v>
      </c>
      <c r="B2190" s="3">
        <v>12</v>
      </c>
      <c r="C2190" s="5">
        <v>330</v>
      </c>
      <c r="D2190" s="6">
        <v>0</v>
      </c>
      <c r="E2190" s="7">
        <v>679000</v>
      </c>
      <c r="F2190" s="3">
        <v>54300</v>
      </c>
      <c r="G2190" s="3" t="str">
        <f t="shared" si="34"/>
        <v>5</v>
      </c>
      <c r="H2190" s="3" t="s">
        <v>3578</v>
      </c>
      <c r="I2190" s="8">
        <v>2055</v>
      </c>
      <c r="J2190" s="8">
        <v>2849.61</v>
      </c>
      <c r="K2190" s="8">
        <v>2055</v>
      </c>
    </row>
    <row r="2191" spans="1:11" hidden="1" x14ac:dyDescent="0.25">
      <c r="A2191" s="3" t="s">
        <v>3963</v>
      </c>
      <c r="B2191" s="3">
        <v>12</v>
      </c>
      <c r="C2191" s="5">
        <v>330</v>
      </c>
      <c r="D2191" s="6">
        <v>0</v>
      </c>
      <c r="E2191" s="7">
        <v>679030</v>
      </c>
      <c r="F2191" s="3">
        <v>52105</v>
      </c>
      <c r="G2191" s="3" t="str">
        <f t="shared" si="34"/>
        <v>5</v>
      </c>
      <c r="H2191" s="3" t="s">
        <v>3964</v>
      </c>
      <c r="I2191" s="8">
        <v>0</v>
      </c>
      <c r="J2191" s="8">
        <v>0</v>
      </c>
      <c r="K2191" s="8">
        <v>0</v>
      </c>
    </row>
    <row r="2192" spans="1:11" hidden="1" x14ac:dyDescent="0.25">
      <c r="A2192" s="3" t="s">
        <v>3965</v>
      </c>
      <c r="B2192" s="3">
        <v>12</v>
      </c>
      <c r="C2192" s="5">
        <v>330</v>
      </c>
      <c r="D2192" s="6">
        <v>0</v>
      </c>
      <c r="E2192" s="7">
        <v>679030</v>
      </c>
      <c r="F2192" s="3">
        <v>53220</v>
      </c>
      <c r="G2192" s="3" t="str">
        <f t="shared" si="34"/>
        <v>5</v>
      </c>
      <c r="H2192" s="3" t="s">
        <v>3966</v>
      </c>
      <c r="I2192" s="8">
        <v>0</v>
      </c>
      <c r="J2192" s="8">
        <v>0</v>
      </c>
      <c r="K2192" s="8">
        <v>0</v>
      </c>
    </row>
    <row r="2193" spans="1:11" hidden="1" x14ac:dyDescent="0.25">
      <c r="A2193" s="3" t="s">
        <v>3967</v>
      </c>
      <c r="B2193" s="3">
        <v>12</v>
      </c>
      <c r="C2193" s="5">
        <v>330</v>
      </c>
      <c r="D2193" s="6">
        <v>0</v>
      </c>
      <c r="E2193" s="7">
        <v>679030</v>
      </c>
      <c r="F2193" s="3">
        <v>53320</v>
      </c>
      <c r="G2193" s="3" t="str">
        <f t="shared" si="34"/>
        <v>5</v>
      </c>
      <c r="H2193" s="3" t="s">
        <v>3968</v>
      </c>
      <c r="I2193" s="8">
        <v>0</v>
      </c>
      <c r="J2193" s="8">
        <v>0</v>
      </c>
      <c r="K2193" s="8">
        <v>0</v>
      </c>
    </row>
    <row r="2194" spans="1:11" hidden="1" x14ac:dyDescent="0.25">
      <c r="A2194" s="3" t="s">
        <v>3969</v>
      </c>
      <c r="B2194" s="3">
        <v>12</v>
      </c>
      <c r="C2194" s="5">
        <v>330</v>
      </c>
      <c r="D2194" s="6">
        <v>0</v>
      </c>
      <c r="E2194" s="7">
        <v>679030</v>
      </c>
      <c r="F2194" s="3">
        <v>53340</v>
      </c>
      <c r="G2194" s="3" t="str">
        <f t="shared" si="34"/>
        <v>5</v>
      </c>
      <c r="H2194" s="3" t="s">
        <v>3970</v>
      </c>
      <c r="I2194" s="8">
        <v>0</v>
      </c>
      <c r="J2194" s="8">
        <v>0</v>
      </c>
      <c r="K2194" s="8">
        <v>0</v>
      </c>
    </row>
    <row r="2195" spans="1:11" hidden="1" x14ac:dyDescent="0.25">
      <c r="A2195" s="3" t="s">
        <v>3971</v>
      </c>
      <c r="B2195" s="3">
        <v>12</v>
      </c>
      <c r="C2195" s="5">
        <v>330</v>
      </c>
      <c r="D2195" s="6">
        <v>0</v>
      </c>
      <c r="E2195" s="7">
        <v>679030</v>
      </c>
      <c r="F2195" s="3">
        <v>53520</v>
      </c>
      <c r="G2195" s="3" t="str">
        <f t="shared" si="34"/>
        <v>5</v>
      </c>
      <c r="H2195" s="3" t="s">
        <v>3972</v>
      </c>
      <c r="I2195" s="8">
        <v>0</v>
      </c>
      <c r="J2195" s="8">
        <v>0</v>
      </c>
      <c r="K2195" s="8">
        <v>0</v>
      </c>
    </row>
    <row r="2196" spans="1:11" hidden="1" x14ac:dyDescent="0.25">
      <c r="A2196" s="3" t="s">
        <v>3973</v>
      </c>
      <c r="B2196" s="3">
        <v>12</v>
      </c>
      <c r="C2196" s="5">
        <v>330</v>
      </c>
      <c r="D2196" s="6">
        <v>0</v>
      </c>
      <c r="E2196" s="7">
        <v>679030</v>
      </c>
      <c r="F2196" s="3">
        <v>53620</v>
      </c>
      <c r="G2196" s="3" t="str">
        <f t="shared" si="34"/>
        <v>5</v>
      </c>
      <c r="H2196" s="3" t="s">
        <v>3974</v>
      </c>
      <c r="I2196" s="8">
        <v>0</v>
      </c>
      <c r="J2196" s="8">
        <v>0</v>
      </c>
      <c r="K2196" s="8">
        <v>0</v>
      </c>
    </row>
    <row r="2197" spans="1:11" hidden="1" x14ac:dyDescent="0.25">
      <c r="A2197" s="3" t="s">
        <v>3975</v>
      </c>
      <c r="B2197" s="3">
        <v>12</v>
      </c>
      <c r="C2197" s="5">
        <v>330</v>
      </c>
      <c r="D2197" s="6">
        <v>0</v>
      </c>
      <c r="E2197" s="7">
        <v>679040</v>
      </c>
      <c r="F2197" s="3">
        <v>48120</v>
      </c>
      <c r="G2197" s="3" t="str">
        <f t="shared" si="34"/>
        <v>4</v>
      </c>
      <c r="H2197" s="3" t="s">
        <v>3976</v>
      </c>
      <c r="I2197" s="8">
        <v>-599995</v>
      </c>
      <c r="J2197" s="8">
        <v>-61979.31</v>
      </c>
      <c r="K2197" s="8">
        <v>-599995</v>
      </c>
    </row>
    <row r="2198" spans="1:11" hidden="1" x14ac:dyDescent="0.25">
      <c r="A2198" s="3" t="s">
        <v>3977</v>
      </c>
      <c r="B2198" s="3">
        <v>12</v>
      </c>
      <c r="C2198" s="5">
        <v>330</v>
      </c>
      <c r="D2198" s="6">
        <v>0</v>
      </c>
      <c r="E2198" s="7">
        <v>679040</v>
      </c>
      <c r="F2198" s="3">
        <v>52105</v>
      </c>
      <c r="G2198" s="3" t="str">
        <f t="shared" si="34"/>
        <v>5</v>
      </c>
      <c r="H2198" s="3" t="s">
        <v>3978</v>
      </c>
      <c r="I2198" s="8">
        <v>255678</v>
      </c>
      <c r="J2198" s="8">
        <v>11701.34</v>
      </c>
      <c r="K2198" s="8">
        <v>255678</v>
      </c>
    </row>
    <row r="2199" spans="1:11" hidden="1" x14ac:dyDescent="0.25">
      <c r="A2199" s="3" t="s">
        <v>3979</v>
      </c>
      <c r="B2199" s="3">
        <v>12</v>
      </c>
      <c r="C2199" s="5">
        <v>330</v>
      </c>
      <c r="D2199" s="6">
        <v>0</v>
      </c>
      <c r="E2199" s="7">
        <v>679040</v>
      </c>
      <c r="F2199" s="3">
        <v>52130</v>
      </c>
      <c r="G2199" s="3" t="str">
        <f t="shared" si="34"/>
        <v>5</v>
      </c>
      <c r="H2199" s="3" t="s">
        <v>3980</v>
      </c>
      <c r="I2199" s="8">
        <v>61511</v>
      </c>
      <c r="J2199" s="8">
        <v>24216.560000000001</v>
      </c>
      <c r="K2199" s="8">
        <v>61511</v>
      </c>
    </row>
    <row r="2200" spans="1:11" hidden="1" x14ac:dyDescent="0.25">
      <c r="A2200" s="3" t="s">
        <v>3981</v>
      </c>
      <c r="B2200" s="3">
        <v>12</v>
      </c>
      <c r="C2200" s="5">
        <v>330</v>
      </c>
      <c r="D2200" s="6">
        <v>0</v>
      </c>
      <c r="E2200" s="7">
        <v>679040</v>
      </c>
      <c r="F2200" s="3">
        <v>53000</v>
      </c>
      <c r="G2200" s="3" t="str">
        <f t="shared" si="34"/>
        <v>5</v>
      </c>
      <c r="H2200" s="3" t="s">
        <v>3982</v>
      </c>
      <c r="I2200" s="8">
        <v>79765</v>
      </c>
      <c r="J2200" s="8">
        <v>0</v>
      </c>
      <c r="K2200" s="8">
        <v>79765</v>
      </c>
    </row>
    <row r="2201" spans="1:11" hidden="1" x14ac:dyDescent="0.25">
      <c r="A2201" s="3" t="s">
        <v>3983</v>
      </c>
      <c r="B2201" s="3">
        <v>12</v>
      </c>
      <c r="C2201" s="5">
        <v>330</v>
      </c>
      <c r="D2201" s="6">
        <v>0</v>
      </c>
      <c r="E2201" s="7">
        <v>679040</v>
      </c>
      <c r="F2201" s="3">
        <v>53220</v>
      </c>
      <c r="G2201" s="3" t="str">
        <f t="shared" si="34"/>
        <v>5</v>
      </c>
      <c r="H2201" s="3" t="s">
        <v>3984</v>
      </c>
      <c r="I2201" s="8">
        <v>16021</v>
      </c>
      <c r="J2201" s="8">
        <v>7407.23</v>
      </c>
      <c r="K2201" s="8">
        <v>16021</v>
      </c>
    </row>
    <row r="2202" spans="1:11" hidden="1" x14ac:dyDescent="0.25">
      <c r="A2202" s="3" t="s">
        <v>3985</v>
      </c>
      <c r="B2202" s="3">
        <v>12</v>
      </c>
      <c r="C2202" s="5">
        <v>330</v>
      </c>
      <c r="D2202" s="6">
        <v>0</v>
      </c>
      <c r="E2202" s="7">
        <v>679040</v>
      </c>
      <c r="F2202" s="3">
        <v>53320</v>
      </c>
      <c r="G2202" s="3" t="str">
        <f t="shared" si="34"/>
        <v>5</v>
      </c>
      <c r="H2202" s="3" t="s">
        <v>3986</v>
      </c>
      <c r="I2202" s="8">
        <v>4800</v>
      </c>
      <c r="J2202" s="8">
        <v>2227.92</v>
      </c>
      <c r="K2202" s="8">
        <v>4800</v>
      </c>
    </row>
    <row r="2203" spans="1:11" hidden="1" x14ac:dyDescent="0.25">
      <c r="A2203" s="3" t="s">
        <v>3987</v>
      </c>
      <c r="B2203" s="3">
        <v>12</v>
      </c>
      <c r="C2203" s="5">
        <v>330</v>
      </c>
      <c r="D2203" s="6">
        <v>0</v>
      </c>
      <c r="E2203" s="7">
        <v>679040</v>
      </c>
      <c r="F2203" s="3">
        <v>53340</v>
      </c>
      <c r="G2203" s="3" t="str">
        <f t="shared" si="34"/>
        <v>5</v>
      </c>
      <c r="H2203" s="3" t="s">
        <v>3988</v>
      </c>
      <c r="I2203" s="8">
        <v>1125</v>
      </c>
      <c r="J2203" s="8">
        <v>520.99</v>
      </c>
      <c r="K2203" s="8">
        <v>1125</v>
      </c>
    </row>
    <row r="2204" spans="1:11" hidden="1" x14ac:dyDescent="0.25">
      <c r="A2204" s="3" t="s">
        <v>3989</v>
      </c>
      <c r="B2204" s="3">
        <v>12</v>
      </c>
      <c r="C2204" s="5">
        <v>330</v>
      </c>
      <c r="D2204" s="6">
        <v>0</v>
      </c>
      <c r="E2204" s="7">
        <v>679040</v>
      </c>
      <c r="F2204" s="3">
        <v>53420</v>
      </c>
      <c r="G2204" s="3" t="str">
        <f t="shared" si="34"/>
        <v>5</v>
      </c>
      <c r="H2204" s="3" t="s">
        <v>3990</v>
      </c>
      <c r="I2204" s="8">
        <v>7515</v>
      </c>
      <c r="J2204" s="8">
        <v>4531.45</v>
      </c>
      <c r="K2204" s="8">
        <v>7515</v>
      </c>
    </row>
    <row r="2205" spans="1:11" hidden="1" x14ac:dyDescent="0.25">
      <c r="A2205" s="3" t="s">
        <v>3991</v>
      </c>
      <c r="B2205" s="3">
        <v>12</v>
      </c>
      <c r="C2205" s="5">
        <v>330</v>
      </c>
      <c r="D2205" s="6">
        <v>0</v>
      </c>
      <c r="E2205" s="7">
        <v>679040</v>
      </c>
      <c r="F2205" s="3">
        <v>53520</v>
      </c>
      <c r="G2205" s="3" t="str">
        <f t="shared" si="34"/>
        <v>5</v>
      </c>
      <c r="H2205" s="3" t="s">
        <v>3992</v>
      </c>
      <c r="I2205" s="8">
        <v>390</v>
      </c>
      <c r="J2205" s="8">
        <v>17.940000000000001</v>
      </c>
      <c r="K2205" s="8">
        <v>390</v>
      </c>
    </row>
    <row r="2206" spans="1:11" hidden="1" x14ac:dyDescent="0.25">
      <c r="A2206" s="3" t="s">
        <v>3993</v>
      </c>
      <c r="B2206" s="3">
        <v>12</v>
      </c>
      <c r="C2206" s="5">
        <v>330</v>
      </c>
      <c r="D2206" s="6">
        <v>0</v>
      </c>
      <c r="E2206" s="7">
        <v>679040</v>
      </c>
      <c r="F2206" s="3">
        <v>53620</v>
      </c>
      <c r="G2206" s="3" t="str">
        <f t="shared" si="34"/>
        <v>5</v>
      </c>
      <c r="H2206" s="3" t="s">
        <v>3994</v>
      </c>
      <c r="I2206" s="8">
        <v>1400</v>
      </c>
      <c r="J2206" s="8">
        <v>679.14</v>
      </c>
      <c r="K2206" s="8">
        <v>1400</v>
      </c>
    </row>
    <row r="2207" spans="1:11" hidden="1" x14ac:dyDescent="0.25">
      <c r="A2207" s="3" t="s">
        <v>3995</v>
      </c>
      <c r="B2207" s="3">
        <v>12</v>
      </c>
      <c r="C2207" s="5">
        <v>330</v>
      </c>
      <c r="D2207" s="6">
        <v>0</v>
      </c>
      <c r="E2207" s="7">
        <v>679040</v>
      </c>
      <c r="F2207" s="3">
        <v>54300</v>
      </c>
      <c r="G2207" s="3" t="str">
        <f t="shared" si="34"/>
        <v>5</v>
      </c>
      <c r="H2207" s="3" t="s">
        <v>3996</v>
      </c>
      <c r="I2207" s="8">
        <v>4790</v>
      </c>
      <c r="J2207" s="8">
        <v>0</v>
      </c>
      <c r="K2207" s="8">
        <v>4790</v>
      </c>
    </row>
    <row r="2208" spans="1:11" hidden="1" x14ac:dyDescent="0.25">
      <c r="A2208" s="3" t="s">
        <v>3997</v>
      </c>
      <c r="B2208" s="3">
        <v>12</v>
      </c>
      <c r="C2208" s="5">
        <v>330</v>
      </c>
      <c r="D2208" s="6">
        <v>0</v>
      </c>
      <c r="E2208" s="7">
        <v>679040</v>
      </c>
      <c r="F2208" s="3">
        <v>55105</v>
      </c>
      <c r="G2208" s="3" t="str">
        <f t="shared" si="34"/>
        <v>5</v>
      </c>
      <c r="H2208" s="3" t="s">
        <v>3998</v>
      </c>
      <c r="I2208" s="8">
        <v>25000</v>
      </c>
      <c r="J2208" s="8">
        <v>20000</v>
      </c>
      <c r="K2208" s="8">
        <v>25000</v>
      </c>
    </row>
    <row r="2209" spans="1:11" hidden="1" x14ac:dyDescent="0.25">
      <c r="A2209" s="3" t="s">
        <v>3999</v>
      </c>
      <c r="B2209" s="3">
        <v>12</v>
      </c>
      <c r="C2209" s="5">
        <v>330</v>
      </c>
      <c r="D2209" s="6">
        <v>0</v>
      </c>
      <c r="E2209" s="7">
        <v>679040</v>
      </c>
      <c r="F2209" s="3">
        <v>55200</v>
      </c>
      <c r="G2209" s="3" t="str">
        <f t="shared" si="34"/>
        <v>5</v>
      </c>
      <c r="H2209" s="3" t="s">
        <v>4000</v>
      </c>
      <c r="I2209" s="8">
        <v>32000</v>
      </c>
      <c r="J2209" s="8">
        <v>285</v>
      </c>
      <c r="K2209" s="8">
        <v>32000</v>
      </c>
    </row>
    <row r="2210" spans="1:11" hidden="1" x14ac:dyDescent="0.25">
      <c r="A2210" s="3" t="s">
        <v>4001</v>
      </c>
      <c r="B2210" s="3">
        <v>12</v>
      </c>
      <c r="C2210" s="5">
        <v>330</v>
      </c>
      <c r="D2210" s="6">
        <v>0</v>
      </c>
      <c r="E2210" s="7">
        <v>679040</v>
      </c>
      <c r="F2210" s="3">
        <v>55800</v>
      </c>
      <c r="G2210" s="3" t="str">
        <f t="shared" si="34"/>
        <v>5</v>
      </c>
      <c r="H2210" s="3" t="s">
        <v>4002</v>
      </c>
      <c r="I2210" s="8">
        <v>55000</v>
      </c>
      <c r="J2210" s="8">
        <v>0</v>
      </c>
      <c r="K2210" s="8">
        <v>55000</v>
      </c>
    </row>
    <row r="2211" spans="1:11" hidden="1" x14ac:dyDescent="0.25">
      <c r="A2211" s="3" t="s">
        <v>4003</v>
      </c>
      <c r="B2211" s="3">
        <v>12</v>
      </c>
      <c r="C2211" s="5">
        <v>330</v>
      </c>
      <c r="D2211" s="6">
        <v>0</v>
      </c>
      <c r="E2211" s="7">
        <v>679040</v>
      </c>
      <c r="F2211" s="3">
        <v>56200</v>
      </c>
      <c r="G2211" s="3" t="str">
        <f t="shared" si="34"/>
        <v>5</v>
      </c>
      <c r="H2211" s="3" t="s">
        <v>4004</v>
      </c>
      <c r="I2211" s="8">
        <v>30000</v>
      </c>
      <c r="J2211" s="8">
        <v>0</v>
      </c>
      <c r="K2211" s="8">
        <v>30000</v>
      </c>
    </row>
    <row r="2212" spans="1:11" hidden="1" x14ac:dyDescent="0.25">
      <c r="A2212" s="3" t="s">
        <v>4005</v>
      </c>
      <c r="B2212" s="3">
        <v>12</v>
      </c>
      <c r="C2212" s="5">
        <v>330</v>
      </c>
      <c r="D2212" s="6">
        <v>0</v>
      </c>
      <c r="E2212" s="7">
        <v>679040</v>
      </c>
      <c r="F2212" s="3">
        <v>56400</v>
      </c>
      <c r="G2212" s="3" t="str">
        <f t="shared" si="34"/>
        <v>5</v>
      </c>
      <c r="H2212" s="3" t="s">
        <v>4006</v>
      </c>
      <c r="I2212" s="8">
        <v>25000</v>
      </c>
      <c r="J2212" s="8">
        <v>0</v>
      </c>
      <c r="K2212" s="8">
        <v>25000</v>
      </c>
    </row>
    <row r="2213" spans="1:11" hidden="1" x14ac:dyDescent="0.25">
      <c r="A2213" s="3" t="s">
        <v>4007</v>
      </c>
      <c r="B2213" s="3">
        <v>12</v>
      </c>
      <c r="C2213" s="5">
        <v>330</v>
      </c>
      <c r="D2213" s="6">
        <v>0</v>
      </c>
      <c r="E2213" s="7">
        <v>701400</v>
      </c>
      <c r="F2213" s="3">
        <v>48120</v>
      </c>
      <c r="G2213" s="3" t="str">
        <f t="shared" si="34"/>
        <v>4</v>
      </c>
      <c r="H2213" s="3" t="s">
        <v>4008</v>
      </c>
      <c r="I2213" s="8">
        <v>-19000</v>
      </c>
      <c r="J2213" s="8">
        <v>-2258.63</v>
      </c>
      <c r="K2213" s="8">
        <v>-19000</v>
      </c>
    </row>
    <row r="2214" spans="1:11" hidden="1" x14ac:dyDescent="0.25">
      <c r="A2214" s="3" t="s">
        <v>4009</v>
      </c>
      <c r="B2214" s="3">
        <v>12</v>
      </c>
      <c r="C2214" s="5">
        <v>330</v>
      </c>
      <c r="D2214" s="6">
        <v>0</v>
      </c>
      <c r="E2214" s="7">
        <v>701400</v>
      </c>
      <c r="F2214" s="3">
        <v>52350</v>
      </c>
      <c r="G2214" s="3" t="str">
        <f t="shared" si="34"/>
        <v>5</v>
      </c>
      <c r="H2214" s="3" t="s">
        <v>4010</v>
      </c>
      <c r="I2214" s="8">
        <v>17267</v>
      </c>
      <c r="J2214" s="8">
        <v>2972.5</v>
      </c>
      <c r="K2214" s="8">
        <v>17267</v>
      </c>
    </row>
    <row r="2215" spans="1:11" hidden="1" x14ac:dyDescent="0.25">
      <c r="A2215" s="3" t="s">
        <v>4011</v>
      </c>
      <c r="B2215" s="3">
        <v>12</v>
      </c>
      <c r="C2215" s="5">
        <v>330</v>
      </c>
      <c r="D2215" s="6">
        <v>0</v>
      </c>
      <c r="E2215" s="7">
        <v>701400</v>
      </c>
      <c r="F2215" s="3">
        <v>52420</v>
      </c>
      <c r="G2215" s="3" t="str">
        <f t="shared" si="34"/>
        <v>5</v>
      </c>
      <c r="H2215" s="3" t="s">
        <v>4012</v>
      </c>
      <c r="I2215" s="8">
        <v>0</v>
      </c>
      <c r="J2215" s="8">
        <v>0</v>
      </c>
      <c r="K2215" s="8">
        <v>0</v>
      </c>
    </row>
    <row r="2216" spans="1:11" hidden="1" x14ac:dyDescent="0.25">
      <c r="A2216" s="3" t="s">
        <v>4013</v>
      </c>
      <c r="B2216" s="3">
        <v>12</v>
      </c>
      <c r="C2216" s="5">
        <v>330</v>
      </c>
      <c r="D2216" s="6">
        <v>0</v>
      </c>
      <c r="E2216" s="7">
        <v>701400</v>
      </c>
      <c r="F2216" s="3">
        <v>53000</v>
      </c>
      <c r="G2216" s="3" t="str">
        <f t="shared" si="34"/>
        <v>5</v>
      </c>
      <c r="H2216" s="3" t="s">
        <v>4014</v>
      </c>
      <c r="I2216" s="8">
        <v>326</v>
      </c>
      <c r="J2216" s="8">
        <v>0</v>
      </c>
      <c r="K2216" s="8">
        <v>326</v>
      </c>
    </row>
    <row r="2217" spans="1:11" hidden="1" x14ac:dyDescent="0.25">
      <c r="A2217" s="3" t="s">
        <v>4015</v>
      </c>
      <c r="B2217" s="3">
        <v>12</v>
      </c>
      <c r="C2217" s="5">
        <v>330</v>
      </c>
      <c r="D2217" s="6">
        <v>0</v>
      </c>
      <c r="E2217" s="7">
        <v>701400</v>
      </c>
      <c r="F2217" s="3">
        <v>53620</v>
      </c>
      <c r="G2217" s="3" t="str">
        <f t="shared" si="34"/>
        <v>5</v>
      </c>
      <c r="H2217" s="3" t="s">
        <v>4016</v>
      </c>
      <c r="I2217" s="8">
        <v>0</v>
      </c>
      <c r="J2217" s="8">
        <v>56.22</v>
      </c>
      <c r="K2217" s="8">
        <v>0</v>
      </c>
    </row>
    <row r="2218" spans="1:11" hidden="1" x14ac:dyDescent="0.25">
      <c r="A2218" s="3" t="s">
        <v>4017</v>
      </c>
      <c r="B2218" s="3">
        <v>12</v>
      </c>
      <c r="C2218" s="5">
        <v>330</v>
      </c>
      <c r="D2218" s="6">
        <v>0</v>
      </c>
      <c r="E2218" s="7">
        <v>701400</v>
      </c>
      <c r="F2218" s="3">
        <v>57350</v>
      </c>
      <c r="G2218" s="3" t="str">
        <f t="shared" si="34"/>
        <v>5</v>
      </c>
      <c r="H2218" s="3" t="s">
        <v>4018</v>
      </c>
      <c r="I2218" s="8">
        <v>1407</v>
      </c>
      <c r="J2218" s="8">
        <v>167.31</v>
      </c>
      <c r="K2218" s="8">
        <v>1407</v>
      </c>
    </row>
    <row r="2219" spans="1:11" hidden="1" x14ac:dyDescent="0.25">
      <c r="A2219" s="3" t="s">
        <v>4019</v>
      </c>
      <c r="B2219" s="3">
        <v>12</v>
      </c>
      <c r="C2219" s="5">
        <v>330</v>
      </c>
      <c r="D2219" s="6">
        <v>0</v>
      </c>
      <c r="E2219" s="7">
        <v>703800</v>
      </c>
      <c r="F2219" s="3">
        <v>48690</v>
      </c>
      <c r="G2219" s="3" t="str">
        <f t="shared" si="34"/>
        <v>4</v>
      </c>
      <c r="H2219" s="3" t="s">
        <v>4020</v>
      </c>
      <c r="I2219" s="8">
        <v>-11503</v>
      </c>
      <c r="J2219" s="8">
        <v>-11503.38</v>
      </c>
      <c r="K2219" s="8">
        <v>-11503</v>
      </c>
    </row>
    <row r="2220" spans="1:11" hidden="1" x14ac:dyDescent="0.25">
      <c r="A2220" s="3" t="s">
        <v>4021</v>
      </c>
      <c r="B2220" s="3">
        <v>12</v>
      </c>
      <c r="C2220" s="5">
        <v>330</v>
      </c>
      <c r="D2220" s="6">
        <v>0</v>
      </c>
      <c r="E2220" s="7">
        <v>703800</v>
      </c>
      <c r="F2220" s="3">
        <v>52105</v>
      </c>
      <c r="G2220" s="3" t="str">
        <f t="shared" si="34"/>
        <v>5</v>
      </c>
      <c r="H2220" s="3" t="s">
        <v>1096</v>
      </c>
      <c r="I2220" s="8">
        <v>2933</v>
      </c>
      <c r="J2220" s="8">
        <v>9387.0300000000007</v>
      </c>
      <c r="K2220" s="8">
        <v>2933</v>
      </c>
    </row>
    <row r="2221" spans="1:11" hidden="1" x14ac:dyDescent="0.25">
      <c r="A2221" s="3" t="s">
        <v>4022</v>
      </c>
      <c r="B2221" s="3">
        <v>12</v>
      </c>
      <c r="C2221" s="5">
        <v>330</v>
      </c>
      <c r="D2221" s="6">
        <v>0</v>
      </c>
      <c r="E2221" s="7">
        <v>703800</v>
      </c>
      <c r="F2221" s="3">
        <v>52350</v>
      </c>
      <c r="G2221" s="3" t="str">
        <f t="shared" si="34"/>
        <v>5</v>
      </c>
      <c r="H2221" s="3" t="s">
        <v>1100</v>
      </c>
      <c r="I2221" s="8">
        <v>0</v>
      </c>
      <c r="J2221" s="8">
        <v>5292.66</v>
      </c>
      <c r="K2221" s="8">
        <v>0</v>
      </c>
    </row>
    <row r="2222" spans="1:11" hidden="1" x14ac:dyDescent="0.25">
      <c r="A2222" s="3" t="s">
        <v>4023</v>
      </c>
      <c r="B2222" s="3">
        <v>12</v>
      </c>
      <c r="C2222" s="5">
        <v>330</v>
      </c>
      <c r="D2222" s="6">
        <v>0</v>
      </c>
      <c r="E2222" s="7">
        <v>703800</v>
      </c>
      <c r="F2222" s="3">
        <v>53000</v>
      </c>
      <c r="G2222" s="3" t="str">
        <f t="shared" si="34"/>
        <v>5</v>
      </c>
      <c r="H2222" s="3" t="s">
        <v>4024</v>
      </c>
      <c r="I2222" s="8">
        <v>4392</v>
      </c>
      <c r="J2222" s="8">
        <v>0</v>
      </c>
      <c r="K2222" s="8">
        <v>4392</v>
      </c>
    </row>
    <row r="2223" spans="1:11" hidden="1" x14ac:dyDescent="0.25">
      <c r="A2223" s="3" t="s">
        <v>4025</v>
      </c>
      <c r="B2223" s="3">
        <v>12</v>
      </c>
      <c r="C2223" s="5">
        <v>330</v>
      </c>
      <c r="D2223" s="6">
        <v>0</v>
      </c>
      <c r="E2223" s="7">
        <v>703800</v>
      </c>
      <c r="F2223" s="3">
        <v>53220</v>
      </c>
      <c r="G2223" s="3" t="str">
        <f t="shared" si="34"/>
        <v>5</v>
      </c>
      <c r="H2223" s="3" t="s">
        <v>1106</v>
      </c>
      <c r="I2223" s="8">
        <v>0</v>
      </c>
      <c r="J2223" s="8">
        <v>1922.79</v>
      </c>
      <c r="K2223" s="8">
        <v>0</v>
      </c>
    </row>
    <row r="2224" spans="1:11" hidden="1" x14ac:dyDescent="0.25">
      <c r="A2224" s="3" t="s">
        <v>4026</v>
      </c>
      <c r="B2224" s="3">
        <v>12</v>
      </c>
      <c r="C2224" s="5">
        <v>330</v>
      </c>
      <c r="D2224" s="6">
        <v>0</v>
      </c>
      <c r="E2224" s="7">
        <v>703800</v>
      </c>
      <c r="F2224" s="3">
        <v>53320</v>
      </c>
      <c r="G2224" s="3" t="str">
        <f t="shared" si="34"/>
        <v>5</v>
      </c>
      <c r="H2224" s="3" t="s">
        <v>1108</v>
      </c>
      <c r="I2224" s="8">
        <v>0</v>
      </c>
      <c r="J2224" s="8">
        <v>575.58000000000004</v>
      </c>
      <c r="K2224" s="8">
        <v>0</v>
      </c>
    </row>
    <row r="2225" spans="1:11" hidden="1" x14ac:dyDescent="0.25">
      <c r="A2225" s="3" t="s">
        <v>4027</v>
      </c>
      <c r="B2225" s="3">
        <v>12</v>
      </c>
      <c r="C2225" s="5">
        <v>330</v>
      </c>
      <c r="D2225" s="6">
        <v>0</v>
      </c>
      <c r="E2225" s="7">
        <v>703800</v>
      </c>
      <c r="F2225" s="3">
        <v>53340</v>
      </c>
      <c r="G2225" s="3" t="str">
        <f t="shared" si="34"/>
        <v>5</v>
      </c>
      <c r="H2225" s="3" t="s">
        <v>1110</v>
      </c>
      <c r="I2225" s="8">
        <v>0</v>
      </c>
      <c r="J2225" s="8">
        <v>134.59</v>
      </c>
      <c r="K2225" s="8">
        <v>0</v>
      </c>
    </row>
    <row r="2226" spans="1:11" hidden="1" x14ac:dyDescent="0.25">
      <c r="A2226" s="3" t="s">
        <v>4028</v>
      </c>
      <c r="B2226" s="3">
        <v>12</v>
      </c>
      <c r="C2226" s="5">
        <v>330</v>
      </c>
      <c r="D2226" s="6">
        <v>0</v>
      </c>
      <c r="E2226" s="7">
        <v>703800</v>
      </c>
      <c r="F2226" s="3">
        <v>53420</v>
      </c>
      <c r="G2226" s="3" t="str">
        <f t="shared" si="34"/>
        <v>5</v>
      </c>
      <c r="H2226" s="3" t="s">
        <v>1112</v>
      </c>
      <c r="I2226" s="8">
        <v>0</v>
      </c>
      <c r="J2226" s="8">
        <v>4108.83</v>
      </c>
      <c r="K2226" s="8">
        <v>0</v>
      </c>
    </row>
    <row r="2227" spans="1:11" hidden="1" x14ac:dyDescent="0.25">
      <c r="A2227" s="3" t="s">
        <v>4029</v>
      </c>
      <c r="B2227" s="3">
        <v>12</v>
      </c>
      <c r="C2227" s="5">
        <v>330</v>
      </c>
      <c r="D2227" s="6">
        <v>0</v>
      </c>
      <c r="E2227" s="7">
        <v>703800</v>
      </c>
      <c r="F2227" s="3">
        <v>53520</v>
      </c>
      <c r="G2227" s="3" t="str">
        <f t="shared" si="34"/>
        <v>5</v>
      </c>
      <c r="H2227" s="3" t="s">
        <v>1114</v>
      </c>
      <c r="I2227" s="8">
        <v>0</v>
      </c>
      <c r="J2227" s="8">
        <v>4.71</v>
      </c>
      <c r="K2227" s="8">
        <v>0</v>
      </c>
    </row>
    <row r="2228" spans="1:11" hidden="1" x14ac:dyDescent="0.25">
      <c r="A2228" s="3" t="s">
        <v>4030</v>
      </c>
      <c r="B2228" s="3">
        <v>12</v>
      </c>
      <c r="C2228" s="5">
        <v>330</v>
      </c>
      <c r="D2228" s="6">
        <v>0</v>
      </c>
      <c r="E2228" s="7">
        <v>703800</v>
      </c>
      <c r="F2228" s="3">
        <v>53620</v>
      </c>
      <c r="G2228" s="3" t="str">
        <f t="shared" si="34"/>
        <v>5</v>
      </c>
      <c r="H2228" s="3" t="s">
        <v>1116</v>
      </c>
      <c r="I2228" s="8">
        <v>0</v>
      </c>
      <c r="J2228" s="8">
        <v>278.43</v>
      </c>
      <c r="K2228" s="8">
        <v>0</v>
      </c>
    </row>
    <row r="2229" spans="1:11" hidden="1" x14ac:dyDescent="0.25">
      <c r="A2229" s="3" t="s">
        <v>4031</v>
      </c>
      <c r="B2229" s="3">
        <v>12</v>
      </c>
      <c r="C2229" s="5">
        <v>330</v>
      </c>
      <c r="D2229" s="6">
        <v>0</v>
      </c>
      <c r="E2229" s="7">
        <v>703800</v>
      </c>
      <c r="F2229" s="3">
        <v>54220</v>
      </c>
      <c r="G2229" s="3" t="str">
        <f t="shared" si="34"/>
        <v>5</v>
      </c>
      <c r="H2229" s="3" t="s">
        <v>4032</v>
      </c>
      <c r="I2229" s="8">
        <v>0</v>
      </c>
      <c r="J2229" s="8">
        <v>0</v>
      </c>
      <c r="K2229" s="8">
        <v>0</v>
      </c>
    </row>
    <row r="2230" spans="1:11" hidden="1" x14ac:dyDescent="0.25">
      <c r="A2230" s="3" t="s">
        <v>4033</v>
      </c>
      <c r="B2230" s="3">
        <v>12</v>
      </c>
      <c r="C2230" s="5">
        <v>330</v>
      </c>
      <c r="D2230" s="6">
        <v>0</v>
      </c>
      <c r="E2230" s="7">
        <v>703800</v>
      </c>
      <c r="F2230" s="3">
        <v>54300</v>
      </c>
      <c r="G2230" s="3" t="str">
        <f t="shared" si="34"/>
        <v>5</v>
      </c>
      <c r="H2230" s="3" t="s">
        <v>4034</v>
      </c>
      <c r="I2230" s="8">
        <v>3736</v>
      </c>
      <c r="J2230" s="8">
        <v>931.97</v>
      </c>
      <c r="K2230" s="8">
        <v>3736</v>
      </c>
    </row>
    <row r="2231" spans="1:11" hidden="1" x14ac:dyDescent="0.25">
      <c r="A2231" s="3" t="s">
        <v>4035</v>
      </c>
      <c r="B2231" s="3">
        <v>12</v>
      </c>
      <c r="C2231" s="5">
        <v>330</v>
      </c>
      <c r="D2231" s="6">
        <v>0</v>
      </c>
      <c r="E2231" s="7">
        <v>703800</v>
      </c>
      <c r="F2231" s="3">
        <v>55200</v>
      </c>
      <c r="G2231" s="3" t="str">
        <f t="shared" si="34"/>
        <v>5</v>
      </c>
      <c r="H2231" s="3" t="s">
        <v>4036</v>
      </c>
      <c r="I2231" s="8">
        <v>0</v>
      </c>
      <c r="J2231" s="8">
        <v>0</v>
      </c>
      <c r="K2231" s="8">
        <v>0</v>
      </c>
    </row>
    <row r="2232" spans="1:11" hidden="1" x14ac:dyDescent="0.25">
      <c r="A2232" s="3" t="s">
        <v>4037</v>
      </c>
      <c r="B2232" s="3">
        <v>12</v>
      </c>
      <c r="C2232" s="5">
        <v>330</v>
      </c>
      <c r="D2232" s="6">
        <v>0</v>
      </c>
      <c r="E2232" s="7">
        <v>703800</v>
      </c>
      <c r="F2232" s="3">
        <v>55240</v>
      </c>
      <c r="G2232" s="3" t="str">
        <f t="shared" si="34"/>
        <v>5</v>
      </c>
      <c r="H2232" s="3" t="s">
        <v>4038</v>
      </c>
      <c r="I2232" s="8">
        <v>0</v>
      </c>
      <c r="J2232" s="8">
        <v>0</v>
      </c>
      <c r="K2232" s="8">
        <v>0</v>
      </c>
    </row>
    <row r="2233" spans="1:11" hidden="1" x14ac:dyDescent="0.25">
      <c r="A2233" s="3" t="s">
        <v>4039</v>
      </c>
      <c r="B2233" s="3">
        <v>12</v>
      </c>
      <c r="C2233" s="5">
        <v>330</v>
      </c>
      <c r="D2233" s="6">
        <v>0</v>
      </c>
      <c r="E2233" s="7">
        <v>703800</v>
      </c>
      <c r="F2233" s="3">
        <v>55300</v>
      </c>
      <c r="G2233" s="3" t="str">
        <f t="shared" si="34"/>
        <v>5</v>
      </c>
      <c r="H2233" s="3" t="s">
        <v>4040</v>
      </c>
      <c r="I2233" s="8">
        <v>0</v>
      </c>
      <c r="J2233" s="8">
        <v>0</v>
      </c>
      <c r="K2233" s="8">
        <v>0</v>
      </c>
    </row>
    <row r="2234" spans="1:11" hidden="1" x14ac:dyDescent="0.25">
      <c r="A2234" s="3" t="s">
        <v>4041</v>
      </c>
      <c r="B2234" s="3">
        <v>12</v>
      </c>
      <c r="C2234" s="5">
        <v>330</v>
      </c>
      <c r="D2234" s="6">
        <v>0</v>
      </c>
      <c r="E2234" s="7">
        <v>703800</v>
      </c>
      <c r="F2234" s="3">
        <v>55630</v>
      </c>
      <c r="G2234" s="3" t="str">
        <f t="shared" si="34"/>
        <v>5</v>
      </c>
      <c r="H2234" s="3" t="s">
        <v>1120</v>
      </c>
      <c r="I2234" s="8">
        <v>0</v>
      </c>
      <c r="J2234" s="8">
        <v>0</v>
      </c>
      <c r="K2234" s="8">
        <v>0</v>
      </c>
    </row>
    <row r="2235" spans="1:11" hidden="1" x14ac:dyDescent="0.25">
      <c r="A2235" s="3" t="s">
        <v>4042</v>
      </c>
      <c r="B2235" s="3">
        <v>12</v>
      </c>
      <c r="C2235" s="5">
        <v>330</v>
      </c>
      <c r="D2235" s="6">
        <v>0</v>
      </c>
      <c r="E2235" s="7">
        <v>703800</v>
      </c>
      <c r="F2235" s="3">
        <v>57350</v>
      </c>
      <c r="G2235" s="3" t="str">
        <f t="shared" si="34"/>
        <v>5</v>
      </c>
      <c r="H2235" s="3" t="s">
        <v>4043</v>
      </c>
      <c r="I2235" s="8">
        <v>442</v>
      </c>
      <c r="J2235" s="8">
        <v>363.91</v>
      </c>
      <c r="K2235" s="8">
        <v>442</v>
      </c>
    </row>
    <row r="2236" spans="1:11" hidden="1" x14ac:dyDescent="0.25">
      <c r="A2236" s="3" t="s">
        <v>4044</v>
      </c>
      <c r="B2236" s="3">
        <v>12</v>
      </c>
      <c r="C2236" s="5">
        <v>330</v>
      </c>
      <c r="D2236" s="6">
        <v>0</v>
      </c>
      <c r="E2236" s="7">
        <v>703800</v>
      </c>
      <c r="F2236" s="3">
        <v>57552</v>
      </c>
      <c r="G2236" s="3" t="str">
        <f t="shared" si="34"/>
        <v>5</v>
      </c>
      <c r="H2236" s="3" t="s">
        <v>4045</v>
      </c>
      <c r="I2236" s="8">
        <v>0</v>
      </c>
      <c r="J2236" s="8">
        <v>0</v>
      </c>
      <c r="K2236" s="8">
        <v>0</v>
      </c>
    </row>
    <row r="2237" spans="1:11" hidden="1" x14ac:dyDescent="0.25">
      <c r="A2237" s="3" t="s">
        <v>4046</v>
      </c>
      <c r="B2237" s="3">
        <v>12</v>
      </c>
      <c r="C2237" s="5">
        <v>330</v>
      </c>
      <c r="D2237" s="6">
        <v>0</v>
      </c>
      <c r="E2237" s="7">
        <v>706300</v>
      </c>
      <c r="F2237" s="3">
        <v>52105</v>
      </c>
      <c r="G2237" s="3" t="str">
        <f t="shared" si="34"/>
        <v>5</v>
      </c>
      <c r="H2237" s="3" t="s">
        <v>4047</v>
      </c>
      <c r="I2237" s="8">
        <v>0</v>
      </c>
      <c r="J2237" s="8">
        <v>0</v>
      </c>
      <c r="K2237" s="8">
        <v>0</v>
      </c>
    </row>
    <row r="2238" spans="1:11" hidden="1" x14ac:dyDescent="0.25">
      <c r="A2238" s="3" t="s">
        <v>4048</v>
      </c>
      <c r="B2238" s="3">
        <v>12</v>
      </c>
      <c r="C2238" s="5">
        <v>330</v>
      </c>
      <c r="D2238" s="6">
        <v>0</v>
      </c>
      <c r="E2238" s="7">
        <v>706300</v>
      </c>
      <c r="F2238" s="3">
        <v>53220</v>
      </c>
      <c r="G2238" s="3" t="str">
        <f t="shared" si="34"/>
        <v>5</v>
      </c>
      <c r="H2238" s="3" t="s">
        <v>4049</v>
      </c>
      <c r="I2238" s="8">
        <v>0</v>
      </c>
      <c r="J2238" s="8">
        <v>0</v>
      </c>
      <c r="K2238" s="8">
        <v>0</v>
      </c>
    </row>
    <row r="2239" spans="1:11" hidden="1" x14ac:dyDescent="0.25">
      <c r="A2239" s="3" t="s">
        <v>4050</v>
      </c>
      <c r="B2239" s="3">
        <v>12</v>
      </c>
      <c r="C2239" s="5">
        <v>330</v>
      </c>
      <c r="D2239" s="6">
        <v>0</v>
      </c>
      <c r="E2239" s="7">
        <v>706300</v>
      </c>
      <c r="F2239" s="3">
        <v>53320</v>
      </c>
      <c r="G2239" s="3" t="str">
        <f t="shared" si="34"/>
        <v>5</v>
      </c>
      <c r="H2239" s="3" t="s">
        <v>4051</v>
      </c>
      <c r="I2239" s="8">
        <v>0</v>
      </c>
      <c r="J2239" s="8">
        <v>0</v>
      </c>
      <c r="K2239" s="8">
        <v>0</v>
      </c>
    </row>
    <row r="2240" spans="1:11" hidden="1" x14ac:dyDescent="0.25">
      <c r="A2240" s="3" t="s">
        <v>4052</v>
      </c>
      <c r="B2240" s="3">
        <v>12</v>
      </c>
      <c r="C2240" s="5">
        <v>330</v>
      </c>
      <c r="D2240" s="6">
        <v>0</v>
      </c>
      <c r="E2240" s="7">
        <v>706300</v>
      </c>
      <c r="F2240" s="3">
        <v>53340</v>
      </c>
      <c r="G2240" s="3" t="str">
        <f t="shared" si="34"/>
        <v>5</v>
      </c>
      <c r="H2240" s="3" t="s">
        <v>4053</v>
      </c>
      <c r="I2240" s="8">
        <v>0</v>
      </c>
      <c r="J2240" s="8">
        <v>0</v>
      </c>
      <c r="K2240" s="8">
        <v>0</v>
      </c>
    </row>
    <row r="2241" spans="1:11" hidden="1" x14ac:dyDescent="0.25">
      <c r="A2241" s="3" t="s">
        <v>4054</v>
      </c>
      <c r="B2241" s="3">
        <v>12</v>
      </c>
      <c r="C2241" s="5">
        <v>330</v>
      </c>
      <c r="D2241" s="6">
        <v>0</v>
      </c>
      <c r="E2241" s="7">
        <v>706300</v>
      </c>
      <c r="F2241" s="3">
        <v>53520</v>
      </c>
      <c r="G2241" s="3" t="str">
        <f t="shared" si="34"/>
        <v>5</v>
      </c>
      <c r="H2241" s="3" t="s">
        <v>4055</v>
      </c>
      <c r="I2241" s="8">
        <v>0</v>
      </c>
      <c r="J2241" s="8">
        <v>0</v>
      </c>
      <c r="K2241" s="8">
        <v>0</v>
      </c>
    </row>
    <row r="2242" spans="1:11" hidden="1" x14ac:dyDescent="0.25">
      <c r="A2242" s="3" t="s">
        <v>4056</v>
      </c>
      <c r="B2242" s="3">
        <v>12</v>
      </c>
      <c r="C2242" s="5">
        <v>330</v>
      </c>
      <c r="D2242" s="6">
        <v>0</v>
      </c>
      <c r="E2242" s="7">
        <v>706300</v>
      </c>
      <c r="F2242" s="3">
        <v>53620</v>
      </c>
      <c r="G2242" s="3" t="str">
        <f t="shared" si="34"/>
        <v>5</v>
      </c>
      <c r="H2242" s="3" t="s">
        <v>4057</v>
      </c>
      <c r="I2242" s="8">
        <v>0</v>
      </c>
      <c r="J2242" s="8">
        <v>0</v>
      </c>
      <c r="K2242" s="8">
        <v>0</v>
      </c>
    </row>
    <row r="2243" spans="1:11" hidden="1" x14ac:dyDescent="0.25">
      <c r="A2243" s="3" t="s">
        <v>4058</v>
      </c>
      <c r="B2243" s="3">
        <v>12</v>
      </c>
      <c r="C2243" s="5">
        <v>330</v>
      </c>
      <c r="D2243" s="6">
        <v>0</v>
      </c>
      <c r="E2243" s="7">
        <v>708001</v>
      </c>
      <c r="F2243" s="3">
        <v>48190</v>
      </c>
      <c r="G2243" s="3" t="str">
        <f t="shared" ref="G2243:G2306" si="35">LEFT(F2243,1)</f>
        <v>4</v>
      </c>
      <c r="H2243" s="3" t="s">
        <v>4059</v>
      </c>
      <c r="I2243" s="8">
        <v>-132671</v>
      </c>
      <c r="J2243" s="8">
        <v>-123868</v>
      </c>
      <c r="K2243" s="8">
        <v>-132671</v>
      </c>
    </row>
    <row r="2244" spans="1:11" hidden="1" x14ac:dyDescent="0.25">
      <c r="A2244" s="3" t="s">
        <v>4060</v>
      </c>
      <c r="B2244" s="3">
        <v>12</v>
      </c>
      <c r="C2244" s="5">
        <v>330</v>
      </c>
      <c r="D2244" s="6">
        <v>0</v>
      </c>
      <c r="E2244" s="7">
        <v>708001</v>
      </c>
      <c r="F2244" s="3">
        <v>51412</v>
      </c>
      <c r="G2244" s="3" t="str">
        <f t="shared" si="35"/>
        <v>5</v>
      </c>
      <c r="H2244" s="3" t="s">
        <v>4061</v>
      </c>
      <c r="I2244" s="8">
        <v>14403</v>
      </c>
      <c r="J2244" s="8">
        <v>0</v>
      </c>
      <c r="K2244" s="8">
        <v>14403</v>
      </c>
    </row>
    <row r="2245" spans="1:11" hidden="1" x14ac:dyDescent="0.25">
      <c r="A2245" s="3" t="s">
        <v>4062</v>
      </c>
      <c r="B2245" s="3">
        <v>12</v>
      </c>
      <c r="C2245" s="5">
        <v>330</v>
      </c>
      <c r="D2245" s="6">
        <v>0</v>
      </c>
      <c r="E2245" s="7">
        <v>708001</v>
      </c>
      <c r="F2245" s="3">
        <v>52105</v>
      </c>
      <c r="G2245" s="3" t="str">
        <f t="shared" si="35"/>
        <v>5</v>
      </c>
      <c r="H2245" s="3" t="s">
        <v>4063</v>
      </c>
      <c r="I2245" s="8">
        <v>6258</v>
      </c>
      <c r="J2245" s="8">
        <v>0</v>
      </c>
      <c r="K2245" s="8">
        <v>6258</v>
      </c>
    </row>
    <row r="2246" spans="1:11" hidden="1" x14ac:dyDescent="0.25">
      <c r="A2246" s="3" t="s">
        <v>4064</v>
      </c>
      <c r="B2246" s="3">
        <v>12</v>
      </c>
      <c r="C2246" s="5">
        <v>330</v>
      </c>
      <c r="D2246" s="6">
        <v>0</v>
      </c>
      <c r="E2246" s="7">
        <v>708001</v>
      </c>
      <c r="F2246" s="3">
        <v>53120</v>
      </c>
      <c r="G2246" s="3" t="str">
        <f t="shared" si="35"/>
        <v>5</v>
      </c>
      <c r="H2246" s="3" t="s">
        <v>4065</v>
      </c>
      <c r="I2246" s="8">
        <v>2500</v>
      </c>
      <c r="J2246" s="8">
        <v>0</v>
      </c>
      <c r="K2246" s="8">
        <v>2500</v>
      </c>
    </row>
    <row r="2247" spans="1:11" hidden="1" x14ac:dyDescent="0.25">
      <c r="A2247" s="3" t="s">
        <v>4066</v>
      </c>
      <c r="B2247" s="3">
        <v>12</v>
      </c>
      <c r="C2247" s="5">
        <v>330</v>
      </c>
      <c r="D2247" s="6">
        <v>0</v>
      </c>
      <c r="E2247" s="7">
        <v>708001</v>
      </c>
      <c r="F2247" s="3">
        <v>53220</v>
      </c>
      <c r="G2247" s="3" t="str">
        <f t="shared" si="35"/>
        <v>5</v>
      </c>
      <c r="H2247" s="3" t="s">
        <v>4067</v>
      </c>
      <c r="I2247" s="8">
        <v>1200</v>
      </c>
      <c r="J2247" s="8">
        <v>0</v>
      </c>
      <c r="K2247" s="8">
        <v>1200</v>
      </c>
    </row>
    <row r="2248" spans="1:11" hidden="1" x14ac:dyDescent="0.25">
      <c r="A2248" s="3" t="s">
        <v>4068</v>
      </c>
      <c r="B2248" s="3">
        <v>12</v>
      </c>
      <c r="C2248" s="5">
        <v>330</v>
      </c>
      <c r="D2248" s="6">
        <v>0</v>
      </c>
      <c r="E2248" s="7">
        <v>708001</v>
      </c>
      <c r="F2248" s="3">
        <v>53320</v>
      </c>
      <c r="G2248" s="3" t="str">
        <f t="shared" si="35"/>
        <v>5</v>
      </c>
      <c r="H2248" s="3" t="s">
        <v>4069</v>
      </c>
      <c r="I2248" s="8">
        <v>400</v>
      </c>
      <c r="J2248" s="8">
        <v>0</v>
      </c>
      <c r="K2248" s="8">
        <v>400</v>
      </c>
    </row>
    <row r="2249" spans="1:11" hidden="1" x14ac:dyDescent="0.25">
      <c r="A2249" s="3" t="s">
        <v>4070</v>
      </c>
      <c r="B2249" s="3">
        <v>12</v>
      </c>
      <c r="C2249" s="5">
        <v>330</v>
      </c>
      <c r="D2249" s="6">
        <v>0</v>
      </c>
      <c r="E2249" s="7">
        <v>708001</v>
      </c>
      <c r="F2249" s="3">
        <v>53340</v>
      </c>
      <c r="G2249" s="3" t="str">
        <f t="shared" si="35"/>
        <v>5</v>
      </c>
      <c r="H2249" s="3" t="s">
        <v>4071</v>
      </c>
      <c r="I2249" s="8">
        <v>350</v>
      </c>
      <c r="J2249" s="8">
        <v>0</v>
      </c>
      <c r="K2249" s="8">
        <v>350</v>
      </c>
    </row>
    <row r="2250" spans="1:11" hidden="1" x14ac:dyDescent="0.25">
      <c r="A2250" s="3" t="s">
        <v>4072</v>
      </c>
      <c r="B2250" s="3">
        <v>12</v>
      </c>
      <c r="C2250" s="5">
        <v>330</v>
      </c>
      <c r="D2250" s="6">
        <v>0</v>
      </c>
      <c r="E2250" s="7">
        <v>708001</v>
      </c>
      <c r="F2250" s="3">
        <v>53420</v>
      </c>
      <c r="G2250" s="3" t="str">
        <f t="shared" si="35"/>
        <v>5</v>
      </c>
      <c r="H2250" s="3" t="s">
        <v>4073</v>
      </c>
      <c r="I2250" s="8">
        <v>1000</v>
      </c>
      <c r="J2250" s="8">
        <v>0</v>
      </c>
      <c r="K2250" s="8">
        <v>1000</v>
      </c>
    </row>
    <row r="2251" spans="1:11" hidden="1" x14ac:dyDescent="0.25">
      <c r="A2251" s="3" t="s">
        <v>4074</v>
      </c>
      <c r="B2251" s="3">
        <v>12</v>
      </c>
      <c r="C2251" s="5">
        <v>330</v>
      </c>
      <c r="D2251" s="6">
        <v>0</v>
      </c>
      <c r="E2251" s="7">
        <v>708001</v>
      </c>
      <c r="F2251" s="3">
        <v>53520</v>
      </c>
      <c r="G2251" s="3" t="str">
        <f t="shared" si="35"/>
        <v>5</v>
      </c>
      <c r="H2251" s="3" t="s">
        <v>4075</v>
      </c>
      <c r="I2251" s="8">
        <v>125</v>
      </c>
      <c r="J2251" s="8">
        <v>0</v>
      </c>
      <c r="K2251" s="8">
        <v>125</v>
      </c>
    </row>
    <row r="2252" spans="1:11" hidden="1" x14ac:dyDescent="0.25">
      <c r="A2252" s="3" t="s">
        <v>4076</v>
      </c>
      <c r="B2252" s="3">
        <v>12</v>
      </c>
      <c r="C2252" s="5">
        <v>330</v>
      </c>
      <c r="D2252" s="6">
        <v>0</v>
      </c>
      <c r="E2252" s="7">
        <v>708001</v>
      </c>
      <c r="F2252" s="3">
        <v>53620</v>
      </c>
      <c r="G2252" s="3" t="str">
        <f t="shared" si="35"/>
        <v>5</v>
      </c>
      <c r="H2252" s="3" t="s">
        <v>4077</v>
      </c>
      <c r="I2252" s="8">
        <v>420</v>
      </c>
      <c r="J2252" s="8">
        <v>0</v>
      </c>
      <c r="K2252" s="8">
        <v>420</v>
      </c>
    </row>
    <row r="2253" spans="1:11" hidden="1" x14ac:dyDescent="0.25">
      <c r="A2253" s="3" t="s">
        <v>4078</v>
      </c>
      <c r="B2253" s="3">
        <v>12</v>
      </c>
      <c r="C2253" s="5">
        <v>330</v>
      </c>
      <c r="D2253" s="6">
        <v>0</v>
      </c>
      <c r="E2253" s="7">
        <v>708001</v>
      </c>
      <c r="F2253" s="3">
        <v>55200</v>
      </c>
      <c r="G2253" s="3" t="str">
        <f t="shared" si="35"/>
        <v>5</v>
      </c>
      <c r="H2253" s="3" t="s">
        <v>4079</v>
      </c>
      <c r="I2253" s="8">
        <v>2610</v>
      </c>
      <c r="J2253" s="8">
        <v>0</v>
      </c>
      <c r="K2253" s="8">
        <v>2610</v>
      </c>
    </row>
    <row r="2254" spans="1:11" hidden="1" x14ac:dyDescent="0.25">
      <c r="A2254" s="3" t="s">
        <v>4080</v>
      </c>
      <c r="B2254" s="3">
        <v>12</v>
      </c>
      <c r="C2254" s="5">
        <v>330</v>
      </c>
      <c r="D2254" s="6">
        <v>0</v>
      </c>
      <c r="E2254" s="7">
        <v>708001</v>
      </c>
      <c r="F2254" s="3">
        <v>55630</v>
      </c>
      <c r="G2254" s="3" t="str">
        <f t="shared" si="35"/>
        <v>5</v>
      </c>
      <c r="H2254" s="3" t="s">
        <v>4081</v>
      </c>
      <c r="I2254" s="8">
        <v>477</v>
      </c>
      <c r="J2254" s="8">
        <v>0</v>
      </c>
      <c r="K2254" s="8">
        <v>477</v>
      </c>
    </row>
    <row r="2255" spans="1:11" hidden="1" x14ac:dyDescent="0.25">
      <c r="A2255" s="3" t="s">
        <v>4082</v>
      </c>
      <c r="B2255" s="3">
        <v>12</v>
      </c>
      <c r="C2255" s="5">
        <v>330</v>
      </c>
      <c r="D2255" s="6">
        <v>0</v>
      </c>
      <c r="E2255" s="7">
        <v>708001</v>
      </c>
      <c r="F2255" s="3">
        <v>57350</v>
      </c>
      <c r="G2255" s="3" t="str">
        <f t="shared" si="35"/>
        <v>5</v>
      </c>
      <c r="H2255" s="3" t="s">
        <v>4083</v>
      </c>
      <c r="I2255" s="8">
        <v>8328</v>
      </c>
      <c r="J2255" s="8">
        <v>0</v>
      </c>
      <c r="K2255" s="8">
        <v>8328</v>
      </c>
    </row>
    <row r="2256" spans="1:11" hidden="1" x14ac:dyDescent="0.25">
      <c r="A2256" s="3" t="s">
        <v>4084</v>
      </c>
      <c r="B2256" s="3">
        <v>12</v>
      </c>
      <c r="C2256" s="5">
        <v>330</v>
      </c>
      <c r="D2256" s="6">
        <v>0</v>
      </c>
      <c r="E2256" s="7">
        <v>708001</v>
      </c>
      <c r="F2256" s="3">
        <v>57500</v>
      </c>
      <c r="G2256" s="3" t="str">
        <f t="shared" si="35"/>
        <v>5</v>
      </c>
      <c r="H2256" s="3" t="s">
        <v>4085</v>
      </c>
      <c r="I2256" s="8">
        <v>94600</v>
      </c>
      <c r="J2256" s="8">
        <v>153868</v>
      </c>
      <c r="K2256" s="8">
        <v>94600</v>
      </c>
    </row>
    <row r="2257" spans="1:11" hidden="1" x14ac:dyDescent="0.25">
      <c r="A2257" s="3" t="s">
        <v>4086</v>
      </c>
      <c r="B2257" s="3">
        <v>12</v>
      </c>
      <c r="C2257" s="5">
        <v>330</v>
      </c>
      <c r="D2257" s="6">
        <v>0</v>
      </c>
      <c r="E2257" s="7">
        <v>708003</v>
      </c>
      <c r="F2257" s="3">
        <v>48190</v>
      </c>
      <c r="G2257" s="3" t="str">
        <f t="shared" si="35"/>
        <v>4</v>
      </c>
      <c r="H2257" s="3" t="s">
        <v>4087</v>
      </c>
      <c r="I2257" s="8">
        <v>-638719.87</v>
      </c>
      <c r="J2257" s="8">
        <v>-121054.28</v>
      </c>
      <c r="K2257" s="8">
        <v>-638719.87</v>
      </c>
    </row>
    <row r="2258" spans="1:11" hidden="1" x14ac:dyDescent="0.25">
      <c r="A2258" s="3" t="s">
        <v>4088</v>
      </c>
      <c r="B2258" s="3">
        <v>12</v>
      </c>
      <c r="C2258" s="5">
        <v>330</v>
      </c>
      <c r="D2258" s="6">
        <v>0</v>
      </c>
      <c r="E2258" s="7">
        <v>708003</v>
      </c>
      <c r="F2258" s="3">
        <v>51412</v>
      </c>
      <c r="G2258" s="3" t="str">
        <f t="shared" si="35"/>
        <v>5</v>
      </c>
      <c r="H2258" s="3" t="s">
        <v>4089</v>
      </c>
      <c r="I2258" s="8">
        <v>144959</v>
      </c>
      <c r="J2258" s="8">
        <v>50933.74</v>
      </c>
      <c r="K2258" s="8">
        <v>144959</v>
      </c>
    </row>
    <row r="2259" spans="1:11" hidden="1" x14ac:dyDescent="0.25">
      <c r="A2259" s="3" t="s">
        <v>4090</v>
      </c>
      <c r="B2259" s="3">
        <v>12</v>
      </c>
      <c r="C2259" s="5">
        <v>330</v>
      </c>
      <c r="D2259" s="6">
        <v>0</v>
      </c>
      <c r="E2259" s="7">
        <v>708003</v>
      </c>
      <c r="F2259" s="3">
        <v>52105</v>
      </c>
      <c r="G2259" s="3" t="str">
        <f t="shared" si="35"/>
        <v>5</v>
      </c>
      <c r="H2259" s="3" t="s">
        <v>4091</v>
      </c>
      <c r="I2259" s="8">
        <v>5856</v>
      </c>
      <c r="J2259" s="8">
        <v>4109.8500000000004</v>
      </c>
      <c r="K2259" s="8">
        <v>5856</v>
      </c>
    </row>
    <row r="2260" spans="1:11" hidden="1" x14ac:dyDescent="0.25">
      <c r="A2260" s="3" t="s">
        <v>4092</v>
      </c>
      <c r="B2260" s="3">
        <v>12</v>
      </c>
      <c r="C2260" s="5">
        <v>330</v>
      </c>
      <c r="D2260" s="6">
        <v>0</v>
      </c>
      <c r="E2260" s="7">
        <v>708003</v>
      </c>
      <c r="F2260" s="3">
        <v>52300</v>
      </c>
      <c r="G2260" s="3" t="str">
        <f t="shared" si="35"/>
        <v>5</v>
      </c>
      <c r="H2260" s="3" t="s">
        <v>4093</v>
      </c>
      <c r="I2260" s="8">
        <v>0</v>
      </c>
      <c r="J2260" s="8">
        <v>604.91999999999996</v>
      </c>
      <c r="K2260" s="8">
        <v>0</v>
      </c>
    </row>
    <row r="2261" spans="1:11" hidden="1" x14ac:dyDescent="0.25">
      <c r="A2261" s="3" t="s">
        <v>4094</v>
      </c>
      <c r="B2261" s="3">
        <v>12</v>
      </c>
      <c r="C2261" s="5">
        <v>330</v>
      </c>
      <c r="D2261" s="6">
        <v>0</v>
      </c>
      <c r="E2261" s="7">
        <v>708003</v>
      </c>
      <c r="F2261" s="3">
        <v>53000</v>
      </c>
      <c r="G2261" s="3" t="str">
        <f t="shared" si="35"/>
        <v>5</v>
      </c>
      <c r="H2261" s="3" t="s">
        <v>4095</v>
      </c>
      <c r="I2261" s="8">
        <v>37642</v>
      </c>
      <c r="J2261" s="8">
        <v>0</v>
      </c>
      <c r="K2261" s="8">
        <v>37642</v>
      </c>
    </row>
    <row r="2262" spans="1:11" hidden="1" x14ac:dyDescent="0.25">
      <c r="A2262" s="3" t="s">
        <v>4096</v>
      </c>
      <c r="B2262" s="3">
        <v>12</v>
      </c>
      <c r="C2262" s="5">
        <v>330</v>
      </c>
      <c r="D2262" s="6">
        <v>0</v>
      </c>
      <c r="E2262" s="7">
        <v>708003</v>
      </c>
      <c r="F2262" s="3">
        <v>53120</v>
      </c>
      <c r="G2262" s="3" t="str">
        <f t="shared" si="35"/>
        <v>5</v>
      </c>
      <c r="H2262" s="3" t="s">
        <v>4097</v>
      </c>
      <c r="I2262" s="8">
        <v>0</v>
      </c>
      <c r="J2262" s="8">
        <v>8202.4</v>
      </c>
      <c r="K2262" s="8">
        <v>0</v>
      </c>
    </row>
    <row r="2263" spans="1:11" hidden="1" x14ac:dyDescent="0.25">
      <c r="A2263" s="3" t="s">
        <v>4098</v>
      </c>
      <c r="B2263" s="3">
        <v>12</v>
      </c>
      <c r="C2263" s="5">
        <v>330</v>
      </c>
      <c r="D2263" s="6">
        <v>0</v>
      </c>
      <c r="E2263" s="7">
        <v>708003</v>
      </c>
      <c r="F2263" s="3">
        <v>53220</v>
      </c>
      <c r="G2263" s="3" t="str">
        <f t="shared" si="35"/>
        <v>5</v>
      </c>
      <c r="H2263" s="3" t="s">
        <v>4099</v>
      </c>
      <c r="I2263" s="8">
        <v>0</v>
      </c>
      <c r="J2263" s="8">
        <v>841.59</v>
      </c>
      <c r="K2263" s="8">
        <v>0</v>
      </c>
    </row>
    <row r="2264" spans="1:11" hidden="1" x14ac:dyDescent="0.25">
      <c r="A2264" s="3" t="s">
        <v>4100</v>
      </c>
      <c r="B2264" s="3">
        <v>12</v>
      </c>
      <c r="C2264" s="5">
        <v>330</v>
      </c>
      <c r="D2264" s="6">
        <v>0</v>
      </c>
      <c r="E2264" s="7">
        <v>708003</v>
      </c>
      <c r="F2264" s="3">
        <v>53320</v>
      </c>
      <c r="G2264" s="3" t="str">
        <f t="shared" si="35"/>
        <v>5</v>
      </c>
      <c r="H2264" s="3" t="s">
        <v>4101</v>
      </c>
      <c r="I2264" s="8">
        <v>0</v>
      </c>
      <c r="J2264" s="8">
        <v>326.95999999999998</v>
      </c>
      <c r="K2264" s="8">
        <v>0</v>
      </c>
    </row>
    <row r="2265" spans="1:11" hidden="1" x14ac:dyDescent="0.25">
      <c r="A2265" s="3" t="s">
        <v>4102</v>
      </c>
      <c r="B2265" s="3">
        <v>12</v>
      </c>
      <c r="C2265" s="5">
        <v>330</v>
      </c>
      <c r="D2265" s="6">
        <v>0</v>
      </c>
      <c r="E2265" s="7">
        <v>708003</v>
      </c>
      <c r="F2265" s="3">
        <v>53340</v>
      </c>
      <c r="G2265" s="3" t="str">
        <f t="shared" si="35"/>
        <v>5</v>
      </c>
      <c r="H2265" s="3" t="s">
        <v>4103</v>
      </c>
      <c r="I2265" s="8">
        <v>0</v>
      </c>
      <c r="J2265" s="8">
        <v>806.35</v>
      </c>
      <c r="K2265" s="8">
        <v>0</v>
      </c>
    </row>
    <row r="2266" spans="1:11" hidden="1" x14ac:dyDescent="0.25">
      <c r="A2266" s="3" t="s">
        <v>4104</v>
      </c>
      <c r="B2266" s="3">
        <v>12</v>
      </c>
      <c r="C2266" s="5">
        <v>330</v>
      </c>
      <c r="D2266" s="6">
        <v>0</v>
      </c>
      <c r="E2266" s="7">
        <v>708003</v>
      </c>
      <c r="F2266" s="3">
        <v>53420</v>
      </c>
      <c r="G2266" s="3" t="str">
        <f t="shared" si="35"/>
        <v>5</v>
      </c>
      <c r="H2266" s="3" t="s">
        <v>4105</v>
      </c>
      <c r="I2266" s="8">
        <v>0</v>
      </c>
      <c r="J2266" s="8">
        <v>1847.66</v>
      </c>
      <c r="K2266" s="8">
        <v>0</v>
      </c>
    </row>
    <row r="2267" spans="1:11" hidden="1" x14ac:dyDescent="0.25">
      <c r="A2267" s="3" t="s">
        <v>4106</v>
      </c>
      <c r="B2267" s="3">
        <v>12</v>
      </c>
      <c r="C2267" s="5">
        <v>330</v>
      </c>
      <c r="D2267" s="6">
        <v>0</v>
      </c>
      <c r="E2267" s="7">
        <v>708003</v>
      </c>
      <c r="F2267" s="3">
        <v>53520</v>
      </c>
      <c r="G2267" s="3" t="str">
        <f t="shared" si="35"/>
        <v>5</v>
      </c>
      <c r="H2267" s="3" t="s">
        <v>4107</v>
      </c>
      <c r="I2267" s="8">
        <v>0</v>
      </c>
      <c r="J2267" s="8">
        <v>27.83</v>
      </c>
      <c r="K2267" s="8">
        <v>0</v>
      </c>
    </row>
    <row r="2268" spans="1:11" hidden="1" x14ac:dyDescent="0.25">
      <c r="A2268" s="3" t="s">
        <v>4108</v>
      </c>
      <c r="B2268" s="3">
        <v>12</v>
      </c>
      <c r="C2268" s="5">
        <v>330</v>
      </c>
      <c r="D2268" s="6">
        <v>0</v>
      </c>
      <c r="E2268" s="7">
        <v>708003</v>
      </c>
      <c r="F2268" s="3">
        <v>53620</v>
      </c>
      <c r="G2268" s="3" t="str">
        <f t="shared" si="35"/>
        <v>5</v>
      </c>
      <c r="H2268" s="3" t="s">
        <v>4109</v>
      </c>
      <c r="I2268" s="8">
        <v>0</v>
      </c>
      <c r="J2268" s="8">
        <v>1052.4100000000001</v>
      </c>
      <c r="K2268" s="8">
        <v>0</v>
      </c>
    </row>
    <row r="2269" spans="1:11" hidden="1" x14ac:dyDescent="0.25">
      <c r="A2269" s="3" t="s">
        <v>4110</v>
      </c>
      <c r="B2269" s="3">
        <v>12</v>
      </c>
      <c r="C2269" s="5">
        <v>330</v>
      </c>
      <c r="D2269" s="6">
        <v>0</v>
      </c>
      <c r="E2269" s="7">
        <v>708003</v>
      </c>
      <c r="F2269" s="3">
        <v>53920</v>
      </c>
      <c r="G2269" s="3" t="str">
        <f t="shared" si="35"/>
        <v>5</v>
      </c>
      <c r="H2269" s="3" t="s">
        <v>4111</v>
      </c>
      <c r="I2269" s="8">
        <v>0</v>
      </c>
      <c r="J2269" s="8">
        <v>0</v>
      </c>
      <c r="K2269" s="8">
        <v>0</v>
      </c>
    </row>
    <row r="2270" spans="1:11" hidden="1" x14ac:dyDescent="0.25">
      <c r="A2270" s="3" t="s">
        <v>4112</v>
      </c>
      <c r="B2270" s="3">
        <v>12</v>
      </c>
      <c r="C2270" s="5">
        <v>330</v>
      </c>
      <c r="D2270" s="6">
        <v>0</v>
      </c>
      <c r="E2270" s="7">
        <v>708003</v>
      </c>
      <c r="F2270" s="3">
        <v>54210</v>
      </c>
      <c r="G2270" s="3" t="str">
        <f t="shared" si="35"/>
        <v>5</v>
      </c>
      <c r="H2270" s="3" t="s">
        <v>4113</v>
      </c>
      <c r="I2270" s="8">
        <v>0</v>
      </c>
      <c r="J2270" s="8">
        <v>0</v>
      </c>
      <c r="K2270" s="8">
        <v>0</v>
      </c>
    </row>
    <row r="2271" spans="1:11" hidden="1" x14ac:dyDescent="0.25">
      <c r="A2271" s="3" t="s">
        <v>4114</v>
      </c>
      <c r="B2271" s="3">
        <v>12</v>
      </c>
      <c r="C2271" s="5">
        <v>330</v>
      </c>
      <c r="D2271" s="6">
        <v>0</v>
      </c>
      <c r="E2271" s="7">
        <v>708003</v>
      </c>
      <c r="F2271" s="3">
        <v>54300</v>
      </c>
      <c r="G2271" s="3" t="str">
        <f t="shared" si="35"/>
        <v>5</v>
      </c>
      <c r="H2271" s="3" t="s">
        <v>4115</v>
      </c>
      <c r="I2271" s="8">
        <v>31207</v>
      </c>
      <c r="J2271" s="8">
        <v>3336.42</v>
      </c>
      <c r="K2271" s="8">
        <v>31207</v>
      </c>
    </row>
    <row r="2272" spans="1:11" hidden="1" x14ac:dyDescent="0.25">
      <c r="A2272" s="3" t="s">
        <v>4116</v>
      </c>
      <c r="B2272" s="3">
        <v>12</v>
      </c>
      <c r="C2272" s="5">
        <v>330</v>
      </c>
      <c r="D2272" s="6">
        <v>0</v>
      </c>
      <c r="E2272" s="7">
        <v>708003</v>
      </c>
      <c r="F2272" s="3">
        <v>55100</v>
      </c>
      <c r="G2272" s="3" t="str">
        <f t="shared" si="35"/>
        <v>5</v>
      </c>
      <c r="H2272" s="3" t="s">
        <v>4117</v>
      </c>
      <c r="I2272" s="8">
        <v>31511</v>
      </c>
      <c r="J2272" s="8">
        <v>0</v>
      </c>
      <c r="K2272" s="8">
        <v>31511</v>
      </c>
    </row>
    <row r="2273" spans="1:11" hidden="1" x14ac:dyDescent="0.25">
      <c r="A2273" s="3" t="s">
        <v>4118</v>
      </c>
      <c r="B2273" s="3">
        <v>12</v>
      </c>
      <c r="C2273" s="5">
        <v>330</v>
      </c>
      <c r="D2273" s="6">
        <v>0</v>
      </c>
      <c r="E2273" s="7">
        <v>708003</v>
      </c>
      <c r="F2273" s="3">
        <v>55105</v>
      </c>
      <c r="G2273" s="3" t="str">
        <f t="shared" si="35"/>
        <v>5</v>
      </c>
      <c r="H2273" s="3" t="s">
        <v>4119</v>
      </c>
      <c r="I2273" s="8">
        <v>110171</v>
      </c>
      <c r="J2273" s="8">
        <v>41851.760000000002</v>
      </c>
      <c r="K2273" s="8">
        <v>110171</v>
      </c>
    </row>
    <row r="2274" spans="1:11" hidden="1" x14ac:dyDescent="0.25">
      <c r="A2274" s="3" t="s">
        <v>4120</v>
      </c>
      <c r="B2274" s="3">
        <v>12</v>
      </c>
      <c r="C2274" s="5">
        <v>330</v>
      </c>
      <c r="D2274" s="6">
        <v>0</v>
      </c>
      <c r="E2274" s="7">
        <v>708003</v>
      </c>
      <c r="F2274" s="3">
        <v>55200</v>
      </c>
      <c r="G2274" s="3" t="str">
        <f t="shared" si="35"/>
        <v>5</v>
      </c>
      <c r="H2274" s="3" t="s">
        <v>4121</v>
      </c>
      <c r="I2274" s="8">
        <v>111807.87</v>
      </c>
      <c r="J2274" s="8">
        <v>1600</v>
      </c>
      <c r="K2274" s="8">
        <v>111807.87</v>
      </c>
    </row>
    <row r="2275" spans="1:11" hidden="1" x14ac:dyDescent="0.25">
      <c r="A2275" s="3" t="s">
        <v>4122</v>
      </c>
      <c r="B2275" s="3">
        <v>12</v>
      </c>
      <c r="C2275" s="5">
        <v>330</v>
      </c>
      <c r="D2275" s="6">
        <v>0</v>
      </c>
      <c r="E2275" s="7">
        <v>708003</v>
      </c>
      <c r="F2275" s="3">
        <v>55635</v>
      </c>
      <c r="G2275" s="3" t="str">
        <f t="shared" si="35"/>
        <v>5</v>
      </c>
      <c r="H2275" s="3" t="s">
        <v>4123</v>
      </c>
      <c r="I2275" s="8">
        <v>16327</v>
      </c>
      <c r="J2275" s="8">
        <v>750</v>
      </c>
      <c r="K2275" s="8">
        <v>16327</v>
      </c>
    </row>
    <row r="2276" spans="1:11" hidden="1" x14ac:dyDescent="0.25">
      <c r="A2276" s="3" t="s">
        <v>4124</v>
      </c>
      <c r="B2276" s="3">
        <v>12</v>
      </c>
      <c r="C2276" s="5">
        <v>330</v>
      </c>
      <c r="D2276" s="6">
        <v>0</v>
      </c>
      <c r="E2276" s="7">
        <v>708003</v>
      </c>
      <c r="F2276" s="3">
        <v>55800</v>
      </c>
      <c r="G2276" s="3" t="str">
        <f t="shared" si="35"/>
        <v>5</v>
      </c>
      <c r="H2276" s="3" t="s">
        <v>4125</v>
      </c>
      <c r="I2276" s="8">
        <v>0</v>
      </c>
      <c r="J2276" s="8">
        <v>0</v>
      </c>
      <c r="K2276" s="8">
        <v>0</v>
      </c>
    </row>
    <row r="2277" spans="1:11" hidden="1" x14ac:dyDescent="0.25">
      <c r="A2277" s="3" t="s">
        <v>4126</v>
      </c>
      <c r="B2277" s="3">
        <v>12</v>
      </c>
      <c r="C2277" s="5">
        <v>330</v>
      </c>
      <c r="D2277" s="6">
        <v>0</v>
      </c>
      <c r="E2277" s="7">
        <v>708003</v>
      </c>
      <c r="F2277" s="3">
        <v>57350</v>
      </c>
      <c r="G2277" s="3" t="str">
        <f t="shared" si="35"/>
        <v>5</v>
      </c>
      <c r="H2277" s="3" t="s">
        <v>4127</v>
      </c>
      <c r="I2277" s="8">
        <v>106216</v>
      </c>
      <c r="J2277" s="8">
        <v>12410.69</v>
      </c>
      <c r="K2277" s="8">
        <v>106216</v>
      </c>
    </row>
    <row r="2278" spans="1:11" hidden="1" x14ac:dyDescent="0.25">
      <c r="A2278" s="3" t="s">
        <v>4128</v>
      </c>
      <c r="B2278" s="3">
        <v>12</v>
      </c>
      <c r="C2278" s="5">
        <v>330</v>
      </c>
      <c r="D2278" s="6">
        <v>0</v>
      </c>
      <c r="E2278" s="7">
        <v>708003</v>
      </c>
      <c r="F2278" s="3">
        <v>57510</v>
      </c>
      <c r="G2278" s="3" t="str">
        <f t="shared" si="35"/>
        <v>5</v>
      </c>
      <c r="H2278" s="3" t="s">
        <v>4129</v>
      </c>
      <c r="I2278" s="8">
        <v>6750</v>
      </c>
      <c r="J2278" s="8">
        <v>2250</v>
      </c>
      <c r="K2278" s="8">
        <v>6750</v>
      </c>
    </row>
    <row r="2279" spans="1:11" hidden="1" x14ac:dyDescent="0.25">
      <c r="A2279" s="3" t="s">
        <v>4130</v>
      </c>
      <c r="B2279" s="3">
        <v>12</v>
      </c>
      <c r="C2279" s="5">
        <v>330</v>
      </c>
      <c r="D2279" s="6">
        <v>0</v>
      </c>
      <c r="E2279" s="7">
        <v>708003</v>
      </c>
      <c r="F2279" s="3">
        <v>57552</v>
      </c>
      <c r="G2279" s="3" t="str">
        <f t="shared" si="35"/>
        <v>5</v>
      </c>
      <c r="H2279" s="3" t="s">
        <v>4131</v>
      </c>
      <c r="I2279" s="8">
        <v>36273</v>
      </c>
      <c r="J2279" s="8">
        <v>0</v>
      </c>
      <c r="K2279" s="8">
        <v>36273</v>
      </c>
    </row>
    <row r="2280" spans="1:11" hidden="1" x14ac:dyDescent="0.25">
      <c r="A2280" s="3" t="s">
        <v>4132</v>
      </c>
      <c r="B2280" s="3">
        <v>12</v>
      </c>
      <c r="C2280" s="5">
        <v>330</v>
      </c>
      <c r="D2280" s="6">
        <v>0</v>
      </c>
      <c r="E2280" s="7">
        <v>709831</v>
      </c>
      <c r="F2280" s="3">
        <v>48120</v>
      </c>
      <c r="G2280" s="3" t="str">
        <f t="shared" si="35"/>
        <v>4</v>
      </c>
      <c r="H2280" s="3" t="s">
        <v>4133</v>
      </c>
      <c r="I2280" s="8">
        <v>-1350955.42</v>
      </c>
      <c r="J2280" s="8">
        <v>-590291.92000000004</v>
      </c>
      <c r="K2280" s="8">
        <v>-1350955.42</v>
      </c>
    </row>
    <row r="2281" spans="1:11" hidden="1" x14ac:dyDescent="0.25">
      <c r="A2281" s="3" t="s">
        <v>4134</v>
      </c>
      <c r="B2281" s="3">
        <v>12</v>
      </c>
      <c r="C2281" s="5">
        <v>330</v>
      </c>
      <c r="D2281" s="6">
        <v>0</v>
      </c>
      <c r="E2281" s="7">
        <v>709831</v>
      </c>
      <c r="F2281" s="3">
        <v>51200</v>
      </c>
      <c r="G2281" s="3" t="str">
        <f t="shared" si="35"/>
        <v>5</v>
      </c>
      <c r="H2281" s="3" t="s">
        <v>4135</v>
      </c>
      <c r="I2281" s="8">
        <v>112184</v>
      </c>
      <c r="J2281" s="8">
        <v>64703.68</v>
      </c>
      <c r="K2281" s="8">
        <v>112184</v>
      </c>
    </row>
    <row r="2282" spans="1:11" hidden="1" x14ac:dyDescent="0.25">
      <c r="A2282" s="3" t="s">
        <v>4136</v>
      </c>
      <c r="B2282" s="3">
        <v>12</v>
      </c>
      <c r="C2282" s="5">
        <v>330</v>
      </c>
      <c r="D2282" s="6">
        <v>0</v>
      </c>
      <c r="E2282" s="7">
        <v>709831</v>
      </c>
      <c r="F2282" s="3">
        <v>51210</v>
      </c>
      <c r="G2282" s="3" t="str">
        <f t="shared" si="35"/>
        <v>5</v>
      </c>
      <c r="H2282" s="3" t="s">
        <v>4137</v>
      </c>
      <c r="I2282" s="8">
        <v>57597</v>
      </c>
      <c r="J2282" s="8">
        <v>43406.97</v>
      </c>
      <c r="K2282" s="8">
        <v>57597</v>
      </c>
    </row>
    <row r="2283" spans="1:11" hidden="1" x14ac:dyDescent="0.25">
      <c r="A2283" s="3" t="s">
        <v>4138</v>
      </c>
      <c r="B2283" s="3">
        <v>12</v>
      </c>
      <c r="C2283" s="5">
        <v>330</v>
      </c>
      <c r="D2283" s="6">
        <v>0</v>
      </c>
      <c r="E2283" s="7">
        <v>709831</v>
      </c>
      <c r="F2283" s="3">
        <v>51412</v>
      </c>
      <c r="G2283" s="3" t="str">
        <f t="shared" si="35"/>
        <v>5</v>
      </c>
      <c r="H2283" s="3" t="s">
        <v>4139</v>
      </c>
      <c r="I2283" s="8">
        <v>20000</v>
      </c>
      <c r="J2283" s="8">
        <v>33154</v>
      </c>
      <c r="K2283" s="8">
        <v>20000</v>
      </c>
    </row>
    <row r="2284" spans="1:11" hidden="1" x14ac:dyDescent="0.25">
      <c r="A2284" s="3" t="s">
        <v>4140</v>
      </c>
      <c r="B2284" s="3">
        <v>12</v>
      </c>
      <c r="C2284" s="5">
        <v>330</v>
      </c>
      <c r="D2284" s="6">
        <v>0</v>
      </c>
      <c r="E2284" s="7">
        <v>709831</v>
      </c>
      <c r="F2284" s="3">
        <v>52105</v>
      </c>
      <c r="G2284" s="3" t="str">
        <f t="shared" si="35"/>
        <v>5</v>
      </c>
      <c r="H2284" s="3" t="s">
        <v>4141</v>
      </c>
      <c r="I2284" s="8">
        <v>93334</v>
      </c>
      <c r="J2284" s="8">
        <v>51853.83</v>
      </c>
      <c r="K2284" s="8">
        <v>93334</v>
      </c>
    </row>
    <row r="2285" spans="1:11" hidden="1" x14ac:dyDescent="0.25">
      <c r="A2285" s="3" t="s">
        <v>4142</v>
      </c>
      <c r="B2285" s="3">
        <v>12</v>
      </c>
      <c r="C2285" s="5">
        <v>330</v>
      </c>
      <c r="D2285" s="6">
        <v>0</v>
      </c>
      <c r="E2285" s="7">
        <v>709831</v>
      </c>
      <c r="F2285" s="3">
        <v>52130</v>
      </c>
      <c r="G2285" s="3" t="str">
        <f t="shared" si="35"/>
        <v>5</v>
      </c>
      <c r="H2285" s="3" t="s">
        <v>4143</v>
      </c>
      <c r="I2285" s="8">
        <v>139044</v>
      </c>
      <c r="J2285" s="8">
        <v>68662.039999999994</v>
      </c>
      <c r="K2285" s="8">
        <v>139044</v>
      </c>
    </row>
    <row r="2286" spans="1:11" hidden="1" x14ac:dyDescent="0.25">
      <c r="A2286" s="3" t="s">
        <v>4144</v>
      </c>
      <c r="B2286" s="3">
        <v>12</v>
      </c>
      <c r="C2286" s="5">
        <v>330</v>
      </c>
      <c r="D2286" s="6">
        <v>0</v>
      </c>
      <c r="E2286" s="7">
        <v>709831</v>
      </c>
      <c r="F2286" s="3">
        <v>52200</v>
      </c>
      <c r="G2286" s="3" t="str">
        <f t="shared" si="35"/>
        <v>5</v>
      </c>
      <c r="H2286" s="3" t="s">
        <v>4145</v>
      </c>
      <c r="I2286" s="8">
        <v>38337</v>
      </c>
      <c r="J2286" s="8">
        <v>29912.12</v>
      </c>
      <c r="K2286" s="8">
        <v>38337</v>
      </c>
    </row>
    <row r="2287" spans="1:11" hidden="1" x14ac:dyDescent="0.25">
      <c r="A2287" s="3" t="s">
        <v>4146</v>
      </c>
      <c r="B2287" s="3">
        <v>12</v>
      </c>
      <c r="C2287" s="5">
        <v>330</v>
      </c>
      <c r="D2287" s="6">
        <v>0</v>
      </c>
      <c r="E2287" s="7">
        <v>709831</v>
      </c>
      <c r="F2287" s="3">
        <v>52350</v>
      </c>
      <c r="G2287" s="3" t="str">
        <f t="shared" si="35"/>
        <v>5</v>
      </c>
      <c r="H2287" s="3" t="s">
        <v>4147</v>
      </c>
      <c r="I2287" s="8">
        <v>30618</v>
      </c>
      <c r="J2287" s="8">
        <v>25655.23</v>
      </c>
      <c r="K2287" s="8">
        <v>30618</v>
      </c>
    </row>
    <row r="2288" spans="1:11" hidden="1" x14ac:dyDescent="0.25">
      <c r="A2288" s="3" t="s">
        <v>4148</v>
      </c>
      <c r="B2288" s="3">
        <v>12</v>
      </c>
      <c r="C2288" s="5">
        <v>330</v>
      </c>
      <c r="D2288" s="6">
        <v>0</v>
      </c>
      <c r="E2288" s="7">
        <v>709831</v>
      </c>
      <c r="F2288" s="3">
        <v>52360</v>
      </c>
      <c r="G2288" s="3" t="str">
        <f t="shared" si="35"/>
        <v>5</v>
      </c>
      <c r="H2288" s="3" t="s">
        <v>4149</v>
      </c>
      <c r="I2288" s="8">
        <v>0</v>
      </c>
      <c r="J2288" s="8">
        <v>2400</v>
      </c>
      <c r="K2288" s="8">
        <v>0</v>
      </c>
    </row>
    <row r="2289" spans="1:11" hidden="1" x14ac:dyDescent="0.25">
      <c r="A2289" s="3" t="s">
        <v>4150</v>
      </c>
      <c r="B2289" s="3">
        <v>12</v>
      </c>
      <c r="C2289" s="5">
        <v>330</v>
      </c>
      <c r="D2289" s="6">
        <v>0</v>
      </c>
      <c r="E2289" s="7">
        <v>709831</v>
      </c>
      <c r="F2289" s="3">
        <v>53120</v>
      </c>
      <c r="G2289" s="3" t="str">
        <f t="shared" si="35"/>
        <v>5</v>
      </c>
      <c r="H2289" s="3" t="s">
        <v>4151</v>
      </c>
      <c r="I2289" s="8">
        <v>30650</v>
      </c>
      <c r="J2289" s="8">
        <v>15804.03</v>
      </c>
      <c r="K2289" s="8">
        <v>30650</v>
      </c>
    </row>
    <row r="2290" spans="1:11" hidden="1" x14ac:dyDescent="0.25">
      <c r="A2290" s="3" t="s">
        <v>4152</v>
      </c>
      <c r="B2290" s="3">
        <v>12</v>
      </c>
      <c r="C2290" s="5">
        <v>330</v>
      </c>
      <c r="D2290" s="6">
        <v>0</v>
      </c>
      <c r="E2290" s="7">
        <v>709831</v>
      </c>
      <c r="F2290" s="3">
        <v>53210</v>
      </c>
      <c r="G2290" s="3" t="str">
        <f t="shared" si="35"/>
        <v>5</v>
      </c>
      <c r="H2290" s="3" t="s">
        <v>4153</v>
      </c>
      <c r="I2290" s="8">
        <v>0</v>
      </c>
      <c r="J2290" s="8">
        <v>6180.46</v>
      </c>
      <c r="K2290" s="8">
        <v>0</v>
      </c>
    </row>
    <row r="2291" spans="1:11" hidden="1" x14ac:dyDescent="0.25">
      <c r="A2291" s="3" t="s">
        <v>4154</v>
      </c>
      <c r="B2291" s="3">
        <v>12</v>
      </c>
      <c r="C2291" s="5">
        <v>330</v>
      </c>
      <c r="D2291" s="6">
        <v>0</v>
      </c>
      <c r="E2291" s="7">
        <v>709831</v>
      </c>
      <c r="F2291" s="3">
        <v>53220</v>
      </c>
      <c r="G2291" s="3" t="str">
        <f t="shared" si="35"/>
        <v>5</v>
      </c>
      <c r="H2291" s="3" t="s">
        <v>4155</v>
      </c>
      <c r="I2291" s="8">
        <v>56038</v>
      </c>
      <c r="J2291" s="8">
        <v>33448.769999999997</v>
      </c>
      <c r="K2291" s="8">
        <v>56038</v>
      </c>
    </row>
    <row r="2292" spans="1:11" hidden="1" x14ac:dyDescent="0.25">
      <c r="A2292" s="3" t="s">
        <v>4156</v>
      </c>
      <c r="B2292" s="3">
        <v>12</v>
      </c>
      <c r="C2292" s="5">
        <v>330</v>
      </c>
      <c r="D2292" s="6">
        <v>0</v>
      </c>
      <c r="E2292" s="7">
        <v>709831</v>
      </c>
      <c r="F2292" s="3">
        <v>53310</v>
      </c>
      <c r="G2292" s="3" t="str">
        <f t="shared" si="35"/>
        <v>5</v>
      </c>
      <c r="H2292" s="3" t="s">
        <v>4157</v>
      </c>
      <c r="I2292" s="8">
        <v>0</v>
      </c>
      <c r="J2292" s="8">
        <v>1854.54</v>
      </c>
      <c r="K2292" s="8">
        <v>0</v>
      </c>
    </row>
    <row r="2293" spans="1:11" hidden="1" x14ac:dyDescent="0.25">
      <c r="A2293" s="3" t="s">
        <v>4158</v>
      </c>
      <c r="B2293" s="3">
        <v>12</v>
      </c>
      <c r="C2293" s="5">
        <v>330</v>
      </c>
      <c r="D2293" s="6">
        <v>0</v>
      </c>
      <c r="E2293" s="7">
        <v>709831</v>
      </c>
      <c r="F2293" s="3">
        <v>53320</v>
      </c>
      <c r="G2293" s="3" t="str">
        <f t="shared" si="35"/>
        <v>5</v>
      </c>
      <c r="H2293" s="3" t="s">
        <v>4159</v>
      </c>
      <c r="I2293" s="8">
        <v>16785</v>
      </c>
      <c r="J2293" s="8">
        <v>10300.65</v>
      </c>
      <c r="K2293" s="8">
        <v>16785</v>
      </c>
    </row>
    <row r="2294" spans="1:11" hidden="1" x14ac:dyDescent="0.25">
      <c r="A2294" s="3" t="s">
        <v>4160</v>
      </c>
      <c r="B2294" s="3">
        <v>12</v>
      </c>
      <c r="C2294" s="5">
        <v>330</v>
      </c>
      <c r="D2294" s="6">
        <v>0</v>
      </c>
      <c r="E2294" s="7">
        <v>709831</v>
      </c>
      <c r="F2294" s="3">
        <v>53330</v>
      </c>
      <c r="G2294" s="3" t="str">
        <f t="shared" si="35"/>
        <v>5</v>
      </c>
      <c r="H2294" s="3" t="s">
        <v>4161</v>
      </c>
      <c r="I2294" s="8">
        <v>290</v>
      </c>
      <c r="J2294" s="8">
        <v>433.7</v>
      </c>
      <c r="K2294" s="8">
        <v>290</v>
      </c>
    </row>
    <row r="2295" spans="1:11" hidden="1" x14ac:dyDescent="0.25">
      <c r="A2295" s="3" t="s">
        <v>4162</v>
      </c>
      <c r="B2295" s="3">
        <v>12</v>
      </c>
      <c r="C2295" s="5">
        <v>330</v>
      </c>
      <c r="D2295" s="6">
        <v>0</v>
      </c>
      <c r="E2295" s="7">
        <v>709831</v>
      </c>
      <c r="F2295" s="3">
        <v>53340</v>
      </c>
      <c r="G2295" s="3" t="str">
        <f t="shared" si="35"/>
        <v>5</v>
      </c>
      <c r="H2295" s="3" t="s">
        <v>4163</v>
      </c>
      <c r="I2295" s="8">
        <v>6387</v>
      </c>
      <c r="J2295" s="8">
        <v>3828.4</v>
      </c>
      <c r="K2295" s="8">
        <v>6387</v>
      </c>
    </row>
    <row r="2296" spans="1:11" hidden="1" x14ac:dyDescent="0.25">
      <c r="A2296" s="3" t="s">
        <v>4164</v>
      </c>
      <c r="B2296" s="3">
        <v>12</v>
      </c>
      <c r="C2296" s="5">
        <v>330</v>
      </c>
      <c r="D2296" s="6">
        <v>0</v>
      </c>
      <c r="E2296" s="7">
        <v>709831</v>
      </c>
      <c r="F2296" s="3">
        <v>53410</v>
      </c>
      <c r="G2296" s="3" t="str">
        <f t="shared" si="35"/>
        <v>5</v>
      </c>
      <c r="H2296" s="3" t="s">
        <v>4165</v>
      </c>
      <c r="I2296" s="8">
        <v>0</v>
      </c>
      <c r="J2296" s="8">
        <v>4806.58</v>
      </c>
      <c r="K2296" s="8">
        <v>0</v>
      </c>
    </row>
    <row r="2297" spans="1:11" hidden="1" x14ac:dyDescent="0.25">
      <c r="A2297" s="3" t="s">
        <v>4166</v>
      </c>
      <c r="B2297" s="3">
        <v>12</v>
      </c>
      <c r="C2297" s="5">
        <v>330</v>
      </c>
      <c r="D2297" s="6">
        <v>0</v>
      </c>
      <c r="E2297" s="7">
        <v>709831</v>
      </c>
      <c r="F2297" s="3">
        <v>53420</v>
      </c>
      <c r="G2297" s="3" t="str">
        <f t="shared" si="35"/>
        <v>5</v>
      </c>
      <c r="H2297" s="3" t="s">
        <v>4167</v>
      </c>
      <c r="I2297" s="8">
        <v>64419</v>
      </c>
      <c r="J2297" s="8">
        <v>33921.83</v>
      </c>
      <c r="K2297" s="8">
        <v>64419</v>
      </c>
    </row>
    <row r="2298" spans="1:11" hidden="1" x14ac:dyDescent="0.25">
      <c r="A2298" s="3" t="s">
        <v>4168</v>
      </c>
      <c r="B2298" s="3">
        <v>12</v>
      </c>
      <c r="C2298" s="5">
        <v>330</v>
      </c>
      <c r="D2298" s="6">
        <v>0</v>
      </c>
      <c r="E2298" s="7">
        <v>709831</v>
      </c>
      <c r="F2298" s="3">
        <v>53510</v>
      </c>
      <c r="G2298" s="3" t="str">
        <f t="shared" si="35"/>
        <v>5</v>
      </c>
      <c r="H2298" s="3" t="s">
        <v>4169</v>
      </c>
      <c r="I2298" s="8">
        <v>0</v>
      </c>
      <c r="J2298" s="8">
        <v>14.93</v>
      </c>
      <c r="K2298" s="8">
        <v>0</v>
      </c>
    </row>
    <row r="2299" spans="1:11" hidden="1" x14ac:dyDescent="0.25">
      <c r="A2299" s="3" t="s">
        <v>4170</v>
      </c>
      <c r="B2299" s="3">
        <v>12</v>
      </c>
      <c r="C2299" s="5">
        <v>330</v>
      </c>
      <c r="D2299" s="6">
        <v>0</v>
      </c>
      <c r="E2299" s="7">
        <v>709831</v>
      </c>
      <c r="F2299" s="3">
        <v>53520</v>
      </c>
      <c r="G2299" s="3" t="str">
        <f t="shared" si="35"/>
        <v>5</v>
      </c>
      <c r="H2299" s="3" t="s">
        <v>4171</v>
      </c>
      <c r="I2299" s="8">
        <v>230</v>
      </c>
      <c r="J2299" s="8">
        <v>132.13</v>
      </c>
      <c r="K2299" s="8">
        <v>230</v>
      </c>
    </row>
    <row r="2300" spans="1:11" hidden="1" x14ac:dyDescent="0.25">
      <c r="A2300" s="3" t="s">
        <v>4172</v>
      </c>
      <c r="B2300" s="3">
        <v>12</v>
      </c>
      <c r="C2300" s="5">
        <v>330</v>
      </c>
      <c r="D2300" s="6">
        <v>0</v>
      </c>
      <c r="E2300" s="7">
        <v>709831</v>
      </c>
      <c r="F2300" s="3">
        <v>53610</v>
      </c>
      <c r="G2300" s="3" t="str">
        <f t="shared" si="35"/>
        <v>5</v>
      </c>
      <c r="H2300" s="3" t="s">
        <v>4173</v>
      </c>
      <c r="I2300" s="8">
        <v>0</v>
      </c>
      <c r="J2300" s="8">
        <v>567.08000000000004</v>
      </c>
      <c r="K2300" s="8">
        <v>0</v>
      </c>
    </row>
    <row r="2301" spans="1:11" hidden="1" x14ac:dyDescent="0.25">
      <c r="A2301" s="3" t="s">
        <v>4174</v>
      </c>
      <c r="B2301" s="3">
        <v>12</v>
      </c>
      <c r="C2301" s="5">
        <v>330</v>
      </c>
      <c r="D2301" s="6">
        <v>0</v>
      </c>
      <c r="E2301" s="7">
        <v>709831</v>
      </c>
      <c r="F2301" s="3">
        <v>53620</v>
      </c>
      <c r="G2301" s="3" t="str">
        <f t="shared" si="35"/>
        <v>5</v>
      </c>
      <c r="H2301" s="3" t="s">
        <v>4175</v>
      </c>
      <c r="I2301" s="8">
        <v>9286</v>
      </c>
      <c r="J2301" s="8">
        <v>5483.95</v>
      </c>
      <c r="K2301" s="8">
        <v>9286</v>
      </c>
    </row>
    <row r="2302" spans="1:11" hidden="1" x14ac:dyDescent="0.25">
      <c r="A2302" s="3" t="s">
        <v>4176</v>
      </c>
      <c r="B2302" s="3">
        <v>12</v>
      </c>
      <c r="C2302" s="5">
        <v>330</v>
      </c>
      <c r="D2302" s="6">
        <v>0</v>
      </c>
      <c r="E2302" s="7">
        <v>709831</v>
      </c>
      <c r="F2302" s="3">
        <v>53920</v>
      </c>
      <c r="G2302" s="3" t="str">
        <f t="shared" si="35"/>
        <v>5</v>
      </c>
      <c r="H2302" s="3" t="s">
        <v>4177</v>
      </c>
      <c r="I2302" s="8">
        <v>3960</v>
      </c>
      <c r="J2302" s="8">
        <v>1945.48</v>
      </c>
      <c r="K2302" s="8">
        <v>3960</v>
      </c>
    </row>
    <row r="2303" spans="1:11" hidden="1" x14ac:dyDescent="0.25">
      <c r="A2303" s="3" t="s">
        <v>4178</v>
      </c>
      <c r="B2303" s="3">
        <v>12</v>
      </c>
      <c r="C2303" s="5">
        <v>330</v>
      </c>
      <c r="D2303" s="6">
        <v>0</v>
      </c>
      <c r="E2303" s="7">
        <v>709831</v>
      </c>
      <c r="F2303" s="3">
        <v>54210</v>
      </c>
      <c r="G2303" s="3" t="str">
        <f t="shared" si="35"/>
        <v>5</v>
      </c>
      <c r="H2303" s="3" t="s">
        <v>4179</v>
      </c>
      <c r="I2303" s="8">
        <v>0</v>
      </c>
      <c r="J2303" s="8">
        <v>0</v>
      </c>
      <c r="K2303" s="8">
        <v>0</v>
      </c>
    </row>
    <row r="2304" spans="1:11" hidden="1" x14ac:dyDescent="0.25">
      <c r="A2304" s="3" t="s">
        <v>4180</v>
      </c>
      <c r="B2304" s="3">
        <v>12</v>
      </c>
      <c r="C2304" s="5">
        <v>330</v>
      </c>
      <c r="D2304" s="6">
        <v>0</v>
      </c>
      <c r="E2304" s="7">
        <v>709831</v>
      </c>
      <c r="F2304" s="3">
        <v>54300</v>
      </c>
      <c r="G2304" s="3" t="str">
        <f t="shared" si="35"/>
        <v>5</v>
      </c>
      <c r="H2304" s="3" t="s">
        <v>4181</v>
      </c>
      <c r="I2304" s="8">
        <v>5000</v>
      </c>
      <c r="J2304" s="8">
        <v>951.82</v>
      </c>
      <c r="K2304" s="8">
        <v>5000</v>
      </c>
    </row>
    <row r="2305" spans="1:11" hidden="1" x14ac:dyDescent="0.25">
      <c r="A2305" s="3" t="s">
        <v>4182</v>
      </c>
      <c r="B2305" s="3">
        <v>12</v>
      </c>
      <c r="C2305" s="5">
        <v>330</v>
      </c>
      <c r="D2305" s="6">
        <v>0</v>
      </c>
      <c r="E2305" s="7">
        <v>709831</v>
      </c>
      <c r="F2305" s="3">
        <v>55100</v>
      </c>
      <c r="G2305" s="3" t="str">
        <f t="shared" si="35"/>
        <v>5</v>
      </c>
      <c r="H2305" s="3" t="s">
        <v>4183</v>
      </c>
      <c r="I2305" s="8">
        <v>0</v>
      </c>
      <c r="J2305" s="8">
        <v>0</v>
      </c>
      <c r="K2305" s="8">
        <v>0</v>
      </c>
    </row>
    <row r="2306" spans="1:11" hidden="1" x14ac:dyDescent="0.25">
      <c r="A2306" s="3" t="s">
        <v>4184</v>
      </c>
      <c r="B2306" s="3">
        <v>12</v>
      </c>
      <c r="C2306" s="5">
        <v>330</v>
      </c>
      <c r="D2306" s="6">
        <v>0</v>
      </c>
      <c r="E2306" s="7">
        <v>709831</v>
      </c>
      <c r="F2306" s="3">
        <v>55105</v>
      </c>
      <c r="G2306" s="3" t="str">
        <f t="shared" si="35"/>
        <v>5</v>
      </c>
      <c r="H2306" s="3" t="s">
        <v>4185</v>
      </c>
      <c r="I2306" s="8">
        <v>78800</v>
      </c>
      <c r="J2306" s="8">
        <v>25425</v>
      </c>
      <c r="K2306" s="8">
        <v>78800</v>
      </c>
    </row>
    <row r="2307" spans="1:11" hidden="1" x14ac:dyDescent="0.25">
      <c r="A2307" s="3" t="s">
        <v>4186</v>
      </c>
      <c r="B2307" s="3">
        <v>12</v>
      </c>
      <c r="C2307" s="5">
        <v>330</v>
      </c>
      <c r="D2307" s="6">
        <v>0</v>
      </c>
      <c r="E2307" s="7">
        <v>709831</v>
      </c>
      <c r="F2307" s="3">
        <v>55125</v>
      </c>
      <c r="G2307" s="3" t="str">
        <f t="shared" ref="G2307:G2370" si="36">LEFT(F2307,1)</f>
        <v>5</v>
      </c>
      <c r="H2307" s="3" t="s">
        <v>4187</v>
      </c>
      <c r="I2307" s="8">
        <v>60900</v>
      </c>
      <c r="J2307" s="8">
        <v>0</v>
      </c>
      <c r="K2307" s="8">
        <v>60900</v>
      </c>
    </row>
    <row r="2308" spans="1:11" hidden="1" x14ac:dyDescent="0.25">
      <c r="A2308" s="3" t="s">
        <v>4188</v>
      </c>
      <c r="B2308" s="3">
        <v>12</v>
      </c>
      <c r="C2308" s="5">
        <v>330</v>
      </c>
      <c r="D2308" s="6">
        <v>0</v>
      </c>
      <c r="E2308" s="7">
        <v>709831</v>
      </c>
      <c r="F2308" s="3">
        <v>55200</v>
      </c>
      <c r="G2308" s="3" t="str">
        <f t="shared" si="36"/>
        <v>5</v>
      </c>
      <c r="H2308" s="3" t="s">
        <v>4189</v>
      </c>
      <c r="I2308" s="8">
        <v>64945.42</v>
      </c>
      <c r="J2308" s="8">
        <v>1382</v>
      </c>
      <c r="K2308" s="8">
        <v>64945.42</v>
      </c>
    </row>
    <row r="2309" spans="1:11" hidden="1" x14ac:dyDescent="0.25">
      <c r="A2309" s="3" t="s">
        <v>4190</v>
      </c>
      <c r="B2309" s="3">
        <v>12</v>
      </c>
      <c r="C2309" s="5">
        <v>330</v>
      </c>
      <c r="D2309" s="6">
        <v>0</v>
      </c>
      <c r="E2309" s="7">
        <v>709831</v>
      </c>
      <c r="F2309" s="3">
        <v>55309</v>
      </c>
      <c r="G2309" s="3" t="str">
        <f t="shared" si="36"/>
        <v>5</v>
      </c>
      <c r="H2309" s="3" t="s">
        <v>4191</v>
      </c>
      <c r="I2309" s="8">
        <v>18000</v>
      </c>
      <c r="J2309" s="8">
        <v>18500</v>
      </c>
      <c r="K2309" s="8">
        <v>18000</v>
      </c>
    </row>
    <row r="2310" spans="1:11" hidden="1" x14ac:dyDescent="0.25">
      <c r="A2310" s="3" t="s">
        <v>4192</v>
      </c>
      <c r="B2310" s="3">
        <v>12</v>
      </c>
      <c r="C2310" s="5">
        <v>330</v>
      </c>
      <c r="D2310" s="6">
        <v>0</v>
      </c>
      <c r="E2310" s="7">
        <v>709831</v>
      </c>
      <c r="F2310" s="3">
        <v>55630</v>
      </c>
      <c r="G2310" s="3" t="str">
        <f t="shared" si="36"/>
        <v>5</v>
      </c>
      <c r="H2310" s="3" t="s">
        <v>4193</v>
      </c>
      <c r="I2310" s="8">
        <v>545</v>
      </c>
      <c r="J2310" s="8">
        <v>0.38</v>
      </c>
      <c r="K2310" s="8">
        <v>545</v>
      </c>
    </row>
    <row r="2311" spans="1:11" hidden="1" x14ac:dyDescent="0.25">
      <c r="A2311" s="3" t="s">
        <v>4194</v>
      </c>
      <c r="B2311" s="3">
        <v>12</v>
      </c>
      <c r="C2311" s="5">
        <v>330</v>
      </c>
      <c r="D2311" s="6">
        <v>0</v>
      </c>
      <c r="E2311" s="7">
        <v>709831</v>
      </c>
      <c r="F2311" s="3">
        <v>55635</v>
      </c>
      <c r="G2311" s="3" t="str">
        <f t="shared" si="36"/>
        <v>5</v>
      </c>
      <c r="H2311" s="3" t="s">
        <v>4195</v>
      </c>
      <c r="I2311" s="8">
        <v>368</v>
      </c>
      <c r="J2311" s="8">
        <v>0</v>
      </c>
      <c r="K2311" s="8">
        <v>368</v>
      </c>
    </row>
    <row r="2312" spans="1:11" hidden="1" x14ac:dyDescent="0.25">
      <c r="A2312" s="3" t="s">
        <v>4196</v>
      </c>
      <c r="B2312" s="3">
        <v>12</v>
      </c>
      <c r="C2312" s="5">
        <v>330</v>
      </c>
      <c r="D2312" s="6">
        <v>0</v>
      </c>
      <c r="E2312" s="7">
        <v>709831</v>
      </c>
      <c r="F2312" s="3">
        <v>56200</v>
      </c>
      <c r="G2312" s="3" t="str">
        <f t="shared" si="36"/>
        <v>5</v>
      </c>
      <c r="H2312" s="3" t="s">
        <v>4197</v>
      </c>
      <c r="I2312" s="8">
        <v>133399</v>
      </c>
      <c r="J2312" s="8">
        <v>0</v>
      </c>
      <c r="K2312" s="8">
        <v>133399</v>
      </c>
    </row>
    <row r="2313" spans="1:11" hidden="1" x14ac:dyDescent="0.25">
      <c r="A2313" s="3" t="s">
        <v>4198</v>
      </c>
      <c r="B2313" s="3">
        <v>12</v>
      </c>
      <c r="C2313" s="5">
        <v>330</v>
      </c>
      <c r="D2313" s="6">
        <v>0</v>
      </c>
      <c r="E2313" s="7">
        <v>709831</v>
      </c>
      <c r="F2313" s="3">
        <v>56300</v>
      </c>
      <c r="G2313" s="3" t="str">
        <f t="shared" si="36"/>
        <v>5</v>
      </c>
      <c r="H2313" s="3" t="s">
        <v>4199</v>
      </c>
      <c r="I2313" s="8">
        <v>5000</v>
      </c>
      <c r="J2313" s="8">
        <v>0</v>
      </c>
      <c r="K2313" s="8">
        <v>5000</v>
      </c>
    </row>
    <row r="2314" spans="1:11" hidden="1" x14ac:dyDescent="0.25">
      <c r="A2314" s="3" t="s">
        <v>4200</v>
      </c>
      <c r="B2314" s="3">
        <v>12</v>
      </c>
      <c r="C2314" s="5">
        <v>330</v>
      </c>
      <c r="D2314" s="6">
        <v>0</v>
      </c>
      <c r="E2314" s="7">
        <v>709831</v>
      </c>
      <c r="F2314" s="3">
        <v>56400</v>
      </c>
      <c r="G2314" s="3" t="str">
        <f t="shared" si="36"/>
        <v>5</v>
      </c>
      <c r="H2314" s="3" t="s">
        <v>4201</v>
      </c>
      <c r="I2314" s="8">
        <v>56329</v>
      </c>
      <c r="J2314" s="8">
        <v>0</v>
      </c>
      <c r="K2314" s="8">
        <v>56329</v>
      </c>
    </row>
    <row r="2315" spans="1:11" hidden="1" x14ac:dyDescent="0.25">
      <c r="A2315" s="3" t="s">
        <v>4202</v>
      </c>
      <c r="B2315" s="3">
        <v>12</v>
      </c>
      <c r="C2315" s="5">
        <v>330</v>
      </c>
      <c r="D2315" s="6">
        <v>0</v>
      </c>
      <c r="E2315" s="7">
        <v>709831</v>
      </c>
      <c r="F2315" s="3">
        <v>57510</v>
      </c>
      <c r="G2315" s="3" t="str">
        <f t="shared" si="36"/>
        <v>5</v>
      </c>
      <c r="H2315" s="3" t="s">
        <v>4203</v>
      </c>
      <c r="I2315" s="8">
        <v>248510</v>
      </c>
      <c r="J2315" s="8">
        <v>158750</v>
      </c>
      <c r="K2315" s="8">
        <v>248510</v>
      </c>
    </row>
    <row r="2316" spans="1:11" hidden="1" x14ac:dyDescent="0.25">
      <c r="A2316" s="3" t="s">
        <v>4204</v>
      </c>
      <c r="B2316" s="3">
        <v>12</v>
      </c>
      <c r="C2316" s="5">
        <v>330</v>
      </c>
      <c r="D2316" s="6">
        <v>0</v>
      </c>
      <c r="E2316" s="7">
        <v>760022</v>
      </c>
      <c r="F2316" s="3">
        <v>48890</v>
      </c>
      <c r="G2316" s="3" t="str">
        <f t="shared" si="36"/>
        <v>4</v>
      </c>
      <c r="H2316" s="3" t="s">
        <v>4205</v>
      </c>
      <c r="I2316" s="8">
        <v>-94028.4</v>
      </c>
      <c r="J2316" s="8">
        <v>-1462.1</v>
      </c>
      <c r="K2316" s="8">
        <v>-94028.4</v>
      </c>
    </row>
    <row r="2317" spans="1:11" hidden="1" x14ac:dyDescent="0.25">
      <c r="A2317" s="3" t="s">
        <v>4206</v>
      </c>
      <c r="B2317" s="3">
        <v>12</v>
      </c>
      <c r="C2317" s="5">
        <v>330</v>
      </c>
      <c r="D2317" s="6">
        <v>0</v>
      </c>
      <c r="E2317" s="7">
        <v>760022</v>
      </c>
      <c r="F2317" s="3">
        <v>54300</v>
      </c>
      <c r="G2317" s="3" t="str">
        <f t="shared" si="36"/>
        <v>5</v>
      </c>
      <c r="H2317" s="3" t="s">
        <v>4207</v>
      </c>
      <c r="I2317" s="8">
        <v>1694.5</v>
      </c>
      <c r="J2317" s="8">
        <v>0</v>
      </c>
      <c r="K2317" s="8">
        <v>1694.5</v>
      </c>
    </row>
    <row r="2318" spans="1:11" hidden="1" x14ac:dyDescent="0.25">
      <c r="A2318" s="3" t="s">
        <v>4208</v>
      </c>
      <c r="B2318" s="3">
        <v>12</v>
      </c>
      <c r="C2318" s="5">
        <v>330</v>
      </c>
      <c r="D2318" s="6">
        <v>0</v>
      </c>
      <c r="E2318" s="7">
        <v>760022</v>
      </c>
      <c r="F2318" s="3">
        <v>56400</v>
      </c>
      <c r="G2318" s="3" t="str">
        <f t="shared" si="36"/>
        <v>5</v>
      </c>
      <c r="H2318" s="3" t="s">
        <v>4209</v>
      </c>
      <c r="I2318" s="8">
        <v>92333.9</v>
      </c>
      <c r="J2318" s="8">
        <v>1462.1</v>
      </c>
      <c r="K2318" s="8">
        <v>92333.9</v>
      </c>
    </row>
    <row r="2319" spans="1:11" hidden="1" x14ac:dyDescent="0.25">
      <c r="A2319" s="3" t="s">
        <v>4210</v>
      </c>
      <c r="B2319" s="3">
        <v>12</v>
      </c>
      <c r="C2319" s="5">
        <v>330</v>
      </c>
      <c r="D2319" s="6">
        <v>0</v>
      </c>
      <c r="E2319" s="7">
        <v>760028</v>
      </c>
      <c r="F2319" s="3">
        <v>48890</v>
      </c>
      <c r="G2319" s="3" t="str">
        <f t="shared" si="36"/>
        <v>4</v>
      </c>
      <c r="H2319" s="3" t="s">
        <v>4211</v>
      </c>
      <c r="I2319" s="8">
        <v>-5535.02</v>
      </c>
      <c r="J2319" s="8">
        <v>-2396.14</v>
      </c>
      <c r="K2319" s="8">
        <v>-5535.02</v>
      </c>
    </row>
    <row r="2320" spans="1:11" hidden="1" x14ac:dyDescent="0.25">
      <c r="A2320" s="3" t="s">
        <v>4212</v>
      </c>
      <c r="B2320" s="3">
        <v>12</v>
      </c>
      <c r="C2320" s="5">
        <v>330</v>
      </c>
      <c r="D2320" s="6">
        <v>0</v>
      </c>
      <c r="E2320" s="7">
        <v>760028</v>
      </c>
      <c r="F2320" s="3">
        <v>56400</v>
      </c>
      <c r="G2320" s="3" t="str">
        <f t="shared" si="36"/>
        <v>5</v>
      </c>
      <c r="H2320" s="3" t="s">
        <v>4213</v>
      </c>
      <c r="I2320" s="8">
        <v>5535.02</v>
      </c>
      <c r="J2320" s="8">
        <v>2396.14</v>
      </c>
      <c r="K2320" s="8">
        <v>5535.02</v>
      </c>
    </row>
    <row r="2321" spans="1:11" hidden="1" x14ac:dyDescent="0.25">
      <c r="A2321" s="3" t="s">
        <v>4214</v>
      </c>
      <c r="B2321" s="3">
        <v>12</v>
      </c>
      <c r="C2321" s="5">
        <v>335</v>
      </c>
      <c r="D2321" s="6">
        <v>0</v>
      </c>
      <c r="E2321" s="7">
        <v>601030</v>
      </c>
      <c r="F2321" s="3">
        <v>48890</v>
      </c>
      <c r="G2321" s="3" t="str">
        <f t="shared" si="36"/>
        <v>4</v>
      </c>
      <c r="H2321" s="3" t="s">
        <v>4215</v>
      </c>
      <c r="I2321" s="8">
        <v>-21399.17</v>
      </c>
      <c r="J2321" s="8">
        <v>-31399.17</v>
      </c>
      <c r="K2321" s="8">
        <v>-21399.17</v>
      </c>
    </row>
    <row r="2322" spans="1:11" hidden="1" x14ac:dyDescent="0.25">
      <c r="A2322" s="3" t="s">
        <v>4216</v>
      </c>
      <c r="B2322" s="3">
        <v>12</v>
      </c>
      <c r="C2322" s="5">
        <v>335</v>
      </c>
      <c r="D2322" s="6">
        <v>0</v>
      </c>
      <c r="E2322" s="7">
        <v>601030</v>
      </c>
      <c r="F2322" s="3">
        <v>51210</v>
      </c>
      <c r="G2322" s="3" t="str">
        <f t="shared" si="36"/>
        <v>5</v>
      </c>
      <c r="H2322" s="3" t="s">
        <v>4217</v>
      </c>
      <c r="I2322" s="8">
        <v>7330</v>
      </c>
      <c r="J2322" s="8">
        <v>3814.96</v>
      </c>
      <c r="K2322" s="8">
        <v>7330</v>
      </c>
    </row>
    <row r="2323" spans="1:11" hidden="1" x14ac:dyDescent="0.25">
      <c r="A2323" s="3" t="s">
        <v>4218</v>
      </c>
      <c r="B2323" s="3">
        <v>12</v>
      </c>
      <c r="C2323" s="5">
        <v>335</v>
      </c>
      <c r="D2323" s="6">
        <v>0</v>
      </c>
      <c r="E2323" s="7">
        <v>601030</v>
      </c>
      <c r="F2323" s="3">
        <v>52105</v>
      </c>
      <c r="G2323" s="3" t="str">
        <f t="shared" si="36"/>
        <v>5</v>
      </c>
      <c r="H2323" s="3" t="s">
        <v>4219</v>
      </c>
      <c r="I2323" s="8">
        <v>3200</v>
      </c>
      <c r="J2323" s="8">
        <v>1849.22</v>
      </c>
      <c r="K2323" s="8">
        <v>3200</v>
      </c>
    </row>
    <row r="2324" spans="1:11" hidden="1" x14ac:dyDescent="0.25">
      <c r="A2324" s="3" t="s">
        <v>4220</v>
      </c>
      <c r="B2324" s="3">
        <v>12</v>
      </c>
      <c r="C2324" s="5">
        <v>335</v>
      </c>
      <c r="D2324" s="6">
        <v>0</v>
      </c>
      <c r="E2324" s="7">
        <v>601030</v>
      </c>
      <c r="F2324" s="3">
        <v>52360</v>
      </c>
      <c r="G2324" s="3" t="str">
        <f t="shared" si="36"/>
        <v>5</v>
      </c>
      <c r="H2324" s="3" t="s">
        <v>4221</v>
      </c>
      <c r="I2324" s="8">
        <v>1609</v>
      </c>
      <c r="J2324" s="8">
        <v>90</v>
      </c>
      <c r="K2324" s="8">
        <v>1609</v>
      </c>
    </row>
    <row r="2325" spans="1:11" hidden="1" x14ac:dyDescent="0.25">
      <c r="A2325" s="3" t="s">
        <v>4222</v>
      </c>
      <c r="B2325" s="3">
        <v>12</v>
      </c>
      <c r="C2325" s="5">
        <v>335</v>
      </c>
      <c r="D2325" s="6">
        <v>0</v>
      </c>
      <c r="E2325" s="7">
        <v>601030</v>
      </c>
      <c r="F2325" s="3">
        <v>52400</v>
      </c>
      <c r="G2325" s="3" t="str">
        <f t="shared" si="36"/>
        <v>5</v>
      </c>
      <c r="H2325" s="3" t="s">
        <v>4223</v>
      </c>
      <c r="I2325" s="8">
        <v>0</v>
      </c>
      <c r="J2325" s="8">
        <v>0</v>
      </c>
      <c r="K2325" s="8">
        <v>0</v>
      </c>
    </row>
    <row r="2326" spans="1:11" hidden="1" x14ac:dyDescent="0.25">
      <c r="A2326" s="3" t="s">
        <v>4224</v>
      </c>
      <c r="B2326" s="3">
        <v>12</v>
      </c>
      <c r="C2326" s="5">
        <v>335</v>
      </c>
      <c r="D2326" s="6">
        <v>0</v>
      </c>
      <c r="E2326" s="7">
        <v>601030</v>
      </c>
      <c r="F2326" s="3">
        <v>53000</v>
      </c>
      <c r="G2326" s="3" t="str">
        <f t="shared" si="36"/>
        <v>5</v>
      </c>
      <c r="H2326" s="3" t="s">
        <v>4225</v>
      </c>
      <c r="I2326" s="8">
        <v>5193.63</v>
      </c>
      <c r="J2326" s="8">
        <v>0</v>
      </c>
      <c r="K2326" s="8">
        <v>5193.63</v>
      </c>
    </row>
    <row r="2327" spans="1:11" hidden="1" x14ac:dyDescent="0.25">
      <c r="A2327" s="3" t="s">
        <v>4226</v>
      </c>
      <c r="B2327" s="3">
        <v>12</v>
      </c>
      <c r="C2327" s="5">
        <v>335</v>
      </c>
      <c r="D2327" s="6">
        <v>0</v>
      </c>
      <c r="E2327" s="7">
        <v>601030</v>
      </c>
      <c r="F2327" s="3">
        <v>53120</v>
      </c>
      <c r="G2327" s="3" t="str">
        <f t="shared" si="36"/>
        <v>5</v>
      </c>
      <c r="H2327" s="3" t="s">
        <v>4227</v>
      </c>
      <c r="I2327" s="8">
        <v>0</v>
      </c>
      <c r="J2327" s="8">
        <v>615.19000000000005</v>
      </c>
      <c r="K2327" s="8">
        <v>0</v>
      </c>
    </row>
    <row r="2328" spans="1:11" hidden="1" x14ac:dyDescent="0.25">
      <c r="A2328" s="3" t="s">
        <v>4228</v>
      </c>
      <c r="B2328" s="3">
        <v>12</v>
      </c>
      <c r="C2328" s="5">
        <v>335</v>
      </c>
      <c r="D2328" s="6">
        <v>0</v>
      </c>
      <c r="E2328" s="7">
        <v>601030</v>
      </c>
      <c r="F2328" s="3">
        <v>53220</v>
      </c>
      <c r="G2328" s="3" t="str">
        <f t="shared" si="36"/>
        <v>5</v>
      </c>
      <c r="H2328" s="3" t="s">
        <v>4229</v>
      </c>
      <c r="I2328" s="8">
        <v>0</v>
      </c>
      <c r="J2328" s="8">
        <v>382.79</v>
      </c>
      <c r="K2328" s="8">
        <v>0</v>
      </c>
    </row>
    <row r="2329" spans="1:11" hidden="1" x14ac:dyDescent="0.25">
      <c r="A2329" s="3" t="s">
        <v>4230</v>
      </c>
      <c r="B2329" s="3">
        <v>12</v>
      </c>
      <c r="C2329" s="5">
        <v>335</v>
      </c>
      <c r="D2329" s="6">
        <v>0</v>
      </c>
      <c r="E2329" s="7">
        <v>601030</v>
      </c>
      <c r="F2329" s="3">
        <v>53310</v>
      </c>
      <c r="G2329" s="3" t="str">
        <f t="shared" si="36"/>
        <v>5</v>
      </c>
      <c r="H2329" s="3" t="s">
        <v>4231</v>
      </c>
      <c r="I2329" s="8">
        <v>0</v>
      </c>
      <c r="J2329" s="8">
        <v>0</v>
      </c>
      <c r="K2329" s="8">
        <v>0</v>
      </c>
    </row>
    <row r="2330" spans="1:11" hidden="1" x14ac:dyDescent="0.25">
      <c r="A2330" s="3" t="s">
        <v>4232</v>
      </c>
      <c r="B2330" s="3">
        <v>12</v>
      </c>
      <c r="C2330" s="5">
        <v>335</v>
      </c>
      <c r="D2330" s="6">
        <v>0</v>
      </c>
      <c r="E2330" s="7">
        <v>601030</v>
      </c>
      <c r="F2330" s="3">
        <v>53320</v>
      </c>
      <c r="G2330" s="3" t="str">
        <f t="shared" si="36"/>
        <v>5</v>
      </c>
      <c r="H2330" s="3" t="s">
        <v>4233</v>
      </c>
      <c r="I2330" s="8">
        <v>0</v>
      </c>
      <c r="J2330" s="8">
        <v>118.67</v>
      </c>
      <c r="K2330" s="8">
        <v>0</v>
      </c>
    </row>
    <row r="2331" spans="1:11" hidden="1" x14ac:dyDescent="0.25">
      <c r="A2331" s="3" t="s">
        <v>4234</v>
      </c>
      <c r="B2331" s="3">
        <v>12</v>
      </c>
      <c r="C2331" s="5">
        <v>335</v>
      </c>
      <c r="D2331" s="6">
        <v>0</v>
      </c>
      <c r="E2331" s="7">
        <v>601030</v>
      </c>
      <c r="F2331" s="3">
        <v>53330</v>
      </c>
      <c r="G2331" s="3" t="str">
        <f t="shared" si="36"/>
        <v>5</v>
      </c>
      <c r="H2331" s="3" t="s">
        <v>4235</v>
      </c>
      <c r="I2331" s="8">
        <v>0</v>
      </c>
      <c r="J2331" s="8">
        <v>0</v>
      </c>
      <c r="K2331" s="8">
        <v>0</v>
      </c>
    </row>
    <row r="2332" spans="1:11" hidden="1" x14ac:dyDescent="0.25">
      <c r="A2332" s="3" t="s">
        <v>4236</v>
      </c>
      <c r="B2332" s="3">
        <v>12</v>
      </c>
      <c r="C2332" s="5">
        <v>335</v>
      </c>
      <c r="D2332" s="6">
        <v>0</v>
      </c>
      <c r="E2332" s="7">
        <v>601030</v>
      </c>
      <c r="F2332" s="3">
        <v>53340</v>
      </c>
      <c r="G2332" s="3" t="str">
        <f t="shared" si="36"/>
        <v>5</v>
      </c>
      <c r="H2332" s="3" t="s">
        <v>4237</v>
      </c>
      <c r="I2332" s="8">
        <v>0</v>
      </c>
      <c r="J2332" s="8">
        <v>83.07</v>
      </c>
      <c r="K2332" s="8">
        <v>0</v>
      </c>
    </row>
    <row r="2333" spans="1:11" hidden="1" x14ac:dyDescent="0.25">
      <c r="A2333" s="3" t="s">
        <v>4238</v>
      </c>
      <c r="B2333" s="3">
        <v>12</v>
      </c>
      <c r="C2333" s="5">
        <v>335</v>
      </c>
      <c r="D2333" s="6">
        <v>0</v>
      </c>
      <c r="E2333" s="7">
        <v>601030</v>
      </c>
      <c r="F2333" s="3">
        <v>53420</v>
      </c>
      <c r="G2333" s="3" t="str">
        <f t="shared" si="36"/>
        <v>5</v>
      </c>
      <c r="H2333" s="3" t="s">
        <v>4239</v>
      </c>
      <c r="I2333" s="8">
        <v>0</v>
      </c>
      <c r="J2333" s="8">
        <v>946.44</v>
      </c>
      <c r="K2333" s="8">
        <v>0</v>
      </c>
    </row>
    <row r="2334" spans="1:11" hidden="1" x14ac:dyDescent="0.25">
      <c r="A2334" s="3" t="s">
        <v>4240</v>
      </c>
      <c r="B2334" s="3">
        <v>12</v>
      </c>
      <c r="C2334" s="5">
        <v>335</v>
      </c>
      <c r="D2334" s="6">
        <v>0</v>
      </c>
      <c r="E2334" s="7">
        <v>601030</v>
      </c>
      <c r="F2334" s="3">
        <v>53510</v>
      </c>
      <c r="G2334" s="3" t="str">
        <f t="shared" si="36"/>
        <v>5</v>
      </c>
      <c r="H2334" s="3" t="s">
        <v>4241</v>
      </c>
      <c r="I2334" s="8">
        <v>0</v>
      </c>
      <c r="J2334" s="8">
        <v>0</v>
      </c>
      <c r="K2334" s="8">
        <v>0</v>
      </c>
    </row>
    <row r="2335" spans="1:11" hidden="1" x14ac:dyDescent="0.25">
      <c r="A2335" s="3" t="s">
        <v>4242</v>
      </c>
      <c r="B2335" s="3">
        <v>12</v>
      </c>
      <c r="C2335" s="5">
        <v>335</v>
      </c>
      <c r="D2335" s="6">
        <v>0</v>
      </c>
      <c r="E2335" s="7">
        <v>601030</v>
      </c>
      <c r="F2335" s="3">
        <v>53520</v>
      </c>
      <c r="G2335" s="3" t="str">
        <f t="shared" si="36"/>
        <v>5</v>
      </c>
      <c r="H2335" s="3" t="s">
        <v>4243</v>
      </c>
      <c r="I2335" s="8">
        <v>0</v>
      </c>
      <c r="J2335" s="8">
        <v>2.89</v>
      </c>
      <c r="K2335" s="8">
        <v>0</v>
      </c>
    </row>
    <row r="2336" spans="1:11" hidden="1" x14ac:dyDescent="0.25">
      <c r="A2336" s="3" t="s">
        <v>4244</v>
      </c>
      <c r="B2336" s="3">
        <v>12</v>
      </c>
      <c r="C2336" s="5">
        <v>335</v>
      </c>
      <c r="D2336" s="6">
        <v>0</v>
      </c>
      <c r="E2336" s="7">
        <v>601030</v>
      </c>
      <c r="F2336" s="3">
        <v>53610</v>
      </c>
      <c r="G2336" s="3" t="str">
        <f t="shared" si="36"/>
        <v>5</v>
      </c>
      <c r="H2336" s="3" t="s">
        <v>4245</v>
      </c>
      <c r="I2336" s="8">
        <v>0</v>
      </c>
      <c r="J2336" s="8">
        <v>0</v>
      </c>
      <c r="K2336" s="8">
        <v>0</v>
      </c>
    </row>
    <row r="2337" spans="1:11" hidden="1" x14ac:dyDescent="0.25">
      <c r="A2337" s="3" t="s">
        <v>4246</v>
      </c>
      <c r="B2337" s="3">
        <v>12</v>
      </c>
      <c r="C2337" s="5">
        <v>335</v>
      </c>
      <c r="D2337" s="6">
        <v>0</v>
      </c>
      <c r="E2337" s="7">
        <v>601030</v>
      </c>
      <c r="F2337" s="3">
        <v>53620</v>
      </c>
      <c r="G2337" s="3" t="str">
        <f t="shared" si="36"/>
        <v>5</v>
      </c>
      <c r="H2337" s="3" t="s">
        <v>4247</v>
      </c>
      <c r="I2337" s="8">
        <v>0</v>
      </c>
      <c r="J2337" s="8">
        <v>108.79</v>
      </c>
      <c r="K2337" s="8">
        <v>0</v>
      </c>
    </row>
    <row r="2338" spans="1:11" hidden="1" x14ac:dyDescent="0.25">
      <c r="A2338" s="3" t="s">
        <v>4248</v>
      </c>
      <c r="B2338" s="3">
        <v>12</v>
      </c>
      <c r="C2338" s="5">
        <v>335</v>
      </c>
      <c r="D2338" s="6">
        <v>0</v>
      </c>
      <c r="E2338" s="7">
        <v>601030</v>
      </c>
      <c r="F2338" s="3">
        <v>53920</v>
      </c>
      <c r="G2338" s="3" t="str">
        <f t="shared" si="36"/>
        <v>5</v>
      </c>
      <c r="H2338" s="3" t="s">
        <v>4249</v>
      </c>
      <c r="I2338" s="8">
        <v>0</v>
      </c>
      <c r="J2338" s="8">
        <v>61.49</v>
      </c>
      <c r="K2338" s="8">
        <v>0</v>
      </c>
    </row>
    <row r="2339" spans="1:11" hidden="1" x14ac:dyDescent="0.25">
      <c r="A2339" s="3" t="s">
        <v>4250</v>
      </c>
      <c r="B2339" s="3">
        <v>12</v>
      </c>
      <c r="C2339" s="5">
        <v>335</v>
      </c>
      <c r="D2339" s="6">
        <v>0</v>
      </c>
      <c r="E2339" s="7">
        <v>601030</v>
      </c>
      <c r="F2339" s="3">
        <v>54300</v>
      </c>
      <c r="G2339" s="3" t="str">
        <f t="shared" si="36"/>
        <v>5</v>
      </c>
      <c r="H2339" s="3" t="s">
        <v>4251</v>
      </c>
      <c r="I2339" s="8">
        <v>1275.3800000000001</v>
      </c>
      <c r="J2339" s="8">
        <v>829.08</v>
      </c>
      <c r="K2339" s="8">
        <v>1275.3800000000001</v>
      </c>
    </row>
    <row r="2340" spans="1:11" hidden="1" x14ac:dyDescent="0.25">
      <c r="A2340" s="3" t="s">
        <v>4252</v>
      </c>
      <c r="B2340" s="3">
        <v>12</v>
      </c>
      <c r="C2340" s="5">
        <v>335</v>
      </c>
      <c r="D2340" s="6">
        <v>0</v>
      </c>
      <c r="E2340" s="7">
        <v>601030</v>
      </c>
      <c r="F2340" s="3">
        <v>57350</v>
      </c>
      <c r="G2340" s="3" t="str">
        <f t="shared" si="36"/>
        <v>5</v>
      </c>
      <c r="H2340" s="3" t="s">
        <v>4253</v>
      </c>
      <c r="I2340" s="8">
        <v>2791.16</v>
      </c>
      <c r="J2340" s="8">
        <v>1335.74</v>
      </c>
      <c r="K2340" s="8">
        <v>2791.16</v>
      </c>
    </row>
    <row r="2341" spans="1:11" hidden="1" x14ac:dyDescent="0.25">
      <c r="A2341" s="3" t="s">
        <v>4254</v>
      </c>
      <c r="B2341" s="3">
        <v>12</v>
      </c>
      <c r="C2341" s="5">
        <v>335</v>
      </c>
      <c r="D2341" s="6">
        <v>0</v>
      </c>
      <c r="E2341" s="7">
        <v>601031</v>
      </c>
      <c r="F2341" s="3">
        <v>48690</v>
      </c>
      <c r="G2341" s="3" t="str">
        <f t="shared" si="36"/>
        <v>4</v>
      </c>
      <c r="H2341" s="3" t="s">
        <v>4255</v>
      </c>
      <c r="I2341" s="8">
        <v>-60000</v>
      </c>
      <c r="J2341" s="8">
        <v>-7500</v>
      </c>
      <c r="K2341" s="8">
        <v>-60000</v>
      </c>
    </row>
    <row r="2342" spans="1:11" hidden="1" x14ac:dyDescent="0.25">
      <c r="A2342" s="3" t="s">
        <v>4256</v>
      </c>
      <c r="B2342" s="3">
        <v>12</v>
      </c>
      <c r="C2342" s="5">
        <v>335</v>
      </c>
      <c r="D2342" s="6">
        <v>0</v>
      </c>
      <c r="E2342" s="7">
        <v>601031</v>
      </c>
      <c r="F2342" s="3">
        <v>52350</v>
      </c>
      <c r="G2342" s="3" t="str">
        <f t="shared" si="36"/>
        <v>5</v>
      </c>
      <c r="H2342" s="3" t="s">
        <v>4257</v>
      </c>
      <c r="I2342" s="8">
        <v>40386</v>
      </c>
      <c r="J2342" s="8">
        <v>0</v>
      </c>
      <c r="K2342" s="8">
        <v>40386</v>
      </c>
    </row>
    <row r="2343" spans="1:11" hidden="1" x14ac:dyDescent="0.25">
      <c r="A2343" s="3" t="s">
        <v>4258</v>
      </c>
      <c r="B2343" s="3">
        <v>12</v>
      </c>
      <c r="C2343" s="5">
        <v>335</v>
      </c>
      <c r="D2343" s="6">
        <v>0</v>
      </c>
      <c r="E2343" s="7">
        <v>601031</v>
      </c>
      <c r="F2343" s="3">
        <v>52360</v>
      </c>
      <c r="G2343" s="3" t="str">
        <f t="shared" si="36"/>
        <v>5</v>
      </c>
      <c r="H2343" s="3" t="s">
        <v>4259</v>
      </c>
      <c r="I2343" s="8">
        <v>18500</v>
      </c>
      <c r="J2343" s="8">
        <v>1272.96</v>
      </c>
      <c r="K2343" s="8">
        <v>18500</v>
      </c>
    </row>
    <row r="2344" spans="1:11" hidden="1" x14ac:dyDescent="0.25">
      <c r="A2344" s="3" t="s">
        <v>4260</v>
      </c>
      <c r="B2344" s="3">
        <v>12</v>
      </c>
      <c r="C2344" s="5">
        <v>335</v>
      </c>
      <c r="D2344" s="6">
        <v>0</v>
      </c>
      <c r="E2344" s="7">
        <v>601031</v>
      </c>
      <c r="F2344" s="3">
        <v>53220</v>
      </c>
      <c r="G2344" s="3" t="str">
        <f t="shared" si="36"/>
        <v>5</v>
      </c>
      <c r="H2344" s="3" t="s">
        <v>4261</v>
      </c>
      <c r="I2344" s="8">
        <v>0</v>
      </c>
      <c r="J2344" s="8">
        <v>263.5</v>
      </c>
      <c r="K2344" s="8">
        <v>0</v>
      </c>
    </row>
    <row r="2345" spans="1:11" hidden="1" x14ac:dyDescent="0.25">
      <c r="A2345" s="3" t="s">
        <v>4262</v>
      </c>
      <c r="B2345" s="3">
        <v>12</v>
      </c>
      <c r="C2345" s="5">
        <v>335</v>
      </c>
      <c r="D2345" s="6">
        <v>0</v>
      </c>
      <c r="E2345" s="7">
        <v>601031</v>
      </c>
      <c r="F2345" s="3">
        <v>53320</v>
      </c>
      <c r="G2345" s="3" t="str">
        <f t="shared" si="36"/>
        <v>5</v>
      </c>
      <c r="H2345" s="3" t="s">
        <v>4263</v>
      </c>
      <c r="I2345" s="8">
        <v>0</v>
      </c>
      <c r="J2345" s="8">
        <v>78.92</v>
      </c>
      <c r="K2345" s="8">
        <v>0</v>
      </c>
    </row>
    <row r="2346" spans="1:11" hidden="1" x14ac:dyDescent="0.25">
      <c r="A2346" s="3" t="s">
        <v>4264</v>
      </c>
      <c r="B2346" s="3">
        <v>12</v>
      </c>
      <c r="C2346" s="5">
        <v>335</v>
      </c>
      <c r="D2346" s="6">
        <v>0</v>
      </c>
      <c r="E2346" s="7">
        <v>601031</v>
      </c>
      <c r="F2346" s="3">
        <v>53340</v>
      </c>
      <c r="G2346" s="3" t="str">
        <f t="shared" si="36"/>
        <v>5</v>
      </c>
      <c r="H2346" s="3" t="s">
        <v>4265</v>
      </c>
      <c r="I2346" s="8">
        <v>0</v>
      </c>
      <c r="J2346" s="8">
        <v>18.46</v>
      </c>
      <c r="K2346" s="8">
        <v>0</v>
      </c>
    </row>
    <row r="2347" spans="1:11" hidden="1" x14ac:dyDescent="0.25">
      <c r="A2347" s="3" t="s">
        <v>4266</v>
      </c>
      <c r="B2347" s="3">
        <v>12</v>
      </c>
      <c r="C2347" s="5">
        <v>335</v>
      </c>
      <c r="D2347" s="6">
        <v>0</v>
      </c>
      <c r="E2347" s="7">
        <v>601031</v>
      </c>
      <c r="F2347" s="3">
        <v>53520</v>
      </c>
      <c r="G2347" s="3" t="str">
        <f t="shared" si="36"/>
        <v>5</v>
      </c>
      <c r="H2347" s="3" t="s">
        <v>4267</v>
      </c>
      <c r="I2347" s="8">
        <v>0</v>
      </c>
      <c r="J2347" s="8">
        <v>0.64</v>
      </c>
      <c r="K2347" s="8">
        <v>0</v>
      </c>
    </row>
    <row r="2348" spans="1:11" hidden="1" x14ac:dyDescent="0.25">
      <c r="A2348" s="3" t="s">
        <v>4268</v>
      </c>
      <c r="B2348" s="3">
        <v>12</v>
      </c>
      <c r="C2348" s="5">
        <v>335</v>
      </c>
      <c r="D2348" s="6">
        <v>0</v>
      </c>
      <c r="E2348" s="7">
        <v>601031</v>
      </c>
      <c r="F2348" s="3">
        <v>53620</v>
      </c>
      <c r="G2348" s="3" t="str">
        <f t="shared" si="36"/>
        <v>5</v>
      </c>
      <c r="H2348" s="3" t="s">
        <v>4269</v>
      </c>
      <c r="I2348" s="8">
        <v>1114</v>
      </c>
      <c r="J2348" s="8">
        <v>24.07</v>
      </c>
      <c r="K2348" s="8">
        <v>1114</v>
      </c>
    </row>
    <row r="2349" spans="1:11" hidden="1" x14ac:dyDescent="0.25">
      <c r="A2349" s="3" t="s">
        <v>4270</v>
      </c>
      <c r="B2349" s="3">
        <v>12</v>
      </c>
      <c r="C2349" s="5">
        <v>335</v>
      </c>
      <c r="D2349" s="6">
        <v>0</v>
      </c>
      <c r="E2349" s="7">
        <v>679000</v>
      </c>
      <c r="F2349" s="3">
        <v>54300</v>
      </c>
      <c r="G2349" s="3" t="str">
        <f t="shared" si="36"/>
        <v>5</v>
      </c>
      <c r="H2349" s="3" t="s">
        <v>3578</v>
      </c>
      <c r="I2349" s="8">
        <v>17343</v>
      </c>
      <c r="J2349" s="8">
        <v>7767.74</v>
      </c>
      <c r="K2349" s="8">
        <v>17343</v>
      </c>
    </row>
    <row r="2350" spans="1:11" hidden="1" x14ac:dyDescent="0.25">
      <c r="A2350" s="3" t="s">
        <v>4271</v>
      </c>
      <c r="B2350" s="3">
        <v>12</v>
      </c>
      <c r="C2350" s="5">
        <v>335</v>
      </c>
      <c r="D2350" s="6">
        <v>0</v>
      </c>
      <c r="E2350" s="7">
        <v>679000</v>
      </c>
      <c r="F2350" s="3">
        <v>56400</v>
      </c>
      <c r="G2350" s="3" t="str">
        <f t="shared" si="36"/>
        <v>5</v>
      </c>
      <c r="H2350" s="3" t="s">
        <v>3556</v>
      </c>
      <c r="I2350" s="8">
        <v>800</v>
      </c>
      <c r="J2350" s="8">
        <v>712.88</v>
      </c>
      <c r="K2350" s="8">
        <v>800</v>
      </c>
    </row>
    <row r="2351" spans="1:11" hidden="1" x14ac:dyDescent="0.25">
      <c r="A2351" s="3" t="s">
        <v>4272</v>
      </c>
      <c r="B2351" s="3">
        <v>12</v>
      </c>
      <c r="C2351" s="5">
        <v>335</v>
      </c>
      <c r="D2351" s="6">
        <v>0</v>
      </c>
      <c r="E2351" s="7">
        <v>701010</v>
      </c>
      <c r="F2351" s="3">
        <v>54300</v>
      </c>
      <c r="G2351" s="3" t="str">
        <f t="shared" si="36"/>
        <v>5</v>
      </c>
      <c r="H2351" s="3" t="s">
        <v>4273</v>
      </c>
      <c r="I2351" s="8">
        <v>0</v>
      </c>
      <c r="J2351" s="8">
        <v>0</v>
      </c>
      <c r="K2351" s="8">
        <v>0</v>
      </c>
    </row>
    <row r="2352" spans="1:11" hidden="1" x14ac:dyDescent="0.25">
      <c r="A2352" s="3" t="s">
        <v>4274</v>
      </c>
      <c r="B2352" s="3">
        <v>12</v>
      </c>
      <c r="C2352" s="5">
        <v>335</v>
      </c>
      <c r="D2352" s="6">
        <v>0</v>
      </c>
      <c r="E2352" s="7">
        <v>701010</v>
      </c>
      <c r="F2352" s="3">
        <v>55650</v>
      </c>
      <c r="G2352" s="3" t="str">
        <f t="shared" si="36"/>
        <v>5</v>
      </c>
      <c r="H2352" s="3" t="s">
        <v>4275</v>
      </c>
      <c r="I2352" s="8">
        <v>1730</v>
      </c>
      <c r="J2352" s="8">
        <v>0</v>
      </c>
      <c r="K2352" s="8">
        <v>1730</v>
      </c>
    </row>
    <row r="2353" spans="1:11" hidden="1" x14ac:dyDescent="0.25">
      <c r="A2353" s="3" t="s">
        <v>4276</v>
      </c>
      <c r="B2353" s="3">
        <v>12</v>
      </c>
      <c r="C2353" s="5">
        <v>335</v>
      </c>
      <c r="D2353" s="6">
        <v>0</v>
      </c>
      <c r="E2353" s="7">
        <v>701010</v>
      </c>
      <c r="F2353" s="3">
        <v>56300</v>
      </c>
      <c r="G2353" s="3" t="str">
        <f t="shared" si="36"/>
        <v>5</v>
      </c>
      <c r="H2353" s="3" t="s">
        <v>4277</v>
      </c>
      <c r="I2353" s="8">
        <v>6548.43</v>
      </c>
      <c r="J2353" s="8">
        <v>0</v>
      </c>
      <c r="K2353" s="8">
        <v>6548.43</v>
      </c>
    </row>
    <row r="2354" spans="1:11" hidden="1" x14ac:dyDescent="0.25">
      <c r="A2354" s="3" t="s">
        <v>4278</v>
      </c>
      <c r="B2354" s="3">
        <v>12</v>
      </c>
      <c r="C2354" s="5">
        <v>335</v>
      </c>
      <c r="D2354" s="6">
        <v>0</v>
      </c>
      <c r="E2354" s="7">
        <v>701010</v>
      </c>
      <c r="F2354" s="3">
        <v>56400</v>
      </c>
      <c r="G2354" s="3" t="str">
        <f t="shared" si="36"/>
        <v>5</v>
      </c>
      <c r="H2354" s="3" t="s">
        <v>4279</v>
      </c>
      <c r="I2354" s="8">
        <v>126534.71</v>
      </c>
      <c r="J2354" s="8">
        <v>0</v>
      </c>
      <c r="K2354" s="8">
        <v>126534.71</v>
      </c>
    </row>
    <row r="2355" spans="1:11" hidden="1" x14ac:dyDescent="0.25">
      <c r="A2355" s="3" t="s">
        <v>4280</v>
      </c>
      <c r="B2355" s="3">
        <v>12</v>
      </c>
      <c r="C2355" s="5">
        <v>335</v>
      </c>
      <c r="D2355" s="6">
        <v>0</v>
      </c>
      <c r="E2355" s="7">
        <v>701010</v>
      </c>
      <c r="F2355" s="3">
        <v>56405</v>
      </c>
      <c r="G2355" s="3" t="str">
        <f t="shared" si="36"/>
        <v>5</v>
      </c>
      <c r="H2355" s="3" t="s">
        <v>4281</v>
      </c>
      <c r="I2355" s="8">
        <v>4595.25</v>
      </c>
      <c r="J2355" s="8">
        <v>0</v>
      </c>
      <c r="K2355" s="8">
        <v>4595.25</v>
      </c>
    </row>
    <row r="2356" spans="1:11" hidden="1" x14ac:dyDescent="0.25">
      <c r="A2356" s="3" t="s">
        <v>4282</v>
      </c>
      <c r="B2356" s="3">
        <v>12</v>
      </c>
      <c r="C2356" s="5">
        <v>335</v>
      </c>
      <c r="D2356" s="6">
        <v>0</v>
      </c>
      <c r="E2356" s="7">
        <v>703911</v>
      </c>
      <c r="F2356" s="3">
        <v>48690</v>
      </c>
      <c r="G2356" s="3" t="str">
        <f t="shared" si="36"/>
        <v>4</v>
      </c>
      <c r="H2356" s="3" t="s">
        <v>4283</v>
      </c>
      <c r="I2356" s="8">
        <v>-125000</v>
      </c>
      <c r="J2356" s="8">
        <v>-18637.22</v>
      </c>
      <c r="K2356" s="8">
        <v>-125000</v>
      </c>
    </row>
    <row r="2357" spans="1:11" hidden="1" x14ac:dyDescent="0.25">
      <c r="A2357" s="3" t="s">
        <v>4284</v>
      </c>
      <c r="B2357" s="3">
        <v>12</v>
      </c>
      <c r="C2357" s="5">
        <v>335</v>
      </c>
      <c r="D2357" s="6">
        <v>0</v>
      </c>
      <c r="E2357" s="7">
        <v>703911</v>
      </c>
      <c r="F2357" s="3">
        <v>51311</v>
      </c>
      <c r="G2357" s="3" t="str">
        <f t="shared" si="36"/>
        <v>5</v>
      </c>
      <c r="H2357" s="3" t="s">
        <v>4285</v>
      </c>
      <c r="I2357" s="8">
        <v>1920</v>
      </c>
      <c r="J2357" s="8">
        <v>1813.59</v>
      </c>
      <c r="K2357" s="8">
        <v>1920</v>
      </c>
    </row>
    <row r="2358" spans="1:11" hidden="1" x14ac:dyDescent="0.25">
      <c r="A2358" s="3" t="s">
        <v>4286</v>
      </c>
      <c r="B2358" s="3">
        <v>12</v>
      </c>
      <c r="C2358" s="5">
        <v>335</v>
      </c>
      <c r="D2358" s="6">
        <v>0</v>
      </c>
      <c r="E2358" s="7">
        <v>703911</v>
      </c>
      <c r="F2358" s="3">
        <v>51412</v>
      </c>
      <c r="G2358" s="3" t="str">
        <f t="shared" si="36"/>
        <v>5</v>
      </c>
      <c r="H2358" s="3" t="s">
        <v>4287</v>
      </c>
      <c r="I2358" s="8">
        <v>40000</v>
      </c>
      <c r="J2358" s="8">
        <v>23991.119999999999</v>
      </c>
      <c r="K2358" s="8">
        <v>40000</v>
      </c>
    </row>
    <row r="2359" spans="1:11" hidden="1" x14ac:dyDescent="0.25">
      <c r="A2359" s="3" t="s">
        <v>4288</v>
      </c>
      <c r="B2359" s="3">
        <v>12</v>
      </c>
      <c r="C2359" s="5">
        <v>335</v>
      </c>
      <c r="D2359" s="6">
        <v>0</v>
      </c>
      <c r="E2359" s="7">
        <v>703911</v>
      </c>
      <c r="F2359" s="3">
        <v>53110</v>
      </c>
      <c r="G2359" s="3" t="str">
        <f t="shared" si="36"/>
        <v>5</v>
      </c>
      <c r="H2359" s="3" t="s">
        <v>4289</v>
      </c>
      <c r="I2359" s="8">
        <v>194</v>
      </c>
      <c r="J2359" s="8">
        <v>0</v>
      </c>
      <c r="K2359" s="8">
        <v>194</v>
      </c>
    </row>
    <row r="2360" spans="1:11" hidden="1" x14ac:dyDescent="0.25">
      <c r="A2360" s="3" t="s">
        <v>4290</v>
      </c>
      <c r="B2360" s="3">
        <v>12</v>
      </c>
      <c r="C2360" s="5">
        <v>335</v>
      </c>
      <c r="D2360" s="6">
        <v>0</v>
      </c>
      <c r="E2360" s="7">
        <v>703911</v>
      </c>
      <c r="F2360" s="3">
        <v>53120</v>
      </c>
      <c r="G2360" s="3" t="str">
        <f t="shared" si="36"/>
        <v>5</v>
      </c>
      <c r="H2360" s="3" t="s">
        <v>4291</v>
      </c>
      <c r="I2360" s="8">
        <v>6460</v>
      </c>
      <c r="J2360" s="8">
        <v>0</v>
      </c>
      <c r="K2360" s="8">
        <v>6460</v>
      </c>
    </row>
    <row r="2361" spans="1:11" hidden="1" x14ac:dyDescent="0.25">
      <c r="A2361" s="3" t="s">
        <v>4292</v>
      </c>
      <c r="B2361" s="3">
        <v>12</v>
      </c>
      <c r="C2361" s="5">
        <v>335</v>
      </c>
      <c r="D2361" s="6">
        <v>0</v>
      </c>
      <c r="E2361" s="7">
        <v>703911</v>
      </c>
      <c r="F2361" s="3">
        <v>53310</v>
      </c>
      <c r="G2361" s="3" t="str">
        <f t="shared" si="36"/>
        <v>5</v>
      </c>
      <c r="H2361" s="3" t="s">
        <v>4293</v>
      </c>
      <c r="I2361" s="8">
        <v>0</v>
      </c>
      <c r="J2361" s="8">
        <v>112.45</v>
      </c>
      <c r="K2361" s="8">
        <v>0</v>
      </c>
    </row>
    <row r="2362" spans="1:11" hidden="1" x14ac:dyDescent="0.25">
      <c r="A2362" s="3" t="s">
        <v>4294</v>
      </c>
      <c r="B2362" s="3">
        <v>12</v>
      </c>
      <c r="C2362" s="5">
        <v>335</v>
      </c>
      <c r="D2362" s="6">
        <v>0</v>
      </c>
      <c r="E2362" s="7">
        <v>703911</v>
      </c>
      <c r="F2362" s="3">
        <v>53330</v>
      </c>
      <c r="G2362" s="3" t="str">
        <f t="shared" si="36"/>
        <v>5</v>
      </c>
      <c r="H2362" s="3" t="s">
        <v>4295</v>
      </c>
      <c r="I2362" s="8">
        <v>29</v>
      </c>
      <c r="J2362" s="8">
        <v>26.3</v>
      </c>
      <c r="K2362" s="8">
        <v>29</v>
      </c>
    </row>
    <row r="2363" spans="1:11" hidden="1" x14ac:dyDescent="0.25">
      <c r="A2363" s="3" t="s">
        <v>4296</v>
      </c>
      <c r="B2363" s="3">
        <v>12</v>
      </c>
      <c r="C2363" s="5">
        <v>335</v>
      </c>
      <c r="D2363" s="6">
        <v>0</v>
      </c>
      <c r="E2363" s="7">
        <v>703911</v>
      </c>
      <c r="F2363" s="3">
        <v>53340</v>
      </c>
      <c r="G2363" s="3" t="str">
        <f t="shared" si="36"/>
        <v>5</v>
      </c>
      <c r="H2363" s="3" t="s">
        <v>4297</v>
      </c>
      <c r="I2363" s="8">
        <v>580</v>
      </c>
      <c r="J2363" s="8">
        <v>347.87</v>
      </c>
      <c r="K2363" s="8">
        <v>580</v>
      </c>
    </row>
    <row r="2364" spans="1:11" hidden="1" x14ac:dyDescent="0.25">
      <c r="A2364" s="3" t="s">
        <v>4298</v>
      </c>
      <c r="B2364" s="3">
        <v>12</v>
      </c>
      <c r="C2364" s="5">
        <v>335</v>
      </c>
      <c r="D2364" s="6">
        <v>0</v>
      </c>
      <c r="E2364" s="7">
        <v>703911</v>
      </c>
      <c r="F2364" s="3">
        <v>53510</v>
      </c>
      <c r="G2364" s="3" t="str">
        <f t="shared" si="36"/>
        <v>5</v>
      </c>
      <c r="H2364" s="3" t="s">
        <v>4299</v>
      </c>
      <c r="I2364" s="8">
        <v>2</v>
      </c>
      <c r="J2364" s="8">
        <v>0.9</v>
      </c>
      <c r="K2364" s="8">
        <v>2</v>
      </c>
    </row>
    <row r="2365" spans="1:11" hidden="1" x14ac:dyDescent="0.25">
      <c r="A2365" s="3" t="s">
        <v>4300</v>
      </c>
      <c r="B2365" s="3">
        <v>12</v>
      </c>
      <c r="C2365" s="5">
        <v>335</v>
      </c>
      <c r="D2365" s="6">
        <v>0</v>
      </c>
      <c r="E2365" s="7">
        <v>703911</v>
      </c>
      <c r="F2365" s="3">
        <v>53520</v>
      </c>
      <c r="G2365" s="3" t="str">
        <f t="shared" si="36"/>
        <v>5</v>
      </c>
      <c r="H2365" s="3" t="s">
        <v>4301</v>
      </c>
      <c r="I2365" s="8">
        <v>20</v>
      </c>
      <c r="J2365" s="8">
        <v>12</v>
      </c>
      <c r="K2365" s="8">
        <v>20</v>
      </c>
    </row>
    <row r="2366" spans="1:11" hidden="1" x14ac:dyDescent="0.25">
      <c r="A2366" s="3" t="s">
        <v>4302</v>
      </c>
      <c r="B2366" s="3">
        <v>12</v>
      </c>
      <c r="C2366" s="5">
        <v>335</v>
      </c>
      <c r="D2366" s="6">
        <v>0</v>
      </c>
      <c r="E2366" s="7">
        <v>703911</v>
      </c>
      <c r="F2366" s="3">
        <v>53610</v>
      </c>
      <c r="G2366" s="3" t="str">
        <f t="shared" si="36"/>
        <v>5</v>
      </c>
      <c r="H2366" s="3" t="s">
        <v>4303</v>
      </c>
      <c r="I2366" s="8">
        <v>38</v>
      </c>
      <c r="J2366" s="8">
        <v>34.299999999999997</v>
      </c>
      <c r="K2366" s="8">
        <v>38</v>
      </c>
    </row>
    <row r="2367" spans="1:11" hidden="1" x14ac:dyDescent="0.25">
      <c r="A2367" s="3" t="s">
        <v>4304</v>
      </c>
      <c r="B2367" s="3">
        <v>12</v>
      </c>
      <c r="C2367" s="5">
        <v>335</v>
      </c>
      <c r="D2367" s="6">
        <v>0</v>
      </c>
      <c r="E2367" s="7">
        <v>703911</v>
      </c>
      <c r="F2367" s="3">
        <v>53620</v>
      </c>
      <c r="G2367" s="3" t="str">
        <f t="shared" si="36"/>
        <v>5</v>
      </c>
      <c r="H2367" s="3" t="s">
        <v>4305</v>
      </c>
      <c r="I2367" s="8">
        <v>757</v>
      </c>
      <c r="J2367" s="8">
        <v>453.62</v>
      </c>
      <c r="K2367" s="8">
        <v>757</v>
      </c>
    </row>
    <row r="2368" spans="1:11" hidden="1" x14ac:dyDescent="0.25">
      <c r="A2368" s="3" t="s">
        <v>4306</v>
      </c>
      <c r="B2368" s="3">
        <v>12</v>
      </c>
      <c r="C2368" s="5">
        <v>335</v>
      </c>
      <c r="D2368" s="6">
        <v>0</v>
      </c>
      <c r="E2368" s="7">
        <v>703911</v>
      </c>
      <c r="F2368" s="3">
        <v>54300</v>
      </c>
      <c r="G2368" s="3" t="str">
        <f t="shared" si="36"/>
        <v>5</v>
      </c>
      <c r="H2368" s="3" t="s">
        <v>4307</v>
      </c>
      <c r="I2368" s="8">
        <v>20000</v>
      </c>
      <c r="J2368" s="8">
        <v>0</v>
      </c>
      <c r="K2368" s="8">
        <v>20000</v>
      </c>
    </row>
    <row r="2369" spans="1:11" hidden="1" x14ac:dyDescent="0.25">
      <c r="A2369" s="3" t="s">
        <v>4308</v>
      </c>
      <c r="B2369" s="3">
        <v>12</v>
      </c>
      <c r="C2369" s="5">
        <v>335</v>
      </c>
      <c r="D2369" s="6">
        <v>0</v>
      </c>
      <c r="E2369" s="7">
        <v>703911</v>
      </c>
      <c r="F2369" s="3">
        <v>55800</v>
      </c>
      <c r="G2369" s="3" t="str">
        <f t="shared" si="36"/>
        <v>5</v>
      </c>
      <c r="H2369" s="3" t="s">
        <v>4309</v>
      </c>
      <c r="I2369" s="8">
        <v>50192.31</v>
      </c>
      <c r="J2369" s="8">
        <v>0</v>
      </c>
      <c r="K2369" s="8">
        <v>50192.31</v>
      </c>
    </row>
    <row r="2370" spans="1:11" hidden="1" x14ac:dyDescent="0.25">
      <c r="A2370" s="3" t="s">
        <v>4310</v>
      </c>
      <c r="B2370" s="3">
        <v>12</v>
      </c>
      <c r="C2370" s="5">
        <v>335</v>
      </c>
      <c r="D2370" s="6">
        <v>0</v>
      </c>
      <c r="E2370" s="7">
        <v>703911</v>
      </c>
      <c r="F2370" s="3">
        <v>57350</v>
      </c>
      <c r="G2370" s="3" t="str">
        <f t="shared" si="36"/>
        <v>5</v>
      </c>
      <c r="H2370" s="3" t="s">
        <v>4311</v>
      </c>
      <c r="I2370" s="8">
        <v>4807.6899999999996</v>
      </c>
      <c r="J2370" s="8">
        <v>716.81</v>
      </c>
      <c r="K2370" s="8">
        <v>4807.6899999999996</v>
      </c>
    </row>
    <row r="2371" spans="1:11" hidden="1" x14ac:dyDescent="0.25">
      <c r="A2371" s="3" t="s">
        <v>4312</v>
      </c>
      <c r="B2371" s="3">
        <v>12</v>
      </c>
      <c r="C2371" s="5">
        <v>335</v>
      </c>
      <c r="D2371" s="6">
        <v>0</v>
      </c>
      <c r="E2371" s="7">
        <v>703916</v>
      </c>
      <c r="F2371" s="3">
        <v>48627</v>
      </c>
      <c r="G2371" s="3" t="str">
        <f t="shared" ref="G2371:G2433" si="37">LEFT(F2371,1)</f>
        <v>4</v>
      </c>
      <c r="H2371" s="3" t="s">
        <v>4313</v>
      </c>
      <c r="I2371" s="8">
        <v>-264575.23</v>
      </c>
      <c r="J2371" s="8">
        <v>-264575.23</v>
      </c>
      <c r="K2371" s="8">
        <v>-264575.23</v>
      </c>
    </row>
    <row r="2372" spans="1:11" hidden="1" x14ac:dyDescent="0.25">
      <c r="A2372" s="3" t="s">
        <v>4314</v>
      </c>
      <c r="B2372" s="3">
        <v>12</v>
      </c>
      <c r="C2372" s="5">
        <v>335</v>
      </c>
      <c r="D2372" s="6">
        <v>0</v>
      </c>
      <c r="E2372" s="7">
        <v>703916</v>
      </c>
      <c r="F2372" s="3">
        <v>51100</v>
      </c>
      <c r="G2372" s="3" t="str">
        <f t="shared" si="37"/>
        <v>5</v>
      </c>
      <c r="H2372" s="3" t="s">
        <v>4315</v>
      </c>
      <c r="I2372" s="8">
        <v>15251</v>
      </c>
      <c r="J2372" s="8">
        <v>0</v>
      </c>
      <c r="K2372" s="8">
        <v>15251</v>
      </c>
    </row>
    <row r="2373" spans="1:11" hidden="1" x14ac:dyDescent="0.25">
      <c r="A2373" s="3" t="s">
        <v>4316</v>
      </c>
      <c r="B2373" s="3">
        <v>12</v>
      </c>
      <c r="C2373" s="5">
        <v>335</v>
      </c>
      <c r="D2373" s="6">
        <v>0</v>
      </c>
      <c r="E2373" s="7">
        <v>703916</v>
      </c>
      <c r="F2373" s="3">
        <v>51311</v>
      </c>
      <c r="G2373" s="3" t="str">
        <f t="shared" si="37"/>
        <v>5</v>
      </c>
      <c r="H2373" s="3" t="s">
        <v>4317</v>
      </c>
      <c r="I2373" s="8">
        <v>35446</v>
      </c>
      <c r="J2373" s="8">
        <v>25158.92</v>
      </c>
      <c r="K2373" s="8">
        <v>35446</v>
      </c>
    </row>
    <row r="2374" spans="1:11" hidden="1" x14ac:dyDescent="0.25">
      <c r="A2374" s="3" t="s">
        <v>4318</v>
      </c>
      <c r="B2374" s="3">
        <v>12</v>
      </c>
      <c r="C2374" s="5">
        <v>335</v>
      </c>
      <c r="D2374" s="6">
        <v>0</v>
      </c>
      <c r="E2374" s="7">
        <v>703916</v>
      </c>
      <c r="F2374" s="3">
        <v>51412</v>
      </c>
      <c r="G2374" s="3" t="str">
        <f t="shared" si="37"/>
        <v>5</v>
      </c>
      <c r="H2374" s="3" t="s">
        <v>4319</v>
      </c>
      <c r="I2374" s="8">
        <v>14750</v>
      </c>
      <c r="J2374" s="8">
        <v>6504.28</v>
      </c>
      <c r="K2374" s="8">
        <v>14750</v>
      </c>
    </row>
    <row r="2375" spans="1:11" hidden="1" x14ac:dyDescent="0.25">
      <c r="A2375" s="3" t="s">
        <v>4320</v>
      </c>
      <c r="B2375" s="3">
        <v>12</v>
      </c>
      <c r="C2375" s="5">
        <v>335</v>
      </c>
      <c r="D2375" s="6">
        <v>0</v>
      </c>
      <c r="E2375" s="7">
        <v>703916</v>
      </c>
      <c r="F2375" s="3">
        <v>52105</v>
      </c>
      <c r="G2375" s="3" t="str">
        <f t="shared" si="37"/>
        <v>5</v>
      </c>
      <c r="H2375" s="3" t="s">
        <v>4321</v>
      </c>
      <c r="I2375" s="8">
        <v>23410</v>
      </c>
      <c r="J2375" s="8">
        <v>17518.060000000001</v>
      </c>
      <c r="K2375" s="8">
        <v>23410</v>
      </c>
    </row>
    <row r="2376" spans="1:11" hidden="1" x14ac:dyDescent="0.25">
      <c r="A2376" s="3" t="s">
        <v>4322</v>
      </c>
      <c r="B2376" s="3">
        <v>12</v>
      </c>
      <c r="C2376" s="5">
        <v>335</v>
      </c>
      <c r="D2376" s="6">
        <v>0</v>
      </c>
      <c r="E2376" s="7">
        <v>703916</v>
      </c>
      <c r="F2376" s="3">
        <v>52400</v>
      </c>
      <c r="G2376" s="3" t="str">
        <f t="shared" si="37"/>
        <v>5</v>
      </c>
      <c r="H2376" s="3" t="s">
        <v>4323</v>
      </c>
      <c r="I2376" s="8">
        <v>17409</v>
      </c>
      <c r="J2376" s="8">
        <v>0</v>
      </c>
      <c r="K2376" s="8">
        <v>17409</v>
      </c>
    </row>
    <row r="2377" spans="1:11" hidden="1" x14ac:dyDescent="0.25">
      <c r="A2377" s="3" t="s">
        <v>4324</v>
      </c>
      <c r="B2377" s="3">
        <v>12</v>
      </c>
      <c r="C2377" s="5">
        <v>335</v>
      </c>
      <c r="D2377" s="6">
        <v>0</v>
      </c>
      <c r="E2377" s="7">
        <v>703916</v>
      </c>
      <c r="F2377" s="3">
        <v>53000</v>
      </c>
      <c r="G2377" s="3" t="str">
        <f t="shared" si="37"/>
        <v>5</v>
      </c>
      <c r="H2377" s="3" t="s">
        <v>4325</v>
      </c>
      <c r="I2377" s="8">
        <v>28041</v>
      </c>
      <c r="J2377" s="8">
        <v>0</v>
      </c>
      <c r="K2377" s="8">
        <v>28041</v>
      </c>
    </row>
    <row r="2378" spans="1:11" hidden="1" x14ac:dyDescent="0.25">
      <c r="A2378" s="3" t="s">
        <v>4326</v>
      </c>
      <c r="B2378" s="3">
        <v>12</v>
      </c>
      <c r="C2378" s="5">
        <v>335</v>
      </c>
      <c r="D2378" s="6">
        <v>0</v>
      </c>
      <c r="E2378" s="7">
        <v>703916</v>
      </c>
      <c r="F2378" s="3">
        <v>53110</v>
      </c>
      <c r="G2378" s="3" t="str">
        <f t="shared" si="37"/>
        <v>5</v>
      </c>
      <c r="H2378" s="3" t="s">
        <v>4327</v>
      </c>
      <c r="I2378" s="8">
        <v>0</v>
      </c>
      <c r="J2378" s="8">
        <v>1122.6400000000001</v>
      </c>
      <c r="K2378" s="8">
        <v>0</v>
      </c>
    </row>
    <row r="2379" spans="1:11" hidden="1" x14ac:dyDescent="0.25">
      <c r="A2379" s="3" t="s">
        <v>4328</v>
      </c>
      <c r="B2379" s="3">
        <v>12</v>
      </c>
      <c r="C2379" s="5">
        <v>335</v>
      </c>
      <c r="D2379" s="6">
        <v>0</v>
      </c>
      <c r="E2379" s="7">
        <v>703916</v>
      </c>
      <c r="F2379" s="3">
        <v>53120</v>
      </c>
      <c r="G2379" s="3" t="str">
        <f t="shared" si="37"/>
        <v>5</v>
      </c>
      <c r="H2379" s="3" t="s">
        <v>4329</v>
      </c>
      <c r="I2379" s="8">
        <v>0</v>
      </c>
      <c r="J2379" s="8">
        <v>785.95</v>
      </c>
      <c r="K2379" s="8">
        <v>0</v>
      </c>
    </row>
    <row r="2380" spans="1:11" hidden="1" x14ac:dyDescent="0.25">
      <c r="A2380" s="3" t="s">
        <v>4330</v>
      </c>
      <c r="B2380" s="3">
        <v>12</v>
      </c>
      <c r="C2380" s="5">
        <v>335</v>
      </c>
      <c r="D2380" s="6">
        <v>0</v>
      </c>
      <c r="E2380" s="7">
        <v>703916</v>
      </c>
      <c r="F2380" s="3">
        <v>53220</v>
      </c>
      <c r="G2380" s="3" t="str">
        <f t="shared" si="37"/>
        <v>5</v>
      </c>
      <c r="H2380" s="3" t="s">
        <v>4331</v>
      </c>
      <c r="I2380" s="8">
        <v>0</v>
      </c>
      <c r="J2380" s="8">
        <v>3626.29</v>
      </c>
      <c r="K2380" s="8">
        <v>0</v>
      </c>
    </row>
    <row r="2381" spans="1:11" hidden="1" x14ac:dyDescent="0.25">
      <c r="A2381" s="3" t="s">
        <v>4332</v>
      </c>
      <c r="B2381" s="3">
        <v>12</v>
      </c>
      <c r="C2381" s="5">
        <v>335</v>
      </c>
      <c r="D2381" s="6">
        <v>0</v>
      </c>
      <c r="E2381" s="7">
        <v>703916</v>
      </c>
      <c r="F2381" s="3">
        <v>53310</v>
      </c>
      <c r="G2381" s="3" t="str">
        <f t="shared" si="37"/>
        <v>5</v>
      </c>
      <c r="H2381" s="3" t="s">
        <v>4333</v>
      </c>
      <c r="I2381" s="8">
        <v>0</v>
      </c>
      <c r="J2381" s="8">
        <v>1128.8599999999999</v>
      </c>
      <c r="K2381" s="8">
        <v>0</v>
      </c>
    </row>
    <row r="2382" spans="1:11" hidden="1" x14ac:dyDescent="0.25">
      <c r="A2382" s="3" t="s">
        <v>4334</v>
      </c>
      <c r="B2382" s="3">
        <v>12</v>
      </c>
      <c r="C2382" s="5">
        <v>335</v>
      </c>
      <c r="D2382" s="6">
        <v>0</v>
      </c>
      <c r="E2382" s="7">
        <v>703916</v>
      </c>
      <c r="F2382" s="3">
        <v>53320</v>
      </c>
      <c r="G2382" s="3" t="str">
        <f t="shared" si="37"/>
        <v>5</v>
      </c>
      <c r="H2382" s="3" t="s">
        <v>4335</v>
      </c>
      <c r="I2382" s="8">
        <v>0</v>
      </c>
      <c r="J2382" s="8">
        <v>1174.3</v>
      </c>
      <c r="K2382" s="8">
        <v>0</v>
      </c>
    </row>
    <row r="2383" spans="1:11" hidden="1" x14ac:dyDescent="0.25">
      <c r="A2383" s="3" t="s">
        <v>4336</v>
      </c>
      <c r="B2383" s="3">
        <v>12</v>
      </c>
      <c r="C2383" s="5">
        <v>335</v>
      </c>
      <c r="D2383" s="6">
        <v>0</v>
      </c>
      <c r="E2383" s="7">
        <v>703916</v>
      </c>
      <c r="F2383" s="3">
        <v>53330</v>
      </c>
      <c r="G2383" s="3" t="str">
        <f t="shared" si="37"/>
        <v>5</v>
      </c>
      <c r="H2383" s="3" t="s">
        <v>4337</v>
      </c>
      <c r="I2383" s="8">
        <v>0</v>
      </c>
      <c r="J2383" s="8">
        <v>364.82</v>
      </c>
      <c r="K2383" s="8">
        <v>0</v>
      </c>
    </row>
    <row r="2384" spans="1:11" hidden="1" x14ac:dyDescent="0.25">
      <c r="A2384" s="3" t="s">
        <v>4338</v>
      </c>
      <c r="B2384" s="3">
        <v>12</v>
      </c>
      <c r="C2384" s="5">
        <v>335</v>
      </c>
      <c r="D2384" s="6">
        <v>0</v>
      </c>
      <c r="E2384" s="7">
        <v>703916</v>
      </c>
      <c r="F2384" s="3">
        <v>53340</v>
      </c>
      <c r="G2384" s="3" t="str">
        <f t="shared" si="37"/>
        <v>5</v>
      </c>
      <c r="H2384" s="3" t="s">
        <v>4339</v>
      </c>
      <c r="I2384" s="8">
        <v>0</v>
      </c>
      <c r="J2384" s="8">
        <v>345.21</v>
      </c>
      <c r="K2384" s="8">
        <v>0</v>
      </c>
    </row>
    <row r="2385" spans="1:11" hidden="1" x14ac:dyDescent="0.25">
      <c r="A2385" s="3" t="s">
        <v>4340</v>
      </c>
      <c r="B2385" s="3">
        <v>12</v>
      </c>
      <c r="C2385" s="5">
        <v>335</v>
      </c>
      <c r="D2385" s="6">
        <v>0</v>
      </c>
      <c r="E2385" s="7">
        <v>703916</v>
      </c>
      <c r="F2385" s="3">
        <v>53420</v>
      </c>
      <c r="G2385" s="3" t="str">
        <f t="shared" si="37"/>
        <v>5</v>
      </c>
      <c r="H2385" s="3" t="s">
        <v>4341</v>
      </c>
      <c r="I2385" s="8">
        <v>0</v>
      </c>
      <c r="J2385" s="8">
        <v>7275.78</v>
      </c>
      <c r="K2385" s="8">
        <v>0</v>
      </c>
    </row>
    <row r="2386" spans="1:11" hidden="1" x14ac:dyDescent="0.25">
      <c r="A2386" s="3" t="s">
        <v>4342</v>
      </c>
      <c r="B2386" s="3">
        <v>12</v>
      </c>
      <c r="C2386" s="5">
        <v>335</v>
      </c>
      <c r="D2386" s="6">
        <v>0</v>
      </c>
      <c r="E2386" s="7">
        <v>703916</v>
      </c>
      <c r="F2386" s="3">
        <v>53510</v>
      </c>
      <c r="G2386" s="3" t="str">
        <f t="shared" si="37"/>
        <v>5</v>
      </c>
      <c r="H2386" s="3" t="s">
        <v>4343</v>
      </c>
      <c r="I2386" s="8">
        <v>0</v>
      </c>
      <c r="J2386" s="8">
        <v>12.58</v>
      </c>
      <c r="K2386" s="8">
        <v>0</v>
      </c>
    </row>
    <row r="2387" spans="1:11" hidden="1" x14ac:dyDescent="0.25">
      <c r="A2387" s="3" t="s">
        <v>4344</v>
      </c>
      <c r="B2387" s="3">
        <v>12</v>
      </c>
      <c r="C2387" s="5">
        <v>335</v>
      </c>
      <c r="D2387" s="6">
        <v>0</v>
      </c>
      <c r="E2387" s="7">
        <v>703916</v>
      </c>
      <c r="F2387" s="3">
        <v>53520</v>
      </c>
      <c r="G2387" s="3" t="str">
        <f t="shared" si="37"/>
        <v>5</v>
      </c>
      <c r="H2387" s="3" t="s">
        <v>4345</v>
      </c>
      <c r="I2387" s="8">
        <v>0</v>
      </c>
      <c r="J2387" s="8">
        <v>11.98</v>
      </c>
      <c r="K2387" s="8">
        <v>0</v>
      </c>
    </row>
    <row r="2388" spans="1:11" hidden="1" x14ac:dyDescent="0.25">
      <c r="A2388" s="3" t="s">
        <v>4346</v>
      </c>
      <c r="B2388" s="3">
        <v>12</v>
      </c>
      <c r="C2388" s="5">
        <v>335</v>
      </c>
      <c r="D2388" s="6">
        <v>0</v>
      </c>
      <c r="E2388" s="7">
        <v>703916</v>
      </c>
      <c r="F2388" s="3">
        <v>53610</v>
      </c>
      <c r="G2388" s="3" t="str">
        <f t="shared" si="37"/>
        <v>5</v>
      </c>
      <c r="H2388" s="3" t="s">
        <v>4347</v>
      </c>
      <c r="I2388" s="8">
        <v>0</v>
      </c>
      <c r="J2388" s="8">
        <v>475.7</v>
      </c>
      <c r="K2388" s="8">
        <v>0</v>
      </c>
    </row>
    <row r="2389" spans="1:11" hidden="1" x14ac:dyDescent="0.25">
      <c r="A2389" s="3" t="s">
        <v>4348</v>
      </c>
      <c r="B2389" s="3">
        <v>12</v>
      </c>
      <c r="C2389" s="5">
        <v>335</v>
      </c>
      <c r="D2389" s="6">
        <v>0</v>
      </c>
      <c r="E2389" s="7">
        <v>703916</v>
      </c>
      <c r="F2389" s="3">
        <v>53620</v>
      </c>
      <c r="G2389" s="3" t="str">
        <f t="shared" si="37"/>
        <v>5</v>
      </c>
      <c r="H2389" s="3" t="s">
        <v>4349</v>
      </c>
      <c r="I2389" s="8">
        <v>0</v>
      </c>
      <c r="J2389" s="8">
        <v>455.12</v>
      </c>
      <c r="K2389" s="8">
        <v>0</v>
      </c>
    </row>
    <row r="2390" spans="1:11" hidden="1" x14ac:dyDescent="0.25">
      <c r="A2390" s="3" t="s">
        <v>4350</v>
      </c>
      <c r="B2390" s="3">
        <v>12</v>
      </c>
      <c r="C2390" s="5">
        <v>335</v>
      </c>
      <c r="D2390" s="6">
        <v>0</v>
      </c>
      <c r="E2390" s="7">
        <v>703916</v>
      </c>
      <c r="F2390" s="3">
        <v>54300</v>
      </c>
      <c r="G2390" s="3" t="str">
        <f t="shared" si="37"/>
        <v>5</v>
      </c>
      <c r="H2390" s="3" t="s">
        <v>4351</v>
      </c>
      <c r="I2390" s="8">
        <v>29658</v>
      </c>
      <c r="J2390" s="8">
        <v>41346.32</v>
      </c>
      <c r="K2390" s="8">
        <v>29658</v>
      </c>
    </row>
    <row r="2391" spans="1:11" hidden="1" x14ac:dyDescent="0.25">
      <c r="A2391" s="3" t="s">
        <v>4352</v>
      </c>
      <c r="B2391" s="3">
        <v>12</v>
      </c>
      <c r="C2391" s="5">
        <v>335</v>
      </c>
      <c r="D2391" s="6">
        <v>0</v>
      </c>
      <c r="E2391" s="7">
        <v>703916</v>
      </c>
      <c r="F2391" s="3">
        <v>55105</v>
      </c>
      <c r="G2391" s="3" t="str">
        <f t="shared" si="37"/>
        <v>5</v>
      </c>
      <c r="H2391" s="3" t="s">
        <v>4353</v>
      </c>
      <c r="I2391" s="8">
        <v>19923</v>
      </c>
      <c r="J2391" s="8">
        <v>6574</v>
      </c>
      <c r="K2391" s="8">
        <v>19923</v>
      </c>
    </row>
    <row r="2392" spans="1:11" hidden="1" x14ac:dyDescent="0.25">
      <c r="A2392" s="3" t="s">
        <v>4354</v>
      </c>
      <c r="B2392" s="3">
        <v>12</v>
      </c>
      <c r="C2392" s="5">
        <v>335</v>
      </c>
      <c r="D2392" s="6">
        <v>0</v>
      </c>
      <c r="E2392" s="7">
        <v>703916</v>
      </c>
      <c r="F2392" s="3">
        <v>55200</v>
      </c>
      <c r="G2392" s="3" t="str">
        <f t="shared" si="37"/>
        <v>5</v>
      </c>
      <c r="H2392" s="3" t="s">
        <v>4355</v>
      </c>
      <c r="I2392" s="8">
        <v>6000</v>
      </c>
      <c r="J2392" s="8">
        <v>0</v>
      </c>
      <c r="K2392" s="8">
        <v>6000</v>
      </c>
    </row>
    <row r="2393" spans="1:11" hidden="1" x14ac:dyDescent="0.25">
      <c r="A2393" s="3" t="s">
        <v>4356</v>
      </c>
      <c r="B2393" s="3">
        <v>12</v>
      </c>
      <c r="C2393" s="5">
        <v>335</v>
      </c>
      <c r="D2393" s="6">
        <v>0</v>
      </c>
      <c r="E2393" s="7">
        <v>703916</v>
      </c>
      <c r="F2393" s="3">
        <v>55800</v>
      </c>
      <c r="G2393" s="3" t="str">
        <f t="shared" si="37"/>
        <v>5</v>
      </c>
      <c r="H2393" s="3" t="s">
        <v>4357</v>
      </c>
      <c r="I2393" s="8">
        <v>64512.26</v>
      </c>
      <c r="J2393" s="8">
        <v>0</v>
      </c>
      <c r="K2393" s="8">
        <v>64512.26</v>
      </c>
    </row>
    <row r="2394" spans="1:11" hidden="1" x14ac:dyDescent="0.25">
      <c r="A2394" s="3" t="s">
        <v>4358</v>
      </c>
      <c r="B2394" s="3">
        <v>12</v>
      </c>
      <c r="C2394" s="5">
        <v>335</v>
      </c>
      <c r="D2394" s="6">
        <v>0</v>
      </c>
      <c r="E2394" s="7">
        <v>703916</v>
      </c>
      <c r="F2394" s="3">
        <v>56400</v>
      </c>
      <c r="G2394" s="3" t="str">
        <f t="shared" si="37"/>
        <v>5</v>
      </c>
      <c r="H2394" s="3" t="s">
        <v>4359</v>
      </c>
      <c r="I2394" s="8">
        <v>0</v>
      </c>
      <c r="J2394" s="8">
        <v>0</v>
      </c>
      <c r="K2394" s="8">
        <v>0</v>
      </c>
    </row>
    <row r="2395" spans="1:11" hidden="1" x14ac:dyDescent="0.25">
      <c r="A2395" s="3" t="s">
        <v>4360</v>
      </c>
      <c r="B2395" s="3">
        <v>12</v>
      </c>
      <c r="C2395" s="5">
        <v>335</v>
      </c>
      <c r="D2395" s="6">
        <v>0</v>
      </c>
      <c r="E2395" s="7">
        <v>703916</v>
      </c>
      <c r="F2395" s="3">
        <v>57350</v>
      </c>
      <c r="G2395" s="3" t="str">
        <f t="shared" si="37"/>
        <v>5</v>
      </c>
      <c r="H2395" s="3" t="s">
        <v>4361</v>
      </c>
      <c r="I2395" s="8">
        <v>10174.969999999999</v>
      </c>
      <c r="J2395" s="8">
        <v>2912.81</v>
      </c>
      <c r="K2395" s="8">
        <v>10174.969999999999</v>
      </c>
    </row>
    <row r="2396" spans="1:11" hidden="1" x14ac:dyDescent="0.25">
      <c r="A2396" s="3" t="s">
        <v>4362</v>
      </c>
      <c r="B2396" s="3">
        <v>12</v>
      </c>
      <c r="C2396" s="5">
        <v>335</v>
      </c>
      <c r="D2396" s="6">
        <v>0</v>
      </c>
      <c r="E2396" s="7">
        <v>703917</v>
      </c>
      <c r="F2396" s="3">
        <v>48890</v>
      </c>
      <c r="G2396" s="3" t="str">
        <f t="shared" si="37"/>
        <v>4</v>
      </c>
      <c r="H2396" s="3" t="s">
        <v>4363</v>
      </c>
      <c r="I2396" s="8">
        <v>-23109.31</v>
      </c>
      <c r="J2396" s="8">
        <v>-23109.31</v>
      </c>
      <c r="K2396" s="8">
        <v>-23109.31</v>
      </c>
    </row>
    <row r="2397" spans="1:11" hidden="1" x14ac:dyDescent="0.25">
      <c r="A2397" s="3" t="s">
        <v>4364</v>
      </c>
      <c r="B2397" s="3">
        <v>12</v>
      </c>
      <c r="C2397" s="5">
        <v>335</v>
      </c>
      <c r="D2397" s="6">
        <v>0</v>
      </c>
      <c r="E2397" s="7">
        <v>703917</v>
      </c>
      <c r="F2397" s="3">
        <v>52360</v>
      </c>
      <c r="G2397" s="3" t="str">
        <f t="shared" si="37"/>
        <v>5</v>
      </c>
      <c r="H2397" s="3" t="s">
        <v>4365</v>
      </c>
      <c r="I2397" s="8">
        <v>5629</v>
      </c>
      <c r="J2397" s="8">
        <v>0</v>
      </c>
      <c r="K2397" s="8">
        <v>5629</v>
      </c>
    </row>
    <row r="2398" spans="1:11" hidden="1" x14ac:dyDescent="0.25">
      <c r="A2398" s="3" t="s">
        <v>4366</v>
      </c>
      <c r="B2398" s="3">
        <v>12</v>
      </c>
      <c r="C2398" s="5">
        <v>335</v>
      </c>
      <c r="D2398" s="6">
        <v>0</v>
      </c>
      <c r="E2398" s="7">
        <v>703917</v>
      </c>
      <c r="F2398" s="3">
        <v>53000</v>
      </c>
      <c r="G2398" s="3" t="str">
        <f t="shared" si="37"/>
        <v>5</v>
      </c>
      <c r="H2398" s="3" t="s">
        <v>4367</v>
      </c>
      <c r="I2398" s="8">
        <v>700</v>
      </c>
      <c r="J2398" s="8">
        <v>0</v>
      </c>
      <c r="K2398" s="8">
        <v>700</v>
      </c>
    </row>
    <row r="2399" spans="1:11" hidden="1" x14ac:dyDescent="0.25">
      <c r="A2399" s="3" t="s">
        <v>4368</v>
      </c>
      <c r="B2399" s="3">
        <v>12</v>
      </c>
      <c r="C2399" s="5">
        <v>335</v>
      </c>
      <c r="D2399" s="6">
        <v>0</v>
      </c>
      <c r="E2399" s="7">
        <v>703917</v>
      </c>
      <c r="F2399" s="3">
        <v>53320</v>
      </c>
      <c r="G2399" s="3" t="str">
        <f t="shared" si="37"/>
        <v>5</v>
      </c>
      <c r="H2399" s="3" t="s">
        <v>4369</v>
      </c>
      <c r="I2399" s="8">
        <v>0</v>
      </c>
      <c r="J2399" s="8">
        <v>0</v>
      </c>
      <c r="K2399" s="8">
        <v>0</v>
      </c>
    </row>
    <row r="2400" spans="1:11" hidden="1" x14ac:dyDescent="0.25">
      <c r="A2400" s="3" t="s">
        <v>4370</v>
      </c>
      <c r="B2400" s="3">
        <v>12</v>
      </c>
      <c r="C2400" s="5">
        <v>335</v>
      </c>
      <c r="D2400" s="6">
        <v>0</v>
      </c>
      <c r="E2400" s="7">
        <v>703917</v>
      </c>
      <c r="F2400" s="3">
        <v>53340</v>
      </c>
      <c r="G2400" s="3" t="str">
        <f t="shared" si="37"/>
        <v>5</v>
      </c>
      <c r="H2400" s="3" t="s">
        <v>4371</v>
      </c>
      <c r="I2400" s="8">
        <v>0</v>
      </c>
      <c r="J2400" s="8">
        <v>0</v>
      </c>
      <c r="K2400" s="8">
        <v>0</v>
      </c>
    </row>
    <row r="2401" spans="1:11" hidden="1" x14ac:dyDescent="0.25">
      <c r="A2401" s="3" t="s">
        <v>4372</v>
      </c>
      <c r="B2401" s="3">
        <v>12</v>
      </c>
      <c r="C2401" s="5">
        <v>335</v>
      </c>
      <c r="D2401" s="6">
        <v>0</v>
      </c>
      <c r="E2401" s="7">
        <v>703917</v>
      </c>
      <c r="F2401" s="3">
        <v>53520</v>
      </c>
      <c r="G2401" s="3" t="str">
        <f t="shared" si="37"/>
        <v>5</v>
      </c>
      <c r="H2401" s="3" t="s">
        <v>4373</v>
      </c>
      <c r="I2401" s="8">
        <v>0</v>
      </c>
      <c r="J2401" s="8">
        <v>0</v>
      </c>
      <c r="K2401" s="8">
        <v>0</v>
      </c>
    </row>
    <row r="2402" spans="1:11" hidden="1" x14ac:dyDescent="0.25">
      <c r="A2402" s="3" t="s">
        <v>4374</v>
      </c>
      <c r="B2402" s="3">
        <v>12</v>
      </c>
      <c r="C2402" s="5">
        <v>335</v>
      </c>
      <c r="D2402" s="6">
        <v>0</v>
      </c>
      <c r="E2402" s="7">
        <v>703917</v>
      </c>
      <c r="F2402" s="3">
        <v>53620</v>
      </c>
      <c r="G2402" s="3" t="str">
        <f t="shared" si="37"/>
        <v>5</v>
      </c>
      <c r="H2402" s="3" t="s">
        <v>4375</v>
      </c>
      <c r="I2402" s="8">
        <v>106</v>
      </c>
      <c r="J2402" s="8">
        <v>0</v>
      </c>
      <c r="K2402" s="8">
        <v>106</v>
      </c>
    </row>
    <row r="2403" spans="1:11" hidden="1" x14ac:dyDescent="0.25">
      <c r="A2403" s="3" t="s">
        <v>4376</v>
      </c>
      <c r="B2403" s="3">
        <v>12</v>
      </c>
      <c r="C2403" s="5">
        <v>335</v>
      </c>
      <c r="D2403" s="6">
        <v>0</v>
      </c>
      <c r="E2403" s="7">
        <v>703917</v>
      </c>
      <c r="F2403" s="3">
        <v>54300</v>
      </c>
      <c r="G2403" s="3" t="str">
        <f t="shared" si="37"/>
        <v>5</v>
      </c>
      <c r="H2403" s="3" t="s">
        <v>4377</v>
      </c>
      <c r="I2403" s="8">
        <v>86</v>
      </c>
      <c r="J2403" s="8">
        <v>0</v>
      </c>
      <c r="K2403" s="8">
        <v>86</v>
      </c>
    </row>
    <row r="2404" spans="1:11" hidden="1" x14ac:dyDescent="0.25">
      <c r="A2404" s="3" t="s">
        <v>4378</v>
      </c>
      <c r="B2404" s="3">
        <v>12</v>
      </c>
      <c r="C2404" s="5">
        <v>335</v>
      </c>
      <c r="D2404" s="6">
        <v>0</v>
      </c>
      <c r="E2404" s="7">
        <v>703917</v>
      </c>
      <c r="F2404" s="3">
        <v>55200</v>
      </c>
      <c r="G2404" s="3" t="str">
        <f t="shared" si="37"/>
        <v>5</v>
      </c>
      <c r="H2404" s="3" t="s">
        <v>4379</v>
      </c>
      <c r="I2404" s="8">
        <v>5064</v>
      </c>
      <c r="J2404" s="8">
        <v>0</v>
      </c>
      <c r="K2404" s="8">
        <v>5064</v>
      </c>
    </row>
    <row r="2405" spans="1:11" hidden="1" x14ac:dyDescent="0.25">
      <c r="A2405" s="3" t="s">
        <v>4380</v>
      </c>
      <c r="B2405" s="3">
        <v>12</v>
      </c>
      <c r="C2405" s="5">
        <v>335</v>
      </c>
      <c r="D2405" s="6">
        <v>0</v>
      </c>
      <c r="E2405" s="7">
        <v>703917</v>
      </c>
      <c r="F2405" s="3">
        <v>55800</v>
      </c>
      <c r="G2405" s="3" t="str">
        <f t="shared" si="37"/>
        <v>5</v>
      </c>
      <c r="H2405" s="3" t="s">
        <v>4381</v>
      </c>
      <c r="I2405" s="8">
        <v>9047</v>
      </c>
      <c r="J2405" s="8">
        <v>0</v>
      </c>
      <c r="K2405" s="8">
        <v>9047</v>
      </c>
    </row>
    <row r="2406" spans="1:11" hidden="1" x14ac:dyDescent="0.25">
      <c r="A2406" s="3" t="s">
        <v>4382</v>
      </c>
      <c r="B2406" s="3">
        <v>12</v>
      </c>
      <c r="C2406" s="5">
        <v>335</v>
      </c>
      <c r="D2406" s="6">
        <v>0</v>
      </c>
      <c r="E2406" s="7">
        <v>703917</v>
      </c>
      <c r="F2406" s="3">
        <v>57350</v>
      </c>
      <c r="G2406" s="3" t="str">
        <f t="shared" si="37"/>
        <v>5</v>
      </c>
      <c r="H2406" s="3" t="s">
        <v>4383</v>
      </c>
      <c r="I2406" s="8">
        <v>2477.31</v>
      </c>
      <c r="J2406" s="8">
        <v>0</v>
      </c>
      <c r="K2406" s="8">
        <v>2477.31</v>
      </c>
    </row>
    <row r="2407" spans="1:11" hidden="1" x14ac:dyDescent="0.25">
      <c r="A2407" s="3" t="s">
        <v>4384</v>
      </c>
      <c r="B2407" s="3">
        <v>12</v>
      </c>
      <c r="C2407" s="5">
        <v>335</v>
      </c>
      <c r="D2407" s="6">
        <v>0</v>
      </c>
      <c r="E2407" s="7">
        <v>703929</v>
      </c>
      <c r="F2407" s="3">
        <v>48890</v>
      </c>
      <c r="G2407" s="3" t="str">
        <f t="shared" si="37"/>
        <v>4</v>
      </c>
      <c r="H2407" s="3" t="s">
        <v>4385</v>
      </c>
      <c r="I2407" s="8">
        <v>-251257.34</v>
      </c>
      <c r="J2407" s="8">
        <v>-111549.71</v>
      </c>
      <c r="K2407" s="8">
        <v>-251257.34</v>
      </c>
    </row>
    <row r="2408" spans="1:11" hidden="1" x14ac:dyDescent="0.25">
      <c r="A2408" s="3" t="s">
        <v>4386</v>
      </c>
      <c r="B2408" s="3">
        <v>12</v>
      </c>
      <c r="C2408" s="5">
        <v>335</v>
      </c>
      <c r="D2408" s="6">
        <v>0</v>
      </c>
      <c r="E2408" s="7">
        <v>703929</v>
      </c>
      <c r="F2408" s="3">
        <v>51100</v>
      </c>
      <c r="G2408" s="3" t="str">
        <f t="shared" si="37"/>
        <v>5</v>
      </c>
      <c r="H2408" s="3" t="s">
        <v>4387</v>
      </c>
      <c r="I2408" s="8">
        <v>0</v>
      </c>
      <c r="J2408" s="8">
        <v>77551.28</v>
      </c>
      <c r="K2408" s="8">
        <v>0</v>
      </c>
    </row>
    <row r="2409" spans="1:11" hidden="1" x14ac:dyDescent="0.25">
      <c r="A2409" s="3" t="s">
        <v>4388</v>
      </c>
      <c r="B2409" s="3">
        <v>12</v>
      </c>
      <c r="C2409" s="5">
        <v>335</v>
      </c>
      <c r="D2409" s="6">
        <v>0</v>
      </c>
      <c r="E2409" s="7">
        <v>703929</v>
      </c>
      <c r="F2409" s="3">
        <v>51210</v>
      </c>
      <c r="G2409" s="3" t="str">
        <f t="shared" si="37"/>
        <v>5</v>
      </c>
      <c r="H2409" s="3" t="s">
        <v>4389</v>
      </c>
      <c r="I2409" s="8">
        <v>0</v>
      </c>
      <c r="J2409" s="8">
        <v>73226.259999999995</v>
      </c>
      <c r="K2409" s="8">
        <v>0</v>
      </c>
    </row>
    <row r="2410" spans="1:11" hidden="1" x14ac:dyDescent="0.25">
      <c r="A2410" s="3" t="s">
        <v>4390</v>
      </c>
      <c r="B2410" s="3">
        <v>12</v>
      </c>
      <c r="C2410" s="5">
        <v>335</v>
      </c>
      <c r="D2410" s="6">
        <v>0</v>
      </c>
      <c r="E2410" s="7">
        <v>703929</v>
      </c>
      <c r="F2410" s="3">
        <v>51311</v>
      </c>
      <c r="G2410" s="3" t="str">
        <f t="shared" si="37"/>
        <v>5</v>
      </c>
      <c r="H2410" s="3" t="s">
        <v>4391</v>
      </c>
      <c r="I2410" s="8">
        <v>0</v>
      </c>
      <c r="J2410" s="8">
        <v>22680.58</v>
      </c>
      <c r="K2410" s="8">
        <v>0</v>
      </c>
    </row>
    <row r="2411" spans="1:11" hidden="1" x14ac:dyDescent="0.25">
      <c r="A2411" s="3" t="s">
        <v>4392</v>
      </c>
      <c r="B2411" s="3">
        <v>12</v>
      </c>
      <c r="C2411" s="5">
        <v>335</v>
      </c>
      <c r="D2411" s="6">
        <v>0</v>
      </c>
      <c r="E2411" s="7">
        <v>703929</v>
      </c>
      <c r="F2411" s="3">
        <v>51412</v>
      </c>
      <c r="G2411" s="3" t="str">
        <f t="shared" si="37"/>
        <v>5</v>
      </c>
      <c r="H2411" s="3" t="s">
        <v>4393</v>
      </c>
      <c r="I2411" s="8">
        <v>163073</v>
      </c>
      <c r="J2411" s="8">
        <v>29734.639999999999</v>
      </c>
      <c r="K2411" s="8">
        <v>163073</v>
      </c>
    </row>
    <row r="2412" spans="1:11" hidden="1" x14ac:dyDescent="0.25">
      <c r="A2412" s="3" t="s">
        <v>4394</v>
      </c>
      <c r="B2412" s="3">
        <v>12</v>
      </c>
      <c r="C2412" s="5">
        <v>335</v>
      </c>
      <c r="D2412" s="6">
        <v>0</v>
      </c>
      <c r="E2412" s="7">
        <v>703929</v>
      </c>
      <c r="F2412" s="3">
        <v>53000</v>
      </c>
      <c r="G2412" s="3" t="str">
        <f t="shared" si="37"/>
        <v>5</v>
      </c>
      <c r="H2412" s="3" t="s">
        <v>4395</v>
      </c>
      <c r="I2412" s="8">
        <v>59692</v>
      </c>
      <c r="J2412" s="8">
        <v>0</v>
      </c>
      <c r="K2412" s="8">
        <v>59692</v>
      </c>
    </row>
    <row r="2413" spans="1:11" hidden="1" x14ac:dyDescent="0.25">
      <c r="A2413" s="3" t="s">
        <v>4396</v>
      </c>
      <c r="B2413" s="3">
        <v>12</v>
      </c>
      <c r="C2413" s="5">
        <v>335</v>
      </c>
      <c r="D2413" s="6">
        <v>0</v>
      </c>
      <c r="E2413" s="7">
        <v>703929</v>
      </c>
      <c r="F2413" s="3">
        <v>53110</v>
      </c>
      <c r="G2413" s="3" t="str">
        <f t="shared" si="37"/>
        <v>5</v>
      </c>
      <c r="H2413" s="3" t="s">
        <v>4397</v>
      </c>
      <c r="I2413" s="8">
        <v>0</v>
      </c>
      <c r="J2413" s="8">
        <v>16187.47</v>
      </c>
      <c r="K2413" s="8">
        <v>0</v>
      </c>
    </row>
    <row r="2414" spans="1:11" hidden="1" x14ac:dyDescent="0.25">
      <c r="A2414" s="3" t="s">
        <v>4398</v>
      </c>
      <c r="B2414" s="3">
        <v>12</v>
      </c>
      <c r="C2414" s="5">
        <v>335</v>
      </c>
      <c r="D2414" s="6">
        <v>0</v>
      </c>
      <c r="E2414" s="7">
        <v>703929</v>
      </c>
      <c r="F2414" s="3">
        <v>53120</v>
      </c>
      <c r="G2414" s="3" t="str">
        <f t="shared" si="37"/>
        <v>5</v>
      </c>
      <c r="H2414" s="3" t="s">
        <v>4399</v>
      </c>
      <c r="I2414" s="8">
        <v>0</v>
      </c>
      <c r="J2414" s="8">
        <v>16851.97</v>
      </c>
      <c r="K2414" s="8">
        <v>0</v>
      </c>
    </row>
    <row r="2415" spans="1:11" hidden="1" x14ac:dyDescent="0.25">
      <c r="A2415" s="3" t="s">
        <v>4400</v>
      </c>
      <c r="B2415" s="3">
        <v>12</v>
      </c>
      <c r="C2415" s="5">
        <v>335</v>
      </c>
      <c r="D2415" s="6">
        <v>0</v>
      </c>
      <c r="E2415" s="7">
        <v>703929</v>
      </c>
      <c r="F2415" s="3">
        <v>53330</v>
      </c>
      <c r="G2415" s="3" t="str">
        <f t="shared" si="37"/>
        <v>5</v>
      </c>
      <c r="H2415" s="3" t="s">
        <v>4401</v>
      </c>
      <c r="I2415" s="8">
        <v>0</v>
      </c>
      <c r="J2415" s="8">
        <v>1453.34</v>
      </c>
      <c r="K2415" s="8">
        <v>0</v>
      </c>
    </row>
    <row r="2416" spans="1:11" hidden="1" x14ac:dyDescent="0.25">
      <c r="A2416" s="3" t="s">
        <v>4402</v>
      </c>
      <c r="B2416" s="3">
        <v>12</v>
      </c>
      <c r="C2416" s="5">
        <v>335</v>
      </c>
      <c r="D2416" s="6">
        <v>0</v>
      </c>
      <c r="E2416" s="7">
        <v>703929</v>
      </c>
      <c r="F2416" s="3">
        <v>53340</v>
      </c>
      <c r="G2416" s="3" t="str">
        <f t="shared" si="37"/>
        <v>5</v>
      </c>
      <c r="H2416" s="3" t="s">
        <v>4403</v>
      </c>
      <c r="I2416" s="8">
        <v>0</v>
      </c>
      <c r="J2416" s="8">
        <v>1492.94</v>
      </c>
      <c r="K2416" s="8">
        <v>0</v>
      </c>
    </row>
    <row r="2417" spans="1:11" hidden="1" x14ac:dyDescent="0.25">
      <c r="A2417" s="3" t="s">
        <v>4404</v>
      </c>
      <c r="B2417" s="3">
        <v>12</v>
      </c>
      <c r="C2417" s="5">
        <v>335</v>
      </c>
      <c r="D2417" s="6">
        <v>0</v>
      </c>
      <c r="E2417" s="7">
        <v>703929</v>
      </c>
      <c r="F2417" s="3">
        <v>53410</v>
      </c>
      <c r="G2417" s="3" t="str">
        <f t="shared" si="37"/>
        <v>5</v>
      </c>
      <c r="H2417" s="3" t="s">
        <v>4405</v>
      </c>
      <c r="I2417" s="8">
        <v>0</v>
      </c>
      <c r="J2417" s="8">
        <v>9362.61</v>
      </c>
      <c r="K2417" s="8">
        <v>0</v>
      </c>
    </row>
    <row r="2418" spans="1:11" hidden="1" x14ac:dyDescent="0.25">
      <c r="A2418" s="3" t="s">
        <v>4406</v>
      </c>
      <c r="B2418" s="3">
        <v>12</v>
      </c>
      <c r="C2418" s="5">
        <v>335</v>
      </c>
      <c r="D2418" s="6">
        <v>0</v>
      </c>
      <c r="E2418" s="7">
        <v>703929</v>
      </c>
      <c r="F2418" s="3">
        <v>53420</v>
      </c>
      <c r="G2418" s="3" t="str">
        <f t="shared" si="37"/>
        <v>5</v>
      </c>
      <c r="H2418" s="3" t="s">
        <v>4407</v>
      </c>
      <c r="I2418" s="8">
        <v>0</v>
      </c>
      <c r="J2418" s="8">
        <v>4419.62</v>
      </c>
      <c r="K2418" s="8">
        <v>0</v>
      </c>
    </row>
    <row r="2419" spans="1:11" hidden="1" x14ac:dyDescent="0.25">
      <c r="A2419" s="3" t="s">
        <v>4408</v>
      </c>
      <c r="B2419" s="3">
        <v>12</v>
      </c>
      <c r="C2419" s="5">
        <v>335</v>
      </c>
      <c r="D2419" s="6">
        <v>0</v>
      </c>
      <c r="E2419" s="7">
        <v>703929</v>
      </c>
      <c r="F2419" s="3">
        <v>53510</v>
      </c>
      <c r="G2419" s="3" t="str">
        <f t="shared" si="37"/>
        <v>5</v>
      </c>
      <c r="H2419" s="3" t="s">
        <v>4409</v>
      </c>
      <c r="I2419" s="8">
        <v>0</v>
      </c>
      <c r="J2419" s="8">
        <v>50.16</v>
      </c>
      <c r="K2419" s="8">
        <v>0</v>
      </c>
    </row>
    <row r="2420" spans="1:11" hidden="1" x14ac:dyDescent="0.25">
      <c r="A2420" s="3" t="s">
        <v>4410</v>
      </c>
      <c r="B2420" s="3">
        <v>12</v>
      </c>
      <c r="C2420" s="5">
        <v>335</v>
      </c>
      <c r="D2420" s="6">
        <v>0</v>
      </c>
      <c r="E2420" s="7">
        <v>703929</v>
      </c>
      <c r="F2420" s="3">
        <v>53520</v>
      </c>
      <c r="G2420" s="3" t="str">
        <f t="shared" si="37"/>
        <v>5</v>
      </c>
      <c r="H2420" s="3" t="s">
        <v>4411</v>
      </c>
      <c r="I2420" s="8">
        <v>0</v>
      </c>
      <c r="J2420" s="8">
        <v>51.48</v>
      </c>
      <c r="K2420" s="8">
        <v>0</v>
      </c>
    </row>
    <row r="2421" spans="1:11" hidden="1" x14ac:dyDescent="0.25">
      <c r="A2421" s="3" t="s">
        <v>4412</v>
      </c>
      <c r="B2421" s="3">
        <v>12</v>
      </c>
      <c r="C2421" s="5">
        <v>335</v>
      </c>
      <c r="D2421" s="6">
        <v>0</v>
      </c>
      <c r="E2421" s="7">
        <v>703929</v>
      </c>
      <c r="F2421" s="3">
        <v>53610</v>
      </c>
      <c r="G2421" s="3" t="str">
        <f t="shared" si="37"/>
        <v>5</v>
      </c>
      <c r="H2421" s="3" t="s">
        <v>4413</v>
      </c>
      <c r="I2421" s="8">
        <v>0</v>
      </c>
      <c r="J2421" s="8">
        <v>1895.16</v>
      </c>
      <c r="K2421" s="8">
        <v>0</v>
      </c>
    </row>
    <row r="2422" spans="1:11" hidden="1" x14ac:dyDescent="0.25">
      <c r="A2422" s="3" t="s">
        <v>4414</v>
      </c>
      <c r="B2422" s="3">
        <v>12</v>
      </c>
      <c r="C2422" s="5">
        <v>335</v>
      </c>
      <c r="D2422" s="6">
        <v>0</v>
      </c>
      <c r="E2422" s="7">
        <v>703929</v>
      </c>
      <c r="F2422" s="3">
        <v>53620</v>
      </c>
      <c r="G2422" s="3" t="str">
        <f t="shared" si="37"/>
        <v>5</v>
      </c>
      <c r="H2422" s="3" t="s">
        <v>4415</v>
      </c>
      <c r="I2422" s="8">
        <v>0</v>
      </c>
      <c r="J2422" s="8">
        <v>1946.79</v>
      </c>
      <c r="K2422" s="8">
        <v>0</v>
      </c>
    </row>
    <row r="2423" spans="1:11" hidden="1" x14ac:dyDescent="0.25">
      <c r="A2423" s="3" t="s">
        <v>4416</v>
      </c>
      <c r="B2423" s="3">
        <v>12</v>
      </c>
      <c r="C2423" s="5">
        <v>335</v>
      </c>
      <c r="D2423" s="6">
        <v>0</v>
      </c>
      <c r="E2423" s="7">
        <v>703929</v>
      </c>
      <c r="F2423" s="3">
        <v>56405</v>
      </c>
      <c r="G2423" s="3" t="str">
        <f t="shared" si="37"/>
        <v>5</v>
      </c>
      <c r="H2423" s="3" t="s">
        <v>4417</v>
      </c>
      <c r="I2423" s="8">
        <v>28492.34</v>
      </c>
      <c r="J2423" s="8">
        <v>0</v>
      </c>
      <c r="K2423" s="8">
        <v>28492.34</v>
      </c>
    </row>
    <row r="2424" spans="1:11" hidden="1" x14ac:dyDescent="0.25">
      <c r="A2424" s="3" t="s">
        <v>4418</v>
      </c>
      <c r="B2424" s="3">
        <v>12</v>
      </c>
      <c r="C2424" s="5">
        <v>350</v>
      </c>
      <c r="D2424" s="6">
        <v>0</v>
      </c>
      <c r="E2424" s="7">
        <v>679000</v>
      </c>
      <c r="F2424" s="3">
        <v>55610</v>
      </c>
      <c r="G2424" s="3" t="str">
        <f t="shared" si="37"/>
        <v>5</v>
      </c>
      <c r="H2424" s="3" t="s">
        <v>3550</v>
      </c>
      <c r="I2424" s="8">
        <v>600</v>
      </c>
      <c r="J2424" s="8">
        <v>599</v>
      </c>
      <c r="K2424" s="8">
        <v>600</v>
      </c>
    </row>
    <row r="2425" spans="1:11" hidden="1" x14ac:dyDescent="0.25">
      <c r="A2425" s="3" t="s">
        <v>4419</v>
      </c>
      <c r="B2425" s="3">
        <v>12</v>
      </c>
      <c r="C2425" s="5">
        <v>350</v>
      </c>
      <c r="D2425" s="6">
        <v>0</v>
      </c>
      <c r="E2425" s="7">
        <v>700307</v>
      </c>
      <c r="F2425" s="3">
        <v>48170</v>
      </c>
      <c r="G2425" s="3" t="str">
        <f t="shared" si="37"/>
        <v>4</v>
      </c>
      <c r="H2425" s="3" t="s">
        <v>4420</v>
      </c>
      <c r="I2425" s="8">
        <v>0</v>
      </c>
      <c r="J2425" s="8">
        <v>0</v>
      </c>
      <c r="K2425" s="8">
        <v>0</v>
      </c>
    </row>
    <row r="2426" spans="1:11" hidden="1" x14ac:dyDescent="0.25">
      <c r="A2426" s="3" t="s">
        <v>4421</v>
      </c>
      <c r="B2426" s="3">
        <v>12</v>
      </c>
      <c r="C2426" s="5">
        <v>350</v>
      </c>
      <c r="D2426" s="6">
        <v>0</v>
      </c>
      <c r="E2426" s="7">
        <v>700307</v>
      </c>
      <c r="F2426" s="3">
        <v>52105</v>
      </c>
      <c r="G2426" s="3" t="str">
        <f t="shared" si="37"/>
        <v>5</v>
      </c>
      <c r="H2426" s="3" t="s">
        <v>4422</v>
      </c>
      <c r="I2426" s="8">
        <v>0</v>
      </c>
      <c r="J2426" s="8">
        <v>0</v>
      </c>
      <c r="K2426" s="8">
        <v>0</v>
      </c>
    </row>
    <row r="2427" spans="1:11" hidden="1" x14ac:dyDescent="0.25">
      <c r="A2427" s="3" t="s">
        <v>4423</v>
      </c>
      <c r="B2427" s="3">
        <v>12</v>
      </c>
      <c r="C2427" s="5">
        <v>350</v>
      </c>
      <c r="D2427" s="6">
        <v>0</v>
      </c>
      <c r="E2427" s="7">
        <v>700307</v>
      </c>
      <c r="F2427" s="3">
        <v>52360</v>
      </c>
      <c r="G2427" s="3" t="str">
        <f t="shared" si="37"/>
        <v>5</v>
      </c>
      <c r="H2427" s="3" t="s">
        <v>4424</v>
      </c>
      <c r="I2427" s="8">
        <v>0</v>
      </c>
      <c r="J2427" s="8">
        <v>0</v>
      </c>
      <c r="K2427" s="8">
        <v>0</v>
      </c>
    </row>
    <row r="2428" spans="1:11" hidden="1" x14ac:dyDescent="0.25">
      <c r="A2428" s="3" t="s">
        <v>4425</v>
      </c>
      <c r="B2428" s="3">
        <v>12</v>
      </c>
      <c r="C2428" s="5">
        <v>350</v>
      </c>
      <c r="D2428" s="6">
        <v>0</v>
      </c>
      <c r="E2428" s="7">
        <v>700307</v>
      </c>
      <c r="F2428" s="3">
        <v>53220</v>
      </c>
      <c r="G2428" s="3" t="str">
        <f t="shared" si="37"/>
        <v>5</v>
      </c>
      <c r="H2428" s="3" t="s">
        <v>4426</v>
      </c>
      <c r="I2428" s="8">
        <v>0</v>
      </c>
      <c r="J2428" s="8">
        <v>0</v>
      </c>
      <c r="K2428" s="8">
        <v>0</v>
      </c>
    </row>
    <row r="2429" spans="1:11" hidden="1" x14ac:dyDescent="0.25">
      <c r="A2429" s="3" t="s">
        <v>4427</v>
      </c>
      <c r="B2429" s="3">
        <v>12</v>
      </c>
      <c r="C2429" s="5">
        <v>350</v>
      </c>
      <c r="D2429" s="6">
        <v>0</v>
      </c>
      <c r="E2429" s="7">
        <v>700307</v>
      </c>
      <c r="F2429" s="3">
        <v>53320</v>
      </c>
      <c r="G2429" s="3" t="str">
        <f t="shared" si="37"/>
        <v>5</v>
      </c>
      <c r="H2429" s="3" t="s">
        <v>4428</v>
      </c>
      <c r="I2429" s="8">
        <v>0</v>
      </c>
      <c r="J2429" s="8">
        <v>0</v>
      </c>
      <c r="K2429" s="8">
        <v>0</v>
      </c>
    </row>
    <row r="2430" spans="1:11" hidden="1" x14ac:dyDescent="0.25">
      <c r="A2430" s="3" t="s">
        <v>4429</v>
      </c>
      <c r="B2430" s="3">
        <v>12</v>
      </c>
      <c r="C2430" s="5">
        <v>350</v>
      </c>
      <c r="D2430" s="6">
        <v>0</v>
      </c>
      <c r="E2430" s="7">
        <v>700307</v>
      </c>
      <c r="F2430" s="3">
        <v>53340</v>
      </c>
      <c r="G2430" s="3" t="str">
        <f t="shared" si="37"/>
        <v>5</v>
      </c>
      <c r="H2430" s="3" t="s">
        <v>4430</v>
      </c>
      <c r="I2430" s="8">
        <v>0</v>
      </c>
      <c r="J2430" s="8">
        <v>0</v>
      </c>
      <c r="K2430" s="8">
        <v>0</v>
      </c>
    </row>
    <row r="2431" spans="1:11" hidden="1" x14ac:dyDescent="0.25">
      <c r="A2431" s="3" t="s">
        <v>4431</v>
      </c>
      <c r="B2431" s="3">
        <v>12</v>
      </c>
      <c r="C2431" s="5">
        <v>350</v>
      </c>
      <c r="D2431" s="6">
        <v>0</v>
      </c>
      <c r="E2431" s="7">
        <v>700307</v>
      </c>
      <c r="F2431" s="3">
        <v>53420</v>
      </c>
      <c r="G2431" s="3" t="str">
        <f t="shared" si="37"/>
        <v>5</v>
      </c>
      <c r="H2431" s="3" t="s">
        <v>4432</v>
      </c>
      <c r="I2431" s="8">
        <v>0</v>
      </c>
      <c r="J2431" s="8">
        <v>0</v>
      </c>
      <c r="K2431" s="8">
        <v>0</v>
      </c>
    </row>
    <row r="2432" spans="1:11" hidden="1" x14ac:dyDescent="0.25">
      <c r="A2432" s="3" t="s">
        <v>4433</v>
      </c>
      <c r="B2432" s="3">
        <v>12</v>
      </c>
      <c r="C2432" s="5">
        <v>350</v>
      </c>
      <c r="D2432" s="6">
        <v>0</v>
      </c>
      <c r="E2432" s="7">
        <v>700307</v>
      </c>
      <c r="F2432" s="3">
        <v>53520</v>
      </c>
      <c r="G2432" s="3" t="str">
        <f t="shared" si="37"/>
        <v>5</v>
      </c>
      <c r="H2432" s="3" t="s">
        <v>4434</v>
      </c>
      <c r="I2432" s="8">
        <v>0</v>
      </c>
      <c r="J2432" s="8">
        <v>0</v>
      </c>
      <c r="K2432" s="8">
        <v>0</v>
      </c>
    </row>
    <row r="2433" spans="1:11" hidden="1" x14ac:dyDescent="0.25">
      <c r="A2433" s="3" t="s">
        <v>4435</v>
      </c>
      <c r="B2433" s="3">
        <v>12</v>
      </c>
      <c r="C2433" s="5">
        <v>350</v>
      </c>
      <c r="D2433" s="6">
        <v>0</v>
      </c>
      <c r="E2433" s="7">
        <v>700307</v>
      </c>
      <c r="F2433" s="3">
        <v>53620</v>
      </c>
      <c r="G2433" s="3" t="str">
        <f t="shared" si="37"/>
        <v>5</v>
      </c>
      <c r="H2433" s="3" t="s">
        <v>4436</v>
      </c>
      <c r="I2433" s="8">
        <v>0</v>
      </c>
      <c r="J2433" s="8">
        <v>0</v>
      </c>
      <c r="K2433" s="8">
        <v>0</v>
      </c>
    </row>
    <row r="2434" spans="1:11" hidden="1" x14ac:dyDescent="0.25">
      <c r="A2434" s="3" t="s">
        <v>4437</v>
      </c>
      <c r="B2434" s="3">
        <v>12</v>
      </c>
      <c r="C2434" s="5">
        <v>350</v>
      </c>
      <c r="D2434" s="6">
        <v>0</v>
      </c>
      <c r="E2434" s="7">
        <v>700307</v>
      </c>
      <c r="F2434" s="3">
        <v>53920</v>
      </c>
      <c r="G2434" s="3" t="str">
        <f t="shared" ref="G2434:G2497" si="38">LEFT(F2434,1)</f>
        <v>5</v>
      </c>
      <c r="H2434" s="3" t="s">
        <v>4438</v>
      </c>
      <c r="I2434" s="8">
        <v>0</v>
      </c>
      <c r="J2434" s="8">
        <v>0</v>
      </c>
      <c r="K2434" s="8">
        <v>0</v>
      </c>
    </row>
    <row r="2435" spans="1:11" hidden="1" x14ac:dyDescent="0.25">
      <c r="A2435" s="3" t="s">
        <v>4439</v>
      </c>
      <c r="B2435" s="3">
        <v>12</v>
      </c>
      <c r="C2435" s="5">
        <v>350</v>
      </c>
      <c r="D2435" s="6">
        <v>0</v>
      </c>
      <c r="E2435" s="7">
        <v>700307</v>
      </c>
      <c r="F2435" s="3">
        <v>54300</v>
      </c>
      <c r="G2435" s="3" t="str">
        <f t="shared" si="38"/>
        <v>5</v>
      </c>
      <c r="H2435" s="3" t="s">
        <v>4440</v>
      </c>
      <c r="I2435" s="8">
        <v>0</v>
      </c>
      <c r="J2435" s="8">
        <v>0</v>
      </c>
      <c r="K2435" s="8">
        <v>0</v>
      </c>
    </row>
    <row r="2436" spans="1:11" hidden="1" x14ac:dyDescent="0.25">
      <c r="A2436" s="3" t="s">
        <v>4441</v>
      </c>
      <c r="B2436" s="3">
        <v>12</v>
      </c>
      <c r="C2436" s="5">
        <v>350</v>
      </c>
      <c r="D2436" s="6">
        <v>0</v>
      </c>
      <c r="E2436" s="7">
        <v>700307</v>
      </c>
      <c r="F2436" s="3">
        <v>55105</v>
      </c>
      <c r="G2436" s="3" t="str">
        <f t="shared" si="38"/>
        <v>5</v>
      </c>
      <c r="H2436" s="3" t="s">
        <v>4442</v>
      </c>
      <c r="I2436" s="8">
        <v>0</v>
      </c>
      <c r="J2436" s="8">
        <v>0</v>
      </c>
      <c r="K2436" s="8">
        <v>0</v>
      </c>
    </row>
    <row r="2437" spans="1:11" hidden="1" x14ac:dyDescent="0.25">
      <c r="A2437" s="3" t="s">
        <v>4443</v>
      </c>
      <c r="B2437" s="3">
        <v>12</v>
      </c>
      <c r="C2437" s="5">
        <v>350</v>
      </c>
      <c r="D2437" s="6">
        <v>0</v>
      </c>
      <c r="E2437" s="7">
        <v>700307</v>
      </c>
      <c r="F2437" s="3">
        <v>55200</v>
      </c>
      <c r="G2437" s="3" t="str">
        <f t="shared" si="38"/>
        <v>5</v>
      </c>
      <c r="H2437" s="3" t="s">
        <v>4444</v>
      </c>
      <c r="I2437" s="8">
        <v>0</v>
      </c>
      <c r="J2437" s="8">
        <v>0</v>
      </c>
      <c r="K2437" s="8">
        <v>0</v>
      </c>
    </row>
    <row r="2438" spans="1:11" hidden="1" x14ac:dyDescent="0.25">
      <c r="A2438" s="3" t="s">
        <v>4445</v>
      </c>
      <c r="B2438" s="3">
        <v>12</v>
      </c>
      <c r="C2438" s="5">
        <v>350</v>
      </c>
      <c r="D2438" s="6">
        <v>0</v>
      </c>
      <c r="E2438" s="7">
        <v>700307</v>
      </c>
      <c r="F2438" s="3">
        <v>55630</v>
      </c>
      <c r="G2438" s="3" t="str">
        <f t="shared" si="38"/>
        <v>5</v>
      </c>
      <c r="H2438" s="3" t="s">
        <v>4446</v>
      </c>
      <c r="I2438" s="8">
        <v>0</v>
      </c>
      <c r="J2438" s="8">
        <v>0</v>
      </c>
      <c r="K2438" s="8">
        <v>0</v>
      </c>
    </row>
    <row r="2439" spans="1:11" hidden="1" x14ac:dyDescent="0.25">
      <c r="A2439" s="3" t="s">
        <v>4447</v>
      </c>
      <c r="B2439" s="3">
        <v>12</v>
      </c>
      <c r="C2439" s="5">
        <v>350</v>
      </c>
      <c r="D2439" s="6">
        <v>0</v>
      </c>
      <c r="E2439" s="7">
        <v>700307</v>
      </c>
      <c r="F2439" s="3">
        <v>57350</v>
      </c>
      <c r="G2439" s="3" t="str">
        <f t="shared" si="38"/>
        <v>5</v>
      </c>
      <c r="H2439" s="3" t="s">
        <v>4448</v>
      </c>
      <c r="I2439" s="8">
        <v>0</v>
      </c>
      <c r="J2439" s="8">
        <v>0</v>
      </c>
      <c r="K2439" s="8">
        <v>0</v>
      </c>
    </row>
    <row r="2440" spans="1:11" hidden="1" x14ac:dyDescent="0.25">
      <c r="A2440" s="3" t="s">
        <v>4449</v>
      </c>
      <c r="B2440" s="3">
        <v>12</v>
      </c>
      <c r="C2440" s="5">
        <v>350</v>
      </c>
      <c r="D2440" s="6">
        <v>0</v>
      </c>
      <c r="E2440" s="7">
        <v>700320</v>
      </c>
      <c r="F2440" s="3">
        <v>51210</v>
      </c>
      <c r="G2440" s="3" t="str">
        <f t="shared" si="38"/>
        <v>5</v>
      </c>
      <c r="H2440" s="3" t="s">
        <v>4450</v>
      </c>
      <c r="I2440" s="8">
        <v>0</v>
      </c>
      <c r="J2440" s="8">
        <v>0</v>
      </c>
      <c r="K2440" s="8">
        <v>0</v>
      </c>
    </row>
    <row r="2441" spans="1:11" hidden="1" x14ac:dyDescent="0.25">
      <c r="A2441" s="3" t="s">
        <v>4451</v>
      </c>
      <c r="B2441" s="3">
        <v>12</v>
      </c>
      <c r="C2441" s="5">
        <v>350</v>
      </c>
      <c r="D2441" s="6">
        <v>0</v>
      </c>
      <c r="E2441" s="7">
        <v>700320</v>
      </c>
      <c r="F2441" s="3">
        <v>52105</v>
      </c>
      <c r="G2441" s="3" t="str">
        <f t="shared" si="38"/>
        <v>5</v>
      </c>
      <c r="H2441" s="3" t="s">
        <v>4452</v>
      </c>
      <c r="I2441" s="8">
        <v>0</v>
      </c>
      <c r="J2441" s="8">
        <v>0</v>
      </c>
      <c r="K2441" s="8">
        <v>0</v>
      </c>
    </row>
    <row r="2442" spans="1:11" hidden="1" x14ac:dyDescent="0.25">
      <c r="A2442" s="3" t="s">
        <v>4453</v>
      </c>
      <c r="B2442" s="3">
        <v>12</v>
      </c>
      <c r="C2442" s="5">
        <v>350</v>
      </c>
      <c r="D2442" s="6">
        <v>0</v>
      </c>
      <c r="E2442" s="7">
        <v>700320</v>
      </c>
      <c r="F2442" s="3">
        <v>52300</v>
      </c>
      <c r="G2442" s="3" t="str">
        <f t="shared" si="38"/>
        <v>5</v>
      </c>
      <c r="H2442" s="3" t="s">
        <v>4454</v>
      </c>
      <c r="I2442" s="8">
        <v>0</v>
      </c>
      <c r="J2442" s="8">
        <v>0</v>
      </c>
      <c r="K2442" s="8">
        <v>0</v>
      </c>
    </row>
    <row r="2443" spans="1:11" hidden="1" x14ac:dyDescent="0.25">
      <c r="A2443" s="3" t="s">
        <v>4455</v>
      </c>
      <c r="B2443" s="3">
        <v>12</v>
      </c>
      <c r="C2443" s="5">
        <v>350</v>
      </c>
      <c r="D2443" s="6">
        <v>0</v>
      </c>
      <c r="E2443" s="7">
        <v>700320</v>
      </c>
      <c r="F2443" s="3">
        <v>53120</v>
      </c>
      <c r="G2443" s="3" t="str">
        <f t="shared" si="38"/>
        <v>5</v>
      </c>
      <c r="H2443" s="3" t="s">
        <v>4456</v>
      </c>
      <c r="I2443" s="8">
        <v>0</v>
      </c>
      <c r="J2443" s="8">
        <v>0</v>
      </c>
      <c r="K2443" s="8">
        <v>0</v>
      </c>
    </row>
    <row r="2444" spans="1:11" hidden="1" x14ac:dyDescent="0.25">
      <c r="A2444" s="3" t="s">
        <v>4457</v>
      </c>
      <c r="B2444" s="3">
        <v>12</v>
      </c>
      <c r="C2444" s="5">
        <v>350</v>
      </c>
      <c r="D2444" s="6">
        <v>0</v>
      </c>
      <c r="E2444" s="7">
        <v>700320</v>
      </c>
      <c r="F2444" s="3">
        <v>53220</v>
      </c>
      <c r="G2444" s="3" t="str">
        <f t="shared" si="38"/>
        <v>5</v>
      </c>
      <c r="H2444" s="3" t="s">
        <v>4458</v>
      </c>
      <c r="I2444" s="8">
        <v>0</v>
      </c>
      <c r="J2444" s="8">
        <v>0</v>
      </c>
      <c r="K2444" s="8">
        <v>0</v>
      </c>
    </row>
    <row r="2445" spans="1:11" hidden="1" x14ac:dyDescent="0.25">
      <c r="A2445" s="3" t="s">
        <v>4459</v>
      </c>
      <c r="B2445" s="3">
        <v>12</v>
      </c>
      <c r="C2445" s="5">
        <v>350</v>
      </c>
      <c r="D2445" s="6">
        <v>0</v>
      </c>
      <c r="E2445" s="7">
        <v>700320</v>
      </c>
      <c r="F2445" s="3">
        <v>53320</v>
      </c>
      <c r="G2445" s="3" t="str">
        <f t="shared" si="38"/>
        <v>5</v>
      </c>
      <c r="H2445" s="3" t="s">
        <v>4460</v>
      </c>
      <c r="I2445" s="8">
        <v>0</v>
      </c>
      <c r="J2445" s="8">
        <v>0</v>
      </c>
      <c r="K2445" s="8">
        <v>0</v>
      </c>
    </row>
    <row r="2446" spans="1:11" hidden="1" x14ac:dyDescent="0.25">
      <c r="A2446" s="3" t="s">
        <v>4461</v>
      </c>
      <c r="B2446" s="3">
        <v>12</v>
      </c>
      <c r="C2446" s="5">
        <v>350</v>
      </c>
      <c r="D2446" s="6">
        <v>0</v>
      </c>
      <c r="E2446" s="7">
        <v>700320</v>
      </c>
      <c r="F2446" s="3">
        <v>53340</v>
      </c>
      <c r="G2446" s="3" t="str">
        <f t="shared" si="38"/>
        <v>5</v>
      </c>
      <c r="H2446" s="3" t="s">
        <v>4462</v>
      </c>
      <c r="I2446" s="8">
        <v>0</v>
      </c>
      <c r="J2446" s="8">
        <v>0</v>
      </c>
      <c r="K2446" s="8">
        <v>0</v>
      </c>
    </row>
    <row r="2447" spans="1:11" hidden="1" x14ac:dyDescent="0.25">
      <c r="A2447" s="3" t="s">
        <v>4463</v>
      </c>
      <c r="B2447" s="3">
        <v>12</v>
      </c>
      <c r="C2447" s="5">
        <v>350</v>
      </c>
      <c r="D2447" s="6">
        <v>0</v>
      </c>
      <c r="E2447" s="7">
        <v>700320</v>
      </c>
      <c r="F2447" s="3">
        <v>53420</v>
      </c>
      <c r="G2447" s="3" t="str">
        <f t="shared" si="38"/>
        <v>5</v>
      </c>
      <c r="H2447" s="3" t="s">
        <v>4464</v>
      </c>
      <c r="I2447" s="8">
        <v>0</v>
      </c>
      <c r="J2447" s="8">
        <v>0</v>
      </c>
      <c r="K2447" s="8">
        <v>0</v>
      </c>
    </row>
    <row r="2448" spans="1:11" hidden="1" x14ac:dyDescent="0.25">
      <c r="A2448" s="3" t="s">
        <v>4465</v>
      </c>
      <c r="B2448" s="3">
        <v>12</v>
      </c>
      <c r="C2448" s="5">
        <v>350</v>
      </c>
      <c r="D2448" s="6">
        <v>0</v>
      </c>
      <c r="E2448" s="7">
        <v>700320</v>
      </c>
      <c r="F2448" s="3">
        <v>53520</v>
      </c>
      <c r="G2448" s="3" t="str">
        <f t="shared" si="38"/>
        <v>5</v>
      </c>
      <c r="H2448" s="3" t="s">
        <v>4466</v>
      </c>
      <c r="I2448" s="8">
        <v>0</v>
      </c>
      <c r="J2448" s="8">
        <v>0</v>
      </c>
      <c r="K2448" s="8">
        <v>0</v>
      </c>
    </row>
    <row r="2449" spans="1:11" hidden="1" x14ac:dyDescent="0.25">
      <c r="A2449" s="3" t="s">
        <v>4467</v>
      </c>
      <c r="B2449" s="3">
        <v>12</v>
      </c>
      <c r="C2449" s="5">
        <v>350</v>
      </c>
      <c r="D2449" s="6">
        <v>0</v>
      </c>
      <c r="E2449" s="7">
        <v>700320</v>
      </c>
      <c r="F2449" s="3">
        <v>53620</v>
      </c>
      <c r="G2449" s="3" t="str">
        <f t="shared" si="38"/>
        <v>5</v>
      </c>
      <c r="H2449" s="3" t="s">
        <v>4468</v>
      </c>
      <c r="I2449" s="8">
        <v>0</v>
      </c>
      <c r="J2449" s="8">
        <v>0</v>
      </c>
      <c r="K2449" s="8">
        <v>0</v>
      </c>
    </row>
    <row r="2450" spans="1:11" hidden="1" x14ac:dyDescent="0.25">
      <c r="A2450" s="3" t="s">
        <v>4469</v>
      </c>
      <c r="B2450" s="3">
        <v>12</v>
      </c>
      <c r="C2450" s="5">
        <v>350</v>
      </c>
      <c r="D2450" s="6">
        <v>0</v>
      </c>
      <c r="E2450" s="7">
        <v>700320</v>
      </c>
      <c r="F2450" s="3">
        <v>53920</v>
      </c>
      <c r="G2450" s="3" t="str">
        <f t="shared" si="38"/>
        <v>5</v>
      </c>
      <c r="H2450" s="3" t="s">
        <v>4470</v>
      </c>
      <c r="I2450" s="8">
        <v>0</v>
      </c>
      <c r="J2450" s="8">
        <v>0</v>
      </c>
      <c r="K2450" s="8">
        <v>0</v>
      </c>
    </row>
    <row r="2451" spans="1:11" hidden="1" x14ac:dyDescent="0.25">
      <c r="A2451" s="3" t="s">
        <v>4471</v>
      </c>
      <c r="B2451" s="3">
        <v>12</v>
      </c>
      <c r="C2451" s="5">
        <v>350</v>
      </c>
      <c r="D2451" s="6">
        <v>0</v>
      </c>
      <c r="E2451" s="7">
        <v>700321</v>
      </c>
      <c r="F2451" s="3">
        <v>51100</v>
      </c>
      <c r="G2451" s="3" t="str">
        <f t="shared" si="38"/>
        <v>5</v>
      </c>
      <c r="H2451" s="3" t="s">
        <v>4472</v>
      </c>
      <c r="I2451" s="8">
        <v>109953</v>
      </c>
      <c r="J2451" s="8">
        <v>79965.84</v>
      </c>
      <c r="K2451" s="8">
        <v>109953</v>
      </c>
    </row>
    <row r="2452" spans="1:11" hidden="1" x14ac:dyDescent="0.25">
      <c r="A2452" s="3" t="s">
        <v>4473</v>
      </c>
      <c r="B2452" s="3">
        <v>12</v>
      </c>
      <c r="C2452" s="5">
        <v>350</v>
      </c>
      <c r="D2452" s="6">
        <v>0</v>
      </c>
      <c r="E2452" s="7">
        <v>700321</v>
      </c>
      <c r="F2452" s="3">
        <v>52105</v>
      </c>
      <c r="G2452" s="3" t="str">
        <f t="shared" si="38"/>
        <v>5</v>
      </c>
      <c r="H2452" s="3" t="s">
        <v>4474</v>
      </c>
      <c r="I2452" s="8">
        <v>71326</v>
      </c>
      <c r="J2452" s="8">
        <v>0</v>
      </c>
      <c r="K2452" s="8">
        <v>71326</v>
      </c>
    </row>
    <row r="2453" spans="1:11" hidden="1" x14ac:dyDescent="0.25">
      <c r="A2453" s="3" t="s">
        <v>4475</v>
      </c>
      <c r="B2453" s="3">
        <v>12</v>
      </c>
      <c r="C2453" s="5">
        <v>350</v>
      </c>
      <c r="D2453" s="6">
        <v>0</v>
      </c>
      <c r="E2453" s="7">
        <v>700321</v>
      </c>
      <c r="F2453" s="3">
        <v>53110</v>
      </c>
      <c r="G2453" s="3" t="str">
        <f t="shared" si="38"/>
        <v>5</v>
      </c>
      <c r="H2453" s="3" t="s">
        <v>4476</v>
      </c>
      <c r="I2453" s="8">
        <v>21001.02</v>
      </c>
      <c r="J2453" s="8">
        <v>12914.48</v>
      </c>
      <c r="K2453" s="8">
        <v>21001.02</v>
      </c>
    </row>
    <row r="2454" spans="1:11" hidden="1" x14ac:dyDescent="0.25">
      <c r="A2454" s="3" t="s">
        <v>4477</v>
      </c>
      <c r="B2454" s="3">
        <v>12</v>
      </c>
      <c r="C2454" s="5">
        <v>350</v>
      </c>
      <c r="D2454" s="6">
        <v>0</v>
      </c>
      <c r="E2454" s="7">
        <v>700321</v>
      </c>
      <c r="F2454" s="3">
        <v>53220</v>
      </c>
      <c r="G2454" s="3" t="str">
        <f t="shared" si="38"/>
        <v>5</v>
      </c>
      <c r="H2454" s="3" t="s">
        <v>4478</v>
      </c>
      <c r="I2454" s="8">
        <v>16191</v>
      </c>
      <c r="J2454" s="8">
        <v>0</v>
      </c>
      <c r="K2454" s="8">
        <v>16191</v>
      </c>
    </row>
    <row r="2455" spans="1:11" hidden="1" x14ac:dyDescent="0.25">
      <c r="A2455" s="3" t="s">
        <v>4479</v>
      </c>
      <c r="B2455" s="3">
        <v>12</v>
      </c>
      <c r="C2455" s="5">
        <v>350</v>
      </c>
      <c r="D2455" s="6">
        <v>0</v>
      </c>
      <c r="E2455" s="7">
        <v>700321</v>
      </c>
      <c r="F2455" s="3">
        <v>53320</v>
      </c>
      <c r="G2455" s="3" t="str">
        <f t="shared" si="38"/>
        <v>5</v>
      </c>
      <c r="H2455" s="3" t="s">
        <v>4480</v>
      </c>
      <c r="I2455" s="8">
        <v>4422.21</v>
      </c>
      <c r="J2455" s="8">
        <v>0</v>
      </c>
      <c r="K2455" s="8">
        <v>4422.21</v>
      </c>
    </row>
    <row r="2456" spans="1:11" hidden="1" x14ac:dyDescent="0.25">
      <c r="A2456" s="3" t="s">
        <v>4481</v>
      </c>
      <c r="B2456" s="3">
        <v>12</v>
      </c>
      <c r="C2456" s="5">
        <v>350</v>
      </c>
      <c r="D2456" s="6">
        <v>0</v>
      </c>
      <c r="E2456" s="7">
        <v>700321</v>
      </c>
      <c r="F2456" s="3">
        <v>53330</v>
      </c>
      <c r="G2456" s="3" t="str">
        <f t="shared" si="38"/>
        <v>5</v>
      </c>
      <c r="H2456" s="3" t="s">
        <v>4482</v>
      </c>
      <c r="I2456" s="8">
        <v>1594.32</v>
      </c>
      <c r="J2456" s="8">
        <v>1152.97</v>
      </c>
      <c r="K2456" s="8">
        <v>1594.32</v>
      </c>
    </row>
    <row r="2457" spans="1:11" hidden="1" x14ac:dyDescent="0.25">
      <c r="A2457" s="3" t="s">
        <v>4483</v>
      </c>
      <c r="B2457" s="3">
        <v>12</v>
      </c>
      <c r="C2457" s="5">
        <v>350</v>
      </c>
      <c r="D2457" s="6">
        <v>0</v>
      </c>
      <c r="E2457" s="7">
        <v>700321</v>
      </c>
      <c r="F2457" s="3">
        <v>53340</v>
      </c>
      <c r="G2457" s="3" t="str">
        <f t="shared" si="38"/>
        <v>5</v>
      </c>
      <c r="H2457" s="3" t="s">
        <v>4484</v>
      </c>
      <c r="I2457" s="8">
        <v>1034.23</v>
      </c>
      <c r="J2457" s="8">
        <v>0</v>
      </c>
      <c r="K2457" s="8">
        <v>1034.23</v>
      </c>
    </row>
    <row r="2458" spans="1:11" hidden="1" x14ac:dyDescent="0.25">
      <c r="A2458" s="3" t="s">
        <v>4485</v>
      </c>
      <c r="B2458" s="3">
        <v>12</v>
      </c>
      <c r="C2458" s="5">
        <v>350</v>
      </c>
      <c r="D2458" s="6">
        <v>0</v>
      </c>
      <c r="E2458" s="7">
        <v>700321</v>
      </c>
      <c r="F2458" s="3">
        <v>53410</v>
      </c>
      <c r="G2458" s="3" t="str">
        <f t="shared" si="38"/>
        <v>5</v>
      </c>
      <c r="H2458" s="3" t="s">
        <v>4486</v>
      </c>
      <c r="I2458" s="8">
        <v>25240.73</v>
      </c>
      <c r="J2458" s="8">
        <v>17987.37</v>
      </c>
      <c r="K2458" s="8">
        <v>25240.73</v>
      </c>
    </row>
    <row r="2459" spans="1:11" hidden="1" x14ac:dyDescent="0.25">
      <c r="A2459" s="3" t="s">
        <v>4487</v>
      </c>
      <c r="B2459" s="3">
        <v>12</v>
      </c>
      <c r="C2459" s="5">
        <v>350</v>
      </c>
      <c r="D2459" s="6">
        <v>0</v>
      </c>
      <c r="E2459" s="7">
        <v>700321</v>
      </c>
      <c r="F2459" s="3">
        <v>53420</v>
      </c>
      <c r="G2459" s="3" t="str">
        <f t="shared" si="38"/>
        <v>5</v>
      </c>
      <c r="H2459" s="3" t="s">
        <v>4488</v>
      </c>
      <c r="I2459" s="8">
        <v>11817.24</v>
      </c>
      <c r="J2459" s="8">
        <v>0</v>
      </c>
      <c r="K2459" s="8">
        <v>11817.24</v>
      </c>
    </row>
    <row r="2460" spans="1:11" hidden="1" x14ac:dyDescent="0.25">
      <c r="A2460" s="3" t="s">
        <v>4489</v>
      </c>
      <c r="B2460" s="3">
        <v>12</v>
      </c>
      <c r="C2460" s="5">
        <v>350</v>
      </c>
      <c r="D2460" s="6">
        <v>0</v>
      </c>
      <c r="E2460" s="7">
        <v>700321</v>
      </c>
      <c r="F2460" s="3">
        <v>53510</v>
      </c>
      <c r="G2460" s="3" t="str">
        <f t="shared" si="38"/>
        <v>5</v>
      </c>
      <c r="H2460" s="3" t="s">
        <v>4490</v>
      </c>
      <c r="I2460" s="8">
        <v>54.98</v>
      </c>
      <c r="J2460" s="8">
        <v>40</v>
      </c>
      <c r="K2460" s="8">
        <v>54.98</v>
      </c>
    </row>
    <row r="2461" spans="1:11" hidden="1" x14ac:dyDescent="0.25">
      <c r="A2461" s="3" t="s">
        <v>4491</v>
      </c>
      <c r="B2461" s="3">
        <v>12</v>
      </c>
      <c r="C2461" s="5">
        <v>350</v>
      </c>
      <c r="D2461" s="6">
        <v>0</v>
      </c>
      <c r="E2461" s="7">
        <v>700321</v>
      </c>
      <c r="F2461" s="3">
        <v>53520</v>
      </c>
      <c r="G2461" s="3" t="str">
        <f t="shared" si="38"/>
        <v>5</v>
      </c>
      <c r="H2461" s="3" t="s">
        <v>4492</v>
      </c>
      <c r="I2461" s="8">
        <v>35.659999999999997</v>
      </c>
      <c r="J2461" s="8">
        <v>0</v>
      </c>
      <c r="K2461" s="8">
        <v>35.659999999999997</v>
      </c>
    </row>
    <row r="2462" spans="1:11" hidden="1" x14ac:dyDescent="0.25">
      <c r="A2462" s="3" t="s">
        <v>4493</v>
      </c>
      <c r="B2462" s="3">
        <v>12</v>
      </c>
      <c r="C2462" s="5">
        <v>350</v>
      </c>
      <c r="D2462" s="6">
        <v>0</v>
      </c>
      <c r="E2462" s="7">
        <v>700321</v>
      </c>
      <c r="F2462" s="3">
        <v>53610</v>
      </c>
      <c r="G2462" s="3" t="str">
        <f t="shared" si="38"/>
        <v>5</v>
      </c>
      <c r="H2462" s="3" t="s">
        <v>4494</v>
      </c>
      <c r="I2462" s="8">
        <v>1985.97</v>
      </c>
      <c r="J2462" s="8">
        <v>1512</v>
      </c>
      <c r="K2462" s="8">
        <v>1985.97</v>
      </c>
    </row>
    <row r="2463" spans="1:11" hidden="1" x14ac:dyDescent="0.25">
      <c r="A2463" s="3" t="s">
        <v>4495</v>
      </c>
      <c r="B2463" s="3">
        <v>12</v>
      </c>
      <c r="C2463" s="5">
        <v>350</v>
      </c>
      <c r="D2463" s="6">
        <v>0</v>
      </c>
      <c r="E2463" s="7">
        <v>700321</v>
      </c>
      <c r="F2463" s="3">
        <v>53620</v>
      </c>
      <c r="G2463" s="3" t="str">
        <f t="shared" si="38"/>
        <v>5</v>
      </c>
      <c r="H2463" s="3" t="s">
        <v>4496</v>
      </c>
      <c r="I2463" s="8">
        <v>1288.29</v>
      </c>
      <c r="J2463" s="8">
        <v>0</v>
      </c>
      <c r="K2463" s="8">
        <v>1288.29</v>
      </c>
    </row>
    <row r="2464" spans="1:11" hidden="1" x14ac:dyDescent="0.25">
      <c r="A2464" s="3" t="s">
        <v>4497</v>
      </c>
      <c r="B2464" s="3">
        <v>12</v>
      </c>
      <c r="C2464" s="5">
        <v>350</v>
      </c>
      <c r="D2464" s="6">
        <v>0</v>
      </c>
      <c r="E2464" s="7">
        <v>700321</v>
      </c>
      <c r="F2464" s="3">
        <v>54300</v>
      </c>
      <c r="G2464" s="3" t="str">
        <f t="shared" si="38"/>
        <v>5</v>
      </c>
      <c r="H2464" s="3" t="s">
        <v>4498</v>
      </c>
      <c r="I2464" s="8">
        <v>5000</v>
      </c>
      <c r="J2464" s="8">
        <v>0</v>
      </c>
      <c r="K2464" s="8">
        <v>5000</v>
      </c>
    </row>
    <row r="2465" spans="1:11" hidden="1" x14ac:dyDescent="0.25">
      <c r="A2465" s="3" t="s">
        <v>4499</v>
      </c>
      <c r="B2465" s="3">
        <v>12</v>
      </c>
      <c r="C2465" s="5">
        <v>350</v>
      </c>
      <c r="D2465" s="6">
        <v>0</v>
      </c>
      <c r="E2465" s="7">
        <v>700321</v>
      </c>
      <c r="F2465" s="3">
        <v>55630</v>
      </c>
      <c r="G2465" s="3" t="str">
        <f t="shared" si="38"/>
        <v>5</v>
      </c>
      <c r="H2465" s="3" t="s">
        <v>4500</v>
      </c>
      <c r="I2465" s="8">
        <v>25</v>
      </c>
      <c r="J2465" s="8">
        <v>0</v>
      </c>
      <c r="K2465" s="8">
        <v>25</v>
      </c>
    </row>
    <row r="2466" spans="1:11" hidden="1" x14ac:dyDescent="0.25">
      <c r="A2466" s="3" t="s">
        <v>4501</v>
      </c>
      <c r="B2466" s="3">
        <v>12</v>
      </c>
      <c r="C2466" s="5">
        <v>350</v>
      </c>
      <c r="D2466" s="6">
        <v>0</v>
      </c>
      <c r="E2466" s="7">
        <v>700321</v>
      </c>
      <c r="F2466" s="3">
        <v>56400</v>
      </c>
      <c r="G2466" s="3" t="str">
        <f t="shared" si="38"/>
        <v>5</v>
      </c>
      <c r="H2466" s="3" t="s">
        <v>4502</v>
      </c>
      <c r="I2466" s="8">
        <v>5000</v>
      </c>
      <c r="J2466" s="8">
        <v>0</v>
      </c>
      <c r="K2466" s="8">
        <v>5000</v>
      </c>
    </row>
    <row r="2467" spans="1:11" hidden="1" x14ac:dyDescent="0.25">
      <c r="A2467" s="3" t="s">
        <v>4503</v>
      </c>
      <c r="B2467" s="3">
        <v>12</v>
      </c>
      <c r="C2467" s="5">
        <v>350</v>
      </c>
      <c r="D2467" s="6">
        <v>0</v>
      </c>
      <c r="E2467" s="7">
        <v>700322</v>
      </c>
      <c r="F2467" s="3">
        <v>51412</v>
      </c>
      <c r="G2467" s="3" t="str">
        <f t="shared" si="38"/>
        <v>5</v>
      </c>
      <c r="H2467" s="3" t="s">
        <v>4504</v>
      </c>
      <c r="I2467" s="8">
        <v>5000</v>
      </c>
      <c r="J2467" s="8">
        <v>0</v>
      </c>
      <c r="K2467" s="8">
        <v>5000</v>
      </c>
    </row>
    <row r="2468" spans="1:11" hidden="1" x14ac:dyDescent="0.25">
      <c r="A2468" s="3" t="s">
        <v>4505</v>
      </c>
      <c r="B2468" s="3">
        <v>12</v>
      </c>
      <c r="C2468" s="5">
        <v>350</v>
      </c>
      <c r="D2468" s="6">
        <v>0</v>
      </c>
      <c r="E2468" s="7">
        <v>700322</v>
      </c>
      <c r="F2468" s="3">
        <v>53000</v>
      </c>
      <c r="G2468" s="3" t="str">
        <f t="shared" si="38"/>
        <v>5</v>
      </c>
      <c r="H2468" s="3" t="s">
        <v>4506</v>
      </c>
      <c r="I2468" s="8">
        <v>1085.31</v>
      </c>
      <c r="J2468" s="8">
        <v>0</v>
      </c>
      <c r="K2468" s="8">
        <v>1085.31</v>
      </c>
    </row>
    <row r="2469" spans="1:11" hidden="1" x14ac:dyDescent="0.25">
      <c r="A2469" s="3" t="s">
        <v>4507</v>
      </c>
      <c r="B2469" s="3">
        <v>12</v>
      </c>
      <c r="C2469" s="5">
        <v>350</v>
      </c>
      <c r="D2469" s="6">
        <v>0</v>
      </c>
      <c r="E2469" s="7">
        <v>700322</v>
      </c>
      <c r="F2469" s="3">
        <v>54300</v>
      </c>
      <c r="G2469" s="3" t="str">
        <f t="shared" si="38"/>
        <v>5</v>
      </c>
      <c r="H2469" s="3" t="s">
        <v>4508</v>
      </c>
      <c r="I2469" s="8">
        <v>5000</v>
      </c>
      <c r="J2469" s="8">
        <v>0</v>
      </c>
      <c r="K2469" s="8">
        <v>5000</v>
      </c>
    </row>
    <row r="2470" spans="1:11" hidden="1" x14ac:dyDescent="0.25">
      <c r="A2470" s="3" t="s">
        <v>4509</v>
      </c>
      <c r="B2470" s="3">
        <v>12</v>
      </c>
      <c r="C2470" s="5">
        <v>350</v>
      </c>
      <c r="D2470" s="6">
        <v>0</v>
      </c>
      <c r="E2470" s="7">
        <v>700322</v>
      </c>
      <c r="F2470" s="3">
        <v>55200</v>
      </c>
      <c r="G2470" s="3" t="str">
        <f t="shared" si="38"/>
        <v>5</v>
      </c>
      <c r="H2470" s="3" t="s">
        <v>4510</v>
      </c>
      <c r="I2470" s="8">
        <v>0</v>
      </c>
      <c r="J2470" s="8">
        <v>595</v>
      </c>
      <c r="K2470" s="8">
        <v>0</v>
      </c>
    </row>
    <row r="2471" spans="1:11" hidden="1" x14ac:dyDescent="0.25">
      <c r="A2471" s="3" t="s">
        <v>4511</v>
      </c>
      <c r="B2471" s="3">
        <v>12</v>
      </c>
      <c r="C2471" s="5">
        <v>350</v>
      </c>
      <c r="D2471" s="6">
        <v>0</v>
      </c>
      <c r="E2471" s="7">
        <v>700322</v>
      </c>
      <c r="F2471" s="3">
        <v>56400</v>
      </c>
      <c r="G2471" s="3" t="str">
        <f t="shared" si="38"/>
        <v>5</v>
      </c>
      <c r="H2471" s="3" t="s">
        <v>4512</v>
      </c>
      <c r="I2471" s="8">
        <v>15000</v>
      </c>
      <c r="J2471" s="8">
        <v>0</v>
      </c>
      <c r="K2471" s="8">
        <v>15000</v>
      </c>
    </row>
    <row r="2472" spans="1:11" hidden="1" x14ac:dyDescent="0.25">
      <c r="A2472" s="3" t="s">
        <v>4513</v>
      </c>
      <c r="B2472" s="3">
        <v>12</v>
      </c>
      <c r="C2472" s="5">
        <v>350</v>
      </c>
      <c r="D2472" s="6">
        <v>0</v>
      </c>
      <c r="E2472" s="7">
        <v>700322</v>
      </c>
      <c r="F2472" s="3">
        <v>56405</v>
      </c>
      <c r="G2472" s="3" t="str">
        <f t="shared" si="38"/>
        <v>5</v>
      </c>
      <c r="H2472" s="3" t="s">
        <v>4514</v>
      </c>
      <c r="I2472" s="8">
        <v>25000</v>
      </c>
      <c r="J2472" s="8">
        <v>0</v>
      </c>
      <c r="K2472" s="8">
        <v>25000</v>
      </c>
    </row>
    <row r="2473" spans="1:11" hidden="1" x14ac:dyDescent="0.25">
      <c r="A2473" s="3" t="s">
        <v>4515</v>
      </c>
      <c r="B2473" s="3">
        <v>12</v>
      </c>
      <c r="C2473" s="5">
        <v>350</v>
      </c>
      <c r="D2473" s="6">
        <v>0</v>
      </c>
      <c r="E2473" s="7">
        <v>700330</v>
      </c>
      <c r="F2473" s="3">
        <v>48627</v>
      </c>
      <c r="G2473" s="3" t="str">
        <f t="shared" si="38"/>
        <v>4</v>
      </c>
      <c r="H2473" s="3" t="s">
        <v>4516</v>
      </c>
      <c r="I2473" s="8">
        <v>-2564325.36</v>
      </c>
      <c r="J2473" s="8">
        <v>-2504001.73</v>
      </c>
      <c r="K2473" s="8">
        <v>-2564325.36</v>
      </c>
    </row>
    <row r="2474" spans="1:11" hidden="1" x14ac:dyDescent="0.25">
      <c r="A2474" s="3" t="s">
        <v>4517</v>
      </c>
      <c r="B2474" s="3">
        <v>12</v>
      </c>
      <c r="C2474" s="5">
        <v>350</v>
      </c>
      <c r="D2474" s="6">
        <v>0</v>
      </c>
      <c r="E2474" s="7">
        <v>700330</v>
      </c>
      <c r="F2474" s="3">
        <v>51100</v>
      </c>
      <c r="G2474" s="3" t="str">
        <f t="shared" si="38"/>
        <v>5</v>
      </c>
      <c r="H2474" s="3" t="s">
        <v>4518</v>
      </c>
      <c r="I2474" s="8">
        <v>84189</v>
      </c>
      <c r="J2474" s="8">
        <v>0</v>
      </c>
      <c r="K2474" s="8">
        <v>84189</v>
      </c>
    </row>
    <row r="2475" spans="1:11" hidden="1" x14ac:dyDescent="0.25">
      <c r="A2475" s="3" t="s">
        <v>4519</v>
      </c>
      <c r="B2475" s="3">
        <v>12</v>
      </c>
      <c r="C2475" s="5">
        <v>350</v>
      </c>
      <c r="D2475" s="6">
        <v>0</v>
      </c>
      <c r="E2475" s="7">
        <v>700330</v>
      </c>
      <c r="F2475" s="3">
        <v>51210</v>
      </c>
      <c r="G2475" s="3" t="str">
        <f t="shared" si="38"/>
        <v>5</v>
      </c>
      <c r="H2475" s="3" t="s">
        <v>4520</v>
      </c>
      <c r="I2475" s="8">
        <v>276519</v>
      </c>
      <c r="J2475" s="8">
        <v>133897.89000000001</v>
      </c>
      <c r="K2475" s="8">
        <v>276519</v>
      </c>
    </row>
    <row r="2476" spans="1:11" hidden="1" x14ac:dyDescent="0.25">
      <c r="A2476" s="3" t="s">
        <v>4521</v>
      </c>
      <c r="B2476" s="3">
        <v>12</v>
      </c>
      <c r="C2476" s="5">
        <v>350</v>
      </c>
      <c r="D2476" s="6">
        <v>0</v>
      </c>
      <c r="E2476" s="7">
        <v>700330</v>
      </c>
      <c r="F2476" s="3">
        <v>51412</v>
      </c>
      <c r="G2476" s="3" t="str">
        <f t="shared" si="38"/>
        <v>5</v>
      </c>
      <c r="H2476" s="3" t="s">
        <v>4522</v>
      </c>
      <c r="I2476" s="8">
        <v>8500</v>
      </c>
      <c r="J2476" s="8">
        <v>0</v>
      </c>
      <c r="K2476" s="8">
        <v>8500</v>
      </c>
    </row>
    <row r="2477" spans="1:11" hidden="1" x14ac:dyDescent="0.25">
      <c r="A2477" s="3" t="s">
        <v>4523</v>
      </c>
      <c r="B2477" s="3">
        <v>12</v>
      </c>
      <c r="C2477" s="5">
        <v>350</v>
      </c>
      <c r="D2477" s="6">
        <v>0</v>
      </c>
      <c r="E2477" s="7">
        <v>700330</v>
      </c>
      <c r="F2477" s="3">
        <v>52105</v>
      </c>
      <c r="G2477" s="3" t="str">
        <f t="shared" si="38"/>
        <v>5</v>
      </c>
      <c r="H2477" s="3" t="s">
        <v>4524</v>
      </c>
      <c r="I2477" s="8">
        <v>243251.15</v>
      </c>
      <c r="J2477" s="8">
        <v>127869.4</v>
      </c>
      <c r="K2477" s="8">
        <v>243251.15</v>
      </c>
    </row>
    <row r="2478" spans="1:11" hidden="1" x14ac:dyDescent="0.25">
      <c r="A2478" s="3" t="s">
        <v>4525</v>
      </c>
      <c r="B2478" s="3">
        <v>12</v>
      </c>
      <c r="C2478" s="5">
        <v>350</v>
      </c>
      <c r="D2478" s="6">
        <v>0</v>
      </c>
      <c r="E2478" s="7">
        <v>700330</v>
      </c>
      <c r="F2478" s="3">
        <v>52300</v>
      </c>
      <c r="G2478" s="3" t="str">
        <f t="shared" si="38"/>
        <v>5</v>
      </c>
      <c r="H2478" s="3" t="s">
        <v>4526</v>
      </c>
      <c r="I2478" s="8">
        <v>3500</v>
      </c>
      <c r="J2478" s="8">
        <v>2164.5</v>
      </c>
      <c r="K2478" s="8">
        <v>3500</v>
      </c>
    </row>
    <row r="2479" spans="1:11" hidden="1" x14ac:dyDescent="0.25">
      <c r="A2479" s="3" t="s">
        <v>4527</v>
      </c>
      <c r="B2479" s="3">
        <v>12</v>
      </c>
      <c r="C2479" s="5">
        <v>350</v>
      </c>
      <c r="D2479" s="6">
        <v>0</v>
      </c>
      <c r="E2479" s="7">
        <v>700330</v>
      </c>
      <c r="F2479" s="3">
        <v>52350</v>
      </c>
      <c r="G2479" s="3" t="str">
        <f t="shared" si="38"/>
        <v>5</v>
      </c>
      <c r="H2479" s="3" t="s">
        <v>4528</v>
      </c>
      <c r="I2479" s="8">
        <v>18000</v>
      </c>
      <c r="J2479" s="8">
        <v>9424</v>
      </c>
      <c r="K2479" s="8">
        <v>18000</v>
      </c>
    </row>
    <row r="2480" spans="1:11" hidden="1" x14ac:dyDescent="0.25">
      <c r="A2480" s="3" t="s">
        <v>4529</v>
      </c>
      <c r="B2480" s="3">
        <v>12</v>
      </c>
      <c r="C2480" s="5">
        <v>350</v>
      </c>
      <c r="D2480" s="6">
        <v>0</v>
      </c>
      <c r="E2480" s="7">
        <v>700330</v>
      </c>
      <c r="F2480" s="3">
        <v>52360</v>
      </c>
      <c r="G2480" s="3" t="str">
        <f t="shared" si="38"/>
        <v>5</v>
      </c>
      <c r="H2480" s="3" t="s">
        <v>4530</v>
      </c>
      <c r="I2480" s="8">
        <v>50000</v>
      </c>
      <c r="J2480" s="8">
        <v>11990</v>
      </c>
      <c r="K2480" s="8">
        <v>50000</v>
      </c>
    </row>
    <row r="2481" spans="1:11" hidden="1" x14ac:dyDescent="0.25">
      <c r="A2481" s="3" t="s">
        <v>4531</v>
      </c>
      <c r="B2481" s="3">
        <v>12</v>
      </c>
      <c r="C2481" s="5">
        <v>350</v>
      </c>
      <c r="D2481" s="6">
        <v>0</v>
      </c>
      <c r="E2481" s="7">
        <v>700330</v>
      </c>
      <c r="F2481" s="3">
        <v>53110</v>
      </c>
      <c r="G2481" s="3" t="str">
        <f t="shared" si="38"/>
        <v>5</v>
      </c>
      <c r="H2481" s="3" t="s">
        <v>4532</v>
      </c>
      <c r="I2481" s="8">
        <v>16964.78</v>
      </c>
      <c r="J2481" s="8">
        <v>0</v>
      </c>
      <c r="K2481" s="8">
        <v>16964.78</v>
      </c>
    </row>
    <row r="2482" spans="1:11" hidden="1" x14ac:dyDescent="0.25">
      <c r="A2482" s="3" t="s">
        <v>4533</v>
      </c>
      <c r="B2482" s="3">
        <v>12</v>
      </c>
      <c r="C2482" s="5">
        <v>350</v>
      </c>
      <c r="D2482" s="6">
        <v>0</v>
      </c>
      <c r="E2482" s="7">
        <v>700330</v>
      </c>
      <c r="F2482" s="3">
        <v>53120</v>
      </c>
      <c r="G2482" s="3" t="str">
        <f t="shared" si="38"/>
        <v>5</v>
      </c>
      <c r="H2482" s="3" t="s">
        <v>4534</v>
      </c>
      <c r="I2482" s="8">
        <v>54379.13</v>
      </c>
      <c r="J2482" s="8">
        <v>21624.53</v>
      </c>
      <c r="K2482" s="8">
        <v>54379.13</v>
      </c>
    </row>
    <row r="2483" spans="1:11" hidden="1" x14ac:dyDescent="0.25">
      <c r="A2483" s="3" t="s">
        <v>4535</v>
      </c>
      <c r="B2483" s="3">
        <v>12</v>
      </c>
      <c r="C2483" s="5">
        <v>350</v>
      </c>
      <c r="D2483" s="6">
        <v>0</v>
      </c>
      <c r="E2483" s="7">
        <v>700330</v>
      </c>
      <c r="F2483" s="3">
        <v>53210</v>
      </c>
      <c r="G2483" s="3" t="str">
        <f t="shared" si="38"/>
        <v>5</v>
      </c>
      <c r="H2483" s="3" t="s">
        <v>4536</v>
      </c>
      <c r="I2483" s="8">
        <v>19110.900000000001</v>
      </c>
      <c r="J2483" s="8">
        <v>0</v>
      </c>
      <c r="K2483" s="8">
        <v>19110.900000000001</v>
      </c>
    </row>
    <row r="2484" spans="1:11" hidden="1" x14ac:dyDescent="0.25">
      <c r="A2484" s="3" t="s">
        <v>4537</v>
      </c>
      <c r="B2484" s="3">
        <v>12</v>
      </c>
      <c r="C2484" s="5">
        <v>350</v>
      </c>
      <c r="D2484" s="6">
        <v>0</v>
      </c>
      <c r="E2484" s="7">
        <v>700330</v>
      </c>
      <c r="F2484" s="3">
        <v>53220</v>
      </c>
      <c r="G2484" s="3" t="str">
        <f t="shared" si="38"/>
        <v>5</v>
      </c>
      <c r="H2484" s="3" t="s">
        <v>4538</v>
      </c>
      <c r="I2484" s="8">
        <v>73399.59</v>
      </c>
      <c r="J2484" s="8">
        <v>28862.51</v>
      </c>
      <c r="K2484" s="8">
        <v>73399.59</v>
      </c>
    </row>
    <row r="2485" spans="1:11" hidden="1" x14ac:dyDescent="0.25">
      <c r="A2485" s="3" t="s">
        <v>4539</v>
      </c>
      <c r="B2485" s="3">
        <v>12</v>
      </c>
      <c r="C2485" s="5">
        <v>350</v>
      </c>
      <c r="D2485" s="6">
        <v>0</v>
      </c>
      <c r="E2485" s="7">
        <v>700330</v>
      </c>
      <c r="F2485" s="3">
        <v>53310</v>
      </c>
      <c r="G2485" s="3" t="str">
        <f t="shared" si="38"/>
        <v>5</v>
      </c>
      <c r="H2485" s="3" t="s">
        <v>4540</v>
      </c>
      <c r="I2485" s="8">
        <v>5219.72</v>
      </c>
      <c r="J2485" s="8">
        <v>0</v>
      </c>
      <c r="K2485" s="8">
        <v>5219.72</v>
      </c>
    </row>
    <row r="2486" spans="1:11" hidden="1" x14ac:dyDescent="0.25">
      <c r="A2486" s="3" t="s">
        <v>4541</v>
      </c>
      <c r="B2486" s="3">
        <v>12</v>
      </c>
      <c r="C2486" s="5">
        <v>350</v>
      </c>
      <c r="D2486" s="6">
        <v>0</v>
      </c>
      <c r="E2486" s="7">
        <v>700330</v>
      </c>
      <c r="F2486" s="3">
        <v>53320</v>
      </c>
      <c r="G2486" s="3" t="str">
        <f t="shared" si="38"/>
        <v>5</v>
      </c>
      <c r="H2486" s="3" t="s">
        <v>4542</v>
      </c>
      <c r="I2486" s="8">
        <v>0</v>
      </c>
      <c r="J2486" s="8">
        <v>8811.4599999999991</v>
      </c>
      <c r="K2486" s="8">
        <v>0</v>
      </c>
    </row>
    <row r="2487" spans="1:11" hidden="1" x14ac:dyDescent="0.25">
      <c r="A2487" s="3" t="s">
        <v>4543</v>
      </c>
      <c r="B2487" s="3">
        <v>12</v>
      </c>
      <c r="C2487" s="5">
        <v>350</v>
      </c>
      <c r="D2487" s="6">
        <v>0</v>
      </c>
      <c r="E2487" s="7">
        <v>700330</v>
      </c>
      <c r="F2487" s="3">
        <v>53330</v>
      </c>
      <c r="G2487" s="3" t="str">
        <f t="shared" si="38"/>
        <v>5</v>
      </c>
      <c r="H2487" s="3" t="s">
        <v>4544</v>
      </c>
      <c r="I2487" s="8">
        <v>1220.74</v>
      </c>
      <c r="J2487" s="8">
        <v>0</v>
      </c>
      <c r="K2487" s="8">
        <v>1220.74</v>
      </c>
    </row>
    <row r="2488" spans="1:11" hidden="1" x14ac:dyDescent="0.25">
      <c r="A2488" s="3" t="s">
        <v>4545</v>
      </c>
      <c r="B2488" s="3">
        <v>12</v>
      </c>
      <c r="C2488" s="5">
        <v>350</v>
      </c>
      <c r="D2488" s="6">
        <v>0</v>
      </c>
      <c r="E2488" s="7">
        <v>700330</v>
      </c>
      <c r="F2488" s="3">
        <v>53340</v>
      </c>
      <c r="G2488" s="3" t="str">
        <f t="shared" si="38"/>
        <v>5</v>
      </c>
      <c r="H2488" s="3" t="s">
        <v>4546</v>
      </c>
      <c r="I2488" s="8">
        <v>8384.92</v>
      </c>
      <c r="J2488" s="8">
        <v>3995.85</v>
      </c>
      <c r="K2488" s="8">
        <v>8384.92</v>
      </c>
    </row>
    <row r="2489" spans="1:11" hidden="1" x14ac:dyDescent="0.25">
      <c r="A2489" s="3" t="s">
        <v>4547</v>
      </c>
      <c r="B2489" s="3">
        <v>12</v>
      </c>
      <c r="C2489" s="5">
        <v>350</v>
      </c>
      <c r="D2489" s="6">
        <v>0</v>
      </c>
      <c r="E2489" s="7">
        <v>700330</v>
      </c>
      <c r="F2489" s="3">
        <v>53410</v>
      </c>
      <c r="G2489" s="3" t="str">
        <f t="shared" si="38"/>
        <v>5</v>
      </c>
      <c r="H2489" s="3" t="s">
        <v>4548</v>
      </c>
      <c r="I2489" s="8">
        <v>23106.6</v>
      </c>
      <c r="J2489" s="8">
        <v>0</v>
      </c>
      <c r="K2489" s="8">
        <v>23106.6</v>
      </c>
    </row>
    <row r="2490" spans="1:11" hidden="1" x14ac:dyDescent="0.25">
      <c r="A2490" s="3" t="s">
        <v>4549</v>
      </c>
      <c r="B2490" s="3">
        <v>12</v>
      </c>
      <c r="C2490" s="5">
        <v>350</v>
      </c>
      <c r="D2490" s="6">
        <v>0</v>
      </c>
      <c r="E2490" s="7">
        <v>700330</v>
      </c>
      <c r="F2490" s="3">
        <v>53420</v>
      </c>
      <c r="G2490" s="3" t="str">
        <f t="shared" si="38"/>
        <v>5</v>
      </c>
      <c r="H2490" s="3" t="s">
        <v>4550</v>
      </c>
      <c r="I2490" s="8">
        <v>109322.93</v>
      </c>
      <c r="J2490" s="8">
        <v>65006.03</v>
      </c>
      <c r="K2490" s="8">
        <v>109322.93</v>
      </c>
    </row>
    <row r="2491" spans="1:11" hidden="1" x14ac:dyDescent="0.25">
      <c r="A2491" s="3" t="s">
        <v>4551</v>
      </c>
      <c r="B2491" s="3">
        <v>12</v>
      </c>
      <c r="C2491" s="5">
        <v>350</v>
      </c>
      <c r="D2491" s="6">
        <v>0</v>
      </c>
      <c r="E2491" s="7">
        <v>700330</v>
      </c>
      <c r="F2491" s="3">
        <v>53510</v>
      </c>
      <c r="G2491" s="3" t="str">
        <f t="shared" si="38"/>
        <v>5</v>
      </c>
      <c r="H2491" s="3" t="s">
        <v>4552</v>
      </c>
      <c r="I2491" s="8">
        <v>42.09</v>
      </c>
      <c r="J2491" s="8">
        <v>0</v>
      </c>
      <c r="K2491" s="8">
        <v>42.09</v>
      </c>
    </row>
    <row r="2492" spans="1:11" hidden="1" x14ac:dyDescent="0.25">
      <c r="A2492" s="3" t="s">
        <v>4553</v>
      </c>
      <c r="B2492" s="3">
        <v>12</v>
      </c>
      <c r="C2492" s="5">
        <v>350</v>
      </c>
      <c r="D2492" s="6">
        <v>0</v>
      </c>
      <c r="E2492" s="7">
        <v>700330</v>
      </c>
      <c r="F2492" s="3">
        <v>53520</v>
      </c>
      <c r="G2492" s="3" t="str">
        <f t="shared" si="38"/>
        <v>5</v>
      </c>
      <c r="H2492" s="3" t="s">
        <v>4554</v>
      </c>
      <c r="I2492" s="8">
        <v>289.14</v>
      </c>
      <c r="J2492" s="8">
        <v>137.94999999999999</v>
      </c>
      <c r="K2492" s="8">
        <v>289.14</v>
      </c>
    </row>
    <row r="2493" spans="1:11" hidden="1" x14ac:dyDescent="0.25">
      <c r="A2493" s="3" t="s">
        <v>4555</v>
      </c>
      <c r="B2493" s="3">
        <v>12</v>
      </c>
      <c r="C2493" s="5">
        <v>350</v>
      </c>
      <c r="D2493" s="6">
        <v>0</v>
      </c>
      <c r="E2493" s="7">
        <v>700330</v>
      </c>
      <c r="F2493" s="3">
        <v>53610</v>
      </c>
      <c r="G2493" s="3" t="str">
        <f t="shared" si="38"/>
        <v>5</v>
      </c>
      <c r="H2493" s="3" t="s">
        <v>4556</v>
      </c>
      <c r="I2493" s="8">
        <v>1520.62</v>
      </c>
      <c r="J2493" s="8">
        <v>0</v>
      </c>
      <c r="K2493" s="8">
        <v>1520.62</v>
      </c>
    </row>
    <row r="2494" spans="1:11" hidden="1" x14ac:dyDescent="0.25">
      <c r="A2494" s="3" t="s">
        <v>4557</v>
      </c>
      <c r="B2494" s="3">
        <v>12</v>
      </c>
      <c r="C2494" s="5">
        <v>350</v>
      </c>
      <c r="D2494" s="6">
        <v>0</v>
      </c>
      <c r="E2494" s="7">
        <v>700330</v>
      </c>
      <c r="F2494" s="3">
        <v>53620</v>
      </c>
      <c r="G2494" s="3" t="str">
        <f t="shared" si="38"/>
        <v>5</v>
      </c>
      <c r="H2494" s="3" t="s">
        <v>4558</v>
      </c>
      <c r="I2494" s="8">
        <v>10769.84</v>
      </c>
      <c r="J2494" s="8">
        <v>5402.19</v>
      </c>
      <c r="K2494" s="8">
        <v>10769.84</v>
      </c>
    </row>
    <row r="2495" spans="1:11" hidden="1" x14ac:dyDescent="0.25">
      <c r="A2495" s="3" t="s">
        <v>4559</v>
      </c>
      <c r="B2495" s="3">
        <v>12</v>
      </c>
      <c r="C2495" s="5">
        <v>350</v>
      </c>
      <c r="D2495" s="6">
        <v>0</v>
      </c>
      <c r="E2495" s="7">
        <v>700330</v>
      </c>
      <c r="F2495" s="3">
        <v>53910</v>
      </c>
      <c r="G2495" s="3" t="str">
        <f t="shared" si="38"/>
        <v>5</v>
      </c>
      <c r="H2495" s="3" t="s">
        <v>4560</v>
      </c>
      <c r="I2495" s="8">
        <v>2400</v>
      </c>
      <c r="J2495" s="8">
        <v>0</v>
      </c>
      <c r="K2495" s="8">
        <v>2400</v>
      </c>
    </row>
    <row r="2496" spans="1:11" hidden="1" x14ac:dyDescent="0.25">
      <c r="A2496" s="3" t="s">
        <v>4561</v>
      </c>
      <c r="B2496" s="3">
        <v>12</v>
      </c>
      <c r="C2496" s="5">
        <v>350</v>
      </c>
      <c r="D2496" s="6">
        <v>0</v>
      </c>
      <c r="E2496" s="7">
        <v>700330</v>
      </c>
      <c r="F2496" s="3">
        <v>53920</v>
      </c>
      <c r="G2496" s="3" t="str">
        <f t="shared" si="38"/>
        <v>5</v>
      </c>
      <c r="H2496" s="3" t="s">
        <v>4562</v>
      </c>
      <c r="I2496" s="8">
        <v>8400</v>
      </c>
      <c r="J2496" s="8">
        <v>4915</v>
      </c>
      <c r="K2496" s="8">
        <v>8400</v>
      </c>
    </row>
    <row r="2497" spans="1:11" hidden="1" x14ac:dyDescent="0.25">
      <c r="A2497" s="3" t="s">
        <v>4563</v>
      </c>
      <c r="B2497" s="3">
        <v>12</v>
      </c>
      <c r="C2497" s="5">
        <v>350</v>
      </c>
      <c r="D2497" s="6">
        <v>0</v>
      </c>
      <c r="E2497" s="7">
        <v>700330</v>
      </c>
      <c r="F2497" s="3">
        <v>54210</v>
      </c>
      <c r="G2497" s="3" t="str">
        <f t="shared" si="38"/>
        <v>5</v>
      </c>
      <c r="H2497" s="3" t="s">
        <v>4564</v>
      </c>
      <c r="I2497" s="8">
        <v>5000</v>
      </c>
      <c r="J2497" s="8">
        <v>0</v>
      </c>
      <c r="K2497" s="8">
        <v>5000</v>
      </c>
    </row>
    <row r="2498" spans="1:11" hidden="1" x14ac:dyDescent="0.25">
      <c r="A2498" s="3" t="s">
        <v>4565</v>
      </c>
      <c r="B2498" s="3">
        <v>12</v>
      </c>
      <c r="C2498" s="5">
        <v>350</v>
      </c>
      <c r="D2498" s="6">
        <v>0</v>
      </c>
      <c r="E2498" s="7">
        <v>700330</v>
      </c>
      <c r="F2498" s="3">
        <v>54300</v>
      </c>
      <c r="G2498" s="3" t="str">
        <f t="shared" ref="G2498:G2540" si="39">LEFT(F2498,1)</f>
        <v>5</v>
      </c>
      <c r="H2498" s="3" t="s">
        <v>4566</v>
      </c>
      <c r="I2498" s="8">
        <v>40000</v>
      </c>
      <c r="J2498" s="8">
        <v>1488.2</v>
      </c>
      <c r="K2498" s="8">
        <v>40000</v>
      </c>
    </row>
    <row r="2499" spans="1:11" hidden="1" x14ac:dyDescent="0.25">
      <c r="A2499" s="3" t="s">
        <v>4567</v>
      </c>
      <c r="B2499" s="3">
        <v>12</v>
      </c>
      <c r="C2499" s="5">
        <v>350</v>
      </c>
      <c r="D2499" s="6">
        <v>0</v>
      </c>
      <c r="E2499" s="7">
        <v>700330</v>
      </c>
      <c r="F2499" s="3">
        <v>55100</v>
      </c>
      <c r="G2499" s="3" t="str">
        <f t="shared" si="39"/>
        <v>5</v>
      </c>
      <c r="H2499" s="3" t="s">
        <v>4568</v>
      </c>
      <c r="I2499" s="8">
        <v>10000</v>
      </c>
      <c r="J2499" s="8">
        <v>0</v>
      </c>
      <c r="K2499" s="8">
        <v>10000</v>
      </c>
    </row>
    <row r="2500" spans="1:11" hidden="1" x14ac:dyDescent="0.25">
      <c r="A2500" s="3" t="s">
        <v>4569</v>
      </c>
      <c r="B2500" s="3">
        <v>12</v>
      </c>
      <c r="C2500" s="5">
        <v>350</v>
      </c>
      <c r="D2500" s="6">
        <v>0</v>
      </c>
      <c r="E2500" s="7">
        <v>700330</v>
      </c>
      <c r="F2500" s="3">
        <v>55105</v>
      </c>
      <c r="G2500" s="3" t="str">
        <f t="shared" si="39"/>
        <v>5</v>
      </c>
      <c r="H2500" s="3" t="s">
        <v>4570</v>
      </c>
      <c r="I2500" s="8">
        <v>15000</v>
      </c>
      <c r="J2500" s="8">
        <v>0</v>
      </c>
      <c r="K2500" s="8">
        <v>15000</v>
      </c>
    </row>
    <row r="2501" spans="1:11" hidden="1" x14ac:dyDescent="0.25">
      <c r="A2501" s="3" t="s">
        <v>4571</v>
      </c>
      <c r="B2501" s="3">
        <v>12</v>
      </c>
      <c r="C2501" s="5">
        <v>350</v>
      </c>
      <c r="D2501" s="6">
        <v>0</v>
      </c>
      <c r="E2501" s="7">
        <v>700330</v>
      </c>
      <c r="F2501" s="3">
        <v>55200</v>
      </c>
      <c r="G2501" s="3" t="str">
        <f t="shared" si="39"/>
        <v>5</v>
      </c>
      <c r="H2501" s="3" t="s">
        <v>4572</v>
      </c>
      <c r="I2501" s="8">
        <v>45000</v>
      </c>
      <c r="J2501" s="8">
        <v>2735</v>
      </c>
      <c r="K2501" s="8">
        <v>45000</v>
      </c>
    </row>
    <row r="2502" spans="1:11" hidden="1" x14ac:dyDescent="0.25">
      <c r="A2502" s="3" t="s">
        <v>4573</v>
      </c>
      <c r="B2502" s="3">
        <v>12</v>
      </c>
      <c r="C2502" s="5">
        <v>350</v>
      </c>
      <c r="D2502" s="6">
        <v>0</v>
      </c>
      <c r="E2502" s="7">
        <v>700330</v>
      </c>
      <c r="F2502" s="3">
        <v>55300</v>
      </c>
      <c r="G2502" s="3" t="str">
        <f t="shared" si="39"/>
        <v>5</v>
      </c>
      <c r="H2502" s="3" t="s">
        <v>4574</v>
      </c>
      <c r="I2502" s="8">
        <v>1000</v>
      </c>
      <c r="J2502" s="8">
        <v>0</v>
      </c>
      <c r="K2502" s="8">
        <v>1000</v>
      </c>
    </row>
    <row r="2503" spans="1:11" hidden="1" x14ac:dyDescent="0.25">
      <c r="A2503" s="3" t="s">
        <v>4575</v>
      </c>
      <c r="B2503" s="3">
        <v>12</v>
      </c>
      <c r="C2503" s="5">
        <v>350</v>
      </c>
      <c r="D2503" s="6">
        <v>0</v>
      </c>
      <c r="E2503" s="7">
        <v>700330</v>
      </c>
      <c r="F2503" s="3">
        <v>55309</v>
      </c>
      <c r="G2503" s="3" t="str">
        <f t="shared" si="39"/>
        <v>5</v>
      </c>
      <c r="H2503" s="3" t="s">
        <v>4576</v>
      </c>
      <c r="I2503" s="8">
        <v>10000</v>
      </c>
      <c r="J2503" s="8">
        <v>0</v>
      </c>
      <c r="K2503" s="8">
        <v>10000</v>
      </c>
    </row>
    <row r="2504" spans="1:11" hidden="1" x14ac:dyDescent="0.25">
      <c r="A2504" s="3" t="s">
        <v>4577</v>
      </c>
      <c r="B2504" s="3">
        <v>12</v>
      </c>
      <c r="C2504" s="5">
        <v>350</v>
      </c>
      <c r="D2504" s="6">
        <v>0</v>
      </c>
      <c r="E2504" s="7">
        <v>700330</v>
      </c>
      <c r="F2504" s="3">
        <v>55600</v>
      </c>
      <c r="G2504" s="3" t="str">
        <f t="shared" si="39"/>
        <v>5</v>
      </c>
      <c r="H2504" s="3" t="s">
        <v>4578</v>
      </c>
      <c r="I2504" s="8">
        <v>2500</v>
      </c>
      <c r="J2504" s="8">
        <v>0</v>
      </c>
      <c r="K2504" s="8">
        <v>2500</v>
      </c>
    </row>
    <row r="2505" spans="1:11" hidden="1" x14ac:dyDescent="0.25">
      <c r="A2505" s="3" t="s">
        <v>4579</v>
      </c>
      <c r="B2505" s="3">
        <v>12</v>
      </c>
      <c r="C2505" s="5">
        <v>350</v>
      </c>
      <c r="D2505" s="6">
        <v>0</v>
      </c>
      <c r="E2505" s="7">
        <v>700330</v>
      </c>
      <c r="F2505" s="3">
        <v>55630</v>
      </c>
      <c r="G2505" s="3" t="str">
        <f t="shared" si="39"/>
        <v>5</v>
      </c>
      <c r="H2505" s="3" t="s">
        <v>4580</v>
      </c>
      <c r="I2505" s="8">
        <v>250</v>
      </c>
      <c r="J2505" s="8">
        <v>35.07</v>
      </c>
      <c r="K2505" s="8">
        <v>250</v>
      </c>
    </row>
    <row r="2506" spans="1:11" hidden="1" x14ac:dyDescent="0.25">
      <c r="A2506" s="3" t="s">
        <v>4581</v>
      </c>
      <c r="B2506" s="3">
        <v>12</v>
      </c>
      <c r="C2506" s="5">
        <v>350</v>
      </c>
      <c r="D2506" s="6">
        <v>0</v>
      </c>
      <c r="E2506" s="7">
        <v>700330</v>
      </c>
      <c r="F2506" s="3">
        <v>55635</v>
      </c>
      <c r="G2506" s="3" t="str">
        <f t="shared" si="39"/>
        <v>5</v>
      </c>
      <c r="H2506" s="3" t="s">
        <v>4582</v>
      </c>
      <c r="I2506" s="8">
        <v>5000</v>
      </c>
      <c r="J2506" s="8">
        <v>0</v>
      </c>
      <c r="K2506" s="8">
        <v>5000</v>
      </c>
    </row>
    <row r="2507" spans="1:11" hidden="1" x14ac:dyDescent="0.25">
      <c r="A2507" s="3" t="s">
        <v>4583</v>
      </c>
      <c r="B2507" s="3">
        <v>12</v>
      </c>
      <c r="C2507" s="5">
        <v>350</v>
      </c>
      <c r="D2507" s="6">
        <v>0</v>
      </c>
      <c r="E2507" s="7">
        <v>700330</v>
      </c>
      <c r="F2507" s="3">
        <v>55651</v>
      </c>
      <c r="G2507" s="3" t="str">
        <f t="shared" si="39"/>
        <v>5</v>
      </c>
      <c r="H2507" s="3" t="s">
        <v>4584</v>
      </c>
      <c r="I2507" s="8">
        <v>15000</v>
      </c>
      <c r="J2507" s="8">
        <v>0</v>
      </c>
      <c r="K2507" s="8">
        <v>15000</v>
      </c>
    </row>
    <row r="2508" spans="1:11" hidden="1" x14ac:dyDescent="0.25">
      <c r="A2508" s="3" t="s">
        <v>4585</v>
      </c>
      <c r="B2508" s="3">
        <v>12</v>
      </c>
      <c r="C2508" s="5">
        <v>350</v>
      </c>
      <c r="D2508" s="6">
        <v>0</v>
      </c>
      <c r="E2508" s="7">
        <v>700330</v>
      </c>
      <c r="F2508" s="3">
        <v>55800</v>
      </c>
      <c r="G2508" s="3" t="str">
        <f t="shared" si="39"/>
        <v>5</v>
      </c>
      <c r="H2508" s="3" t="s">
        <v>4586</v>
      </c>
      <c r="I2508" s="8">
        <v>890030.25</v>
      </c>
      <c r="J2508" s="8">
        <v>109.25</v>
      </c>
      <c r="K2508" s="8">
        <v>890030.25</v>
      </c>
    </row>
    <row r="2509" spans="1:11" hidden="1" x14ac:dyDescent="0.25">
      <c r="A2509" s="3" t="s">
        <v>4587</v>
      </c>
      <c r="B2509" s="3">
        <v>12</v>
      </c>
      <c r="C2509" s="5">
        <v>350</v>
      </c>
      <c r="D2509" s="6">
        <v>0</v>
      </c>
      <c r="E2509" s="7">
        <v>700330</v>
      </c>
      <c r="F2509" s="3">
        <v>55807</v>
      </c>
      <c r="G2509" s="3" t="str">
        <f t="shared" si="39"/>
        <v>5</v>
      </c>
      <c r="H2509" s="3" t="s">
        <v>4588</v>
      </c>
      <c r="I2509" s="8">
        <v>25000</v>
      </c>
      <c r="J2509" s="8">
        <v>280</v>
      </c>
      <c r="K2509" s="8">
        <v>25000</v>
      </c>
    </row>
    <row r="2510" spans="1:11" hidden="1" x14ac:dyDescent="0.25">
      <c r="A2510" s="3" t="s">
        <v>4589</v>
      </c>
      <c r="B2510" s="3">
        <v>12</v>
      </c>
      <c r="C2510" s="5">
        <v>350</v>
      </c>
      <c r="D2510" s="6">
        <v>0</v>
      </c>
      <c r="E2510" s="7">
        <v>700330</v>
      </c>
      <c r="F2510" s="3">
        <v>55830</v>
      </c>
      <c r="G2510" s="3" t="str">
        <f t="shared" si="39"/>
        <v>5</v>
      </c>
      <c r="H2510" s="3" t="s">
        <v>4590</v>
      </c>
      <c r="I2510" s="8">
        <v>20000</v>
      </c>
      <c r="J2510" s="8">
        <v>1504</v>
      </c>
      <c r="K2510" s="8">
        <v>20000</v>
      </c>
    </row>
    <row r="2511" spans="1:11" hidden="1" x14ac:dyDescent="0.25">
      <c r="A2511" s="3" t="s">
        <v>4591</v>
      </c>
      <c r="B2511" s="3">
        <v>12</v>
      </c>
      <c r="C2511" s="5">
        <v>350</v>
      </c>
      <c r="D2511" s="6">
        <v>0</v>
      </c>
      <c r="E2511" s="7">
        <v>700330</v>
      </c>
      <c r="F2511" s="3">
        <v>56400</v>
      </c>
      <c r="G2511" s="3" t="str">
        <f t="shared" si="39"/>
        <v>5</v>
      </c>
      <c r="H2511" s="3" t="s">
        <v>4592</v>
      </c>
      <c r="I2511" s="8">
        <v>50000</v>
      </c>
      <c r="J2511" s="8">
        <v>1582.83</v>
      </c>
      <c r="K2511" s="8">
        <v>50000</v>
      </c>
    </row>
    <row r="2512" spans="1:11" hidden="1" x14ac:dyDescent="0.25">
      <c r="A2512" s="3" t="s">
        <v>4593</v>
      </c>
      <c r="B2512" s="3">
        <v>12</v>
      </c>
      <c r="C2512" s="5">
        <v>350</v>
      </c>
      <c r="D2512" s="6">
        <v>0</v>
      </c>
      <c r="E2512" s="7">
        <v>700330</v>
      </c>
      <c r="F2512" s="3">
        <v>56405</v>
      </c>
      <c r="G2512" s="3" t="str">
        <f t="shared" si="39"/>
        <v>5</v>
      </c>
      <c r="H2512" s="3" t="s">
        <v>4594</v>
      </c>
      <c r="I2512" s="8">
        <v>50000</v>
      </c>
      <c r="J2512" s="8">
        <v>11463.86</v>
      </c>
      <c r="K2512" s="8">
        <v>50000</v>
      </c>
    </row>
    <row r="2513" spans="1:11" hidden="1" x14ac:dyDescent="0.25">
      <c r="A2513" s="3" t="s">
        <v>4595</v>
      </c>
      <c r="B2513" s="3">
        <v>12</v>
      </c>
      <c r="C2513" s="5">
        <v>350</v>
      </c>
      <c r="D2513" s="6">
        <v>0</v>
      </c>
      <c r="E2513" s="7">
        <v>700330</v>
      </c>
      <c r="F2513" s="3">
        <v>57350</v>
      </c>
      <c r="G2513" s="3" t="str">
        <f t="shared" si="39"/>
        <v>5</v>
      </c>
      <c r="H2513" s="3" t="s">
        <v>4596</v>
      </c>
      <c r="I2513" s="8">
        <v>30000</v>
      </c>
      <c r="J2513" s="8">
        <v>14924.78</v>
      </c>
      <c r="K2513" s="8">
        <v>30000</v>
      </c>
    </row>
    <row r="2514" spans="1:11" hidden="1" x14ac:dyDescent="0.25">
      <c r="A2514" s="3" t="s">
        <v>4597</v>
      </c>
      <c r="B2514" s="3">
        <v>12</v>
      </c>
      <c r="C2514" s="5">
        <v>350</v>
      </c>
      <c r="D2514" s="6">
        <v>0</v>
      </c>
      <c r="E2514" s="7">
        <v>700330</v>
      </c>
      <c r="F2514" s="3">
        <v>57552</v>
      </c>
      <c r="G2514" s="3" t="str">
        <f t="shared" si="39"/>
        <v>5</v>
      </c>
      <c r="H2514" s="3" t="s">
        <v>4598</v>
      </c>
      <c r="I2514" s="8">
        <v>5000</v>
      </c>
      <c r="J2514" s="8">
        <v>0</v>
      </c>
      <c r="K2514" s="8">
        <v>5000</v>
      </c>
    </row>
    <row r="2515" spans="1:11" hidden="1" x14ac:dyDescent="0.25">
      <c r="A2515" s="3" t="s">
        <v>4599</v>
      </c>
      <c r="B2515" s="3">
        <v>12</v>
      </c>
      <c r="C2515" s="5">
        <v>350</v>
      </c>
      <c r="D2515" s="6">
        <v>0</v>
      </c>
      <c r="E2515" s="7">
        <v>701010</v>
      </c>
      <c r="F2515" s="3">
        <v>48627</v>
      </c>
      <c r="G2515" s="3" t="str">
        <f t="shared" si="39"/>
        <v>4</v>
      </c>
      <c r="H2515" s="3" t="s">
        <v>4600</v>
      </c>
      <c r="I2515" s="8">
        <v>-587590.96</v>
      </c>
      <c r="J2515" s="8">
        <v>-587590.96</v>
      </c>
      <c r="K2515" s="8">
        <v>-587590.96</v>
      </c>
    </row>
    <row r="2516" spans="1:11" hidden="1" x14ac:dyDescent="0.25">
      <c r="A2516" s="3" t="s">
        <v>4601</v>
      </c>
      <c r="B2516" s="3">
        <v>12</v>
      </c>
      <c r="C2516" s="5">
        <v>350</v>
      </c>
      <c r="D2516" s="6">
        <v>0</v>
      </c>
      <c r="E2516" s="7">
        <v>701010</v>
      </c>
      <c r="F2516" s="3">
        <v>54300</v>
      </c>
      <c r="G2516" s="3" t="str">
        <f t="shared" si="39"/>
        <v>5</v>
      </c>
      <c r="H2516" s="3" t="s">
        <v>4273</v>
      </c>
      <c r="I2516" s="8">
        <v>0</v>
      </c>
      <c r="J2516" s="8">
        <v>0</v>
      </c>
      <c r="K2516" s="8">
        <v>0</v>
      </c>
    </row>
    <row r="2517" spans="1:11" hidden="1" x14ac:dyDescent="0.25">
      <c r="A2517" s="3" t="s">
        <v>4602</v>
      </c>
      <c r="B2517" s="3">
        <v>12</v>
      </c>
      <c r="C2517" s="5">
        <v>350</v>
      </c>
      <c r="D2517" s="6">
        <v>0</v>
      </c>
      <c r="E2517" s="7">
        <v>701010</v>
      </c>
      <c r="F2517" s="3">
        <v>55105</v>
      </c>
      <c r="G2517" s="3" t="str">
        <f t="shared" si="39"/>
        <v>5</v>
      </c>
      <c r="H2517" s="3" t="s">
        <v>4603</v>
      </c>
      <c r="I2517" s="8">
        <v>2400</v>
      </c>
      <c r="J2517" s="8">
        <v>0</v>
      </c>
      <c r="K2517" s="8">
        <v>2400</v>
      </c>
    </row>
    <row r="2518" spans="1:11" hidden="1" x14ac:dyDescent="0.25">
      <c r="A2518" s="3" t="s">
        <v>4604</v>
      </c>
      <c r="B2518" s="3">
        <v>12</v>
      </c>
      <c r="C2518" s="5">
        <v>350</v>
      </c>
      <c r="D2518" s="6">
        <v>0</v>
      </c>
      <c r="E2518" s="7">
        <v>701010</v>
      </c>
      <c r="F2518" s="3">
        <v>55650</v>
      </c>
      <c r="G2518" s="3" t="str">
        <f t="shared" si="39"/>
        <v>5</v>
      </c>
      <c r="H2518" s="3" t="s">
        <v>4275</v>
      </c>
      <c r="I2518" s="8">
        <v>0</v>
      </c>
      <c r="J2518" s="8">
        <v>0</v>
      </c>
      <c r="K2518" s="8">
        <v>0</v>
      </c>
    </row>
    <row r="2519" spans="1:11" hidden="1" x14ac:dyDescent="0.25">
      <c r="A2519" s="3" t="s">
        <v>4605</v>
      </c>
      <c r="B2519" s="3">
        <v>12</v>
      </c>
      <c r="C2519" s="5">
        <v>350</v>
      </c>
      <c r="D2519" s="6">
        <v>0</v>
      </c>
      <c r="E2519" s="7">
        <v>701010</v>
      </c>
      <c r="F2519" s="3">
        <v>56300</v>
      </c>
      <c r="G2519" s="3" t="str">
        <f t="shared" si="39"/>
        <v>5</v>
      </c>
      <c r="H2519" s="3" t="s">
        <v>4277</v>
      </c>
      <c r="I2519" s="8">
        <v>0</v>
      </c>
      <c r="J2519" s="8">
        <v>0</v>
      </c>
      <c r="K2519" s="8">
        <v>0</v>
      </c>
    </row>
    <row r="2520" spans="1:11" hidden="1" x14ac:dyDescent="0.25">
      <c r="A2520" s="3" t="s">
        <v>4606</v>
      </c>
      <c r="B2520" s="3">
        <v>12</v>
      </c>
      <c r="C2520" s="5">
        <v>350</v>
      </c>
      <c r="D2520" s="6">
        <v>0</v>
      </c>
      <c r="E2520" s="7">
        <v>701010</v>
      </c>
      <c r="F2520" s="3">
        <v>56400</v>
      </c>
      <c r="G2520" s="3" t="str">
        <f t="shared" si="39"/>
        <v>5</v>
      </c>
      <c r="H2520" s="3" t="s">
        <v>4279</v>
      </c>
      <c r="I2520" s="8">
        <v>569.1</v>
      </c>
      <c r="J2520" s="8">
        <v>0</v>
      </c>
      <c r="K2520" s="8">
        <v>569.1</v>
      </c>
    </row>
    <row r="2521" spans="1:11" hidden="1" x14ac:dyDescent="0.25">
      <c r="A2521" s="3" t="s">
        <v>4607</v>
      </c>
      <c r="B2521" s="3">
        <v>12</v>
      </c>
      <c r="C2521" s="5">
        <v>350</v>
      </c>
      <c r="D2521" s="6">
        <v>0</v>
      </c>
      <c r="E2521" s="7">
        <v>701010</v>
      </c>
      <c r="F2521" s="3">
        <v>56405</v>
      </c>
      <c r="G2521" s="3" t="str">
        <f t="shared" si="39"/>
        <v>5</v>
      </c>
      <c r="H2521" s="3" t="s">
        <v>4281</v>
      </c>
      <c r="I2521" s="8">
        <v>445213.47</v>
      </c>
      <c r="J2521" s="8">
        <v>0</v>
      </c>
      <c r="K2521" s="8">
        <v>445213.47</v>
      </c>
    </row>
    <row r="2522" spans="1:11" hidden="1" x14ac:dyDescent="0.25">
      <c r="A2522" s="3" t="s">
        <v>4608</v>
      </c>
      <c r="B2522" s="3">
        <v>12</v>
      </c>
      <c r="C2522" s="5">
        <v>350</v>
      </c>
      <c r="D2522" s="6">
        <v>0</v>
      </c>
      <c r="E2522" s="7">
        <v>701500</v>
      </c>
      <c r="F2522" s="3">
        <v>48190</v>
      </c>
      <c r="G2522" s="3" t="str">
        <f t="shared" si="39"/>
        <v>4</v>
      </c>
      <c r="H2522" s="3" t="s">
        <v>4609</v>
      </c>
      <c r="I2522" s="8">
        <v>-10972</v>
      </c>
      <c r="J2522" s="8">
        <v>-5715.5</v>
      </c>
      <c r="K2522" s="8">
        <v>-10972</v>
      </c>
    </row>
    <row r="2523" spans="1:11" hidden="1" x14ac:dyDescent="0.25">
      <c r="A2523" s="3" t="s">
        <v>4610</v>
      </c>
      <c r="B2523" s="3">
        <v>12</v>
      </c>
      <c r="C2523" s="5">
        <v>350</v>
      </c>
      <c r="D2523" s="6">
        <v>0</v>
      </c>
      <c r="E2523" s="7">
        <v>701500</v>
      </c>
      <c r="F2523" s="3">
        <v>54220</v>
      </c>
      <c r="G2523" s="3" t="str">
        <f t="shared" si="39"/>
        <v>5</v>
      </c>
      <c r="H2523" s="3" t="s">
        <v>4611</v>
      </c>
      <c r="I2523" s="8">
        <v>2000</v>
      </c>
      <c r="J2523" s="8">
        <v>0</v>
      </c>
      <c r="K2523" s="8">
        <v>2000</v>
      </c>
    </row>
    <row r="2524" spans="1:11" hidden="1" x14ac:dyDescent="0.25">
      <c r="A2524" s="3" t="s">
        <v>4612</v>
      </c>
      <c r="B2524" s="3">
        <v>12</v>
      </c>
      <c r="C2524" s="5">
        <v>350</v>
      </c>
      <c r="D2524" s="6">
        <v>0</v>
      </c>
      <c r="E2524" s="7">
        <v>701500</v>
      </c>
      <c r="F2524" s="3">
        <v>54300</v>
      </c>
      <c r="G2524" s="3" t="str">
        <f t="shared" si="39"/>
        <v>5</v>
      </c>
      <c r="H2524" s="3" t="s">
        <v>4613</v>
      </c>
      <c r="I2524" s="8">
        <v>2672</v>
      </c>
      <c r="J2524" s="8">
        <v>0</v>
      </c>
      <c r="K2524" s="8">
        <v>2672</v>
      </c>
    </row>
    <row r="2525" spans="1:11" hidden="1" x14ac:dyDescent="0.25">
      <c r="A2525" s="3" t="s">
        <v>4614</v>
      </c>
      <c r="B2525" s="3">
        <v>12</v>
      </c>
      <c r="C2525" s="5">
        <v>350</v>
      </c>
      <c r="D2525" s="6">
        <v>0</v>
      </c>
      <c r="E2525" s="7">
        <v>701500</v>
      </c>
      <c r="F2525" s="3">
        <v>57350</v>
      </c>
      <c r="G2525" s="3" t="str">
        <f t="shared" si="39"/>
        <v>5</v>
      </c>
      <c r="H2525" s="3" t="s">
        <v>4615</v>
      </c>
      <c r="I2525" s="8">
        <v>300</v>
      </c>
      <c r="J2525" s="8">
        <v>0</v>
      </c>
      <c r="K2525" s="8">
        <v>300</v>
      </c>
    </row>
    <row r="2526" spans="1:11" hidden="1" x14ac:dyDescent="0.25">
      <c r="A2526" s="3" t="s">
        <v>4616</v>
      </c>
      <c r="B2526" s="3">
        <v>12</v>
      </c>
      <c r="C2526" s="5">
        <v>350</v>
      </c>
      <c r="D2526" s="6">
        <v>0</v>
      </c>
      <c r="E2526" s="7">
        <v>701500</v>
      </c>
      <c r="F2526" s="3">
        <v>57500</v>
      </c>
      <c r="G2526" s="3" t="str">
        <f t="shared" si="39"/>
        <v>5</v>
      </c>
      <c r="H2526" s="3" t="s">
        <v>4617</v>
      </c>
      <c r="I2526" s="8">
        <v>6000</v>
      </c>
      <c r="J2526" s="8">
        <v>1960</v>
      </c>
      <c r="K2526" s="8">
        <v>6000</v>
      </c>
    </row>
    <row r="2527" spans="1:11" hidden="1" x14ac:dyDescent="0.25">
      <c r="A2527" s="3" t="s">
        <v>4618</v>
      </c>
      <c r="B2527" s="3">
        <v>12</v>
      </c>
      <c r="C2527" s="5">
        <v>350</v>
      </c>
      <c r="D2527" s="6">
        <v>0</v>
      </c>
      <c r="E2527" s="7">
        <v>703975</v>
      </c>
      <c r="F2527" s="3">
        <v>48690</v>
      </c>
      <c r="G2527" s="3" t="str">
        <f t="shared" si="39"/>
        <v>4</v>
      </c>
      <c r="H2527" s="3" t="s">
        <v>4619</v>
      </c>
      <c r="I2527" s="8">
        <v>-587374.1</v>
      </c>
      <c r="J2527" s="8">
        <v>-637306.35</v>
      </c>
      <c r="K2527" s="8">
        <v>-587374.1</v>
      </c>
    </row>
    <row r="2528" spans="1:11" hidden="1" x14ac:dyDescent="0.25">
      <c r="A2528" s="3" t="s">
        <v>4620</v>
      </c>
      <c r="B2528" s="3">
        <v>12</v>
      </c>
      <c r="C2528" s="5">
        <v>350</v>
      </c>
      <c r="D2528" s="6">
        <v>0</v>
      </c>
      <c r="E2528" s="7">
        <v>703975</v>
      </c>
      <c r="F2528" s="3">
        <v>51412</v>
      </c>
      <c r="G2528" s="3" t="str">
        <f t="shared" si="39"/>
        <v>5</v>
      </c>
      <c r="H2528" s="3" t="s">
        <v>4621</v>
      </c>
      <c r="I2528" s="8">
        <v>10000</v>
      </c>
      <c r="J2528" s="8">
        <v>0</v>
      </c>
      <c r="K2528" s="8">
        <v>10000</v>
      </c>
    </row>
    <row r="2529" spans="1:11" hidden="1" x14ac:dyDescent="0.25">
      <c r="A2529" s="3" t="s">
        <v>4622</v>
      </c>
      <c r="B2529" s="3">
        <v>12</v>
      </c>
      <c r="C2529" s="5">
        <v>350</v>
      </c>
      <c r="D2529" s="6">
        <v>0</v>
      </c>
      <c r="E2529" s="7">
        <v>703975</v>
      </c>
      <c r="F2529" s="3">
        <v>52105</v>
      </c>
      <c r="G2529" s="3" t="str">
        <f t="shared" si="39"/>
        <v>5</v>
      </c>
      <c r="H2529" s="3" t="s">
        <v>4623</v>
      </c>
      <c r="I2529" s="8">
        <v>71798</v>
      </c>
      <c r="J2529" s="8">
        <v>53702.29</v>
      </c>
      <c r="K2529" s="8">
        <v>71798</v>
      </c>
    </row>
    <row r="2530" spans="1:11" hidden="1" x14ac:dyDescent="0.25">
      <c r="A2530" s="3" t="s">
        <v>4624</v>
      </c>
      <c r="B2530" s="3">
        <v>12</v>
      </c>
      <c r="C2530" s="5">
        <v>350</v>
      </c>
      <c r="D2530" s="6">
        <v>0</v>
      </c>
      <c r="E2530" s="7">
        <v>703975</v>
      </c>
      <c r="F2530" s="3">
        <v>52360</v>
      </c>
      <c r="G2530" s="3" t="str">
        <f t="shared" si="39"/>
        <v>5</v>
      </c>
      <c r="H2530" s="3" t="s">
        <v>4625</v>
      </c>
      <c r="I2530" s="8">
        <v>105000</v>
      </c>
      <c r="J2530" s="8">
        <v>31518</v>
      </c>
      <c r="K2530" s="8">
        <v>105000</v>
      </c>
    </row>
    <row r="2531" spans="1:11" hidden="1" x14ac:dyDescent="0.25">
      <c r="A2531" s="3" t="s">
        <v>4626</v>
      </c>
      <c r="B2531" s="3">
        <v>12</v>
      </c>
      <c r="C2531" s="5">
        <v>350</v>
      </c>
      <c r="D2531" s="6">
        <v>0</v>
      </c>
      <c r="E2531" s="7">
        <v>703975</v>
      </c>
      <c r="F2531" s="3">
        <v>52420</v>
      </c>
      <c r="G2531" s="3" t="str">
        <f t="shared" si="39"/>
        <v>5</v>
      </c>
      <c r="H2531" s="3" t="s">
        <v>4627</v>
      </c>
      <c r="I2531" s="8">
        <v>25000</v>
      </c>
      <c r="J2531" s="8">
        <v>0</v>
      </c>
      <c r="K2531" s="8">
        <v>25000</v>
      </c>
    </row>
    <row r="2532" spans="1:11" hidden="1" x14ac:dyDescent="0.25">
      <c r="A2532" s="3" t="s">
        <v>4628</v>
      </c>
      <c r="B2532" s="3">
        <v>12</v>
      </c>
      <c r="C2532" s="5">
        <v>350</v>
      </c>
      <c r="D2532" s="6">
        <v>0</v>
      </c>
      <c r="E2532" s="7">
        <v>703975</v>
      </c>
      <c r="F2532" s="3">
        <v>53000</v>
      </c>
      <c r="G2532" s="3" t="str">
        <f t="shared" si="39"/>
        <v>5</v>
      </c>
      <c r="H2532" s="3" t="s">
        <v>4629</v>
      </c>
      <c r="I2532" s="8">
        <v>0</v>
      </c>
      <c r="J2532" s="8">
        <v>0</v>
      </c>
      <c r="K2532" s="8">
        <v>0</v>
      </c>
    </row>
    <row r="2533" spans="1:11" hidden="1" x14ac:dyDescent="0.25">
      <c r="A2533" s="3" t="s">
        <v>4630</v>
      </c>
      <c r="B2533" s="3">
        <v>12</v>
      </c>
      <c r="C2533" s="5">
        <v>350</v>
      </c>
      <c r="D2533" s="6">
        <v>0</v>
      </c>
      <c r="E2533" s="7">
        <v>703975</v>
      </c>
      <c r="F2533" s="3">
        <v>53120</v>
      </c>
      <c r="G2533" s="3" t="str">
        <f t="shared" si="39"/>
        <v>5</v>
      </c>
      <c r="H2533" s="3" t="s">
        <v>4631</v>
      </c>
      <c r="I2533" s="8">
        <v>1615</v>
      </c>
      <c r="J2533" s="8">
        <v>0</v>
      </c>
      <c r="K2533" s="8">
        <v>1615</v>
      </c>
    </row>
    <row r="2534" spans="1:11" hidden="1" x14ac:dyDescent="0.25">
      <c r="A2534" s="3" t="s">
        <v>4632</v>
      </c>
      <c r="B2534" s="3">
        <v>12</v>
      </c>
      <c r="C2534" s="5">
        <v>350</v>
      </c>
      <c r="D2534" s="6">
        <v>0</v>
      </c>
      <c r="E2534" s="7">
        <v>703975</v>
      </c>
      <c r="F2534" s="3">
        <v>53220</v>
      </c>
      <c r="G2534" s="3" t="str">
        <f t="shared" si="39"/>
        <v>5</v>
      </c>
      <c r="H2534" s="3" t="s">
        <v>4633</v>
      </c>
      <c r="I2534" s="8">
        <v>14862</v>
      </c>
      <c r="J2534" s="8">
        <v>12422.5</v>
      </c>
      <c r="K2534" s="8">
        <v>14862</v>
      </c>
    </row>
    <row r="2535" spans="1:11" hidden="1" x14ac:dyDescent="0.25">
      <c r="A2535" s="3" t="s">
        <v>4634</v>
      </c>
      <c r="B2535" s="3">
        <v>12</v>
      </c>
      <c r="C2535" s="5">
        <v>350</v>
      </c>
      <c r="D2535" s="6">
        <v>0</v>
      </c>
      <c r="E2535" s="7">
        <v>703975</v>
      </c>
      <c r="F2535" s="3">
        <v>53320</v>
      </c>
      <c r="G2535" s="3" t="str">
        <f t="shared" si="39"/>
        <v>5</v>
      </c>
      <c r="H2535" s="3" t="s">
        <v>4635</v>
      </c>
      <c r="I2535" s="8">
        <v>10961</v>
      </c>
      <c r="J2535" s="8">
        <v>5286.66</v>
      </c>
      <c r="K2535" s="8">
        <v>10961</v>
      </c>
    </row>
    <row r="2536" spans="1:11" hidden="1" x14ac:dyDescent="0.25">
      <c r="A2536" s="3" t="s">
        <v>4636</v>
      </c>
      <c r="B2536" s="3">
        <v>12</v>
      </c>
      <c r="C2536" s="5">
        <v>350</v>
      </c>
      <c r="D2536" s="6">
        <v>0</v>
      </c>
      <c r="E2536" s="7">
        <v>703975</v>
      </c>
      <c r="F2536" s="3">
        <v>53340</v>
      </c>
      <c r="G2536" s="3" t="str">
        <f t="shared" si="39"/>
        <v>5</v>
      </c>
      <c r="H2536" s="3" t="s">
        <v>4637</v>
      </c>
      <c r="I2536" s="8">
        <v>4597</v>
      </c>
      <c r="J2536" s="8">
        <v>1236.3800000000001</v>
      </c>
      <c r="K2536" s="8">
        <v>4597</v>
      </c>
    </row>
    <row r="2537" spans="1:11" hidden="1" x14ac:dyDescent="0.25">
      <c r="A2537" s="3" t="s">
        <v>4638</v>
      </c>
      <c r="B2537" s="3">
        <v>12</v>
      </c>
      <c r="C2537" s="5">
        <v>350</v>
      </c>
      <c r="D2537" s="6">
        <v>0</v>
      </c>
      <c r="E2537" s="7">
        <v>703975</v>
      </c>
      <c r="F2537" s="3">
        <v>53420</v>
      </c>
      <c r="G2537" s="3" t="str">
        <f t="shared" si="39"/>
        <v>5</v>
      </c>
      <c r="H2537" s="3" t="s">
        <v>4639</v>
      </c>
      <c r="I2537" s="8">
        <v>17368</v>
      </c>
      <c r="J2537" s="8">
        <v>12707.09</v>
      </c>
      <c r="K2537" s="8">
        <v>17368</v>
      </c>
    </row>
    <row r="2538" spans="1:11" hidden="1" x14ac:dyDescent="0.25">
      <c r="A2538" s="3" t="s">
        <v>4640</v>
      </c>
      <c r="B2538" s="3">
        <v>12</v>
      </c>
      <c r="C2538" s="5">
        <v>350</v>
      </c>
      <c r="D2538" s="6">
        <v>0</v>
      </c>
      <c r="E2538" s="7">
        <v>703975</v>
      </c>
      <c r="F2538" s="3">
        <v>53520</v>
      </c>
      <c r="G2538" s="3" t="str">
        <f t="shared" si="39"/>
        <v>5</v>
      </c>
      <c r="H2538" s="3" t="s">
        <v>4641</v>
      </c>
      <c r="I2538" s="8">
        <v>110</v>
      </c>
      <c r="J2538" s="8">
        <v>42.59</v>
      </c>
      <c r="K2538" s="8">
        <v>110</v>
      </c>
    </row>
    <row r="2539" spans="1:11" hidden="1" x14ac:dyDescent="0.25">
      <c r="A2539" s="3" t="s">
        <v>4642</v>
      </c>
      <c r="B2539" s="3">
        <v>12</v>
      </c>
      <c r="C2539" s="5">
        <v>350</v>
      </c>
      <c r="D2539" s="6">
        <v>0</v>
      </c>
      <c r="E2539" s="7">
        <v>703975</v>
      </c>
      <c r="F2539" s="3">
        <v>53610</v>
      </c>
      <c r="G2539" s="3" t="str">
        <f t="shared" si="39"/>
        <v>5</v>
      </c>
      <c r="H2539" s="3" t="s">
        <v>4643</v>
      </c>
      <c r="I2539" s="8">
        <v>452</v>
      </c>
      <c r="J2539" s="8">
        <v>0</v>
      </c>
      <c r="K2539" s="8">
        <v>452</v>
      </c>
    </row>
    <row r="2540" spans="1:11" hidden="1" x14ac:dyDescent="0.25">
      <c r="A2540" s="3" t="s">
        <v>4644</v>
      </c>
      <c r="B2540" s="3">
        <v>12</v>
      </c>
      <c r="C2540" s="5">
        <v>350</v>
      </c>
      <c r="D2540" s="6">
        <v>0</v>
      </c>
      <c r="E2540" s="7">
        <v>703975</v>
      </c>
      <c r="F2540" s="3">
        <v>53620</v>
      </c>
      <c r="G2540" s="3" t="str">
        <f t="shared" si="39"/>
        <v>5</v>
      </c>
      <c r="H2540" s="3" t="s">
        <v>4645</v>
      </c>
      <c r="I2540" s="8">
        <v>3958</v>
      </c>
      <c r="J2540" s="8">
        <v>1614.14</v>
      </c>
      <c r="K2540" s="8">
        <v>3958</v>
      </c>
    </row>
    <row r="2541" spans="1:11" hidden="1" x14ac:dyDescent="0.25">
      <c r="A2541" s="3" t="s">
        <v>4646</v>
      </c>
      <c r="B2541" s="3">
        <v>12</v>
      </c>
      <c r="C2541" s="5">
        <v>350</v>
      </c>
      <c r="D2541" s="6">
        <v>0</v>
      </c>
      <c r="E2541" s="7">
        <v>703975</v>
      </c>
      <c r="F2541" s="3">
        <v>53920</v>
      </c>
      <c r="G2541" s="3" t="str">
        <f t="shared" ref="G2541:G2586" si="40">LEFT(F2541,1)</f>
        <v>5</v>
      </c>
      <c r="H2541" s="3" t="s">
        <v>4647</v>
      </c>
      <c r="I2541" s="8">
        <v>2400</v>
      </c>
      <c r="J2541" s="8">
        <v>1800</v>
      </c>
      <c r="K2541" s="8">
        <v>2400</v>
      </c>
    </row>
    <row r="2542" spans="1:11" hidden="1" x14ac:dyDescent="0.25">
      <c r="A2542" s="3" t="s">
        <v>4648</v>
      </c>
      <c r="B2542" s="3">
        <v>12</v>
      </c>
      <c r="C2542" s="5">
        <v>350</v>
      </c>
      <c r="D2542" s="6">
        <v>0</v>
      </c>
      <c r="E2542" s="7">
        <v>703975</v>
      </c>
      <c r="F2542" s="3">
        <v>54210</v>
      </c>
      <c r="G2542" s="3" t="str">
        <f t="shared" si="40"/>
        <v>5</v>
      </c>
      <c r="H2542" s="3" t="s">
        <v>4649</v>
      </c>
      <c r="I2542" s="8">
        <v>3500</v>
      </c>
      <c r="J2542" s="8">
        <v>0</v>
      </c>
      <c r="K2542" s="8">
        <v>3500</v>
      </c>
    </row>
    <row r="2543" spans="1:11" hidden="1" x14ac:dyDescent="0.25">
      <c r="A2543" s="3" t="s">
        <v>4650</v>
      </c>
      <c r="B2543" s="3">
        <v>12</v>
      </c>
      <c r="C2543" s="5">
        <v>350</v>
      </c>
      <c r="D2543" s="6">
        <v>0</v>
      </c>
      <c r="E2543" s="7">
        <v>703975</v>
      </c>
      <c r="F2543" s="3">
        <v>54300</v>
      </c>
      <c r="G2543" s="3" t="str">
        <f t="shared" si="40"/>
        <v>5</v>
      </c>
      <c r="H2543" s="3" t="s">
        <v>4651</v>
      </c>
      <c r="I2543" s="8">
        <v>3500</v>
      </c>
      <c r="J2543" s="8">
        <v>0</v>
      </c>
      <c r="K2543" s="8">
        <v>3500</v>
      </c>
    </row>
    <row r="2544" spans="1:11" hidden="1" x14ac:dyDescent="0.25">
      <c r="A2544" s="3" t="s">
        <v>4652</v>
      </c>
      <c r="B2544" s="3">
        <v>12</v>
      </c>
      <c r="C2544" s="5">
        <v>350</v>
      </c>
      <c r="D2544" s="6">
        <v>0</v>
      </c>
      <c r="E2544" s="7">
        <v>703975</v>
      </c>
      <c r="F2544" s="3">
        <v>55105</v>
      </c>
      <c r="G2544" s="3" t="str">
        <f t="shared" si="40"/>
        <v>5</v>
      </c>
      <c r="H2544" s="3" t="s">
        <v>4653</v>
      </c>
      <c r="I2544" s="8">
        <v>23500</v>
      </c>
      <c r="J2544" s="8">
        <v>3833.72</v>
      </c>
      <c r="K2544" s="8">
        <v>23500</v>
      </c>
    </row>
    <row r="2545" spans="1:11" hidden="1" x14ac:dyDescent="0.25">
      <c r="A2545" s="3" t="s">
        <v>4654</v>
      </c>
      <c r="B2545" s="3">
        <v>12</v>
      </c>
      <c r="C2545" s="5">
        <v>350</v>
      </c>
      <c r="D2545" s="6">
        <v>0</v>
      </c>
      <c r="E2545" s="7">
        <v>703975</v>
      </c>
      <c r="F2545" s="3">
        <v>55200</v>
      </c>
      <c r="G2545" s="3" t="str">
        <f t="shared" si="40"/>
        <v>5</v>
      </c>
      <c r="H2545" s="3" t="s">
        <v>4655</v>
      </c>
      <c r="I2545" s="8">
        <v>5300</v>
      </c>
      <c r="J2545" s="8">
        <v>0</v>
      </c>
      <c r="K2545" s="8">
        <v>5300</v>
      </c>
    </row>
    <row r="2546" spans="1:11" hidden="1" x14ac:dyDescent="0.25">
      <c r="A2546" s="3" t="s">
        <v>4656</v>
      </c>
      <c r="B2546" s="3">
        <v>12</v>
      </c>
      <c r="C2546" s="5">
        <v>350</v>
      </c>
      <c r="D2546" s="6">
        <v>0</v>
      </c>
      <c r="E2546" s="7">
        <v>703975</v>
      </c>
      <c r="F2546" s="3">
        <v>55625</v>
      </c>
      <c r="G2546" s="3" t="str">
        <f t="shared" si="40"/>
        <v>5</v>
      </c>
      <c r="H2546" s="3" t="s">
        <v>4657</v>
      </c>
      <c r="I2546" s="8">
        <v>0</v>
      </c>
      <c r="J2546" s="8">
        <v>0</v>
      </c>
      <c r="K2546" s="8">
        <v>0</v>
      </c>
    </row>
    <row r="2547" spans="1:11" hidden="1" x14ac:dyDescent="0.25">
      <c r="A2547" s="3" t="s">
        <v>4658</v>
      </c>
      <c r="B2547" s="3">
        <v>12</v>
      </c>
      <c r="C2547" s="5">
        <v>350</v>
      </c>
      <c r="D2547" s="6">
        <v>0</v>
      </c>
      <c r="E2547" s="7">
        <v>703975</v>
      </c>
      <c r="F2547" s="3">
        <v>55630</v>
      </c>
      <c r="G2547" s="3" t="str">
        <f t="shared" si="40"/>
        <v>5</v>
      </c>
      <c r="H2547" s="3" t="s">
        <v>4659</v>
      </c>
      <c r="I2547" s="8">
        <v>5000</v>
      </c>
      <c r="J2547" s="8">
        <v>12.39</v>
      </c>
      <c r="K2547" s="8">
        <v>5000</v>
      </c>
    </row>
    <row r="2548" spans="1:11" hidden="1" x14ac:dyDescent="0.25">
      <c r="A2548" s="3" t="s">
        <v>4660</v>
      </c>
      <c r="B2548" s="3">
        <v>12</v>
      </c>
      <c r="C2548" s="5">
        <v>350</v>
      </c>
      <c r="D2548" s="6">
        <v>0</v>
      </c>
      <c r="E2548" s="7">
        <v>703975</v>
      </c>
      <c r="F2548" s="3">
        <v>55800</v>
      </c>
      <c r="G2548" s="3" t="str">
        <f t="shared" si="40"/>
        <v>5</v>
      </c>
      <c r="H2548" s="3" t="s">
        <v>4661</v>
      </c>
      <c r="I2548" s="8">
        <v>156953.1</v>
      </c>
      <c r="J2548" s="8">
        <v>0</v>
      </c>
      <c r="K2548" s="8">
        <v>156953.1</v>
      </c>
    </row>
    <row r="2549" spans="1:11" hidden="1" x14ac:dyDescent="0.25">
      <c r="A2549" s="3" t="s">
        <v>4662</v>
      </c>
      <c r="B2549" s="3">
        <v>12</v>
      </c>
      <c r="C2549" s="5">
        <v>350</v>
      </c>
      <c r="D2549" s="6">
        <v>0</v>
      </c>
      <c r="E2549" s="7">
        <v>703975</v>
      </c>
      <c r="F2549" s="3">
        <v>56400</v>
      </c>
      <c r="G2549" s="3" t="str">
        <f t="shared" si="40"/>
        <v>5</v>
      </c>
      <c r="H2549" s="3" t="s">
        <v>4663</v>
      </c>
      <c r="I2549" s="8">
        <v>1500</v>
      </c>
      <c r="J2549" s="8">
        <v>0</v>
      </c>
      <c r="K2549" s="8">
        <v>1500</v>
      </c>
    </row>
    <row r="2550" spans="1:11" hidden="1" x14ac:dyDescent="0.25">
      <c r="A2550" s="3" t="s">
        <v>4664</v>
      </c>
      <c r="B2550" s="3">
        <v>12</v>
      </c>
      <c r="C2550" s="5">
        <v>350</v>
      </c>
      <c r="D2550" s="6">
        <v>0</v>
      </c>
      <c r="E2550" s="7">
        <v>703975</v>
      </c>
      <c r="F2550" s="3">
        <v>57500</v>
      </c>
      <c r="G2550" s="3" t="str">
        <f t="shared" si="40"/>
        <v>5</v>
      </c>
      <c r="H2550" s="3" t="s">
        <v>4665</v>
      </c>
      <c r="I2550" s="8">
        <v>120000</v>
      </c>
      <c r="J2550" s="8">
        <v>8000</v>
      </c>
      <c r="K2550" s="8">
        <v>120000</v>
      </c>
    </row>
    <row r="2551" spans="1:11" hidden="1" x14ac:dyDescent="0.25">
      <c r="A2551" s="3" t="s">
        <v>4666</v>
      </c>
      <c r="B2551" s="3">
        <v>12</v>
      </c>
      <c r="C2551" s="5">
        <v>350</v>
      </c>
      <c r="D2551" s="6">
        <v>0</v>
      </c>
      <c r="E2551" s="7">
        <v>740000</v>
      </c>
      <c r="F2551" s="3">
        <v>48170</v>
      </c>
      <c r="G2551" s="3" t="str">
        <f t="shared" si="40"/>
        <v>4</v>
      </c>
      <c r="H2551" s="3" t="s">
        <v>4667</v>
      </c>
      <c r="I2551" s="8">
        <v>-301419</v>
      </c>
      <c r="J2551" s="8">
        <v>0</v>
      </c>
      <c r="K2551" s="8">
        <v>-301419</v>
      </c>
    </row>
    <row r="2552" spans="1:11" hidden="1" x14ac:dyDescent="0.25">
      <c r="A2552" s="3" t="s">
        <v>4668</v>
      </c>
      <c r="B2552" s="3">
        <v>12</v>
      </c>
      <c r="C2552" s="5">
        <v>350</v>
      </c>
      <c r="D2552" s="6">
        <v>0</v>
      </c>
      <c r="E2552" s="7">
        <v>740000</v>
      </c>
      <c r="F2552" s="3">
        <v>51100</v>
      </c>
      <c r="G2552" s="3" t="str">
        <f t="shared" si="40"/>
        <v>5</v>
      </c>
      <c r="H2552" s="3" t="s">
        <v>4669</v>
      </c>
      <c r="I2552" s="8">
        <v>22500</v>
      </c>
      <c r="J2552" s="8">
        <v>0</v>
      </c>
      <c r="K2552" s="8">
        <v>22500</v>
      </c>
    </row>
    <row r="2553" spans="1:11" hidden="1" x14ac:dyDescent="0.25">
      <c r="A2553" s="3" t="s">
        <v>4670</v>
      </c>
      <c r="B2553" s="3">
        <v>12</v>
      </c>
      <c r="C2553" s="5">
        <v>350</v>
      </c>
      <c r="D2553" s="6">
        <v>0</v>
      </c>
      <c r="E2553" s="7">
        <v>740000</v>
      </c>
      <c r="F2553" s="3">
        <v>51210</v>
      </c>
      <c r="G2553" s="3" t="str">
        <f t="shared" si="40"/>
        <v>5</v>
      </c>
      <c r="H2553" s="3" t="s">
        <v>4671</v>
      </c>
      <c r="I2553" s="8">
        <v>0</v>
      </c>
      <c r="J2553" s="8">
        <v>12354.9</v>
      </c>
      <c r="K2553" s="8">
        <v>0</v>
      </c>
    </row>
    <row r="2554" spans="1:11" hidden="1" x14ac:dyDescent="0.25">
      <c r="A2554" s="3" t="s">
        <v>4672</v>
      </c>
      <c r="B2554" s="3">
        <v>12</v>
      </c>
      <c r="C2554" s="5">
        <v>350</v>
      </c>
      <c r="D2554" s="6">
        <v>0</v>
      </c>
      <c r="E2554" s="7">
        <v>740000</v>
      </c>
      <c r="F2554" s="3">
        <v>51412</v>
      </c>
      <c r="G2554" s="3" t="str">
        <f t="shared" si="40"/>
        <v>5</v>
      </c>
      <c r="H2554" s="3" t="s">
        <v>4673</v>
      </c>
      <c r="I2554" s="8">
        <v>7700</v>
      </c>
      <c r="J2554" s="8">
        <v>0</v>
      </c>
      <c r="K2554" s="8">
        <v>7700</v>
      </c>
    </row>
    <row r="2555" spans="1:11" hidden="1" x14ac:dyDescent="0.25">
      <c r="A2555" s="3" t="s">
        <v>4674</v>
      </c>
      <c r="B2555" s="3">
        <v>12</v>
      </c>
      <c r="C2555" s="5">
        <v>350</v>
      </c>
      <c r="D2555" s="6">
        <v>0</v>
      </c>
      <c r="E2555" s="7">
        <v>740000</v>
      </c>
      <c r="F2555" s="3">
        <v>52105</v>
      </c>
      <c r="G2555" s="3" t="str">
        <f t="shared" si="40"/>
        <v>5</v>
      </c>
      <c r="H2555" s="3" t="s">
        <v>4675</v>
      </c>
      <c r="I2555" s="8">
        <v>24029.25</v>
      </c>
      <c r="J2555" s="8">
        <v>25194.19</v>
      </c>
      <c r="K2555" s="8">
        <v>24029.25</v>
      </c>
    </row>
    <row r="2556" spans="1:11" hidden="1" x14ac:dyDescent="0.25">
      <c r="A2556" s="3" t="s">
        <v>4676</v>
      </c>
      <c r="B2556" s="3">
        <v>12</v>
      </c>
      <c r="C2556" s="5">
        <v>350</v>
      </c>
      <c r="D2556" s="6">
        <v>0</v>
      </c>
      <c r="E2556" s="7">
        <v>740000</v>
      </c>
      <c r="F2556" s="3">
        <v>52300</v>
      </c>
      <c r="G2556" s="3" t="str">
        <f t="shared" si="40"/>
        <v>5</v>
      </c>
      <c r="H2556" s="3" t="s">
        <v>4677</v>
      </c>
      <c r="I2556" s="8">
        <v>0</v>
      </c>
      <c r="J2556" s="8">
        <v>415.65</v>
      </c>
      <c r="K2556" s="8">
        <v>0</v>
      </c>
    </row>
    <row r="2557" spans="1:11" hidden="1" x14ac:dyDescent="0.25">
      <c r="A2557" s="3" t="s">
        <v>4678</v>
      </c>
      <c r="B2557" s="3">
        <v>12</v>
      </c>
      <c r="C2557" s="5">
        <v>350</v>
      </c>
      <c r="D2557" s="6">
        <v>0</v>
      </c>
      <c r="E2557" s="7">
        <v>740000</v>
      </c>
      <c r="F2557" s="3">
        <v>52350</v>
      </c>
      <c r="G2557" s="3" t="str">
        <f t="shared" si="40"/>
        <v>5</v>
      </c>
      <c r="H2557" s="3" t="s">
        <v>4679</v>
      </c>
      <c r="I2557" s="8">
        <v>10000</v>
      </c>
      <c r="J2557" s="8">
        <v>3864.13</v>
      </c>
      <c r="K2557" s="8">
        <v>10000</v>
      </c>
    </row>
    <row r="2558" spans="1:11" hidden="1" x14ac:dyDescent="0.25">
      <c r="A2558" s="3" t="s">
        <v>4680</v>
      </c>
      <c r="B2558" s="3">
        <v>12</v>
      </c>
      <c r="C2558" s="5">
        <v>350</v>
      </c>
      <c r="D2558" s="6">
        <v>0</v>
      </c>
      <c r="E2558" s="7">
        <v>740000</v>
      </c>
      <c r="F2558" s="3">
        <v>52360</v>
      </c>
      <c r="G2558" s="3" t="str">
        <f t="shared" si="40"/>
        <v>5</v>
      </c>
      <c r="H2558" s="3" t="s">
        <v>4681</v>
      </c>
      <c r="I2558" s="8">
        <v>30000</v>
      </c>
      <c r="J2558" s="8">
        <v>11990</v>
      </c>
      <c r="K2558" s="8">
        <v>30000</v>
      </c>
    </row>
    <row r="2559" spans="1:11" hidden="1" x14ac:dyDescent="0.25">
      <c r="A2559" s="3" t="s">
        <v>4682</v>
      </c>
      <c r="B2559" s="3">
        <v>12</v>
      </c>
      <c r="C2559" s="5">
        <v>350</v>
      </c>
      <c r="D2559" s="6">
        <v>0</v>
      </c>
      <c r="E2559" s="7">
        <v>740000</v>
      </c>
      <c r="F2559" s="3">
        <v>52400</v>
      </c>
      <c r="G2559" s="3" t="str">
        <f t="shared" si="40"/>
        <v>5</v>
      </c>
      <c r="H2559" s="3" t="s">
        <v>4683</v>
      </c>
      <c r="I2559" s="8">
        <v>0</v>
      </c>
      <c r="J2559" s="8">
        <v>810</v>
      </c>
      <c r="K2559" s="8">
        <v>0</v>
      </c>
    </row>
    <row r="2560" spans="1:11" hidden="1" x14ac:dyDescent="0.25">
      <c r="A2560" s="3" t="s">
        <v>4684</v>
      </c>
      <c r="B2560" s="3">
        <v>12</v>
      </c>
      <c r="C2560" s="5">
        <v>350</v>
      </c>
      <c r="D2560" s="6">
        <v>0</v>
      </c>
      <c r="E2560" s="7">
        <v>740000</v>
      </c>
      <c r="F2560" s="3">
        <v>53000</v>
      </c>
      <c r="G2560" s="3" t="str">
        <f t="shared" si="40"/>
        <v>5</v>
      </c>
      <c r="H2560" s="3" t="s">
        <v>4685</v>
      </c>
      <c r="I2560" s="8">
        <v>2050</v>
      </c>
      <c r="J2560" s="8">
        <v>0</v>
      </c>
      <c r="K2560" s="8">
        <v>2050</v>
      </c>
    </row>
    <row r="2561" spans="1:11" hidden="1" x14ac:dyDescent="0.25">
      <c r="A2561" s="3" t="s">
        <v>4686</v>
      </c>
      <c r="B2561" s="3">
        <v>12</v>
      </c>
      <c r="C2561" s="5">
        <v>350</v>
      </c>
      <c r="D2561" s="6">
        <v>0</v>
      </c>
      <c r="E2561" s="7">
        <v>740000</v>
      </c>
      <c r="F2561" s="3">
        <v>53120</v>
      </c>
      <c r="G2561" s="3" t="str">
        <f t="shared" si="40"/>
        <v>5</v>
      </c>
      <c r="H2561" s="3" t="s">
        <v>4687</v>
      </c>
      <c r="I2561" s="8">
        <v>4140</v>
      </c>
      <c r="J2561" s="8">
        <v>1995.31</v>
      </c>
      <c r="K2561" s="8">
        <v>4140</v>
      </c>
    </row>
    <row r="2562" spans="1:11" hidden="1" x14ac:dyDescent="0.25">
      <c r="A2562" s="3" t="s">
        <v>4688</v>
      </c>
      <c r="B2562" s="3">
        <v>12</v>
      </c>
      <c r="C2562" s="5">
        <v>350</v>
      </c>
      <c r="D2562" s="6">
        <v>0</v>
      </c>
      <c r="E2562" s="7">
        <v>740000</v>
      </c>
      <c r="F2562" s="3">
        <v>53220</v>
      </c>
      <c r="G2562" s="3" t="str">
        <f t="shared" si="40"/>
        <v>5</v>
      </c>
      <c r="H2562" s="3" t="s">
        <v>4689</v>
      </c>
      <c r="I2562" s="8">
        <v>4974</v>
      </c>
      <c r="J2562" s="8">
        <v>7695.52</v>
      </c>
      <c r="K2562" s="8">
        <v>4974</v>
      </c>
    </row>
    <row r="2563" spans="1:11" hidden="1" x14ac:dyDescent="0.25">
      <c r="A2563" s="3" t="s">
        <v>4690</v>
      </c>
      <c r="B2563" s="3">
        <v>12</v>
      </c>
      <c r="C2563" s="5">
        <v>350</v>
      </c>
      <c r="D2563" s="6">
        <v>0</v>
      </c>
      <c r="E2563" s="7">
        <v>740000</v>
      </c>
      <c r="F2563" s="3">
        <v>53320</v>
      </c>
      <c r="G2563" s="3" t="str">
        <f t="shared" si="40"/>
        <v>5</v>
      </c>
      <c r="H2563" s="3" t="s">
        <v>4691</v>
      </c>
      <c r="I2563" s="8">
        <v>3006.69</v>
      </c>
      <c r="J2563" s="8">
        <v>2331.23</v>
      </c>
      <c r="K2563" s="8">
        <v>3006.69</v>
      </c>
    </row>
    <row r="2564" spans="1:11" hidden="1" x14ac:dyDescent="0.25">
      <c r="A2564" s="3" t="s">
        <v>4692</v>
      </c>
      <c r="B2564" s="3">
        <v>12</v>
      </c>
      <c r="C2564" s="5">
        <v>350</v>
      </c>
      <c r="D2564" s="6">
        <v>0</v>
      </c>
      <c r="E2564" s="7">
        <v>740000</v>
      </c>
      <c r="F2564" s="3">
        <v>53340</v>
      </c>
      <c r="G2564" s="3" t="str">
        <f t="shared" si="40"/>
        <v>5</v>
      </c>
      <c r="H2564" s="3" t="s">
        <v>4693</v>
      </c>
      <c r="I2564" s="8">
        <v>1029.43</v>
      </c>
      <c r="J2564" s="8">
        <v>724.52</v>
      </c>
      <c r="K2564" s="8">
        <v>1029.43</v>
      </c>
    </row>
    <row r="2565" spans="1:11" hidden="1" x14ac:dyDescent="0.25">
      <c r="A2565" s="3" t="s">
        <v>4694</v>
      </c>
      <c r="B2565" s="3">
        <v>12</v>
      </c>
      <c r="C2565" s="5">
        <v>350</v>
      </c>
      <c r="D2565" s="6">
        <v>0</v>
      </c>
      <c r="E2565" s="7">
        <v>740000</v>
      </c>
      <c r="F2565" s="3">
        <v>53420</v>
      </c>
      <c r="G2565" s="3" t="str">
        <f t="shared" si="40"/>
        <v>5</v>
      </c>
      <c r="H2565" s="3" t="s">
        <v>4695</v>
      </c>
      <c r="I2565" s="8">
        <v>18162.75</v>
      </c>
      <c r="J2565" s="8">
        <v>9982.06</v>
      </c>
      <c r="K2565" s="8">
        <v>18162.75</v>
      </c>
    </row>
    <row r="2566" spans="1:11" hidden="1" x14ac:dyDescent="0.25">
      <c r="A2566" s="3" t="s">
        <v>4696</v>
      </c>
      <c r="B2566" s="3">
        <v>12</v>
      </c>
      <c r="C2566" s="5">
        <v>350</v>
      </c>
      <c r="D2566" s="6">
        <v>0</v>
      </c>
      <c r="E2566" s="7">
        <v>740000</v>
      </c>
      <c r="F2566" s="3">
        <v>53520</v>
      </c>
      <c r="G2566" s="3" t="str">
        <f t="shared" si="40"/>
        <v>5</v>
      </c>
      <c r="H2566" s="3" t="s">
        <v>4697</v>
      </c>
      <c r="I2566" s="8">
        <v>35.5</v>
      </c>
      <c r="J2566" s="8">
        <v>25.01</v>
      </c>
      <c r="K2566" s="8">
        <v>35.5</v>
      </c>
    </row>
    <row r="2567" spans="1:11" hidden="1" x14ac:dyDescent="0.25">
      <c r="A2567" s="3" t="s">
        <v>4698</v>
      </c>
      <c r="B2567" s="3">
        <v>12</v>
      </c>
      <c r="C2567" s="5">
        <v>350</v>
      </c>
      <c r="D2567" s="6">
        <v>0</v>
      </c>
      <c r="E2567" s="7">
        <v>740000</v>
      </c>
      <c r="F2567" s="3">
        <v>53610</v>
      </c>
      <c r="G2567" s="3" t="str">
        <f t="shared" si="40"/>
        <v>5</v>
      </c>
      <c r="H2567" s="3" t="s">
        <v>4699</v>
      </c>
      <c r="I2567" s="8">
        <v>0</v>
      </c>
      <c r="J2567" s="8">
        <v>15.32</v>
      </c>
      <c r="K2567" s="8">
        <v>0</v>
      </c>
    </row>
    <row r="2568" spans="1:11" hidden="1" x14ac:dyDescent="0.25">
      <c r="A2568" s="3" t="s">
        <v>4700</v>
      </c>
      <c r="B2568" s="3">
        <v>12</v>
      </c>
      <c r="C2568" s="5">
        <v>350</v>
      </c>
      <c r="D2568" s="6">
        <v>0</v>
      </c>
      <c r="E2568" s="7">
        <v>740000</v>
      </c>
      <c r="F2568" s="3">
        <v>53620</v>
      </c>
      <c r="G2568" s="3" t="str">
        <f t="shared" si="40"/>
        <v>5</v>
      </c>
      <c r="H2568" s="3" t="s">
        <v>4701</v>
      </c>
      <c r="I2568" s="8">
        <v>1282.4100000000001</v>
      </c>
      <c r="J2568" s="8">
        <v>1138.78</v>
      </c>
      <c r="K2568" s="8">
        <v>1282.4100000000001</v>
      </c>
    </row>
    <row r="2569" spans="1:11" hidden="1" x14ac:dyDescent="0.25">
      <c r="A2569" s="3" t="s">
        <v>4702</v>
      </c>
      <c r="B2569" s="3">
        <v>12</v>
      </c>
      <c r="C2569" s="5">
        <v>350</v>
      </c>
      <c r="D2569" s="6">
        <v>0</v>
      </c>
      <c r="E2569" s="7">
        <v>740000</v>
      </c>
      <c r="F2569" s="3">
        <v>53920</v>
      </c>
      <c r="G2569" s="3" t="str">
        <f t="shared" si="40"/>
        <v>5</v>
      </c>
      <c r="H2569" s="3" t="s">
        <v>4703</v>
      </c>
      <c r="I2569" s="8">
        <v>840</v>
      </c>
      <c r="J2569" s="8">
        <v>965</v>
      </c>
      <c r="K2569" s="8">
        <v>840</v>
      </c>
    </row>
    <row r="2570" spans="1:11" hidden="1" x14ac:dyDescent="0.25">
      <c r="A2570" s="3" t="s">
        <v>4704</v>
      </c>
      <c r="B2570" s="3">
        <v>12</v>
      </c>
      <c r="C2570" s="5">
        <v>350</v>
      </c>
      <c r="D2570" s="6">
        <v>0</v>
      </c>
      <c r="E2570" s="7">
        <v>740000</v>
      </c>
      <c r="F2570" s="3">
        <v>54300</v>
      </c>
      <c r="G2570" s="3" t="str">
        <f t="shared" si="40"/>
        <v>5</v>
      </c>
      <c r="H2570" s="3" t="s">
        <v>4705</v>
      </c>
      <c r="I2570" s="8">
        <v>25057</v>
      </c>
      <c r="J2570" s="8">
        <v>8178.57</v>
      </c>
      <c r="K2570" s="8">
        <v>25057</v>
      </c>
    </row>
    <row r="2571" spans="1:11" hidden="1" x14ac:dyDescent="0.25">
      <c r="A2571" s="3" t="s">
        <v>4706</v>
      </c>
      <c r="B2571" s="3">
        <v>12</v>
      </c>
      <c r="C2571" s="5">
        <v>350</v>
      </c>
      <c r="D2571" s="6">
        <v>0</v>
      </c>
      <c r="E2571" s="7">
        <v>740000</v>
      </c>
      <c r="F2571" s="3">
        <v>55105</v>
      </c>
      <c r="G2571" s="3" t="str">
        <f t="shared" si="40"/>
        <v>5</v>
      </c>
      <c r="H2571" s="3" t="s">
        <v>4707</v>
      </c>
      <c r="I2571" s="8">
        <v>2500</v>
      </c>
      <c r="J2571" s="8">
        <v>0</v>
      </c>
      <c r="K2571" s="8">
        <v>2500</v>
      </c>
    </row>
    <row r="2572" spans="1:11" hidden="1" x14ac:dyDescent="0.25">
      <c r="A2572" s="3" t="s">
        <v>4708</v>
      </c>
      <c r="B2572" s="3">
        <v>12</v>
      </c>
      <c r="C2572" s="5">
        <v>350</v>
      </c>
      <c r="D2572" s="6">
        <v>0</v>
      </c>
      <c r="E2572" s="7">
        <v>740000</v>
      </c>
      <c r="F2572" s="3">
        <v>55125</v>
      </c>
      <c r="G2572" s="3" t="str">
        <f t="shared" si="40"/>
        <v>5</v>
      </c>
      <c r="H2572" s="3" t="s">
        <v>4709</v>
      </c>
      <c r="I2572" s="8">
        <v>9275</v>
      </c>
      <c r="J2572" s="8">
        <v>9275</v>
      </c>
      <c r="K2572" s="8">
        <v>9275</v>
      </c>
    </row>
    <row r="2573" spans="1:11" hidden="1" x14ac:dyDescent="0.25">
      <c r="A2573" s="3" t="s">
        <v>4710</v>
      </c>
      <c r="B2573" s="3">
        <v>12</v>
      </c>
      <c r="C2573" s="5">
        <v>350</v>
      </c>
      <c r="D2573" s="6">
        <v>0</v>
      </c>
      <c r="E2573" s="7">
        <v>740000</v>
      </c>
      <c r="F2573" s="3">
        <v>55200</v>
      </c>
      <c r="G2573" s="3" t="str">
        <f t="shared" si="40"/>
        <v>5</v>
      </c>
      <c r="H2573" s="3" t="s">
        <v>4711</v>
      </c>
      <c r="I2573" s="8">
        <v>5000</v>
      </c>
      <c r="J2573" s="8">
        <v>4226.26</v>
      </c>
      <c r="K2573" s="8">
        <v>5000</v>
      </c>
    </row>
    <row r="2574" spans="1:11" hidden="1" x14ac:dyDescent="0.25">
      <c r="A2574" s="3" t="s">
        <v>4712</v>
      </c>
      <c r="B2574" s="3">
        <v>12</v>
      </c>
      <c r="C2574" s="5">
        <v>350</v>
      </c>
      <c r="D2574" s="6">
        <v>0</v>
      </c>
      <c r="E2574" s="7">
        <v>740000</v>
      </c>
      <c r="F2574" s="3">
        <v>55630</v>
      </c>
      <c r="G2574" s="3" t="str">
        <f t="shared" si="40"/>
        <v>5</v>
      </c>
      <c r="H2574" s="3" t="s">
        <v>4713</v>
      </c>
      <c r="I2574" s="8">
        <v>300</v>
      </c>
      <c r="J2574" s="8">
        <v>0.51</v>
      </c>
      <c r="K2574" s="8">
        <v>300</v>
      </c>
    </row>
    <row r="2575" spans="1:11" hidden="1" x14ac:dyDescent="0.25">
      <c r="A2575" s="3" t="s">
        <v>4714</v>
      </c>
      <c r="B2575" s="3">
        <v>12</v>
      </c>
      <c r="C2575" s="5">
        <v>350</v>
      </c>
      <c r="D2575" s="6">
        <v>0</v>
      </c>
      <c r="E2575" s="7">
        <v>740000</v>
      </c>
      <c r="F2575" s="3">
        <v>55635</v>
      </c>
      <c r="G2575" s="3" t="str">
        <f t="shared" si="40"/>
        <v>5</v>
      </c>
      <c r="H2575" s="3" t="s">
        <v>4715</v>
      </c>
      <c r="I2575" s="8">
        <v>1884.75</v>
      </c>
      <c r="J2575" s="8">
        <v>1884</v>
      </c>
      <c r="K2575" s="8">
        <v>1884.75</v>
      </c>
    </row>
    <row r="2576" spans="1:11" hidden="1" x14ac:dyDescent="0.25">
      <c r="A2576" s="3" t="s">
        <v>4716</v>
      </c>
      <c r="B2576" s="3">
        <v>12</v>
      </c>
      <c r="C2576" s="5">
        <v>350</v>
      </c>
      <c r="D2576" s="6">
        <v>0</v>
      </c>
      <c r="E2576" s="7">
        <v>740000</v>
      </c>
      <c r="F2576" s="3">
        <v>55800</v>
      </c>
      <c r="G2576" s="3" t="str">
        <f t="shared" si="40"/>
        <v>5</v>
      </c>
      <c r="H2576" s="3" t="s">
        <v>4717</v>
      </c>
      <c r="I2576" s="8">
        <v>0</v>
      </c>
      <c r="J2576" s="8">
        <v>0</v>
      </c>
      <c r="K2576" s="8">
        <v>0</v>
      </c>
    </row>
    <row r="2577" spans="1:11" hidden="1" x14ac:dyDescent="0.25">
      <c r="A2577" s="3" t="s">
        <v>4718</v>
      </c>
      <c r="B2577" s="3">
        <v>12</v>
      </c>
      <c r="C2577" s="5">
        <v>350</v>
      </c>
      <c r="D2577" s="6">
        <v>0</v>
      </c>
      <c r="E2577" s="7">
        <v>740000</v>
      </c>
      <c r="F2577" s="3">
        <v>55830</v>
      </c>
      <c r="G2577" s="3" t="str">
        <f t="shared" si="40"/>
        <v>5</v>
      </c>
      <c r="H2577" s="3" t="s">
        <v>4719</v>
      </c>
      <c r="I2577" s="8">
        <v>175</v>
      </c>
      <c r="J2577" s="8">
        <v>175</v>
      </c>
      <c r="K2577" s="8">
        <v>175</v>
      </c>
    </row>
    <row r="2578" spans="1:11" hidden="1" x14ac:dyDescent="0.25">
      <c r="A2578" s="3" t="s">
        <v>4720</v>
      </c>
      <c r="B2578" s="3">
        <v>12</v>
      </c>
      <c r="C2578" s="5">
        <v>350</v>
      </c>
      <c r="D2578" s="6">
        <v>0</v>
      </c>
      <c r="E2578" s="7">
        <v>740000</v>
      </c>
      <c r="F2578" s="3">
        <v>56400</v>
      </c>
      <c r="G2578" s="3" t="str">
        <f t="shared" si="40"/>
        <v>5</v>
      </c>
      <c r="H2578" s="3" t="s">
        <v>4721</v>
      </c>
      <c r="I2578" s="8">
        <v>82346.22</v>
      </c>
      <c r="J2578" s="8">
        <v>25770.5</v>
      </c>
      <c r="K2578" s="8">
        <v>82346.22</v>
      </c>
    </row>
    <row r="2579" spans="1:11" hidden="1" x14ac:dyDescent="0.25">
      <c r="A2579" s="3" t="s">
        <v>4722</v>
      </c>
      <c r="B2579" s="3">
        <v>12</v>
      </c>
      <c r="C2579" s="5">
        <v>350</v>
      </c>
      <c r="D2579" s="6">
        <v>0</v>
      </c>
      <c r="E2579" s="7">
        <v>740000</v>
      </c>
      <c r="F2579" s="3">
        <v>56405</v>
      </c>
      <c r="G2579" s="3" t="str">
        <f t="shared" si="40"/>
        <v>5</v>
      </c>
      <c r="H2579" s="3" t="s">
        <v>4723</v>
      </c>
      <c r="I2579" s="8">
        <v>44751</v>
      </c>
      <c r="J2579" s="8">
        <v>0</v>
      </c>
      <c r="K2579" s="8">
        <v>44751</v>
      </c>
    </row>
    <row r="2580" spans="1:11" hidden="1" x14ac:dyDescent="0.25">
      <c r="A2580" s="3" t="s">
        <v>4724</v>
      </c>
      <c r="B2580" s="3">
        <v>12</v>
      </c>
      <c r="C2580" s="5">
        <v>350</v>
      </c>
      <c r="D2580" s="6">
        <v>0</v>
      </c>
      <c r="E2580" s="7">
        <v>740000</v>
      </c>
      <c r="F2580" s="3">
        <v>57552</v>
      </c>
      <c r="G2580" s="3" t="str">
        <f t="shared" si="40"/>
        <v>5</v>
      </c>
      <c r="H2580" s="3" t="s">
        <v>4725</v>
      </c>
      <c r="I2580" s="8">
        <v>380</v>
      </c>
      <c r="J2580" s="8">
        <v>380</v>
      </c>
      <c r="K2580" s="8">
        <v>380</v>
      </c>
    </row>
    <row r="2581" spans="1:11" hidden="1" x14ac:dyDescent="0.25">
      <c r="A2581" s="3" t="s">
        <v>4726</v>
      </c>
      <c r="B2581" s="3">
        <v>12</v>
      </c>
      <c r="C2581" s="5">
        <v>350</v>
      </c>
      <c r="D2581" s="6">
        <v>0</v>
      </c>
      <c r="E2581" s="7">
        <v>740001</v>
      </c>
      <c r="F2581" s="3">
        <v>54300</v>
      </c>
      <c r="G2581" s="3" t="str">
        <f t="shared" si="40"/>
        <v>5</v>
      </c>
      <c r="H2581" s="3" t="s">
        <v>4727</v>
      </c>
      <c r="I2581" s="8">
        <v>0</v>
      </c>
      <c r="J2581" s="8">
        <v>0</v>
      </c>
      <c r="K2581" s="8">
        <v>0</v>
      </c>
    </row>
    <row r="2582" spans="1:11" hidden="1" x14ac:dyDescent="0.25">
      <c r="A2582" s="3" t="s">
        <v>4728</v>
      </c>
      <c r="B2582" s="3">
        <v>12</v>
      </c>
      <c r="C2582" s="5">
        <v>350</v>
      </c>
      <c r="D2582" s="6">
        <v>0</v>
      </c>
      <c r="E2582" s="7">
        <v>740001</v>
      </c>
      <c r="F2582" s="3">
        <v>55200</v>
      </c>
      <c r="G2582" s="3" t="str">
        <f t="shared" si="40"/>
        <v>5</v>
      </c>
      <c r="H2582" s="3" t="s">
        <v>4729</v>
      </c>
      <c r="I2582" s="8">
        <v>0</v>
      </c>
      <c r="J2582" s="8">
        <v>0</v>
      </c>
      <c r="K2582" s="8">
        <v>0</v>
      </c>
    </row>
    <row r="2583" spans="1:11" hidden="1" x14ac:dyDescent="0.25">
      <c r="A2583" s="3" t="s">
        <v>4730</v>
      </c>
      <c r="B2583" s="3">
        <v>12</v>
      </c>
      <c r="C2583" s="5">
        <v>350</v>
      </c>
      <c r="D2583" s="6">
        <v>0</v>
      </c>
      <c r="E2583" s="7">
        <v>740001</v>
      </c>
      <c r="F2583" s="3">
        <v>56400</v>
      </c>
      <c r="G2583" s="3" t="str">
        <f t="shared" si="40"/>
        <v>5</v>
      </c>
      <c r="H2583" s="3" t="s">
        <v>4731</v>
      </c>
      <c r="I2583" s="8">
        <v>0</v>
      </c>
      <c r="J2583" s="8">
        <v>0</v>
      </c>
      <c r="K2583" s="8">
        <v>0</v>
      </c>
    </row>
    <row r="2584" spans="1:11" hidden="1" x14ac:dyDescent="0.25">
      <c r="A2584" s="3" t="s">
        <v>4732</v>
      </c>
      <c r="B2584" s="3">
        <v>12</v>
      </c>
      <c r="C2584" s="5">
        <v>350</v>
      </c>
      <c r="D2584" s="6">
        <v>0</v>
      </c>
      <c r="E2584" s="7">
        <v>740002</v>
      </c>
      <c r="F2584" s="3">
        <v>56400</v>
      </c>
      <c r="G2584" s="3" t="str">
        <f t="shared" si="40"/>
        <v>5</v>
      </c>
      <c r="H2584" s="3" t="s">
        <v>4733</v>
      </c>
      <c r="I2584" s="8">
        <v>0</v>
      </c>
      <c r="J2584" s="8">
        <v>0</v>
      </c>
      <c r="K2584" s="8">
        <v>0</v>
      </c>
    </row>
    <row r="2585" spans="1:11" hidden="1" x14ac:dyDescent="0.25">
      <c r="A2585" s="3" t="s">
        <v>4734</v>
      </c>
      <c r="B2585" s="3">
        <v>12</v>
      </c>
      <c r="C2585" s="5">
        <v>350</v>
      </c>
      <c r="D2585" s="6">
        <v>0</v>
      </c>
      <c r="E2585" s="7">
        <v>740006</v>
      </c>
      <c r="F2585" s="3">
        <v>56400</v>
      </c>
      <c r="G2585" s="3" t="str">
        <f t="shared" si="40"/>
        <v>5</v>
      </c>
      <c r="H2585" s="3" t="s">
        <v>4735</v>
      </c>
      <c r="I2585" s="8">
        <v>0</v>
      </c>
      <c r="J2585" s="8">
        <v>0</v>
      </c>
      <c r="K2585" s="8">
        <v>0</v>
      </c>
    </row>
    <row r="2586" spans="1:11" hidden="1" x14ac:dyDescent="0.25">
      <c r="A2586" s="3" t="s">
        <v>4736</v>
      </c>
      <c r="B2586" s="3">
        <v>12</v>
      </c>
      <c r="C2586" s="5">
        <v>350</v>
      </c>
      <c r="D2586" s="6">
        <v>0</v>
      </c>
      <c r="E2586" s="7">
        <v>740012</v>
      </c>
      <c r="F2586" s="3">
        <v>51412</v>
      </c>
      <c r="G2586" s="3" t="str">
        <f t="shared" si="40"/>
        <v>5</v>
      </c>
      <c r="H2586" s="3" t="s">
        <v>4737</v>
      </c>
      <c r="I2586" s="8">
        <v>0</v>
      </c>
      <c r="J2586" s="8">
        <v>0</v>
      </c>
      <c r="K2586" s="8">
        <v>0</v>
      </c>
    </row>
    <row r="2587" spans="1:11" hidden="1" x14ac:dyDescent="0.25">
      <c r="A2587" s="3" t="s">
        <v>4738</v>
      </c>
      <c r="B2587" s="3">
        <v>12</v>
      </c>
      <c r="C2587" s="5">
        <v>350</v>
      </c>
      <c r="D2587" s="6">
        <v>0</v>
      </c>
      <c r="E2587" s="7">
        <v>740012</v>
      </c>
      <c r="F2587" s="3">
        <v>52400</v>
      </c>
      <c r="G2587" s="3" t="str">
        <f t="shared" ref="G2587:G2650" si="41">LEFT(F2587,1)</f>
        <v>5</v>
      </c>
      <c r="H2587" s="3" t="s">
        <v>4739</v>
      </c>
      <c r="I2587" s="8">
        <v>0</v>
      </c>
      <c r="J2587" s="8">
        <v>0</v>
      </c>
      <c r="K2587" s="8">
        <v>0</v>
      </c>
    </row>
    <row r="2588" spans="1:11" hidden="1" x14ac:dyDescent="0.25">
      <c r="A2588" s="3" t="s">
        <v>4740</v>
      </c>
      <c r="B2588" s="3">
        <v>12</v>
      </c>
      <c r="C2588" s="5">
        <v>350</v>
      </c>
      <c r="D2588" s="6">
        <v>0</v>
      </c>
      <c r="E2588" s="7">
        <v>740012</v>
      </c>
      <c r="F2588" s="3">
        <v>53000</v>
      </c>
      <c r="G2588" s="3" t="str">
        <f t="shared" si="41"/>
        <v>5</v>
      </c>
      <c r="H2588" s="3" t="s">
        <v>4741</v>
      </c>
      <c r="I2588" s="8">
        <v>0</v>
      </c>
      <c r="J2588" s="8">
        <v>0</v>
      </c>
      <c r="K2588" s="8">
        <v>0</v>
      </c>
    </row>
    <row r="2589" spans="1:11" hidden="1" x14ac:dyDescent="0.25">
      <c r="A2589" s="3" t="s">
        <v>4742</v>
      </c>
      <c r="B2589" s="3">
        <v>12</v>
      </c>
      <c r="C2589" s="5">
        <v>350</v>
      </c>
      <c r="D2589" s="6">
        <v>0</v>
      </c>
      <c r="E2589" s="7">
        <v>740012</v>
      </c>
      <c r="F2589" s="3">
        <v>53610</v>
      </c>
      <c r="G2589" s="3" t="str">
        <f t="shared" si="41"/>
        <v>5</v>
      </c>
      <c r="H2589" s="3" t="s">
        <v>4743</v>
      </c>
      <c r="I2589" s="8">
        <v>0</v>
      </c>
      <c r="J2589" s="8">
        <v>0</v>
      </c>
      <c r="K2589" s="8">
        <v>0</v>
      </c>
    </row>
    <row r="2590" spans="1:11" hidden="1" x14ac:dyDescent="0.25">
      <c r="A2590" s="3" t="s">
        <v>4744</v>
      </c>
      <c r="B2590" s="3">
        <v>12</v>
      </c>
      <c r="C2590" s="5">
        <v>350</v>
      </c>
      <c r="D2590" s="6">
        <v>0</v>
      </c>
      <c r="E2590" s="7">
        <v>740012</v>
      </c>
      <c r="F2590" s="3">
        <v>54300</v>
      </c>
      <c r="G2590" s="3" t="str">
        <f t="shared" si="41"/>
        <v>5</v>
      </c>
      <c r="H2590" s="3" t="s">
        <v>4745</v>
      </c>
      <c r="I2590" s="8">
        <v>0</v>
      </c>
      <c r="J2590" s="8">
        <v>4.7699999999999996</v>
      </c>
      <c r="K2590" s="8">
        <v>0</v>
      </c>
    </row>
    <row r="2591" spans="1:11" hidden="1" x14ac:dyDescent="0.25">
      <c r="A2591" s="3" t="s">
        <v>4746</v>
      </c>
      <c r="B2591" s="3">
        <v>12</v>
      </c>
      <c r="C2591" s="5">
        <v>350</v>
      </c>
      <c r="D2591" s="6">
        <v>0</v>
      </c>
      <c r="E2591" s="7">
        <v>740012</v>
      </c>
      <c r="F2591" s="3">
        <v>55125</v>
      </c>
      <c r="G2591" s="3" t="str">
        <f t="shared" si="41"/>
        <v>5</v>
      </c>
      <c r="H2591" s="3" t="s">
        <v>4747</v>
      </c>
      <c r="I2591" s="8">
        <v>0</v>
      </c>
      <c r="J2591" s="8">
        <v>0</v>
      </c>
      <c r="K2591" s="8">
        <v>0</v>
      </c>
    </row>
    <row r="2592" spans="1:11" hidden="1" x14ac:dyDescent="0.25">
      <c r="A2592" s="3" t="s">
        <v>4748</v>
      </c>
      <c r="B2592" s="3">
        <v>12</v>
      </c>
      <c r="C2592" s="5">
        <v>350</v>
      </c>
      <c r="D2592" s="6">
        <v>0</v>
      </c>
      <c r="E2592" s="7">
        <v>740012</v>
      </c>
      <c r="F2592" s="3">
        <v>56400</v>
      </c>
      <c r="G2592" s="3" t="str">
        <f t="shared" si="41"/>
        <v>5</v>
      </c>
      <c r="H2592" s="3" t="s">
        <v>4749</v>
      </c>
      <c r="I2592" s="8">
        <v>0</v>
      </c>
      <c r="J2592" s="8">
        <v>0</v>
      </c>
      <c r="K2592" s="8">
        <v>0</v>
      </c>
    </row>
    <row r="2593" spans="1:11" hidden="1" x14ac:dyDescent="0.25">
      <c r="A2593" s="3" t="s">
        <v>4750</v>
      </c>
      <c r="B2593" s="3">
        <v>12</v>
      </c>
      <c r="C2593" s="5">
        <v>350</v>
      </c>
      <c r="D2593" s="6">
        <v>0</v>
      </c>
      <c r="E2593" s="7">
        <v>740017</v>
      </c>
      <c r="F2593" s="3">
        <v>56400</v>
      </c>
      <c r="G2593" s="3" t="str">
        <f t="shared" si="41"/>
        <v>5</v>
      </c>
      <c r="H2593" s="3" t="s">
        <v>4751</v>
      </c>
      <c r="I2593" s="8">
        <v>0</v>
      </c>
      <c r="J2593" s="8">
        <v>0</v>
      </c>
      <c r="K2593" s="8">
        <v>0</v>
      </c>
    </row>
    <row r="2594" spans="1:11" hidden="1" x14ac:dyDescent="0.25">
      <c r="A2594" s="3" t="s">
        <v>4752</v>
      </c>
      <c r="B2594" s="3">
        <v>12</v>
      </c>
      <c r="C2594" s="5">
        <v>350</v>
      </c>
      <c r="D2594" s="6">
        <v>0</v>
      </c>
      <c r="E2594" s="7">
        <v>740020</v>
      </c>
      <c r="F2594" s="3">
        <v>52350</v>
      </c>
      <c r="G2594" s="3" t="str">
        <f t="shared" si="41"/>
        <v>5</v>
      </c>
      <c r="H2594" s="3" t="s">
        <v>4753</v>
      </c>
      <c r="I2594" s="8">
        <v>0</v>
      </c>
      <c r="J2594" s="8">
        <v>0</v>
      </c>
      <c r="K2594" s="8">
        <v>0</v>
      </c>
    </row>
    <row r="2595" spans="1:11" hidden="1" x14ac:dyDescent="0.25">
      <c r="A2595" s="3" t="s">
        <v>4754</v>
      </c>
      <c r="B2595" s="3">
        <v>12</v>
      </c>
      <c r="C2595" s="5">
        <v>350</v>
      </c>
      <c r="D2595" s="6">
        <v>0</v>
      </c>
      <c r="E2595" s="7">
        <v>740020</v>
      </c>
      <c r="F2595" s="3">
        <v>53000</v>
      </c>
      <c r="G2595" s="3" t="str">
        <f t="shared" si="41"/>
        <v>5</v>
      </c>
      <c r="H2595" s="3" t="s">
        <v>4755</v>
      </c>
      <c r="I2595" s="8">
        <v>0</v>
      </c>
      <c r="J2595" s="8">
        <v>0</v>
      </c>
      <c r="K2595" s="8">
        <v>0</v>
      </c>
    </row>
    <row r="2596" spans="1:11" hidden="1" x14ac:dyDescent="0.25">
      <c r="A2596" s="3" t="s">
        <v>4756</v>
      </c>
      <c r="B2596" s="3">
        <v>12</v>
      </c>
      <c r="C2596" s="5">
        <v>350</v>
      </c>
      <c r="D2596" s="6">
        <v>0</v>
      </c>
      <c r="E2596" s="7">
        <v>740020</v>
      </c>
      <c r="F2596" s="3">
        <v>53620</v>
      </c>
      <c r="G2596" s="3" t="str">
        <f t="shared" si="41"/>
        <v>5</v>
      </c>
      <c r="H2596" s="3" t="s">
        <v>4757</v>
      </c>
      <c r="I2596" s="8">
        <v>0</v>
      </c>
      <c r="J2596" s="8">
        <v>0</v>
      </c>
      <c r="K2596" s="8">
        <v>0</v>
      </c>
    </row>
    <row r="2597" spans="1:11" hidden="1" x14ac:dyDescent="0.25">
      <c r="A2597" s="3" t="s">
        <v>4758</v>
      </c>
      <c r="B2597" s="3">
        <v>12</v>
      </c>
      <c r="C2597" s="5">
        <v>350</v>
      </c>
      <c r="D2597" s="6">
        <v>0</v>
      </c>
      <c r="E2597" s="7">
        <v>740024</v>
      </c>
      <c r="F2597" s="3">
        <v>57552</v>
      </c>
      <c r="G2597" s="3" t="str">
        <f t="shared" si="41"/>
        <v>5</v>
      </c>
      <c r="H2597" s="3" t="s">
        <v>4759</v>
      </c>
      <c r="I2597" s="8">
        <v>0</v>
      </c>
      <c r="J2597" s="8">
        <v>0</v>
      </c>
      <c r="K2597" s="8">
        <v>0</v>
      </c>
    </row>
    <row r="2598" spans="1:11" hidden="1" x14ac:dyDescent="0.25">
      <c r="A2598" s="3" t="s">
        <v>4760</v>
      </c>
      <c r="B2598" s="3">
        <v>12</v>
      </c>
      <c r="C2598" s="5">
        <v>350</v>
      </c>
      <c r="D2598" s="6">
        <v>0</v>
      </c>
      <c r="E2598" s="7">
        <v>760005</v>
      </c>
      <c r="F2598" s="3">
        <v>48890</v>
      </c>
      <c r="G2598" s="3" t="str">
        <f t="shared" si="41"/>
        <v>4</v>
      </c>
      <c r="H2598" s="3" t="s">
        <v>4761</v>
      </c>
      <c r="I2598" s="8">
        <v>-212376.86</v>
      </c>
      <c r="J2598" s="8">
        <v>-115603.39</v>
      </c>
      <c r="K2598" s="8">
        <v>-212376.86</v>
      </c>
    </row>
    <row r="2599" spans="1:11" hidden="1" x14ac:dyDescent="0.25">
      <c r="A2599" s="3" t="s">
        <v>4762</v>
      </c>
      <c r="B2599" s="3">
        <v>12</v>
      </c>
      <c r="C2599" s="5">
        <v>350</v>
      </c>
      <c r="D2599" s="6">
        <v>0</v>
      </c>
      <c r="E2599" s="7">
        <v>760005</v>
      </c>
      <c r="F2599" s="3">
        <v>52105</v>
      </c>
      <c r="G2599" s="3" t="str">
        <f t="shared" si="41"/>
        <v>5</v>
      </c>
      <c r="H2599" s="3" t="s">
        <v>3432</v>
      </c>
      <c r="I2599" s="8">
        <v>54864</v>
      </c>
      <c r="J2599" s="8">
        <v>38978.49</v>
      </c>
      <c r="K2599" s="8">
        <v>54864</v>
      </c>
    </row>
    <row r="2600" spans="1:11" hidden="1" x14ac:dyDescent="0.25">
      <c r="A2600" s="3" t="s">
        <v>4763</v>
      </c>
      <c r="B2600" s="3">
        <v>12</v>
      </c>
      <c r="C2600" s="5">
        <v>350</v>
      </c>
      <c r="D2600" s="6">
        <v>0</v>
      </c>
      <c r="E2600" s="7">
        <v>760005</v>
      </c>
      <c r="F2600" s="3">
        <v>52130</v>
      </c>
      <c r="G2600" s="3" t="str">
        <f t="shared" si="41"/>
        <v>5</v>
      </c>
      <c r="H2600" s="3" t="s">
        <v>4764</v>
      </c>
      <c r="I2600" s="8">
        <v>82911.5</v>
      </c>
      <c r="J2600" s="8">
        <v>54800.45</v>
      </c>
      <c r="K2600" s="8">
        <v>82911.5</v>
      </c>
    </row>
    <row r="2601" spans="1:11" hidden="1" x14ac:dyDescent="0.25">
      <c r="A2601" s="3" t="s">
        <v>4765</v>
      </c>
      <c r="B2601" s="3">
        <v>12</v>
      </c>
      <c r="C2601" s="5">
        <v>350</v>
      </c>
      <c r="D2601" s="6">
        <v>0</v>
      </c>
      <c r="E2601" s="7">
        <v>760005</v>
      </c>
      <c r="F2601" s="3">
        <v>52300</v>
      </c>
      <c r="G2601" s="3" t="str">
        <f t="shared" si="41"/>
        <v>5</v>
      </c>
      <c r="H2601" s="3" t="s">
        <v>4766</v>
      </c>
      <c r="I2601" s="8">
        <v>0</v>
      </c>
      <c r="J2601" s="8">
        <v>153.66999999999999</v>
      </c>
      <c r="K2601" s="8">
        <v>0</v>
      </c>
    </row>
    <row r="2602" spans="1:11" hidden="1" x14ac:dyDescent="0.25">
      <c r="A2602" s="3" t="s">
        <v>4767</v>
      </c>
      <c r="B2602" s="3">
        <v>12</v>
      </c>
      <c r="C2602" s="5">
        <v>350</v>
      </c>
      <c r="D2602" s="6">
        <v>0</v>
      </c>
      <c r="E2602" s="7">
        <v>760005</v>
      </c>
      <c r="F2602" s="3">
        <v>53220</v>
      </c>
      <c r="G2602" s="3" t="str">
        <f t="shared" si="41"/>
        <v>5</v>
      </c>
      <c r="H2602" s="3" t="s">
        <v>3434</v>
      </c>
      <c r="I2602" s="8">
        <v>31275.040000000001</v>
      </c>
      <c r="J2602" s="8">
        <v>16857.759999999998</v>
      </c>
      <c r="K2602" s="8">
        <v>31275.040000000001</v>
      </c>
    </row>
    <row r="2603" spans="1:11" hidden="1" x14ac:dyDescent="0.25">
      <c r="A2603" s="3" t="s">
        <v>4768</v>
      </c>
      <c r="B2603" s="3">
        <v>12</v>
      </c>
      <c r="C2603" s="5">
        <v>350</v>
      </c>
      <c r="D2603" s="6">
        <v>0</v>
      </c>
      <c r="E2603" s="7">
        <v>760005</v>
      </c>
      <c r="F2603" s="3">
        <v>53320</v>
      </c>
      <c r="G2603" s="3" t="str">
        <f t="shared" si="41"/>
        <v>5</v>
      </c>
      <c r="H2603" s="3" t="s">
        <v>3436</v>
      </c>
      <c r="I2603" s="8">
        <v>8542.08</v>
      </c>
      <c r="J2603" s="8">
        <v>5811.33</v>
      </c>
      <c r="K2603" s="8">
        <v>8542.08</v>
      </c>
    </row>
    <row r="2604" spans="1:11" hidden="1" x14ac:dyDescent="0.25">
      <c r="A2604" s="3" t="s">
        <v>4769</v>
      </c>
      <c r="B2604" s="3">
        <v>12</v>
      </c>
      <c r="C2604" s="5">
        <v>350</v>
      </c>
      <c r="D2604" s="6">
        <v>0</v>
      </c>
      <c r="E2604" s="7">
        <v>760005</v>
      </c>
      <c r="F2604" s="3">
        <v>53340</v>
      </c>
      <c r="G2604" s="3" t="str">
        <f t="shared" si="41"/>
        <v>5</v>
      </c>
      <c r="H2604" s="3" t="s">
        <v>3438</v>
      </c>
      <c r="I2604" s="8">
        <v>1997.74</v>
      </c>
      <c r="J2604" s="8">
        <v>1359.12</v>
      </c>
      <c r="K2604" s="8">
        <v>1997.74</v>
      </c>
    </row>
    <row r="2605" spans="1:11" hidden="1" x14ac:dyDescent="0.25">
      <c r="A2605" s="3" t="s">
        <v>4770</v>
      </c>
      <c r="B2605" s="3">
        <v>12</v>
      </c>
      <c r="C2605" s="5">
        <v>350</v>
      </c>
      <c r="D2605" s="6">
        <v>0</v>
      </c>
      <c r="E2605" s="7">
        <v>760005</v>
      </c>
      <c r="F2605" s="3">
        <v>53420</v>
      </c>
      <c r="G2605" s="3" t="str">
        <f t="shared" si="41"/>
        <v>5</v>
      </c>
      <c r="H2605" s="3" t="s">
        <v>4771</v>
      </c>
      <c r="I2605" s="8">
        <v>25829.11</v>
      </c>
      <c r="J2605" s="8">
        <v>13757.23</v>
      </c>
      <c r="K2605" s="8">
        <v>25829.11</v>
      </c>
    </row>
    <row r="2606" spans="1:11" hidden="1" x14ac:dyDescent="0.25">
      <c r="A2606" s="3" t="s">
        <v>4772</v>
      </c>
      <c r="B2606" s="3">
        <v>12</v>
      </c>
      <c r="C2606" s="5">
        <v>350</v>
      </c>
      <c r="D2606" s="6">
        <v>0</v>
      </c>
      <c r="E2606" s="7">
        <v>760005</v>
      </c>
      <c r="F2606" s="3">
        <v>53520</v>
      </c>
      <c r="G2606" s="3" t="str">
        <f t="shared" si="41"/>
        <v>5</v>
      </c>
      <c r="H2606" s="3" t="s">
        <v>3440</v>
      </c>
      <c r="I2606" s="8">
        <v>68.89</v>
      </c>
      <c r="J2606" s="8">
        <v>47</v>
      </c>
      <c r="K2606" s="8">
        <v>68.89</v>
      </c>
    </row>
    <row r="2607" spans="1:11" hidden="1" x14ac:dyDescent="0.25">
      <c r="A2607" s="3" t="s">
        <v>4773</v>
      </c>
      <c r="B2607" s="3">
        <v>12</v>
      </c>
      <c r="C2607" s="5">
        <v>350</v>
      </c>
      <c r="D2607" s="6">
        <v>0</v>
      </c>
      <c r="E2607" s="7">
        <v>760005</v>
      </c>
      <c r="F2607" s="3">
        <v>53620</v>
      </c>
      <c r="G2607" s="3" t="str">
        <f t="shared" si="41"/>
        <v>5</v>
      </c>
      <c r="H2607" s="3" t="s">
        <v>3442</v>
      </c>
      <c r="I2607" s="8">
        <v>2488.5</v>
      </c>
      <c r="J2607" s="8">
        <v>1778.26</v>
      </c>
      <c r="K2607" s="8">
        <v>2488.5</v>
      </c>
    </row>
    <row r="2608" spans="1:11" hidden="1" x14ac:dyDescent="0.25">
      <c r="A2608" s="3" t="s">
        <v>4774</v>
      </c>
      <c r="B2608" s="3">
        <v>12</v>
      </c>
      <c r="C2608" s="5">
        <v>350</v>
      </c>
      <c r="D2608" s="6">
        <v>0</v>
      </c>
      <c r="E2608" s="7">
        <v>760005</v>
      </c>
      <c r="F2608" s="3">
        <v>53920</v>
      </c>
      <c r="G2608" s="3" t="str">
        <f t="shared" si="41"/>
        <v>5</v>
      </c>
      <c r="H2608" s="3" t="s">
        <v>4775</v>
      </c>
      <c r="I2608" s="8">
        <v>2400</v>
      </c>
      <c r="J2608" s="8">
        <v>1600</v>
      </c>
      <c r="K2608" s="8">
        <v>2400</v>
      </c>
    </row>
    <row r="2609" spans="1:11" hidden="1" x14ac:dyDescent="0.25">
      <c r="A2609" s="3" t="s">
        <v>4776</v>
      </c>
      <c r="B2609" s="3">
        <v>12</v>
      </c>
      <c r="C2609" s="5">
        <v>350</v>
      </c>
      <c r="D2609" s="6">
        <v>0</v>
      </c>
      <c r="E2609" s="7">
        <v>760005</v>
      </c>
      <c r="F2609" s="3">
        <v>55630</v>
      </c>
      <c r="G2609" s="3" t="str">
        <f t="shared" si="41"/>
        <v>5</v>
      </c>
      <c r="H2609" s="3" t="s">
        <v>3444</v>
      </c>
      <c r="I2609" s="8">
        <v>2000</v>
      </c>
      <c r="J2609" s="8">
        <v>4.8</v>
      </c>
      <c r="K2609" s="8">
        <v>2000</v>
      </c>
    </row>
    <row r="2610" spans="1:11" hidden="1" x14ac:dyDescent="0.25">
      <c r="A2610" s="3" t="s">
        <v>4777</v>
      </c>
      <c r="B2610" s="3">
        <v>12</v>
      </c>
      <c r="C2610" s="5">
        <v>350</v>
      </c>
      <c r="D2610" s="6">
        <v>0</v>
      </c>
      <c r="E2610" s="7">
        <v>760100</v>
      </c>
      <c r="F2610" s="3">
        <v>48890</v>
      </c>
      <c r="G2610" s="3" t="str">
        <f t="shared" si="41"/>
        <v>4</v>
      </c>
      <c r="H2610" s="3" t="s">
        <v>4778</v>
      </c>
      <c r="I2610" s="8">
        <v>-41561.81</v>
      </c>
      <c r="J2610" s="8">
        <v>0</v>
      </c>
      <c r="K2610" s="8">
        <v>-41561.81</v>
      </c>
    </row>
    <row r="2611" spans="1:11" hidden="1" x14ac:dyDescent="0.25">
      <c r="A2611" s="3" t="s">
        <v>4779</v>
      </c>
      <c r="B2611" s="3">
        <v>12</v>
      </c>
      <c r="C2611" s="5">
        <v>350</v>
      </c>
      <c r="D2611" s="6">
        <v>0</v>
      </c>
      <c r="E2611" s="7">
        <v>760100</v>
      </c>
      <c r="F2611" s="3">
        <v>51210</v>
      </c>
      <c r="G2611" s="3" t="str">
        <f t="shared" si="41"/>
        <v>5</v>
      </c>
      <c r="H2611" s="3" t="s">
        <v>4780</v>
      </c>
      <c r="I2611" s="8">
        <v>9884</v>
      </c>
      <c r="J2611" s="8">
        <v>2470.98</v>
      </c>
      <c r="K2611" s="8">
        <v>9884</v>
      </c>
    </row>
    <row r="2612" spans="1:11" hidden="1" x14ac:dyDescent="0.25">
      <c r="A2612" s="3" t="s">
        <v>4781</v>
      </c>
      <c r="B2612" s="3">
        <v>12</v>
      </c>
      <c r="C2612" s="5">
        <v>350</v>
      </c>
      <c r="D2612" s="6">
        <v>0</v>
      </c>
      <c r="E2612" s="7">
        <v>760100</v>
      </c>
      <c r="F2612" s="3">
        <v>51412</v>
      </c>
      <c r="G2612" s="3" t="str">
        <f t="shared" si="41"/>
        <v>5</v>
      </c>
      <c r="H2612" s="3" t="s">
        <v>4782</v>
      </c>
      <c r="I2612" s="8">
        <v>0</v>
      </c>
      <c r="J2612" s="8">
        <v>0</v>
      </c>
      <c r="K2612" s="8">
        <v>0</v>
      </c>
    </row>
    <row r="2613" spans="1:11" hidden="1" x14ac:dyDescent="0.25">
      <c r="A2613" s="3" t="s">
        <v>4783</v>
      </c>
      <c r="B2613" s="3">
        <v>12</v>
      </c>
      <c r="C2613" s="5">
        <v>350</v>
      </c>
      <c r="D2613" s="6">
        <v>0</v>
      </c>
      <c r="E2613" s="7">
        <v>760100</v>
      </c>
      <c r="F2613" s="3">
        <v>52360</v>
      </c>
      <c r="G2613" s="3" t="str">
        <f t="shared" si="41"/>
        <v>5</v>
      </c>
      <c r="H2613" s="3" t="s">
        <v>4784</v>
      </c>
      <c r="I2613" s="8">
        <v>14960</v>
      </c>
      <c r="J2613" s="8">
        <v>0</v>
      </c>
      <c r="K2613" s="8">
        <v>14960</v>
      </c>
    </row>
    <row r="2614" spans="1:11" hidden="1" x14ac:dyDescent="0.25">
      <c r="A2614" s="3" t="s">
        <v>4785</v>
      </c>
      <c r="B2614" s="3">
        <v>12</v>
      </c>
      <c r="C2614" s="5">
        <v>350</v>
      </c>
      <c r="D2614" s="6">
        <v>0</v>
      </c>
      <c r="E2614" s="7">
        <v>760100</v>
      </c>
      <c r="F2614" s="3">
        <v>53120</v>
      </c>
      <c r="G2614" s="3" t="str">
        <f t="shared" si="41"/>
        <v>5</v>
      </c>
      <c r="H2614" s="3" t="s">
        <v>4786</v>
      </c>
      <c r="I2614" s="8">
        <v>1597</v>
      </c>
      <c r="J2614" s="8">
        <v>399.06</v>
      </c>
      <c r="K2614" s="8">
        <v>1597</v>
      </c>
    </row>
    <row r="2615" spans="1:11" hidden="1" x14ac:dyDescent="0.25">
      <c r="A2615" s="3" t="s">
        <v>4787</v>
      </c>
      <c r="B2615" s="3">
        <v>12</v>
      </c>
      <c r="C2615" s="5">
        <v>350</v>
      </c>
      <c r="D2615" s="6">
        <v>0</v>
      </c>
      <c r="E2615" s="7">
        <v>760100</v>
      </c>
      <c r="F2615" s="3">
        <v>53320</v>
      </c>
      <c r="G2615" s="3" t="str">
        <f t="shared" si="41"/>
        <v>5</v>
      </c>
      <c r="H2615" s="3" t="s">
        <v>4788</v>
      </c>
      <c r="I2615" s="8">
        <v>928</v>
      </c>
      <c r="J2615" s="8">
        <v>0</v>
      </c>
      <c r="K2615" s="8">
        <v>928</v>
      </c>
    </row>
    <row r="2616" spans="1:11" hidden="1" x14ac:dyDescent="0.25">
      <c r="A2616" s="3" t="s">
        <v>4789</v>
      </c>
      <c r="B2616" s="3">
        <v>12</v>
      </c>
      <c r="C2616" s="5">
        <v>350</v>
      </c>
      <c r="D2616" s="6">
        <v>0</v>
      </c>
      <c r="E2616" s="7">
        <v>760100</v>
      </c>
      <c r="F2616" s="3">
        <v>53340</v>
      </c>
      <c r="G2616" s="3" t="str">
        <f t="shared" si="41"/>
        <v>5</v>
      </c>
      <c r="H2616" s="3" t="s">
        <v>4790</v>
      </c>
      <c r="I2616" s="8">
        <v>360</v>
      </c>
      <c r="J2616" s="8">
        <v>35.82</v>
      </c>
      <c r="K2616" s="8">
        <v>360</v>
      </c>
    </row>
    <row r="2617" spans="1:11" hidden="1" x14ac:dyDescent="0.25">
      <c r="A2617" s="3" t="s">
        <v>4791</v>
      </c>
      <c r="B2617" s="3">
        <v>12</v>
      </c>
      <c r="C2617" s="5">
        <v>350</v>
      </c>
      <c r="D2617" s="6">
        <v>0</v>
      </c>
      <c r="E2617" s="7">
        <v>760100</v>
      </c>
      <c r="F2617" s="3">
        <v>53420</v>
      </c>
      <c r="G2617" s="3" t="str">
        <f t="shared" si="41"/>
        <v>5</v>
      </c>
      <c r="H2617" s="3" t="s">
        <v>4792</v>
      </c>
      <c r="I2617" s="8">
        <v>2311</v>
      </c>
      <c r="J2617" s="8">
        <v>585.99</v>
      </c>
      <c r="K2617" s="8">
        <v>2311</v>
      </c>
    </row>
    <row r="2618" spans="1:11" hidden="1" x14ac:dyDescent="0.25">
      <c r="A2618" s="3" t="s">
        <v>4793</v>
      </c>
      <c r="B2618" s="3">
        <v>12</v>
      </c>
      <c r="C2618" s="5">
        <v>350</v>
      </c>
      <c r="D2618" s="6">
        <v>0</v>
      </c>
      <c r="E2618" s="7">
        <v>760100</v>
      </c>
      <c r="F2618" s="3">
        <v>53520</v>
      </c>
      <c r="G2618" s="3" t="str">
        <f t="shared" si="41"/>
        <v>5</v>
      </c>
      <c r="H2618" s="3" t="s">
        <v>4794</v>
      </c>
      <c r="I2618" s="8">
        <v>13</v>
      </c>
      <c r="J2618" s="8">
        <v>1.23</v>
      </c>
      <c r="K2618" s="8">
        <v>13</v>
      </c>
    </row>
    <row r="2619" spans="1:11" hidden="1" x14ac:dyDescent="0.25">
      <c r="A2619" s="3" t="s">
        <v>4795</v>
      </c>
      <c r="B2619" s="3">
        <v>12</v>
      </c>
      <c r="C2619" s="5">
        <v>350</v>
      </c>
      <c r="D2619" s="6">
        <v>0</v>
      </c>
      <c r="E2619" s="7">
        <v>760100</v>
      </c>
      <c r="F2619" s="3">
        <v>53620</v>
      </c>
      <c r="G2619" s="3" t="str">
        <f t="shared" si="41"/>
        <v>5</v>
      </c>
      <c r="H2619" s="3" t="s">
        <v>4796</v>
      </c>
      <c r="I2619" s="8">
        <v>470</v>
      </c>
      <c r="J2619" s="8">
        <v>46.71</v>
      </c>
      <c r="K2619" s="8">
        <v>470</v>
      </c>
    </row>
    <row r="2620" spans="1:11" hidden="1" x14ac:dyDescent="0.25">
      <c r="A2620" s="3" t="s">
        <v>4797</v>
      </c>
      <c r="B2620" s="3">
        <v>12</v>
      </c>
      <c r="C2620" s="5">
        <v>350</v>
      </c>
      <c r="D2620" s="6">
        <v>0</v>
      </c>
      <c r="E2620" s="7">
        <v>760100</v>
      </c>
      <c r="F2620" s="3">
        <v>53920</v>
      </c>
      <c r="G2620" s="3" t="str">
        <f t="shared" si="41"/>
        <v>5</v>
      </c>
      <c r="H2620" s="3" t="s">
        <v>4798</v>
      </c>
      <c r="I2620" s="8">
        <v>240</v>
      </c>
      <c r="J2620" s="8">
        <v>40</v>
      </c>
      <c r="K2620" s="8">
        <v>240</v>
      </c>
    </row>
    <row r="2621" spans="1:11" hidden="1" x14ac:dyDescent="0.25">
      <c r="A2621" s="3" t="s">
        <v>4799</v>
      </c>
      <c r="B2621" s="3">
        <v>12</v>
      </c>
      <c r="C2621" s="5">
        <v>350</v>
      </c>
      <c r="D2621" s="6">
        <v>0</v>
      </c>
      <c r="E2621" s="7">
        <v>760100</v>
      </c>
      <c r="F2621" s="3">
        <v>55630</v>
      </c>
      <c r="G2621" s="3" t="str">
        <f t="shared" si="41"/>
        <v>5</v>
      </c>
      <c r="H2621" s="3" t="s">
        <v>4800</v>
      </c>
      <c r="I2621" s="8">
        <v>7500</v>
      </c>
      <c r="J2621" s="8">
        <v>0</v>
      </c>
      <c r="K2621" s="8">
        <v>7500</v>
      </c>
    </row>
    <row r="2622" spans="1:11" hidden="1" x14ac:dyDescent="0.25">
      <c r="A2622" s="3" t="s">
        <v>4801</v>
      </c>
      <c r="B2622" s="3">
        <v>12</v>
      </c>
      <c r="C2622" s="5">
        <v>350</v>
      </c>
      <c r="D2622" s="6">
        <v>0</v>
      </c>
      <c r="E2622" s="7">
        <v>760100</v>
      </c>
      <c r="F2622" s="3">
        <v>55800</v>
      </c>
      <c r="G2622" s="3" t="str">
        <f t="shared" si="41"/>
        <v>5</v>
      </c>
      <c r="H2622" s="3" t="s">
        <v>4802</v>
      </c>
      <c r="I2622" s="8">
        <v>3298.81</v>
      </c>
      <c r="J2622" s="8">
        <v>0</v>
      </c>
      <c r="K2622" s="8">
        <v>3298.81</v>
      </c>
    </row>
    <row r="2623" spans="1:11" hidden="1" x14ac:dyDescent="0.25">
      <c r="A2623" s="3" t="s">
        <v>4803</v>
      </c>
      <c r="B2623" s="3">
        <v>12</v>
      </c>
      <c r="C2623" s="5">
        <v>350</v>
      </c>
      <c r="D2623" s="6">
        <v>0</v>
      </c>
      <c r="E2623" s="7">
        <v>760101</v>
      </c>
      <c r="F2623" s="3">
        <v>48890</v>
      </c>
      <c r="G2623" s="3" t="str">
        <f t="shared" si="41"/>
        <v>4</v>
      </c>
      <c r="H2623" s="3" t="s">
        <v>4804</v>
      </c>
      <c r="I2623" s="8">
        <v>0</v>
      </c>
      <c r="J2623" s="8">
        <v>0</v>
      </c>
      <c r="K2623" s="8">
        <v>0</v>
      </c>
    </row>
    <row r="2624" spans="1:11" hidden="1" x14ac:dyDescent="0.25">
      <c r="A2624" s="3" t="s">
        <v>4805</v>
      </c>
      <c r="B2624" s="3">
        <v>12</v>
      </c>
      <c r="C2624" s="5">
        <v>350</v>
      </c>
      <c r="D2624" s="6">
        <v>0</v>
      </c>
      <c r="E2624" s="7">
        <v>760101</v>
      </c>
      <c r="F2624" s="3">
        <v>55200</v>
      </c>
      <c r="G2624" s="3" t="str">
        <f t="shared" si="41"/>
        <v>5</v>
      </c>
      <c r="H2624" s="3" t="s">
        <v>4806</v>
      </c>
      <c r="I2624" s="8">
        <v>0</v>
      </c>
      <c r="J2624" s="8">
        <v>0</v>
      </c>
      <c r="K2624" s="8">
        <v>0</v>
      </c>
    </row>
    <row r="2625" spans="1:11" hidden="1" x14ac:dyDescent="0.25">
      <c r="A2625" s="3" t="s">
        <v>4807</v>
      </c>
      <c r="B2625" s="3">
        <v>12</v>
      </c>
      <c r="C2625" s="5">
        <v>350</v>
      </c>
      <c r="D2625" s="6">
        <v>0</v>
      </c>
      <c r="E2625" s="7">
        <v>760101</v>
      </c>
      <c r="F2625" s="3">
        <v>55240</v>
      </c>
      <c r="G2625" s="3" t="str">
        <f t="shared" si="41"/>
        <v>5</v>
      </c>
      <c r="H2625" s="3" t="s">
        <v>4808</v>
      </c>
      <c r="I2625" s="8">
        <v>0</v>
      </c>
      <c r="J2625" s="8">
        <v>0</v>
      </c>
      <c r="K2625" s="8">
        <v>0</v>
      </c>
    </row>
    <row r="2626" spans="1:11" hidden="1" x14ac:dyDescent="0.25">
      <c r="A2626" s="3" t="s">
        <v>4809</v>
      </c>
      <c r="B2626" s="3">
        <v>12</v>
      </c>
      <c r="C2626" s="5">
        <v>350</v>
      </c>
      <c r="D2626" s="6">
        <v>0</v>
      </c>
      <c r="E2626" s="7">
        <v>760101</v>
      </c>
      <c r="F2626" s="3">
        <v>55800</v>
      </c>
      <c r="G2626" s="3" t="str">
        <f t="shared" si="41"/>
        <v>5</v>
      </c>
      <c r="H2626" s="3" t="s">
        <v>4810</v>
      </c>
      <c r="I2626" s="8">
        <v>0</v>
      </c>
      <c r="J2626" s="8">
        <v>0</v>
      </c>
      <c r="K2626" s="8">
        <v>0</v>
      </c>
    </row>
    <row r="2627" spans="1:11" hidden="1" x14ac:dyDescent="0.25">
      <c r="A2627" s="3" t="s">
        <v>4811</v>
      </c>
      <c r="B2627" s="3">
        <v>12</v>
      </c>
      <c r="C2627" s="5">
        <v>350</v>
      </c>
      <c r="D2627" s="6">
        <v>3</v>
      </c>
      <c r="E2627" s="7">
        <v>700322</v>
      </c>
      <c r="F2627" s="3">
        <v>48627</v>
      </c>
      <c r="G2627" s="3" t="str">
        <f t="shared" si="41"/>
        <v>4</v>
      </c>
      <c r="H2627" s="3" t="s">
        <v>4812</v>
      </c>
      <c r="I2627" s="8">
        <v>-300000</v>
      </c>
      <c r="J2627" s="8">
        <v>0</v>
      </c>
      <c r="K2627" s="8">
        <v>-300000</v>
      </c>
    </row>
    <row r="2628" spans="1:11" hidden="1" x14ac:dyDescent="0.25">
      <c r="A2628" s="3" t="s">
        <v>4813</v>
      </c>
      <c r="B2628" s="3">
        <v>12</v>
      </c>
      <c r="C2628" s="5">
        <v>350</v>
      </c>
      <c r="D2628" s="6">
        <v>3</v>
      </c>
      <c r="E2628" s="7">
        <v>700322</v>
      </c>
      <c r="F2628" s="3">
        <v>51100</v>
      </c>
      <c r="G2628" s="3" t="str">
        <f t="shared" si="41"/>
        <v>5</v>
      </c>
      <c r="H2628" s="3" t="s">
        <v>4814</v>
      </c>
      <c r="I2628" s="8">
        <v>80392</v>
      </c>
      <c r="J2628" s="8">
        <v>58466.96</v>
      </c>
      <c r="K2628" s="8">
        <v>80392</v>
      </c>
    </row>
    <row r="2629" spans="1:11" hidden="1" x14ac:dyDescent="0.25">
      <c r="A2629" s="3" t="s">
        <v>4815</v>
      </c>
      <c r="B2629" s="3">
        <v>12</v>
      </c>
      <c r="C2629" s="5">
        <v>350</v>
      </c>
      <c r="D2629" s="6">
        <v>3</v>
      </c>
      <c r="E2629" s="7">
        <v>700322</v>
      </c>
      <c r="F2629" s="3">
        <v>51412</v>
      </c>
      <c r="G2629" s="3" t="str">
        <f t="shared" si="41"/>
        <v>5</v>
      </c>
      <c r="H2629" s="3" t="s">
        <v>4504</v>
      </c>
      <c r="I2629" s="8">
        <v>2500</v>
      </c>
      <c r="J2629" s="8">
        <v>0</v>
      </c>
      <c r="K2629" s="8">
        <v>2500</v>
      </c>
    </row>
    <row r="2630" spans="1:11" hidden="1" x14ac:dyDescent="0.25">
      <c r="A2630" s="3" t="s">
        <v>4816</v>
      </c>
      <c r="B2630" s="3">
        <v>12</v>
      </c>
      <c r="C2630" s="5">
        <v>350</v>
      </c>
      <c r="D2630" s="6">
        <v>3</v>
      </c>
      <c r="E2630" s="7">
        <v>700322</v>
      </c>
      <c r="F2630" s="3">
        <v>53000</v>
      </c>
      <c r="G2630" s="3" t="str">
        <f t="shared" si="41"/>
        <v>5</v>
      </c>
      <c r="H2630" s="3" t="s">
        <v>4506</v>
      </c>
      <c r="I2630" s="8">
        <v>1845</v>
      </c>
      <c r="J2630" s="8">
        <v>0</v>
      </c>
      <c r="K2630" s="8">
        <v>1845</v>
      </c>
    </row>
    <row r="2631" spans="1:11" hidden="1" x14ac:dyDescent="0.25">
      <c r="A2631" s="3" t="s">
        <v>4817</v>
      </c>
      <c r="B2631" s="3">
        <v>12</v>
      </c>
      <c r="C2631" s="5">
        <v>350</v>
      </c>
      <c r="D2631" s="6">
        <v>3</v>
      </c>
      <c r="E2631" s="7">
        <v>700322</v>
      </c>
      <c r="F2631" s="3">
        <v>53110</v>
      </c>
      <c r="G2631" s="3" t="str">
        <f t="shared" si="41"/>
        <v>5</v>
      </c>
      <c r="H2631" s="3" t="s">
        <v>4818</v>
      </c>
      <c r="I2631" s="8">
        <v>15354.87</v>
      </c>
      <c r="J2631" s="8">
        <v>9442.4</v>
      </c>
      <c r="K2631" s="8">
        <v>15354.87</v>
      </c>
    </row>
    <row r="2632" spans="1:11" hidden="1" x14ac:dyDescent="0.25">
      <c r="A2632" s="3" t="s">
        <v>4819</v>
      </c>
      <c r="B2632" s="3">
        <v>12</v>
      </c>
      <c r="C2632" s="5">
        <v>350</v>
      </c>
      <c r="D2632" s="6">
        <v>3</v>
      </c>
      <c r="E2632" s="7">
        <v>700322</v>
      </c>
      <c r="F2632" s="3">
        <v>53330</v>
      </c>
      <c r="G2632" s="3" t="str">
        <f t="shared" si="41"/>
        <v>5</v>
      </c>
      <c r="H2632" s="3" t="s">
        <v>4820</v>
      </c>
      <c r="I2632" s="8">
        <v>1165.68</v>
      </c>
      <c r="J2632" s="8">
        <v>848.19</v>
      </c>
      <c r="K2632" s="8">
        <v>1165.68</v>
      </c>
    </row>
    <row r="2633" spans="1:11" hidden="1" x14ac:dyDescent="0.25">
      <c r="A2633" s="3" t="s">
        <v>4821</v>
      </c>
      <c r="B2633" s="3">
        <v>12</v>
      </c>
      <c r="C2633" s="5">
        <v>350</v>
      </c>
      <c r="D2633" s="6">
        <v>3</v>
      </c>
      <c r="E2633" s="7">
        <v>700322</v>
      </c>
      <c r="F2633" s="3">
        <v>53410</v>
      </c>
      <c r="G2633" s="3" t="str">
        <f t="shared" si="41"/>
        <v>5</v>
      </c>
      <c r="H2633" s="3" t="s">
        <v>4822</v>
      </c>
      <c r="I2633" s="8">
        <v>23106.6</v>
      </c>
      <c r="J2633" s="8">
        <v>16460.61</v>
      </c>
      <c r="K2633" s="8">
        <v>23106.6</v>
      </c>
    </row>
    <row r="2634" spans="1:11" hidden="1" x14ac:dyDescent="0.25">
      <c r="A2634" s="3" t="s">
        <v>4823</v>
      </c>
      <c r="B2634" s="3">
        <v>12</v>
      </c>
      <c r="C2634" s="5">
        <v>350</v>
      </c>
      <c r="D2634" s="6">
        <v>3</v>
      </c>
      <c r="E2634" s="7">
        <v>700322</v>
      </c>
      <c r="F2634" s="3">
        <v>53510</v>
      </c>
      <c r="G2634" s="3" t="str">
        <f t="shared" si="41"/>
        <v>5</v>
      </c>
      <c r="H2634" s="3" t="s">
        <v>4824</v>
      </c>
      <c r="I2634" s="8">
        <v>40.200000000000003</v>
      </c>
      <c r="J2634" s="8">
        <v>29.2</v>
      </c>
      <c r="K2634" s="8">
        <v>40.200000000000003</v>
      </c>
    </row>
    <row r="2635" spans="1:11" hidden="1" x14ac:dyDescent="0.25">
      <c r="A2635" s="3" t="s">
        <v>4825</v>
      </c>
      <c r="B2635" s="3">
        <v>12</v>
      </c>
      <c r="C2635" s="5">
        <v>350</v>
      </c>
      <c r="D2635" s="6">
        <v>3</v>
      </c>
      <c r="E2635" s="7">
        <v>700322</v>
      </c>
      <c r="F2635" s="3">
        <v>53610</v>
      </c>
      <c r="G2635" s="3" t="str">
        <f t="shared" si="41"/>
        <v>5</v>
      </c>
      <c r="H2635" s="3" t="s">
        <v>4826</v>
      </c>
      <c r="I2635" s="8">
        <v>1452.04</v>
      </c>
      <c r="J2635" s="8">
        <v>1105.52</v>
      </c>
      <c r="K2635" s="8">
        <v>1452.04</v>
      </c>
    </row>
    <row r="2636" spans="1:11" hidden="1" x14ac:dyDescent="0.25">
      <c r="A2636" s="3" t="s">
        <v>4827</v>
      </c>
      <c r="B2636" s="3">
        <v>12</v>
      </c>
      <c r="C2636" s="5">
        <v>350</v>
      </c>
      <c r="D2636" s="6">
        <v>3</v>
      </c>
      <c r="E2636" s="7">
        <v>700322</v>
      </c>
      <c r="F2636" s="3">
        <v>53910</v>
      </c>
      <c r="G2636" s="3" t="str">
        <f t="shared" si="41"/>
        <v>5</v>
      </c>
      <c r="H2636" s="3" t="s">
        <v>4828</v>
      </c>
      <c r="I2636" s="8">
        <v>2400</v>
      </c>
      <c r="J2636" s="8">
        <v>1527.26</v>
      </c>
      <c r="K2636" s="8">
        <v>2400</v>
      </c>
    </row>
    <row r="2637" spans="1:11" hidden="1" x14ac:dyDescent="0.25">
      <c r="A2637" s="3" t="s">
        <v>4829</v>
      </c>
      <c r="B2637" s="3">
        <v>12</v>
      </c>
      <c r="C2637" s="5">
        <v>350</v>
      </c>
      <c r="D2637" s="6">
        <v>3</v>
      </c>
      <c r="E2637" s="7">
        <v>700322</v>
      </c>
      <c r="F2637" s="3">
        <v>54300</v>
      </c>
      <c r="G2637" s="3" t="str">
        <f t="shared" si="41"/>
        <v>5</v>
      </c>
      <c r="H2637" s="3" t="s">
        <v>4508</v>
      </c>
      <c r="I2637" s="8">
        <v>4743.6099999999997</v>
      </c>
      <c r="J2637" s="8">
        <v>0</v>
      </c>
      <c r="K2637" s="8">
        <v>4743.6099999999997</v>
      </c>
    </row>
    <row r="2638" spans="1:11" hidden="1" x14ac:dyDescent="0.25">
      <c r="A2638" s="3" t="s">
        <v>4830</v>
      </c>
      <c r="B2638" s="3">
        <v>12</v>
      </c>
      <c r="C2638" s="5">
        <v>350</v>
      </c>
      <c r="D2638" s="6">
        <v>3</v>
      </c>
      <c r="E2638" s="7">
        <v>700322</v>
      </c>
      <c r="F2638" s="3">
        <v>55200</v>
      </c>
      <c r="G2638" s="3" t="str">
        <f t="shared" si="41"/>
        <v>5</v>
      </c>
      <c r="H2638" s="3" t="s">
        <v>4510</v>
      </c>
      <c r="I2638" s="8">
        <v>10000</v>
      </c>
      <c r="J2638" s="8">
        <v>0</v>
      </c>
      <c r="K2638" s="8">
        <v>10000</v>
      </c>
    </row>
    <row r="2639" spans="1:11" hidden="1" x14ac:dyDescent="0.25">
      <c r="A2639" s="3" t="s">
        <v>4831</v>
      </c>
      <c r="B2639" s="3">
        <v>12</v>
      </c>
      <c r="C2639" s="5">
        <v>350</v>
      </c>
      <c r="D2639" s="6">
        <v>3</v>
      </c>
      <c r="E2639" s="7">
        <v>700322</v>
      </c>
      <c r="F2639" s="3">
        <v>55300</v>
      </c>
      <c r="G2639" s="3" t="str">
        <f t="shared" si="41"/>
        <v>5</v>
      </c>
      <c r="H2639" s="3" t="s">
        <v>4832</v>
      </c>
      <c r="I2639" s="8">
        <v>5000</v>
      </c>
      <c r="J2639" s="8">
        <v>5000</v>
      </c>
      <c r="K2639" s="8">
        <v>5000</v>
      </c>
    </row>
    <row r="2640" spans="1:11" hidden="1" x14ac:dyDescent="0.25">
      <c r="A2640" s="3" t="s">
        <v>4833</v>
      </c>
      <c r="B2640" s="3">
        <v>12</v>
      </c>
      <c r="C2640" s="5">
        <v>350</v>
      </c>
      <c r="D2640" s="6">
        <v>3</v>
      </c>
      <c r="E2640" s="7">
        <v>700322</v>
      </c>
      <c r="F2640" s="3">
        <v>55652</v>
      </c>
      <c r="G2640" s="3" t="str">
        <f t="shared" si="41"/>
        <v>5</v>
      </c>
      <c r="H2640" s="3" t="s">
        <v>4834</v>
      </c>
      <c r="I2640" s="8">
        <v>12000</v>
      </c>
      <c r="J2640" s="8">
        <v>0</v>
      </c>
      <c r="K2640" s="8">
        <v>12000</v>
      </c>
    </row>
    <row r="2641" spans="1:11" hidden="1" x14ac:dyDescent="0.25">
      <c r="A2641" s="3" t="s">
        <v>4835</v>
      </c>
      <c r="B2641" s="3">
        <v>12</v>
      </c>
      <c r="C2641" s="5">
        <v>350</v>
      </c>
      <c r="D2641" s="6">
        <v>3</v>
      </c>
      <c r="E2641" s="7">
        <v>700322</v>
      </c>
      <c r="F2641" s="3">
        <v>55807</v>
      </c>
      <c r="G2641" s="3" t="str">
        <f t="shared" si="41"/>
        <v>5</v>
      </c>
      <c r="H2641" s="3" t="s">
        <v>4836</v>
      </c>
      <c r="I2641" s="8">
        <v>17000</v>
      </c>
      <c r="J2641" s="8">
        <v>0</v>
      </c>
      <c r="K2641" s="8">
        <v>17000</v>
      </c>
    </row>
    <row r="2642" spans="1:11" hidden="1" x14ac:dyDescent="0.25">
      <c r="A2642" s="3" t="s">
        <v>4837</v>
      </c>
      <c r="B2642" s="3">
        <v>12</v>
      </c>
      <c r="C2642" s="5">
        <v>350</v>
      </c>
      <c r="D2642" s="6">
        <v>3</v>
      </c>
      <c r="E2642" s="7">
        <v>700322</v>
      </c>
      <c r="F2642" s="3">
        <v>56400</v>
      </c>
      <c r="G2642" s="3" t="str">
        <f t="shared" si="41"/>
        <v>5</v>
      </c>
      <c r="H2642" s="3" t="s">
        <v>4512</v>
      </c>
      <c r="I2642" s="8">
        <v>48000</v>
      </c>
      <c r="J2642" s="8">
        <v>0</v>
      </c>
      <c r="K2642" s="8">
        <v>48000</v>
      </c>
    </row>
    <row r="2643" spans="1:11" hidden="1" x14ac:dyDescent="0.25">
      <c r="A2643" s="3" t="s">
        <v>4838</v>
      </c>
      <c r="B2643" s="3">
        <v>12</v>
      </c>
      <c r="C2643" s="5">
        <v>350</v>
      </c>
      <c r="D2643" s="6">
        <v>3</v>
      </c>
      <c r="E2643" s="7">
        <v>700322</v>
      </c>
      <c r="F2643" s="3">
        <v>56405</v>
      </c>
      <c r="G2643" s="3" t="str">
        <f t="shared" si="41"/>
        <v>5</v>
      </c>
      <c r="H2643" s="3" t="s">
        <v>4514</v>
      </c>
      <c r="I2643" s="8">
        <v>75000</v>
      </c>
      <c r="J2643" s="8">
        <v>0</v>
      </c>
      <c r="K2643" s="8">
        <v>75000</v>
      </c>
    </row>
    <row r="2644" spans="1:11" hidden="1" x14ac:dyDescent="0.25">
      <c r="A2644" s="3" t="s">
        <v>4839</v>
      </c>
      <c r="B2644" s="3">
        <v>12</v>
      </c>
      <c r="C2644" s="5">
        <v>350</v>
      </c>
      <c r="D2644" s="6">
        <v>3</v>
      </c>
      <c r="E2644" s="7">
        <v>700324</v>
      </c>
      <c r="F2644" s="3">
        <v>48627</v>
      </c>
      <c r="G2644" s="3" t="str">
        <f t="shared" si="41"/>
        <v>4</v>
      </c>
      <c r="H2644" s="3" t="s">
        <v>4840</v>
      </c>
      <c r="I2644" s="8">
        <v>-3964.54</v>
      </c>
      <c r="J2644" s="8">
        <v>0</v>
      </c>
      <c r="K2644" s="8">
        <v>-3964.54</v>
      </c>
    </row>
    <row r="2645" spans="1:11" hidden="1" x14ac:dyDescent="0.25">
      <c r="A2645" s="3" t="s">
        <v>4841</v>
      </c>
      <c r="B2645" s="3">
        <v>12</v>
      </c>
      <c r="C2645" s="5">
        <v>350</v>
      </c>
      <c r="D2645" s="6">
        <v>3</v>
      </c>
      <c r="E2645" s="7">
        <v>700324</v>
      </c>
      <c r="F2645" s="3">
        <v>51412</v>
      </c>
      <c r="G2645" s="3" t="str">
        <f t="shared" si="41"/>
        <v>5</v>
      </c>
      <c r="H2645" s="3" t="s">
        <v>4842</v>
      </c>
      <c r="I2645" s="8">
        <v>1910</v>
      </c>
      <c r="J2645" s="8">
        <v>1910</v>
      </c>
      <c r="K2645" s="8">
        <v>1910</v>
      </c>
    </row>
    <row r="2646" spans="1:11" hidden="1" x14ac:dyDescent="0.25">
      <c r="A2646" s="3" t="s">
        <v>4843</v>
      </c>
      <c r="B2646" s="3">
        <v>12</v>
      </c>
      <c r="C2646" s="5">
        <v>350</v>
      </c>
      <c r="D2646" s="6">
        <v>3</v>
      </c>
      <c r="E2646" s="7">
        <v>700324</v>
      </c>
      <c r="F2646" s="3">
        <v>53000</v>
      </c>
      <c r="G2646" s="3" t="str">
        <f t="shared" si="41"/>
        <v>5</v>
      </c>
      <c r="H2646" s="3" t="s">
        <v>4844</v>
      </c>
      <c r="I2646" s="8">
        <v>374</v>
      </c>
      <c r="J2646" s="8">
        <v>0</v>
      </c>
      <c r="K2646" s="8">
        <v>374</v>
      </c>
    </row>
    <row r="2647" spans="1:11" hidden="1" x14ac:dyDescent="0.25">
      <c r="A2647" s="3" t="s">
        <v>4845</v>
      </c>
      <c r="B2647" s="3">
        <v>12</v>
      </c>
      <c r="C2647" s="5">
        <v>350</v>
      </c>
      <c r="D2647" s="6">
        <v>3</v>
      </c>
      <c r="E2647" s="7">
        <v>700324</v>
      </c>
      <c r="F2647" s="3">
        <v>53120</v>
      </c>
      <c r="G2647" s="3" t="str">
        <f t="shared" si="41"/>
        <v>5</v>
      </c>
      <c r="H2647" s="3" t="s">
        <v>4846</v>
      </c>
      <c r="I2647" s="8">
        <v>0</v>
      </c>
      <c r="J2647" s="8">
        <v>308.45</v>
      </c>
      <c r="K2647" s="8">
        <v>0</v>
      </c>
    </row>
    <row r="2648" spans="1:11" hidden="1" x14ac:dyDescent="0.25">
      <c r="A2648" s="3" t="s">
        <v>4847</v>
      </c>
      <c r="B2648" s="3">
        <v>12</v>
      </c>
      <c r="C2648" s="5">
        <v>350</v>
      </c>
      <c r="D2648" s="6">
        <v>3</v>
      </c>
      <c r="E2648" s="7">
        <v>700324</v>
      </c>
      <c r="F2648" s="3">
        <v>53340</v>
      </c>
      <c r="G2648" s="3" t="str">
        <f t="shared" si="41"/>
        <v>5</v>
      </c>
      <c r="H2648" s="3" t="s">
        <v>4848</v>
      </c>
      <c r="I2648" s="8">
        <v>0</v>
      </c>
      <c r="J2648" s="8">
        <v>27.71</v>
      </c>
      <c r="K2648" s="8">
        <v>0</v>
      </c>
    </row>
    <row r="2649" spans="1:11" hidden="1" x14ac:dyDescent="0.25">
      <c r="A2649" s="3" t="s">
        <v>4849</v>
      </c>
      <c r="B2649" s="3">
        <v>12</v>
      </c>
      <c r="C2649" s="5">
        <v>350</v>
      </c>
      <c r="D2649" s="6">
        <v>3</v>
      </c>
      <c r="E2649" s="7">
        <v>700324</v>
      </c>
      <c r="F2649" s="3">
        <v>53520</v>
      </c>
      <c r="G2649" s="3" t="str">
        <f t="shared" si="41"/>
        <v>5</v>
      </c>
      <c r="H2649" s="3" t="s">
        <v>4850</v>
      </c>
      <c r="I2649" s="8">
        <v>0</v>
      </c>
      <c r="J2649" s="8">
        <v>0.96</v>
      </c>
      <c r="K2649" s="8">
        <v>0</v>
      </c>
    </row>
    <row r="2650" spans="1:11" hidden="1" x14ac:dyDescent="0.25">
      <c r="A2650" s="3" t="s">
        <v>4851</v>
      </c>
      <c r="B2650" s="3">
        <v>12</v>
      </c>
      <c r="C2650" s="5">
        <v>350</v>
      </c>
      <c r="D2650" s="6">
        <v>3</v>
      </c>
      <c r="E2650" s="7">
        <v>700324</v>
      </c>
      <c r="F2650" s="3">
        <v>53620</v>
      </c>
      <c r="G2650" s="3" t="str">
        <f t="shared" si="41"/>
        <v>5</v>
      </c>
      <c r="H2650" s="3" t="s">
        <v>4852</v>
      </c>
      <c r="I2650" s="8">
        <v>0</v>
      </c>
      <c r="J2650" s="8">
        <v>36.11</v>
      </c>
      <c r="K2650" s="8">
        <v>0</v>
      </c>
    </row>
    <row r="2651" spans="1:11" hidden="1" x14ac:dyDescent="0.25">
      <c r="A2651" s="3" t="s">
        <v>4853</v>
      </c>
      <c r="B2651" s="3">
        <v>12</v>
      </c>
      <c r="C2651" s="5">
        <v>350</v>
      </c>
      <c r="D2651" s="6">
        <v>3</v>
      </c>
      <c r="E2651" s="7">
        <v>700324</v>
      </c>
      <c r="F2651" s="3">
        <v>54300</v>
      </c>
      <c r="G2651" s="3" t="str">
        <f t="shared" ref="G2651:G2714" si="42">LEFT(F2651,1)</f>
        <v>5</v>
      </c>
      <c r="H2651" s="3" t="s">
        <v>4854</v>
      </c>
      <c r="I2651" s="8">
        <v>555.54</v>
      </c>
      <c r="J2651" s="8">
        <v>0</v>
      </c>
      <c r="K2651" s="8">
        <v>555.54</v>
      </c>
    </row>
    <row r="2652" spans="1:11" hidden="1" x14ac:dyDescent="0.25">
      <c r="A2652" s="3" t="s">
        <v>4855</v>
      </c>
      <c r="B2652" s="3">
        <v>12</v>
      </c>
      <c r="C2652" s="5">
        <v>350</v>
      </c>
      <c r="D2652" s="6">
        <v>3</v>
      </c>
      <c r="E2652" s="7">
        <v>700324</v>
      </c>
      <c r="F2652" s="3">
        <v>55100</v>
      </c>
      <c r="G2652" s="3" t="str">
        <f t="shared" si="42"/>
        <v>5</v>
      </c>
      <c r="H2652" s="3" t="s">
        <v>4856</v>
      </c>
      <c r="I2652" s="8">
        <v>1125</v>
      </c>
      <c r="J2652" s="8">
        <v>1125</v>
      </c>
      <c r="K2652" s="8">
        <v>1125</v>
      </c>
    </row>
    <row r="2653" spans="1:11" hidden="1" x14ac:dyDescent="0.25">
      <c r="A2653" s="3" t="s">
        <v>4857</v>
      </c>
      <c r="B2653" s="3">
        <v>12</v>
      </c>
      <c r="C2653" s="5">
        <v>350</v>
      </c>
      <c r="D2653" s="6">
        <v>3</v>
      </c>
      <c r="E2653" s="7">
        <v>700324</v>
      </c>
      <c r="F2653" s="3">
        <v>55105</v>
      </c>
      <c r="G2653" s="3" t="str">
        <f t="shared" si="42"/>
        <v>5</v>
      </c>
      <c r="H2653" s="3" t="s">
        <v>4858</v>
      </c>
      <c r="I2653" s="8">
        <v>0</v>
      </c>
      <c r="J2653" s="8">
        <v>556.66999999999996</v>
      </c>
      <c r="K2653" s="8">
        <v>0</v>
      </c>
    </row>
    <row r="2654" spans="1:11" hidden="1" x14ac:dyDescent="0.25">
      <c r="A2654" s="3" t="s">
        <v>4859</v>
      </c>
      <c r="B2654" s="3">
        <v>12</v>
      </c>
      <c r="C2654" s="5">
        <v>350</v>
      </c>
      <c r="D2654" s="6">
        <v>3</v>
      </c>
      <c r="E2654" s="7">
        <v>700327</v>
      </c>
      <c r="F2654" s="3">
        <v>48627</v>
      </c>
      <c r="G2654" s="3" t="str">
        <f t="shared" si="42"/>
        <v>4</v>
      </c>
      <c r="H2654" s="3" t="s">
        <v>4860</v>
      </c>
      <c r="I2654" s="8">
        <v>-182500</v>
      </c>
      <c r="J2654" s="8">
        <v>0</v>
      </c>
      <c r="K2654" s="8">
        <v>-182500</v>
      </c>
    </row>
    <row r="2655" spans="1:11" hidden="1" x14ac:dyDescent="0.25">
      <c r="A2655" s="3" t="s">
        <v>4861</v>
      </c>
      <c r="B2655" s="3">
        <v>12</v>
      </c>
      <c r="C2655" s="5">
        <v>350</v>
      </c>
      <c r="D2655" s="6">
        <v>3</v>
      </c>
      <c r="E2655" s="7">
        <v>700327</v>
      </c>
      <c r="F2655" s="3">
        <v>51100</v>
      </c>
      <c r="G2655" s="3" t="str">
        <f t="shared" si="42"/>
        <v>5</v>
      </c>
      <c r="H2655" s="3" t="s">
        <v>4862</v>
      </c>
      <c r="I2655" s="8">
        <v>99084</v>
      </c>
      <c r="J2655" s="8">
        <v>76988.399999999994</v>
      </c>
      <c r="K2655" s="8">
        <v>99084</v>
      </c>
    </row>
    <row r="2656" spans="1:11" hidden="1" x14ac:dyDescent="0.25">
      <c r="A2656" s="3" t="s">
        <v>4863</v>
      </c>
      <c r="B2656" s="3">
        <v>12</v>
      </c>
      <c r="C2656" s="5">
        <v>350</v>
      </c>
      <c r="D2656" s="6">
        <v>3</v>
      </c>
      <c r="E2656" s="7">
        <v>700327</v>
      </c>
      <c r="F2656" s="3">
        <v>51310</v>
      </c>
      <c r="G2656" s="3" t="str">
        <f t="shared" si="42"/>
        <v>5</v>
      </c>
      <c r="H2656" s="3" t="s">
        <v>4864</v>
      </c>
      <c r="I2656" s="8">
        <v>0</v>
      </c>
      <c r="J2656" s="8">
        <v>8961.48</v>
      </c>
      <c r="K2656" s="8">
        <v>0</v>
      </c>
    </row>
    <row r="2657" spans="1:11" hidden="1" x14ac:dyDescent="0.25">
      <c r="A2657" s="3" t="s">
        <v>4865</v>
      </c>
      <c r="B2657" s="3">
        <v>12</v>
      </c>
      <c r="C2657" s="5">
        <v>350</v>
      </c>
      <c r="D2657" s="6">
        <v>3</v>
      </c>
      <c r="E2657" s="7">
        <v>700327</v>
      </c>
      <c r="F2657" s="3">
        <v>52400</v>
      </c>
      <c r="G2657" s="3" t="str">
        <f t="shared" si="42"/>
        <v>5</v>
      </c>
      <c r="H2657" s="3" t="s">
        <v>4866</v>
      </c>
      <c r="I2657" s="8">
        <v>18000</v>
      </c>
      <c r="J2657" s="8">
        <v>210</v>
      </c>
      <c r="K2657" s="8">
        <v>18000</v>
      </c>
    </row>
    <row r="2658" spans="1:11" hidden="1" x14ac:dyDescent="0.25">
      <c r="A2658" s="3" t="s">
        <v>4867</v>
      </c>
      <c r="B2658" s="3">
        <v>12</v>
      </c>
      <c r="C2658" s="5">
        <v>350</v>
      </c>
      <c r="D2658" s="6">
        <v>3</v>
      </c>
      <c r="E2658" s="7">
        <v>700327</v>
      </c>
      <c r="F2658" s="3">
        <v>53110</v>
      </c>
      <c r="G2658" s="3" t="str">
        <f t="shared" si="42"/>
        <v>5</v>
      </c>
      <c r="H2658" s="3" t="s">
        <v>4868</v>
      </c>
      <c r="I2658" s="8">
        <v>22492.07</v>
      </c>
      <c r="J2658" s="8">
        <v>0</v>
      </c>
      <c r="K2658" s="8">
        <v>22492.07</v>
      </c>
    </row>
    <row r="2659" spans="1:11" hidden="1" x14ac:dyDescent="0.25">
      <c r="A2659" s="3" t="s">
        <v>4869</v>
      </c>
      <c r="B2659" s="3">
        <v>12</v>
      </c>
      <c r="C2659" s="5">
        <v>350</v>
      </c>
      <c r="D2659" s="6">
        <v>3</v>
      </c>
      <c r="E2659" s="7">
        <v>700327</v>
      </c>
      <c r="F2659" s="3">
        <v>53210</v>
      </c>
      <c r="G2659" s="3" t="str">
        <f t="shared" si="42"/>
        <v>5</v>
      </c>
      <c r="H2659" s="3" t="s">
        <v>4870</v>
      </c>
      <c r="I2659" s="8">
        <v>0</v>
      </c>
      <c r="J2659" s="8">
        <v>15936.56</v>
      </c>
      <c r="K2659" s="8">
        <v>0</v>
      </c>
    </row>
    <row r="2660" spans="1:11" hidden="1" x14ac:dyDescent="0.25">
      <c r="A2660" s="3" t="s">
        <v>4871</v>
      </c>
      <c r="B2660" s="3">
        <v>12</v>
      </c>
      <c r="C2660" s="5">
        <v>350</v>
      </c>
      <c r="D2660" s="6">
        <v>3</v>
      </c>
      <c r="E2660" s="7">
        <v>700327</v>
      </c>
      <c r="F2660" s="3">
        <v>53310</v>
      </c>
      <c r="G2660" s="3" t="str">
        <f t="shared" si="42"/>
        <v>5</v>
      </c>
      <c r="H2660" s="3" t="s">
        <v>4872</v>
      </c>
      <c r="I2660" s="8">
        <v>0</v>
      </c>
      <c r="J2660" s="8">
        <v>5330.75</v>
      </c>
      <c r="K2660" s="8">
        <v>0</v>
      </c>
    </row>
    <row r="2661" spans="1:11" hidden="1" x14ac:dyDescent="0.25">
      <c r="A2661" s="3" t="s">
        <v>4873</v>
      </c>
      <c r="B2661" s="3">
        <v>12</v>
      </c>
      <c r="C2661" s="5">
        <v>350</v>
      </c>
      <c r="D2661" s="6">
        <v>3</v>
      </c>
      <c r="E2661" s="7">
        <v>700327</v>
      </c>
      <c r="F2661" s="3">
        <v>53320</v>
      </c>
      <c r="G2661" s="3" t="str">
        <f t="shared" si="42"/>
        <v>5</v>
      </c>
      <c r="H2661" s="3" t="s">
        <v>4874</v>
      </c>
      <c r="I2661" s="8">
        <v>7259.21</v>
      </c>
      <c r="J2661" s="8">
        <v>0</v>
      </c>
      <c r="K2661" s="8">
        <v>7259.21</v>
      </c>
    </row>
    <row r="2662" spans="1:11" hidden="1" x14ac:dyDescent="0.25">
      <c r="A2662" s="3" t="s">
        <v>4875</v>
      </c>
      <c r="B2662" s="3">
        <v>12</v>
      </c>
      <c r="C2662" s="5">
        <v>350</v>
      </c>
      <c r="D2662" s="6">
        <v>3</v>
      </c>
      <c r="E2662" s="7">
        <v>700327</v>
      </c>
      <c r="F2662" s="3">
        <v>53330</v>
      </c>
      <c r="G2662" s="3" t="str">
        <f t="shared" si="42"/>
        <v>5</v>
      </c>
      <c r="H2662" s="3" t="s">
        <v>4876</v>
      </c>
      <c r="I2662" s="8">
        <v>1697.72</v>
      </c>
      <c r="J2662" s="8">
        <v>1246.71</v>
      </c>
      <c r="K2662" s="8">
        <v>1697.72</v>
      </c>
    </row>
    <row r="2663" spans="1:11" hidden="1" x14ac:dyDescent="0.25">
      <c r="A2663" s="3" t="s">
        <v>4877</v>
      </c>
      <c r="B2663" s="3">
        <v>12</v>
      </c>
      <c r="C2663" s="5">
        <v>350</v>
      </c>
      <c r="D2663" s="6">
        <v>3</v>
      </c>
      <c r="E2663" s="7">
        <v>700327</v>
      </c>
      <c r="F2663" s="3">
        <v>53410</v>
      </c>
      <c r="G2663" s="3" t="str">
        <f t="shared" si="42"/>
        <v>5</v>
      </c>
      <c r="H2663" s="3" t="s">
        <v>4878</v>
      </c>
      <c r="I2663" s="8">
        <v>23106.6</v>
      </c>
      <c r="J2663" s="8">
        <v>16015.07</v>
      </c>
      <c r="K2663" s="8">
        <v>23106.6</v>
      </c>
    </row>
    <row r="2664" spans="1:11" hidden="1" x14ac:dyDescent="0.25">
      <c r="A2664" s="3" t="s">
        <v>4879</v>
      </c>
      <c r="B2664" s="3">
        <v>12</v>
      </c>
      <c r="C2664" s="5">
        <v>350</v>
      </c>
      <c r="D2664" s="6">
        <v>3</v>
      </c>
      <c r="E2664" s="7">
        <v>700327</v>
      </c>
      <c r="F2664" s="3">
        <v>53510</v>
      </c>
      <c r="G2664" s="3" t="str">
        <f t="shared" si="42"/>
        <v>5</v>
      </c>
      <c r="H2664" s="3" t="s">
        <v>4880</v>
      </c>
      <c r="I2664" s="8">
        <v>58.54</v>
      </c>
      <c r="J2664" s="8">
        <v>42.95</v>
      </c>
      <c r="K2664" s="8">
        <v>58.54</v>
      </c>
    </row>
    <row r="2665" spans="1:11" hidden="1" x14ac:dyDescent="0.25">
      <c r="A2665" s="3" t="s">
        <v>4881</v>
      </c>
      <c r="B2665" s="3">
        <v>12</v>
      </c>
      <c r="C2665" s="5">
        <v>350</v>
      </c>
      <c r="D2665" s="6">
        <v>3</v>
      </c>
      <c r="E2665" s="7">
        <v>700327</v>
      </c>
      <c r="F2665" s="3">
        <v>53610</v>
      </c>
      <c r="G2665" s="3" t="str">
        <f t="shared" si="42"/>
        <v>5</v>
      </c>
      <c r="H2665" s="3" t="s">
        <v>4882</v>
      </c>
      <c r="I2665" s="8">
        <v>2114.7800000000002</v>
      </c>
      <c r="J2665" s="8">
        <v>1629.09</v>
      </c>
      <c r="K2665" s="8">
        <v>2114.7800000000002</v>
      </c>
    </row>
    <row r="2666" spans="1:11" hidden="1" x14ac:dyDescent="0.25">
      <c r="A2666" s="3" t="s">
        <v>4883</v>
      </c>
      <c r="B2666" s="3">
        <v>12</v>
      </c>
      <c r="C2666" s="5">
        <v>350</v>
      </c>
      <c r="D2666" s="6">
        <v>3</v>
      </c>
      <c r="E2666" s="7">
        <v>700327</v>
      </c>
      <c r="F2666" s="3">
        <v>53620</v>
      </c>
      <c r="G2666" s="3" t="str">
        <f t="shared" si="42"/>
        <v>5</v>
      </c>
      <c r="H2666" s="3" t="s">
        <v>4884</v>
      </c>
      <c r="I2666" s="8">
        <v>325.12</v>
      </c>
      <c r="J2666" s="8">
        <v>0</v>
      </c>
      <c r="K2666" s="8">
        <v>325.12</v>
      </c>
    </row>
    <row r="2667" spans="1:11" hidden="1" x14ac:dyDescent="0.25">
      <c r="A2667" s="3" t="s">
        <v>4885</v>
      </c>
      <c r="B2667" s="3">
        <v>12</v>
      </c>
      <c r="C2667" s="5">
        <v>350</v>
      </c>
      <c r="D2667" s="6">
        <v>3</v>
      </c>
      <c r="E2667" s="7">
        <v>700327</v>
      </c>
      <c r="F2667" s="3">
        <v>53910</v>
      </c>
      <c r="G2667" s="3" t="str">
        <f t="shared" si="42"/>
        <v>5</v>
      </c>
      <c r="H2667" s="3" t="s">
        <v>4886</v>
      </c>
      <c r="I2667" s="8">
        <v>1090.9000000000001</v>
      </c>
      <c r="J2667" s="8">
        <v>1479.84</v>
      </c>
      <c r="K2667" s="8">
        <v>1090.9000000000001</v>
      </c>
    </row>
    <row r="2668" spans="1:11" hidden="1" x14ac:dyDescent="0.25">
      <c r="A2668" s="3" t="s">
        <v>4887</v>
      </c>
      <c r="B2668" s="3">
        <v>12</v>
      </c>
      <c r="C2668" s="5">
        <v>350</v>
      </c>
      <c r="D2668" s="6">
        <v>3</v>
      </c>
      <c r="E2668" s="7">
        <v>700327</v>
      </c>
      <c r="F2668" s="3">
        <v>54300</v>
      </c>
      <c r="G2668" s="3" t="str">
        <f t="shared" si="42"/>
        <v>5</v>
      </c>
      <c r="H2668" s="3" t="s">
        <v>4888</v>
      </c>
      <c r="I2668" s="8">
        <v>5771.06</v>
      </c>
      <c r="J2668" s="8">
        <v>0</v>
      </c>
      <c r="K2668" s="8">
        <v>5771.06</v>
      </c>
    </row>
    <row r="2669" spans="1:11" hidden="1" x14ac:dyDescent="0.25">
      <c r="A2669" s="3" t="s">
        <v>4889</v>
      </c>
      <c r="B2669" s="3">
        <v>12</v>
      </c>
      <c r="C2669" s="5">
        <v>350</v>
      </c>
      <c r="D2669" s="6">
        <v>3</v>
      </c>
      <c r="E2669" s="7">
        <v>700327</v>
      </c>
      <c r="F2669" s="3">
        <v>55200</v>
      </c>
      <c r="G2669" s="3" t="str">
        <f t="shared" si="42"/>
        <v>5</v>
      </c>
      <c r="H2669" s="3" t="s">
        <v>4890</v>
      </c>
      <c r="I2669" s="8">
        <v>1500</v>
      </c>
      <c r="J2669" s="8">
        <v>0</v>
      </c>
      <c r="K2669" s="8">
        <v>1500</v>
      </c>
    </row>
    <row r="2670" spans="1:11" hidden="1" x14ac:dyDescent="0.25">
      <c r="A2670" s="3" t="s">
        <v>4891</v>
      </c>
      <c r="B2670" s="3">
        <v>12</v>
      </c>
      <c r="C2670" s="5">
        <v>350</v>
      </c>
      <c r="D2670" s="6">
        <v>3</v>
      </c>
      <c r="E2670" s="7">
        <v>700329</v>
      </c>
      <c r="F2670" s="3">
        <v>48627</v>
      </c>
      <c r="G2670" s="3" t="str">
        <f t="shared" si="42"/>
        <v>4</v>
      </c>
      <c r="H2670" s="3" t="s">
        <v>4892</v>
      </c>
      <c r="I2670" s="8">
        <v>-8506.76</v>
      </c>
      <c r="J2670" s="8">
        <v>0</v>
      </c>
      <c r="K2670" s="8">
        <v>-8506.76</v>
      </c>
    </row>
    <row r="2671" spans="1:11" hidden="1" x14ac:dyDescent="0.25">
      <c r="A2671" s="3" t="s">
        <v>4893</v>
      </c>
      <c r="B2671" s="3">
        <v>12</v>
      </c>
      <c r="C2671" s="5">
        <v>350</v>
      </c>
      <c r="D2671" s="6">
        <v>3</v>
      </c>
      <c r="E2671" s="7">
        <v>700329</v>
      </c>
      <c r="F2671" s="3">
        <v>55200</v>
      </c>
      <c r="G2671" s="3" t="str">
        <f t="shared" si="42"/>
        <v>5</v>
      </c>
      <c r="H2671" s="3" t="s">
        <v>4894</v>
      </c>
      <c r="I2671" s="8">
        <v>0</v>
      </c>
      <c r="J2671" s="8">
        <v>0</v>
      </c>
      <c r="K2671" s="8">
        <v>0</v>
      </c>
    </row>
    <row r="2672" spans="1:11" hidden="1" x14ac:dyDescent="0.25">
      <c r="A2672" s="3" t="s">
        <v>4895</v>
      </c>
      <c r="B2672" s="3">
        <v>12</v>
      </c>
      <c r="C2672" s="5">
        <v>350</v>
      </c>
      <c r="D2672" s="6">
        <v>3</v>
      </c>
      <c r="E2672" s="7">
        <v>700329</v>
      </c>
      <c r="F2672" s="3">
        <v>56405</v>
      </c>
      <c r="G2672" s="3" t="str">
        <f t="shared" si="42"/>
        <v>5</v>
      </c>
      <c r="H2672" s="3" t="s">
        <v>4896</v>
      </c>
      <c r="I2672" s="8">
        <v>8506.76</v>
      </c>
      <c r="J2672" s="8">
        <v>9293.64</v>
      </c>
      <c r="K2672" s="8">
        <v>8506.76</v>
      </c>
    </row>
    <row r="2673" spans="1:11" hidden="1" x14ac:dyDescent="0.25">
      <c r="A2673" s="3" t="s">
        <v>4897</v>
      </c>
      <c r="B2673" s="3">
        <v>12</v>
      </c>
      <c r="C2673" s="5">
        <v>360</v>
      </c>
      <c r="D2673" s="6">
        <v>0</v>
      </c>
      <c r="E2673" s="7">
        <v>679000</v>
      </c>
      <c r="F2673" s="3">
        <v>55105</v>
      </c>
      <c r="G2673" s="3" t="str">
        <f t="shared" si="42"/>
        <v>5</v>
      </c>
      <c r="H2673" s="3" t="s">
        <v>3932</v>
      </c>
      <c r="I2673" s="8">
        <v>6900</v>
      </c>
      <c r="J2673" s="8">
        <v>0</v>
      </c>
      <c r="K2673" s="8">
        <v>6900</v>
      </c>
    </row>
    <row r="2674" spans="1:11" hidden="1" x14ac:dyDescent="0.25">
      <c r="A2674" s="3" t="s">
        <v>4898</v>
      </c>
      <c r="B2674" s="3">
        <v>12</v>
      </c>
      <c r="C2674" s="5">
        <v>360</v>
      </c>
      <c r="D2674" s="6">
        <v>0</v>
      </c>
      <c r="E2674" s="7">
        <v>679000</v>
      </c>
      <c r="F2674" s="3">
        <v>55309</v>
      </c>
      <c r="G2674" s="3" t="str">
        <f t="shared" si="42"/>
        <v>5</v>
      </c>
      <c r="H2674" s="3" t="s">
        <v>4899</v>
      </c>
      <c r="I2674" s="8">
        <v>2000</v>
      </c>
      <c r="J2674" s="8">
        <v>0</v>
      </c>
      <c r="K2674" s="8">
        <v>2000</v>
      </c>
    </row>
    <row r="2675" spans="1:11" hidden="1" x14ac:dyDescent="0.25">
      <c r="A2675" s="3" t="s">
        <v>4900</v>
      </c>
      <c r="B2675" s="3">
        <v>12</v>
      </c>
      <c r="C2675" s="5">
        <v>365</v>
      </c>
      <c r="D2675" s="6">
        <v>0</v>
      </c>
      <c r="E2675" s="7">
        <v>601020</v>
      </c>
      <c r="F2675" s="3">
        <v>48690</v>
      </c>
      <c r="G2675" s="3" t="str">
        <f t="shared" si="42"/>
        <v>4</v>
      </c>
      <c r="H2675" s="3" t="s">
        <v>4901</v>
      </c>
      <c r="I2675" s="8">
        <v>-105096.85</v>
      </c>
      <c r="J2675" s="8">
        <v>-36915.25</v>
      </c>
      <c r="K2675" s="8">
        <v>-105096.85</v>
      </c>
    </row>
    <row r="2676" spans="1:11" hidden="1" x14ac:dyDescent="0.25">
      <c r="A2676" s="3" t="s">
        <v>4902</v>
      </c>
      <c r="B2676" s="3">
        <v>12</v>
      </c>
      <c r="C2676" s="5">
        <v>365</v>
      </c>
      <c r="D2676" s="6">
        <v>0</v>
      </c>
      <c r="E2676" s="7">
        <v>601020</v>
      </c>
      <c r="F2676" s="3">
        <v>51412</v>
      </c>
      <c r="G2676" s="3" t="str">
        <f t="shared" si="42"/>
        <v>5</v>
      </c>
      <c r="H2676" s="3" t="s">
        <v>4903</v>
      </c>
      <c r="I2676" s="8">
        <v>46000</v>
      </c>
      <c r="J2676" s="8">
        <v>23201.83</v>
      </c>
      <c r="K2676" s="8">
        <v>46000</v>
      </c>
    </row>
    <row r="2677" spans="1:11" hidden="1" x14ac:dyDescent="0.25">
      <c r="A2677" s="3" t="s">
        <v>4904</v>
      </c>
      <c r="B2677" s="3">
        <v>12</v>
      </c>
      <c r="C2677" s="5">
        <v>365</v>
      </c>
      <c r="D2677" s="6">
        <v>0</v>
      </c>
      <c r="E2677" s="7">
        <v>601020</v>
      </c>
      <c r="F2677" s="3">
        <v>52350</v>
      </c>
      <c r="G2677" s="3" t="str">
        <f t="shared" si="42"/>
        <v>5</v>
      </c>
      <c r="H2677" s="3" t="s">
        <v>4905</v>
      </c>
      <c r="I2677" s="8">
        <v>4000</v>
      </c>
      <c r="J2677" s="8">
        <v>3040</v>
      </c>
      <c r="K2677" s="8">
        <v>4000</v>
      </c>
    </row>
    <row r="2678" spans="1:11" hidden="1" x14ac:dyDescent="0.25">
      <c r="A2678" s="3" t="s">
        <v>4906</v>
      </c>
      <c r="B2678" s="3">
        <v>12</v>
      </c>
      <c r="C2678" s="5">
        <v>365</v>
      </c>
      <c r="D2678" s="6">
        <v>0</v>
      </c>
      <c r="E2678" s="7">
        <v>601020</v>
      </c>
      <c r="F2678" s="3">
        <v>52360</v>
      </c>
      <c r="G2678" s="3" t="str">
        <f t="shared" si="42"/>
        <v>5</v>
      </c>
      <c r="H2678" s="3" t="s">
        <v>4907</v>
      </c>
      <c r="I2678" s="8">
        <v>15000</v>
      </c>
      <c r="J2678" s="8">
        <v>2772.78</v>
      </c>
      <c r="K2678" s="8">
        <v>15000</v>
      </c>
    </row>
    <row r="2679" spans="1:11" hidden="1" x14ac:dyDescent="0.25">
      <c r="A2679" s="3" t="s">
        <v>4908</v>
      </c>
      <c r="B2679" s="3">
        <v>12</v>
      </c>
      <c r="C2679" s="5">
        <v>365</v>
      </c>
      <c r="D2679" s="6">
        <v>0</v>
      </c>
      <c r="E2679" s="7">
        <v>601020</v>
      </c>
      <c r="F2679" s="3">
        <v>53000</v>
      </c>
      <c r="G2679" s="3" t="str">
        <f t="shared" si="42"/>
        <v>5</v>
      </c>
      <c r="H2679" s="3" t="s">
        <v>4909</v>
      </c>
      <c r="I2679" s="8">
        <v>0</v>
      </c>
      <c r="J2679" s="8">
        <v>0</v>
      </c>
      <c r="K2679" s="8">
        <v>0</v>
      </c>
    </row>
    <row r="2680" spans="1:11" hidden="1" x14ac:dyDescent="0.25">
      <c r="A2680" s="3" t="s">
        <v>4910</v>
      </c>
      <c r="B2680" s="3">
        <v>12</v>
      </c>
      <c r="C2680" s="5">
        <v>365</v>
      </c>
      <c r="D2680" s="6">
        <v>0</v>
      </c>
      <c r="E2680" s="7">
        <v>601020</v>
      </c>
      <c r="F2680" s="3">
        <v>53120</v>
      </c>
      <c r="G2680" s="3" t="str">
        <f t="shared" si="42"/>
        <v>5</v>
      </c>
      <c r="H2680" s="3" t="s">
        <v>4911</v>
      </c>
      <c r="I2680" s="8">
        <v>7429</v>
      </c>
      <c r="J2680" s="8">
        <v>3747.11</v>
      </c>
      <c r="K2680" s="8">
        <v>7429</v>
      </c>
    </row>
    <row r="2681" spans="1:11" hidden="1" x14ac:dyDescent="0.25">
      <c r="A2681" s="3" t="s">
        <v>4912</v>
      </c>
      <c r="B2681" s="3">
        <v>12</v>
      </c>
      <c r="C2681" s="5">
        <v>365</v>
      </c>
      <c r="D2681" s="6">
        <v>0</v>
      </c>
      <c r="E2681" s="7">
        <v>601020</v>
      </c>
      <c r="F2681" s="3">
        <v>53320</v>
      </c>
      <c r="G2681" s="3" t="str">
        <f t="shared" si="42"/>
        <v>5</v>
      </c>
      <c r="H2681" s="3" t="s">
        <v>4913</v>
      </c>
      <c r="I2681" s="8">
        <v>930</v>
      </c>
      <c r="J2681" s="8">
        <v>0</v>
      </c>
      <c r="K2681" s="8">
        <v>930</v>
      </c>
    </row>
    <row r="2682" spans="1:11" hidden="1" x14ac:dyDescent="0.25">
      <c r="A2682" s="3" t="s">
        <v>4914</v>
      </c>
      <c r="B2682" s="3">
        <v>12</v>
      </c>
      <c r="C2682" s="5">
        <v>365</v>
      </c>
      <c r="D2682" s="6">
        <v>0</v>
      </c>
      <c r="E2682" s="7">
        <v>601020</v>
      </c>
      <c r="F2682" s="3">
        <v>53330</v>
      </c>
      <c r="G2682" s="3" t="str">
        <f t="shared" si="42"/>
        <v>5</v>
      </c>
      <c r="H2682" s="3" t="s">
        <v>4915</v>
      </c>
      <c r="I2682" s="8">
        <v>218</v>
      </c>
      <c r="J2682" s="8">
        <v>0</v>
      </c>
      <c r="K2682" s="8">
        <v>218</v>
      </c>
    </row>
    <row r="2683" spans="1:11" hidden="1" x14ac:dyDescent="0.25">
      <c r="A2683" s="3" t="s">
        <v>4916</v>
      </c>
      <c r="B2683" s="3">
        <v>12</v>
      </c>
      <c r="C2683" s="5">
        <v>365</v>
      </c>
      <c r="D2683" s="6">
        <v>0</v>
      </c>
      <c r="E2683" s="7">
        <v>601020</v>
      </c>
      <c r="F2683" s="3">
        <v>53340</v>
      </c>
      <c r="G2683" s="3" t="str">
        <f t="shared" si="42"/>
        <v>5</v>
      </c>
      <c r="H2683" s="3" t="s">
        <v>4917</v>
      </c>
      <c r="I2683" s="8">
        <v>885</v>
      </c>
      <c r="J2683" s="8">
        <v>376.69</v>
      </c>
      <c r="K2683" s="8">
        <v>885</v>
      </c>
    </row>
    <row r="2684" spans="1:11" hidden="1" x14ac:dyDescent="0.25">
      <c r="A2684" s="3" t="s">
        <v>4918</v>
      </c>
      <c r="B2684" s="3">
        <v>12</v>
      </c>
      <c r="C2684" s="5">
        <v>365</v>
      </c>
      <c r="D2684" s="6">
        <v>0</v>
      </c>
      <c r="E2684" s="7">
        <v>601020</v>
      </c>
      <c r="F2684" s="3">
        <v>53520</v>
      </c>
      <c r="G2684" s="3" t="str">
        <f t="shared" si="42"/>
        <v>5</v>
      </c>
      <c r="H2684" s="3" t="s">
        <v>4919</v>
      </c>
      <c r="I2684" s="8">
        <v>31</v>
      </c>
      <c r="J2684" s="8">
        <v>12.97</v>
      </c>
      <c r="K2684" s="8">
        <v>31</v>
      </c>
    </row>
    <row r="2685" spans="1:11" hidden="1" x14ac:dyDescent="0.25">
      <c r="A2685" s="3" t="s">
        <v>4920</v>
      </c>
      <c r="B2685" s="3">
        <v>12</v>
      </c>
      <c r="C2685" s="5">
        <v>365</v>
      </c>
      <c r="D2685" s="6">
        <v>0</v>
      </c>
      <c r="E2685" s="7">
        <v>601020</v>
      </c>
      <c r="F2685" s="3">
        <v>53620</v>
      </c>
      <c r="G2685" s="3" t="str">
        <f t="shared" si="42"/>
        <v>5</v>
      </c>
      <c r="H2685" s="3" t="s">
        <v>4921</v>
      </c>
      <c r="I2685" s="8">
        <v>1344</v>
      </c>
      <c r="J2685" s="8">
        <v>548.64</v>
      </c>
      <c r="K2685" s="8">
        <v>1344</v>
      </c>
    </row>
    <row r="2686" spans="1:11" hidden="1" x14ac:dyDescent="0.25">
      <c r="A2686" s="3" t="s">
        <v>4922</v>
      </c>
      <c r="B2686" s="3">
        <v>12</v>
      </c>
      <c r="C2686" s="5">
        <v>365</v>
      </c>
      <c r="D2686" s="6">
        <v>0</v>
      </c>
      <c r="E2686" s="7">
        <v>601020</v>
      </c>
      <c r="F2686" s="3">
        <v>54210</v>
      </c>
      <c r="G2686" s="3" t="str">
        <f t="shared" si="42"/>
        <v>5</v>
      </c>
      <c r="H2686" s="3" t="s">
        <v>4923</v>
      </c>
      <c r="I2686" s="8">
        <v>0</v>
      </c>
      <c r="J2686" s="8">
        <v>0</v>
      </c>
      <c r="K2686" s="8">
        <v>0</v>
      </c>
    </row>
    <row r="2687" spans="1:11" hidden="1" x14ac:dyDescent="0.25">
      <c r="A2687" s="3" t="s">
        <v>4924</v>
      </c>
      <c r="B2687" s="3">
        <v>12</v>
      </c>
      <c r="C2687" s="5">
        <v>365</v>
      </c>
      <c r="D2687" s="6">
        <v>0</v>
      </c>
      <c r="E2687" s="7">
        <v>601020</v>
      </c>
      <c r="F2687" s="3">
        <v>54300</v>
      </c>
      <c r="G2687" s="3" t="str">
        <f t="shared" si="42"/>
        <v>5</v>
      </c>
      <c r="H2687" s="3" t="s">
        <v>4925</v>
      </c>
      <c r="I2687" s="8">
        <v>6046</v>
      </c>
      <c r="J2687" s="8">
        <v>903.9</v>
      </c>
      <c r="K2687" s="8">
        <v>6046</v>
      </c>
    </row>
    <row r="2688" spans="1:11" hidden="1" x14ac:dyDescent="0.25">
      <c r="A2688" s="3" t="s">
        <v>4926</v>
      </c>
      <c r="B2688" s="3">
        <v>12</v>
      </c>
      <c r="C2688" s="5">
        <v>365</v>
      </c>
      <c r="D2688" s="6">
        <v>0</v>
      </c>
      <c r="E2688" s="7">
        <v>601020</v>
      </c>
      <c r="F2688" s="3">
        <v>55200</v>
      </c>
      <c r="G2688" s="3" t="str">
        <f t="shared" si="42"/>
        <v>5</v>
      </c>
      <c r="H2688" s="3" t="s">
        <v>4927</v>
      </c>
      <c r="I2688" s="8">
        <v>0</v>
      </c>
      <c r="J2688" s="8">
        <v>0</v>
      </c>
      <c r="K2688" s="8">
        <v>0</v>
      </c>
    </row>
    <row r="2689" spans="1:11" hidden="1" x14ac:dyDescent="0.25">
      <c r="A2689" s="3" t="s">
        <v>4928</v>
      </c>
      <c r="B2689" s="3">
        <v>12</v>
      </c>
      <c r="C2689" s="5">
        <v>365</v>
      </c>
      <c r="D2689" s="6">
        <v>0</v>
      </c>
      <c r="E2689" s="7">
        <v>601020</v>
      </c>
      <c r="F2689" s="3">
        <v>55800</v>
      </c>
      <c r="G2689" s="3" t="str">
        <f t="shared" si="42"/>
        <v>5</v>
      </c>
      <c r="H2689" s="3" t="s">
        <v>4929</v>
      </c>
      <c r="I2689" s="8">
        <v>12421.66</v>
      </c>
      <c r="J2689" s="8">
        <v>0</v>
      </c>
      <c r="K2689" s="8">
        <v>12421.66</v>
      </c>
    </row>
    <row r="2690" spans="1:11" hidden="1" x14ac:dyDescent="0.25">
      <c r="A2690" s="3" t="s">
        <v>4930</v>
      </c>
      <c r="B2690" s="3">
        <v>12</v>
      </c>
      <c r="C2690" s="5">
        <v>365</v>
      </c>
      <c r="D2690" s="6">
        <v>0</v>
      </c>
      <c r="E2690" s="7">
        <v>601020</v>
      </c>
      <c r="F2690" s="3">
        <v>57350</v>
      </c>
      <c r="G2690" s="3" t="str">
        <f t="shared" si="42"/>
        <v>5</v>
      </c>
      <c r="H2690" s="3" t="s">
        <v>4931</v>
      </c>
      <c r="I2690" s="8">
        <v>4042.19</v>
      </c>
      <c r="J2690" s="8">
        <v>954.67</v>
      </c>
      <c r="K2690" s="8">
        <v>4042.19</v>
      </c>
    </row>
    <row r="2691" spans="1:11" hidden="1" x14ac:dyDescent="0.25">
      <c r="A2691" s="3" t="s">
        <v>4932</v>
      </c>
      <c r="B2691" s="3">
        <v>12</v>
      </c>
      <c r="C2691" s="5">
        <v>365</v>
      </c>
      <c r="D2691" s="6">
        <v>0</v>
      </c>
      <c r="E2691" s="7">
        <v>601020</v>
      </c>
      <c r="F2691" s="3">
        <v>57510</v>
      </c>
      <c r="G2691" s="3" t="str">
        <f t="shared" si="42"/>
        <v>5</v>
      </c>
      <c r="H2691" s="3" t="s">
        <v>4933</v>
      </c>
      <c r="I2691" s="8">
        <v>6000</v>
      </c>
      <c r="J2691" s="8">
        <v>9000</v>
      </c>
      <c r="K2691" s="8">
        <v>6000</v>
      </c>
    </row>
    <row r="2692" spans="1:11" hidden="1" x14ac:dyDescent="0.25">
      <c r="A2692" s="3" t="s">
        <v>4934</v>
      </c>
      <c r="B2692" s="3">
        <v>12</v>
      </c>
      <c r="C2692" s="5">
        <v>365</v>
      </c>
      <c r="D2692" s="6">
        <v>0</v>
      </c>
      <c r="E2692" s="7">
        <v>601020</v>
      </c>
      <c r="F2692" s="3">
        <v>57600</v>
      </c>
      <c r="G2692" s="3" t="str">
        <f t="shared" si="42"/>
        <v>5</v>
      </c>
      <c r="H2692" s="3" t="s">
        <v>4935</v>
      </c>
      <c r="I2692" s="8">
        <v>750</v>
      </c>
      <c r="J2692" s="8">
        <v>0</v>
      </c>
      <c r="K2692" s="8">
        <v>750</v>
      </c>
    </row>
    <row r="2693" spans="1:11" hidden="1" x14ac:dyDescent="0.25">
      <c r="A2693" s="3" t="s">
        <v>4936</v>
      </c>
      <c r="B2693" s="3">
        <v>12</v>
      </c>
      <c r="C2693" s="5">
        <v>365</v>
      </c>
      <c r="D2693" s="6">
        <v>0</v>
      </c>
      <c r="E2693" s="7">
        <v>700410</v>
      </c>
      <c r="F2693" s="3">
        <v>48627</v>
      </c>
      <c r="G2693" s="3" t="str">
        <f t="shared" si="42"/>
        <v>4</v>
      </c>
      <c r="H2693" s="3" t="s">
        <v>4937</v>
      </c>
      <c r="I2693" s="8">
        <v>-1478734.69</v>
      </c>
      <c r="J2693" s="8">
        <v>-638962.71</v>
      </c>
      <c r="K2693" s="8">
        <v>-1478734.69</v>
      </c>
    </row>
    <row r="2694" spans="1:11" hidden="1" x14ac:dyDescent="0.25">
      <c r="A2694" s="3" t="s">
        <v>4938</v>
      </c>
      <c r="B2694" s="3">
        <v>12</v>
      </c>
      <c r="C2694" s="5">
        <v>365</v>
      </c>
      <c r="D2694" s="6">
        <v>0</v>
      </c>
      <c r="E2694" s="7">
        <v>700410</v>
      </c>
      <c r="F2694" s="3">
        <v>51200</v>
      </c>
      <c r="G2694" s="3" t="str">
        <f t="shared" si="42"/>
        <v>5</v>
      </c>
      <c r="H2694" s="3" t="s">
        <v>4939</v>
      </c>
      <c r="I2694" s="8">
        <v>87898</v>
      </c>
      <c r="J2694" s="8">
        <v>63926.080000000002</v>
      </c>
      <c r="K2694" s="8">
        <v>87898</v>
      </c>
    </row>
    <row r="2695" spans="1:11" hidden="1" x14ac:dyDescent="0.25">
      <c r="A2695" s="3" t="s">
        <v>4940</v>
      </c>
      <c r="B2695" s="3">
        <v>12</v>
      </c>
      <c r="C2695" s="5">
        <v>365</v>
      </c>
      <c r="D2695" s="6">
        <v>0</v>
      </c>
      <c r="E2695" s="7">
        <v>700410</v>
      </c>
      <c r="F2695" s="3">
        <v>51210</v>
      </c>
      <c r="G2695" s="3" t="str">
        <f t="shared" si="42"/>
        <v>5</v>
      </c>
      <c r="H2695" s="3" t="s">
        <v>4941</v>
      </c>
      <c r="I2695" s="8">
        <v>86547</v>
      </c>
      <c r="J2695" s="8">
        <v>64872.91</v>
      </c>
      <c r="K2695" s="8">
        <v>86547</v>
      </c>
    </row>
    <row r="2696" spans="1:11" hidden="1" x14ac:dyDescent="0.25">
      <c r="A2696" s="3" t="s">
        <v>4942</v>
      </c>
      <c r="B2696" s="3">
        <v>12</v>
      </c>
      <c r="C2696" s="5">
        <v>365</v>
      </c>
      <c r="D2696" s="6">
        <v>0</v>
      </c>
      <c r="E2696" s="7">
        <v>700410</v>
      </c>
      <c r="F2696" s="3">
        <v>51412</v>
      </c>
      <c r="G2696" s="3" t="str">
        <f t="shared" si="42"/>
        <v>5</v>
      </c>
      <c r="H2696" s="3" t="s">
        <v>4943</v>
      </c>
      <c r="I2696" s="8">
        <v>32300</v>
      </c>
      <c r="J2696" s="8">
        <v>0</v>
      </c>
      <c r="K2696" s="8">
        <v>32300</v>
      </c>
    </row>
    <row r="2697" spans="1:11" hidden="1" x14ac:dyDescent="0.25">
      <c r="A2697" s="3" t="s">
        <v>4944</v>
      </c>
      <c r="B2697" s="3">
        <v>12</v>
      </c>
      <c r="C2697" s="5">
        <v>365</v>
      </c>
      <c r="D2697" s="6">
        <v>0</v>
      </c>
      <c r="E2697" s="7">
        <v>700410</v>
      </c>
      <c r="F2697" s="3">
        <v>52105</v>
      </c>
      <c r="G2697" s="3" t="str">
        <f t="shared" si="42"/>
        <v>5</v>
      </c>
      <c r="H2697" s="3" t="s">
        <v>4945</v>
      </c>
      <c r="I2697" s="8">
        <v>161278</v>
      </c>
      <c r="J2697" s="8">
        <v>120188.33</v>
      </c>
      <c r="K2697" s="8">
        <v>161278</v>
      </c>
    </row>
    <row r="2698" spans="1:11" hidden="1" x14ac:dyDescent="0.25">
      <c r="A2698" s="3" t="s">
        <v>4946</v>
      </c>
      <c r="B2698" s="3">
        <v>12</v>
      </c>
      <c r="C2698" s="5">
        <v>365</v>
      </c>
      <c r="D2698" s="6">
        <v>0</v>
      </c>
      <c r="E2698" s="7">
        <v>700410</v>
      </c>
      <c r="F2698" s="3">
        <v>52200</v>
      </c>
      <c r="G2698" s="3" t="str">
        <f t="shared" si="42"/>
        <v>5</v>
      </c>
      <c r="H2698" s="3" t="s">
        <v>4947</v>
      </c>
      <c r="I2698" s="8">
        <v>190931</v>
      </c>
      <c r="J2698" s="8">
        <v>141515.54</v>
      </c>
      <c r="K2698" s="8">
        <v>190931</v>
      </c>
    </row>
    <row r="2699" spans="1:11" hidden="1" x14ac:dyDescent="0.25">
      <c r="A2699" s="3" t="s">
        <v>4948</v>
      </c>
      <c r="B2699" s="3">
        <v>12</v>
      </c>
      <c r="C2699" s="5">
        <v>365</v>
      </c>
      <c r="D2699" s="6">
        <v>0</v>
      </c>
      <c r="E2699" s="7">
        <v>700410</v>
      </c>
      <c r="F2699" s="3">
        <v>52300</v>
      </c>
      <c r="G2699" s="3" t="str">
        <f t="shared" si="42"/>
        <v>5</v>
      </c>
      <c r="H2699" s="3" t="s">
        <v>4949</v>
      </c>
      <c r="I2699" s="8">
        <v>830</v>
      </c>
      <c r="J2699" s="8">
        <v>264.11</v>
      </c>
      <c r="K2699" s="8">
        <v>830</v>
      </c>
    </row>
    <row r="2700" spans="1:11" hidden="1" x14ac:dyDescent="0.25">
      <c r="A2700" s="3" t="s">
        <v>4950</v>
      </c>
      <c r="B2700" s="3">
        <v>12</v>
      </c>
      <c r="C2700" s="5">
        <v>365</v>
      </c>
      <c r="D2700" s="6">
        <v>0</v>
      </c>
      <c r="E2700" s="7">
        <v>700410</v>
      </c>
      <c r="F2700" s="3">
        <v>52350</v>
      </c>
      <c r="G2700" s="3" t="str">
        <f t="shared" si="42"/>
        <v>5</v>
      </c>
      <c r="H2700" s="3" t="s">
        <v>4951</v>
      </c>
      <c r="I2700" s="8">
        <v>75000</v>
      </c>
      <c r="J2700" s="8">
        <v>8258.25</v>
      </c>
      <c r="K2700" s="8">
        <v>75000</v>
      </c>
    </row>
    <row r="2701" spans="1:11" hidden="1" x14ac:dyDescent="0.25">
      <c r="A2701" s="3" t="s">
        <v>4952</v>
      </c>
      <c r="B2701" s="3">
        <v>12</v>
      </c>
      <c r="C2701" s="5">
        <v>365</v>
      </c>
      <c r="D2701" s="6">
        <v>0</v>
      </c>
      <c r="E2701" s="7">
        <v>700410</v>
      </c>
      <c r="F2701" s="3">
        <v>52360</v>
      </c>
      <c r="G2701" s="3" t="str">
        <f t="shared" si="42"/>
        <v>5</v>
      </c>
      <c r="H2701" s="3" t="s">
        <v>4953</v>
      </c>
      <c r="I2701" s="8">
        <v>15000</v>
      </c>
      <c r="J2701" s="8">
        <v>3575.16</v>
      </c>
      <c r="K2701" s="8">
        <v>15000</v>
      </c>
    </row>
    <row r="2702" spans="1:11" hidden="1" x14ac:dyDescent="0.25">
      <c r="A2702" s="3" t="s">
        <v>4954</v>
      </c>
      <c r="B2702" s="3">
        <v>12</v>
      </c>
      <c r="C2702" s="5">
        <v>365</v>
      </c>
      <c r="D2702" s="6">
        <v>0</v>
      </c>
      <c r="E2702" s="7">
        <v>700410</v>
      </c>
      <c r="F2702" s="3">
        <v>53120</v>
      </c>
      <c r="G2702" s="3" t="str">
        <f t="shared" si="42"/>
        <v>5</v>
      </c>
      <c r="H2702" s="3" t="s">
        <v>4955</v>
      </c>
      <c r="I2702" s="8">
        <v>43269</v>
      </c>
      <c r="J2702" s="8">
        <v>11250.9</v>
      </c>
      <c r="K2702" s="8">
        <v>43269</v>
      </c>
    </row>
    <row r="2703" spans="1:11" hidden="1" x14ac:dyDescent="0.25">
      <c r="A2703" s="3" t="s">
        <v>4956</v>
      </c>
      <c r="B2703" s="3">
        <v>12</v>
      </c>
      <c r="C2703" s="5">
        <v>365</v>
      </c>
      <c r="D2703" s="6">
        <v>0</v>
      </c>
      <c r="E2703" s="7">
        <v>700410</v>
      </c>
      <c r="F2703" s="3">
        <v>53210</v>
      </c>
      <c r="G2703" s="3" t="str">
        <f t="shared" si="42"/>
        <v>5</v>
      </c>
      <c r="H2703" s="3" t="s">
        <v>4957</v>
      </c>
      <c r="I2703" s="8">
        <v>85578</v>
      </c>
      <c r="J2703" s="8">
        <v>29130.37</v>
      </c>
      <c r="K2703" s="8">
        <v>85578</v>
      </c>
    </row>
    <row r="2704" spans="1:11" hidden="1" x14ac:dyDescent="0.25">
      <c r="A2704" s="3" t="s">
        <v>4958</v>
      </c>
      <c r="B2704" s="3">
        <v>12</v>
      </c>
      <c r="C2704" s="5">
        <v>365</v>
      </c>
      <c r="D2704" s="6">
        <v>0</v>
      </c>
      <c r="E2704" s="7">
        <v>700410</v>
      </c>
      <c r="F2704" s="3">
        <v>53220</v>
      </c>
      <c r="G2704" s="3" t="str">
        <f t="shared" si="42"/>
        <v>5</v>
      </c>
      <c r="H2704" s="3" t="s">
        <v>4959</v>
      </c>
      <c r="I2704" s="8">
        <v>105253</v>
      </c>
      <c r="J2704" s="8">
        <v>36877.050000000003</v>
      </c>
      <c r="K2704" s="8">
        <v>105253</v>
      </c>
    </row>
    <row r="2705" spans="1:11" hidden="1" x14ac:dyDescent="0.25">
      <c r="A2705" s="3" t="s">
        <v>4960</v>
      </c>
      <c r="B2705" s="3">
        <v>12</v>
      </c>
      <c r="C2705" s="5">
        <v>365</v>
      </c>
      <c r="D2705" s="6">
        <v>0</v>
      </c>
      <c r="E2705" s="7">
        <v>700410</v>
      </c>
      <c r="F2705" s="3">
        <v>53310</v>
      </c>
      <c r="G2705" s="3" t="str">
        <f t="shared" si="42"/>
        <v>5</v>
      </c>
      <c r="H2705" s="3" t="s">
        <v>4961</v>
      </c>
      <c r="I2705" s="8">
        <v>27004</v>
      </c>
      <c r="J2705" s="8">
        <v>8732.58</v>
      </c>
      <c r="K2705" s="8">
        <v>27004</v>
      </c>
    </row>
    <row r="2706" spans="1:11" hidden="1" x14ac:dyDescent="0.25">
      <c r="A2706" s="3" t="s">
        <v>4962</v>
      </c>
      <c r="B2706" s="3">
        <v>12</v>
      </c>
      <c r="C2706" s="5">
        <v>365</v>
      </c>
      <c r="D2706" s="6">
        <v>0</v>
      </c>
      <c r="E2706" s="7">
        <v>700410</v>
      </c>
      <c r="F2706" s="3">
        <v>53320</v>
      </c>
      <c r="G2706" s="3" t="str">
        <f t="shared" si="42"/>
        <v>5</v>
      </c>
      <c r="H2706" s="3" t="s">
        <v>4963</v>
      </c>
      <c r="I2706" s="8">
        <v>33835</v>
      </c>
      <c r="J2706" s="8">
        <v>11308.2</v>
      </c>
      <c r="K2706" s="8">
        <v>33835</v>
      </c>
    </row>
    <row r="2707" spans="1:11" hidden="1" x14ac:dyDescent="0.25">
      <c r="A2707" s="3" t="s">
        <v>4964</v>
      </c>
      <c r="B2707" s="3">
        <v>12</v>
      </c>
      <c r="C2707" s="5">
        <v>365</v>
      </c>
      <c r="D2707" s="6">
        <v>0</v>
      </c>
      <c r="E2707" s="7">
        <v>700410</v>
      </c>
      <c r="F2707" s="3">
        <v>53330</v>
      </c>
      <c r="G2707" s="3" t="str">
        <f t="shared" si="42"/>
        <v>5</v>
      </c>
      <c r="H2707" s="3" t="s">
        <v>4965</v>
      </c>
      <c r="I2707" s="8">
        <v>6315</v>
      </c>
      <c r="J2707" s="8">
        <v>2042.36</v>
      </c>
      <c r="K2707" s="8">
        <v>6315</v>
      </c>
    </row>
    <row r="2708" spans="1:11" hidden="1" x14ac:dyDescent="0.25">
      <c r="A2708" s="3" t="s">
        <v>4966</v>
      </c>
      <c r="B2708" s="3">
        <v>12</v>
      </c>
      <c r="C2708" s="5">
        <v>365</v>
      </c>
      <c r="D2708" s="6">
        <v>0</v>
      </c>
      <c r="E2708" s="7">
        <v>700410</v>
      </c>
      <c r="F2708" s="3">
        <v>53340</v>
      </c>
      <c r="G2708" s="3" t="str">
        <f t="shared" si="42"/>
        <v>5</v>
      </c>
      <c r="H2708" s="3" t="s">
        <v>4967</v>
      </c>
      <c r="I2708" s="8">
        <v>11604</v>
      </c>
      <c r="J2708" s="8">
        <v>3647.78</v>
      </c>
      <c r="K2708" s="8">
        <v>11604</v>
      </c>
    </row>
    <row r="2709" spans="1:11" hidden="1" x14ac:dyDescent="0.25">
      <c r="A2709" s="3" t="s">
        <v>4968</v>
      </c>
      <c r="B2709" s="3">
        <v>12</v>
      </c>
      <c r="C2709" s="5">
        <v>365</v>
      </c>
      <c r="D2709" s="6">
        <v>0</v>
      </c>
      <c r="E2709" s="7">
        <v>700410</v>
      </c>
      <c r="F2709" s="3">
        <v>53410</v>
      </c>
      <c r="G2709" s="3" t="str">
        <f t="shared" si="42"/>
        <v>5</v>
      </c>
      <c r="H2709" s="3" t="s">
        <v>4969</v>
      </c>
      <c r="I2709" s="8">
        <v>102982</v>
      </c>
      <c r="J2709" s="8">
        <v>33872.68</v>
      </c>
      <c r="K2709" s="8">
        <v>102982</v>
      </c>
    </row>
    <row r="2710" spans="1:11" hidden="1" x14ac:dyDescent="0.25">
      <c r="A2710" s="3" t="s">
        <v>4970</v>
      </c>
      <c r="B2710" s="3">
        <v>12</v>
      </c>
      <c r="C2710" s="5">
        <v>365</v>
      </c>
      <c r="D2710" s="6">
        <v>0</v>
      </c>
      <c r="E2710" s="7">
        <v>700410</v>
      </c>
      <c r="F2710" s="3">
        <v>53420</v>
      </c>
      <c r="G2710" s="3" t="str">
        <f t="shared" si="42"/>
        <v>5</v>
      </c>
      <c r="H2710" s="3" t="s">
        <v>4971</v>
      </c>
      <c r="I2710" s="8">
        <v>146782</v>
      </c>
      <c r="J2710" s="8">
        <v>63021.95</v>
      </c>
      <c r="K2710" s="8">
        <v>146782</v>
      </c>
    </row>
    <row r="2711" spans="1:11" hidden="1" x14ac:dyDescent="0.25">
      <c r="A2711" s="3" t="s">
        <v>4972</v>
      </c>
      <c r="B2711" s="3">
        <v>12</v>
      </c>
      <c r="C2711" s="5">
        <v>365</v>
      </c>
      <c r="D2711" s="6">
        <v>0</v>
      </c>
      <c r="E2711" s="7">
        <v>700410</v>
      </c>
      <c r="F2711" s="3">
        <v>53510</v>
      </c>
      <c r="G2711" s="3" t="str">
        <f t="shared" si="42"/>
        <v>5</v>
      </c>
      <c r="H2711" s="3" t="s">
        <v>4973</v>
      </c>
      <c r="I2711" s="8">
        <v>218</v>
      </c>
      <c r="J2711" s="8">
        <v>70.760000000000005</v>
      </c>
      <c r="K2711" s="8">
        <v>218</v>
      </c>
    </row>
    <row r="2712" spans="1:11" hidden="1" x14ac:dyDescent="0.25">
      <c r="A2712" s="3" t="s">
        <v>4974</v>
      </c>
      <c r="B2712" s="3">
        <v>12</v>
      </c>
      <c r="C2712" s="5">
        <v>365</v>
      </c>
      <c r="D2712" s="6">
        <v>0</v>
      </c>
      <c r="E2712" s="7">
        <v>700410</v>
      </c>
      <c r="F2712" s="3">
        <v>53520</v>
      </c>
      <c r="G2712" s="3" t="str">
        <f t="shared" si="42"/>
        <v>5</v>
      </c>
      <c r="H2712" s="3" t="s">
        <v>4975</v>
      </c>
      <c r="I2712" s="8">
        <v>400</v>
      </c>
      <c r="J2712" s="8">
        <v>126.45</v>
      </c>
      <c r="K2712" s="8">
        <v>400</v>
      </c>
    </row>
    <row r="2713" spans="1:11" hidden="1" x14ac:dyDescent="0.25">
      <c r="A2713" s="3" t="s">
        <v>4976</v>
      </c>
      <c r="B2713" s="3">
        <v>12</v>
      </c>
      <c r="C2713" s="5">
        <v>365</v>
      </c>
      <c r="D2713" s="6">
        <v>0</v>
      </c>
      <c r="E2713" s="7">
        <v>700410</v>
      </c>
      <c r="F2713" s="3">
        <v>53610</v>
      </c>
      <c r="G2713" s="3" t="str">
        <f t="shared" si="42"/>
        <v>5</v>
      </c>
      <c r="H2713" s="3" t="s">
        <v>4977</v>
      </c>
      <c r="I2713" s="8">
        <v>7878</v>
      </c>
      <c r="J2713" s="8">
        <v>2683.31</v>
      </c>
      <c r="K2713" s="8">
        <v>7878</v>
      </c>
    </row>
    <row r="2714" spans="1:11" hidden="1" x14ac:dyDescent="0.25">
      <c r="A2714" s="3" t="s">
        <v>4978</v>
      </c>
      <c r="B2714" s="3">
        <v>12</v>
      </c>
      <c r="C2714" s="5">
        <v>365</v>
      </c>
      <c r="D2714" s="6">
        <v>0</v>
      </c>
      <c r="E2714" s="7">
        <v>700410</v>
      </c>
      <c r="F2714" s="3">
        <v>53620</v>
      </c>
      <c r="G2714" s="3" t="str">
        <f t="shared" si="42"/>
        <v>5</v>
      </c>
      <c r="H2714" s="3" t="s">
        <v>4979</v>
      </c>
      <c r="I2714" s="8">
        <v>15924</v>
      </c>
      <c r="J2714" s="8">
        <v>4941.3</v>
      </c>
      <c r="K2714" s="8">
        <v>15924</v>
      </c>
    </row>
    <row r="2715" spans="1:11" hidden="1" x14ac:dyDescent="0.25">
      <c r="A2715" s="3" t="s">
        <v>4980</v>
      </c>
      <c r="B2715" s="3">
        <v>12</v>
      </c>
      <c r="C2715" s="5">
        <v>365</v>
      </c>
      <c r="D2715" s="6">
        <v>0</v>
      </c>
      <c r="E2715" s="7">
        <v>700410</v>
      </c>
      <c r="F2715" s="3">
        <v>53920</v>
      </c>
      <c r="G2715" s="3" t="str">
        <f t="shared" ref="G2715:G2778" si="43">LEFT(F2715,1)</f>
        <v>5</v>
      </c>
      <c r="H2715" s="3" t="s">
        <v>4981</v>
      </c>
      <c r="I2715" s="8">
        <v>1960</v>
      </c>
      <c r="J2715" s="8">
        <v>1624.61</v>
      </c>
      <c r="K2715" s="8">
        <v>1960</v>
      </c>
    </row>
    <row r="2716" spans="1:11" hidden="1" x14ac:dyDescent="0.25">
      <c r="A2716" s="3" t="s">
        <v>4982</v>
      </c>
      <c r="B2716" s="3">
        <v>12</v>
      </c>
      <c r="C2716" s="5">
        <v>365</v>
      </c>
      <c r="D2716" s="6">
        <v>0</v>
      </c>
      <c r="E2716" s="7">
        <v>700410</v>
      </c>
      <c r="F2716" s="3">
        <v>54210</v>
      </c>
      <c r="G2716" s="3" t="str">
        <f t="shared" si="43"/>
        <v>5</v>
      </c>
      <c r="H2716" s="3" t="s">
        <v>4983</v>
      </c>
      <c r="I2716" s="8">
        <v>0</v>
      </c>
      <c r="J2716" s="8">
        <v>0</v>
      </c>
      <c r="K2716" s="8">
        <v>0</v>
      </c>
    </row>
    <row r="2717" spans="1:11" hidden="1" x14ac:dyDescent="0.25">
      <c r="A2717" s="3" t="s">
        <v>4984</v>
      </c>
      <c r="B2717" s="3">
        <v>12</v>
      </c>
      <c r="C2717" s="5">
        <v>365</v>
      </c>
      <c r="D2717" s="6">
        <v>0</v>
      </c>
      <c r="E2717" s="7">
        <v>700410</v>
      </c>
      <c r="F2717" s="3">
        <v>54300</v>
      </c>
      <c r="G2717" s="3" t="str">
        <f t="shared" si="43"/>
        <v>5</v>
      </c>
      <c r="H2717" s="3" t="s">
        <v>4985</v>
      </c>
      <c r="I2717" s="8">
        <v>5000</v>
      </c>
      <c r="J2717" s="8">
        <v>0</v>
      </c>
      <c r="K2717" s="8">
        <v>5000</v>
      </c>
    </row>
    <row r="2718" spans="1:11" hidden="1" x14ac:dyDescent="0.25">
      <c r="A2718" s="3" t="s">
        <v>4986</v>
      </c>
      <c r="B2718" s="3">
        <v>12</v>
      </c>
      <c r="C2718" s="5">
        <v>365</v>
      </c>
      <c r="D2718" s="6">
        <v>0</v>
      </c>
      <c r="E2718" s="7">
        <v>700410</v>
      </c>
      <c r="F2718" s="3">
        <v>55125</v>
      </c>
      <c r="G2718" s="3" t="str">
        <f t="shared" si="43"/>
        <v>5</v>
      </c>
      <c r="H2718" s="3" t="s">
        <v>4987</v>
      </c>
      <c r="I2718" s="8">
        <v>15000</v>
      </c>
      <c r="J2718" s="8">
        <v>0</v>
      </c>
      <c r="K2718" s="8">
        <v>15000</v>
      </c>
    </row>
    <row r="2719" spans="1:11" hidden="1" x14ac:dyDescent="0.25">
      <c r="A2719" s="3" t="s">
        <v>4988</v>
      </c>
      <c r="B2719" s="3">
        <v>12</v>
      </c>
      <c r="C2719" s="5">
        <v>365</v>
      </c>
      <c r="D2719" s="6">
        <v>0</v>
      </c>
      <c r="E2719" s="7">
        <v>700410</v>
      </c>
      <c r="F2719" s="3">
        <v>55200</v>
      </c>
      <c r="G2719" s="3" t="str">
        <f t="shared" si="43"/>
        <v>5</v>
      </c>
      <c r="H2719" s="3" t="s">
        <v>4989</v>
      </c>
      <c r="I2719" s="8">
        <v>20000</v>
      </c>
      <c r="J2719" s="8">
        <v>0</v>
      </c>
      <c r="K2719" s="8">
        <v>20000</v>
      </c>
    </row>
    <row r="2720" spans="1:11" hidden="1" x14ac:dyDescent="0.25">
      <c r="A2720" s="3" t="s">
        <v>4990</v>
      </c>
      <c r="B2720" s="3">
        <v>12</v>
      </c>
      <c r="C2720" s="5">
        <v>365</v>
      </c>
      <c r="D2720" s="6">
        <v>0</v>
      </c>
      <c r="E2720" s="7">
        <v>700410</v>
      </c>
      <c r="F2720" s="3">
        <v>55630</v>
      </c>
      <c r="G2720" s="3" t="str">
        <f t="shared" si="43"/>
        <v>5</v>
      </c>
      <c r="H2720" s="3" t="s">
        <v>4991</v>
      </c>
      <c r="I2720" s="8">
        <v>2000</v>
      </c>
      <c r="J2720" s="8">
        <v>109.81</v>
      </c>
      <c r="K2720" s="8">
        <v>2000</v>
      </c>
    </row>
    <row r="2721" spans="1:11" hidden="1" x14ac:dyDescent="0.25">
      <c r="A2721" s="3" t="s">
        <v>4992</v>
      </c>
      <c r="B2721" s="3">
        <v>12</v>
      </c>
      <c r="C2721" s="5">
        <v>365</v>
      </c>
      <c r="D2721" s="6">
        <v>0</v>
      </c>
      <c r="E2721" s="7">
        <v>700410</v>
      </c>
      <c r="F2721" s="3">
        <v>55800</v>
      </c>
      <c r="G2721" s="3" t="str">
        <f t="shared" si="43"/>
        <v>5</v>
      </c>
      <c r="H2721" s="3" t="s">
        <v>4993</v>
      </c>
      <c r="I2721" s="8">
        <v>179348.69</v>
      </c>
      <c r="J2721" s="8">
        <v>0</v>
      </c>
      <c r="K2721" s="8">
        <v>179348.69</v>
      </c>
    </row>
    <row r="2722" spans="1:11" hidden="1" x14ac:dyDescent="0.25">
      <c r="A2722" s="3" t="s">
        <v>4994</v>
      </c>
      <c r="B2722" s="3">
        <v>12</v>
      </c>
      <c r="C2722" s="5">
        <v>365</v>
      </c>
      <c r="D2722" s="6">
        <v>0</v>
      </c>
      <c r="E2722" s="7">
        <v>700410</v>
      </c>
      <c r="F2722" s="3">
        <v>56300</v>
      </c>
      <c r="G2722" s="3" t="str">
        <f t="shared" si="43"/>
        <v>5</v>
      </c>
      <c r="H2722" s="3" t="s">
        <v>4995</v>
      </c>
      <c r="I2722" s="8">
        <v>5000</v>
      </c>
      <c r="J2722" s="8">
        <v>1362.97</v>
      </c>
      <c r="K2722" s="8">
        <v>5000</v>
      </c>
    </row>
    <row r="2723" spans="1:11" hidden="1" x14ac:dyDescent="0.25">
      <c r="A2723" s="3" t="s">
        <v>4996</v>
      </c>
      <c r="B2723" s="3">
        <v>12</v>
      </c>
      <c r="C2723" s="5">
        <v>365</v>
      </c>
      <c r="D2723" s="6">
        <v>0</v>
      </c>
      <c r="E2723" s="7">
        <v>700411</v>
      </c>
      <c r="F2723" s="3">
        <v>52105</v>
      </c>
      <c r="G2723" s="3" t="str">
        <f t="shared" si="43"/>
        <v>5</v>
      </c>
      <c r="H2723" s="3" t="s">
        <v>4997</v>
      </c>
      <c r="I2723" s="8">
        <v>0</v>
      </c>
      <c r="J2723" s="8">
        <v>0</v>
      </c>
      <c r="K2723" s="8">
        <v>0</v>
      </c>
    </row>
    <row r="2724" spans="1:11" hidden="1" x14ac:dyDescent="0.25">
      <c r="A2724" s="3" t="s">
        <v>4998</v>
      </c>
      <c r="B2724" s="3">
        <v>12</v>
      </c>
      <c r="C2724" s="5">
        <v>365</v>
      </c>
      <c r="D2724" s="6">
        <v>0</v>
      </c>
      <c r="E2724" s="7">
        <v>700411</v>
      </c>
      <c r="F2724" s="3">
        <v>53220</v>
      </c>
      <c r="G2724" s="3" t="str">
        <f t="shared" si="43"/>
        <v>5</v>
      </c>
      <c r="H2724" s="3" t="s">
        <v>4999</v>
      </c>
      <c r="I2724" s="8">
        <v>0</v>
      </c>
      <c r="J2724" s="8">
        <v>0</v>
      </c>
      <c r="K2724" s="8">
        <v>0</v>
      </c>
    </row>
    <row r="2725" spans="1:11" hidden="1" x14ac:dyDescent="0.25">
      <c r="A2725" s="3" t="s">
        <v>5000</v>
      </c>
      <c r="B2725" s="3">
        <v>12</v>
      </c>
      <c r="C2725" s="5">
        <v>365</v>
      </c>
      <c r="D2725" s="6">
        <v>0</v>
      </c>
      <c r="E2725" s="7">
        <v>700411</v>
      </c>
      <c r="F2725" s="3">
        <v>53320</v>
      </c>
      <c r="G2725" s="3" t="str">
        <f t="shared" si="43"/>
        <v>5</v>
      </c>
      <c r="H2725" s="3" t="s">
        <v>5001</v>
      </c>
      <c r="I2725" s="8">
        <v>0</v>
      </c>
      <c r="J2725" s="8">
        <v>0</v>
      </c>
      <c r="K2725" s="8">
        <v>0</v>
      </c>
    </row>
    <row r="2726" spans="1:11" hidden="1" x14ac:dyDescent="0.25">
      <c r="A2726" s="3" t="s">
        <v>5002</v>
      </c>
      <c r="B2726" s="3">
        <v>12</v>
      </c>
      <c r="C2726" s="5">
        <v>365</v>
      </c>
      <c r="D2726" s="6">
        <v>0</v>
      </c>
      <c r="E2726" s="7">
        <v>700411</v>
      </c>
      <c r="F2726" s="3">
        <v>53340</v>
      </c>
      <c r="G2726" s="3" t="str">
        <f t="shared" si="43"/>
        <v>5</v>
      </c>
      <c r="H2726" s="3" t="s">
        <v>5003</v>
      </c>
      <c r="I2726" s="8">
        <v>0</v>
      </c>
      <c r="J2726" s="8">
        <v>0</v>
      </c>
      <c r="K2726" s="8">
        <v>0</v>
      </c>
    </row>
    <row r="2727" spans="1:11" hidden="1" x14ac:dyDescent="0.25">
      <c r="A2727" s="3" t="s">
        <v>5004</v>
      </c>
      <c r="B2727" s="3">
        <v>12</v>
      </c>
      <c r="C2727" s="5">
        <v>365</v>
      </c>
      <c r="D2727" s="6">
        <v>0</v>
      </c>
      <c r="E2727" s="7">
        <v>700411</v>
      </c>
      <c r="F2727" s="3">
        <v>53520</v>
      </c>
      <c r="G2727" s="3" t="str">
        <f t="shared" si="43"/>
        <v>5</v>
      </c>
      <c r="H2727" s="3" t="s">
        <v>5005</v>
      </c>
      <c r="I2727" s="8">
        <v>0</v>
      </c>
      <c r="J2727" s="8">
        <v>0</v>
      </c>
      <c r="K2727" s="8">
        <v>0</v>
      </c>
    </row>
    <row r="2728" spans="1:11" hidden="1" x14ac:dyDescent="0.25">
      <c r="A2728" s="3" t="s">
        <v>5006</v>
      </c>
      <c r="B2728" s="3">
        <v>12</v>
      </c>
      <c r="C2728" s="5">
        <v>365</v>
      </c>
      <c r="D2728" s="6">
        <v>0</v>
      </c>
      <c r="E2728" s="7">
        <v>700411</v>
      </c>
      <c r="F2728" s="3">
        <v>53620</v>
      </c>
      <c r="G2728" s="3" t="str">
        <f t="shared" si="43"/>
        <v>5</v>
      </c>
      <c r="H2728" s="3" t="s">
        <v>5007</v>
      </c>
      <c r="I2728" s="8">
        <v>0</v>
      </c>
      <c r="J2728" s="8">
        <v>0</v>
      </c>
      <c r="K2728" s="8">
        <v>0</v>
      </c>
    </row>
    <row r="2729" spans="1:11" hidden="1" x14ac:dyDescent="0.25">
      <c r="A2729" s="3" t="s">
        <v>5008</v>
      </c>
      <c r="B2729" s="3">
        <v>12</v>
      </c>
      <c r="C2729" s="5">
        <v>365</v>
      </c>
      <c r="D2729" s="6">
        <v>0</v>
      </c>
      <c r="E2729" s="7">
        <v>706141</v>
      </c>
      <c r="F2729" s="3">
        <v>48690</v>
      </c>
      <c r="G2729" s="3" t="str">
        <f t="shared" si="43"/>
        <v>4</v>
      </c>
      <c r="H2729" s="3" t="s">
        <v>5009</v>
      </c>
      <c r="I2729" s="8">
        <v>-50984.800000000003</v>
      </c>
      <c r="J2729" s="8">
        <v>0</v>
      </c>
      <c r="K2729" s="8">
        <v>-50984.800000000003</v>
      </c>
    </row>
    <row r="2730" spans="1:11" hidden="1" x14ac:dyDescent="0.25">
      <c r="A2730" s="3" t="s">
        <v>5010</v>
      </c>
      <c r="B2730" s="3">
        <v>12</v>
      </c>
      <c r="C2730" s="5">
        <v>365</v>
      </c>
      <c r="D2730" s="6">
        <v>0</v>
      </c>
      <c r="E2730" s="7">
        <v>706141</v>
      </c>
      <c r="F2730" s="3">
        <v>52360</v>
      </c>
      <c r="G2730" s="3" t="str">
        <f t="shared" si="43"/>
        <v>5</v>
      </c>
      <c r="H2730" s="3" t="s">
        <v>5011</v>
      </c>
      <c r="I2730" s="8">
        <v>25724</v>
      </c>
      <c r="J2730" s="8">
        <v>0</v>
      </c>
      <c r="K2730" s="8">
        <v>25724</v>
      </c>
    </row>
    <row r="2731" spans="1:11" hidden="1" x14ac:dyDescent="0.25">
      <c r="A2731" s="3" t="s">
        <v>5012</v>
      </c>
      <c r="B2731" s="3">
        <v>12</v>
      </c>
      <c r="C2731" s="5">
        <v>365</v>
      </c>
      <c r="D2731" s="6">
        <v>0</v>
      </c>
      <c r="E2731" s="7">
        <v>706141</v>
      </c>
      <c r="F2731" s="3">
        <v>53320</v>
      </c>
      <c r="G2731" s="3" t="str">
        <f t="shared" si="43"/>
        <v>5</v>
      </c>
      <c r="H2731" s="3" t="s">
        <v>5013</v>
      </c>
      <c r="I2731" s="8">
        <v>1595</v>
      </c>
      <c r="J2731" s="8">
        <v>0</v>
      </c>
      <c r="K2731" s="8">
        <v>1595</v>
      </c>
    </row>
    <row r="2732" spans="1:11" hidden="1" x14ac:dyDescent="0.25">
      <c r="A2732" s="3" t="s">
        <v>5014</v>
      </c>
      <c r="B2732" s="3">
        <v>12</v>
      </c>
      <c r="C2732" s="5">
        <v>365</v>
      </c>
      <c r="D2732" s="6">
        <v>0</v>
      </c>
      <c r="E2732" s="7">
        <v>706141</v>
      </c>
      <c r="F2732" s="3">
        <v>53340</v>
      </c>
      <c r="G2732" s="3" t="str">
        <f t="shared" si="43"/>
        <v>5</v>
      </c>
      <c r="H2732" s="3" t="s">
        <v>5015</v>
      </c>
      <c r="I2732" s="8">
        <v>373</v>
      </c>
      <c r="J2732" s="8">
        <v>0</v>
      </c>
      <c r="K2732" s="8">
        <v>373</v>
      </c>
    </row>
    <row r="2733" spans="1:11" hidden="1" x14ac:dyDescent="0.25">
      <c r="A2733" s="3" t="s">
        <v>5016</v>
      </c>
      <c r="B2733" s="3">
        <v>12</v>
      </c>
      <c r="C2733" s="5">
        <v>365</v>
      </c>
      <c r="D2733" s="6">
        <v>0</v>
      </c>
      <c r="E2733" s="7">
        <v>706141</v>
      </c>
      <c r="F2733" s="3">
        <v>53520</v>
      </c>
      <c r="G2733" s="3" t="str">
        <f t="shared" si="43"/>
        <v>5</v>
      </c>
      <c r="H2733" s="3" t="s">
        <v>5017</v>
      </c>
      <c r="I2733" s="8">
        <v>13</v>
      </c>
      <c r="J2733" s="8">
        <v>0</v>
      </c>
      <c r="K2733" s="8">
        <v>13</v>
      </c>
    </row>
    <row r="2734" spans="1:11" hidden="1" x14ac:dyDescent="0.25">
      <c r="A2734" s="3" t="s">
        <v>5018</v>
      </c>
      <c r="B2734" s="3">
        <v>12</v>
      </c>
      <c r="C2734" s="5">
        <v>365</v>
      </c>
      <c r="D2734" s="6">
        <v>0</v>
      </c>
      <c r="E2734" s="7">
        <v>706141</v>
      </c>
      <c r="F2734" s="3">
        <v>53620</v>
      </c>
      <c r="G2734" s="3" t="str">
        <f t="shared" si="43"/>
        <v>5</v>
      </c>
      <c r="H2734" s="3" t="s">
        <v>5019</v>
      </c>
      <c r="I2734" s="8">
        <v>486</v>
      </c>
      <c r="J2734" s="8">
        <v>0</v>
      </c>
      <c r="K2734" s="8">
        <v>486</v>
      </c>
    </row>
    <row r="2735" spans="1:11" hidden="1" x14ac:dyDescent="0.25">
      <c r="A2735" s="3" t="s">
        <v>5020</v>
      </c>
      <c r="B2735" s="3">
        <v>12</v>
      </c>
      <c r="C2735" s="5">
        <v>365</v>
      </c>
      <c r="D2735" s="6">
        <v>0</v>
      </c>
      <c r="E2735" s="7">
        <v>706141</v>
      </c>
      <c r="F2735" s="3">
        <v>54300</v>
      </c>
      <c r="G2735" s="3" t="str">
        <f t="shared" si="43"/>
        <v>5</v>
      </c>
      <c r="H2735" s="3" t="s">
        <v>5021</v>
      </c>
      <c r="I2735" s="8">
        <v>595.96</v>
      </c>
      <c r="J2735" s="8">
        <v>0</v>
      </c>
      <c r="K2735" s="8">
        <v>595.96</v>
      </c>
    </row>
    <row r="2736" spans="1:11" hidden="1" x14ac:dyDescent="0.25">
      <c r="A2736" s="3" t="s">
        <v>5022</v>
      </c>
      <c r="B2736" s="3">
        <v>12</v>
      </c>
      <c r="C2736" s="5">
        <v>365</v>
      </c>
      <c r="D2736" s="6">
        <v>0</v>
      </c>
      <c r="E2736" s="7">
        <v>706141</v>
      </c>
      <c r="F2736" s="3">
        <v>55105</v>
      </c>
      <c r="G2736" s="3" t="str">
        <f t="shared" si="43"/>
        <v>5</v>
      </c>
      <c r="H2736" s="3" t="s">
        <v>5023</v>
      </c>
      <c r="I2736" s="8">
        <v>2000</v>
      </c>
      <c r="J2736" s="8">
        <v>0</v>
      </c>
      <c r="K2736" s="8">
        <v>2000</v>
      </c>
    </row>
    <row r="2737" spans="1:11" hidden="1" x14ac:dyDescent="0.25">
      <c r="A2737" s="3" t="s">
        <v>5024</v>
      </c>
      <c r="B2737" s="3">
        <v>12</v>
      </c>
      <c r="C2737" s="5">
        <v>365</v>
      </c>
      <c r="D2737" s="6">
        <v>0</v>
      </c>
      <c r="E2737" s="7">
        <v>706141</v>
      </c>
      <c r="F2737" s="3">
        <v>55200</v>
      </c>
      <c r="G2737" s="3" t="str">
        <f t="shared" si="43"/>
        <v>5</v>
      </c>
      <c r="H2737" s="3" t="s">
        <v>5025</v>
      </c>
      <c r="I2737" s="8">
        <v>2295</v>
      </c>
      <c r="J2737" s="8">
        <v>0</v>
      </c>
      <c r="K2737" s="8">
        <v>2295</v>
      </c>
    </row>
    <row r="2738" spans="1:11" hidden="1" x14ac:dyDescent="0.25">
      <c r="A2738" s="3" t="s">
        <v>5026</v>
      </c>
      <c r="B2738" s="3">
        <v>12</v>
      </c>
      <c r="C2738" s="5">
        <v>365</v>
      </c>
      <c r="D2738" s="6">
        <v>0</v>
      </c>
      <c r="E2738" s="7">
        <v>706141</v>
      </c>
      <c r="F2738" s="3">
        <v>56400</v>
      </c>
      <c r="G2738" s="3" t="str">
        <f t="shared" si="43"/>
        <v>5</v>
      </c>
      <c r="H2738" s="3" t="s">
        <v>5027</v>
      </c>
      <c r="I2738" s="8">
        <v>15996</v>
      </c>
      <c r="J2738" s="8">
        <v>0</v>
      </c>
      <c r="K2738" s="8">
        <v>15996</v>
      </c>
    </row>
    <row r="2739" spans="1:11" hidden="1" x14ac:dyDescent="0.25">
      <c r="A2739" s="3" t="s">
        <v>5028</v>
      </c>
      <c r="B2739" s="3">
        <v>12</v>
      </c>
      <c r="C2739" s="5">
        <v>365</v>
      </c>
      <c r="D2739" s="6">
        <v>0</v>
      </c>
      <c r="E2739" s="7">
        <v>706141</v>
      </c>
      <c r="F2739" s="3">
        <v>56402</v>
      </c>
      <c r="G2739" s="3" t="str">
        <f t="shared" si="43"/>
        <v>5</v>
      </c>
      <c r="H2739" s="3" t="s">
        <v>5029</v>
      </c>
      <c r="I2739" s="8">
        <v>1906.84</v>
      </c>
      <c r="J2739" s="8">
        <v>0</v>
      </c>
      <c r="K2739" s="8">
        <v>1906.84</v>
      </c>
    </row>
    <row r="2740" spans="1:11" hidden="1" x14ac:dyDescent="0.25">
      <c r="A2740" s="3" t="s">
        <v>5030</v>
      </c>
      <c r="B2740" s="3">
        <v>12</v>
      </c>
      <c r="C2740" s="5">
        <v>365</v>
      </c>
      <c r="D2740" s="6">
        <v>0</v>
      </c>
      <c r="E2740" s="7">
        <v>707723</v>
      </c>
      <c r="F2740" s="3">
        <v>48627</v>
      </c>
      <c r="G2740" s="3" t="str">
        <f t="shared" si="43"/>
        <v>4</v>
      </c>
      <c r="H2740" s="3" t="s">
        <v>5031</v>
      </c>
      <c r="I2740" s="8">
        <v>-312082.65999999997</v>
      </c>
      <c r="J2740" s="8">
        <v>-214702.33</v>
      </c>
      <c r="K2740" s="8">
        <v>-312082.65999999997</v>
      </c>
    </row>
    <row r="2741" spans="1:11" hidden="1" x14ac:dyDescent="0.25">
      <c r="A2741" s="3" t="s">
        <v>5032</v>
      </c>
      <c r="B2741" s="3">
        <v>12</v>
      </c>
      <c r="C2741" s="5">
        <v>365</v>
      </c>
      <c r="D2741" s="6">
        <v>0</v>
      </c>
      <c r="E2741" s="7">
        <v>707723</v>
      </c>
      <c r="F2741" s="3">
        <v>51200</v>
      </c>
      <c r="G2741" s="3" t="str">
        <f t="shared" si="43"/>
        <v>5</v>
      </c>
      <c r="H2741" s="3" t="s">
        <v>5033</v>
      </c>
      <c r="I2741" s="8">
        <v>6038.73</v>
      </c>
      <c r="J2741" s="8">
        <v>0</v>
      </c>
      <c r="K2741" s="8">
        <v>6038.73</v>
      </c>
    </row>
    <row r="2742" spans="1:11" hidden="1" x14ac:dyDescent="0.25">
      <c r="A2742" s="3" t="s">
        <v>5034</v>
      </c>
      <c r="B2742" s="3">
        <v>12</v>
      </c>
      <c r="C2742" s="5">
        <v>365</v>
      </c>
      <c r="D2742" s="6">
        <v>0</v>
      </c>
      <c r="E2742" s="7">
        <v>707723</v>
      </c>
      <c r="F2742" s="3">
        <v>51210</v>
      </c>
      <c r="G2742" s="3" t="str">
        <f t="shared" si="43"/>
        <v>5</v>
      </c>
      <c r="H2742" s="3" t="s">
        <v>5035</v>
      </c>
      <c r="I2742" s="8">
        <v>48251</v>
      </c>
      <c r="J2742" s="8">
        <v>36403.79</v>
      </c>
      <c r="K2742" s="8">
        <v>48251</v>
      </c>
    </row>
    <row r="2743" spans="1:11" hidden="1" x14ac:dyDescent="0.25">
      <c r="A2743" s="3" t="s">
        <v>5036</v>
      </c>
      <c r="B2743" s="3">
        <v>12</v>
      </c>
      <c r="C2743" s="5">
        <v>365</v>
      </c>
      <c r="D2743" s="6">
        <v>0</v>
      </c>
      <c r="E2743" s="7">
        <v>707723</v>
      </c>
      <c r="F2743" s="3">
        <v>51412</v>
      </c>
      <c r="G2743" s="3" t="str">
        <f t="shared" si="43"/>
        <v>5</v>
      </c>
      <c r="H2743" s="3" t="s">
        <v>5037</v>
      </c>
      <c r="I2743" s="8">
        <v>0</v>
      </c>
      <c r="J2743" s="8">
        <v>0</v>
      </c>
      <c r="K2743" s="8">
        <v>0</v>
      </c>
    </row>
    <row r="2744" spans="1:11" hidden="1" x14ac:dyDescent="0.25">
      <c r="A2744" s="3" t="s">
        <v>5038</v>
      </c>
      <c r="B2744" s="3">
        <v>12</v>
      </c>
      <c r="C2744" s="5">
        <v>365</v>
      </c>
      <c r="D2744" s="6">
        <v>0</v>
      </c>
      <c r="E2744" s="7">
        <v>707723</v>
      </c>
      <c r="F2744" s="3">
        <v>52105</v>
      </c>
      <c r="G2744" s="3" t="str">
        <f t="shared" si="43"/>
        <v>5</v>
      </c>
      <c r="H2744" s="3" t="s">
        <v>5039</v>
      </c>
      <c r="I2744" s="8">
        <v>114141.09</v>
      </c>
      <c r="J2744" s="8">
        <v>93770.38</v>
      </c>
      <c r="K2744" s="8">
        <v>114141.09</v>
      </c>
    </row>
    <row r="2745" spans="1:11" hidden="1" x14ac:dyDescent="0.25">
      <c r="A2745" s="3" t="s">
        <v>5040</v>
      </c>
      <c r="B2745" s="3">
        <v>12</v>
      </c>
      <c r="C2745" s="5">
        <v>365</v>
      </c>
      <c r="D2745" s="6">
        <v>0</v>
      </c>
      <c r="E2745" s="7">
        <v>707723</v>
      </c>
      <c r="F2745" s="3">
        <v>52350</v>
      </c>
      <c r="G2745" s="3" t="str">
        <f t="shared" si="43"/>
        <v>5</v>
      </c>
      <c r="H2745" s="3" t="s">
        <v>5041</v>
      </c>
      <c r="I2745" s="8">
        <v>0</v>
      </c>
      <c r="J2745" s="8">
        <v>315</v>
      </c>
      <c r="K2745" s="8">
        <v>0</v>
      </c>
    </row>
    <row r="2746" spans="1:11" hidden="1" x14ac:dyDescent="0.25">
      <c r="A2746" s="3" t="s">
        <v>5042</v>
      </c>
      <c r="B2746" s="3">
        <v>12</v>
      </c>
      <c r="C2746" s="5">
        <v>365</v>
      </c>
      <c r="D2746" s="6">
        <v>0</v>
      </c>
      <c r="E2746" s="7">
        <v>707723</v>
      </c>
      <c r="F2746" s="3">
        <v>52360</v>
      </c>
      <c r="G2746" s="3" t="str">
        <f t="shared" si="43"/>
        <v>5</v>
      </c>
      <c r="H2746" s="3" t="s">
        <v>5043</v>
      </c>
      <c r="I2746" s="8">
        <v>18025</v>
      </c>
      <c r="J2746" s="8">
        <v>16761.25</v>
      </c>
      <c r="K2746" s="8">
        <v>18025</v>
      </c>
    </row>
    <row r="2747" spans="1:11" hidden="1" x14ac:dyDescent="0.25">
      <c r="A2747" s="3" t="s">
        <v>5044</v>
      </c>
      <c r="B2747" s="3">
        <v>12</v>
      </c>
      <c r="C2747" s="5">
        <v>365</v>
      </c>
      <c r="D2747" s="6">
        <v>0</v>
      </c>
      <c r="E2747" s="7">
        <v>707723</v>
      </c>
      <c r="F2747" s="3">
        <v>53000</v>
      </c>
      <c r="G2747" s="3" t="str">
        <f t="shared" si="43"/>
        <v>5</v>
      </c>
      <c r="H2747" s="3" t="s">
        <v>5045</v>
      </c>
      <c r="I2747" s="8">
        <v>1416.18</v>
      </c>
      <c r="J2747" s="8">
        <v>0</v>
      </c>
      <c r="K2747" s="8">
        <v>1416.18</v>
      </c>
    </row>
    <row r="2748" spans="1:11" hidden="1" x14ac:dyDescent="0.25">
      <c r="A2748" s="3" t="s">
        <v>5046</v>
      </c>
      <c r="B2748" s="3">
        <v>12</v>
      </c>
      <c r="C2748" s="5">
        <v>365</v>
      </c>
      <c r="D2748" s="6">
        <v>0</v>
      </c>
      <c r="E2748" s="7">
        <v>707723</v>
      </c>
      <c r="F2748" s="3">
        <v>53120</v>
      </c>
      <c r="G2748" s="3" t="str">
        <f t="shared" si="43"/>
        <v>5</v>
      </c>
      <c r="H2748" s="3" t="s">
        <v>5047</v>
      </c>
      <c r="I2748" s="8">
        <v>8995</v>
      </c>
      <c r="J2748" s="8">
        <v>5879.2</v>
      </c>
      <c r="K2748" s="8">
        <v>8995</v>
      </c>
    </row>
    <row r="2749" spans="1:11" hidden="1" x14ac:dyDescent="0.25">
      <c r="A2749" s="3" t="s">
        <v>5048</v>
      </c>
      <c r="B2749" s="3">
        <v>12</v>
      </c>
      <c r="C2749" s="5">
        <v>365</v>
      </c>
      <c r="D2749" s="6">
        <v>0</v>
      </c>
      <c r="E2749" s="7">
        <v>707723</v>
      </c>
      <c r="F2749" s="3">
        <v>53220</v>
      </c>
      <c r="G2749" s="3" t="str">
        <f t="shared" si="43"/>
        <v>5</v>
      </c>
      <c r="H2749" s="3" t="s">
        <v>5049</v>
      </c>
      <c r="I2749" s="8">
        <v>25502</v>
      </c>
      <c r="J2749" s="8">
        <v>20570.79</v>
      </c>
      <c r="K2749" s="8">
        <v>25502</v>
      </c>
    </row>
    <row r="2750" spans="1:11" hidden="1" x14ac:dyDescent="0.25">
      <c r="A2750" s="3" t="s">
        <v>5050</v>
      </c>
      <c r="B2750" s="3">
        <v>12</v>
      </c>
      <c r="C2750" s="5">
        <v>365</v>
      </c>
      <c r="D2750" s="6">
        <v>0</v>
      </c>
      <c r="E2750" s="7">
        <v>707723</v>
      </c>
      <c r="F2750" s="3">
        <v>53320</v>
      </c>
      <c r="G2750" s="3" t="str">
        <f t="shared" si="43"/>
        <v>5</v>
      </c>
      <c r="H2750" s="3" t="s">
        <v>5051</v>
      </c>
      <c r="I2750" s="8">
        <v>8843</v>
      </c>
      <c r="J2750" s="8">
        <v>6759.65</v>
      </c>
      <c r="K2750" s="8">
        <v>8843</v>
      </c>
    </row>
    <row r="2751" spans="1:11" hidden="1" x14ac:dyDescent="0.25">
      <c r="A2751" s="3" t="s">
        <v>5052</v>
      </c>
      <c r="B2751" s="3">
        <v>12</v>
      </c>
      <c r="C2751" s="5">
        <v>365</v>
      </c>
      <c r="D2751" s="6">
        <v>0</v>
      </c>
      <c r="E2751" s="7">
        <v>707723</v>
      </c>
      <c r="F2751" s="3">
        <v>53340</v>
      </c>
      <c r="G2751" s="3" t="str">
        <f t="shared" si="43"/>
        <v>5</v>
      </c>
      <c r="H2751" s="3" t="s">
        <v>5053</v>
      </c>
      <c r="I2751" s="8">
        <v>2881</v>
      </c>
      <c r="J2751" s="8">
        <v>2119.48</v>
      </c>
      <c r="K2751" s="8">
        <v>2881</v>
      </c>
    </row>
    <row r="2752" spans="1:11" hidden="1" x14ac:dyDescent="0.25">
      <c r="A2752" s="3" t="s">
        <v>5054</v>
      </c>
      <c r="B2752" s="3">
        <v>12</v>
      </c>
      <c r="C2752" s="5">
        <v>365</v>
      </c>
      <c r="D2752" s="6">
        <v>0</v>
      </c>
      <c r="E2752" s="7">
        <v>707723</v>
      </c>
      <c r="F2752" s="3">
        <v>53420</v>
      </c>
      <c r="G2752" s="3" t="str">
        <f t="shared" si="43"/>
        <v>5</v>
      </c>
      <c r="H2752" s="3" t="s">
        <v>5055</v>
      </c>
      <c r="I2752" s="8">
        <v>52155.58</v>
      </c>
      <c r="J2752" s="8">
        <v>43137.06</v>
      </c>
      <c r="K2752" s="8">
        <v>52155.58</v>
      </c>
    </row>
    <row r="2753" spans="1:11" hidden="1" x14ac:dyDescent="0.25">
      <c r="A2753" s="3" t="s">
        <v>5056</v>
      </c>
      <c r="B2753" s="3">
        <v>12</v>
      </c>
      <c r="C2753" s="5">
        <v>365</v>
      </c>
      <c r="D2753" s="6">
        <v>0</v>
      </c>
      <c r="E2753" s="7">
        <v>707723</v>
      </c>
      <c r="F2753" s="3">
        <v>53520</v>
      </c>
      <c r="G2753" s="3" t="str">
        <f t="shared" si="43"/>
        <v>5</v>
      </c>
      <c r="H2753" s="3" t="s">
        <v>5057</v>
      </c>
      <c r="I2753" s="8">
        <v>95</v>
      </c>
      <c r="J2753" s="8">
        <v>73.48</v>
      </c>
      <c r="K2753" s="8">
        <v>95</v>
      </c>
    </row>
    <row r="2754" spans="1:11" hidden="1" x14ac:dyDescent="0.25">
      <c r="A2754" s="3" t="s">
        <v>5058</v>
      </c>
      <c r="B2754" s="3">
        <v>12</v>
      </c>
      <c r="C2754" s="5">
        <v>365</v>
      </c>
      <c r="D2754" s="6">
        <v>0</v>
      </c>
      <c r="E2754" s="7">
        <v>707723</v>
      </c>
      <c r="F2754" s="3">
        <v>53620</v>
      </c>
      <c r="G2754" s="3" t="str">
        <f t="shared" si="43"/>
        <v>5</v>
      </c>
      <c r="H2754" s="3" t="s">
        <v>5059</v>
      </c>
      <c r="I2754" s="8">
        <v>3758</v>
      </c>
      <c r="J2754" s="8">
        <v>2788.01</v>
      </c>
      <c r="K2754" s="8">
        <v>3758</v>
      </c>
    </row>
    <row r="2755" spans="1:11" hidden="1" x14ac:dyDescent="0.25">
      <c r="A2755" s="3" t="s">
        <v>5060</v>
      </c>
      <c r="B2755" s="3">
        <v>12</v>
      </c>
      <c r="C2755" s="5">
        <v>365</v>
      </c>
      <c r="D2755" s="6">
        <v>0</v>
      </c>
      <c r="E2755" s="7">
        <v>707723</v>
      </c>
      <c r="F2755" s="3">
        <v>53920</v>
      </c>
      <c r="G2755" s="3" t="str">
        <f t="shared" si="43"/>
        <v>5</v>
      </c>
      <c r="H2755" s="3" t="s">
        <v>5061</v>
      </c>
      <c r="I2755" s="8">
        <v>3120</v>
      </c>
      <c r="J2755" s="8">
        <v>1987.66</v>
      </c>
      <c r="K2755" s="8">
        <v>3120</v>
      </c>
    </row>
    <row r="2756" spans="1:11" hidden="1" x14ac:dyDescent="0.25">
      <c r="A2756" s="3" t="s">
        <v>5062</v>
      </c>
      <c r="B2756" s="3">
        <v>12</v>
      </c>
      <c r="C2756" s="5">
        <v>365</v>
      </c>
      <c r="D2756" s="6">
        <v>0</v>
      </c>
      <c r="E2756" s="7">
        <v>707723</v>
      </c>
      <c r="F2756" s="3">
        <v>54300</v>
      </c>
      <c r="G2756" s="3" t="str">
        <f t="shared" si="43"/>
        <v>5</v>
      </c>
      <c r="H2756" s="3" t="s">
        <v>5063</v>
      </c>
      <c r="I2756" s="8">
        <v>2000</v>
      </c>
      <c r="J2756" s="8">
        <v>1579.45</v>
      </c>
      <c r="K2756" s="8">
        <v>2000</v>
      </c>
    </row>
    <row r="2757" spans="1:11" hidden="1" x14ac:dyDescent="0.25">
      <c r="A2757" s="3" t="s">
        <v>5064</v>
      </c>
      <c r="B2757" s="3">
        <v>12</v>
      </c>
      <c r="C2757" s="5">
        <v>365</v>
      </c>
      <c r="D2757" s="6">
        <v>0</v>
      </c>
      <c r="E2757" s="7">
        <v>707723</v>
      </c>
      <c r="F2757" s="3">
        <v>55200</v>
      </c>
      <c r="G2757" s="3" t="str">
        <f t="shared" si="43"/>
        <v>5</v>
      </c>
      <c r="H2757" s="3" t="s">
        <v>5065</v>
      </c>
      <c r="I2757" s="8">
        <v>1000</v>
      </c>
      <c r="J2757" s="8">
        <v>0</v>
      </c>
      <c r="K2757" s="8">
        <v>1000</v>
      </c>
    </row>
    <row r="2758" spans="1:11" hidden="1" x14ac:dyDescent="0.25">
      <c r="A2758" s="3" t="s">
        <v>5066</v>
      </c>
      <c r="B2758" s="3">
        <v>12</v>
      </c>
      <c r="C2758" s="5">
        <v>365</v>
      </c>
      <c r="D2758" s="6">
        <v>0</v>
      </c>
      <c r="E2758" s="7">
        <v>707723</v>
      </c>
      <c r="F2758" s="3">
        <v>55550</v>
      </c>
      <c r="G2758" s="3" t="str">
        <f t="shared" si="43"/>
        <v>5</v>
      </c>
      <c r="H2758" s="3" t="s">
        <v>5067</v>
      </c>
      <c r="I2758" s="8">
        <v>1000</v>
      </c>
      <c r="J2758" s="8">
        <v>330.97</v>
      </c>
      <c r="K2758" s="8">
        <v>1000</v>
      </c>
    </row>
    <row r="2759" spans="1:11" hidden="1" x14ac:dyDescent="0.25">
      <c r="A2759" s="3" t="s">
        <v>5068</v>
      </c>
      <c r="B2759" s="3">
        <v>12</v>
      </c>
      <c r="C2759" s="5">
        <v>365</v>
      </c>
      <c r="D2759" s="6">
        <v>0</v>
      </c>
      <c r="E2759" s="7">
        <v>707723</v>
      </c>
      <c r="F2759" s="3">
        <v>55630</v>
      </c>
      <c r="G2759" s="3" t="str">
        <f t="shared" si="43"/>
        <v>5</v>
      </c>
      <c r="H2759" s="3" t="s">
        <v>5069</v>
      </c>
      <c r="I2759" s="8">
        <v>0</v>
      </c>
      <c r="J2759" s="8">
        <v>48.61</v>
      </c>
      <c r="K2759" s="8">
        <v>0</v>
      </c>
    </row>
    <row r="2760" spans="1:11" hidden="1" x14ac:dyDescent="0.25">
      <c r="A2760" s="3" t="s">
        <v>5070</v>
      </c>
      <c r="B2760" s="3">
        <v>12</v>
      </c>
      <c r="C2760" s="5">
        <v>365</v>
      </c>
      <c r="D2760" s="6">
        <v>0</v>
      </c>
      <c r="E2760" s="7">
        <v>707723</v>
      </c>
      <c r="F2760" s="3">
        <v>56400</v>
      </c>
      <c r="G2760" s="3" t="str">
        <f t="shared" si="43"/>
        <v>5</v>
      </c>
      <c r="H2760" s="3" t="s">
        <v>5071</v>
      </c>
      <c r="I2760" s="8">
        <v>0</v>
      </c>
      <c r="J2760" s="8">
        <v>0</v>
      </c>
      <c r="K2760" s="8">
        <v>0</v>
      </c>
    </row>
    <row r="2761" spans="1:11" hidden="1" x14ac:dyDescent="0.25">
      <c r="A2761" s="3" t="s">
        <v>5072</v>
      </c>
      <c r="B2761" s="3">
        <v>12</v>
      </c>
      <c r="C2761" s="5">
        <v>365</v>
      </c>
      <c r="D2761" s="6">
        <v>0</v>
      </c>
      <c r="E2761" s="7">
        <v>707723</v>
      </c>
      <c r="F2761" s="3">
        <v>57350</v>
      </c>
      <c r="G2761" s="3" t="str">
        <f t="shared" si="43"/>
        <v>5</v>
      </c>
      <c r="H2761" s="3" t="s">
        <v>5073</v>
      </c>
      <c r="I2761" s="8">
        <v>14861.08</v>
      </c>
      <c r="J2761" s="8">
        <v>8188.9</v>
      </c>
      <c r="K2761" s="8">
        <v>14861.08</v>
      </c>
    </row>
    <row r="2762" spans="1:11" hidden="1" x14ac:dyDescent="0.25">
      <c r="A2762" s="3" t="s">
        <v>5074</v>
      </c>
      <c r="B2762" s="3">
        <v>12</v>
      </c>
      <c r="C2762" s="5">
        <v>365</v>
      </c>
      <c r="D2762" s="6">
        <v>0</v>
      </c>
      <c r="E2762" s="7">
        <v>707733</v>
      </c>
      <c r="F2762" s="3">
        <v>48627</v>
      </c>
      <c r="G2762" s="3" t="str">
        <f t="shared" si="43"/>
        <v>4</v>
      </c>
      <c r="H2762" s="3" t="s">
        <v>5075</v>
      </c>
      <c r="I2762" s="8">
        <v>-410163.13</v>
      </c>
      <c r="J2762" s="8">
        <v>-338841.71</v>
      </c>
      <c r="K2762" s="8">
        <v>-410163.13</v>
      </c>
    </row>
    <row r="2763" spans="1:11" hidden="1" x14ac:dyDescent="0.25">
      <c r="A2763" s="3" t="s">
        <v>5076</v>
      </c>
      <c r="B2763" s="3">
        <v>12</v>
      </c>
      <c r="C2763" s="5">
        <v>365</v>
      </c>
      <c r="D2763" s="6">
        <v>0</v>
      </c>
      <c r="E2763" s="7">
        <v>707733</v>
      </c>
      <c r="F2763" s="3">
        <v>51210</v>
      </c>
      <c r="G2763" s="3" t="str">
        <f t="shared" si="43"/>
        <v>5</v>
      </c>
      <c r="H2763" s="3" t="s">
        <v>5077</v>
      </c>
      <c r="I2763" s="8">
        <v>102554</v>
      </c>
      <c r="J2763" s="8">
        <v>56310.19</v>
      </c>
      <c r="K2763" s="8">
        <v>102554</v>
      </c>
    </row>
    <row r="2764" spans="1:11" hidden="1" x14ac:dyDescent="0.25">
      <c r="A2764" s="3" t="s">
        <v>5078</v>
      </c>
      <c r="B2764" s="3">
        <v>12</v>
      </c>
      <c r="C2764" s="5">
        <v>365</v>
      </c>
      <c r="D2764" s="6">
        <v>0</v>
      </c>
      <c r="E2764" s="7">
        <v>707733</v>
      </c>
      <c r="F2764" s="3">
        <v>52105</v>
      </c>
      <c r="G2764" s="3" t="str">
        <f t="shared" si="43"/>
        <v>5</v>
      </c>
      <c r="H2764" s="3" t="s">
        <v>5079</v>
      </c>
      <c r="I2764" s="8">
        <v>91754</v>
      </c>
      <c r="J2764" s="8">
        <v>63972.29</v>
      </c>
      <c r="K2764" s="8">
        <v>91754</v>
      </c>
    </row>
    <row r="2765" spans="1:11" hidden="1" x14ac:dyDescent="0.25">
      <c r="A2765" s="3" t="s">
        <v>5080</v>
      </c>
      <c r="B2765" s="3">
        <v>12</v>
      </c>
      <c r="C2765" s="5">
        <v>365</v>
      </c>
      <c r="D2765" s="6">
        <v>0</v>
      </c>
      <c r="E2765" s="7">
        <v>707733</v>
      </c>
      <c r="F2765" s="3">
        <v>52360</v>
      </c>
      <c r="G2765" s="3" t="str">
        <f t="shared" si="43"/>
        <v>5</v>
      </c>
      <c r="H2765" s="3" t="s">
        <v>5081</v>
      </c>
      <c r="I2765" s="8">
        <v>10800</v>
      </c>
      <c r="J2765" s="8">
        <v>7095</v>
      </c>
      <c r="K2765" s="8">
        <v>10800</v>
      </c>
    </row>
    <row r="2766" spans="1:11" hidden="1" x14ac:dyDescent="0.25">
      <c r="A2766" s="3" t="s">
        <v>5082</v>
      </c>
      <c r="B2766" s="3">
        <v>12</v>
      </c>
      <c r="C2766" s="5">
        <v>365</v>
      </c>
      <c r="D2766" s="6">
        <v>0</v>
      </c>
      <c r="E2766" s="7">
        <v>707733</v>
      </c>
      <c r="F2766" s="3">
        <v>53120</v>
      </c>
      <c r="G2766" s="3" t="str">
        <f t="shared" si="43"/>
        <v>5</v>
      </c>
      <c r="H2766" s="3" t="s">
        <v>5083</v>
      </c>
      <c r="I2766" s="8">
        <v>18134</v>
      </c>
      <c r="J2766" s="8">
        <v>9094.0499999999993</v>
      </c>
      <c r="K2766" s="8">
        <v>18134</v>
      </c>
    </row>
    <row r="2767" spans="1:11" hidden="1" x14ac:dyDescent="0.25">
      <c r="A2767" s="3" t="s">
        <v>5084</v>
      </c>
      <c r="B2767" s="3">
        <v>12</v>
      </c>
      <c r="C2767" s="5">
        <v>365</v>
      </c>
      <c r="D2767" s="6">
        <v>0</v>
      </c>
      <c r="E2767" s="7">
        <v>707733</v>
      </c>
      <c r="F2767" s="3">
        <v>53220</v>
      </c>
      <c r="G2767" s="3" t="str">
        <f t="shared" si="43"/>
        <v>5</v>
      </c>
      <c r="H2767" s="3" t="s">
        <v>5085</v>
      </c>
      <c r="I2767" s="8">
        <v>24774</v>
      </c>
      <c r="J2767" s="8">
        <v>13115.94</v>
      </c>
      <c r="K2767" s="8">
        <v>24774</v>
      </c>
    </row>
    <row r="2768" spans="1:11" hidden="1" x14ac:dyDescent="0.25">
      <c r="A2768" s="3" t="s">
        <v>5086</v>
      </c>
      <c r="B2768" s="3">
        <v>12</v>
      </c>
      <c r="C2768" s="5">
        <v>365</v>
      </c>
      <c r="D2768" s="6">
        <v>0</v>
      </c>
      <c r="E2768" s="7">
        <v>707733</v>
      </c>
      <c r="F2768" s="3">
        <v>53320</v>
      </c>
      <c r="G2768" s="3" t="str">
        <f t="shared" si="43"/>
        <v>5</v>
      </c>
      <c r="H2768" s="3" t="s">
        <v>5087</v>
      </c>
      <c r="I2768" s="8">
        <v>6358</v>
      </c>
      <c r="J2768" s="8">
        <v>4334.57</v>
      </c>
      <c r="K2768" s="8">
        <v>6358</v>
      </c>
    </row>
    <row r="2769" spans="1:11" hidden="1" x14ac:dyDescent="0.25">
      <c r="A2769" s="3" t="s">
        <v>5088</v>
      </c>
      <c r="B2769" s="3">
        <v>12</v>
      </c>
      <c r="C2769" s="5">
        <v>365</v>
      </c>
      <c r="D2769" s="6">
        <v>0</v>
      </c>
      <c r="E2769" s="7">
        <v>707733</v>
      </c>
      <c r="F2769" s="3">
        <v>53340</v>
      </c>
      <c r="G2769" s="3" t="str">
        <f t="shared" si="43"/>
        <v>5</v>
      </c>
      <c r="H2769" s="3" t="s">
        <v>5089</v>
      </c>
      <c r="I2769" s="8">
        <v>2174</v>
      </c>
      <c r="J2769" s="8">
        <v>1830.73</v>
      </c>
      <c r="K2769" s="8">
        <v>2174</v>
      </c>
    </row>
    <row r="2770" spans="1:11" hidden="1" x14ac:dyDescent="0.25">
      <c r="A2770" s="3" t="s">
        <v>5090</v>
      </c>
      <c r="B2770" s="3">
        <v>12</v>
      </c>
      <c r="C2770" s="5">
        <v>365</v>
      </c>
      <c r="D2770" s="6">
        <v>0</v>
      </c>
      <c r="E2770" s="7">
        <v>707733</v>
      </c>
      <c r="F2770" s="3">
        <v>53420</v>
      </c>
      <c r="G2770" s="3" t="str">
        <f t="shared" si="43"/>
        <v>5</v>
      </c>
      <c r="H2770" s="3" t="s">
        <v>5091</v>
      </c>
      <c r="I2770" s="8">
        <v>67993</v>
      </c>
      <c r="J2770" s="8">
        <v>45912.12</v>
      </c>
      <c r="K2770" s="8">
        <v>67993</v>
      </c>
    </row>
    <row r="2771" spans="1:11" hidden="1" x14ac:dyDescent="0.25">
      <c r="A2771" s="3" t="s">
        <v>5092</v>
      </c>
      <c r="B2771" s="3">
        <v>12</v>
      </c>
      <c r="C2771" s="5">
        <v>365</v>
      </c>
      <c r="D2771" s="6">
        <v>0</v>
      </c>
      <c r="E2771" s="7">
        <v>707733</v>
      </c>
      <c r="F2771" s="3">
        <v>53520</v>
      </c>
      <c r="G2771" s="3" t="str">
        <f t="shared" si="43"/>
        <v>5</v>
      </c>
      <c r="H2771" s="3" t="s">
        <v>5093</v>
      </c>
      <c r="I2771" s="8">
        <v>80</v>
      </c>
      <c r="J2771" s="8">
        <v>63.73</v>
      </c>
      <c r="K2771" s="8">
        <v>80</v>
      </c>
    </row>
    <row r="2772" spans="1:11" hidden="1" x14ac:dyDescent="0.25">
      <c r="A2772" s="3" t="s">
        <v>5094</v>
      </c>
      <c r="B2772" s="3">
        <v>12</v>
      </c>
      <c r="C2772" s="5">
        <v>365</v>
      </c>
      <c r="D2772" s="6">
        <v>0</v>
      </c>
      <c r="E2772" s="7">
        <v>707733</v>
      </c>
      <c r="F2772" s="3">
        <v>53620</v>
      </c>
      <c r="G2772" s="3" t="str">
        <f t="shared" si="43"/>
        <v>5</v>
      </c>
      <c r="H2772" s="3" t="s">
        <v>5095</v>
      </c>
      <c r="I2772" s="8">
        <v>2758</v>
      </c>
      <c r="J2772" s="8">
        <v>2412.9</v>
      </c>
      <c r="K2772" s="8">
        <v>2758</v>
      </c>
    </row>
    <row r="2773" spans="1:11" hidden="1" x14ac:dyDescent="0.25">
      <c r="A2773" s="3" t="s">
        <v>5096</v>
      </c>
      <c r="B2773" s="3">
        <v>12</v>
      </c>
      <c r="C2773" s="5">
        <v>365</v>
      </c>
      <c r="D2773" s="6">
        <v>0</v>
      </c>
      <c r="E2773" s="7">
        <v>707733</v>
      </c>
      <c r="F2773" s="3">
        <v>53920</v>
      </c>
      <c r="G2773" s="3" t="str">
        <f t="shared" si="43"/>
        <v>5</v>
      </c>
      <c r="H2773" s="3" t="s">
        <v>5097</v>
      </c>
      <c r="I2773" s="8">
        <v>0</v>
      </c>
      <c r="J2773" s="8">
        <v>184.67</v>
      </c>
      <c r="K2773" s="8">
        <v>0</v>
      </c>
    </row>
    <row r="2774" spans="1:11" hidden="1" x14ac:dyDescent="0.25">
      <c r="A2774" s="3" t="s">
        <v>5098</v>
      </c>
      <c r="B2774" s="3">
        <v>12</v>
      </c>
      <c r="C2774" s="5">
        <v>365</v>
      </c>
      <c r="D2774" s="6">
        <v>0</v>
      </c>
      <c r="E2774" s="7">
        <v>707733</v>
      </c>
      <c r="F2774" s="3">
        <v>54300</v>
      </c>
      <c r="G2774" s="3" t="str">
        <f t="shared" si="43"/>
        <v>5</v>
      </c>
      <c r="H2774" s="3" t="s">
        <v>5099</v>
      </c>
      <c r="I2774" s="8">
        <v>2000</v>
      </c>
      <c r="J2774" s="8">
        <v>43</v>
      </c>
      <c r="K2774" s="8">
        <v>2000</v>
      </c>
    </row>
    <row r="2775" spans="1:11" hidden="1" x14ac:dyDescent="0.25">
      <c r="A2775" s="3" t="s">
        <v>5100</v>
      </c>
      <c r="B2775" s="3">
        <v>12</v>
      </c>
      <c r="C2775" s="5">
        <v>365</v>
      </c>
      <c r="D2775" s="6">
        <v>0</v>
      </c>
      <c r="E2775" s="7">
        <v>707733</v>
      </c>
      <c r="F2775" s="3">
        <v>55105</v>
      </c>
      <c r="G2775" s="3" t="str">
        <f t="shared" si="43"/>
        <v>5</v>
      </c>
      <c r="H2775" s="3" t="s">
        <v>5101</v>
      </c>
      <c r="I2775" s="8">
        <v>42000.13</v>
      </c>
      <c r="J2775" s="8">
        <v>5058.8900000000003</v>
      </c>
      <c r="K2775" s="8">
        <v>42000.13</v>
      </c>
    </row>
    <row r="2776" spans="1:11" hidden="1" x14ac:dyDescent="0.25">
      <c r="A2776" s="3" t="s">
        <v>5102</v>
      </c>
      <c r="B2776" s="3">
        <v>12</v>
      </c>
      <c r="C2776" s="5">
        <v>365</v>
      </c>
      <c r="D2776" s="6">
        <v>0</v>
      </c>
      <c r="E2776" s="7">
        <v>707733</v>
      </c>
      <c r="F2776" s="3">
        <v>55125</v>
      </c>
      <c r="G2776" s="3" t="str">
        <f t="shared" si="43"/>
        <v>5</v>
      </c>
      <c r="H2776" s="3" t="s">
        <v>5103</v>
      </c>
      <c r="I2776" s="8">
        <v>0</v>
      </c>
      <c r="J2776" s="8">
        <v>0</v>
      </c>
      <c r="K2776" s="8">
        <v>0</v>
      </c>
    </row>
    <row r="2777" spans="1:11" hidden="1" x14ac:dyDescent="0.25">
      <c r="A2777" s="3" t="s">
        <v>5104</v>
      </c>
      <c r="B2777" s="3">
        <v>12</v>
      </c>
      <c r="C2777" s="5">
        <v>365</v>
      </c>
      <c r="D2777" s="6">
        <v>0</v>
      </c>
      <c r="E2777" s="7">
        <v>707733</v>
      </c>
      <c r="F2777" s="3">
        <v>55200</v>
      </c>
      <c r="G2777" s="3" t="str">
        <f t="shared" si="43"/>
        <v>5</v>
      </c>
      <c r="H2777" s="3" t="s">
        <v>5105</v>
      </c>
      <c r="I2777" s="8">
        <v>3000</v>
      </c>
      <c r="J2777" s="8">
        <v>350</v>
      </c>
      <c r="K2777" s="8">
        <v>3000</v>
      </c>
    </row>
    <row r="2778" spans="1:11" hidden="1" x14ac:dyDescent="0.25">
      <c r="A2778" s="3" t="s">
        <v>5106</v>
      </c>
      <c r="B2778" s="3">
        <v>12</v>
      </c>
      <c r="C2778" s="5">
        <v>365</v>
      </c>
      <c r="D2778" s="6">
        <v>0</v>
      </c>
      <c r="E2778" s="7">
        <v>707733</v>
      </c>
      <c r="F2778" s="3">
        <v>55300</v>
      </c>
      <c r="G2778" s="3" t="str">
        <f t="shared" si="43"/>
        <v>5</v>
      </c>
      <c r="H2778" s="3" t="s">
        <v>5107</v>
      </c>
      <c r="I2778" s="8">
        <v>3450</v>
      </c>
      <c r="J2778" s="8">
        <v>2700</v>
      </c>
      <c r="K2778" s="8">
        <v>3450</v>
      </c>
    </row>
    <row r="2779" spans="1:11" hidden="1" x14ac:dyDescent="0.25">
      <c r="A2779" s="3" t="s">
        <v>5108</v>
      </c>
      <c r="B2779" s="3">
        <v>12</v>
      </c>
      <c r="C2779" s="5">
        <v>365</v>
      </c>
      <c r="D2779" s="6">
        <v>0</v>
      </c>
      <c r="E2779" s="7">
        <v>707733</v>
      </c>
      <c r="F2779" s="3">
        <v>55630</v>
      </c>
      <c r="G2779" s="3" t="str">
        <f t="shared" ref="G2779:G2842" si="44">LEFT(F2779,1)</f>
        <v>5</v>
      </c>
      <c r="H2779" s="3" t="s">
        <v>5109</v>
      </c>
      <c r="I2779" s="8">
        <v>300</v>
      </c>
      <c r="J2779" s="8">
        <v>21.34</v>
      </c>
      <c r="K2779" s="8">
        <v>300</v>
      </c>
    </row>
    <row r="2780" spans="1:11" hidden="1" x14ac:dyDescent="0.25">
      <c r="A2780" s="3" t="s">
        <v>5110</v>
      </c>
      <c r="B2780" s="3">
        <v>12</v>
      </c>
      <c r="C2780" s="5">
        <v>365</v>
      </c>
      <c r="D2780" s="6">
        <v>0</v>
      </c>
      <c r="E2780" s="7">
        <v>707733</v>
      </c>
      <c r="F2780" s="3">
        <v>55800</v>
      </c>
      <c r="G2780" s="3" t="str">
        <f t="shared" si="44"/>
        <v>5</v>
      </c>
      <c r="H2780" s="3" t="s">
        <v>5111</v>
      </c>
      <c r="I2780" s="8">
        <v>761</v>
      </c>
      <c r="J2780" s="8">
        <v>0</v>
      </c>
      <c r="K2780" s="8">
        <v>761</v>
      </c>
    </row>
    <row r="2781" spans="1:11" hidden="1" x14ac:dyDescent="0.25">
      <c r="A2781" s="3" t="s">
        <v>5112</v>
      </c>
      <c r="B2781" s="3">
        <v>12</v>
      </c>
      <c r="C2781" s="5">
        <v>365</v>
      </c>
      <c r="D2781" s="6">
        <v>0</v>
      </c>
      <c r="E2781" s="7">
        <v>707733</v>
      </c>
      <c r="F2781" s="3">
        <v>55830</v>
      </c>
      <c r="G2781" s="3" t="str">
        <f t="shared" si="44"/>
        <v>5</v>
      </c>
      <c r="H2781" s="3" t="s">
        <v>5113</v>
      </c>
      <c r="I2781" s="8">
        <v>0</v>
      </c>
      <c r="J2781" s="8">
        <v>0</v>
      </c>
      <c r="K2781" s="8">
        <v>0</v>
      </c>
    </row>
    <row r="2782" spans="1:11" hidden="1" x14ac:dyDescent="0.25">
      <c r="A2782" s="3" t="s">
        <v>5114</v>
      </c>
      <c r="B2782" s="3">
        <v>12</v>
      </c>
      <c r="C2782" s="5">
        <v>365</v>
      </c>
      <c r="D2782" s="6">
        <v>0</v>
      </c>
      <c r="E2782" s="7">
        <v>707733</v>
      </c>
      <c r="F2782" s="3">
        <v>56400</v>
      </c>
      <c r="G2782" s="3" t="str">
        <f t="shared" si="44"/>
        <v>5</v>
      </c>
      <c r="H2782" s="3" t="s">
        <v>5115</v>
      </c>
      <c r="I2782" s="8">
        <v>0</v>
      </c>
      <c r="J2782" s="8">
        <v>0</v>
      </c>
      <c r="K2782" s="8">
        <v>0</v>
      </c>
    </row>
    <row r="2783" spans="1:11" hidden="1" x14ac:dyDescent="0.25">
      <c r="A2783" s="3" t="s">
        <v>5116</v>
      </c>
      <c r="B2783" s="3">
        <v>12</v>
      </c>
      <c r="C2783" s="5">
        <v>365</v>
      </c>
      <c r="D2783" s="6">
        <v>0</v>
      </c>
      <c r="E2783" s="7">
        <v>707733</v>
      </c>
      <c r="F2783" s="3">
        <v>57350</v>
      </c>
      <c r="G2783" s="3" t="str">
        <f t="shared" si="44"/>
        <v>5</v>
      </c>
      <c r="H2783" s="3" t="s">
        <v>5117</v>
      </c>
      <c r="I2783" s="8">
        <v>22523</v>
      </c>
      <c r="J2783" s="8">
        <v>6552.41</v>
      </c>
      <c r="K2783" s="8">
        <v>22523</v>
      </c>
    </row>
    <row r="2784" spans="1:11" hidden="1" x14ac:dyDescent="0.25">
      <c r="A2784" s="3" t="s">
        <v>5118</v>
      </c>
      <c r="B2784" s="3">
        <v>12</v>
      </c>
      <c r="C2784" s="5">
        <v>365</v>
      </c>
      <c r="D2784" s="6">
        <v>0</v>
      </c>
      <c r="E2784" s="7">
        <v>707733</v>
      </c>
      <c r="F2784" s="3">
        <v>57351</v>
      </c>
      <c r="G2784" s="3" t="str">
        <f t="shared" si="44"/>
        <v>5</v>
      </c>
      <c r="H2784" s="3" t="s">
        <v>5119</v>
      </c>
      <c r="I2784" s="8">
        <v>8750</v>
      </c>
      <c r="J2784" s="8">
        <v>0</v>
      </c>
      <c r="K2784" s="8">
        <v>8750</v>
      </c>
    </row>
    <row r="2785" spans="1:11" hidden="1" x14ac:dyDescent="0.25">
      <c r="A2785" s="3" t="s">
        <v>5120</v>
      </c>
      <c r="B2785" s="3">
        <v>12</v>
      </c>
      <c r="C2785" s="5">
        <v>365</v>
      </c>
      <c r="D2785" s="6">
        <v>0</v>
      </c>
      <c r="E2785" s="7">
        <v>707734</v>
      </c>
      <c r="F2785" s="3">
        <v>48970</v>
      </c>
      <c r="G2785" s="3" t="str">
        <f t="shared" si="44"/>
        <v>4</v>
      </c>
      <c r="H2785" s="3" t="s">
        <v>5121</v>
      </c>
      <c r="I2785" s="8">
        <v>-3143089</v>
      </c>
      <c r="J2785" s="8">
        <v>-2058682.63</v>
      </c>
      <c r="K2785" s="8">
        <v>-3143089</v>
      </c>
    </row>
    <row r="2786" spans="1:11" hidden="1" x14ac:dyDescent="0.25">
      <c r="A2786" s="3" t="s">
        <v>5122</v>
      </c>
      <c r="B2786" s="3">
        <v>12</v>
      </c>
      <c r="C2786" s="5">
        <v>365</v>
      </c>
      <c r="D2786" s="6">
        <v>0</v>
      </c>
      <c r="E2786" s="7">
        <v>707734</v>
      </c>
      <c r="F2786" s="3">
        <v>57400</v>
      </c>
      <c r="G2786" s="3" t="str">
        <f t="shared" si="44"/>
        <v>5</v>
      </c>
      <c r="H2786" s="3" t="s">
        <v>5123</v>
      </c>
      <c r="I2786" s="8">
        <v>3143089</v>
      </c>
      <c r="J2786" s="8">
        <v>2329783.4500000002</v>
      </c>
      <c r="K2786" s="8">
        <v>3143089</v>
      </c>
    </row>
    <row r="2787" spans="1:11" hidden="1" x14ac:dyDescent="0.25">
      <c r="A2787" s="3" t="s">
        <v>5124</v>
      </c>
      <c r="B2787" s="3">
        <v>12</v>
      </c>
      <c r="C2787" s="5">
        <v>365</v>
      </c>
      <c r="D2787" s="6">
        <v>0</v>
      </c>
      <c r="E2787" s="7">
        <v>720014</v>
      </c>
      <c r="F2787" s="3">
        <v>48627</v>
      </c>
      <c r="G2787" s="3" t="str">
        <f t="shared" si="44"/>
        <v>4</v>
      </c>
      <c r="H2787" s="3" t="s">
        <v>5125</v>
      </c>
      <c r="I2787" s="8">
        <v>-736326.02</v>
      </c>
      <c r="J2787" s="8">
        <v>-365717.49</v>
      </c>
      <c r="K2787" s="8">
        <v>-736326.02</v>
      </c>
    </row>
    <row r="2788" spans="1:11" hidden="1" x14ac:dyDescent="0.25">
      <c r="A2788" s="3" t="s">
        <v>5126</v>
      </c>
      <c r="B2788" s="3">
        <v>12</v>
      </c>
      <c r="C2788" s="5">
        <v>365</v>
      </c>
      <c r="D2788" s="6">
        <v>0</v>
      </c>
      <c r="E2788" s="7">
        <v>720014</v>
      </c>
      <c r="F2788" s="3">
        <v>51412</v>
      </c>
      <c r="G2788" s="3" t="str">
        <f t="shared" si="44"/>
        <v>5</v>
      </c>
      <c r="H2788" s="3" t="s">
        <v>5127</v>
      </c>
      <c r="I2788" s="8">
        <v>30000</v>
      </c>
      <c r="J2788" s="8">
        <v>4250</v>
      </c>
      <c r="K2788" s="8">
        <v>30000</v>
      </c>
    </row>
    <row r="2789" spans="1:11" hidden="1" x14ac:dyDescent="0.25">
      <c r="A2789" s="3" t="s">
        <v>5128</v>
      </c>
      <c r="B2789" s="3">
        <v>12</v>
      </c>
      <c r="C2789" s="5">
        <v>365</v>
      </c>
      <c r="D2789" s="6">
        <v>0</v>
      </c>
      <c r="E2789" s="7">
        <v>720014</v>
      </c>
      <c r="F2789" s="3">
        <v>52200</v>
      </c>
      <c r="G2789" s="3" t="str">
        <f t="shared" si="44"/>
        <v>5</v>
      </c>
      <c r="H2789" s="3" t="s">
        <v>5129</v>
      </c>
      <c r="I2789" s="8">
        <v>169281</v>
      </c>
      <c r="J2789" s="8">
        <v>125613.01</v>
      </c>
      <c r="K2789" s="8">
        <v>169281</v>
      </c>
    </row>
    <row r="2790" spans="1:11" hidden="1" x14ac:dyDescent="0.25">
      <c r="A2790" s="3" t="s">
        <v>5130</v>
      </c>
      <c r="B2790" s="3">
        <v>12</v>
      </c>
      <c r="C2790" s="5">
        <v>365</v>
      </c>
      <c r="D2790" s="6">
        <v>0</v>
      </c>
      <c r="E2790" s="7">
        <v>720014</v>
      </c>
      <c r="F2790" s="3">
        <v>52350</v>
      </c>
      <c r="G2790" s="3" t="str">
        <f t="shared" si="44"/>
        <v>5</v>
      </c>
      <c r="H2790" s="3" t="s">
        <v>5131</v>
      </c>
      <c r="I2790" s="8">
        <v>75000</v>
      </c>
      <c r="J2790" s="8">
        <v>19431.38</v>
      </c>
      <c r="K2790" s="8">
        <v>75000</v>
      </c>
    </row>
    <row r="2791" spans="1:11" hidden="1" x14ac:dyDescent="0.25">
      <c r="A2791" s="3" t="s">
        <v>5132</v>
      </c>
      <c r="B2791" s="3">
        <v>12</v>
      </c>
      <c r="C2791" s="5">
        <v>365</v>
      </c>
      <c r="D2791" s="6">
        <v>0</v>
      </c>
      <c r="E2791" s="7">
        <v>720014</v>
      </c>
      <c r="F2791" s="3">
        <v>52360</v>
      </c>
      <c r="G2791" s="3" t="str">
        <f t="shared" si="44"/>
        <v>5</v>
      </c>
      <c r="H2791" s="3" t="s">
        <v>5133</v>
      </c>
      <c r="I2791" s="8">
        <v>20000</v>
      </c>
      <c r="J2791" s="8">
        <v>0</v>
      </c>
      <c r="K2791" s="8">
        <v>20000</v>
      </c>
    </row>
    <row r="2792" spans="1:11" hidden="1" x14ac:dyDescent="0.25">
      <c r="A2792" s="3" t="s">
        <v>5134</v>
      </c>
      <c r="B2792" s="3">
        <v>12</v>
      </c>
      <c r="C2792" s="5">
        <v>365</v>
      </c>
      <c r="D2792" s="6">
        <v>0</v>
      </c>
      <c r="E2792" s="7">
        <v>720014</v>
      </c>
      <c r="F2792" s="3">
        <v>53000</v>
      </c>
      <c r="G2792" s="3" t="str">
        <f t="shared" si="44"/>
        <v>5</v>
      </c>
      <c r="H2792" s="3" t="s">
        <v>5135</v>
      </c>
      <c r="I2792" s="8">
        <v>6980</v>
      </c>
      <c r="J2792" s="8">
        <v>0</v>
      </c>
      <c r="K2792" s="8">
        <v>6980</v>
      </c>
    </row>
    <row r="2793" spans="1:11" hidden="1" x14ac:dyDescent="0.25">
      <c r="A2793" s="3" t="s">
        <v>5136</v>
      </c>
      <c r="B2793" s="3">
        <v>12</v>
      </c>
      <c r="C2793" s="5">
        <v>365</v>
      </c>
      <c r="D2793" s="6">
        <v>0</v>
      </c>
      <c r="E2793" s="7">
        <v>720014</v>
      </c>
      <c r="F2793" s="3">
        <v>53120</v>
      </c>
      <c r="G2793" s="3" t="str">
        <f t="shared" si="44"/>
        <v>5</v>
      </c>
      <c r="H2793" s="3" t="s">
        <v>5137</v>
      </c>
      <c r="I2793" s="8">
        <v>3680</v>
      </c>
      <c r="J2793" s="8">
        <v>686.38</v>
      </c>
      <c r="K2793" s="8">
        <v>3680</v>
      </c>
    </row>
    <row r="2794" spans="1:11" hidden="1" x14ac:dyDescent="0.25">
      <c r="A2794" s="3" t="s">
        <v>5138</v>
      </c>
      <c r="B2794" s="3">
        <v>12</v>
      </c>
      <c r="C2794" s="5">
        <v>365</v>
      </c>
      <c r="D2794" s="6">
        <v>0</v>
      </c>
      <c r="E2794" s="7">
        <v>720014</v>
      </c>
      <c r="F2794" s="3">
        <v>53210</v>
      </c>
      <c r="G2794" s="3" t="str">
        <f t="shared" si="44"/>
        <v>5</v>
      </c>
      <c r="H2794" s="3" t="s">
        <v>5139</v>
      </c>
      <c r="I2794" s="8">
        <v>38427</v>
      </c>
      <c r="J2794" s="8">
        <v>25921.9</v>
      </c>
      <c r="K2794" s="8">
        <v>38427</v>
      </c>
    </row>
    <row r="2795" spans="1:11" hidden="1" x14ac:dyDescent="0.25">
      <c r="A2795" s="3" t="s">
        <v>5140</v>
      </c>
      <c r="B2795" s="3">
        <v>12</v>
      </c>
      <c r="C2795" s="5">
        <v>365</v>
      </c>
      <c r="D2795" s="6">
        <v>0</v>
      </c>
      <c r="E2795" s="7">
        <v>720014</v>
      </c>
      <c r="F2795" s="3">
        <v>53310</v>
      </c>
      <c r="G2795" s="3" t="str">
        <f t="shared" si="44"/>
        <v>5</v>
      </c>
      <c r="H2795" s="3" t="s">
        <v>5141</v>
      </c>
      <c r="I2795" s="8">
        <v>10495</v>
      </c>
      <c r="J2795" s="8">
        <v>7743.25</v>
      </c>
      <c r="K2795" s="8">
        <v>10495</v>
      </c>
    </row>
    <row r="2796" spans="1:11" hidden="1" x14ac:dyDescent="0.25">
      <c r="A2796" s="3" t="s">
        <v>5142</v>
      </c>
      <c r="B2796" s="3">
        <v>12</v>
      </c>
      <c r="C2796" s="5">
        <v>365</v>
      </c>
      <c r="D2796" s="6">
        <v>0</v>
      </c>
      <c r="E2796" s="7">
        <v>720014</v>
      </c>
      <c r="F2796" s="3">
        <v>53320</v>
      </c>
      <c r="G2796" s="3" t="str">
        <f t="shared" si="44"/>
        <v>5</v>
      </c>
      <c r="H2796" s="3" t="s">
        <v>5143</v>
      </c>
      <c r="I2796" s="8">
        <v>1240</v>
      </c>
      <c r="J2796" s="8">
        <v>0</v>
      </c>
      <c r="K2796" s="8">
        <v>1240</v>
      </c>
    </row>
    <row r="2797" spans="1:11" hidden="1" x14ac:dyDescent="0.25">
      <c r="A2797" s="3" t="s">
        <v>5144</v>
      </c>
      <c r="B2797" s="3">
        <v>12</v>
      </c>
      <c r="C2797" s="5">
        <v>365</v>
      </c>
      <c r="D2797" s="6">
        <v>0</v>
      </c>
      <c r="E2797" s="7">
        <v>720014</v>
      </c>
      <c r="F2797" s="3">
        <v>53330</v>
      </c>
      <c r="G2797" s="3" t="str">
        <f t="shared" si="44"/>
        <v>5</v>
      </c>
      <c r="H2797" s="3" t="s">
        <v>5145</v>
      </c>
      <c r="I2797" s="8">
        <v>2455</v>
      </c>
      <c r="J2797" s="8">
        <v>1810.93</v>
      </c>
      <c r="K2797" s="8">
        <v>2455</v>
      </c>
    </row>
    <row r="2798" spans="1:11" hidden="1" x14ac:dyDescent="0.25">
      <c r="A2798" s="3" t="s">
        <v>5146</v>
      </c>
      <c r="B2798" s="3">
        <v>12</v>
      </c>
      <c r="C2798" s="5">
        <v>365</v>
      </c>
      <c r="D2798" s="6">
        <v>0</v>
      </c>
      <c r="E2798" s="7">
        <v>720014</v>
      </c>
      <c r="F2798" s="3">
        <v>53340</v>
      </c>
      <c r="G2798" s="3" t="str">
        <f t="shared" si="44"/>
        <v>5</v>
      </c>
      <c r="H2798" s="3" t="s">
        <v>5147</v>
      </c>
      <c r="I2798" s="8">
        <v>580</v>
      </c>
      <c r="J2798" s="8">
        <v>61.63</v>
      </c>
      <c r="K2798" s="8">
        <v>580</v>
      </c>
    </row>
    <row r="2799" spans="1:11" hidden="1" x14ac:dyDescent="0.25">
      <c r="A2799" s="3" t="s">
        <v>5148</v>
      </c>
      <c r="B2799" s="3">
        <v>12</v>
      </c>
      <c r="C2799" s="5">
        <v>365</v>
      </c>
      <c r="D2799" s="6">
        <v>0</v>
      </c>
      <c r="E2799" s="7">
        <v>720014</v>
      </c>
      <c r="F2799" s="3">
        <v>53410</v>
      </c>
      <c r="G2799" s="3" t="str">
        <f t="shared" si="44"/>
        <v>5</v>
      </c>
      <c r="H2799" s="3" t="s">
        <v>5149</v>
      </c>
      <c r="I2799" s="8">
        <v>39820</v>
      </c>
      <c r="J2799" s="8">
        <v>29133.79</v>
      </c>
      <c r="K2799" s="8">
        <v>39820</v>
      </c>
    </row>
    <row r="2800" spans="1:11" hidden="1" x14ac:dyDescent="0.25">
      <c r="A2800" s="3" t="s">
        <v>5150</v>
      </c>
      <c r="B2800" s="3">
        <v>12</v>
      </c>
      <c r="C2800" s="5">
        <v>365</v>
      </c>
      <c r="D2800" s="6">
        <v>0</v>
      </c>
      <c r="E2800" s="7">
        <v>720014</v>
      </c>
      <c r="F2800" s="3">
        <v>53510</v>
      </c>
      <c r="G2800" s="3" t="str">
        <f t="shared" si="44"/>
        <v>5</v>
      </c>
      <c r="H2800" s="3" t="s">
        <v>5151</v>
      </c>
      <c r="I2800" s="8">
        <v>85</v>
      </c>
      <c r="J2800" s="8">
        <v>62.84</v>
      </c>
      <c r="K2800" s="8">
        <v>85</v>
      </c>
    </row>
    <row r="2801" spans="1:11" hidden="1" x14ac:dyDescent="0.25">
      <c r="A2801" s="3" t="s">
        <v>5152</v>
      </c>
      <c r="B2801" s="3">
        <v>12</v>
      </c>
      <c r="C2801" s="5">
        <v>365</v>
      </c>
      <c r="D2801" s="6">
        <v>0</v>
      </c>
      <c r="E2801" s="7">
        <v>720014</v>
      </c>
      <c r="F2801" s="3">
        <v>53520</v>
      </c>
      <c r="G2801" s="3" t="str">
        <f t="shared" si="44"/>
        <v>5</v>
      </c>
      <c r="H2801" s="3" t="s">
        <v>5153</v>
      </c>
      <c r="I2801" s="8">
        <v>20</v>
      </c>
      <c r="J2801" s="8">
        <v>2.13</v>
      </c>
      <c r="K2801" s="8">
        <v>20</v>
      </c>
    </row>
    <row r="2802" spans="1:11" hidden="1" x14ac:dyDescent="0.25">
      <c r="A2802" s="3" t="s">
        <v>5154</v>
      </c>
      <c r="B2802" s="3">
        <v>12</v>
      </c>
      <c r="C2802" s="5">
        <v>365</v>
      </c>
      <c r="D2802" s="6">
        <v>0</v>
      </c>
      <c r="E2802" s="7">
        <v>720014</v>
      </c>
      <c r="F2802" s="3">
        <v>53610</v>
      </c>
      <c r="G2802" s="3" t="str">
        <f t="shared" si="44"/>
        <v>5</v>
      </c>
      <c r="H2802" s="3" t="s">
        <v>5155</v>
      </c>
      <c r="I2802" s="8">
        <v>3058</v>
      </c>
      <c r="J2802" s="8">
        <v>2381.73</v>
      </c>
      <c r="K2802" s="8">
        <v>3058</v>
      </c>
    </row>
    <row r="2803" spans="1:11" hidden="1" x14ac:dyDescent="0.25">
      <c r="A2803" s="3" t="s">
        <v>5156</v>
      </c>
      <c r="B2803" s="3">
        <v>12</v>
      </c>
      <c r="C2803" s="5">
        <v>365</v>
      </c>
      <c r="D2803" s="6">
        <v>0</v>
      </c>
      <c r="E2803" s="7">
        <v>720014</v>
      </c>
      <c r="F2803" s="3">
        <v>53620</v>
      </c>
      <c r="G2803" s="3" t="str">
        <f t="shared" si="44"/>
        <v>5</v>
      </c>
      <c r="H2803" s="3" t="s">
        <v>5157</v>
      </c>
      <c r="I2803" s="8">
        <v>2077</v>
      </c>
      <c r="J2803" s="8">
        <v>447.74</v>
      </c>
      <c r="K2803" s="8">
        <v>2077</v>
      </c>
    </row>
    <row r="2804" spans="1:11" hidden="1" x14ac:dyDescent="0.25">
      <c r="A2804" s="3" t="s">
        <v>5158</v>
      </c>
      <c r="B2804" s="3">
        <v>12</v>
      </c>
      <c r="C2804" s="5">
        <v>365</v>
      </c>
      <c r="D2804" s="6">
        <v>0</v>
      </c>
      <c r="E2804" s="7">
        <v>720014</v>
      </c>
      <c r="F2804" s="3">
        <v>54300</v>
      </c>
      <c r="G2804" s="3" t="str">
        <f t="shared" si="44"/>
        <v>5</v>
      </c>
      <c r="H2804" s="3" t="s">
        <v>5159</v>
      </c>
      <c r="I2804" s="8">
        <v>1500</v>
      </c>
      <c r="J2804" s="8">
        <v>0</v>
      </c>
      <c r="K2804" s="8">
        <v>1500</v>
      </c>
    </row>
    <row r="2805" spans="1:11" hidden="1" x14ac:dyDescent="0.25">
      <c r="A2805" s="3" t="s">
        <v>5160</v>
      </c>
      <c r="B2805" s="3">
        <v>12</v>
      </c>
      <c r="C2805" s="5">
        <v>365</v>
      </c>
      <c r="D2805" s="6">
        <v>0</v>
      </c>
      <c r="E2805" s="7">
        <v>720014</v>
      </c>
      <c r="F2805" s="3">
        <v>55200</v>
      </c>
      <c r="G2805" s="3" t="str">
        <f t="shared" si="44"/>
        <v>5</v>
      </c>
      <c r="H2805" s="3" t="s">
        <v>5161</v>
      </c>
      <c r="I2805" s="8">
        <v>5000</v>
      </c>
      <c r="J2805" s="8">
        <v>0</v>
      </c>
      <c r="K2805" s="8">
        <v>5000</v>
      </c>
    </row>
    <row r="2806" spans="1:11" hidden="1" x14ac:dyDescent="0.25">
      <c r="A2806" s="3" t="s">
        <v>5162</v>
      </c>
      <c r="B2806" s="3">
        <v>12</v>
      </c>
      <c r="C2806" s="5">
        <v>365</v>
      </c>
      <c r="D2806" s="6">
        <v>0</v>
      </c>
      <c r="E2806" s="7">
        <v>720014</v>
      </c>
      <c r="F2806" s="3">
        <v>55800</v>
      </c>
      <c r="G2806" s="3" t="str">
        <f t="shared" si="44"/>
        <v>5</v>
      </c>
      <c r="H2806" s="3" t="s">
        <v>5163</v>
      </c>
      <c r="I2806" s="8">
        <v>295628.02</v>
      </c>
      <c r="J2806" s="8">
        <v>0</v>
      </c>
      <c r="K2806" s="8">
        <v>295628.02</v>
      </c>
    </row>
    <row r="2807" spans="1:11" hidden="1" x14ac:dyDescent="0.25">
      <c r="A2807" s="3" t="s">
        <v>5164</v>
      </c>
      <c r="B2807" s="3">
        <v>12</v>
      </c>
      <c r="C2807" s="5">
        <v>365</v>
      </c>
      <c r="D2807" s="6">
        <v>0</v>
      </c>
      <c r="E2807" s="7">
        <v>720014</v>
      </c>
      <c r="F2807" s="3">
        <v>56300</v>
      </c>
      <c r="G2807" s="3" t="str">
        <f t="shared" si="44"/>
        <v>5</v>
      </c>
      <c r="H2807" s="3" t="s">
        <v>5165</v>
      </c>
      <c r="I2807" s="8">
        <v>10000</v>
      </c>
      <c r="J2807" s="8">
        <v>2099</v>
      </c>
      <c r="K2807" s="8">
        <v>10000</v>
      </c>
    </row>
    <row r="2808" spans="1:11" hidden="1" x14ac:dyDescent="0.25">
      <c r="A2808" s="3" t="s">
        <v>5166</v>
      </c>
      <c r="B2808" s="3">
        <v>12</v>
      </c>
      <c r="C2808" s="5">
        <v>365</v>
      </c>
      <c r="D2808" s="6">
        <v>0</v>
      </c>
      <c r="E2808" s="7">
        <v>720014</v>
      </c>
      <c r="F2808" s="3">
        <v>56400</v>
      </c>
      <c r="G2808" s="3" t="str">
        <f t="shared" si="44"/>
        <v>5</v>
      </c>
      <c r="H2808" s="3" t="s">
        <v>5167</v>
      </c>
      <c r="I2808" s="8">
        <v>21000</v>
      </c>
      <c r="J2808" s="8">
        <v>0</v>
      </c>
      <c r="K2808" s="8">
        <v>21000</v>
      </c>
    </row>
    <row r="2809" spans="1:11" hidden="1" x14ac:dyDescent="0.25">
      <c r="A2809" s="3" t="s">
        <v>5168</v>
      </c>
      <c r="B2809" s="3">
        <v>12</v>
      </c>
      <c r="C2809" s="5">
        <v>365</v>
      </c>
      <c r="D2809" s="6">
        <v>0</v>
      </c>
      <c r="E2809" s="7">
        <v>720016</v>
      </c>
      <c r="F2809" s="3">
        <v>52360</v>
      </c>
      <c r="G2809" s="3" t="str">
        <f t="shared" si="44"/>
        <v>5</v>
      </c>
      <c r="H2809" s="3" t="s">
        <v>5169</v>
      </c>
      <c r="I2809" s="8">
        <v>0</v>
      </c>
      <c r="J2809" s="8">
        <v>0</v>
      </c>
      <c r="K2809" s="8">
        <v>0</v>
      </c>
    </row>
    <row r="2810" spans="1:11" hidden="1" x14ac:dyDescent="0.25">
      <c r="A2810" s="3" t="s">
        <v>5170</v>
      </c>
      <c r="B2810" s="3">
        <v>12</v>
      </c>
      <c r="C2810" s="5">
        <v>365</v>
      </c>
      <c r="D2810" s="6">
        <v>0</v>
      </c>
      <c r="E2810" s="7">
        <v>720016</v>
      </c>
      <c r="F2810" s="3">
        <v>53220</v>
      </c>
      <c r="G2810" s="3" t="str">
        <f t="shared" si="44"/>
        <v>5</v>
      </c>
      <c r="H2810" s="3" t="s">
        <v>5171</v>
      </c>
      <c r="I2810" s="8">
        <v>0</v>
      </c>
      <c r="J2810" s="8">
        <v>0</v>
      </c>
      <c r="K2810" s="8">
        <v>0</v>
      </c>
    </row>
    <row r="2811" spans="1:11" hidden="1" x14ac:dyDescent="0.25">
      <c r="A2811" s="3" t="s">
        <v>5172</v>
      </c>
      <c r="B2811" s="3">
        <v>12</v>
      </c>
      <c r="C2811" s="5">
        <v>365</v>
      </c>
      <c r="D2811" s="6">
        <v>0</v>
      </c>
      <c r="E2811" s="7">
        <v>720016</v>
      </c>
      <c r="F2811" s="3">
        <v>53320</v>
      </c>
      <c r="G2811" s="3" t="str">
        <f t="shared" si="44"/>
        <v>5</v>
      </c>
      <c r="H2811" s="3" t="s">
        <v>5173</v>
      </c>
      <c r="I2811" s="8">
        <v>0</v>
      </c>
      <c r="J2811" s="8">
        <v>0</v>
      </c>
      <c r="K2811" s="8">
        <v>0</v>
      </c>
    </row>
    <row r="2812" spans="1:11" hidden="1" x14ac:dyDescent="0.25">
      <c r="A2812" s="3" t="s">
        <v>5174</v>
      </c>
      <c r="B2812" s="3">
        <v>12</v>
      </c>
      <c r="C2812" s="5">
        <v>365</v>
      </c>
      <c r="D2812" s="6">
        <v>0</v>
      </c>
      <c r="E2812" s="7">
        <v>720016</v>
      </c>
      <c r="F2812" s="3">
        <v>53340</v>
      </c>
      <c r="G2812" s="3" t="str">
        <f t="shared" si="44"/>
        <v>5</v>
      </c>
      <c r="H2812" s="3" t="s">
        <v>5175</v>
      </c>
      <c r="I2812" s="8">
        <v>0</v>
      </c>
      <c r="J2812" s="8">
        <v>0</v>
      </c>
      <c r="K2812" s="8">
        <v>0</v>
      </c>
    </row>
    <row r="2813" spans="1:11" hidden="1" x14ac:dyDescent="0.25">
      <c r="A2813" s="3" t="s">
        <v>5176</v>
      </c>
      <c r="B2813" s="3">
        <v>12</v>
      </c>
      <c r="C2813" s="5">
        <v>365</v>
      </c>
      <c r="D2813" s="6">
        <v>0</v>
      </c>
      <c r="E2813" s="7">
        <v>720016</v>
      </c>
      <c r="F2813" s="3">
        <v>53520</v>
      </c>
      <c r="G2813" s="3" t="str">
        <f t="shared" si="44"/>
        <v>5</v>
      </c>
      <c r="H2813" s="3" t="s">
        <v>5177</v>
      </c>
      <c r="I2813" s="8">
        <v>0</v>
      </c>
      <c r="J2813" s="8">
        <v>0</v>
      </c>
      <c r="K2813" s="8">
        <v>0</v>
      </c>
    </row>
    <row r="2814" spans="1:11" hidden="1" x14ac:dyDescent="0.25">
      <c r="A2814" s="3" t="s">
        <v>5178</v>
      </c>
      <c r="B2814" s="3">
        <v>12</v>
      </c>
      <c r="C2814" s="5">
        <v>365</v>
      </c>
      <c r="D2814" s="6">
        <v>0</v>
      </c>
      <c r="E2814" s="7">
        <v>720016</v>
      </c>
      <c r="F2814" s="3">
        <v>53620</v>
      </c>
      <c r="G2814" s="3" t="str">
        <f t="shared" si="44"/>
        <v>5</v>
      </c>
      <c r="H2814" s="3" t="s">
        <v>5179</v>
      </c>
      <c r="I2814" s="8">
        <v>0</v>
      </c>
      <c r="J2814" s="8">
        <v>0</v>
      </c>
      <c r="K2814" s="8">
        <v>0</v>
      </c>
    </row>
    <row r="2815" spans="1:11" hidden="1" x14ac:dyDescent="0.25">
      <c r="A2815" s="3" t="s">
        <v>5180</v>
      </c>
      <c r="B2815" s="3">
        <v>12</v>
      </c>
      <c r="C2815" s="5">
        <v>370</v>
      </c>
      <c r="D2815" s="6">
        <v>0</v>
      </c>
      <c r="E2815" s="7">
        <v>701100</v>
      </c>
      <c r="F2815" s="3">
        <v>48120</v>
      </c>
      <c r="G2815" s="3" t="str">
        <f t="shared" si="44"/>
        <v>4</v>
      </c>
      <c r="H2815" s="3" t="s">
        <v>5181</v>
      </c>
      <c r="I2815" s="8">
        <v>-93495</v>
      </c>
      <c r="J2815" s="8">
        <v>0</v>
      </c>
      <c r="K2815" s="8">
        <v>-93495</v>
      </c>
    </row>
    <row r="2816" spans="1:11" hidden="1" x14ac:dyDescent="0.25">
      <c r="A2816" s="3" t="s">
        <v>5182</v>
      </c>
      <c r="B2816" s="3">
        <v>12</v>
      </c>
      <c r="C2816" s="5">
        <v>370</v>
      </c>
      <c r="D2816" s="6">
        <v>0</v>
      </c>
      <c r="E2816" s="7">
        <v>701100</v>
      </c>
      <c r="F2816" s="3">
        <v>48627</v>
      </c>
      <c r="G2816" s="3" t="str">
        <f t="shared" si="44"/>
        <v>4</v>
      </c>
      <c r="H2816" s="3" t="s">
        <v>5183</v>
      </c>
      <c r="I2816" s="8">
        <v>-142595</v>
      </c>
      <c r="J2816" s="8">
        <v>-92885</v>
      </c>
      <c r="K2816" s="8">
        <v>-142595</v>
      </c>
    </row>
    <row r="2817" spans="1:11" hidden="1" x14ac:dyDescent="0.25">
      <c r="A2817" s="3" t="s">
        <v>5184</v>
      </c>
      <c r="B2817" s="3">
        <v>12</v>
      </c>
      <c r="C2817" s="5">
        <v>370</v>
      </c>
      <c r="D2817" s="6">
        <v>0</v>
      </c>
      <c r="E2817" s="7">
        <v>701100</v>
      </c>
      <c r="F2817" s="3">
        <v>52105</v>
      </c>
      <c r="G2817" s="3" t="str">
        <f t="shared" si="44"/>
        <v>5</v>
      </c>
      <c r="H2817" s="3" t="s">
        <v>5185</v>
      </c>
      <c r="I2817" s="8">
        <v>39127</v>
      </c>
      <c r="J2817" s="8">
        <v>30300.61</v>
      </c>
      <c r="K2817" s="8">
        <v>39127</v>
      </c>
    </row>
    <row r="2818" spans="1:11" hidden="1" x14ac:dyDescent="0.25">
      <c r="A2818" s="3" t="s">
        <v>5186</v>
      </c>
      <c r="B2818" s="3">
        <v>12</v>
      </c>
      <c r="C2818" s="5">
        <v>370</v>
      </c>
      <c r="D2818" s="6">
        <v>0</v>
      </c>
      <c r="E2818" s="7">
        <v>701100</v>
      </c>
      <c r="F2818" s="3">
        <v>52130</v>
      </c>
      <c r="G2818" s="3" t="str">
        <f t="shared" si="44"/>
        <v>5</v>
      </c>
      <c r="H2818" s="3" t="s">
        <v>5187</v>
      </c>
      <c r="I2818" s="8">
        <v>24710</v>
      </c>
      <c r="J2818" s="8">
        <v>18532.349999999999</v>
      </c>
      <c r="K2818" s="8">
        <v>24710</v>
      </c>
    </row>
    <row r="2819" spans="1:11" hidden="1" x14ac:dyDescent="0.25">
      <c r="A2819" s="3" t="s">
        <v>5188</v>
      </c>
      <c r="B2819" s="3">
        <v>12</v>
      </c>
      <c r="C2819" s="5">
        <v>370</v>
      </c>
      <c r="D2819" s="6">
        <v>0</v>
      </c>
      <c r="E2819" s="7">
        <v>701100</v>
      </c>
      <c r="F2819" s="3">
        <v>52300</v>
      </c>
      <c r="G2819" s="3" t="str">
        <f t="shared" si="44"/>
        <v>5</v>
      </c>
      <c r="H2819" s="3" t="s">
        <v>5189</v>
      </c>
      <c r="I2819" s="8">
        <v>0</v>
      </c>
      <c r="J2819" s="8">
        <v>1.69</v>
      </c>
      <c r="K2819" s="8">
        <v>0</v>
      </c>
    </row>
    <row r="2820" spans="1:11" hidden="1" x14ac:dyDescent="0.25">
      <c r="A2820" s="3" t="s">
        <v>5190</v>
      </c>
      <c r="B2820" s="3">
        <v>12</v>
      </c>
      <c r="C2820" s="5">
        <v>370</v>
      </c>
      <c r="D2820" s="6">
        <v>0</v>
      </c>
      <c r="E2820" s="7">
        <v>701100</v>
      </c>
      <c r="F2820" s="3">
        <v>52360</v>
      </c>
      <c r="G2820" s="3" t="str">
        <f t="shared" si="44"/>
        <v>5</v>
      </c>
      <c r="H2820" s="3" t="s">
        <v>5191</v>
      </c>
      <c r="I2820" s="8">
        <v>69351</v>
      </c>
      <c r="J2820" s="8">
        <v>76804.5</v>
      </c>
      <c r="K2820" s="8">
        <v>69351</v>
      </c>
    </row>
    <row r="2821" spans="1:11" hidden="1" x14ac:dyDescent="0.25">
      <c r="A2821" s="3" t="s">
        <v>5192</v>
      </c>
      <c r="B2821" s="3">
        <v>12</v>
      </c>
      <c r="C2821" s="5">
        <v>370</v>
      </c>
      <c r="D2821" s="6">
        <v>0</v>
      </c>
      <c r="E2821" s="7">
        <v>701100</v>
      </c>
      <c r="F2821" s="3">
        <v>53000</v>
      </c>
      <c r="G2821" s="3" t="str">
        <f t="shared" si="44"/>
        <v>5</v>
      </c>
      <c r="H2821" s="3" t="s">
        <v>5193</v>
      </c>
      <c r="I2821" s="8">
        <v>0</v>
      </c>
      <c r="J2821" s="8">
        <v>0</v>
      </c>
      <c r="K2821" s="8">
        <v>0</v>
      </c>
    </row>
    <row r="2822" spans="1:11" hidden="1" x14ac:dyDescent="0.25">
      <c r="A2822" s="3" t="s">
        <v>5194</v>
      </c>
      <c r="B2822" s="3">
        <v>12</v>
      </c>
      <c r="C2822" s="5">
        <v>370</v>
      </c>
      <c r="D2822" s="6">
        <v>0</v>
      </c>
      <c r="E2822" s="7">
        <v>701100</v>
      </c>
      <c r="F2822" s="3">
        <v>53120</v>
      </c>
      <c r="G2822" s="3" t="str">
        <f t="shared" si="44"/>
        <v>5</v>
      </c>
      <c r="H2822" s="3" t="s">
        <v>5195</v>
      </c>
      <c r="I2822" s="8">
        <v>0</v>
      </c>
      <c r="J2822" s="8">
        <v>218.03</v>
      </c>
      <c r="K2822" s="8">
        <v>0</v>
      </c>
    </row>
    <row r="2823" spans="1:11" hidden="1" x14ac:dyDescent="0.25">
      <c r="A2823" s="3" t="s">
        <v>5196</v>
      </c>
      <c r="B2823" s="3">
        <v>12</v>
      </c>
      <c r="C2823" s="5">
        <v>370</v>
      </c>
      <c r="D2823" s="6">
        <v>0</v>
      </c>
      <c r="E2823" s="7">
        <v>701100</v>
      </c>
      <c r="F2823" s="3">
        <v>53220</v>
      </c>
      <c r="G2823" s="3" t="str">
        <f t="shared" si="44"/>
        <v>5</v>
      </c>
      <c r="H2823" s="3" t="s">
        <v>5197</v>
      </c>
      <c r="I2823" s="8">
        <v>13214</v>
      </c>
      <c r="J2823" s="8">
        <v>18614.82</v>
      </c>
      <c r="K2823" s="8">
        <v>13214</v>
      </c>
    </row>
    <row r="2824" spans="1:11" hidden="1" x14ac:dyDescent="0.25">
      <c r="A2824" s="3" t="s">
        <v>5198</v>
      </c>
      <c r="B2824" s="3">
        <v>12</v>
      </c>
      <c r="C2824" s="5">
        <v>370</v>
      </c>
      <c r="D2824" s="6">
        <v>0</v>
      </c>
      <c r="E2824" s="7">
        <v>701100</v>
      </c>
      <c r="F2824" s="3">
        <v>53320</v>
      </c>
      <c r="G2824" s="3" t="str">
        <f t="shared" si="44"/>
        <v>5</v>
      </c>
      <c r="H2824" s="3" t="s">
        <v>5199</v>
      </c>
      <c r="I2824" s="8">
        <v>8298</v>
      </c>
      <c r="J2824" s="8">
        <v>7685.61</v>
      </c>
      <c r="K2824" s="8">
        <v>8298</v>
      </c>
    </row>
    <row r="2825" spans="1:11" hidden="1" x14ac:dyDescent="0.25">
      <c r="A2825" s="3" t="s">
        <v>5200</v>
      </c>
      <c r="B2825" s="3">
        <v>12</v>
      </c>
      <c r="C2825" s="5">
        <v>370</v>
      </c>
      <c r="D2825" s="6">
        <v>0</v>
      </c>
      <c r="E2825" s="7">
        <v>701100</v>
      </c>
      <c r="F2825" s="3">
        <v>53340</v>
      </c>
      <c r="G2825" s="3" t="str">
        <f t="shared" si="44"/>
        <v>5</v>
      </c>
      <c r="H2825" s="3" t="s">
        <v>5201</v>
      </c>
      <c r="I2825" s="8">
        <v>1941</v>
      </c>
      <c r="J2825" s="8">
        <v>1817.09</v>
      </c>
      <c r="K2825" s="8">
        <v>1941</v>
      </c>
    </row>
    <row r="2826" spans="1:11" hidden="1" x14ac:dyDescent="0.25">
      <c r="A2826" s="3" t="s">
        <v>5202</v>
      </c>
      <c r="B2826" s="3">
        <v>12</v>
      </c>
      <c r="C2826" s="5">
        <v>370</v>
      </c>
      <c r="D2826" s="6">
        <v>0</v>
      </c>
      <c r="E2826" s="7">
        <v>701100</v>
      </c>
      <c r="F2826" s="3">
        <v>53420</v>
      </c>
      <c r="G2826" s="3" t="str">
        <f t="shared" si="44"/>
        <v>5</v>
      </c>
      <c r="H2826" s="3" t="s">
        <v>5203</v>
      </c>
      <c r="I2826" s="8">
        <v>19505</v>
      </c>
      <c r="J2826" s="8">
        <v>14413.67</v>
      </c>
      <c r="K2826" s="8">
        <v>19505</v>
      </c>
    </row>
    <row r="2827" spans="1:11" hidden="1" x14ac:dyDescent="0.25">
      <c r="A2827" s="3" t="s">
        <v>5204</v>
      </c>
      <c r="B2827" s="3">
        <v>12</v>
      </c>
      <c r="C2827" s="5">
        <v>370</v>
      </c>
      <c r="D2827" s="6">
        <v>0</v>
      </c>
      <c r="E2827" s="7">
        <v>701100</v>
      </c>
      <c r="F2827" s="3">
        <v>53520</v>
      </c>
      <c r="G2827" s="3" t="str">
        <f t="shared" si="44"/>
        <v>5</v>
      </c>
      <c r="H2827" s="3" t="s">
        <v>5205</v>
      </c>
      <c r="I2827" s="8">
        <v>67</v>
      </c>
      <c r="J2827" s="8">
        <v>62.89</v>
      </c>
      <c r="K2827" s="8">
        <v>67</v>
      </c>
    </row>
    <row r="2828" spans="1:11" hidden="1" x14ac:dyDescent="0.25">
      <c r="A2828" s="3" t="s">
        <v>5206</v>
      </c>
      <c r="B2828" s="3">
        <v>12</v>
      </c>
      <c r="C2828" s="5">
        <v>370</v>
      </c>
      <c r="D2828" s="6">
        <v>0</v>
      </c>
      <c r="E2828" s="7">
        <v>701100</v>
      </c>
      <c r="F2828" s="3">
        <v>53620</v>
      </c>
      <c r="G2828" s="3" t="str">
        <f t="shared" si="44"/>
        <v>5</v>
      </c>
      <c r="H2828" s="3" t="s">
        <v>5207</v>
      </c>
      <c r="I2828" s="8">
        <v>2718</v>
      </c>
      <c r="J2828" s="8">
        <v>2377.17</v>
      </c>
      <c r="K2828" s="8">
        <v>2718</v>
      </c>
    </row>
    <row r="2829" spans="1:11" hidden="1" x14ac:dyDescent="0.25">
      <c r="A2829" s="3" t="s">
        <v>5208</v>
      </c>
      <c r="B2829" s="3">
        <v>12</v>
      </c>
      <c r="C2829" s="5">
        <v>370</v>
      </c>
      <c r="D2829" s="6">
        <v>0</v>
      </c>
      <c r="E2829" s="7">
        <v>701100</v>
      </c>
      <c r="F2829" s="3">
        <v>54210</v>
      </c>
      <c r="G2829" s="3" t="str">
        <f t="shared" si="44"/>
        <v>5</v>
      </c>
      <c r="H2829" s="3" t="s">
        <v>5209</v>
      </c>
      <c r="I2829" s="8">
        <v>4000</v>
      </c>
      <c r="J2829" s="8">
        <v>0</v>
      </c>
      <c r="K2829" s="8">
        <v>4000</v>
      </c>
    </row>
    <row r="2830" spans="1:11" hidden="1" x14ac:dyDescent="0.25">
      <c r="A2830" s="3" t="s">
        <v>5210</v>
      </c>
      <c r="B2830" s="3">
        <v>12</v>
      </c>
      <c r="C2830" s="5">
        <v>370</v>
      </c>
      <c r="D2830" s="6">
        <v>0</v>
      </c>
      <c r="E2830" s="7">
        <v>701100</v>
      </c>
      <c r="F2830" s="3">
        <v>54300</v>
      </c>
      <c r="G2830" s="3" t="str">
        <f t="shared" si="44"/>
        <v>5</v>
      </c>
      <c r="H2830" s="3" t="s">
        <v>5211</v>
      </c>
      <c r="I2830" s="8">
        <v>17385</v>
      </c>
      <c r="J2830" s="8">
        <v>2823.49</v>
      </c>
      <c r="K2830" s="8">
        <v>17385</v>
      </c>
    </row>
    <row r="2831" spans="1:11" hidden="1" x14ac:dyDescent="0.25">
      <c r="A2831" s="3" t="s">
        <v>5212</v>
      </c>
      <c r="B2831" s="3">
        <v>12</v>
      </c>
      <c r="C2831" s="5">
        <v>370</v>
      </c>
      <c r="D2831" s="6">
        <v>0</v>
      </c>
      <c r="E2831" s="7">
        <v>701100</v>
      </c>
      <c r="F2831" s="3">
        <v>55100</v>
      </c>
      <c r="G2831" s="3" t="str">
        <f t="shared" si="44"/>
        <v>5</v>
      </c>
      <c r="H2831" s="3" t="s">
        <v>5213</v>
      </c>
      <c r="I2831" s="8">
        <v>4500</v>
      </c>
      <c r="J2831" s="8">
        <v>435</v>
      </c>
      <c r="K2831" s="8">
        <v>4500</v>
      </c>
    </row>
    <row r="2832" spans="1:11" hidden="1" x14ac:dyDescent="0.25">
      <c r="A2832" s="3" t="s">
        <v>5214</v>
      </c>
      <c r="B2832" s="3">
        <v>12</v>
      </c>
      <c r="C2832" s="5">
        <v>370</v>
      </c>
      <c r="D2832" s="6">
        <v>0</v>
      </c>
      <c r="E2832" s="7">
        <v>701100</v>
      </c>
      <c r="F2832" s="3">
        <v>55105</v>
      </c>
      <c r="G2832" s="3" t="str">
        <f t="shared" si="44"/>
        <v>5</v>
      </c>
      <c r="H2832" s="3" t="s">
        <v>5215</v>
      </c>
      <c r="I2832" s="8">
        <v>10000</v>
      </c>
      <c r="J2832" s="8">
        <v>8500</v>
      </c>
      <c r="K2832" s="8">
        <v>10000</v>
      </c>
    </row>
    <row r="2833" spans="1:11" hidden="1" x14ac:dyDescent="0.25">
      <c r="A2833" s="3" t="s">
        <v>5216</v>
      </c>
      <c r="B2833" s="3">
        <v>12</v>
      </c>
      <c r="C2833" s="5">
        <v>370</v>
      </c>
      <c r="D2833" s="6">
        <v>0</v>
      </c>
      <c r="E2833" s="7">
        <v>701100</v>
      </c>
      <c r="F2833" s="3">
        <v>55200</v>
      </c>
      <c r="G2833" s="3" t="str">
        <f t="shared" si="44"/>
        <v>5</v>
      </c>
      <c r="H2833" s="3" t="s">
        <v>5217</v>
      </c>
      <c r="I2833" s="8">
        <v>0</v>
      </c>
      <c r="J2833" s="8">
        <v>0</v>
      </c>
      <c r="K2833" s="8">
        <v>0</v>
      </c>
    </row>
    <row r="2834" spans="1:11" hidden="1" x14ac:dyDescent="0.25">
      <c r="A2834" s="3" t="s">
        <v>5218</v>
      </c>
      <c r="B2834" s="3">
        <v>12</v>
      </c>
      <c r="C2834" s="5">
        <v>370</v>
      </c>
      <c r="D2834" s="6">
        <v>0</v>
      </c>
      <c r="E2834" s="7">
        <v>701100</v>
      </c>
      <c r="F2834" s="3">
        <v>55210</v>
      </c>
      <c r="G2834" s="3" t="str">
        <f t="shared" si="44"/>
        <v>5</v>
      </c>
      <c r="H2834" s="3" t="s">
        <v>5219</v>
      </c>
      <c r="I2834" s="8">
        <v>5000</v>
      </c>
      <c r="J2834" s="8">
        <v>0</v>
      </c>
      <c r="K2834" s="8">
        <v>5000</v>
      </c>
    </row>
    <row r="2835" spans="1:11" hidden="1" x14ac:dyDescent="0.25">
      <c r="A2835" s="3" t="s">
        <v>5220</v>
      </c>
      <c r="B2835" s="3">
        <v>12</v>
      </c>
      <c r="C2835" s="5">
        <v>370</v>
      </c>
      <c r="D2835" s="6">
        <v>0</v>
      </c>
      <c r="E2835" s="7">
        <v>701100</v>
      </c>
      <c r="F2835" s="3">
        <v>55630</v>
      </c>
      <c r="G2835" s="3" t="str">
        <f t="shared" si="44"/>
        <v>5</v>
      </c>
      <c r="H2835" s="3" t="s">
        <v>5221</v>
      </c>
      <c r="I2835" s="8">
        <v>0</v>
      </c>
      <c r="J2835" s="8">
        <v>604.44000000000005</v>
      </c>
      <c r="K2835" s="8">
        <v>0</v>
      </c>
    </row>
    <row r="2836" spans="1:11" hidden="1" x14ac:dyDescent="0.25">
      <c r="A2836" s="3" t="s">
        <v>5222</v>
      </c>
      <c r="B2836" s="3">
        <v>12</v>
      </c>
      <c r="C2836" s="5">
        <v>370</v>
      </c>
      <c r="D2836" s="6">
        <v>0</v>
      </c>
      <c r="E2836" s="7">
        <v>701100</v>
      </c>
      <c r="F2836" s="3">
        <v>55635</v>
      </c>
      <c r="G2836" s="3" t="str">
        <f t="shared" si="44"/>
        <v>5</v>
      </c>
      <c r="H2836" s="3" t="s">
        <v>5223</v>
      </c>
      <c r="I2836" s="8">
        <v>5000</v>
      </c>
      <c r="J2836" s="8">
        <v>0</v>
      </c>
      <c r="K2836" s="8">
        <v>5000</v>
      </c>
    </row>
    <row r="2837" spans="1:11" hidden="1" x14ac:dyDescent="0.25">
      <c r="A2837" s="3" t="s">
        <v>5224</v>
      </c>
      <c r="B2837" s="3">
        <v>12</v>
      </c>
      <c r="C2837" s="5">
        <v>370</v>
      </c>
      <c r="D2837" s="6">
        <v>0</v>
      </c>
      <c r="E2837" s="7">
        <v>701100</v>
      </c>
      <c r="F2837" s="3">
        <v>56400</v>
      </c>
      <c r="G2837" s="3" t="str">
        <f t="shared" si="44"/>
        <v>5</v>
      </c>
      <c r="H2837" s="3" t="s">
        <v>5225</v>
      </c>
      <c r="I2837" s="8">
        <v>5500</v>
      </c>
      <c r="J2837" s="8">
        <v>0</v>
      </c>
      <c r="K2837" s="8">
        <v>5500</v>
      </c>
    </row>
    <row r="2838" spans="1:11" hidden="1" x14ac:dyDescent="0.25">
      <c r="A2838" s="3" t="s">
        <v>5226</v>
      </c>
      <c r="B2838" s="3">
        <v>12</v>
      </c>
      <c r="C2838" s="5">
        <v>370</v>
      </c>
      <c r="D2838" s="6">
        <v>0</v>
      </c>
      <c r="E2838" s="7">
        <v>701100</v>
      </c>
      <c r="F2838" s="3">
        <v>57350</v>
      </c>
      <c r="G2838" s="3" t="str">
        <f t="shared" si="44"/>
        <v>5</v>
      </c>
      <c r="H2838" s="3" t="s">
        <v>5227</v>
      </c>
      <c r="I2838" s="8">
        <v>5774</v>
      </c>
      <c r="J2838" s="8">
        <v>2955.43</v>
      </c>
      <c r="K2838" s="8">
        <v>5774</v>
      </c>
    </row>
    <row r="2839" spans="1:11" hidden="1" x14ac:dyDescent="0.25">
      <c r="A2839" s="3" t="s">
        <v>5228</v>
      </c>
      <c r="B2839" s="3">
        <v>12</v>
      </c>
      <c r="C2839" s="5">
        <v>370</v>
      </c>
      <c r="D2839" s="6">
        <v>0</v>
      </c>
      <c r="E2839" s="7">
        <v>701200</v>
      </c>
      <c r="F2839" s="3">
        <v>48890</v>
      </c>
      <c r="G2839" s="3" t="str">
        <f t="shared" si="44"/>
        <v>4</v>
      </c>
      <c r="H2839" s="3" t="s">
        <v>5229</v>
      </c>
      <c r="I2839" s="8">
        <v>-119983</v>
      </c>
      <c r="J2839" s="8">
        <v>-47999.07</v>
      </c>
      <c r="K2839" s="8">
        <v>-119983</v>
      </c>
    </row>
    <row r="2840" spans="1:11" hidden="1" x14ac:dyDescent="0.25">
      <c r="A2840" s="3" t="s">
        <v>5230</v>
      </c>
      <c r="B2840" s="3">
        <v>12</v>
      </c>
      <c r="C2840" s="5">
        <v>370</v>
      </c>
      <c r="D2840" s="6">
        <v>0</v>
      </c>
      <c r="E2840" s="7">
        <v>701200</v>
      </c>
      <c r="F2840" s="3">
        <v>52105</v>
      </c>
      <c r="G2840" s="3" t="str">
        <f t="shared" si="44"/>
        <v>5</v>
      </c>
      <c r="H2840" s="3" t="s">
        <v>5231</v>
      </c>
      <c r="I2840" s="8">
        <v>31198.2</v>
      </c>
      <c r="J2840" s="8">
        <v>13426.97</v>
      </c>
      <c r="K2840" s="8">
        <v>31198.2</v>
      </c>
    </row>
    <row r="2841" spans="1:11" hidden="1" x14ac:dyDescent="0.25">
      <c r="A2841" s="3" t="s">
        <v>5232</v>
      </c>
      <c r="B2841" s="3">
        <v>12</v>
      </c>
      <c r="C2841" s="5">
        <v>370</v>
      </c>
      <c r="D2841" s="6">
        <v>0</v>
      </c>
      <c r="E2841" s="7">
        <v>701200</v>
      </c>
      <c r="F2841" s="3">
        <v>52360</v>
      </c>
      <c r="G2841" s="3" t="str">
        <f t="shared" si="44"/>
        <v>5</v>
      </c>
      <c r="H2841" s="3" t="s">
        <v>5233</v>
      </c>
      <c r="I2841" s="8">
        <v>36530</v>
      </c>
      <c r="J2841" s="8">
        <v>26975</v>
      </c>
      <c r="K2841" s="8">
        <v>36530</v>
      </c>
    </row>
    <row r="2842" spans="1:11" hidden="1" x14ac:dyDescent="0.25">
      <c r="A2842" s="3" t="s">
        <v>5234</v>
      </c>
      <c r="B2842" s="3">
        <v>12</v>
      </c>
      <c r="C2842" s="5">
        <v>370</v>
      </c>
      <c r="D2842" s="6">
        <v>0</v>
      </c>
      <c r="E2842" s="7">
        <v>701200</v>
      </c>
      <c r="F2842" s="3">
        <v>53220</v>
      </c>
      <c r="G2842" s="3" t="str">
        <f t="shared" si="44"/>
        <v>5</v>
      </c>
      <c r="H2842" s="3" t="s">
        <v>5235</v>
      </c>
      <c r="I2842" s="8">
        <v>6458</v>
      </c>
      <c r="J2842" s="8">
        <v>8241.2199999999993</v>
      </c>
      <c r="K2842" s="8">
        <v>6458</v>
      </c>
    </row>
    <row r="2843" spans="1:11" hidden="1" x14ac:dyDescent="0.25">
      <c r="A2843" s="3" t="s">
        <v>5236</v>
      </c>
      <c r="B2843" s="3">
        <v>12</v>
      </c>
      <c r="C2843" s="5">
        <v>370</v>
      </c>
      <c r="D2843" s="6">
        <v>0</v>
      </c>
      <c r="E2843" s="7">
        <v>701200</v>
      </c>
      <c r="F2843" s="3">
        <v>53320</v>
      </c>
      <c r="G2843" s="3" t="str">
        <f t="shared" ref="G2843:G2906" si="45">LEFT(F2843,1)</f>
        <v>5</v>
      </c>
      <c r="H2843" s="3" t="s">
        <v>5237</v>
      </c>
      <c r="I2843" s="8">
        <v>4199</v>
      </c>
      <c r="J2843" s="8">
        <v>2505.9</v>
      </c>
      <c r="K2843" s="8">
        <v>4199</v>
      </c>
    </row>
    <row r="2844" spans="1:11" hidden="1" x14ac:dyDescent="0.25">
      <c r="A2844" s="3" t="s">
        <v>5238</v>
      </c>
      <c r="B2844" s="3">
        <v>12</v>
      </c>
      <c r="C2844" s="5">
        <v>370</v>
      </c>
      <c r="D2844" s="6">
        <v>0</v>
      </c>
      <c r="E2844" s="7">
        <v>701200</v>
      </c>
      <c r="F2844" s="3">
        <v>53340</v>
      </c>
      <c r="G2844" s="3" t="str">
        <f t="shared" si="45"/>
        <v>5</v>
      </c>
      <c r="H2844" s="3" t="s">
        <v>5239</v>
      </c>
      <c r="I2844" s="8">
        <v>982</v>
      </c>
      <c r="J2844" s="8">
        <v>586.09</v>
      </c>
      <c r="K2844" s="8">
        <v>982</v>
      </c>
    </row>
    <row r="2845" spans="1:11" hidden="1" x14ac:dyDescent="0.25">
      <c r="A2845" s="3" t="s">
        <v>5240</v>
      </c>
      <c r="B2845" s="3">
        <v>12</v>
      </c>
      <c r="C2845" s="5">
        <v>370</v>
      </c>
      <c r="D2845" s="6">
        <v>0</v>
      </c>
      <c r="E2845" s="7">
        <v>701200</v>
      </c>
      <c r="F2845" s="3">
        <v>53420</v>
      </c>
      <c r="G2845" s="3" t="str">
        <f t="shared" si="45"/>
        <v>5</v>
      </c>
      <c r="H2845" s="3" t="s">
        <v>5241</v>
      </c>
      <c r="I2845" s="8">
        <v>6033</v>
      </c>
      <c r="J2845" s="8">
        <v>2883.92</v>
      </c>
      <c r="K2845" s="8">
        <v>6033</v>
      </c>
    </row>
    <row r="2846" spans="1:11" hidden="1" x14ac:dyDescent="0.25">
      <c r="A2846" s="3" t="s">
        <v>5242</v>
      </c>
      <c r="B2846" s="3">
        <v>12</v>
      </c>
      <c r="C2846" s="5">
        <v>370</v>
      </c>
      <c r="D2846" s="6">
        <v>0</v>
      </c>
      <c r="E2846" s="7">
        <v>701200</v>
      </c>
      <c r="F2846" s="3">
        <v>53520</v>
      </c>
      <c r="G2846" s="3" t="str">
        <f t="shared" si="45"/>
        <v>5</v>
      </c>
      <c r="H2846" s="3" t="s">
        <v>5243</v>
      </c>
      <c r="I2846" s="8">
        <v>34</v>
      </c>
      <c r="J2846" s="8">
        <v>20.23</v>
      </c>
      <c r="K2846" s="8">
        <v>34</v>
      </c>
    </row>
    <row r="2847" spans="1:11" hidden="1" x14ac:dyDescent="0.25">
      <c r="A2847" s="3" t="s">
        <v>5244</v>
      </c>
      <c r="B2847" s="3">
        <v>12</v>
      </c>
      <c r="C2847" s="5">
        <v>370</v>
      </c>
      <c r="D2847" s="6">
        <v>0</v>
      </c>
      <c r="E2847" s="7">
        <v>701200</v>
      </c>
      <c r="F2847" s="3">
        <v>53620</v>
      </c>
      <c r="G2847" s="3" t="str">
        <f t="shared" si="45"/>
        <v>5</v>
      </c>
      <c r="H2847" s="3" t="s">
        <v>5245</v>
      </c>
      <c r="I2847" s="8">
        <v>1281</v>
      </c>
      <c r="J2847" s="8">
        <v>764.38</v>
      </c>
      <c r="K2847" s="8">
        <v>1281</v>
      </c>
    </row>
    <row r="2848" spans="1:11" hidden="1" x14ac:dyDescent="0.25">
      <c r="A2848" s="3" t="s">
        <v>5246</v>
      </c>
      <c r="B2848" s="3">
        <v>12</v>
      </c>
      <c r="C2848" s="5">
        <v>370</v>
      </c>
      <c r="D2848" s="6">
        <v>0</v>
      </c>
      <c r="E2848" s="7">
        <v>701200</v>
      </c>
      <c r="F2848" s="3">
        <v>53920</v>
      </c>
      <c r="G2848" s="3" t="str">
        <f t="shared" si="45"/>
        <v>5</v>
      </c>
      <c r="H2848" s="3" t="s">
        <v>5247</v>
      </c>
      <c r="I2848" s="8">
        <v>720</v>
      </c>
      <c r="J2848" s="8">
        <v>0</v>
      </c>
      <c r="K2848" s="8">
        <v>720</v>
      </c>
    </row>
    <row r="2849" spans="1:11" hidden="1" x14ac:dyDescent="0.25">
      <c r="A2849" s="3" t="s">
        <v>5248</v>
      </c>
      <c r="B2849" s="3">
        <v>12</v>
      </c>
      <c r="C2849" s="5">
        <v>370</v>
      </c>
      <c r="D2849" s="6">
        <v>0</v>
      </c>
      <c r="E2849" s="7">
        <v>701200</v>
      </c>
      <c r="F2849" s="3">
        <v>54210</v>
      </c>
      <c r="G2849" s="3" t="str">
        <f t="shared" si="45"/>
        <v>5</v>
      </c>
      <c r="H2849" s="3" t="s">
        <v>5249</v>
      </c>
      <c r="I2849" s="8">
        <v>2000</v>
      </c>
      <c r="J2849" s="8">
        <v>0</v>
      </c>
      <c r="K2849" s="8">
        <v>2000</v>
      </c>
    </row>
    <row r="2850" spans="1:11" hidden="1" x14ac:dyDescent="0.25">
      <c r="A2850" s="3" t="s">
        <v>5250</v>
      </c>
      <c r="B2850" s="3">
        <v>12</v>
      </c>
      <c r="C2850" s="5">
        <v>370</v>
      </c>
      <c r="D2850" s="6">
        <v>0</v>
      </c>
      <c r="E2850" s="7">
        <v>701200</v>
      </c>
      <c r="F2850" s="3">
        <v>54300</v>
      </c>
      <c r="G2850" s="3" t="str">
        <f t="shared" si="45"/>
        <v>5</v>
      </c>
      <c r="H2850" s="3" t="s">
        <v>5251</v>
      </c>
      <c r="I2850" s="8">
        <v>8717.16</v>
      </c>
      <c r="J2850" s="8">
        <v>6192.84</v>
      </c>
      <c r="K2850" s="8">
        <v>8717.16</v>
      </c>
    </row>
    <row r="2851" spans="1:11" hidden="1" x14ac:dyDescent="0.25">
      <c r="A2851" s="3" t="s">
        <v>5252</v>
      </c>
      <c r="B2851" s="3">
        <v>12</v>
      </c>
      <c r="C2851" s="5">
        <v>370</v>
      </c>
      <c r="D2851" s="6">
        <v>0</v>
      </c>
      <c r="E2851" s="7">
        <v>701200</v>
      </c>
      <c r="F2851" s="3">
        <v>55100</v>
      </c>
      <c r="G2851" s="3" t="str">
        <f t="shared" si="45"/>
        <v>5</v>
      </c>
      <c r="H2851" s="3" t="s">
        <v>5253</v>
      </c>
      <c r="I2851" s="8">
        <v>1500</v>
      </c>
      <c r="J2851" s="8">
        <v>500</v>
      </c>
      <c r="K2851" s="8">
        <v>1500</v>
      </c>
    </row>
    <row r="2852" spans="1:11" hidden="1" x14ac:dyDescent="0.25">
      <c r="A2852" s="3" t="s">
        <v>5254</v>
      </c>
      <c r="B2852" s="3">
        <v>12</v>
      </c>
      <c r="C2852" s="5">
        <v>370</v>
      </c>
      <c r="D2852" s="6">
        <v>0</v>
      </c>
      <c r="E2852" s="7">
        <v>701200</v>
      </c>
      <c r="F2852" s="3">
        <v>55105</v>
      </c>
      <c r="G2852" s="3" t="str">
        <f t="shared" si="45"/>
        <v>5</v>
      </c>
      <c r="H2852" s="3" t="s">
        <v>5255</v>
      </c>
      <c r="I2852" s="8">
        <v>3500</v>
      </c>
      <c r="J2852" s="8">
        <v>2000</v>
      </c>
      <c r="K2852" s="8">
        <v>3500</v>
      </c>
    </row>
    <row r="2853" spans="1:11" hidden="1" x14ac:dyDescent="0.25">
      <c r="A2853" s="3" t="s">
        <v>5256</v>
      </c>
      <c r="B2853" s="3">
        <v>12</v>
      </c>
      <c r="C2853" s="5">
        <v>370</v>
      </c>
      <c r="D2853" s="6">
        <v>0</v>
      </c>
      <c r="E2853" s="7">
        <v>701200</v>
      </c>
      <c r="F2853" s="3">
        <v>55200</v>
      </c>
      <c r="G2853" s="3" t="str">
        <f t="shared" si="45"/>
        <v>5</v>
      </c>
      <c r="H2853" s="3" t="s">
        <v>5257</v>
      </c>
      <c r="I2853" s="8">
        <v>3000</v>
      </c>
      <c r="J2853" s="8">
        <v>0</v>
      </c>
      <c r="K2853" s="8">
        <v>3000</v>
      </c>
    </row>
    <row r="2854" spans="1:11" hidden="1" x14ac:dyDescent="0.25">
      <c r="A2854" s="3" t="s">
        <v>5258</v>
      </c>
      <c r="B2854" s="3">
        <v>12</v>
      </c>
      <c r="C2854" s="5">
        <v>370</v>
      </c>
      <c r="D2854" s="6">
        <v>0</v>
      </c>
      <c r="E2854" s="7">
        <v>701200</v>
      </c>
      <c r="F2854" s="3">
        <v>55210</v>
      </c>
      <c r="G2854" s="3" t="str">
        <f t="shared" si="45"/>
        <v>5</v>
      </c>
      <c r="H2854" s="3" t="s">
        <v>5259</v>
      </c>
      <c r="I2854" s="8">
        <v>1000</v>
      </c>
      <c r="J2854" s="8">
        <v>0</v>
      </c>
      <c r="K2854" s="8">
        <v>1000</v>
      </c>
    </row>
    <row r="2855" spans="1:11" hidden="1" x14ac:dyDescent="0.25">
      <c r="A2855" s="3" t="s">
        <v>5260</v>
      </c>
      <c r="B2855" s="3">
        <v>12</v>
      </c>
      <c r="C2855" s="5">
        <v>370</v>
      </c>
      <c r="D2855" s="6">
        <v>0</v>
      </c>
      <c r="E2855" s="7">
        <v>701200</v>
      </c>
      <c r="F2855" s="3">
        <v>55240</v>
      </c>
      <c r="G2855" s="3" t="str">
        <f t="shared" si="45"/>
        <v>5</v>
      </c>
      <c r="H2855" s="3" t="s">
        <v>5261</v>
      </c>
      <c r="I2855" s="8">
        <v>914</v>
      </c>
      <c r="J2855" s="8">
        <v>0</v>
      </c>
      <c r="K2855" s="8">
        <v>914</v>
      </c>
    </row>
    <row r="2856" spans="1:11" hidden="1" x14ac:dyDescent="0.25">
      <c r="A2856" s="3" t="s">
        <v>5262</v>
      </c>
      <c r="B2856" s="3">
        <v>12</v>
      </c>
      <c r="C2856" s="5">
        <v>370</v>
      </c>
      <c r="D2856" s="6">
        <v>0</v>
      </c>
      <c r="E2856" s="7">
        <v>701200</v>
      </c>
      <c r="F2856" s="3">
        <v>55600</v>
      </c>
      <c r="G2856" s="3" t="str">
        <f t="shared" si="45"/>
        <v>5</v>
      </c>
      <c r="H2856" s="3" t="s">
        <v>5263</v>
      </c>
      <c r="I2856" s="8">
        <v>1000</v>
      </c>
      <c r="J2856" s="8">
        <v>0</v>
      </c>
      <c r="K2856" s="8">
        <v>1000</v>
      </c>
    </row>
    <row r="2857" spans="1:11" hidden="1" x14ac:dyDescent="0.25">
      <c r="A2857" s="3" t="s">
        <v>5264</v>
      </c>
      <c r="B2857" s="3">
        <v>12</v>
      </c>
      <c r="C2857" s="5">
        <v>370</v>
      </c>
      <c r="D2857" s="6">
        <v>0</v>
      </c>
      <c r="E2857" s="7">
        <v>701200</v>
      </c>
      <c r="F2857" s="3">
        <v>55630</v>
      </c>
      <c r="G2857" s="3" t="str">
        <f t="shared" si="45"/>
        <v>5</v>
      </c>
      <c r="H2857" s="3" t="s">
        <v>5265</v>
      </c>
      <c r="I2857" s="8">
        <v>100</v>
      </c>
      <c r="J2857" s="8">
        <v>604.27</v>
      </c>
      <c r="K2857" s="8">
        <v>100</v>
      </c>
    </row>
    <row r="2858" spans="1:11" hidden="1" x14ac:dyDescent="0.25">
      <c r="A2858" s="3" t="s">
        <v>5266</v>
      </c>
      <c r="B2858" s="3">
        <v>12</v>
      </c>
      <c r="C2858" s="5">
        <v>370</v>
      </c>
      <c r="D2858" s="6">
        <v>0</v>
      </c>
      <c r="E2858" s="7">
        <v>701200</v>
      </c>
      <c r="F2858" s="3">
        <v>57350</v>
      </c>
      <c r="G2858" s="3" t="str">
        <f t="shared" si="45"/>
        <v>5</v>
      </c>
      <c r="H2858" s="3" t="s">
        <v>5267</v>
      </c>
      <c r="I2858" s="8">
        <v>10816.64</v>
      </c>
      <c r="J2858" s="8">
        <v>4363.55</v>
      </c>
      <c r="K2858" s="8">
        <v>10816.64</v>
      </c>
    </row>
    <row r="2859" spans="1:11" hidden="1" x14ac:dyDescent="0.25">
      <c r="A2859" s="3" t="s">
        <v>5268</v>
      </c>
      <c r="B2859" s="3">
        <v>12</v>
      </c>
      <c r="C2859" s="5">
        <v>370</v>
      </c>
      <c r="D2859" s="6">
        <v>0</v>
      </c>
      <c r="E2859" s="7">
        <v>708300</v>
      </c>
      <c r="F2859" s="3">
        <v>48120</v>
      </c>
      <c r="G2859" s="3" t="str">
        <f t="shared" si="45"/>
        <v>4</v>
      </c>
      <c r="H2859" s="3" t="s">
        <v>5269</v>
      </c>
      <c r="I2859" s="8">
        <v>-808994.53</v>
      </c>
      <c r="J2859" s="8">
        <v>-254635.46</v>
      </c>
      <c r="K2859" s="8">
        <v>-808994.53</v>
      </c>
    </row>
    <row r="2860" spans="1:11" hidden="1" x14ac:dyDescent="0.25">
      <c r="A2860" s="3" t="s">
        <v>5270</v>
      </c>
      <c r="B2860" s="3">
        <v>12</v>
      </c>
      <c r="C2860" s="5">
        <v>370</v>
      </c>
      <c r="D2860" s="6">
        <v>0</v>
      </c>
      <c r="E2860" s="7">
        <v>708300</v>
      </c>
      <c r="F2860" s="3">
        <v>52105</v>
      </c>
      <c r="G2860" s="3" t="str">
        <f t="shared" si="45"/>
        <v>5</v>
      </c>
      <c r="H2860" s="3" t="s">
        <v>2659</v>
      </c>
      <c r="I2860" s="8">
        <v>107707</v>
      </c>
      <c r="J2860" s="8">
        <v>48694.79</v>
      </c>
      <c r="K2860" s="8">
        <v>107707</v>
      </c>
    </row>
    <row r="2861" spans="1:11" hidden="1" x14ac:dyDescent="0.25">
      <c r="A2861" s="3" t="s">
        <v>5271</v>
      </c>
      <c r="B2861" s="3">
        <v>12</v>
      </c>
      <c r="C2861" s="5">
        <v>370</v>
      </c>
      <c r="D2861" s="6">
        <v>0</v>
      </c>
      <c r="E2861" s="7">
        <v>708300</v>
      </c>
      <c r="F2861" s="3">
        <v>52130</v>
      </c>
      <c r="G2861" s="3" t="str">
        <f t="shared" si="45"/>
        <v>5</v>
      </c>
      <c r="H2861" s="3" t="s">
        <v>2661</v>
      </c>
      <c r="I2861" s="8">
        <v>55597</v>
      </c>
      <c r="J2861" s="8">
        <v>41697.72</v>
      </c>
      <c r="K2861" s="8">
        <v>55597</v>
      </c>
    </row>
    <row r="2862" spans="1:11" hidden="1" x14ac:dyDescent="0.25">
      <c r="A2862" s="3" t="s">
        <v>5272</v>
      </c>
      <c r="B2862" s="3">
        <v>12</v>
      </c>
      <c r="C2862" s="5">
        <v>370</v>
      </c>
      <c r="D2862" s="6">
        <v>0</v>
      </c>
      <c r="E2862" s="7">
        <v>708300</v>
      </c>
      <c r="F2862" s="3">
        <v>52300</v>
      </c>
      <c r="G2862" s="3" t="str">
        <f t="shared" si="45"/>
        <v>5</v>
      </c>
      <c r="H2862" s="3" t="s">
        <v>5273</v>
      </c>
      <c r="I2862" s="8">
        <v>0</v>
      </c>
      <c r="J2862" s="8">
        <v>5.08</v>
      </c>
      <c r="K2862" s="8">
        <v>0</v>
      </c>
    </row>
    <row r="2863" spans="1:11" hidden="1" x14ac:dyDescent="0.25">
      <c r="A2863" s="3" t="s">
        <v>5274</v>
      </c>
      <c r="B2863" s="3">
        <v>12</v>
      </c>
      <c r="C2863" s="5">
        <v>370</v>
      </c>
      <c r="D2863" s="6">
        <v>0</v>
      </c>
      <c r="E2863" s="7">
        <v>708300</v>
      </c>
      <c r="F2863" s="3">
        <v>52360</v>
      </c>
      <c r="G2863" s="3" t="str">
        <f t="shared" si="45"/>
        <v>5</v>
      </c>
      <c r="H2863" s="3" t="s">
        <v>2663</v>
      </c>
      <c r="I2863" s="8">
        <v>101670</v>
      </c>
      <c r="J2863" s="8">
        <v>41477.629999999997</v>
      </c>
      <c r="K2863" s="8">
        <v>101670</v>
      </c>
    </row>
    <row r="2864" spans="1:11" hidden="1" x14ac:dyDescent="0.25">
      <c r="A2864" s="3" t="s">
        <v>5275</v>
      </c>
      <c r="B2864" s="3">
        <v>12</v>
      </c>
      <c r="C2864" s="5">
        <v>370</v>
      </c>
      <c r="D2864" s="6">
        <v>0</v>
      </c>
      <c r="E2864" s="7">
        <v>708300</v>
      </c>
      <c r="F2864" s="3">
        <v>53000</v>
      </c>
      <c r="G2864" s="3" t="str">
        <f t="shared" si="45"/>
        <v>5</v>
      </c>
      <c r="H2864" s="3" t="s">
        <v>5276</v>
      </c>
      <c r="I2864" s="8">
        <v>3840</v>
      </c>
      <c r="J2864" s="8">
        <v>0</v>
      </c>
      <c r="K2864" s="8">
        <v>3840</v>
      </c>
    </row>
    <row r="2865" spans="1:11" hidden="1" x14ac:dyDescent="0.25">
      <c r="A2865" s="3" t="s">
        <v>5277</v>
      </c>
      <c r="B2865" s="3">
        <v>12</v>
      </c>
      <c r="C2865" s="5">
        <v>370</v>
      </c>
      <c r="D2865" s="6">
        <v>0</v>
      </c>
      <c r="E2865" s="7">
        <v>708300</v>
      </c>
      <c r="F2865" s="3">
        <v>53220</v>
      </c>
      <c r="G2865" s="3" t="str">
        <f t="shared" si="45"/>
        <v>5</v>
      </c>
      <c r="H2865" s="3" t="s">
        <v>2665</v>
      </c>
      <c r="I2865" s="8">
        <v>33804</v>
      </c>
      <c r="J2865" s="8">
        <v>22682.61</v>
      </c>
      <c r="K2865" s="8">
        <v>33804</v>
      </c>
    </row>
    <row r="2866" spans="1:11" hidden="1" x14ac:dyDescent="0.25">
      <c r="A2866" s="3" t="s">
        <v>5278</v>
      </c>
      <c r="B2866" s="3">
        <v>12</v>
      </c>
      <c r="C2866" s="5">
        <v>370</v>
      </c>
      <c r="D2866" s="6">
        <v>0</v>
      </c>
      <c r="E2866" s="7">
        <v>708300</v>
      </c>
      <c r="F2866" s="3">
        <v>53320</v>
      </c>
      <c r="G2866" s="3" t="str">
        <f t="shared" si="45"/>
        <v>5</v>
      </c>
      <c r="H2866" s="3" t="s">
        <v>2667</v>
      </c>
      <c r="I2866" s="8">
        <v>4849</v>
      </c>
      <c r="J2866" s="8">
        <v>7955.72</v>
      </c>
      <c r="K2866" s="8">
        <v>4849</v>
      </c>
    </row>
    <row r="2867" spans="1:11" hidden="1" x14ac:dyDescent="0.25">
      <c r="A2867" s="3" t="s">
        <v>5279</v>
      </c>
      <c r="B2867" s="3">
        <v>12</v>
      </c>
      <c r="C2867" s="5">
        <v>370</v>
      </c>
      <c r="D2867" s="6">
        <v>0</v>
      </c>
      <c r="E2867" s="7">
        <v>708300</v>
      </c>
      <c r="F2867" s="3">
        <v>53340</v>
      </c>
      <c r="G2867" s="3" t="str">
        <f t="shared" si="45"/>
        <v>5</v>
      </c>
      <c r="H2867" s="3" t="s">
        <v>2669</v>
      </c>
      <c r="I2867" s="8">
        <v>3262</v>
      </c>
      <c r="J2867" s="8">
        <v>1860.61</v>
      </c>
      <c r="K2867" s="8">
        <v>3262</v>
      </c>
    </row>
    <row r="2868" spans="1:11" hidden="1" x14ac:dyDescent="0.25">
      <c r="A2868" s="3" t="s">
        <v>5280</v>
      </c>
      <c r="B2868" s="3">
        <v>12</v>
      </c>
      <c r="C2868" s="5">
        <v>370</v>
      </c>
      <c r="D2868" s="6">
        <v>0</v>
      </c>
      <c r="E2868" s="7">
        <v>708300</v>
      </c>
      <c r="F2868" s="3">
        <v>53420</v>
      </c>
      <c r="G2868" s="3" t="str">
        <f t="shared" si="45"/>
        <v>5</v>
      </c>
      <c r="H2868" s="3" t="s">
        <v>2671</v>
      </c>
      <c r="I2868" s="8">
        <v>47537</v>
      </c>
      <c r="J2868" s="8">
        <v>25317.66</v>
      </c>
      <c r="K2868" s="8">
        <v>47537</v>
      </c>
    </row>
    <row r="2869" spans="1:11" hidden="1" x14ac:dyDescent="0.25">
      <c r="A2869" s="3" t="s">
        <v>5281</v>
      </c>
      <c r="B2869" s="3">
        <v>12</v>
      </c>
      <c r="C2869" s="5">
        <v>370</v>
      </c>
      <c r="D2869" s="6">
        <v>0</v>
      </c>
      <c r="E2869" s="7">
        <v>708300</v>
      </c>
      <c r="F2869" s="3">
        <v>53520</v>
      </c>
      <c r="G2869" s="3" t="str">
        <f t="shared" si="45"/>
        <v>5</v>
      </c>
      <c r="H2869" s="3" t="s">
        <v>2673</v>
      </c>
      <c r="I2869" s="8">
        <v>113</v>
      </c>
      <c r="J2869" s="8">
        <v>64.489999999999995</v>
      </c>
      <c r="K2869" s="8">
        <v>113</v>
      </c>
    </row>
    <row r="2870" spans="1:11" hidden="1" x14ac:dyDescent="0.25">
      <c r="A2870" s="3" t="s">
        <v>5282</v>
      </c>
      <c r="B2870" s="3">
        <v>12</v>
      </c>
      <c r="C2870" s="5">
        <v>370</v>
      </c>
      <c r="D2870" s="6">
        <v>0</v>
      </c>
      <c r="E2870" s="7">
        <v>708300</v>
      </c>
      <c r="F2870" s="3">
        <v>53620</v>
      </c>
      <c r="G2870" s="3" t="str">
        <f t="shared" si="45"/>
        <v>5</v>
      </c>
      <c r="H2870" s="3" t="s">
        <v>2675</v>
      </c>
      <c r="I2870" s="8">
        <v>4254</v>
      </c>
      <c r="J2870" s="8">
        <v>2482.5500000000002</v>
      </c>
      <c r="K2870" s="8">
        <v>4254</v>
      </c>
    </row>
    <row r="2871" spans="1:11" hidden="1" x14ac:dyDescent="0.25">
      <c r="A2871" s="3" t="s">
        <v>5283</v>
      </c>
      <c r="B2871" s="3">
        <v>12</v>
      </c>
      <c r="C2871" s="5">
        <v>370</v>
      </c>
      <c r="D2871" s="6">
        <v>0</v>
      </c>
      <c r="E2871" s="7">
        <v>708300</v>
      </c>
      <c r="F2871" s="3">
        <v>54210</v>
      </c>
      <c r="G2871" s="3" t="str">
        <f t="shared" si="45"/>
        <v>5</v>
      </c>
      <c r="H2871" s="3" t="s">
        <v>2677</v>
      </c>
      <c r="I2871" s="8">
        <v>11750</v>
      </c>
      <c r="J2871" s="8">
        <v>0</v>
      </c>
      <c r="K2871" s="8">
        <v>11750</v>
      </c>
    </row>
    <row r="2872" spans="1:11" hidden="1" x14ac:dyDescent="0.25">
      <c r="A2872" s="3" t="s">
        <v>5284</v>
      </c>
      <c r="B2872" s="3">
        <v>12</v>
      </c>
      <c r="C2872" s="5">
        <v>370</v>
      </c>
      <c r="D2872" s="6">
        <v>0</v>
      </c>
      <c r="E2872" s="7">
        <v>708300</v>
      </c>
      <c r="F2872" s="3">
        <v>54300</v>
      </c>
      <c r="G2872" s="3" t="str">
        <f t="shared" si="45"/>
        <v>5</v>
      </c>
      <c r="H2872" s="3" t="s">
        <v>2679</v>
      </c>
      <c r="I2872" s="8">
        <v>19157</v>
      </c>
      <c r="J2872" s="8">
        <v>8562.2900000000009</v>
      </c>
      <c r="K2872" s="8">
        <v>19157</v>
      </c>
    </row>
    <row r="2873" spans="1:11" hidden="1" x14ac:dyDescent="0.25">
      <c r="A2873" s="3" t="s">
        <v>5285</v>
      </c>
      <c r="B2873" s="3">
        <v>12</v>
      </c>
      <c r="C2873" s="5">
        <v>370</v>
      </c>
      <c r="D2873" s="6">
        <v>0</v>
      </c>
      <c r="E2873" s="7">
        <v>708300</v>
      </c>
      <c r="F2873" s="3">
        <v>55100</v>
      </c>
      <c r="G2873" s="3" t="str">
        <f t="shared" si="45"/>
        <v>5</v>
      </c>
      <c r="H2873" s="3" t="s">
        <v>2681</v>
      </c>
      <c r="I2873" s="8">
        <v>17750</v>
      </c>
      <c r="J2873" s="8">
        <v>3775</v>
      </c>
      <c r="K2873" s="8">
        <v>17750</v>
      </c>
    </row>
    <row r="2874" spans="1:11" hidden="1" x14ac:dyDescent="0.25">
      <c r="A2874" s="3" t="s">
        <v>5286</v>
      </c>
      <c r="B2874" s="3">
        <v>12</v>
      </c>
      <c r="C2874" s="5">
        <v>370</v>
      </c>
      <c r="D2874" s="6">
        <v>0</v>
      </c>
      <c r="E2874" s="7">
        <v>708300</v>
      </c>
      <c r="F2874" s="3">
        <v>55105</v>
      </c>
      <c r="G2874" s="3" t="str">
        <f t="shared" si="45"/>
        <v>5</v>
      </c>
      <c r="H2874" s="3" t="s">
        <v>2683</v>
      </c>
      <c r="I2874" s="8">
        <v>192416</v>
      </c>
      <c r="J2874" s="8">
        <v>122681.77</v>
      </c>
      <c r="K2874" s="8">
        <v>192416</v>
      </c>
    </row>
    <row r="2875" spans="1:11" hidden="1" x14ac:dyDescent="0.25">
      <c r="A2875" s="3" t="s">
        <v>5287</v>
      </c>
      <c r="B2875" s="3">
        <v>12</v>
      </c>
      <c r="C2875" s="5">
        <v>370</v>
      </c>
      <c r="D2875" s="6">
        <v>0</v>
      </c>
      <c r="E2875" s="7">
        <v>708300</v>
      </c>
      <c r="F2875" s="3">
        <v>55200</v>
      </c>
      <c r="G2875" s="3" t="str">
        <f t="shared" si="45"/>
        <v>5</v>
      </c>
      <c r="H2875" s="3" t="s">
        <v>2685</v>
      </c>
      <c r="I2875" s="8">
        <v>5000</v>
      </c>
      <c r="J2875" s="8">
        <v>651.63</v>
      </c>
      <c r="K2875" s="8">
        <v>5000</v>
      </c>
    </row>
    <row r="2876" spans="1:11" hidden="1" x14ac:dyDescent="0.25">
      <c r="A2876" s="3" t="s">
        <v>5288</v>
      </c>
      <c r="B2876" s="3">
        <v>12</v>
      </c>
      <c r="C2876" s="5">
        <v>370</v>
      </c>
      <c r="D2876" s="6">
        <v>0</v>
      </c>
      <c r="E2876" s="7">
        <v>708300</v>
      </c>
      <c r="F2876" s="3">
        <v>55600</v>
      </c>
      <c r="G2876" s="3" t="str">
        <f t="shared" si="45"/>
        <v>5</v>
      </c>
      <c r="H2876" s="3" t="s">
        <v>2687</v>
      </c>
      <c r="I2876" s="8">
        <v>2700</v>
      </c>
      <c r="J2876" s="8">
        <v>12442.95</v>
      </c>
      <c r="K2876" s="8">
        <v>2700</v>
      </c>
    </row>
    <row r="2877" spans="1:11" hidden="1" x14ac:dyDescent="0.25">
      <c r="A2877" s="3" t="s">
        <v>5289</v>
      </c>
      <c r="B2877" s="3">
        <v>12</v>
      </c>
      <c r="C2877" s="5">
        <v>370</v>
      </c>
      <c r="D2877" s="6">
        <v>0</v>
      </c>
      <c r="E2877" s="7">
        <v>708300</v>
      </c>
      <c r="F2877" s="3">
        <v>55630</v>
      </c>
      <c r="G2877" s="3" t="str">
        <f t="shared" si="45"/>
        <v>5</v>
      </c>
      <c r="H2877" s="3" t="s">
        <v>2689</v>
      </c>
      <c r="I2877" s="8">
        <v>3750</v>
      </c>
      <c r="J2877" s="8">
        <v>703.63</v>
      </c>
      <c r="K2877" s="8">
        <v>3750</v>
      </c>
    </row>
    <row r="2878" spans="1:11" hidden="1" x14ac:dyDescent="0.25">
      <c r="A2878" s="3" t="s">
        <v>5290</v>
      </c>
      <c r="B2878" s="3">
        <v>12</v>
      </c>
      <c r="C2878" s="5">
        <v>370</v>
      </c>
      <c r="D2878" s="6">
        <v>0</v>
      </c>
      <c r="E2878" s="7">
        <v>708300</v>
      </c>
      <c r="F2878" s="3">
        <v>55635</v>
      </c>
      <c r="G2878" s="3" t="str">
        <f t="shared" si="45"/>
        <v>5</v>
      </c>
      <c r="H2878" s="3" t="s">
        <v>2691</v>
      </c>
      <c r="I2878" s="8">
        <v>3500</v>
      </c>
      <c r="J2878" s="8">
        <v>150.76</v>
      </c>
      <c r="K2878" s="8">
        <v>3500</v>
      </c>
    </row>
    <row r="2879" spans="1:11" hidden="1" x14ac:dyDescent="0.25">
      <c r="A2879" s="3" t="s">
        <v>5291</v>
      </c>
      <c r="B2879" s="3">
        <v>12</v>
      </c>
      <c r="C2879" s="5">
        <v>370</v>
      </c>
      <c r="D2879" s="6">
        <v>0</v>
      </c>
      <c r="E2879" s="7">
        <v>708300</v>
      </c>
      <c r="F2879" s="3">
        <v>55810</v>
      </c>
      <c r="G2879" s="3" t="str">
        <f t="shared" si="45"/>
        <v>5</v>
      </c>
      <c r="H2879" s="3" t="s">
        <v>5292</v>
      </c>
      <c r="I2879" s="8">
        <v>1500</v>
      </c>
      <c r="J2879" s="8">
        <v>0</v>
      </c>
      <c r="K2879" s="8">
        <v>1500</v>
      </c>
    </row>
    <row r="2880" spans="1:11" hidden="1" x14ac:dyDescent="0.25">
      <c r="A2880" s="3" t="s">
        <v>5293</v>
      </c>
      <c r="B2880" s="3">
        <v>12</v>
      </c>
      <c r="C2880" s="5">
        <v>370</v>
      </c>
      <c r="D2880" s="6">
        <v>0</v>
      </c>
      <c r="E2880" s="7">
        <v>708300</v>
      </c>
      <c r="F2880" s="3">
        <v>57350</v>
      </c>
      <c r="G2880" s="3" t="str">
        <f t="shared" si="45"/>
        <v>5</v>
      </c>
      <c r="H2880" s="3" t="s">
        <v>2693</v>
      </c>
      <c r="I2880" s="8">
        <v>188838.53</v>
      </c>
      <c r="J2880" s="8">
        <v>52979.63</v>
      </c>
      <c r="K2880" s="8">
        <v>188838.53</v>
      </c>
    </row>
    <row r="2881" spans="1:11" hidden="1" x14ac:dyDescent="0.25">
      <c r="A2881" s="3" t="s">
        <v>5294</v>
      </c>
      <c r="B2881" s="3">
        <v>12</v>
      </c>
      <c r="C2881" s="5">
        <v>370</v>
      </c>
      <c r="D2881" s="6">
        <v>0</v>
      </c>
      <c r="E2881" s="7">
        <v>708305</v>
      </c>
      <c r="F2881" s="3">
        <v>48690</v>
      </c>
      <c r="G2881" s="3" t="str">
        <f t="shared" si="45"/>
        <v>4</v>
      </c>
      <c r="H2881" s="3" t="s">
        <v>5295</v>
      </c>
      <c r="I2881" s="8">
        <v>-22500</v>
      </c>
      <c r="J2881" s="8">
        <v>-1808.43</v>
      </c>
      <c r="K2881" s="8">
        <v>-22500</v>
      </c>
    </row>
    <row r="2882" spans="1:11" hidden="1" x14ac:dyDescent="0.25">
      <c r="A2882" s="3" t="s">
        <v>5296</v>
      </c>
      <c r="B2882" s="3">
        <v>12</v>
      </c>
      <c r="C2882" s="5">
        <v>370</v>
      </c>
      <c r="D2882" s="6">
        <v>0</v>
      </c>
      <c r="E2882" s="7">
        <v>708305</v>
      </c>
      <c r="F2882" s="3">
        <v>52360</v>
      </c>
      <c r="G2882" s="3" t="str">
        <f t="shared" si="45"/>
        <v>5</v>
      </c>
      <c r="H2882" s="3" t="s">
        <v>5297</v>
      </c>
      <c r="I2882" s="8">
        <v>16000</v>
      </c>
      <c r="J2882" s="8">
        <v>2227</v>
      </c>
      <c r="K2882" s="8">
        <v>16000</v>
      </c>
    </row>
    <row r="2883" spans="1:11" hidden="1" x14ac:dyDescent="0.25">
      <c r="A2883" s="3" t="s">
        <v>5298</v>
      </c>
      <c r="B2883" s="3">
        <v>12</v>
      </c>
      <c r="C2883" s="5">
        <v>370</v>
      </c>
      <c r="D2883" s="6">
        <v>0</v>
      </c>
      <c r="E2883" s="7">
        <v>708305</v>
      </c>
      <c r="F2883" s="3">
        <v>53220</v>
      </c>
      <c r="G2883" s="3" t="str">
        <f t="shared" si="45"/>
        <v>5</v>
      </c>
      <c r="H2883" s="3" t="s">
        <v>5299</v>
      </c>
      <c r="I2883" s="8">
        <v>0</v>
      </c>
      <c r="J2883" s="8">
        <v>0</v>
      </c>
      <c r="K2883" s="8">
        <v>0</v>
      </c>
    </row>
    <row r="2884" spans="1:11" hidden="1" x14ac:dyDescent="0.25">
      <c r="A2884" s="3" t="s">
        <v>5300</v>
      </c>
      <c r="B2884" s="3">
        <v>12</v>
      </c>
      <c r="C2884" s="5">
        <v>370</v>
      </c>
      <c r="D2884" s="6">
        <v>0</v>
      </c>
      <c r="E2884" s="7">
        <v>708305</v>
      </c>
      <c r="F2884" s="3">
        <v>53320</v>
      </c>
      <c r="G2884" s="3" t="str">
        <f t="shared" si="45"/>
        <v>5</v>
      </c>
      <c r="H2884" s="3" t="s">
        <v>5301</v>
      </c>
      <c r="I2884" s="8">
        <v>992</v>
      </c>
      <c r="J2884" s="8">
        <v>138.07</v>
      </c>
      <c r="K2884" s="8">
        <v>992</v>
      </c>
    </row>
    <row r="2885" spans="1:11" hidden="1" x14ac:dyDescent="0.25">
      <c r="A2885" s="3" t="s">
        <v>5302</v>
      </c>
      <c r="B2885" s="3">
        <v>12</v>
      </c>
      <c r="C2885" s="5">
        <v>370</v>
      </c>
      <c r="D2885" s="6">
        <v>0</v>
      </c>
      <c r="E2885" s="7">
        <v>708305</v>
      </c>
      <c r="F2885" s="3">
        <v>53340</v>
      </c>
      <c r="G2885" s="3" t="str">
        <f t="shared" si="45"/>
        <v>5</v>
      </c>
      <c r="H2885" s="3" t="s">
        <v>5303</v>
      </c>
      <c r="I2885" s="8">
        <v>232</v>
      </c>
      <c r="J2885" s="8">
        <v>32.29</v>
      </c>
      <c r="K2885" s="8">
        <v>232</v>
      </c>
    </row>
    <row r="2886" spans="1:11" hidden="1" x14ac:dyDescent="0.25">
      <c r="A2886" s="3" t="s">
        <v>5304</v>
      </c>
      <c r="B2886" s="3">
        <v>12</v>
      </c>
      <c r="C2886" s="5">
        <v>370</v>
      </c>
      <c r="D2886" s="6">
        <v>0</v>
      </c>
      <c r="E2886" s="7">
        <v>708305</v>
      </c>
      <c r="F2886" s="3">
        <v>53520</v>
      </c>
      <c r="G2886" s="3" t="str">
        <f t="shared" si="45"/>
        <v>5</v>
      </c>
      <c r="H2886" s="3" t="s">
        <v>5305</v>
      </c>
      <c r="I2886" s="8">
        <v>8</v>
      </c>
      <c r="J2886" s="8">
        <v>1.1200000000000001</v>
      </c>
      <c r="K2886" s="8">
        <v>8</v>
      </c>
    </row>
    <row r="2887" spans="1:11" hidden="1" x14ac:dyDescent="0.25">
      <c r="A2887" s="3" t="s">
        <v>5306</v>
      </c>
      <c r="B2887" s="3">
        <v>12</v>
      </c>
      <c r="C2887" s="5">
        <v>370</v>
      </c>
      <c r="D2887" s="6">
        <v>0</v>
      </c>
      <c r="E2887" s="7">
        <v>708305</v>
      </c>
      <c r="F2887" s="3">
        <v>53620</v>
      </c>
      <c r="G2887" s="3" t="str">
        <f t="shared" si="45"/>
        <v>5</v>
      </c>
      <c r="H2887" s="3" t="s">
        <v>5307</v>
      </c>
      <c r="I2887" s="8">
        <v>303</v>
      </c>
      <c r="J2887" s="8">
        <v>42.11</v>
      </c>
      <c r="K2887" s="8">
        <v>303</v>
      </c>
    </row>
    <row r="2888" spans="1:11" hidden="1" x14ac:dyDescent="0.25">
      <c r="A2888" s="3" t="s">
        <v>5308</v>
      </c>
      <c r="B2888" s="3">
        <v>12</v>
      </c>
      <c r="C2888" s="5">
        <v>370</v>
      </c>
      <c r="D2888" s="6">
        <v>0</v>
      </c>
      <c r="E2888" s="7">
        <v>708305</v>
      </c>
      <c r="F2888" s="3">
        <v>54210</v>
      </c>
      <c r="G2888" s="3" t="str">
        <f t="shared" si="45"/>
        <v>5</v>
      </c>
      <c r="H2888" s="3" t="s">
        <v>5309</v>
      </c>
      <c r="I2888" s="8">
        <v>2000</v>
      </c>
      <c r="J2888" s="8">
        <v>0</v>
      </c>
      <c r="K2888" s="8">
        <v>2000</v>
      </c>
    </row>
    <row r="2889" spans="1:11" hidden="1" x14ac:dyDescent="0.25">
      <c r="A2889" s="3" t="s">
        <v>5310</v>
      </c>
      <c r="B2889" s="3">
        <v>12</v>
      </c>
      <c r="C2889" s="5">
        <v>370</v>
      </c>
      <c r="D2889" s="6">
        <v>0</v>
      </c>
      <c r="E2889" s="7">
        <v>708305</v>
      </c>
      <c r="F2889" s="3">
        <v>54300</v>
      </c>
      <c r="G2889" s="3" t="str">
        <f t="shared" si="45"/>
        <v>5</v>
      </c>
      <c r="H2889" s="3" t="s">
        <v>5311</v>
      </c>
      <c r="I2889" s="8">
        <v>965</v>
      </c>
      <c r="J2889" s="8">
        <v>113.06</v>
      </c>
      <c r="K2889" s="8">
        <v>965</v>
      </c>
    </row>
    <row r="2890" spans="1:11" hidden="1" x14ac:dyDescent="0.25">
      <c r="A2890" s="3" t="s">
        <v>5312</v>
      </c>
      <c r="B2890" s="3">
        <v>12</v>
      </c>
      <c r="C2890" s="5">
        <v>370</v>
      </c>
      <c r="D2890" s="6">
        <v>0</v>
      </c>
      <c r="E2890" s="7">
        <v>708305</v>
      </c>
      <c r="F2890" s="3">
        <v>55100</v>
      </c>
      <c r="G2890" s="3" t="str">
        <f t="shared" si="45"/>
        <v>5</v>
      </c>
      <c r="H2890" s="3" t="s">
        <v>5313</v>
      </c>
      <c r="I2890" s="8">
        <v>1000</v>
      </c>
      <c r="J2890" s="8">
        <v>0</v>
      </c>
      <c r="K2890" s="8">
        <v>1000</v>
      </c>
    </row>
    <row r="2891" spans="1:11" hidden="1" x14ac:dyDescent="0.25">
      <c r="A2891" s="3" t="s">
        <v>5314</v>
      </c>
      <c r="B2891" s="3">
        <v>12</v>
      </c>
      <c r="C2891" s="5">
        <v>370</v>
      </c>
      <c r="D2891" s="6">
        <v>0</v>
      </c>
      <c r="E2891" s="7">
        <v>708305</v>
      </c>
      <c r="F2891" s="3">
        <v>55200</v>
      </c>
      <c r="G2891" s="3" t="str">
        <f t="shared" si="45"/>
        <v>5</v>
      </c>
      <c r="H2891" s="3" t="s">
        <v>5315</v>
      </c>
      <c r="I2891" s="8">
        <v>500</v>
      </c>
      <c r="J2891" s="8">
        <v>0</v>
      </c>
      <c r="K2891" s="8">
        <v>500</v>
      </c>
    </row>
    <row r="2892" spans="1:11" hidden="1" x14ac:dyDescent="0.25">
      <c r="A2892" s="3" t="s">
        <v>5316</v>
      </c>
      <c r="B2892" s="3">
        <v>12</v>
      </c>
      <c r="C2892" s="5">
        <v>370</v>
      </c>
      <c r="D2892" s="6">
        <v>0</v>
      </c>
      <c r="E2892" s="7">
        <v>708305</v>
      </c>
      <c r="F2892" s="3">
        <v>55630</v>
      </c>
      <c r="G2892" s="3" t="str">
        <f t="shared" si="45"/>
        <v>5</v>
      </c>
      <c r="H2892" s="3" t="s">
        <v>5317</v>
      </c>
      <c r="I2892" s="8">
        <v>500</v>
      </c>
      <c r="J2892" s="8">
        <v>0</v>
      </c>
      <c r="K2892" s="8">
        <v>500</v>
      </c>
    </row>
    <row r="2893" spans="1:11" hidden="1" x14ac:dyDescent="0.25">
      <c r="A2893" s="3" t="s">
        <v>5318</v>
      </c>
      <c r="B2893" s="3">
        <v>12</v>
      </c>
      <c r="C2893" s="5">
        <v>370</v>
      </c>
      <c r="D2893" s="6">
        <v>0</v>
      </c>
      <c r="E2893" s="7">
        <v>732030</v>
      </c>
      <c r="F2893" s="3">
        <v>48890</v>
      </c>
      <c r="G2893" s="3" t="str">
        <f t="shared" si="45"/>
        <v>4</v>
      </c>
      <c r="H2893" s="3" t="s">
        <v>5319</v>
      </c>
      <c r="I2893" s="8">
        <v>-1800</v>
      </c>
      <c r="J2893" s="8">
        <v>-1800</v>
      </c>
      <c r="K2893" s="8">
        <v>-1800</v>
      </c>
    </row>
    <row r="2894" spans="1:11" hidden="1" x14ac:dyDescent="0.25">
      <c r="A2894" s="3" t="s">
        <v>5320</v>
      </c>
      <c r="B2894" s="3">
        <v>12</v>
      </c>
      <c r="C2894" s="5">
        <v>370</v>
      </c>
      <c r="D2894" s="6">
        <v>0</v>
      </c>
      <c r="E2894" s="7">
        <v>732030</v>
      </c>
      <c r="F2894" s="3">
        <v>57600</v>
      </c>
      <c r="G2894" s="3" t="str">
        <f t="shared" si="45"/>
        <v>5</v>
      </c>
      <c r="H2894" s="3" t="s">
        <v>5321</v>
      </c>
      <c r="I2894" s="8">
        <v>1800</v>
      </c>
      <c r="J2894" s="8">
        <v>764.54</v>
      </c>
      <c r="K2894" s="8">
        <v>1800</v>
      </c>
    </row>
    <row r="2895" spans="1:11" hidden="1" x14ac:dyDescent="0.25">
      <c r="A2895" s="3" t="s">
        <v>5322</v>
      </c>
      <c r="B2895" s="3">
        <v>12</v>
      </c>
      <c r="C2895" s="5">
        <v>372</v>
      </c>
      <c r="D2895" s="6">
        <v>0</v>
      </c>
      <c r="E2895" s="7">
        <v>679020</v>
      </c>
      <c r="F2895" s="3">
        <v>56400</v>
      </c>
      <c r="G2895" s="3" t="str">
        <f t="shared" si="45"/>
        <v>5</v>
      </c>
      <c r="H2895" s="3" t="s">
        <v>3572</v>
      </c>
      <c r="I2895" s="8">
        <v>0</v>
      </c>
      <c r="J2895" s="8">
        <v>0</v>
      </c>
      <c r="K2895" s="8">
        <v>0</v>
      </c>
    </row>
    <row r="2896" spans="1:11" hidden="1" x14ac:dyDescent="0.25">
      <c r="A2896" s="3" t="s">
        <v>5323</v>
      </c>
      <c r="B2896" s="3">
        <v>12</v>
      </c>
      <c r="C2896" s="5">
        <v>395</v>
      </c>
      <c r="D2896" s="6">
        <v>0</v>
      </c>
      <c r="E2896" s="7">
        <v>735050</v>
      </c>
      <c r="F2896" s="3">
        <v>48890</v>
      </c>
      <c r="G2896" s="3" t="str">
        <f t="shared" si="45"/>
        <v>4</v>
      </c>
      <c r="H2896" s="3" t="s">
        <v>5324</v>
      </c>
      <c r="I2896" s="8">
        <v>-115000</v>
      </c>
      <c r="J2896" s="8">
        <v>-57500</v>
      </c>
      <c r="K2896" s="8">
        <v>-115000</v>
      </c>
    </row>
    <row r="2897" spans="1:11" hidden="1" x14ac:dyDescent="0.25">
      <c r="A2897" s="3" t="s">
        <v>5325</v>
      </c>
      <c r="B2897" s="3">
        <v>12</v>
      </c>
      <c r="C2897" s="5">
        <v>395</v>
      </c>
      <c r="D2897" s="6">
        <v>0</v>
      </c>
      <c r="E2897" s="7">
        <v>735050</v>
      </c>
      <c r="F2897" s="3">
        <v>51412</v>
      </c>
      <c r="G2897" s="3" t="str">
        <f t="shared" si="45"/>
        <v>5</v>
      </c>
      <c r="H2897" s="3" t="s">
        <v>5326</v>
      </c>
      <c r="I2897" s="8">
        <v>5500</v>
      </c>
      <c r="J2897" s="8">
        <v>817.28</v>
      </c>
      <c r="K2897" s="8">
        <v>5500</v>
      </c>
    </row>
    <row r="2898" spans="1:11" hidden="1" x14ac:dyDescent="0.25">
      <c r="A2898" s="3" t="s">
        <v>5327</v>
      </c>
      <c r="B2898" s="3">
        <v>12</v>
      </c>
      <c r="C2898" s="5">
        <v>395</v>
      </c>
      <c r="D2898" s="6">
        <v>0</v>
      </c>
      <c r="E2898" s="7">
        <v>735050</v>
      </c>
      <c r="F2898" s="3">
        <v>52105</v>
      </c>
      <c r="G2898" s="3" t="str">
        <f t="shared" si="45"/>
        <v>5</v>
      </c>
      <c r="H2898" s="3" t="s">
        <v>5328</v>
      </c>
      <c r="I2898" s="8">
        <v>35211</v>
      </c>
      <c r="J2898" s="8">
        <v>23839.18</v>
      </c>
      <c r="K2898" s="8">
        <v>35211</v>
      </c>
    </row>
    <row r="2899" spans="1:11" hidden="1" x14ac:dyDescent="0.25">
      <c r="A2899" s="3" t="s">
        <v>5329</v>
      </c>
      <c r="B2899" s="3">
        <v>12</v>
      </c>
      <c r="C2899" s="5">
        <v>395</v>
      </c>
      <c r="D2899" s="6">
        <v>0</v>
      </c>
      <c r="E2899" s="7">
        <v>735050</v>
      </c>
      <c r="F2899" s="3">
        <v>52350</v>
      </c>
      <c r="G2899" s="3" t="str">
        <f t="shared" si="45"/>
        <v>5</v>
      </c>
      <c r="H2899" s="3" t="s">
        <v>5330</v>
      </c>
      <c r="I2899" s="8">
        <v>7000</v>
      </c>
      <c r="J2899" s="8">
        <v>9185</v>
      </c>
      <c r="K2899" s="8">
        <v>7000</v>
      </c>
    </row>
    <row r="2900" spans="1:11" hidden="1" x14ac:dyDescent="0.25">
      <c r="A2900" s="3" t="s">
        <v>5331</v>
      </c>
      <c r="B2900" s="3">
        <v>12</v>
      </c>
      <c r="C2900" s="5">
        <v>395</v>
      </c>
      <c r="D2900" s="6">
        <v>0</v>
      </c>
      <c r="E2900" s="7">
        <v>735050</v>
      </c>
      <c r="F2900" s="3">
        <v>52360</v>
      </c>
      <c r="G2900" s="3" t="str">
        <f t="shared" si="45"/>
        <v>5</v>
      </c>
      <c r="H2900" s="3" t="s">
        <v>5332</v>
      </c>
      <c r="I2900" s="8">
        <v>0</v>
      </c>
      <c r="J2900" s="8">
        <v>0</v>
      </c>
      <c r="K2900" s="8">
        <v>0</v>
      </c>
    </row>
    <row r="2901" spans="1:11" hidden="1" x14ac:dyDescent="0.25">
      <c r="A2901" s="3" t="s">
        <v>5333</v>
      </c>
      <c r="B2901" s="3">
        <v>12</v>
      </c>
      <c r="C2901" s="5">
        <v>395</v>
      </c>
      <c r="D2901" s="6">
        <v>0</v>
      </c>
      <c r="E2901" s="7">
        <v>735050</v>
      </c>
      <c r="F2901" s="3">
        <v>53120</v>
      </c>
      <c r="G2901" s="3" t="str">
        <f t="shared" si="45"/>
        <v>5</v>
      </c>
      <c r="H2901" s="3" t="s">
        <v>5334</v>
      </c>
      <c r="I2901" s="8">
        <v>888</v>
      </c>
      <c r="J2901" s="8">
        <v>79.2</v>
      </c>
      <c r="K2901" s="8">
        <v>888</v>
      </c>
    </row>
    <row r="2902" spans="1:11" hidden="1" x14ac:dyDescent="0.25">
      <c r="A2902" s="3" t="s">
        <v>5335</v>
      </c>
      <c r="B2902" s="3">
        <v>12</v>
      </c>
      <c r="C2902" s="5">
        <v>395</v>
      </c>
      <c r="D2902" s="6">
        <v>0</v>
      </c>
      <c r="E2902" s="7">
        <v>735050</v>
      </c>
      <c r="F2902" s="3">
        <v>53220</v>
      </c>
      <c r="G2902" s="3" t="str">
        <f t="shared" si="45"/>
        <v>5</v>
      </c>
      <c r="H2902" s="3" t="s">
        <v>5336</v>
      </c>
      <c r="I2902" s="8">
        <v>7289</v>
      </c>
      <c r="J2902" s="8">
        <v>4937.6000000000004</v>
      </c>
      <c r="K2902" s="8">
        <v>7289</v>
      </c>
    </row>
    <row r="2903" spans="1:11" hidden="1" x14ac:dyDescent="0.25">
      <c r="A2903" s="3" t="s">
        <v>5337</v>
      </c>
      <c r="B2903" s="3">
        <v>12</v>
      </c>
      <c r="C2903" s="5">
        <v>395</v>
      </c>
      <c r="D2903" s="6">
        <v>0</v>
      </c>
      <c r="E2903" s="7">
        <v>735050</v>
      </c>
      <c r="F2903" s="3">
        <v>53320</v>
      </c>
      <c r="G2903" s="3" t="str">
        <f t="shared" si="45"/>
        <v>5</v>
      </c>
      <c r="H2903" s="3" t="s">
        <v>5338</v>
      </c>
      <c r="I2903" s="8">
        <v>2183</v>
      </c>
      <c r="J2903" s="8">
        <v>1417.83</v>
      </c>
      <c r="K2903" s="8">
        <v>2183</v>
      </c>
    </row>
    <row r="2904" spans="1:11" hidden="1" x14ac:dyDescent="0.25">
      <c r="A2904" s="3" t="s">
        <v>5339</v>
      </c>
      <c r="B2904" s="3">
        <v>12</v>
      </c>
      <c r="C2904" s="5">
        <v>395</v>
      </c>
      <c r="D2904" s="6">
        <v>0</v>
      </c>
      <c r="E2904" s="7">
        <v>735050</v>
      </c>
      <c r="F2904" s="3">
        <v>53340</v>
      </c>
      <c r="G2904" s="3" t="str">
        <f t="shared" si="45"/>
        <v>5</v>
      </c>
      <c r="H2904" s="3" t="s">
        <v>5340</v>
      </c>
      <c r="I2904" s="8">
        <v>591</v>
      </c>
      <c r="J2904" s="8">
        <v>338.74</v>
      </c>
      <c r="K2904" s="8">
        <v>591</v>
      </c>
    </row>
    <row r="2905" spans="1:11" hidden="1" x14ac:dyDescent="0.25">
      <c r="A2905" s="3" t="s">
        <v>5341</v>
      </c>
      <c r="B2905" s="3">
        <v>12</v>
      </c>
      <c r="C2905" s="5">
        <v>395</v>
      </c>
      <c r="D2905" s="6">
        <v>0</v>
      </c>
      <c r="E2905" s="7">
        <v>735050</v>
      </c>
      <c r="F2905" s="3">
        <v>53420</v>
      </c>
      <c r="G2905" s="3" t="str">
        <f t="shared" si="45"/>
        <v>5</v>
      </c>
      <c r="H2905" s="3" t="s">
        <v>5342</v>
      </c>
      <c r="I2905" s="8">
        <v>16561</v>
      </c>
      <c r="J2905" s="8">
        <v>12126.17</v>
      </c>
      <c r="K2905" s="8">
        <v>16561</v>
      </c>
    </row>
    <row r="2906" spans="1:11" hidden="1" x14ac:dyDescent="0.25">
      <c r="A2906" s="3" t="s">
        <v>5343</v>
      </c>
      <c r="B2906" s="3">
        <v>12</v>
      </c>
      <c r="C2906" s="5">
        <v>395</v>
      </c>
      <c r="D2906" s="6">
        <v>0</v>
      </c>
      <c r="E2906" s="7">
        <v>735050</v>
      </c>
      <c r="F2906" s="3">
        <v>53520</v>
      </c>
      <c r="G2906" s="3" t="str">
        <f t="shared" si="45"/>
        <v>5</v>
      </c>
      <c r="H2906" s="3" t="s">
        <v>5344</v>
      </c>
      <c r="I2906" s="8">
        <v>21</v>
      </c>
      <c r="J2906" s="8">
        <v>11.83</v>
      </c>
      <c r="K2906" s="8">
        <v>21</v>
      </c>
    </row>
    <row r="2907" spans="1:11" hidden="1" x14ac:dyDescent="0.25">
      <c r="A2907" s="3" t="s">
        <v>5345</v>
      </c>
      <c r="B2907" s="3">
        <v>12</v>
      </c>
      <c r="C2907" s="5">
        <v>395</v>
      </c>
      <c r="D2907" s="6">
        <v>0</v>
      </c>
      <c r="E2907" s="7">
        <v>735050</v>
      </c>
      <c r="F2907" s="3">
        <v>53620</v>
      </c>
      <c r="G2907" s="3" t="str">
        <f t="shared" ref="G2907:G2970" si="46">LEFT(F2907,1)</f>
        <v>5</v>
      </c>
      <c r="H2907" s="3" t="s">
        <v>5346</v>
      </c>
      <c r="I2907" s="8">
        <v>865</v>
      </c>
      <c r="J2907" s="8">
        <v>641.21</v>
      </c>
      <c r="K2907" s="8">
        <v>865</v>
      </c>
    </row>
    <row r="2908" spans="1:11" hidden="1" x14ac:dyDescent="0.25">
      <c r="A2908" s="3" t="s">
        <v>5347</v>
      </c>
      <c r="B2908" s="3">
        <v>12</v>
      </c>
      <c r="C2908" s="5">
        <v>395</v>
      </c>
      <c r="D2908" s="6">
        <v>0</v>
      </c>
      <c r="E2908" s="7">
        <v>735050</v>
      </c>
      <c r="F2908" s="3">
        <v>54210</v>
      </c>
      <c r="G2908" s="3" t="str">
        <f t="shared" si="46"/>
        <v>5</v>
      </c>
      <c r="H2908" s="3" t="s">
        <v>5348</v>
      </c>
      <c r="I2908" s="8">
        <v>0</v>
      </c>
      <c r="J2908" s="8">
        <v>0</v>
      </c>
      <c r="K2908" s="8">
        <v>0</v>
      </c>
    </row>
    <row r="2909" spans="1:11" hidden="1" x14ac:dyDescent="0.25">
      <c r="A2909" s="3" t="s">
        <v>5349</v>
      </c>
      <c r="B2909" s="3">
        <v>12</v>
      </c>
      <c r="C2909" s="5">
        <v>395</v>
      </c>
      <c r="D2909" s="6">
        <v>0</v>
      </c>
      <c r="E2909" s="7">
        <v>735050</v>
      </c>
      <c r="F2909" s="3">
        <v>54300</v>
      </c>
      <c r="G2909" s="3" t="str">
        <f t="shared" si="46"/>
        <v>5</v>
      </c>
      <c r="H2909" s="3" t="s">
        <v>5350</v>
      </c>
      <c r="I2909" s="8">
        <v>1300</v>
      </c>
      <c r="J2909" s="8">
        <v>542.82000000000005</v>
      </c>
      <c r="K2909" s="8">
        <v>1300</v>
      </c>
    </row>
    <row r="2910" spans="1:11" hidden="1" x14ac:dyDescent="0.25">
      <c r="A2910" s="3" t="s">
        <v>5351</v>
      </c>
      <c r="B2910" s="3">
        <v>12</v>
      </c>
      <c r="C2910" s="5">
        <v>395</v>
      </c>
      <c r="D2910" s="6">
        <v>0</v>
      </c>
      <c r="E2910" s="7">
        <v>735050</v>
      </c>
      <c r="F2910" s="3">
        <v>55100</v>
      </c>
      <c r="G2910" s="3" t="str">
        <f t="shared" si="46"/>
        <v>5</v>
      </c>
      <c r="H2910" s="3" t="s">
        <v>5352</v>
      </c>
      <c r="I2910" s="8">
        <v>2000</v>
      </c>
      <c r="J2910" s="8">
        <v>2000</v>
      </c>
      <c r="K2910" s="8">
        <v>2000</v>
      </c>
    </row>
    <row r="2911" spans="1:11" hidden="1" x14ac:dyDescent="0.25">
      <c r="A2911" s="3" t="s">
        <v>5353</v>
      </c>
      <c r="B2911" s="3">
        <v>12</v>
      </c>
      <c r="C2911" s="5">
        <v>395</v>
      </c>
      <c r="D2911" s="6">
        <v>0</v>
      </c>
      <c r="E2911" s="7">
        <v>735050</v>
      </c>
      <c r="F2911" s="3">
        <v>55105</v>
      </c>
      <c r="G2911" s="3" t="str">
        <f t="shared" si="46"/>
        <v>5</v>
      </c>
      <c r="H2911" s="3" t="s">
        <v>5354</v>
      </c>
      <c r="I2911" s="8">
        <v>2000</v>
      </c>
      <c r="J2911" s="8">
        <v>0</v>
      </c>
      <c r="K2911" s="8">
        <v>2000</v>
      </c>
    </row>
    <row r="2912" spans="1:11" hidden="1" x14ac:dyDescent="0.25">
      <c r="A2912" s="3" t="s">
        <v>5355</v>
      </c>
      <c r="B2912" s="3">
        <v>12</v>
      </c>
      <c r="C2912" s="5">
        <v>395</v>
      </c>
      <c r="D2912" s="6">
        <v>0</v>
      </c>
      <c r="E2912" s="7">
        <v>735050</v>
      </c>
      <c r="F2912" s="3">
        <v>55200</v>
      </c>
      <c r="G2912" s="3" t="str">
        <f t="shared" si="46"/>
        <v>5</v>
      </c>
      <c r="H2912" s="3" t="s">
        <v>5356</v>
      </c>
      <c r="I2912" s="8">
        <v>0</v>
      </c>
      <c r="J2912" s="8">
        <v>0</v>
      </c>
      <c r="K2912" s="8">
        <v>0</v>
      </c>
    </row>
    <row r="2913" spans="1:11" hidden="1" x14ac:dyDescent="0.25">
      <c r="A2913" s="3" t="s">
        <v>5357</v>
      </c>
      <c r="B2913" s="3">
        <v>12</v>
      </c>
      <c r="C2913" s="5">
        <v>395</v>
      </c>
      <c r="D2913" s="6">
        <v>0</v>
      </c>
      <c r="E2913" s="7">
        <v>735050</v>
      </c>
      <c r="F2913" s="3">
        <v>55240</v>
      </c>
      <c r="G2913" s="3" t="str">
        <f t="shared" si="46"/>
        <v>5</v>
      </c>
      <c r="H2913" s="3" t="s">
        <v>5358</v>
      </c>
      <c r="I2913" s="8">
        <v>0</v>
      </c>
      <c r="J2913" s="8">
        <v>0</v>
      </c>
      <c r="K2913" s="8">
        <v>0</v>
      </c>
    </row>
    <row r="2914" spans="1:11" hidden="1" x14ac:dyDescent="0.25">
      <c r="A2914" s="3" t="s">
        <v>5359</v>
      </c>
      <c r="B2914" s="3">
        <v>12</v>
      </c>
      <c r="C2914" s="5">
        <v>395</v>
      </c>
      <c r="D2914" s="6">
        <v>0</v>
      </c>
      <c r="E2914" s="7">
        <v>735050</v>
      </c>
      <c r="F2914" s="3">
        <v>55630</v>
      </c>
      <c r="G2914" s="3" t="str">
        <f t="shared" si="46"/>
        <v>5</v>
      </c>
      <c r="H2914" s="3" t="s">
        <v>5360</v>
      </c>
      <c r="I2914" s="8">
        <v>0</v>
      </c>
      <c r="J2914" s="8">
        <v>0</v>
      </c>
      <c r="K2914" s="8">
        <v>0</v>
      </c>
    </row>
    <row r="2915" spans="1:11" hidden="1" x14ac:dyDescent="0.25">
      <c r="A2915" s="3" t="s">
        <v>5361</v>
      </c>
      <c r="B2915" s="3">
        <v>12</v>
      </c>
      <c r="C2915" s="5">
        <v>395</v>
      </c>
      <c r="D2915" s="6">
        <v>0</v>
      </c>
      <c r="E2915" s="7">
        <v>735050</v>
      </c>
      <c r="F2915" s="3">
        <v>55635</v>
      </c>
      <c r="G2915" s="3" t="str">
        <f t="shared" si="46"/>
        <v>5</v>
      </c>
      <c r="H2915" s="3" t="s">
        <v>5362</v>
      </c>
      <c r="I2915" s="8">
        <v>0</v>
      </c>
      <c r="J2915" s="8">
        <v>0</v>
      </c>
      <c r="K2915" s="8">
        <v>0</v>
      </c>
    </row>
    <row r="2916" spans="1:11" hidden="1" x14ac:dyDescent="0.25">
      <c r="A2916" s="3" t="s">
        <v>5363</v>
      </c>
      <c r="B2916" s="3">
        <v>12</v>
      </c>
      <c r="C2916" s="5">
        <v>395</v>
      </c>
      <c r="D2916" s="6">
        <v>0</v>
      </c>
      <c r="E2916" s="7">
        <v>735050</v>
      </c>
      <c r="F2916" s="3">
        <v>55800</v>
      </c>
      <c r="G2916" s="3" t="str">
        <f t="shared" si="46"/>
        <v>5</v>
      </c>
      <c r="H2916" s="3" t="s">
        <v>5364</v>
      </c>
      <c r="I2916" s="8">
        <v>11386.45</v>
      </c>
      <c r="J2916" s="8">
        <v>0</v>
      </c>
      <c r="K2916" s="8">
        <v>11386.45</v>
      </c>
    </row>
    <row r="2917" spans="1:11" hidden="1" x14ac:dyDescent="0.25">
      <c r="A2917" s="3" t="s">
        <v>5365</v>
      </c>
      <c r="B2917" s="3">
        <v>12</v>
      </c>
      <c r="C2917" s="5">
        <v>395</v>
      </c>
      <c r="D2917" s="6">
        <v>0</v>
      </c>
      <c r="E2917" s="7">
        <v>735050</v>
      </c>
      <c r="F2917" s="3">
        <v>56400</v>
      </c>
      <c r="G2917" s="3" t="str">
        <f t="shared" si="46"/>
        <v>5</v>
      </c>
      <c r="H2917" s="3" t="s">
        <v>5366</v>
      </c>
      <c r="I2917" s="8">
        <v>0</v>
      </c>
      <c r="J2917" s="8">
        <v>0</v>
      </c>
      <c r="K2917" s="8">
        <v>0</v>
      </c>
    </row>
    <row r="2918" spans="1:11" hidden="1" x14ac:dyDescent="0.25">
      <c r="A2918" s="3" t="s">
        <v>5367</v>
      </c>
      <c r="B2918" s="3">
        <v>12</v>
      </c>
      <c r="C2918" s="5">
        <v>395</v>
      </c>
      <c r="D2918" s="6">
        <v>0</v>
      </c>
      <c r="E2918" s="7">
        <v>735050</v>
      </c>
      <c r="F2918" s="3">
        <v>57350</v>
      </c>
      <c r="G2918" s="3" t="str">
        <f t="shared" si="46"/>
        <v>5</v>
      </c>
      <c r="H2918" s="3" t="s">
        <v>5368</v>
      </c>
      <c r="I2918" s="8">
        <v>10454.549999999999</v>
      </c>
      <c r="J2918" s="8">
        <v>3544.54</v>
      </c>
      <c r="K2918" s="8">
        <v>10454.549999999999</v>
      </c>
    </row>
    <row r="2919" spans="1:11" hidden="1" x14ac:dyDescent="0.25">
      <c r="A2919" s="3" t="s">
        <v>5369</v>
      </c>
      <c r="B2919" s="3">
        <v>12</v>
      </c>
      <c r="C2919" s="5">
        <v>395</v>
      </c>
      <c r="D2919" s="6">
        <v>0</v>
      </c>
      <c r="E2919" s="7">
        <v>735050</v>
      </c>
      <c r="F2919" s="3">
        <v>57510</v>
      </c>
      <c r="G2919" s="3" t="str">
        <f t="shared" si="46"/>
        <v>5</v>
      </c>
      <c r="H2919" s="3" t="s">
        <v>5370</v>
      </c>
      <c r="I2919" s="8">
        <v>10000</v>
      </c>
      <c r="J2919" s="8">
        <v>12000</v>
      </c>
      <c r="K2919" s="8">
        <v>10000</v>
      </c>
    </row>
    <row r="2920" spans="1:11" hidden="1" x14ac:dyDescent="0.25">
      <c r="A2920" s="3" t="s">
        <v>5371</v>
      </c>
      <c r="B2920" s="3">
        <v>12</v>
      </c>
      <c r="C2920" s="5">
        <v>395</v>
      </c>
      <c r="D2920" s="6">
        <v>0</v>
      </c>
      <c r="E2920" s="7">
        <v>735050</v>
      </c>
      <c r="F2920" s="3">
        <v>57600</v>
      </c>
      <c r="G2920" s="3" t="str">
        <f t="shared" si="46"/>
        <v>5</v>
      </c>
      <c r="H2920" s="3" t="s">
        <v>5372</v>
      </c>
      <c r="I2920" s="8">
        <v>1750</v>
      </c>
      <c r="J2920" s="8">
        <v>0</v>
      </c>
      <c r="K2920" s="8">
        <v>1750</v>
      </c>
    </row>
    <row r="2921" spans="1:11" hidden="1" x14ac:dyDescent="0.25">
      <c r="A2921" s="3" t="s">
        <v>5373</v>
      </c>
      <c r="B2921" s="3">
        <v>12</v>
      </c>
      <c r="C2921" s="5">
        <v>400</v>
      </c>
      <c r="D2921" s="6">
        <v>0</v>
      </c>
      <c r="E2921" s="7">
        <v>649001</v>
      </c>
      <c r="F2921" s="3">
        <v>48690</v>
      </c>
      <c r="G2921" s="3" t="str">
        <f t="shared" si="46"/>
        <v>4</v>
      </c>
      <c r="H2921" s="3" t="s">
        <v>5374</v>
      </c>
      <c r="I2921" s="8">
        <v>-21709.88</v>
      </c>
      <c r="J2921" s="8">
        <v>-21709.88</v>
      </c>
      <c r="K2921" s="8">
        <v>-21709.88</v>
      </c>
    </row>
    <row r="2922" spans="1:11" hidden="1" x14ac:dyDescent="0.25">
      <c r="A2922" s="3" t="s">
        <v>5375</v>
      </c>
      <c r="B2922" s="3">
        <v>12</v>
      </c>
      <c r="C2922" s="5">
        <v>400</v>
      </c>
      <c r="D2922" s="6">
        <v>0</v>
      </c>
      <c r="E2922" s="7">
        <v>649001</v>
      </c>
      <c r="F2922" s="3">
        <v>54210</v>
      </c>
      <c r="G2922" s="3" t="str">
        <f t="shared" si="46"/>
        <v>5</v>
      </c>
      <c r="H2922" s="3" t="s">
        <v>5376</v>
      </c>
      <c r="I2922" s="8">
        <v>0</v>
      </c>
      <c r="J2922" s="8">
        <v>0</v>
      </c>
      <c r="K2922" s="8">
        <v>0</v>
      </c>
    </row>
    <row r="2923" spans="1:11" hidden="1" x14ac:dyDescent="0.25">
      <c r="A2923" s="3" t="s">
        <v>5377</v>
      </c>
      <c r="B2923" s="3">
        <v>12</v>
      </c>
      <c r="C2923" s="5">
        <v>400</v>
      </c>
      <c r="D2923" s="6">
        <v>0</v>
      </c>
      <c r="E2923" s="7">
        <v>649001</v>
      </c>
      <c r="F2923" s="3">
        <v>54300</v>
      </c>
      <c r="G2923" s="3" t="str">
        <f t="shared" si="46"/>
        <v>5</v>
      </c>
      <c r="H2923" s="3" t="s">
        <v>5378</v>
      </c>
      <c r="I2923" s="8">
        <v>20545.060000000001</v>
      </c>
      <c r="J2923" s="8">
        <v>4596.4799999999996</v>
      </c>
      <c r="K2923" s="8">
        <v>20545.060000000001</v>
      </c>
    </row>
    <row r="2924" spans="1:11" hidden="1" x14ac:dyDescent="0.25">
      <c r="A2924" s="3" t="s">
        <v>5379</v>
      </c>
      <c r="B2924" s="3">
        <v>12</v>
      </c>
      <c r="C2924" s="5">
        <v>400</v>
      </c>
      <c r="D2924" s="6">
        <v>0</v>
      </c>
      <c r="E2924" s="7">
        <v>649001</v>
      </c>
      <c r="F2924" s="3">
        <v>55200</v>
      </c>
      <c r="G2924" s="3" t="str">
        <f t="shared" si="46"/>
        <v>5</v>
      </c>
      <c r="H2924" s="3" t="s">
        <v>5380</v>
      </c>
      <c r="I2924" s="8">
        <v>0</v>
      </c>
      <c r="J2924" s="8">
        <v>0</v>
      </c>
      <c r="K2924" s="8">
        <v>0</v>
      </c>
    </row>
    <row r="2925" spans="1:11" hidden="1" x14ac:dyDescent="0.25">
      <c r="A2925" s="3" t="s">
        <v>5381</v>
      </c>
      <c r="B2925" s="3">
        <v>12</v>
      </c>
      <c r="C2925" s="5">
        <v>400</v>
      </c>
      <c r="D2925" s="6">
        <v>0</v>
      </c>
      <c r="E2925" s="7">
        <v>649001</v>
      </c>
      <c r="F2925" s="3">
        <v>55800</v>
      </c>
      <c r="G2925" s="3" t="str">
        <f t="shared" si="46"/>
        <v>5</v>
      </c>
      <c r="H2925" s="3" t="s">
        <v>5382</v>
      </c>
      <c r="I2925" s="8">
        <v>1000</v>
      </c>
      <c r="J2925" s="8">
        <v>0</v>
      </c>
      <c r="K2925" s="8">
        <v>1000</v>
      </c>
    </row>
    <row r="2926" spans="1:11" hidden="1" x14ac:dyDescent="0.25">
      <c r="A2926" s="3" t="s">
        <v>5383</v>
      </c>
      <c r="B2926" s="3">
        <v>12</v>
      </c>
      <c r="C2926" s="5">
        <v>400</v>
      </c>
      <c r="D2926" s="6">
        <v>0</v>
      </c>
      <c r="E2926" s="7">
        <v>649001</v>
      </c>
      <c r="F2926" s="3">
        <v>55830</v>
      </c>
      <c r="G2926" s="3" t="str">
        <f t="shared" si="46"/>
        <v>5</v>
      </c>
      <c r="H2926" s="3" t="s">
        <v>5384</v>
      </c>
      <c r="I2926" s="8">
        <v>0</v>
      </c>
      <c r="J2926" s="8">
        <v>0</v>
      </c>
      <c r="K2926" s="8">
        <v>0</v>
      </c>
    </row>
    <row r="2927" spans="1:11" hidden="1" x14ac:dyDescent="0.25">
      <c r="A2927" s="3" t="s">
        <v>5385</v>
      </c>
      <c r="B2927" s="3">
        <v>12</v>
      </c>
      <c r="C2927" s="5">
        <v>400</v>
      </c>
      <c r="D2927" s="6">
        <v>0</v>
      </c>
      <c r="E2927" s="7">
        <v>649001</v>
      </c>
      <c r="F2927" s="3">
        <v>56400</v>
      </c>
      <c r="G2927" s="3" t="str">
        <f t="shared" si="46"/>
        <v>5</v>
      </c>
      <c r="H2927" s="3" t="s">
        <v>5386</v>
      </c>
      <c r="I2927" s="8">
        <v>0</v>
      </c>
      <c r="J2927" s="8">
        <v>0</v>
      </c>
      <c r="K2927" s="8">
        <v>0</v>
      </c>
    </row>
    <row r="2928" spans="1:11" hidden="1" x14ac:dyDescent="0.25">
      <c r="A2928" s="3" t="s">
        <v>5387</v>
      </c>
      <c r="B2928" s="3">
        <v>12</v>
      </c>
      <c r="C2928" s="5">
        <v>400</v>
      </c>
      <c r="D2928" s="6">
        <v>0</v>
      </c>
      <c r="E2928" s="7">
        <v>649001</v>
      </c>
      <c r="F2928" s="3">
        <v>57600</v>
      </c>
      <c r="G2928" s="3" t="str">
        <f t="shared" si="46"/>
        <v>5</v>
      </c>
      <c r="H2928" s="3" t="s">
        <v>5388</v>
      </c>
      <c r="I2928" s="8">
        <v>164.82</v>
      </c>
      <c r="J2928" s="8">
        <v>1278.1400000000001</v>
      </c>
      <c r="K2928" s="8">
        <v>164.82</v>
      </c>
    </row>
    <row r="2929" spans="1:11" hidden="1" x14ac:dyDescent="0.25">
      <c r="A2929" s="3" t="s">
        <v>5389</v>
      </c>
      <c r="B2929" s="3">
        <v>12</v>
      </c>
      <c r="C2929" s="5">
        <v>400</v>
      </c>
      <c r="D2929" s="6">
        <v>0</v>
      </c>
      <c r="E2929" s="7">
        <v>649005</v>
      </c>
      <c r="F2929" s="3">
        <v>48627</v>
      </c>
      <c r="G2929" s="3" t="str">
        <f t="shared" si="46"/>
        <v>4</v>
      </c>
      <c r="H2929" s="3" t="s">
        <v>5390</v>
      </c>
      <c r="I2929" s="8">
        <v>0</v>
      </c>
      <c r="J2929" s="8">
        <v>-44726</v>
      </c>
      <c r="K2929" s="8">
        <v>0</v>
      </c>
    </row>
    <row r="2930" spans="1:11" hidden="1" x14ac:dyDescent="0.25">
      <c r="A2930" s="3" t="s">
        <v>5391</v>
      </c>
      <c r="B2930" s="3">
        <v>12</v>
      </c>
      <c r="C2930" s="5">
        <v>400</v>
      </c>
      <c r="D2930" s="6">
        <v>0</v>
      </c>
      <c r="E2930" s="7">
        <v>679000</v>
      </c>
      <c r="F2930" s="3">
        <v>54300</v>
      </c>
      <c r="G2930" s="3" t="str">
        <f t="shared" si="46"/>
        <v>5</v>
      </c>
      <c r="H2930" s="3" t="s">
        <v>3578</v>
      </c>
      <c r="I2930" s="8">
        <v>0</v>
      </c>
      <c r="J2930" s="8">
        <v>32.6</v>
      </c>
      <c r="K2930" s="8">
        <v>0</v>
      </c>
    </row>
    <row r="2931" spans="1:11" hidden="1" x14ac:dyDescent="0.25">
      <c r="A2931" s="3" t="s">
        <v>5392</v>
      </c>
      <c r="B2931" s="3">
        <v>12</v>
      </c>
      <c r="C2931" s="5">
        <v>400</v>
      </c>
      <c r="D2931" s="6">
        <v>0</v>
      </c>
      <c r="E2931" s="7">
        <v>700400</v>
      </c>
      <c r="F2931" s="3">
        <v>48627</v>
      </c>
      <c r="G2931" s="3" t="str">
        <f t="shared" si="46"/>
        <v>4</v>
      </c>
      <c r="H2931" s="3" t="s">
        <v>5393</v>
      </c>
      <c r="I2931" s="8">
        <v>-2473036.3199999998</v>
      </c>
      <c r="J2931" s="8">
        <v>-428861.83</v>
      </c>
      <c r="K2931" s="8">
        <v>-2473036.3199999998</v>
      </c>
    </row>
    <row r="2932" spans="1:11" hidden="1" x14ac:dyDescent="0.25">
      <c r="A2932" s="3" t="s">
        <v>5394</v>
      </c>
      <c r="B2932" s="3">
        <v>12</v>
      </c>
      <c r="C2932" s="5">
        <v>400</v>
      </c>
      <c r="D2932" s="6">
        <v>0</v>
      </c>
      <c r="E2932" s="7">
        <v>700400</v>
      </c>
      <c r="F2932" s="3">
        <v>51200</v>
      </c>
      <c r="G2932" s="3" t="str">
        <f t="shared" si="46"/>
        <v>5</v>
      </c>
      <c r="H2932" s="3" t="s">
        <v>5395</v>
      </c>
      <c r="I2932" s="8">
        <v>357578</v>
      </c>
      <c r="J2932" s="8">
        <v>256596.32</v>
      </c>
      <c r="K2932" s="8">
        <v>357578</v>
      </c>
    </row>
    <row r="2933" spans="1:11" hidden="1" x14ac:dyDescent="0.25">
      <c r="A2933" s="3" t="s">
        <v>5396</v>
      </c>
      <c r="B2933" s="3">
        <v>12</v>
      </c>
      <c r="C2933" s="5">
        <v>400</v>
      </c>
      <c r="D2933" s="6">
        <v>0</v>
      </c>
      <c r="E2933" s="7">
        <v>700400</v>
      </c>
      <c r="F2933" s="3">
        <v>51311</v>
      </c>
      <c r="G2933" s="3" t="str">
        <f t="shared" si="46"/>
        <v>5</v>
      </c>
      <c r="H2933" s="3" t="s">
        <v>5397</v>
      </c>
      <c r="I2933" s="8">
        <v>1248.1199999999999</v>
      </c>
      <c r="J2933" s="8">
        <v>1248.1199999999999</v>
      </c>
      <c r="K2933" s="8">
        <v>1248.1199999999999</v>
      </c>
    </row>
    <row r="2934" spans="1:11" hidden="1" x14ac:dyDescent="0.25">
      <c r="A2934" s="3" t="s">
        <v>5398</v>
      </c>
      <c r="B2934" s="3">
        <v>12</v>
      </c>
      <c r="C2934" s="5">
        <v>400</v>
      </c>
      <c r="D2934" s="6">
        <v>0</v>
      </c>
      <c r="E2934" s="7">
        <v>700400</v>
      </c>
      <c r="F2934" s="3">
        <v>51410</v>
      </c>
      <c r="G2934" s="3" t="str">
        <f t="shared" si="46"/>
        <v>5</v>
      </c>
      <c r="H2934" s="3" t="s">
        <v>5399</v>
      </c>
      <c r="I2934" s="8">
        <v>6000</v>
      </c>
      <c r="J2934" s="8">
        <v>6508.08</v>
      </c>
      <c r="K2934" s="8">
        <v>6000</v>
      </c>
    </row>
    <row r="2935" spans="1:11" hidden="1" x14ac:dyDescent="0.25">
      <c r="A2935" s="3" t="s">
        <v>5400</v>
      </c>
      <c r="B2935" s="3">
        <v>12</v>
      </c>
      <c r="C2935" s="5">
        <v>400</v>
      </c>
      <c r="D2935" s="6">
        <v>0</v>
      </c>
      <c r="E2935" s="7">
        <v>700400</v>
      </c>
      <c r="F2935" s="3">
        <v>51411</v>
      </c>
      <c r="G2935" s="3" t="str">
        <f t="shared" si="46"/>
        <v>5</v>
      </c>
      <c r="H2935" s="3" t="s">
        <v>5401</v>
      </c>
      <c r="I2935" s="8">
        <v>476890</v>
      </c>
      <c r="J2935" s="8">
        <v>408542.07</v>
      </c>
      <c r="K2935" s="8">
        <v>476890</v>
      </c>
    </row>
    <row r="2936" spans="1:11" hidden="1" x14ac:dyDescent="0.25">
      <c r="A2936" s="3" t="s">
        <v>5402</v>
      </c>
      <c r="B2936" s="3">
        <v>12</v>
      </c>
      <c r="C2936" s="5">
        <v>400</v>
      </c>
      <c r="D2936" s="6">
        <v>0</v>
      </c>
      <c r="E2936" s="7">
        <v>700400</v>
      </c>
      <c r="F2936" s="3">
        <v>51412</v>
      </c>
      <c r="G2936" s="3" t="str">
        <f t="shared" si="46"/>
        <v>5</v>
      </c>
      <c r="H2936" s="3" t="s">
        <v>5403</v>
      </c>
      <c r="I2936" s="8">
        <v>15000</v>
      </c>
      <c r="J2936" s="8">
        <v>10078.91</v>
      </c>
      <c r="K2936" s="8">
        <v>15000</v>
      </c>
    </row>
    <row r="2937" spans="1:11" hidden="1" x14ac:dyDescent="0.25">
      <c r="A2937" s="3" t="s">
        <v>5404</v>
      </c>
      <c r="B2937" s="3">
        <v>12</v>
      </c>
      <c r="C2937" s="5">
        <v>400</v>
      </c>
      <c r="D2937" s="6">
        <v>0</v>
      </c>
      <c r="E2937" s="7">
        <v>700400</v>
      </c>
      <c r="F2937" s="3">
        <v>52105</v>
      </c>
      <c r="G2937" s="3" t="str">
        <f t="shared" si="46"/>
        <v>5</v>
      </c>
      <c r="H2937" s="3" t="s">
        <v>5405</v>
      </c>
      <c r="I2937" s="8">
        <v>595845</v>
      </c>
      <c r="J2937" s="8">
        <v>415691.56</v>
      </c>
      <c r="K2937" s="8">
        <v>595845</v>
      </c>
    </row>
    <row r="2938" spans="1:11" hidden="1" x14ac:dyDescent="0.25">
      <c r="A2938" s="3" t="s">
        <v>5406</v>
      </c>
      <c r="B2938" s="3">
        <v>12</v>
      </c>
      <c r="C2938" s="5">
        <v>400</v>
      </c>
      <c r="D2938" s="6">
        <v>0</v>
      </c>
      <c r="E2938" s="7">
        <v>700400</v>
      </c>
      <c r="F2938" s="3">
        <v>52300</v>
      </c>
      <c r="G2938" s="3" t="str">
        <f t="shared" si="46"/>
        <v>5</v>
      </c>
      <c r="H2938" s="3" t="s">
        <v>5407</v>
      </c>
      <c r="I2938" s="8">
        <v>7000</v>
      </c>
      <c r="J2938" s="8">
        <v>450.76</v>
      </c>
      <c r="K2938" s="8">
        <v>7000</v>
      </c>
    </row>
    <row r="2939" spans="1:11" hidden="1" x14ac:dyDescent="0.25">
      <c r="A2939" s="3" t="s">
        <v>5408</v>
      </c>
      <c r="B2939" s="3">
        <v>12</v>
      </c>
      <c r="C2939" s="5">
        <v>400</v>
      </c>
      <c r="D2939" s="6">
        <v>0</v>
      </c>
      <c r="E2939" s="7">
        <v>700400</v>
      </c>
      <c r="F2939" s="3">
        <v>52350</v>
      </c>
      <c r="G2939" s="3" t="str">
        <f t="shared" si="46"/>
        <v>5</v>
      </c>
      <c r="H2939" s="3" t="s">
        <v>5409</v>
      </c>
      <c r="I2939" s="8">
        <v>56386.879999999997</v>
      </c>
      <c r="J2939" s="8">
        <v>34342.620000000003</v>
      </c>
      <c r="K2939" s="8">
        <v>56386.879999999997</v>
      </c>
    </row>
    <row r="2940" spans="1:11" hidden="1" x14ac:dyDescent="0.25">
      <c r="A2940" s="3" t="s">
        <v>5410</v>
      </c>
      <c r="B2940" s="3">
        <v>12</v>
      </c>
      <c r="C2940" s="5">
        <v>400</v>
      </c>
      <c r="D2940" s="6">
        <v>0</v>
      </c>
      <c r="E2940" s="7">
        <v>700400</v>
      </c>
      <c r="F2940" s="3">
        <v>52360</v>
      </c>
      <c r="G2940" s="3" t="str">
        <f t="shared" si="46"/>
        <v>5</v>
      </c>
      <c r="H2940" s="3" t="s">
        <v>5411</v>
      </c>
      <c r="I2940" s="8">
        <v>6000</v>
      </c>
      <c r="J2940" s="8">
        <v>5063.3599999999997</v>
      </c>
      <c r="K2940" s="8">
        <v>6000</v>
      </c>
    </row>
    <row r="2941" spans="1:11" hidden="1" x14ac:dyDescent="0.25">
      <c r="A2941" s="3" t="s">
        <v>5412</v>
      </c>
      <c r="B2941" s="3">
        <v>12</v>
      </c>
      <c r="C2941" s="5">
        <v>400</v>
      </c>
      <c r="D2941" s="6">
        <v>0</v>
      </c>
      <c r="E2941" s="7">
        <v>700400</v>
      </c>
      <c r="F2941" s="3">
        <v>53110</v>
      </c>
      <c r="G2941" s="3" t="str">
        <f t="shared" si="46"/>
        <v>5</v>
      </c>
      <c r="H2941" s="3" t="s">
        <v>5413</v>
      </c>
      <c r="I2941" s="8">
        <v>201.57</v>
      </c>
      <c r="J2941" s="8">
        <v>201.57</v>
      </c>
      <c r="K2941" s="8">
        <v>201.57</v>
      </c>
    </row>
    <row r="2942" spans="1:11" hidden="1" x14ac:dyDescent="0.25">
      <c r="A2942" s="3" t="s">
        <v>5414</v>
      </c>
      <c r="B2942" s="3">
        <v>12</v>
      </c>
      <c r="C2942" s="5">
        <v>400</v>
      </c>
      <c r="D2942" s="6">
        <v>0</v>
      </c>
      <c r="E2942" s="7">
        <v>700400</v>
      </c>
      <c r="F2942" s="3">
        <v>53120</v>
      </c>
      <c r="G2942" s="3" t="str">
        <f t="shared" si="46"/>
        <v>5</v>
      </c>
      <c r="H2942" s="3" t="s">
        <v>5415</v>
      </c>
      <c r="I2942" s="8">
        <v>155504</v>
      </c>
      <c r="J2942" s="8">
        <v>104845.01</v>
      </c>
      <c r="K2942" s="8">
        <v>155504</v>
      </c>
    </row>
    <row r="2943" spans="1:11" hidden="1" x14ac:dyDescent="0.25">
      <c r="A2943" s="3" t="s">
        <v>5416</v>
      </c>
      <c r="B2943" s="3">
        <v>12</v>
      </c>
      <c r="C2943" s="5">
        <v>400</v>
      </c>
      <c r="D2943" s="6">
        <v>0</v>
      </c>
      <c r="E2943" s="7">
        <v>700400</v>
      </c>
      <c r="F2943" s="3">
        <v>53220</v>
      </c>
      <c r="G2943" s="3" t="str">
        <f t="shared" si="46"/>
        <v>5</v>
      </c>
      <c r="H2943" s="3" t="s">
        <v>5417</v>
      </c>
      <c r="I2943" s="8">
        <v>126177</v>
      </c>
      <c r="J2943" s="8">
        <v>85956.43</v>
      </c>
      <c r="K2943" s="8">
        <v>126177</v>
      </c>
    </row>
    <row r="2944" spans="1:11" hidden="1" x14ac:dyDescent="0.25">
      <c r="A2944" s="3" t="s">
        <v>5418</v>
      </c>
      <c r="B2944" s="3">
        <v>12</v>
      </c>
      <c r="C2944" s="5">
        <v>400</v>
      </c>
      <c r="D2944" s="6">
        <v>0</v>
      </c>
      <c r="E2944" s="7">
        <v>700400</v>
      </c>
      <c r="F2944" s="3">
        <v>53320</v>
      </c>
      <c r="G2944" s="3" t="str">
        <f t="shared" si="46"/>
        <v>5</v>
      </c>
      <c r="H2944" s="3" t="s">
        <v>5419</v>
      </c>
      <c r="I2944" s="8">
        <v>34834</v>
      </c>
      <c r="J2944" s="8">
        <v>28021.19</v>
      </c>
      <c r="K2944" s="8">
        <v>34834</v>
      </c>
    </row>
    <row r="2945" spans="1:11" hidden="1" x14ac:dyDescent="0.25">
      <c r="A2945" s="3" t="s">
        <v>5420</v>
      </c>
      <c r="B2945" s="3">
        <v>12</v>
      </c>
      <c r="C2945" s="5">
        <v>400</v>
      </c>
      <c r="D2945" s="6">
        <v>0</v>
      </c>
      <c r="E2945" s="7">
        <v>700400</v>
      </c>
      <c r="F2945" s="3">
        <v>53330</v>
      </c>
      <c r="G2945" s="3" t="str">
        <f t="shared" si="46"/>
        <v>5</v>
      </c>
      <c r="H2945" s="3" t="s">
        <v>5421</v>
      </c>
      <c r="I2945" s="8">
        <v>18.11</v>
      </c>
      <c r="J2945" s="8">
        <v>18.11</v>
      </c>
      <c r="K2945" s="8">
        <v>18.11</v>
      </c>
    </row>
    <row r="2946" spans="1:11" hidden="1" x14ac:dyDescent="0.25">
      <c r="A2946" s="3" t="s">
        <v>5422</v>
      </c>
      <c r="B2946" s="3">
        <v>12</v>
      </c>
      <c r="C2946" s="5">
        <v>400</v>
      </c>
      <c r="D2946" s="6">
        <v>0</v>
      </c>
      <c r="E2946" s="7">
        <v>700400</v>
      </c>
      <c r="F2946" s="3">
        <v>53340</v>
      </c>
      <c r="G2946" s="3" t="str">
        <f t="shared" si="46"/>
        <v>5</v>
      </c>
      <c r="H2946" s="3" t="s">
        <v>5423</v>
      </c>
      <c r="I2946" s="8">
        <v>20261</v>
      </c>
      <c r="J2946" s="8">
        <v>15943.27</v>
      </c>
      <c r="K2946" s="8">
        <v>20261</v>
      </c>
    </row>
    <row r="2947" spans="1:11" hidden="1" x14ac:dyDescent="0.25">
      <c r="A2947" s="3" t="s">
        <v>5424</v>
      </c>
      <c r="B2947" s="3">
        <v>12</v>
      </c>
      <c r="C2947" s="5">
        <v>400</v>
      </c>
      <c r="D2947" s="6">
        <v>0</v>
      </c>
      <c r="E2947" s="7">
        <v>700400</v>
      </c>
      <c r="F2947" s="3">
        <v>53420</v>
      </c>
      <c r="G2947" s="3" t="str">
        <f t="shared" si="46"/>
        <v>5</v>
      </c>
      <c r="H2947" s="3" t="s">
        <v>5425</v>
      </c>
      <c r="I2947" s="8">
        <v>277754</v>
      </c>
      <c r="J2947" s="8">
        <v>209687.43</v>
      </c>
      <c r="K2947" s="8">
        <v>277754</v>
      </c>
    </row>
    <row r="2948" spans="1:11" hidden="1" x14ac:dyDescent="0.25">
      <c r="A2948" s="3" t="s">
        <v>5426</v>
      </c>
      <c r="B2948" s="3">
        <v>12</v>
      </c>
      <c r="C2948" s="5">
        <v>400</v>
      </c>
      <c r="D2948" s="6">
        <v>0</v>
      </c>
      <c r="E2948" s="7">
        <v>700400</v>
      </c>
      <c r="F2948" s="3">
        <v>53510</v>
      </c>
      <c r="G2948" s="3" t="str">
        <f t="shared" si="46"/>
        <v>5</v>
      </c>
      <c r="H2948" s="3" t="s">
        <v>5427</v>
      </c>
      <c r="I2948" s="8">
        <v>0.62</v>
      </c>
      <c r="J2948" s="8">
        <v>0.62</v>
      </c>
      <c r="K2948" s="8">
        <v>0.62</v>
      </c>
    </row>
    <row r="2949" spans="1:11" hidden="1" x14ac:dyDescent="0.25">
      <c r="A2949" s="3" t="s">
        <v>5428</v>
      </c>
      <c r="B2949" s="3">
        <v>12</v>
      </c>
      <c r="C2949" s="5">
        <v>400</v>
      </c>
      <c r="D2949" s="6">
        <v>0</v>
      </c>
      <c r="E2949" s="7">
        <v>700400</v>
      </c>
      <c r="F2949" s="3">
        <v>53520</v>
      </c>
      <c r="G2949" s="3" t="str">
        <f t="shared" si="46"/>
        <v>5</v>
      </c>
      <c r="H2949" s="3" t="s">
        <v>5429</v>
      </c>
      <c r="I2949" s="8">
        <v>6876</v>
      </c>
      <c r="J2949" s="8">
        <v>551.54999999999995</v>
      </c>
      <c r="K2949" s="8">
        <v>6876</v>
      </c>
    </row>
    <row r="2950" spans="1:11" hidden="1" x14ac:dyDescent="0.25">
      <c r="A2950" s="3" t="s">
        <v>5430</v>
      </c>
      <c r="B2950" s="3">
        <v>12</v>
      </c>
      <c r="C2950" s="5">
        <v>400</v>
      </c>
      <c r="D2950" s="6">
        <v>0</v>
      </c>
      <c r="E2950" s="7">
        <v>700400</v>
      </c>
      <c r="F2950" s="3">
        <v>53610</v>
      </c>
      <c r="G2950" s="3" t="str">
        <f t="shared" si="46"/>
        <v>5</v>
      </c>
      <c r="H2950" s="3" t="s">
        <v>5431</v>
      </c>
      <c r="I2950" s="8">
        <v>23.6</v>
      </c>
      <c r="J2950" s="8">
        <v>23.6</v>
      </c>
      <c r="K2950" s="8">
        <v>23.6</v>
      </c>
    </row>
    <row r="2951" spans="1:11" hidden="1" x14ac:dyDescent="0.25">
      <c r="A2951" s="3" t="s">
        <v>5432</v>
      </c>
      <c r="B2951" s="3">
        <v>12</v>
      </c>
      <c r="C2951" s="5">
        <v>400</v>
      </c>
      <c r="D2951" s="6">
        <v>0</v>
      </c>
      <c r="E2951" s="7">
        <v>700400</v>
      </c>
      <c r="F2951" s="3">
        <v>53620</v>
      </c>
      <c r="G2951" s="3" t="str">
        <f t="shared" si="46"/>
        <v>5</v>
      </c>
      <c r="H2951" s="3" t="s">
        <v>5433</v>
      </c>
      <c r="I2951" s="8">
        <v>22530.1</v>
      </c>
      <c r="J2951" s="8">
        <v>21525.439999999999</v>
      </c>
      <c r="K2951" s="8">
        <v>22530.1</v>
      </c>
    </row>
    <row r="2952" spans="1:11" hidden="1" x14ac:dyDescent="0.25">
      <c r="A2952" s="3" t="s">
        <v>5434</v>
      </c>
      <c r="B2952" s="3">
        <v>12</v>
      </c>
      <c r="C2952" s="5">
        <v>400</v>
      </c>
      <c r="D2952" s="6">
        <v>0</v>
      </c>
      <c r="E2952" s="7">
        <v>700400</v>
      </c>
      <c r="F2952" s="3">
        <v>53920</v>
      </c>
      <c r="G2952" s="3" t="str">
        <f t="shared" si="46"/>
        <v>5</v>
      </c>
      <c r="H2952" s="3" t="s">
        <v>5435</v>
      </c>
      <c r="I2952" s="8">
        <v>12815</v>
      </c>
      <c r="J2952" s="8">
        <v>6570.9</v>
      </c>
      <c r="K2952" s="8">
        <v>12815</v>
      </c>
    </row>
    <row r="2953" spans="1:11" hidden="1" x14ac:dyDescent="0.25">
      <c r="A2953" s="3" t="s">
        <v>5436</v>
      </c>
      <c r="B2953" s="3">
        <v>12</v>
      </c>
      <c r="C2953" s="5">
        <v>400</v>
      </c>
      <c r="D2953" s="6">
        <v>0</v>
      </c>
      <c r="E2953" s="7">
        <v>700400</v>
      </c>
      <c r="F2953" s="3">
        <v>54210</v>
      </c>
      <c r="G2953" s="3" t="str">
        <f t="shared" si="46"/>
        <v>5</v>
      </c>
      <c r="H2953" s="3" t="s">
        <v>5437</v>
      </c>
      <c r="I2953" s="8">
        <v>0</v>
      </c>
      <c r="J2953" s="8">
        <v>0</v>
      </c>
      <c r="K2953" s="8">
        <v>0</v>
      </c>
    </row>
    <row r="2954" spans="1:11" hidden="1" x14ac:dyDescent="0.25">
      <c r="A2954" s="3" t="s">
        <v>5438</v>
      </c>
      <c r="B2954" s="3">
        <v>12</v>
      </c>
      <c r="C2954" s="5">
        <v>400</v>
      </c>
      <c r="D2954" s="6">
        <v>0</v>
      </c>
      <c r="E2954" s="7">
        <v>700400</v>
      </c>
      <c r="F2954" s="3">
        <v>54300</v>
      </c>
      <c r="G2954" s="3" t="str">
        <f t="shared" si="46"/>
        <v>5</v>
      </c>
      <c r="H2954" s="3" t="s">
        <v>5439</v>
      </c>
      <c r="I2954" s="8">
        <v>15000</v>
      </c>
      <c r="J2954" s="8">
        <v>996.45</v>
      </c>
      <c r="K2954" s="8">
        <v>15000</v>
      </c>
    </row>
    <row r="2955" spans="1:11" hidden="1" x14ac:dyDescent="0.25">
      <c r="A2955" s="3" t="s">
        <v>5440</v>
      </c>
      <c r="B2955" s="3">
        <v>12</v>
      </c>
      <c r="C2955" s="5">
        <v>400</v>
      </c>
      <c r="D2955" s="6">
        <v>0</v>
      </c>
      <c r="E2955" s="7">
        <v>700400</v>
      </c>
      <c r="F2955" s="3">
        <v>55105</v>
      </c>
      <c r="G2955" s="3" t="str">
        <f t="shared" si="46"/>
        <v>5</v>
      </c>
      <c r="H2955" s="3" t="s">
        <v>5441</v>
      </c>
      <c r="I2955" s="8">
        <v>100000</v>
      </c>
      <c r="J2955" s="8">
        <v>81071.520000000004</v>
      </c>
      <c r="K2955" s="8">
        <v>100000</v>
      </c>
    </row>
    <row r="2956" spans="1:11" hidden="1" x14ac:dyDescent="0.25">
      <c r="A2956" s="3" t="s">
        <v>5442</v>
      </c>
      <c r="B2956" s="3">
        <v>12</v>
      </c>
      <c r="C2956" s="5">
        <v>400</v>
      </c>
      <c r="D2956" s="6">
        <v>0</v>
      </c>
      <c r="E2956" s="7">
        <v>700400</v>
      </c>
      <c r="F2956" s="3">
        <v>55200</v>
      </c>
      <c r="G2956" s="3" t="str">
        <f t="shared" si="46"/>
        <v>5</v>
      </c>
      <c r="H2956" s="3" t="s">
        <v>5443</v>
      </c>
      <c r="I2956" s="8">
        <v>10000</v>
      </c>
      <c r="J2956" s="8">
        <v>-1371.64</v>
      </c>
      <c r="K2956" s="8">
        <v>10000</v>
      </c>
    </row>
    <row r="2957" spans="1:11" hidden="1" x14ac:dyDescent="0.25">
      <c r="A2957" s="3" t="s">
        <v>5444</v>
      </c>
      <c r="B2957" s="3">
        <v>12</v>
      </c>
      <c r="C2957" s="5">
        <v>400</v>
      </c>
      <c r="D2957" s="6">
        <v>0</v>
      </c>
      <c r="E2957" s="7">
        <v>700400</v>
      </c>
      <c r="F2957" s="3">
        <v>55240</v>
      </c>
      <c r="G2957" s="3" t="str">
        <f t="shared" si="46"/>
        <v>5</v>
      </c>
      <c r="H2957" s="3" t="s">
        <v>5445</v>
      </c>
      <c r="I2957" s="8">
        <v>5000</v>
      </c>
      <c r="J2957" s="8">
        <v>0</v>
      </c>
      <c r="K2957" s="8">
        <v>5000</v>
      </c>
    </row>
    <row r="2958" spans="1:11" hidden="1" x14ac:dyDescent="0.25">
      <c r="A2958" s="3" t="s">
        <v>5446</v>
      </c>
      <c r="B2958" s="3">
        <v>12</v>
      </c>
      <c r="C2958" s="5">
        <v>400</v>
      </c>
      <c r="D2958" s="6">
        <v>0</v>
      </c>
      <c r="E2958" s="7">
        <v>700400</v>
      </c>
      <c r="F2958" s="3">
        <v>55300</v>
      </c>
      <c r="G2958" s="3" t="str">
        <f t="shared" si="46"/>
        <v>5</v>
      </c>
      <c r="H2958" s="3" t="s">
        <v>5447</v>
      </c>
      <c r="I2958" s="8">
        <v>5000</v>
      </c>
      <c r="J2958" s="8">
        <v>2095</v>
      </c>
      <c r="K2958" s="8">
        <v>5000</v>
      </c>
    </row>
    <row r="2959" spans="1:11" hidden="1" x14ac:dyDescent="0.25">
      <c r="A2959" s="3" t="s">
        <v>5448</v>
      </c>
      <c r="B2959" s="3">
        <v>12</v>
      </c>
      <c r="C2959" s="5">
        <v>400</v>
      </c>
      <c r="D2959" s="6">
        <v>0</v>
      </c>
      <c r="E2959" s="7">
        <v>700400</v>
      </c>
      <c r="F2959" s="3">
        <v>55309</v>
      </c>
      <c r="G2959" s="3" t="str">
        <f t="shared" si="46"/>
        <v>5</v>
      </c>
      <c r="H2959" s="3" t="s">
        <v>5449</v>
      </c>
      <c r="I2959" s="8">
        <v>15000</v>
      </c>
      <c r="J2959" s="8">
        <v>894.73</v>
      </c>
      <c r="K2959" s="8">
        <v>15000</v>
      </c>
    </row>
    <row r="2960" spans="1:11" hidden="1" x14ac:dyDescent="0.25">
      <c r="A2960" s="3" t="s">
        <v>5450</v>
      </c>
      <c r="B2960" s="3">
        <v>12</v>
      </c>
      <c r="C2960" s="5">
        <v>400</v>
      </c>
      <c r="D2960" s="6">
        <v>0</v>
      </c>
      <c r="E2960" s="7">
        <v>700400</v>
      </c>
      <c r="F2960" s="3">
        <v>55610</v>
      </c>
      <c r="G2960" s="3" t="str">
        <f t="shared" si="46"/>
        <v>5</v>
      </c>
      <c r="H2960" s="3" t="s">
        <v>5451</v>
      </c>
      <c r="I2960" s="8">
        <v>3700</v>
      </c>
      <c r="J2960" s="8">
        <v>3700</v>
      </c>
      <c r="K2960" s="8">
        <v>3700</v>
      </c>
    </row>
    <row r="2961" spans="1:11" hidden="1" x14ac:dyDescent="0.25">
      <c r="A2961" s="3" t="s">
        <v>5452</v>
      </c>
      <c r="B2961" s="3">
        <v>12</v>
      </c>
      <c r="C2961" s="5">
        <v>400</v>
      </c>
      <c r="D2961" s="6">
        <v>0</v>
      </c>
      <c r="E2961" s="7">
        <v>700400</v>
      </c>
      <c r="F2961" s="3">
        <v>55630</v>
      </c>
      <c r="G2961" s="3" t="str">
        <f t="shared" si="46"/>
        <v>5</v>
      </c>
      <c r="H2961" s="3" t="s">
        <v>559</v>
      </c>
      <c r="I2961" s="8">
        <v>3000</v>
      </c>
      <c r="J2961" s="8">
        <v>2490.58</v>
      </c>
      <c r="K2961" s="8">
        <v>3000</v>
      </c>
    </row>
    <row r="2962" spans="1:11" hidden="1" x14ac:dyDescent="0.25">
      <c r="A2962" s="3" t="s">
        <v>5453</v>
      </c>
      <c r="B2962" s="3">
        <v>12</v>
      </c>
      <c r="C2962" s="5">
        <v>400</v>
      </c>
      <c r="D2962" s="6">
        <v>0</v>
      </c>
      <c r="E2962" s="7">
        <v>700400</v>
      </c>
      <c r="F2962" s="3">
        <v>55635</v>
      </c>
      <c r="G2962" s="3" t="str">
        <f t="shared" si="46"/>
        <v>5</v>
      </c>
      <c r="H2962" s="3" t="s">
        <v>5454</v>
      </c>
      <c r="I2962" s="8">
        <v>5000</v>
      </c>
      <c r="J2962" s="8">
        <v>0</v>
      </c>
      <c r="K2962" s="8">
        <v>5000</v>
      </c>
    </row>
    <row r="2963" spans="1:11" hidden="1" x14ac:dyDescent="0.25">
      <c r="A2963" s="3" t="s">
        <v>5455</v>
      </c>
      <c r="B2963" s="3">
        <v>12</v>
      </c>
      <c r="C2963" s="5">
        <v>400</v>
      </c>
      <c r="D2963" s="6">
        <v>0</v>
      </c>
      <c r="E2963" s="7">
        <v>700400</v>
      </c>
      <c r="F2963" s="3">
        <v>55800</v>
      </c>
      <c r="G2963" s="3" t="str">
        <f t="shared" si="46"/>
        <v>5</v>
      </c>
      <c r="H2963" s="3" t="s">
        <v>5456</v>
      </c>
      <c r="I2963" s="8">
        <v>109393.32</v>
      </c>
      <c r="J2963" s="8">
        <v>0</v>
      </c>
      <c r="K2963" s="8">
        <v>109393.32</v>
      </c>
    </row>
    <row r="2964" spans="1:11" hidden="1" x14ac:dyDescent="0.25">
      <c r="A2964" s="3" t="s">
        <v>5457</v>
      </c>
      <c r="B2964" s="3">
        <v>12</v>
      </c>
      <c r="C2964" s="5">
        <v>400</v>
      </c>
      <c r="D2964" s="6">
        <v>0</v>
      </c>
      <c r="E2964" s="7">
        <v>700400</v>
      </c>
      <c r="F2964" s="3">
        <v>55830</v>
      </c>
      <c r="G2964" s="3" t="str">
        <f t="shared" si="46"/>
        <v>5</v>
      </c>
      <c r="H2964" s="3" t="s">
        <v>5458</v>
      </c>
      <c r="I2964" s="8">
        <v>8000</v>
      </c>
      <c r="J2964" s="8">
        <v>0</v>
      </c>
      <c r="K2964" s="8">
        <v>8000</v>
      </c>
    </row>
    <row r="2965" spans="1:11" hidden="1" x14ac:dyDescent="0.25">
      <c r="A2965" s="3" t="s">
        <v>5459</v>
      </c>
      <c r="B2965" s="3">
        <v>12</v>
      </c>
      <c r="C2965" s="5">
        <v>400</v>
      </c>
      <c r="D2965" s="6">
        <v>0</v>
      </c>
      <c r="E2965" s="7">
        <v>700400</v>
      </c>
      <c r="F2965" s="3">
        <v>56300</v>
      </c>
      <c r="G2965" s="3" t="str">
        <f t="shared" si="46"/>
        <v>5</v>
      </c>
      <c r="H2965" s="3" t="s">
        <v>5460</v>
      </c>
      <c r="I2965" s="8">
        <v>5000</v>
      </c>
      <c r="J2965" s="8">
        <v>0</v>
      </c>
      <c r="K2965" s="8">
        <v>5000</v>
      </c>
    </row>
    <row r="2966" spans="1:11" hidden="1" x14ac:dyDescent="0.25">
      <c r="A2966" s="3" t="s">
        <v>5461</v>
      </c>
      <c r="B2966" s="3">
        <v>12</v>
      </c>
      <c r="C2966" s="5">
        <v>400</v>
      </c>
      <c r="D2966" s="6">
        <v>0</v>
      </c>
      <c r="E2966" s="7">
        <v>700400</v>
      </c>
      <c r="F2966" s="3">
        <v>56400</v>
      </c>
      <c r="G2966" s="3" t="str">
        <f t="shared" si="46"/>
        <v>5</v>
      </c>
      <c r="H2966" s="3" t="s">
        <v>5462</v>
      </c>
      <c r="I2966" s="8">
        <v>10000</v>
      </c>
      <c r="J2966" s="8">
        <v>0</v>
      </c>
      <c r="K2966" s="8">
        <v>10000</v>
      </c>
    </row>
    <row r="2967" spans="1:11" hidden="1" x14ac:dyDescent="0.25">
      <c r="A2967" s="3" t="s">
        <v>5463</v>
      </c>
      <c r="B2967" s="3">
        <v>12</v>
      </c>
      <c r="C2967" s="5">
        <v>400</v>
      </c>
      <c r="D2967" s="6">
        <v>0</v>
      </c>
      <c r="E2967" s="7">
        <v>700402</v>
      </c>
      <c r="F2967" s="3">
        <v>48627</v>
      </c>
      <c r="G2967" s="3" t="str">
        <f t="shared" si="46"/>
        <v>4</v>
      </c>
      <c r="H2967" s="3" t="s">
        <v>5464</v>
      </c>
      <c r="I2967" s="8">
        <v>-64799.19</v>
      </c>
      <c r="J2967" s="8">
        <v>-64799.19</v>
      </c>
      <c r="K2967" s="8">
        <v>-64799.19</v>
      </c>
    </row>
    <row r="2968" spans="1:11" hidden="1" x14ac:dyDescent="0.25">
      <c r="A2968" s="3" t="s">
        <v>5465</v>
      </c>
      <c r="B2968" s="3">
        <v>12</v>
      </c>
      <c r="C2968" s="5">
        <v>400</v>
      </c>
      <c r="D2968" s="6">
        <v>0</v>
      </c>
      <c r="E2968" s="7">
        <v>700402</v>
      </c>
      <c r="F2968" s="3">
        <v>52360</v>
      </c>
      <c r="G2968" s="3" t="str">
        <f t="shared" si="46"/>
        <v>5</v>
      </c>
      <c r="H2968" s="3" t="s">
        <v>5466</v>
      </c>
      <c r="I2968" s="8">
        <v>0</v>
      </c>
      <c r="J2968" s="8">
        <v>10200</v>
      </c>
      <c r="K2968" s="8">
        <v>0</v>
      </c>
    </row>
    <row r="2969" spans="1:11" hidden="1" x14ac:dyDescent="0.25">
      <c r="A2969" s="3" t="s">
        <v>5467</v>
      </c>
      <c r="B2969" s="3">
        <v>12</v>
      </c>
      <c r="C2969" s="5">
        <v>400</v>
      </c>
      <c r="D2969" s="6">
        <v>0</v>
      </c>
      <c r="E2969" s="7">
        <v>700402</v>
      </c>
      <c r="F2969" s="3">
        <v>53320</v>
      </c>
      <c r="G2969" s="3" t="str">
        <f t="shared" si="46"/>
        <v>5</v>
      </c>
      <c r="H2969" s="3" t="s">
        <v>5468</v>
      </c>
      <c r="I2969" s="8">
        <v>0</v>
      </c>
      <c r="J2969" s="8">
        <v>632.4</v>
      </c>
      <c r="K2969" s="8">
        <v>0</v>
      </c>
    </row>
    <row r="2970" spans="1:11" hidden="1" x14ac:dyDescent="0.25">
      <c r="A2970" s="3" t="s">
        <v>5469</v>
      </c>
      <c r="B2970" s="3">
        <v>12</v>
      </c>
      <c r="C2970" s="5">
        <v>400</v>
      </c>
      <c r="D2970" s="6">
        <v>0</v>
      </c>
      <c r="E2970" s="7">
        <v>700402</v>
      </c>
      <c r="F2970" s="3">
        <v>53340</v>
      </c>
      <c r="G2970" s="3" t="str">
        <f t="shared" si="46"/>
        <v>5</v>
      </c>
      <c r="H2970" s="3" t="s">
        <v>5470</v>
      </c>
      <c r="I2970" s="8">
        <v>0</v>
      </c>
      <c r="J2970" s="8">
        <v>147.9</v>
      </c>
      <c r="K2970" s="8">
        <v>0</v>
      </c>
    </row>
    <row r="2971" spans="1:11" hidden="1" x14ac:dyDescent="0.25">
      <c r="A2971" s="3" t="s">
        <v>5471</v>
      </c>
      <c r="B2971" s="3">
        <v>12</v>
      </c>
      <c r="C2971" s="5">
        <v>400</v>
      </c>
      <c r="D2971" s="6">
        <v>0</v>
      </c>
      <c r="E2971" s="7">
        <v>700402</v>
      </c>
      <c r="F2971" s="3">
        <v>53520</v>
      </c>
      <c r="G2971" s="3" t="str">
        <f t="shared" ref="G2971:G3034" si="47">LEFT(F2971,1)</f>
        <v>5</v>
      </c>
      <c r="H2971" s="3" t="s">
        <v>5472</v>
      </c>
      <c r="I2971" s="8">
        <v>0</v>
      </c>
      <c r="J2971" s="8">
        <v>5.0999999999999996</v>
      </c>
      <c r="K2971" s="8">
        <v>0</v>
      </c>
    </row>
    <row r="2972" spans="1:11" hidden="1" x14ac:dyDescent="0.25">
      <c r="A2972" s="3" t="s">
        <v>5473</v>
      </c>
      <c r="B2972" s="3">
        <v>12</v>
      </c>
      <c r="C2972" s="5">
        <v>400</v>
      </c>
      <c r="D2972" s="6">
        <v>0</v>
      </c>
      <c r="E2972" s="7">
        <v>700402</v>
      </c>
      <c r="F2972" s="3">
        <v>53620</v>
      </c>
      <c r="G2972" s="3" t="str">
        <f t="shared" si="47"/>
        <v>5</v>
      </c>
      <c r="H2972" s="3" t="s">
        <v>5474</v>
      </c>
      <c r="I2972" s="8">
        <v>0</v>
      </c>
      <c r="J2972" s="8">
        <v>192.86</v>
      </c>
      <c r="K2972" s="8">
        <v>0</v>
      </c>
    </row>
    <row r="2973" spans="1:11" hidden="1" x14ac:dyDescent="0.25">
      <c r="A2973" s="3" t="s">
        <v>5475</v>
      </c>
      <c r="B2973" s="3">
        <v>12</v>
      </c>
      <c r="C2973" s="5">
        <v>400</v>
      </c>
      <c r="D2973" s="6">
        <v>0</v>
      </c>
      <c r="E2973" s="7">
        <v>700402</v>
      </c>
      <c r="F2973" s="3">
        <v>54210</v>
      </c>
      <c r="G2973" s="3" t="str">
        <f t="shared" si="47"/>
        <v>5</v>
      </c>
      <c r="H2973" s="3" t="s">
        <v>5476</v>
      </c>
      <c r="I2973" s="8">
        <v>62419.19</v>
      </c>
      <c r="J2973" s="8">
        <v>844.74</v>
      </c>
      <c r="K2973" s="8">
        <v>62419.19</v>
      </c>
    </row>
    <row r="2974" spans="1:11" hidden="1" x14ac:dyDescent="0.25">
      <c r="A2974" s="3" t="s">
        <v>5477</v>
      </c>
      <c r="B2974" s="3">
        <v>12</v>
      </c>
      <c r="C2974" s="5">
        <v>400</v>
      </c>
      <c r="D2974" s="6">
        <v>0</v>
      </c>
      <c r="E2974" s="7">
        <v>700402</v>
      </c>
      <c r="F2974" s="3">
        <v>54300</v>
      </c>
      <c r="G2974" s="3" t="str">
        <f t="shared" si="47"/>
        <v>5</v>
      </c>
      <c r="H2974" s="3" t="s">
        <v>5478</v>
      </c>
      <c r="I2974" s="8">
        <v>0</v>
      </c>
      <c r="J2974" s="8">
        <v>2873.6</v>
      </c>
      <c r="K2974" s="8">
        <v>0</v>
      </c>
    </row>
    <row r="2975" spans="1:11" hidden="1" x14ac:dyDescent="0.25">
      <c r="A2975" s="3" t="s">
        <v>5479</v>
      </c>
      <c r="B2975" s="3">
        <v>12</v>
      </c>
      <c r="C2975" s="5">
        <v>400</v>
      </c>
      <c r="D2975" s="6">
        <v>0</v>
      </c>
      <c r="E2975" s="7">
        <v>700402</v>
      </c>
      <c r="F2975" s="3">
        <v>57600</v>
      </c>
      <c r="G2975" s="3" t="str">
        <f t="shared" si="47"/>
        <v>5</v>
      </c>
      <c r="H2975" s="3" t="s">
        <v>5480</v>
      </c>
      <c r="I2975" s="8">
        <v>2380</v>
      </c>
      <c r="J2975" s="8">
        <v>2380</v>
      </c>
      <c r="K2975" s="8">
        <v>2380</v>
      </c>
    </row>
    <row r="2976" spans="1:11" hidden="1" x14ac:dyDescent="0.25">
      <c r="A2976" s="3" t="s">
        <v>5481</v>
      </c>
      <c r="B2976" s="3">
        <v>12</v>
      </c>
      <c r="C2976" s="5">
        <v>400</v>
      </c>
      <c r="D2976" s="6">
        <v>0</v>
      </c>
      <c r="E2976" s="7">
        <v>700403</v>
      </c>
      <c r="F2976" s="3">
        <v>48627</v>
      </c>
      <c r="G2976" s="3" t="str">
        <f t="shared" si="47"/>
        <v>4</v>
      </c>
      <c r="H2976" s="3" t="s">
        <v>5482</v>
      </c>
      <c r="I2976" s="8">
        <v>-51308.98</v>
      </c>
      <c r="J2976" s="8">
        <v>-51308.98</v>
      </c>
      <c r="K2976" s="8">
        <v>-51308.98</v>
      </c>
    </row>
    <row r="2977" spans="1:11" hidden="1" x14ac:dyDescent="0.25">
      <c r="A2977" s="3" t="s">
        <v>5483</v>
      </c>
      <c r="B2977" s="3">
        <v>12</v>
      </c>
      <c r="C2977" s="5">
        <v>400</v>
      </c>
      <c r="D2977" s="6">
        <v>0</v>
      </c>
      <c r="E2977" s="7">
        <v>700403</v>
      </c>
      <c r="F2977" s="3">
        <v>51310</v>
      </c>
      <c r="G2977" s="3" t="str">
        <f t="shared" si="47"/>
        <v>5</v>
      </c>
      <c r="H2977" s="3" t="s">
        <v>5484</v>
      </c>
      <c r="I2977" s="8">
        <v>5855</v>
      </c>
      <c r="J2977" s="8">
        <v>0</v>
      </c>
      <c r="K2977" s="8">
        <v>5855</v>
      </c>
    </row>
    <row r="2978" spans="1:11" hidden="1" x14ac:dyDescent="0.25">
      <c r="A2978" s="3" t="s">
        <v>5485</v>
      </c>
      <c r="B2978" s="3">
        <v>12</v>
      </c>
      <c r="C2978" s="5">
        <v>400</v>
      </c>
      <c r="D2978" s="6">
        <v>0</v>
      </c>
      <c r="E2978" s="7">
        <v>700403</v>
      </c>
      <c r="F2978" s="3">
        <v>53000</v>
      </c>
      <c r="G2978" s="3" t="str">
        <f t="shared" si="47"/>
        <v>5</v>
      </c>
      <c r="H2978" s="3" t="s">
        <v>5486</v>
      </c>
      <c r="I2978" s="8">
        <v>1144</v>
      </c>
      <c r="J2978" s="8">
        <v>0</v>
      </c>
      <c r="K2978" s="8">
        <v>1144</v>
      </c>
    </row>
    <row r="2979" spans="1:11" hidden="1" x14ac:dyDescent="0.25">
      <c r="A2979" s="3" t="s">
        <v>5487</v>
      </c>
      <c r="B2979" s="3">
        <v>12</v>
      </c>
      <c r="C2979" s="5">
        <v>400</v>
      </c>
      <c r="D2979" s="6">
        <v>0</v>
      </c>
      <c r="E2979" s="7">
        <v>700403</v>
      </c>
      <c r="F2979" s="3">
        <v>54210</v>
      </c>
      <c r="G2979" s="3" t="str">
        <f t="shared" si="47"/>
        <v>5</v>
      </c>
      <c r="H2979" s="3" t="s">
        <v>5488</v>
      </c>
      <c r="I2979" s="8">
        <v>12000</v>
      </c>
      <c r="J2979" s="8">
        <v>0</v>
      </c>
      <c r="K2979" s="8">
        <v>12000</v>
      </c>
    </row>
    <row r="2980" spans="1:11" hidden="1" x14ac:dyDescent="0.25">
      <c r="A2980" s="3" t="s">
        <v>5489</v>
      </c>
      <c r="B2980" s="3">
        <v>12</v>
      </c>
      <c r="C2980" s="5">
        <v>400</v>
      </c>
      <c r="D2980" s="6">
        <v>0</v>
      </c>
      <c r="E2980" s="7">
        <v>700403</v>
      </c>
      <c r="F2980" s="3">
        <v>54300</v>
      </c>
      <c r="G2980" s="3" t="str">
        <f t="shared" si="47"/>
        <v>5</v>
      </c>
      <c r="H2980" s="3" t="s">
        <v>5490</v>
      </c>
      <c r="I2980" s="8">
        <v>16524</v>
      </c>
      <c r="J2980" s="8">
        <v>104.36</v>
      </c>
      <c r="K2980" s="8">
        <v>16524</v>
      </c>
    </row>
    <row r="2981" spans="1:11" hidden="1" x14ac:dyDescent="0.25">
      <c r="A2981" s="3" t="s">
        <v>5491</v>
      </c>
      <c r="B2981" s="3">
        <v>12</v>
      </c>
      <c r="C2981" s="5">
        <v>400</v>
      </c>
      <c r="D2981" s="6">
        <v>0</v>
      </c>
      <c r="E2981" s="7">
        <v>700403</v>
      </c>
      <c r="F2981" s="3">
        <v>55105</v>
      </c>
      <c r="G2981" s="3" t="str">
        <f t="shared" si="47"/>
        <v>5</v>
      </c>
      <c r="H2981" s="3" t="s">
        <v>5492</v>
      </c>
      <c r="I2981" s="8">
        <v>5320</v>
      </c>
      <c r="J2981" s="8">
        <v>0</v>
      </c>
      <c r="K2981" s="8">
        <v>5320</v>
      </c>
    </row>
    <row r="2982" spans="1:11" hidden="1" x14ac:dyDescent="0.25">
      <c r="A2982" s="3" t="s">
        <v>5493</v>
      </c>
      <c r="B2982" s="3">
        <v>12</v>
      </c>
      <c r="C2982" s="5">
        <v>400</v>
      </c>
      <c r="D2982" s="6">
        <v>0</v>
      </c>
      <c r="E2982" s="7">
        <v>700403</v>
      </c>
      <c r="F2982" s="3">
        <v>55200</v>
      </c>
      <c r="G2982" s="3" t="str">
        <f t="shared" si="47"/>
        <v>5</v>
      </c>
      <c r="H2982" s="3" t="s">
        <v>5494</v>
      </c>
      <c r="I2982" s="8">
        <v>10465.98</v>
      </c>
      <c r="J2982" s="8">
        <v>300</v>
      </c>
      <c r="K2982" s="8">
        <v>10465.98</v>
      </c>
    </row>
    <row r="2983" spans="1:11" hidden="1" x14ac:dyDescent="0.25">
      <c r="A2983" s="3" t="s">
        <v>5495</v>
      </c>
      <c r="B2983" s="3">
        <v>12</v>
      </c>
      <c r="C2983" s="5">
        <v>400</v>
      </c>
      <c r="D2983" s="6">
        <v>0</v>
      </c>
      <c r="E2983" s="7">
        <v>700410</v>
      </c>
      <c r="F2983" s="3">
        <v>54210</v>
      </c>
      <c r="G2983" s="3" t="str">
        <f t="shared" si="47"/>
        <v>5</v>
      </c>
      <c r="H2983" s="3" t="s">
        <v>4983</v>
      </c>
      <c r="I2983" s="8">
        <v>13600</v>
      </c>
      <c r="J2983" s="8">
        <v>0</v>
      </c>
      <c r="K2983" s="8">
        <v>13600</v>
      </c>
    </row>
    <row r="2984" spans="1:11" hidden="1" x14ac:dyDescent="0.25">
      <c r="A2984" s="3" t="s">
        <v>5496</v>
      </c>
      <c r="B2984" s="3">
        <v>12</v>
      </c>
      <c r="C2984" s="5">
        <v>400</v>
      </c>
      <c r="D2984" s="6">
        <v>0</v>
      </c>
      <c r="E2984" s="7">
        <v>700601</v>
      </c>
      <c r="F2984" s="3">
        <v>54300</v>
      </c>
      <c r="G2984" s="3" t="str">
        <f t="shared" si="47"/>
        <v>5</v>
      </c>
      <c r="H2984" s="3" t="s">
        <v>5497</v>
      </c>
      <c r="I2984" s="8">
        <v>0</v>
      </c>
      <c r="J2984" s="8">
        <v>0</v>
      </c>
      <c r="K2984" s="8">
        <v>0</v>
      </c>
    </row>
    <row r="2985" spans="1:11" hidden="1" x14ac:dyDescent="0.25">
      <c r="A2985" s="3" t="s">
        <v>5498</v>
      </c>
      <c r="B2985" s="3">
        <v>12</v>
      </c>
      <c r="C2985" s="5">
        <v>400</v>
      </c>
      <c r="D2985" s="6">
        <v>0</v>
      </c>
      <c r="E2985" s="7">
        <v>700601</v>
      </c>
      <c r="F2985" s="3">
        <v>55800</v>
      </c>
      <c r="G2985" s="3" t="str">
        <f t="shared" si="47"/>
        <v>5</v>
      </c>
      <c r="H2985" s="3" t="s">
        <v>5499</v>
      </c>
      <c r="I2985" s="8">
        <v>0</v>
      </c>
      <c r="J2985" s="8">
        <v>0</v>
      </c>
      <c r="K2985" s="8">
        <v>0</v>
      </c>
    </row>
    <row r="2986" spans="1:11" hidden="1" x14ac:dyDescent="0.25">
      <c r="A2986" s="3" t="s">
        <v>5500</v>
      </c>
      <c r="B2986" s="3">
        <v>12</v>
      </c>
      <c r="C2986" s="5">
        <v>400</v>
      </c>
      <c r="D2986" s="6">
        <v>0</v>
      </c>
      <c r="E2986" s="7">
        <v>700601</v>
      </c>
      <c r="F2986" s="3">
        <v>57600</v>
      </c>
      <c r="G2986" s="3" t="str">
        <f t="shared" si="47"/>
        <v>5</v>
      </c>
      <c r="H2986" s="3" t="s">
        <v>5501</v>
      </c>
      <c r="I2986" s="8">
        <v>2500</v>
      </c>
      <c r="J2986" s="8">
        <v>2500</v>
      </c>
      <c r="K2986" s="8">
        <v>2500</v>
      </c>
    </row>
    <row r="2987" spans="1:11" hidden="1" x14ac:dyDescent="0.25">
      <c r="A2987" s="3" t="s">
        <v>5502</v>
      </c>
      <c r="B2987" s="3">
        <v>12</v>
      </c>
      <c r="C2987" s="5">
        <v>400</v>
      </c>
      <c r="D2987" s="6">
        <v>0</v>
      </c>
      <c r="E2987" s="7">
        <v>703540</v>
      </c>
      <c r="F2987" s="3">
        <v>48120</v>
      </c>
      <c r="G2987" s="3" t="str">
        <f t="shared" si="47"/>
        <v>4</v>
      </c>
      <c r="H2987" s="3" t="s">
        <v>5503</v>
      </c>
      <c r="I2987" s="8">
        <v>-288459.84999999998</v>
      </c>
      <c r="J2987" s="8">
        <v>-133454.84</v>
      </c>
      <c r="K2987" s="8">
        <v>-288459.84999999998</v>
      </c>
    </row>
    <row r="2988" spans="1:11" hidden="1" x14ac:dyDescent="0.25">
      <c r="A2988" s="3" t="s">
        <v>5504</v>
      </c>
      <c r="B2988" s="3">
        <v>12</v>
      </c>
      <c r="C2988" s="5">
        <v>400</v>
      </c>
      <c r="D2988" s="6">
        <v>0</v>
      </c>
      <c r="E2988" s="7">
        <v>703540</v>
      </c>
      <c r="F2988" s="3">
        <v>51200</v>
      </c>
      <c r="G2988" s="3" t="str">
        <f t="shared" si="47"/>
        <v>5</v>
      </c>
      <c r="H2988" s="3" t="s">
        <v>5505</v>
      </c>
      <c r="I2988" s="8">
        <v>11868</v>
      </c>
      <c r="J2988" s="8">
        <v>0</v>
      </c>
      <c r="K2988" s="8">
        <v>11868</v>
      </c>
    </row>
    <row r="2989" spans="1:11" hidden="1" x14ac:dyDescent="0.25">
      <c r="A2989" s="3" t="s">
        <v>5506</v>
      </c>
      <c r="B2989" s="3">
        <v>12</v>
      </c>
      <c r="C2989" s="5">
        <v>400</v>
      </c>
      <c r="D2989" s="6">
        <v>0</v>
      </c>
      <c r="E2989" s="7">
        <v>703540</v>
      </c>
      <c r="F2989" s="3">
        <v>51210</v>
      </c>
      <c r="G2989" s="3" t="str">
        <f t="shared" si="47"/>
        <v>5</v>
      </c>
      <c r="H2989" s="3" t="s">
        <v>5507</v>
      </c>
      <c r="I2989" s="8">
        <v>57656</v>
      </c>
      <c r="J2989" s="8">
        <v>65892.710000000006</v>
      </c>
      <c r="K2989" s="8">
        <v>57656</v>
      </c>
    </row>
    <row r="2990" spans="1:11" hidden="1" x14ac:dyDescent="0.25">
      <c r="A2990" s="3" t="s">
        <v>5508</v>
      </c>
      <c r="B2990" s="3">
        <v>12</v>
      </c>
      <c r="C2990" s="5">
        <v>400</v>
      </c>
      <c r="D2990" s="6">
        <v>0</v>
      </c>
      <c r="E2990" s="7">
        <v>703540</v>
      </c>
      <c r="F2990" s="3">
        <v>51411</v>
      </c>
      <c r="G2990" s="3" t="str">
        <f t="shared" si="47"/>
        <v>5</v>
      </c>
      <c r="H2990" s="3" t="s">
        <v>5509</v>
      </c>
      <c r="I2990" s="8">
        <v>52313</v>
      </c>
      <c r="J2990" s="8">
        <v>14689.86</v>
      </c>
      <c r="K2990" s="8">
        <v>52313</v>
      </c>
    </row>
    <row r="2991" spans="1:11" hidden="1" x14ac:dyDescent="0.25">
      <c r="A2991" s="3" t="s">
        <v>5510</v>
      </c>
      <c r="B2991" s="3">
        <v>12</v>
      </c>
      <c r="C2991" s="5">
        <v>400</v>
      </c>
      <c r="D2991" s="6">
        <v>0</v>
      </c>
      <c r="E2991" s="7">
        <v>703540</v>
      </c>
      <c r="F2991" s="3">
        <v>51412</v>
      </c>
      <c r="G2991" s="3" t="str">
        <f t="shared" si="47"/>
        <v>5</v>
      </c>
      <c r="H2991" s="3" t="s">
        <v>5511</v>
      </c>
      <c r="I2991" s="8">
        <v>250</v>
      </c>
      <c r="J2991" s="8">
        <v>250</v>
      </c>
      <c r="K2991" s="8">
        <v>250</v>
      </c>
    </row>
    <row r="2992" spans="1:11" hidden="1" x14ac:dyDescent="0.25">
      <c r="A2992" s="3" t="s">
        <v>5512</v>
      </c>
      <c r="B2992" s="3">
        <v>12</v>
      </c>
      <c r="C2992" s="5">
        <v>400</v>
      </c>
      <c r="D2992" s="6">
        <v>0</v>
      </c>
      <c r="E2992" s="7">
        <v>703540</v>
      </c>
      <c r="F2992" s="3">
        <v>52105</v>
      </c>
      <c r="G2992" s="3" t="str">
        <f t="shared" si="47"/>
        <v>5</v>
      </c>
      <c r="H2992" s="3" t="s">
        <v>5513</v>
      </c>
      <c r="I2992" s="8">
        <v>15148</v>
      </c>
      <c r="J2992" s="8">
        <v>22053.119999999999</v>
      </c>
      <c r="K2992" s="8">
        <v>15148</v>
      </c>
    </row>
    <row r="2993" spans="1:11" hidden="1" x14ac:dyDescent="0.25">
      <c r="A2993" s="3" t="s">
        <v>5514</v>
      </c>
      <c r="B2993" s="3">
        <v>12</v>
      </c>
      <c r="C2993" s="5">
        <v>400</v>
      </c>
      <c r="D2993" s="6">
        <v>0</v>
      </c>
      <c r="E2993" s="7">
        <v>703540</v>
      </c>
      <c r="F2993" s="3">
        <v>52350</v>
      </c>
      <c r="G2993" s="3" t="str">
        <f t="shared" si="47"/>
        <v>5</v>
      </c>
      <c r="H2993" s="3" t="s">
        <v>5515</v>
      </c>
      <c r="I2993" s="8">
        <v>2573</v>
      </c>
      <c r="J2993" s="8">
        <v>1573</v>
      </c>
      <c r="K2993" s="8">
        <v>2573</v>
      </c>
    </row>
    <row r="2994" spans="1:11" hidden="1" x14ac:dyDescent="0.25">
      <c r="A2994" s="3" t="s">
        <v>5516</v>
      </c>
      <c r="B2994" s="3">
        <v>12</v>
      </c>
      <c r="C2994" s="5">
        <v>400</v>
      </c>
      <c r="D2994" s="6">
        <v>0</v>
      </c>
      <c r="E2994" s="7">
        <v>703540</v>
      </c>
      <c r="F2994" s="3">
        <v>53120</v>
      </c>
      <c r="G2994" s="3" t="str">
        <f t="shared" si="47"/>
        <v>5</v>
      </c>
      <c r="H2994" s="3" t="s">
        <v>5517</v>
      </c>
      <c r="I2994" s="8">
        <v>19717</v>
      </c>
      <c r="J2994" s="8">
        <v>13054.47</v>
      </c>
      <c r="K2994" s="8">
        <v>19717</v>
      </c>
    </row>
    <row r="2995" spans="1:11" hidden="1" x14ac:dyDescent="0.25">
      <c r="A2995" s="3" t="s">
        <v>5518</v>
      </c>
      <c r="B2995" s="3">
        <v>12</v>
      </c>
      <c r="C2995" s="5">
        <v>400</v>
      </c>
      <c r="D2995" s="6">
        <v>0</v>
      </c>
      <c r="E2995" s="7">
        <v>703540</v>
      </c>
      <c r="F2995" s="3">
        <v>53220</v>
      </c>
      <c r="G2995" s="3" t="str">
        <f t="shared" si="47"/>
        <v>5</v>
      </c>
      <c r="H2995" s="3" t="s">
        <v>5519</v>
      </c>
      <c r="I2995" s="8">
        <v>14709</v>
      </c>
      <c r="J2995" s="8">
        <v>3890.37</v>
      </c>
      <c r="K2995" s="8">
        <v>14709</v>
      </c>
    </row>
    <row r="2996" spans="1:11" hidden="1" x14ac:dyDescent="0.25">
      <c r="A2996" s="3" t="s">
        <v>5520</v>
      </c>
      <c r="B2996" s="3">
        <v>12</v>
      </c>
      <c r="C2996" s="5">
        <v>400</v>
      </c>
      <c r="D2996" s="6">
        <v>0</v>
      </c>
      <c r="E2996" s="7">
        <v>703540</v>
      </c>
      <c r="F2996" s="3">
        <v>53320</v>
      </c>
      <c r="G2996" s="3" t="str">
        <f t="shared" si="47"/>
        <v>5</v>
      </c>
      <c r="H2996" s="3" t="s">
        <v>5521</v>
      </c>
      <c r="I2996" s="8">
        <v>4292</v>
      </c>
      <c r="J2996" s="8">
        <v>1367.29</v>
      </c>
      <c r="K2996" s="8">
        <v>4292</v>
      </c>
    </row>
    <row r="2997" spans="1:11" hidden="1" x14ac:dyDescent="0.25">
      <c r="A2997" s="3" t="s">
        <v>5522</v>
      </c>
      <c r="B2997" s="3">
        <v>12</v>
      </c>
      <c r="C2997" s="5">
        <v>400</v>
      </c>
      <c r="D2997" s="6">
        <v>0</v>
      </c>
      <c r="E2997" s="7">
        <v>703540</v>
      </c>
      <c r="F2997" s="3">
        <v>53340</v>
      </c>
      <c r="G2997" s="3" t="str">
        <f t="shared" si="47"/>
        <v>5</v>
      </c>
      <c r="H2997" s="3" t="s">
        <v>5523</v>
      </c>
      <c r="I2997" s="8">
        <v>1938</v>
      </c>
      <c r="J2997" s="8">
        <v>1484.02</v>
      </c>
      <c r="K2997" s="8">
        <v>1938</v>
      </c>
    </row>
    <row r="2998" spans="1:11" hidden="1" x14ac:dyDescent="0.25">
      <c r="A2998" s="3" t="s">
        <v>5524</v>
      </c>
      <c r="B2998" s="3">
        <v>12</v>
      </c>
      <c r="C2998" s="5">
        <v>400</v>
      </c>
      <c r="D2998" s="6">
        <v>0</v>
      </c>
      <c r="E2998" s="7">
        <v>703540</v>
      </c>
      <c r="F2998" s="3">
        <v>53420</v>
      </c>
      <c r="G2998" s="3" t="str">
        <f t="shared" si="47"/>
        <v>5</v>
      </c>
      <c r="H2998" s="3" t="s">
        <v>5525</v>
      </c>
      <c r="I2998" s="8">
        <v>23478</v>
      </c>
      <c r="J2998" s="8">
        <v>10378.42</v>
      </c>
      <c r="K2998" s="8">
        <v>23478</v>
      </c>
    </row>
    <row r="2999" spans="1:11" hidden="1" x14ac:dyDescent="0.25">
      <c r="A2999" s="3" t="s">
        <v>5526</v>
      </c>
      <c r="B2999" s="3">
        <v>12</v>
      </c>
      <c r="C2999" s="5">
        <v>400</v>
      </c>
      <c r="D2999" s="6">
        <v>0</v>
      </c>
      <c r="E2999" s="7">
        <v>703540</v>
      </c>
      <c r="F2999" s="3">
        <v>53520</v>
      </c>
      <c r="G2999" s="3" t="str">
        <f t="shared" si="47"/>
        <v>5</v>
      </c>
      <c r="H2999" s="3" t="s">
        <v>5527</v>
      </c>
      <c r="I2999" s="8">
        <v>67</v>
      </c>
      <c r="J2999" s="8">
        <v>51.43</v>
      </c>
      <c r="K2999" s="8">
        <v>67</v>
      </c>
    </row>
    <row r="3000" spans="1:11" hidden="1" x14ac:dyDescent="0.25">
      <c r="A3000" s="3" t="s">
        <v>5528</v>
      </c>
      <c r="B3000" s="3">
        <v>12</v>
      </c>
      <c r="C3000" s="5">
        <v>400</v>
      </c>
      <c r="D3000" s="6">
        <v>0</v>
      </c>
      <c r="E3000" s="7">
        <v>703540</v>
      </c>
      <c r="F3000" s="3">
        <v>53620</v>
      </c>
      <c r="G3000" s="3" t="str">
        <f t="shared" si="47"/>
        <v>5</v>
      </c>
      <c r="H3000" s="3" t="s">
        <v>5529</v>
      </c>
      <c r="I3000" s="8">
        <v>2576</v>
      </c>
      <c r="J3000" s="8">
        <v>1976.04</v>
      </c>
      <c r="K3000" s="8">
        <v>2576</v>
      </c>
    </row>
    <row r="3001" spans="1:11" hidden="1" x14ac:dyDescent="0.25">
      <c r="A3001" s="3" t="s">
        <v>5530</v>
      </c>
      <c r="B3001" s="3">
        <v>12</v>
      </c>
      <c r="C3001" s="5">
        <v>400</v>
      </c>
      <c r="D3001" s="6">
        <v>0</v>
      </c>
      <c r="E3001" s="7">
        <v>703540</v>
      </c>
      <c r="F3001" s="3">
        <v>53920</v>
      </c>
      <c r="G3001" s="3" t="str">
        <f t="shared" si="47"/>
        <v>5</v>
      </c>
      <c r="H3001" s="3" t="s">
        <v>5531</v>
      </c>
      <c r="I3001" s="8">
        <v>600</v>
      </c>
      <c r="J3001" s="8">
        <v>250</v>
      </c>
      <c r="K3001" s="8">
        <v>600</v>
      </c>
    </row>
    <row r="3002" spans="1:11" hidden="1" x14ac:dyDescent="0.25">
      <c r="A3002" s="3" t="s">
        <v>5532</v>
      </c>
      <c r="B3002" s="3">
        <v>12</v>
      </c>
      <c r="C3002" s="5">
        <v>400</v>
      </c>
      <c r="D3002" s="6">
        <v>0</v>
      </c>
      <c r="E3002" s="7">
        <v>703540</v>
      </c>
      <c r="F3002" s="3">
        <v>54300</v>
      </c>
      <c r="G3002" s="3" t="str">
        <f t="shared" si="47"/>
        <v>5</v>
      </c>
      <c r="H3002" s="3" t="s">
        <v>5533</v>
      </c>
      <c r="I3002" s="8">
        <v>2300</v>
      </c>
      <c r="J3002" s="8">
        <v>0</v>
      </c>
      <c r="K3002" s="8">
        <v>2300</v>
      </c>
    </row>
    <row r="3003" spans="1:11" hidden="1" x14ac:dyDescent="0.25">
      <c r="A3003" s="3" t="s">
        <v>5534</v>
      </c>
      <c r="B3003" s="3">
        <v>12</v>
      </c>
      <c r="C3003" s="5">
        <v>400</v>
      </c>
      <c r="D3003" s="6">
        <v>0</v>
      </c>
      <c r="E3003" s="7">
        <v>703540</v>
      </c>
      <c r="F3003" s="3">
        <v>55105</v>
      </c>
      <c r="G3003" s="3" t="str">
        <f t="shared" si="47"/>
        <v>5</v>
      </c>
      <c r="H3003" s="3" t="s">
        <v>5535</v>
      </c>
      <c r="I3003" s="8">
        <v>900</v>
      </c>
      <c r="J3003" s="8">
        <v>0</v>
      </c>
      <c r="K3003" s="8">
        <v>900</v>
      </c>
    </row>
    <row r="3004" spans="1:11" hidden="1" x14ac:dyDescent="0.25">
      <c r="A3004" s="3" t="s">
        <v>5536</v>
      </c>
      <c r="B3004" s="3">
        <v>12</v>
      </c>
      <c r="C3004" s="5">
        <v>400</v>
      </c>
      <c r="D3004" s="6">
        <v>0</v>
      </c>
      <c r="E3004" s="7">
        <v>703540</v>
      </c>
      <c r="F3004" s="3">
        <v>55125</v>
      </c>
      <c r="G3004" s="3" t="str">
        <f t="shared" si="47"/>
        <v>5</v>
      </c>
      <c r="H3004" s="3" t="s">
        <v>5537</v>
      </c>
      <c r="I3004" s="8">
        <v>1800</v>
      </c>
      <c r="J3004" s="8">
        <v>0</v>
      </c>
      <c r="K3004" s="8">
        <v>1800</v>
      </c>
    </row>
    <row r="3005" spans="1:11" hidden="1" x14ac:dyDescent="0.25">
      <c r="A3005" s="3" t="s">
        <v>5538</v>
      </c>
      <c r="B3005" s="3">
        <v>12</v>
      </c>
      <c r="C3005" s="5">
        <v>400</v>
      </c>
      <c r="D3005" s="6">
        <v>0</v>
      </c>
      <c r="E3005" s="7">
        <v>703540</v>
      </c>
      <c r="F3005" s="3">
        <v>55200</v>
      </c>
      <c r="G3005" s="3" t="str">
        <f t="shared" si="47"/>
        <v>5</v>
      </c>
      <c r="H3005" s="3" t="s">
        <v>5539</v>
      </c>
      <c r="I3005" s="8">
        <v>7555</v>
      </c>
      <c r="J3005" s="8">
        <v>550</v>
      </c>
      <c r="K3005" s="8">
        <v>7555</v>
      </c>
    </row>
    <row r="3006" spans="1:11" hidden="1" x14ac:dyDescent="0.25">
      <c r="A3006" s="3" t="s">
        <v>5540</v>
      </c>
      <c r="B3006" s="3">
        <v>12</v>
      </c>
      <c r="C3006" s="5">
        <v>400</v>
      </c>
      <c r="D3006" s="6">
        <v>0</v>
      </c>
      <c r="E3006" s="7">
        <v>703540</v>
      </c>
      <c r="F3006" s="3">
        <v>55630</v>
      </c>
      <c r="G3006" s="3" t="str">
        <f t="shared" si="47"/>
        <v>5</v>
      </c>
      <c r="H3006" s="3" t="s">
        <v>5541</v>
      </c>
      <c r="I3006" s="8">
        <v>600</v>
      </c>
      <c r="J3006" s="8">
        <v>231.84</v>
      </c>
      <c r="K3006" s="8">
        <v>600</v>
      </c>
    </row>
    <row r="3007" spans="1:11" hidden="1" x14ac:dyDescent="0.25">
      <c r="A3007" s="3" t="s">
        <v>5542</v>
      </c>
      <c r="B3007" s="3">
        <v>12</v>
      </c>
      <c r="C3007" s="5">
        <v>400</v>
      </c>
      <c r="D3007" s="6">
        <v>0</v>
      </c>
      <c r="E3007" s="7">
        <v>703540</v>
      </c>
      <c r="F3007" s="3">
        <v>55800</v>
      </c>
      <c r="G3007" s="3" t="str">
        <f t="shared" si="47"/>
        <v>5</v>
      </c>
      <c r="H3007" s="3" t="s">
        <v>5543</v>
      </c>
      <c r="I3007" s="8">
        <v>35991</v>
      </c>
      <c r="J3007" s="8">
        <v>0</v>
      </c>
      <c r="K3007" s="8">
        <v>35991</v>
      </c>
    </row>
    <row r="3008" spans="1:11" hidden="1" x14ac:dyDescent="0.25">
      <c r="A3008" s="3" t="s">
        <v>5544</v>
      </c>
      <c r="B3008" s="3">
        <v>12</v>
      </c>
      <c r="C3008" s="5">
        <v>400</v>
      </c>
      <c r="D3008" s="6">
        <v>0</v>
      </c>
      <c r="E3008" s="7">
        <v>703540</v>
      </c>
      <c r="F3008" s="3">
        <v>56400</v>
      </c>
      <c r="G3008" s="3" t="str">
        <f t="shared" si="47"/>
        <v>5</v>
      </c>
      <c r="H3008" s="3" t="s">
        <v>5545</v>
      </c>
      <c r="I3008" s="8">
        <v>9000.85</v>
      </c>
      <c r="J3008" s="8">
        <v>0</v>
      </c>
      <c r="K3008" s="8">
        <v>9000.85</v>
      </c>
    </row>
    <row r="3009" spans="1:11" hidden="1" x14ac:dyDescent="0.25">
      <c r="A3009" s="3" t="s">
        <v>5546</v>
      </c>
      <c r="B3009" s="3">
        <v>12</v>
      </c>
      <c r="C3009" s="5">
        <v>400</v>
      </c>
      <c r="D3009" s="6">
        <v>0</v>
      </c>
      <c r="E3009" s="7">
        <v>703540</v>
      </c>
      <c r="F3009" s="3">
        <v>56405</v>
      </c>
      <c r="G3009" s="3" t="str">
        <f t="shared" si="47"/>
        <v>5</v>
      </c>
      <c r="H3009" s="3" t="s">
        <v>5547</v>
      </c>
      <c r="I3009" s="8">
        <v>2622</v>
      </c>
      <c r="J3009" s="8">
        <v>0</v>
      </c>
      <c r="K3009" s="8">
        <v>2622</v>
      </c>
    </row>
    <row r="3010" spans="1:11" hidden="1" x14ac:dyDescent="0.25">
      <c r="A3010" s="3" t="s">
        <v>5548</v>
      </c>
      <c r="B3010" s="3">
        <v>12</v>
      </c>
      <c r="C3010" s="5">
        <v>400</v>
      </c>
      <c r="D3010" s="6">
        <v>0</v>
      </c>
      <c r="E3010" s="7">
        <v>703540</v>
      </c>
      <c r="F3010" s="3">
        <v>57350</v>
      </c>
      <c r="G3010" s="3" t="str">
        <f t="shared" si="47"/>
        <v>5</v>
      </c>
      <c r="H3010" s="3" t="s">
        <v>5549</v>
      </c>
      <c r="I3010" s="8">
        <v>20506</v>
      </c>
      <c r="J3010" s="8">
        <v>7446.92</v>
      </c>
      <c r="K3010" s="8">
        <v>20506</v>
      </c>
    </row>
    <row r="3011" spans="1:11" hidden="1" x14ac:dyDescent="0.25">
      <c r="A3011" s="3" t="s">
        <v>5550</v>
      </c>
      <c r="B3011" s="3">
        <v>12</v>
      </c>
      <c r="C3011" s="5">
        <v>400</v>
      </c>
      <c r="D3011" s="6">
        <v>0</v>
      </c>
      <c r="E3011" s="7">
        <v>703541</v>
      </c>
      <c r="F3011" s="3">
        <v>48120</v>
      </c>
      <c r="G3011" s="3" t="str">
        <f t="shared" si="47"/>
        <v>4</v>
      </c>
      <c r="H3011" s="3" t="s">
        <v>5551</v>
      </c>
      <c r="I3011" s="8">
        <v>-261888</v>
      </c>
      <c r="J3011" s="8">
        <v>-22776.36</v>
      </c>
      <c r="K3011" s="8">
        <v>-261888</v>
      </c>
    </row>
    <row r="3012" spans="1:11" hidden="1" x14ac:dyDescent="0.25">
      <c r="A3012" s="3" t="s">
        <v>5552</v>
      </c>
      <c r="B3012" s="3">
        <v>12</v>
      </c>
      <c r="C3012" s="5">
        <v>400</v>
      </c>
      <c r="D3012" s="6">
        <v>0</v>
      </c>
      <c r="E3012" s="7">
        <v>703541</v>
      </c>
      <c r="F3012" s="3">
        <v>51200</v>
      </c>
      <c r="G3012" s="3" t="str">
        <f t="shared" si="47"/>
        <v>5</v>
      </c>
      <c r="H3012" s="3" t="s">
        <v>5553</v>
      </c>
      <c r="I3012" s="8">
        <v>11868</v>
      </c>
      <c r="J3012" s="8">
        <v>0</v>
      </c>
      <c r="K3012" s="8">
        <v>11868</v>
      </c>
    </row>
    <row r="3013" spans="1:11" hidden="1" x14ac:dyDescent="0.25">
      <c r="A3013" s="3" t="s">
        <v>5554</v>
      </c>
      <c r="B3013" s="3">
        <v>12</v>
      </c>
      <c r="C3013" s="5">
        <v>400</v>
      </c>
      <c r="D3013" s="6">
        <v>0</v>
      </c>
      <c r="E3013" s="7">
        <v>703541</v>
      </c>
      <c r="F3013" s="3">
        <v>51210</v>
      </c>
      <c r="G3013" s="3" t="str">
        <f t="shared" si="47"/>
        <v>5</v>
      </c>
      <c r="H3013" s="3" t="s">
        <v>5555</v>
      </c>
      <c r="I3013" s="8">
        <v>57656</v>
      </c>
      <c r="J3013" s="8">
        <v>8236.6</v>
      </c>
      <c r="K3013" s="8">
        <v>57656</v>
      </c>
    </row>
    <row r="3014" spans="1:11" hidden="1" x14ac:dyDescent="0.25">
      <c r="A3014" s="3" t="s">
        <v>5556</v>
      </c>
      <c r="B3014" s="3">
        <v>12</v>
      </c>
      <c r="C3014" s="5">
        <v>400</v>
      </c>
      <c r="D3014" s="6">
        <v>0</v>
      </c>
      <c r="E3014" s="7">
        <v>703541</v>
      </c>
      <c r="F3014" s="3">
        <v>51411</v>
      </c>
      <c r="G3014" s="3" t="str">
        <f t="shared" si="47"/>
        <v>5</v>
      </c>
      <c r="H3014" s="3" t="s">
        <v>5557</v>
      </c>
      <c r="I3014" s="8">
        <v>52313</v>
      </c>
      <c r="J3014" s="8">
        <v>14689.86</v>
      </c>
      <c r="K3014" s="8">
        <v>52313</v>
      </c>
    </row>
    <row r="3015" spans="1:11" hidden="1" x14ac:dyDescent="0.25">
      <c r="A3015" s="3" t="s">
        <v>5558</v>
      </c>
      <c r="B3015" s="3">
        <v>12</v>
      </c>
      <c r="C3015" s="5">
        <v>400</v>
      </c>
      <c r="D3015" s="6">
        <v>0</v>
      </c>
      <c r="E3015" s="7">
        <v>703541</v>
      </c>
      <c r="F3015" s="3">
        <v>51412</v>
      </c>
      <c r="G3015" s="3" t="str">
        <f t="shared" si="47"/>
        <v>5</v>
      </c>
      <c r="H3015" s="3" t="s">
        <v>5559</v>
      </c>
      <c r="I3015" s="8">
        <v>250</v>
      </c>
      <c r="J3015" s="8">
        <v>0</v>
      </c>
      <c r="K3015" s="8">
        <v>250</v>
      </c>
    </row>
    <row r="3016" spans="1:11" hidden="1" x14ac:dyDescent="0.25">
      <c r="A3016" s="3" t="s">
        <v>5560</v>
      </c>
      <c r="B3016" s="3">
        <v>12</v>
      </c>
      <c r="C3016" s="5">
        <v>400</v>
      </c>
      <c r="D3016" s="6">
        <v>0</v>
      </c>
      <c r="E3016" s="7">
        <v>703541</v>
      </c>
      <c r="F3016" s="3">
        <v>52105</v>
      </c>
      <c r="G3016" s="3" t="str">
        <f t="shared" si="47"/>
        <v>5</v>
      </c>
      <c r="H3016" s="3" t="s">
        <v>5561</v>
      </c>
      <c r="I3016" s="8">
        <v>15148</v>
      </c>
      <c r="J3016" s="8">
        <v>1002.25</v>
      </c>
      <c r="K3016" s="8">
        <v>15148</v>
      </c>
    </row>
    <row r="3017" spans="1:11" hidden="1" x14ac:dyDescent="0.25">
      <c r="A3017" s="3" t="s">
        <v>5562</v>
      </c>
      <c r="B3017" s="3">
        <v>12</v>
      </c>
      <c r="C3017" s="5">
        <v>400</v>
      </c>
      <c r="D3017" s="6">
        <v>0</v>
      </c>
      <c r="E3017" s="7">
        <v>703541</v>
      </c>
      <c r="F3017" s="3">
        <v>52350</v>
      </c>
      <c r="G3017" s="3" t="str">
        <f t="shared" si="47"/>
        <v>5</v>
      </c>
      <c r="H3017" s="3" t="s">
        <v>5563</v>
      </c>
      <c r="I3017" s="8">
        <v>2573</v>
      </c>
      <c r="J3017" s="8">
        <v>1573</v>
      </c>
      <c r="K3017" s="8">
        <v>2573</v>
      </c>
    </row>
    <row r="3018" spans="1:11" hidden="1" x14ac:dyDescent="0.25">
      <c r="A3018" s="3" t="s">
        <v>5564</v>
      </c>
      <c r="B3018" s="3">
        <v>12</v>
      </c>
      <c r="C3018" s="5">
        <v>400</v>
      </c>
      <c r="D3018" s="6">
        <v>0</v>
      </c>
      <c r="E3018" s="7">
        <v>703541</v>
      </c>
      <c r="F3018" s="3">
        <v>53120</v>
      </c>
      <c r="G3018" s="3" t="str">
        <f t="shared" si="47"/>
        <v>5</v>
      </c>
      <c r="H3018" s="3" t="s">
        <v>5565</v>
      </c>
      <c r="I3018" s="8">
        <v>19717</v>
      </c>
      <c r="J3018" s="8">
        <v>3702.62</v>
      </c>
      <c r="K3018" s="8">
        <v>19717</v>
      </c>
    </row>
    <row r="3019" spans="1:11" hidden="1" x14ac:dyDescent="0.25">
      <c r="A3019" s="3" t="s">
        <v>5566</v>
      </c>
      <c r="B3019" s="3">
        <v>12</v>
      </c>
      <c r="C3019" s="5">
        <v>400</v>
      </c>
      <c r="D3019" s="6">
        <v>0</v>
      </c>
      <c r="E3019" s="7">
        <v>703541</v>
      </c>
      <c r="F3019" s="3">
        <v>53220</v>
      </c>
      <c r="G3019" s="3" t="str">
        <f t="shared" si="47"/>
        <v>5</v>
      </c>
      <c r="H3019" s="3" t="s">
        <v>5567</v>
      </c>
      <c r="I3019" s="8">
        <v>14709</v>
      </c>
      <c r="J3019" s="8">
        <v>197.1</v>
      </c>
      <c r="K3019" s="8">
        <v>14709</v>
      </c>
    </row>
    <row r="3020" spans="1:11" hidden="1" x14ac:dyDescent="0.25">
      <c r="A3020" s="3" t="s">
        <v>5568</v>
      </c>
      <c r="B3020" s="3">
        <v>12</v>
      </c>
      <c r="C3020" s="5">
        <v>400</v>
      </c>
      <c r="D3020" s="6">
        <v>0</v>
      </c>
      <c r="E3020" s="7">
        <v>703541</v>
      </c>
      <c r="F3020" s="3">
        <v>53320</v>
      </c>
      <c r="G3020" s="3" t="str">
        <f t="shared" si="47"/>
        <v>5</v>
      </c>
      <c r="H3020" s="3" t="s">
        <v>5569</v>
      </c>
      <c r="I3020" s="8">
        <v>4292</v>
      </c>
      <c r="J3020" s="8">
        <v>62.14</v>
      </c>
      <c r="K3020" s="8">
        <v>4292</v>
      </c>
    </row>
    <row r="3021" spans="1:11" hidden="1" x14ac:dyDescent="0.25">
      <c r="A3021" s="3" t="s">
        <v>5570</v>
      </c>
      <c r="B3021" s="3">
        <v>12</v>
      </c>
      <c r="C3021" s="5">
        <v>400</v>
      </c>
      <c r="D3021" s="6">
        <v>0</v>
      </c>
      <c r="E3021" s="7">
        <v>703541</v>
      </c>
      <c r="F3021" s="3">
        <v>53340</v>
      </c>
      <c r="G3021" s="3" t="str">
        <f t="shared" si="47"/>
        <v>5</v>
      </c>
      <c r="H3021" s="3" t="s">
        <v>5571</v>
      </c>
      <c r="I3021" s="8">
        <v>1938</v>
      </c>
      <c r="J3021" s="8">
        <v>346.01</v>
      </c>
      <c r="K3021" s="8">
        <v>1938</v>
      </c>
    </row>
    <row r="3022" spans="1:11" hidden="1" x14ac:dyDescent="0.25">
      <c r="A3022" s="3" t="s">
        <v>5572</v>
      </c>
      <c r="B3022" s="3">
        <v>12</v>
      </c>
      <c r="C3022" s="5">
        <v>400</v>
      </c>
      <c r="D3022" s="6">
        <v>0</v>
      </c>
      <c r="E3022" s="7">
        <v>703541</v>
      </c>
      <c r="F3022" s="3">
        <v>53420</v>
      </c>
      <c r="G3022" s="3" t="str">
        <f t="shared" si="47"/>
        <v>5</v>
      </c>
      <c r="H3022" s="3" t="s">
        <v>5573</v>
      </c>
      <c r="I3022" s="8">
        <v>23478</v>
      </c>
      <c r="J3022" s="8">
        <v>1485.34</v>
      </c>
      <c r="K3022" s="8">
        <v>23478</v>
      </c>
    </row>
    <row r="3023" spans="1:11" hidden="1" x14ac:dyDescent="0.25">
      <c r="A3023" s="3" t="s">
        <v>5574</v>
      </c>
      <c r="B3023" s="3">
        <v>12</v>
      </c>
      <c r="C3023" s="5">
        <v>400</v>
      </c>
      <c r="D3023" s="6">
        <v>0</v>
      </c>
      <c r="E3023" s="7">
        <v>703541</v>
      </c>
      <c r="F3023" s="3">
        <v>53520</v>
      </c>
      <c r="G3023" s="3" t="str">
        <f t="shared" si="47"/>
        <v>5</v>
      </c>
      <c r="H3023" s="3" t="s">
        <v>5575</v>
      </c>
      <c r="I3023" s="8">
        <v>67</v>
      </c>
      <c r="J3023" s="8">
        <v>11.96</v>
      </c>
      <c r="K3023" s="8">
        <v>67</v>
      </c>
    </row>
    <row r="3024" spans="1:11" hidden="1" x14ac:dyDescent="0.25">
      <c r="A3024" s="3" t="s">
        <v>5576</v>
      </c>
      <c r="B3024" s="3">
        <v>12</v>
      </c>
      <c r="C3024" s="5">
        <v>400</v>
      </c>
      <c r="D3024" s="6">
        <v>0</v>
      </c>
      <c r="E3024" s="7">
        <v>703541</v>
      </c>
      <c r="F3024" s="3">
        <v>53620</v>
      </c>
      <c r="G3024" s="3" t="str">
        <f t="shared" si="47"/>
        <v>5</v>
      </c>
      <c r="H3024" s="3" t="s">
        <v>5577</v>
      </c>
      <c r="I3024" s="8">
        <v>2576</v>
      </c>
      <c r="J3024" s="8">
        <v>482.19</v>
      </c>
      <c r="K3024" s="8">
        <v>2576</v>
      </c>
    </row>
    <row r="3025" spans="1:11" hidden="1" x14ac:dyDescent="0.25">
      <c r="A3025" s="3" t="s">
        <v>5578</v>
      </c>
      <c r="B3025" s="3">
        <v>12</v>
      </c>
      <c r="C3025" s="5">
        <v>400</v>
      </c>
      <c r="D3025" s="6">
        <v>0</v>
      </c>
      <c r="E3025" s="7">
        <v>703541</v>
      </c>
      <c r="F3025" s="3">
        <v>53920</v>
      </c>
      <c r="G3025" s="3" t="str">
        <f t="shared" si="47"/>
        <v>5</v>
      </c>
      <c r="H3025" s="3" t="s">
        <v>5579</v>
      </c>
      <c r="I3025" s="8">
        <v>600</v>
      </c>
      <c r="J3025" s="8">
        <v>50</v>
      </c>
      <c r="K3025" s="8">
        <v>600</v>
      </c>
    </row>
    <row r="3026" spans="1:11" hidden="1" x14ac:dyDescent="0.25">
      <c r="A3026" s="3" t="s">
        <v>5580</v>
      </c>
      <c r="B3026" s="3">
        <v>12</v>
      </c>
      <c r="C3026" s="5">
        <v>400</v>
      </c>
      <c r="D3026" s="6">
        <v>0</v>
      </c>
      <c r="E3026" s="7">
        <v>703541</v>
      </c>
      <c r="F3026" s="3">
        <v>54300</v>
      </c>
      <c r="G3026" s="3" t="str">
        <f t="shared" si="47"/>
        <v>5</v>
      </c>
      <c r="H3026" s="3" t="s">
        <v>5581</v>
      </c>
      <c r="I3026" s="8">
        <v>2300</v>
      </c>
      <c r="J3026" s="8">
        <v>0</v>
      </c>
      <c r="K3026" s="8">
        <v>2300</v>
      </c>
    </row>
    <row r="3027" spans="1:11" hidden="1" x14ac:dyDescent="0.25">
      <c r="A3027" s="3" t="s">
        <v>5582</v>
      </c>
      <c r="B3027" s="3">
        <v>12</v>
      </c>
      <c r="C3027" s="5">
        <v>400</v>
      </c>
      <c r="D3027" s="6">
        <v>0</v>
      </c>
      <c r="E3027" s="7">
        <v>703541</v>
      </c>
      <c r="F3027" s="3">
        <v>55105</v>
      </c>
      <c r="G3027" s="3" t="str">
        <f t="shared" si="47"/>
        <v>5</v>
      </c>
      <c r="H3027" s="3" t="s">
        <v>5583</v>
      </c>
      <c r="I3027" s="8">
        <v>900</v>
      </c>
      <c r="J3027" s="8">
        <v>0</v>
      </c>
      <c r="K3027" s="8">
        <v>900</v>
      </c>
    </row>
    <row r="3028" spans="1:11" hidden="1" x14ac:dyDescent="0.25">
      <c r="A3028" s="3" t="s">
        <v>5584</v>
      </c>
      <c r="B3028" s="3">
        <v>12</v>
      </c>
      <c r="C3028" s="5">
        <v>400</v>
      </c>
      <c r="D3028" s="6">
        <v>0</v>
      </c>
      <c r="E3028" s="7">
        <v>703541</v>
      </c>
      <c r="F3028" s="3">
        <v>55125</v>
      </c>
      <c r="G3028" s="3" t="str">
        <f t="shared" si="47"/>
        <v>5</v>
      </c>
      <c r="H3028" s="3" t="s">
        <v>5585</v>
      </c>
      <c r="I3028" s="8">
        <v>1800</v>
      </c>
      <c r="J3028" s="8">
        <v>0</v>
      </c>
      <c r="K3028" s="8">
        <v>1800</v>
      </c>
    </row>
    <row r="3029" spans="1:11" hidden="1" x14ac:dyDescent="0.25">
      <c r="A3029" s="3" t="s">
        <v>5586</v>
      </c>
      <c r="B3029" s="3">
        <v>12</v>
      </c>
      <c r="C3029" s="5">
        <v>400</v>
      </c>
      <c r="D3029" s="6">
        <v>0</v>
      </c>
      <c r="E3029" s="7">
        <v>703541</v>
      </c>
      <c r="F3029" s="3">
        <v>55200</v>
      </c>
      <c r="G3029" s="3" t="str">
        <f t="shared" si="47"/>
        <v>5</v>
      </c>
      <c r="H3029" s="3" t="s">
        <v>5587</v>
      </c>
      <c r="I3029" s="8">
        <v>7555</v>
      </c>
      <c r="J3029" s="8">
        <v>550</v>
      </c>
      <c r="K3029" s="8">
        <v>7555</v>
      </c>
    </row>
    <row r="3030" spans="1:11" hidden="1" x14ac:dyDescent="0.25">
      <c r="A3030" s="3" t="s">
        <v>5588</v>
      </c>
      <c r="B3030" s="3">
        <v>12</v>
      </c>
      <c r="C3030" s="5">
        <v>400</v>
      </c>
      <c r="D3030" s="6">
        <v>0</v>
      </c>
      <c r="E3030" s="7">
        <v>703541</v>
      </c>
      <c r="F3030" s="3">
        <v>55630</v>
      </c>
      <c r="G3030" s="3" t="str">
        <f t="shared" si="47"/>
        <v>5</v>
      </c>
      <c r="H3030" s="3" t="s">
        <v>5589</v>
      </c>
      <c r="I3030" s="8">
        <v>600</v>
      </c>
      <c r="J3030" s="8">
        <v>115.88</v>
      </c>
      <c r="K3030" s="8">
        <v>600</v>
      </c>
    </row>
    <row r="3031" spans="1:11" hidden="1" x14ac:dyDescent="0.25">
      <c r="A3031" s="3" t="s">
        <v>5590</v>
      </c>
      <c r="B3031" s="3">
        <v>12</v>
      </c>
      <c r="C3031" s="5">
        <v>400</v>
      </c>
      <c r="D3031" s="6">
        <v>0</v>
      </c>
      <c r="E3031" s="7">
        <v>703541</v>
      </c>
      <c r="F3031" s="3">
        <v>55800</v>
      </c>
      <c r="G3031" s="3" t="str">
        <f t="shared" si="47"/>
        <v>5</v>
      </c>
      <c r="H3031" s="3" t="s">
        <v>5591</v>
      </c>
      <c r="I3031" s="8">
        <v>11387.15</v>
      </c>
      <c r="J3031" s="8">
        <v>0</v>
      </c>
      <c r="K3031" s="8">
        <v>11387.15</v>
      </c>
    </row>
    <row r="3032" spans="1:11" hidden="1" x14ac:dyDescent="0.25">
      <c r="A3032" s="3" t="s">
        <v>5592</v>
      </c>
      <c r="B3032" s="3">
        <v>12</v>
      </c>
      <c r="C3032" s="5">
        <v>400</v>
      </c>
      <c r="D3032" s="6">
        <v>0</v>
      </c>
      <c r="E3032" s="7">
        <v>703541</v>
      </c>
      <c r="F3032" s="3">
        <v>56400</v>
      </c>
      <c r="G3032" s="3" t="str">
        <f t="shared" si="47"/>
        <v>5</v>
      </c>
      <c r="H3032" s="3" t="s">
        <v>5593</v>
      </c>
      <c r="I3032" s="8">
        <v>11622.85</v>
      </c>
      <c r="J3032" s="8">
        <v>0</v>
      </c>
      <c r="K3032" s="8">
        <v>11622.85</v>
      </c>
    </row>
    <row r="3033" spans="1:11" hidden="1" x14ac:dyDescent="0.25">
      <c r="A3033" s="3" t="s">
        <v>5594</v>
      </c>
      <c r="B3033" s="3">
        <v>12</v>
      </c>
      <c r="C3033" s="5">
        <v>400</v>
      </c>
      <c r="D3033" s="6">
        <v>0</v>
      </c>
      <c r="E3033" s="7">
        <v>703541</v>
      </c>
      <c r="F3033" s="3">
        <v>57350</v>
      </c>
      <c r="G3033" s="3" t="str">
        <f t="shared" si="47"/>
        <v>5</v>
      </c>
      <c r="H3033" s="3" t="s">
        <v>5595</v>
      </c>
      <c r="I3033" s="8">
        <v>18538</v>
      </c>
      <c r="J3033" s="8">
        <v>750.59</v>
      </c>
      <c r="K3033" s="8">
        <v>18538</v>
      </c>
    </row>
    <row r="3034" spans="1:11" hidden="1" x14ac:dyDescent="0.25">
      <c r="A3034" s="3" t="s">
        <v>5596</v>
      </c>
      <c r="B3034" s="3">
        <v>12</v>
      </c>
      <c r="C3034" s="5">
        <v>400</v>
      </c>
      <c r="D3034" s="6">
        <v>0</v>
      </c>
      <c r="E3034" s="7">
        <v>703560</v>
      </c>
      <c r="F3034" s="3">
        <v>48120</v>
      </c>
      <c r="G3034" s="3" t="str">
        <f t="shared" si="47"/>
        <v>4</v>
      </c>
      <c r="H3034" s="3" t="s">
        <v>5597</v>
      </c>
      <c r="I3034" s="8">
        <v>-489256.23</v>
      </c>
      <c r="J3034" s="8">
        <v>-284583.34000000003</v>
      </c>
      <c r="K3034" s="8">
        <v>-489256.23</v>
      </c>
    </row>
    <row r="3035" spans="1:11" hidden="1" x14ac:dyDescent="0.25">
      <c r="A3035" s="3" t="s">
        <v>5598</v>
      </c>
      <c r="B3035" s="3">
        <v>12</v>
      </c>
      <c r="C3035" s="5">
        <v>400</v>
      </c>
      <c r="D3035" s="6">
        <v>0</v>
      </c>
      <c r="E3035" s="7">
        <v>703560</v>
      </c>
      <c r="F3035" s="3">
        <v>52105</v>
      </c>
      <c r="G3035" s="3" t="str">
        <f t="shared" ref="G3035:G3098" si="48">LEFT(F3035,1)</f>
        <v>5</v>
      </c>
      <c r="H3035" s="3" t="s">
        <v>5599</v>
      </c>
      <c r="I3035" s="8">
        <v>87700</v>
      </c>
      <c r="J3035" s="8">
        <v>61162.39</v>
      </c>
      <c r="K3035" s="8">
        <v>87700</v>
      </c>
    </row>
    <row r="3036" spans="1:11" hidden="1" x14ac:dyDescent="0.25">
      <c r="A3036" s="3" t="s">
        <v>5600</v>
      </c>
      <c r="B3036" s="3">
        <v>12</v>
      </c>
      <c r="C3036" s="5">
        <v>400</v>
      </c>
      <c r="D3036" s="6">
        <v>0</v>
      </c>
      <c r="E3036" s="7">
        <v>703560</v>
      </c>
      <c r="F3036" s="3">
        <v>52130</v>
      </c>
      <c r="G3036" s="3" t="str">
        <f t="shared" si="48"/>
        <v>5</v>
      </c>
      <c r="H3036" s="3" t="s">
        <v>5601</v>
      </c>
      <c r="I3036" s="8">
        <v>93834</v>
      </c>
      <c r="J3036" s="8">
        <v>70126.02</v>
      </c>
      <c r="K3036" s="8">
        <v>93834</v>
      </c>
    </row>
    <row r="3037" spans="1:11" hidden="1" x14ac:dyDescent="0.25">
      <c r="A3037" s="3" t="s">
        <v>5602</v>
      </c>
      <c r="B3037" s="3">
        <v>12</v>
      </c>
      <c r="C3037" s="5">
        <v>400</v>
      </c>
      <c r="D3037" s="6">
        <v>0</v>
      </c>
      <c r="E3037" s="7">
        <v>703560</v>
      </c>
      <c r="F3037" s="3">
        <v>52360</v>
      </c>
      <c r="G3037" s="3" t="str">
        <f t="shared" si="48"/>
        <v>5</v>
      </c>
      <c r="H3037" s="3" t="s">
        <v>5603</v>
      </c>
      <c r="I3037" s="8">
        <v>76000</v>
      </c>
      <c r="J3037" s="8">
        <v>52364</v>
      </c>
      <c r="K3037" s="8">
        <v>76000</v>
      </c>
    </row>
    <row r="3038" spans="1:11" hidden="1" x14ac:dyDescent="0.25">
      <c r="A3038" s="3" t="s">
        <v>5604</v>
      </c>
      <c r="B3038" s="3">
        <v>12</v>
      </c>
      <c r="C3038" s="5">
        <v>400</v>
      </c>
      <c r="D3038" s="6">
        <v>0</v>
      </c>
      <c r="E3038" s="7">
        <v>703560</v>
      </c>
      <c r="F3038" s="3">
        <v>53220</v>
      </c>
      <c r="G3038" s="3" t="str">
        <f t="shared" si="48"/>
        <v>5</v>
      </c>
      <c r="H3038" s="3" t="s">
        <v>5605</v>
      </c>
      <c r="I3038" s="8">
        <v>43255</v>
      </c>
      <c r="J3038" s="8">
        <v>36380.03</v>
      </c>
      <c r="K3038" s="8">
        <v>43255</v>
      </c>
    </row>
    <row r="3039" spans="1:11" hidden="1" x14ac:dyDescent="0.25">
      <c r="A3039" s="3" t="s">
        <v>5606</v>
      </c>
      <c r="B3039" s="3">
        <v>12</v>
      </c>
      <c r="C3039" s="5">
        <v>400</v>
      </c>
      <c r="D3039" s="6">
        <v>0</v>
      </c>
      <c r="E3039" s="7">
        <v>703560</v>
      </c>
      <c r="F3039" s="3">
        <v>53320</v>
      </c>
      <c r="G3039" s="3" t="str">
        <f t="shared" si="48"/>
        <v>5</v>
      </c>
      <c r="H3039" s="3" t="s">
        <v>5607</v>
      </c>
      <c r="I3039" s="8">
        <v>16526</v>
      </c>
      <c r="J3039" s="8">
        <v>11347.98</v>
      </c>
      <c r="K3039" s="8">
        <v>16526</v>
      </c>
    </row>
    <row r="3040" spans="1:11" hidden="1" x14ac:dyDescent="0.25">
      <c r="A3040" s="3" t="s">
        <v>5608</v>
      </c>
      <c r="B3040" s="3">
        <v>12</v>
      </c>
      <c r="C3040" s="5">
        <v>400</v>
      </c>
      <c r="D3040" s="6">
        <v>0</v>
      </c>
      <c r="E3040" s="7">
        <v>703560</v>
      </c>
      <c r="F3040" s="3">
        <v>53340</v>
      </c>
      <c r="G3040" s="3" t="str">
        <f t="shared" si="48"/>
        <v>5</v>
      </c>
      <c r="H3040" s="3" t="s">
        <v>5609</v>
      </c>
      <c r="I3040" s="8">
        <v>3865</v>
      </c>
      <c r="J3040" s="8">
        <v>2653.99</v>
      </c>
      <c r="K3040" s="8">
        <v>3865</v>
      </c>
    </row>
    <row r="3041" spans="1:11" hidden="1" x14ac:dyDescent="0.25">
      <c r="A3041" s="3" t="s">
        <v>5610</v>
      </c>
      <c r="B3041" s="3">
        <v>12</v>
      </c>
      <c r="C3041" s="5">
        <v>400</v>
      </c>
      <c r="D3041" s="6">
        <v>0</v>
      </c>
      <c r="E3041" s="7">
        <v>703560</v>
      </c>
      <c r="F3041" s="3">
        <v>53420</v>
      </c>
      <c r="G3041" s="3" t="str">
        <f t="shared" si="48"/>
        <v>5</v>
      </c>
      <c r="H3041" s="3" t="s">
        <v>5611</v>
      </c>
      <c r="I3041" s="8">
        <v>63623</v>
      </c>
      <c r="J3041" s="8">
        <v>41271.480000000003</v>
      </c>
      <c r="K3041" s="8">
        <v>63623</v>
      </c>
    </row>
    <row r="3042" spans="1:11" hidden="1" x14ac:dyDescent="0.25">
      <c r="A3042" s="3" t="s">
        <v>5612</v>
      </c>
      <c r="B3042" s="3">
        <v>12</v>
      </c>
      <c r="C3042" s="5">
        <v>400</v>
      </c>
      <c r="D3042" s="6">
        <v>0</v>
      </c>
      <c r="E3042" s="7">
        <v>703560</v>
      </c>
      <c r="F3042" s="3">
        <v>53520</v>
      </c>
      <c r="G3042" s="3" t="str">
        <f t="shared" si="48"/>
        <v>5</v>
      </c>
      <c r="H3042" s="3" t="s">
        <v>5613</v>
      </c>
      <c r="I3042" s="8">
        <v>133</v>
      </c>
      <c r="J3042" s="8">
        <v>91.79</v>
      </c>
      <c r="K3042" s="8">
        <v>133</v>
      </c>
    </row>
    <row r="3043" spans="1:11" hidden="1" x14ac:dyDescent="0.25">
      <c r="A3043" s="3" t="s">
        <v>5614</v>
      </c>
      <c r="B3043" s="3">
        <v>12</v>
      </c>
      <c r="C3043" s="5">
        <v>400</v>
      </c>
      <c r="D3043" s="6">
        <v>0</v>
      </c>
      <c r="E3043" s="7">
        <v>703560</v>
      </c>
      <c r="F3043" s="3">
        <v>53620</v>
      </c>
      <c r="G3043" s="3" t="str">
        <f t="shared" si="48"/>
        <v>5</v>
      </c>
      <c r="H3043" s="3" t="s">
        <v>5615</v>
      </c>
      <c r="I3043" s="8">
        <v>4814</v>
      </c>
      <c r="J3043" s="8">
        <v>3476.25</v>
      </c>
      <c r="K3043" s="8">
        <v>4814</v>
      </c>
    </row>
    <row r="3044" spans="1:11" hidden="1" x14ac:dyDescent="0.25">
      <c r="A3044" s="3" t="s">
        <v>5616</v>
      </c>
      <c r="B3044" s="3">
        <v>12</v>
      </c>
      <c r="C3044" s="5">
        <v>400</v>
      </c>
      <c r="D3044" s="6">
        <v>0</v>
      </c>
      <c r="E3044" s="7">
        <v>703560</v>
      </c>
      <c r="F3044" s="3">
        <v>54210</v>
      </c>
      <c r="G3044" s="3" t="str">
        <f t="shared" si="48"/>
        <v>5</v>
      </c>
      <c r="H3044" s="3" t="s">
        <v>5617</v>
      </c>
      <c r="I3044" s="8">
        <v>0</v>
      </c>
      <c r="J3044" s="8">
        <v>0</v>
      </c>
      <c r="K3044" s="8">
        <v>0</v>
      </c>
    </row>
    <row r="3045" spans="1:11" hidden="1" x14ac:dyDescent="0.25">
      <c r="A3045" s="3" t="s">
        <v>5618</v>
      </c>
      <c r="B3045" s="3">
        <v>12</v>
      </c>
      <c r="C3045" s="5">
        <v>400</v>
      </c>
      <c r="D3045" s="6">
        <v>0</v>
      </c>
      <c r="E3045" s="7">
        <v>703560</v>
      </c>
      <c r="F3045" s="3">
        <v>54220</v>
      </c>
      <c r="G3045" s="3" t="str">
        <f t="shared" si="48"/>
        <v>5</v>
      </c>
      <c r="H3045" s="3" t="s">
        <v>5619</v>
      </c>
      <c r="I3045" s="8">
        <v>1000</v>
      </c>
      <c r="J3045" s="8">
        <v>0</v>
      </c>
      <c r="K3045" s="8">
        <v>1000</v>
      </c>
    </row>
    <row r="3046" spans="1:11" hidden="1" x14ac:dyDescent="0.25">
      <c r="A3046" s="3" t="s">
        <v>5620</v>
      </c>
      <c r="B3046" s="3">
        <v>12</v>
      </c>
      <c r="C3046" s="5">
        <v>400</v>
      </c>
      <c r="D3046" s="6">
        <v>0</v>
      </c>
      <c r="E3046" s="7">
        <v>703560</v>
      </c>
      <c r="F3046" s="3">
        <v>54300</v>
      </c>
      <c r="G3046" s="3" t="str">
        <f t="shared" si="48"/>
        <v>5</v>
      </c>
      <c r="H3046" s="3" t="s">
        <v>5621</v>
      </c>
      <c r="I3046" s="8">
        <v>1000</v>
      </c>
      <c r="J3046" s="8">
        <v>436.94</v>
      </c>
      <c r="K3046" s="8">
        <v>1000</v>
      </c>
    </row>
    <row r="3047" spans="1:11" hidden="1" x14ac:dyDescent="0.25">
      <c r="A3047" s="3" t="s">
        <v>5622</v>
      </c>
      <c r="B3047" s="3">
        <v>12</v>
      </c>
      <c r="C3047" s="5">
        <v>400</v>
      </c>
      <c r="D3047" s="6">
        <v>0</v>
      </c>
      <c r="E3047" s="7">
        <v>703560</v>
      </c>
      <c r="F3047" s="3">
        <v>54320</v>
      </c>
      <c r="G3047" s="3" t="str">
        <f t="shared" si="48"/>
        <v>5</v>
      </c>
      <c r="H3047" s="3" t="s">
        <v>5623</v>
      </c>
      <c r="I3047" s="8">
        <v>0</v>
      </c>
      <c r="J3047" s="8">
        <v>0</v>
      </c>
      <c r="K3047" s="8">
        <v>0</v>
      </c>
    </row>
    <row r="3048" spans="1:11" hidden="1" x14ac:dyDescent="0.25">
      <c r="A3048" s="3" t="s">
        <v>5624</v>
      </c>
      <c r="B3048" s="3">
        <v>12</v>
      </c>
      <c r="C3048" s="5">
        <v>400</v>
      </c>
      <c r="D3048" s="6">
        <v>0</v>
      </c>
      <c r="E3048" s="7">
        <v>703560</v>
      </c>
      <c r="F3048" s="3">
        <v>55105</v>
      </c>
      <c r="G3048" s="3" t="str">
        <f t="shared" si="48"/>
        <v>5</v>
      </c>
      <c r="H3048" s="3" t="s">
        <v>5625</v>
      </c>
      <c r="I3048" s="8">
        <v>4000</v>
      </c>
      <c r="J3048" s="8">
        <v>4000</v>
      </c>
      <c r="K3048" s="8">
        <v>4000</v>
      </c>
    </row>
    <row r="3049" spans="1:11" hidden="1" x14ac:dyDescent="0.25">
      <c r="A3049" s="3" t="s">
        <v>5626</v>
      </c>
      <c r="B3049" s="3">
        <v>12</v>
      </c>
      <c r="C3049" s="5">
        <v>400</v>
      </c>
      <c r="D3049" s="6">
        <v>0</v>
      </c>
      <c r="E3049" s="7">
        <v>703560</v>
      </c>
      <c r="F3049" s="3">
        <v>55200</v>
      </c>
      <c r="G3049" s="3" t="str">
        <f t="shared" si="48"/>
        <v>5</v>
      </c>
      <c r="H3049" s="3" t="s">
        <v>5627</v>
      </c>
      <c r="I3049" s="8">
        <v>0</v>
      </c>
      <c r="J3049" s="8">
        <v>0</v>
      </c>
      <c r="K3049" s="8">
        <v>0</v>
      </c>
    </row>
    <row r="3050" spans="1:11" hidden="1" x14ac:dyDescent="0.25">
      <c r="A3050" s="3" t="s">
        <v>5628</v>
      </c>
      <c r="B3050" s="3">
        <v>12</v>
      </c>
      <c r="C3050" s="5">
        <v>400</v>
      </c>
      <c r="D3050" s="6">
        <v>0</v>
      </c>
      <c r="E3050" s="7">
        <v>703560</v>
      </c>
      <c r="F3050" s="3">
        <v>55240</v>
      </c>
      <c r="G3050" s="3" t="str">
        <f t="shared" si="48"/>
        <v>5</v>
      </c>
      <c r="H3050" s="3" t="s">
        <v>5629</v>
      </c>
      <c r="I3050" s="8">
        <v>0</v>
      </c>
      <c r="J3050" s="8">
        <v>0</v>
      </c>
      <c r="K3050" s="8">
        <v>0</v>
      </c>
    </row>
    <row r="3051" spans="1:11" hidden="1" x14ac:dyDescent="0.25">
      <c r="A3051" s="3" t="s">
        <v>5630</v>
      </c>
      <c r="B3051" s="3">
        <v>12</v>
      </c>
      <c r="C3051" s="5">
        <v>400</v>
      </c>
      <c r="D3051" s="6">
        <v>0</v>
      </c>
      <c r="E3051" s="7">
        <v>703560</v>
      </c>
      <c r="F3051" s="3">
        <v>55300</v>
      </c>
      <c r="G3051" s="3" t="str">
        <f t="shared" si="48"/>
        <v>5</v>
      </c>
      <c r="H3051" s="3" t="s">
        <v>5631</v>
      </c>
      <c r="I3051" s="8">
        <v>3000</v>
      </c>
      <c r="J3051" s="8">
        <v>1912.5</v>
      </c>
      <c r="K3051" s="8">
        <v>3000</v>
      </c>
    </row>
    <row r="3052" spans="1:11" hidden="1" x14ac:dyDescent="0.25">
      <c r="A3052" s="3" t="s">
        <v>5632</v>
      </c>
      <c r="B3052" s="3">
        <v>12</v>
      </c>
      <c r="C3052" s="5">
        <v>400</v>
      </c>
      <c r="D3052" s="6">
        <v>0</v>
      </c>
      <c r="E3052" s="7">
        <v>703560</v>
      </c>
      <c r="F3052" s="3">
        <v>55630</v>
      </c>
      <c r="G3052" s="3" t="str">
        <f t="shared" si="48"/>
        <v>5</v>
      </c>
      <c r="H3052" s="3" t="s">
        <v>5633</v>
      </c>
      <c r="I3052" s="8">
        <v>0</v>
      </c>
      <c r="J3052" s="8">
        <v>12.71</v>
      </c>
      <c r="K3052" s="8">
        <v>0</v>
      </c>
    </row>
    <row r="3053" spans="1:11" hidden="1" x14ac:dyDescent="0.25">
      <c r="A3053" s="3" t="s">
        <v>5634</v>
      </c>
      <c r="B3053" s="3">
        <v>12</v>
      </c>
      <c r="C3053" s="5">
        <v>400</v>
      </c>
      <c r="D3053" s="6">
        <v>0</v>
      </c>
      <c r="E3053" s="7">
        <v>703560</v>
      </c>
      <c r="F3053" s="3">
        <v>55635</v>
      </c>
      <c r="G3053" s="3" t="str">
        <f t="shared" si="48"/>
        <v>5</v>
      </c>
      <c r="H3053" s="3" t="s">
        <v>5635</v>
      </c>
      <c r="I3053" s="8">
        <v>0</v>
      </c>
      <c r="J3053" s="8">
        <v>0</v>
      </c>
      <c r="K3053" s="8">
        <v>0</v>
      </c>
    </row>
    <row r="3054" spans="1:11" hidden="1" x14ac:dyDescent="0.25">
      <c r="A3054" s="3" t="s">
        <v>5636</v>
      </c>
      <c r="B3054" s="3">
        <v>12</v>
      </c>
      <c r="C3054" s="5">
        <v>400</v>
      </c>
      <c r="D3054" s="6">
        <v>0</v>
      </c>
      <c r="E3054" s="7">
        <v>703560</v>
      </c>
      <c r="F3054" s="3">
        <v>55650</v>
      </c>
      <c r="G3054" s="3" t="str">
        <f t="shared" si="48"/>
        <v>5</v>
      </c>
      <c r="H3054" s="3" t="s">
        <v>5637</v>
      </c>
      <c r="I3054" s="8">
        <v>3500</v>
      </c>
      <c r="J3054" s="8">
        <v>0</v>
      </c>
      <c r="K3054" s="8">
        <v>3500</v>
      </c>
    </row>
    <row r="3055" spans="1:11" hidden="1" x14ac:dyDescent="0.25">
      <c r="A3055" s="3" t="s">
        <v>5638</v>
      </c>
      <c r="B3055" s="3">
        <v>12</v>
      </c>
      <c r="C3055" s="5">
        <v>400</v>
      </c>
      <c r="D3055" s="6">
        <v>0</v>
      </c>
      <c r="E3055" s="7">
        <v>703560</v>
      </c>
      <c r="F3055" s="3">
        <v>57350</v>
      </c>
      <c r="G3055" s="3" t="str">
        <f t="shared" si="48"/>
        <v>5</v>
      </c>
      <c r="H3055" s="3" t="s">
        <v>5639</v>
      </c>
      <c r="I3055" s="8">
        <v>32180</v>
      </c>
      <c r="J3055" s="8">
        <v>15903.98</v>
      </c>
      <c r="K3055" s="8">
        <v>32180</v>
      </c>
    </row>
    <row r="3056" spans="1:11" hidden="1" x14ac:dyDescent="0.25">
      <c r="A3056" s="3" t="s">
        <v>5640</v>
      </c>
      <c r="B3056" s="3">
        <v>12</v>
      </c>
      <c r="C3056" s="5">
        <v>400</v>
      </c>
      <c r="D3056" s="6">
        <v>0</v>
      </c>
      <c r="E3056" s="7">
        <v>703560</v>
      </c>
      <c r="F3056" s="3">
        <v>57500</v>
      </c>
      <c r="G3056" s="3" t="str">
        <f t="shared" si="48"/>
        <v>5</v>
      </c>
      <c r="H3056" s="3" t="s">
        <v>5641</v>
      </c>
      <c r="I3056" s="8">
        <v>53826.23</v>
      </c>
      <c r="J3056" s="8">
        <v>13412.1</v>
      </c>
      <c r="K3056" s="8">
        <v>53826.23</v>
      </c>
    </row>
    <row r="3057" spans="1:11" hidden="1" x14ac:dyDescent="0.25">
      <c r="A3057" s="3" t="s">
        <v>5642</v>
      </c>
      <c r="B3057" s="3">
        <v>12</v>
      </c>
      <c r="C3057" s="5">
        <v>400</v>
      </c>
      <c r="D3057" s="6">
        <v>0</v>
      </c>
      <c r="E3057" s="7">
        <v>703560</v>
      </c>
      <c r="F3057" s="3">
        <v>57600</v>
      </c>
      <c r="G3057" s="3" t="str">
        <f t="shared" si="48"/>
        <v>5</v>
      </c>
      <c r="H3057" s="3" t="s">
        <v>5643</v>
      </c>
      <c r="I3057" s="8">
        <v>1000</v>
      </c>
      <c r="J3057" s="8">
        <v>999.64</v>
      </c>
      <c r="K3057" s="8">
        <v>1000</v>
      </c>
    </row>
    <row r="3058" spans="1:11" hidden="1" x14ac:dyDescent="0.25">
      <c r="A3058" s="3" t="s">
        <v>5644</v>
      </c>
      <c r="B3058" s="3">
        <v>12</v>
      </c>
      <c r="C3058" s="5">
        <v>400</v>
      </c>
      <c r="D3058" s="6">
        <v>0</v>
      </c>
      <c r="E3058" s="7">
        <v>703570</v>
      </c>
      <c r="F3058" s="3">
        <v>56400</v>
      </c>
      <c r="G3058" s="3" t="str">
        <f t="shared" si="48"/>
        <v>5</v>
      </c>
      <c r="H3058" s="3" t="s">
        <v>5645</v>
      </c>
      <c r="I3058" s="8">
        <v>0</v>
      </c>
      <c r="J3058" s="8">
        <v>0</v>
      </c>
      <c r="K3058" s="8">
        <v>0</v>
      </c>
    </row>
    <row r="3059" spans="1:11" hidden="1" x14ac:dyDescent="0.25">
      <c r="A3059" s="3" t="s">
        <v>5646</v>
      </c>
      <c r="B3059" s="3">
        <v>12</v>
      </c>
      <c r="C3059" s="5">
        <v>400</v>
      </c>
      <c r="D3059" s="6">
        <v>0</v>
      </c>
      <c r="E3059" s="7">
        <v>703571</v>
      </c>
      <c r="F3059" s="3">
        <v>48120</v>
      </c>
      <c r="G3059" s="3" t="str">
        <f t="shared" si="48"/>
        <v>4</v>
      </c>
      <c r="H3059" s="3" t="s">
        <v>5647</v>
      </c>
      <c r="I3059" s="8">
        <v>-502702.24</v>
      </c>
      <c r="J3059" s="8">
        <v>-162490.91</v>
      </c>
      <c r="K3059" s="8">
        <v>-502702.24</v>
      </c>
    </row>
    <row r="3060" spans="1:11" hidden="1" x14ac:dyDescent="0.25">
      <c r="A3060" s="3" t="s">
        <v>5648</v>
      </c>
      <c r="B3060" s="3">
        <v>12</v>
      </c>
      <c r="C3060" s="5">
        <v>400</v>
      </c>
      <c r="D3060" s="6">
        <v>0</v>
      </c>
      <c r="E3060" s="7">
        <v>703571</v>
      </c>
      <c r="F3060" s="3">
        <v>51410</v>
      </c>
      <c r="G3060" s="3" t="str">
        <f t="shared" si="48"/>
        <v>5</v>
      </c>
      <c r="H3060" s="3" t="s">
        <v>5649</v>
      </c>
      <c r="I3060" s="8">
        <v>0</v>
      </c>
      <c r="J3060" s="8">
        <v>1373.6</v>
      </c>
      <c r="K3060" s="8">
        <v>0</v>
      </c>
    </row>
    <row r="3061" spans="1:11" hidden="1" x14ac:dyDescent="0.25">
      <c r="A3061" s="3" t="s">
        <v>5650</v>
      </c>
      <c r="B3061" s="3">
        <v>12</v>
      </c>
      <c r="C3061" s="5">
        <v>400</v>
      </c>
      <c r="D3061" s="6">
        <v>0</v>
      </c>
      <c r="E3061" s="7">
        <v>703571</v>
      </c>
      <c r="F3061" s="3">
        <v>52105</v>
      </c>
      <c r="G3061" s="3" t="str">
        <f t="shared" si="48"/>
        <v>5</v>
      </c>
      <c r="H3061" s="3" t="s">
        <v>5651</v>
      </c>
      <c r="I3061" s="8">
        <v>62654</v>
      </c>
      <c r="J3061" s="8">
        <v>40213.29</v>
      </c>
      <c r="K3061" s="8">
        <v>62654</v>
      </c>
    </row>
    <row r="3062" spans="1:11" hidden="1" x14ac:dyDescent="0.25">
      <c r="A3062" s="3" t="s">
        <v>5652</v>
      </c>
      <c r="B3062" s="3">
        <v>12</v>
      </c>
      <c r="C3062" s="5">
        <v>400</v>
      </c>
      <c r="D3062" s="6">
        <v>0</v>
      </c>
      <c r="E3062" s="7">
        <v>703571</v>
      </c>
      <c r="F3062" s="3">
        <v>52130</v>
      </c>
      <c r="G3062" s="3" t="str">
        <f t="shared" si="48"/>
        <v>5</v>
      </c>
      <c r="H3062" s="3" t="s">
        <v>5653</v>
      </c>
      <c r="I3062" s="8">
        <v>49420</v>
      </c>
      <c r="J3062" s="8">
        <v>37064.699999999997</v>
      </c>
      <c r="K3062" s="8">
        <v>49420</v>
      </c>
    </row>
    <row r="3063" spans="1:11" hidden="1" x14ac:dyDescent="0.25">
      <c r="A3063" s="3" t="s">
        <v>5654</v>
      </c>
      <c r="B3063" s="3">
        <v>12</v>
      </c>
      <c r="C3063" s="5">
        <v>400</v>
      </c>
      <c r="D3063" s="6">
        <v>0</v>
      </c>
      <c r="E3063" s="7">
        <v>703571</v>
      </c>
      <c r="F3063" s="3">
        <v>52360</v>
      </c>
      <c r="G3063" s="3" t="str">
        <f t="shared" si="48"/>
        <v>5</v>
      </c>
      <c r="H3063" s="3" t="s">
        <v>5655</v>
      </c>
      <c r="I3063" s="8">
        <v>37492</v>
      </c>
      <c r="J3063" s="8">
        <v>6838.72</v>
      </c>
      <c r="K3063" s="8">
        <v>37492</v>
      </c>
    </row>
    <row r="3064" spans="1:11" hidden="1" x14ac:dyDescent="0.25">
      <c r="A3064" s="3" t="s">
        <v>5656</v>
      </c>
      <c r="B3064" s="3">
        <v>12</v>
      </c>
      <c r="C3064" s="5">
        <v>400</v>
      </c>
      <c r="D3064" s="6">
        <v>0</v>
      </c>
      <c r="E3064" s="7">
        <v>703571</v>
      </c>
      <c r="F3064" s="3">
        <v>52420</v>
      </c>
      <c r="G3064" s="3" t="str">
        <f t="shared" si="48"/>
        <v>5</v>
      </c>
      <c r="H3064" s="3" t="s">
        <v>5657</v>
      </c>
      <c r="I3064" s="8">
        <v>13000</v>
      </c>
      <c r="J3064" s="8">
        <v>0</v>
      </c>
      <c r="K3064" s="8">
        <v>13000</v>
      </c>
    </row>
    <row r="3065" spans="1:11" hidden="1" x14ac:dyDescent="0.25">
      <c r="A3065" s="3" t="s">
        <v>5658</v>
      </c>
      <c r="B3065" s="3">
        <v>12</v>
      </c>
      <c r="C3065" s="5">
        <v>400</v>
      </c>
      <c r="D3065" s="6">
        <v>0</v>
      </c>
      <c r="E3065" s="7">
        <v>703571</v>
      </c>
      <c r="F3065" s="3">
        <v>53120</v>
      </c>
      <c r="G3065" s="3" t="str">
        <f t="shared" si="48"/>
        <v>5</v>
      </c>
      <c r="H3065" s="3" t="s">
        <v>5659</v>
      </c>
      <c r="I3065" s="8">
        <v>0</v>
      </c>
      <c r="J3065" s="8">
        <v>221.84</v>
      </c>
      <c r="K3065" s="8">
        <v>0</v>
      </c>
    </row>
    <row r="3066" spans="1:11" hidden="1" x14ac:dyDescent="0.25">
      <c r="A3066" s="3" t="s">
        <v>5660</v>
      </c>
      <c r="B3066" s="3">
        <v>12</v>
      </c>
      <c r="C3066" s="5">
        <v>400</v>
      </c>
      <c r="D3066" s="6">
        <v>0</v>
      </c>
      <c r="E3066" s="7">
        <v>703571</v>
      </c>
      <c r="F3066" s="3">
        <v>53220</v>
      </c>
      <c r="G3066" s="3" t="str">
        <f t="shared" si="48"/>
        <v>5</v>
      </c>
      <c r="H3066" s="3" t="s">
        <v>5661</v>
      </c>
      <c r="I3066" s="8">
        <v>23199</v>
      </c>
      <c r="J3066" s="8">
        <v>15982.46</v>
      </c>
      <c r="K3066" s="8">
        <v>23199</v>
      </c>
    </row>
    <row r="3067" spans="1:11" hidden="1" x14ac:dyDescent="0.25">
      <c r="A3067" s="3" t="s">
        <v>5662</v>
      </c>
      <c r="B3067" s="3">
        <v>12</v>
      </c>
      <c r="C3067" s="5">
        <v>400</v>
      </c>
      <c r="D3067" s="6">
        <v>0</v>
      </c>
      <c r="E3067" s="7">
        <v>703571</v>
      </c>
      <c r="F3067" s="3">
        <v>53320</v>
      </c>
      <c r="G3067" s="3" t="str">
        <f t="shared" si="48"/>
        <v>5</v>
      </c>
      <c r="H3067" s="3" t="s">
        <v>5663</v>
      </c>
      <c r="I3067" s="8">
        <v>6949</v>
      </c>
      <c r="J3067" s="8">
        <v>5216.21</v>
      </c>
      <c r="K3067" s="8">
        <v>6949</v>
      </c>
    </row>
    <row r="3068" spans="1:11" hidden="1" x14ac:dyDescent="0.25">
      <c r="A3068" s="3" t="s">
        <v>5664</v>
      </c>
      <c r="B3068" s="3">
        <v>12</v>
      </c>
      <c r="C3068" s="5">
        <v>400</v>
      </c>
      <c r="D3068" s="6">
        <v>0</v>
      </c>
      <c r="E3068" s="7">
        <v>703571</v>
      </c>
      <c r="F3068" s="3">
        <v>53340</v>
      </c>
      <c r="G3068" s="3" t="str">
        <f t="shared" si="48"/>
        <v>5</v>
      </c>
      <c r="H3068" s="3" t="s">
        <v>5665</v>
      </c>
      <c r="I3068" s="8">
        <v>1625</v>
      </c>
      <c r="J3068" s="8">
        <v>1239.76</v>
      </c>
      <c r="K3068" s="8">
        <v>1625</v>
      </c>
    </row>
    <row r="3069" spans="1:11" hidden="1" x14ac:dyDescent="0.25">
      <c r="A3069" s="3" t="s">
        <v>5666</v>
      </c>
      <c r="B3069" s="3">
        <v>12</v>
      </c>
      <c r="C3069" s="5">
        <v>400</v>
      </c>
      <c r="D3069" s="6">
        <v>0</v>
      </c>
      <c r="E3069" s="7">
        <v>703571</v>
      </c>
      <c r="F3069" s="3">
        <v>53420</v>
      </c>
      <c r="G3069" s="3" t="str">
        <f t="shared" si="48"/>
        <v>5</v>
      </c>
      <c r="H3069" s="3" t="s">
        <v>5667</v>
      </c>
      <c r="I3069" s="8">
        <v>15962</v>
      </c>
      <c r="J3069" s="8">
        <v>14934.24</v>
      </c>
      <c r="K3069" s="8">
        <v>15962</v>
      </c>
    </row>
    <row r="3070" spans="1:11" hidden="1" x14ac:dyDescent="0.25">
      <c r="A3070" s="3" t="s">
        <v>5668</v>
      </c>
      <c r="B3070" s="3">
        <v>12</v>
      </c>
      <c r="C3070" s="5">
        <v>400</v>
      </c>
      <c r="D3070" s="6">
        <v>0</v>
      </c>
      <c r="E3070" s="7">
        <v>703571</v>
      </c>
      <c r="F3070" s="3">
        <v>53520</v>
      </c>
      <c r="G3070" s="3" t="str">
        <f t="shared" si="48"/>
        <v>5</v>
      </c>
      <c r="H3070" s="3" t="s">
        <v>5669</v>
      </c>
      <c r="I3070" s="8">
        <v>75</v>
      </c>
      <c r="J3070" s="8">
        <v>42.76</v>
      </c>
      <c r="K3070" s="8">
        <v>75</v>
      </c>
    </row>
    <row r="3071" spans="1:11" hidden="1" x14ac:dyDescent="0.25">
      <c r="A3071" s="3" t="s">
        <v>5670</v>
      </c>
      <c r="B3071" s="3">
        <v>12</v>
      </c>
      <c r="C3071" s="5">
        <v>400</v>
      </c>
      <c r="D3071" s="6">
        <v>0</v>
      </c>
      <c r="E3071" s="7">
        <v>703571</v>
      </c>
      <c r="F3071" s="3">
        <v>53610</v>
      </c>
      <c r="G3071" s="3" t="str">
        <f t="shared" si="48"/>
        <v>5</v>
      </c>
      <c r="H3071" s="3" t="s">
        <v>5671</v>
      </c>
      <c r="I3071" s="8">
        <v>235</v>
      </c>
      <c r="J3071" s="8">
        <v>0</v>
      </c>
      <c r="K3071" s="8">
        <v>235</v>
      </c>
    </row>
    <row r="3072" spans="1:11" hidden="1" x14ac:dyDescent="0.25">
      <c r="A3072" s="3" t="s">
        <v>5672</v>
      </c>
      <c r="B3072" s="3">
        <v>12</v>
      </c>
      <c r="C3072" s="5">
        <v>400</v>
      </c>
      <c r="D3072" s="6">
        <v>0</v>
      </c>
      <c r="E3072" s="7">
        <v>703571</v>
      </c>
      <c r="F3072" s="3">
        <v>53620</v>
      </c>
      <c r="G3072" s="3" t="str">
        <f t="shared" si="48"/>
        <v>5</v>
      </c>
      <c r="H3072" s="3" t="s">
        <v>5673</v>
      </c>
      <c r="I3072" s="8">
        <v>2701</v>
      </c>
      <c r="J3072" s="8">
        <v>1616.5</v>
      </c>
      <c r="K3072" s="8">
        <v>2701</v>
      </c>
    </row>
    <row r="3073" spans="1:11" hidden="1" x14ac:dyDescent="0.25">
      <c r="A3073" s="3" t="s">
        <v>5674</v>
      </c>
      <c r="B3073" s="3">
        <v>12</v>
      </c>
      <c r="C3073" s="5">
        <v>400</v>
      </c>
      <c r="D3073" s="6">
        <v>0</v>
      </c>
      <c r="E3073" s="7">
        <v>703571</v>
      </c>
      <c r="F3073" s="3">
        <v>53920</v>
      </c>
      <c r="G3073" s="3" t="str">
        <f t="shared" si="48"/>
        <v>5</v>
      </c>
      <c r="H3073" s="3" t="s">
        <v>5675</v>
      </c>
      <c r="I3073" s="8">
        <v>1200</v>
      </c>
      <c r="J3073" s="8">
        <v>850</v>
      </c>
      <c r="K3073" s="8">
        <v>1200</v>
      </c>
    </row>
    <row r="3074" spans="1:11" hidden="1" x14ac:dyDescent="0.25">
      <c r="A3074" s="3" t="s">
        <v>5676</v>
      </c>
      <c r="B3074" s="3">
        <v>12</v>
      </c>
      <c r="C3074" s="5">
        <v>400</v>
      </c>
      <c r="D3074" s="6">
        <v>0</v>
      </c>
      <c r="E3074" s="7">
        <v>703571</v>
      </c>
      <c r="F3074" s="3">
        <v>54210</v>
      </c>
      <c r="G3074" s="3" t="str">
        <f t="shared" si="48"/>
        <v>5</v>
      </c>
      <c r="H3074" s="3" t="s">
        <v>5677</v>
      </c>
      <c r="I3074" s="8">
        <v>0</v>
      </c>
      <c r="J3074" s="8">
        <v>0</v>
      </c>
      <c r="K3074" s="8">
        <v>0</v>
      </c>
    </row>
    <row r="3075" spans="1:11" hidden="1" x14ac:dyDescent="0.25">
      <c r="A3075" s="3" t="s">
        <v>5678</v>
      </c>
      <c r="B3075" s="3">
        <v>12</v>
      </c>
      <c r="C3075" s="5">
        <v>400</v>
      </c>
      <c r="D3075" s="6">
        <v>0</v>
      </c>
      <c r="E3075" s="7">
        <v>703571</v>
      </c>
      <c r="F3075" s="3">
        <v>54300</v>
      </c>
      <c r="G3075" s="3" t="str">
        <f t="shared" si="48"/>
        <v>5</v>
      </c>
      <c r="H3075" s="3" t="s">
        <v>5679</v>
      </c>
      <c r="I3075" s="8">
        <v>25000</v>
      </c>
      <c r="J3075" s="8">
        <v>9812.44</v>
      </c>
      <c r="K3075" s="8">
        <v>25000</v>
      </c>
    </row>
    <row r="3076" spans="1:11" hidden="1" x14ac:dyDescent="0.25">
      <c r="A3076" s="3" t="s">
        <v>5680</v>
      </c>
      <c r="B3076" s="3">
        <v>12</v>
      </c>
      <c r="C3076" s="5">
        <v>400</v>
      </c>
      <c r="D3076" s="6">
        <v>0</v>
      </c>
      <c r="E3076" s="7">
        <v>703571</v>
      </c>
      <c r="F3076" s="3">
        <v>55105</v>
      </c>
      <c r="G3076" s="3" t="str">
        <f t="shared" si="48"/>
        <v>5</v>
      </c>
      <c r="H3076" s="3" t="s">
        <v>5681</v>
      </c>
      <c r="I3076" s="8">
        <v>10000</v>
      </c>
      <c r="J3076" s="8">
        <v>550</v>
      </c>
      <c r="K3076" s="8">
        <v>10000</v>
      </c>
    </row>
    <row r="3077" spans="1:11" hidden="1" x14ac:dyDescent="0.25">
      <c r="A3077" s="3" t="s">
        <v>5682</v>
      </c>
      <c r="B3077" s="3">
        <v>12</v>
      </c>
      <c r="C3077" s="5">
        <v>400</v>
      </c>
      <c r="D3077" s="6">
        <v>0</v>
      </c>
      <c r="E3077" s="7">
        <v>703571</v>
      </c>
      <c r="F3077" s="3">
        <v>55200</v>
      </c>
      <c r="G3077" s="3" t="str">
        <f t="shared" si="48"/>
        <v>5</v>
      </c>
      <c r="H3077" s="3" t="s">
        <v>5683</v>
      </c>
      <c r="I3077" s="8">
        <v>10000</v>
      </c>
      <c r="J3077" s="8">
        <v>1375</v>
      </c>
      <c r="K3077" s="8">
        <v>10000</v>
      </c>
    </row>
    <row r="3078" spans="1:11" hidden="1" x14ac:dyDescent="0.25">
      <c r="A3078" s="3" t="s">
        <v>5684</v>
      </c>
      <c r="B3078" s="3">
        <v>12</v>
      </c>
      <c r="C3078" s="5">
        <v>400</v>
      </c>
      <c r="D3078" s="6">
        <v>0</v>
      </c>
      <c r="E3078" s="7">
        <v>703571</v>
      </c>
      <c r="F3078" s="3">
        <v>55240</v>
      </c>
      <c r="G3078" s="3" t="str">
        <f t="shared" si="48"/>
        <v>5</v>
      </c>
      <c r="H3078" s="3" t="s">
        <v>5685</v>
      </c>
      <c r="I3078" s="8">
        <v>55000</v>
      </c>
      <c r="J3078" s="8">
        <v>10619.13</v>
      </c>
      <c r="K3078" s="8">
        <v>55000</v>
      </c>
    </row>
    <row r="3079" spans="1:11" hidden="1" x14ac:dyDescent="0.25">
      <c r="A3079" s="3" t="s">
        <v>5686</v>
      </c>
      <c r="B3079" s="3">
        <v>12</v>
      </c>
      <c r="C3079" s="5">
        <v>400</v>
      </c>
      <c r="D3079" s="6">
        <v>0</v>
      </c>
      <c r="E3079" s="7">
        <v>703571</v>
      </c>
      <c r="F3079" s="3">
        <v>55300</v>
      </c>
      <c r="G3079" s="3" t="str">
        <f t="shared" si="48"/>
        <v>5</v>
      </c>
      <c r="H3079" s="3" t="s">
        <v>5687</v>
      </c>
      <c r="I3079" s="8">
        <v>0</v>
      </c>
      <c r="J3079" s="8">
        <v>312.5</v>
      </c>
      <c r="K3079" s="8">
        <v>0</v>
      </c>
    </row>
    <row r="3080" spans="1:11" hidden="1" x14ac:dyDescent="0.25">
      <c r="A3080" s="3" t="s">
        <v>5688</v>
      </c>
      <c r="B3080" s="3">
        <v>12</v>
      </c>
      <c r="C3080" s="5">
        <v>400</v>
      </c>
      <c r="D3080" s="6">
        <v>0</v>
      </c>
      <c r="E3080" s="7">
        <v>703571</v>
      </c>
      <c r="F3080" s="3">
        <v>55630</v>
      </c>
      <c r="G3080" s="3" t="str">
        <f t="shared" si="48"/>
        <v>5</v>
      </c>
      <c r="H3080" s="3" t="s">
        <v>5689</v>
      </c>
      <c r="I3080" s="8">
        <v>3000</v>
      </c>
      <c r="J3080" s="8">
        <v>0.15</v>
      </c>
      <c r="K3080" s="8">
        <v>3000</v>
      </c>
    </row>
    <row r="3081" spans="1:11" hidden="1" x14ac:dyDescent="0.25">
      <c r="A3081" s="3" t="s">
        <v>5690</v>
      </c>
      <c r="B3081" s="3">
        <v>12</v>
      </c>
      <c r="C3081" s="5">
        <v>400</v>
      </c>
      <c r="D3081" s="6">
        <v>0</v>
      </c>
      <c r="E3081" s="7">
        <v>703571</v>
      </c>
      <c r="F3081" s="3">
        <v>55635</v>
      </c>
      <c r="G3081" s="3" t="str">
        <f t="shared" si="48"/>
        <v>5</v>
      </c>
      <c r="H3081" s="3" t="s">
        <v>5691</v>
      </c>
      <c r="I3081" s="8">
        <v>10000</v>
      </c>
      <c r="J3081" s="8">
        <v>0</v>
      </c>
      <c r="K3081" s="8">
        <v>10000</v>
      </c>
    </row>
    <row r="3082" spans="1:11" hidden="1" x14ac:dyDescent="0.25">
      <c r="A3082" s="3" t="s">
        <v>5692</v>
      </c>
      <c r="B3082" s="3">
        <v>12</v>
      </c>
      <c r="C3082" s="5">
        <v>400</v>
      </c>
      <c r="D3082" s="6">
        <v>0</v>
      </c>
      <c r="E3082" s="7">
        <v>703571</v>
      </c>
      <c r="F3082" s="3">
        <v>55800</v>
      </c>
      <c r="G3082" s="3" t="str">
        <f t="shared" si="48"/>
        <v>5</v>
      </c>
      <c r="H3082" s="3" t="s">
        <v>5693</v>
      </c>
      <c r="I3082" s="8">
        <v>40770</v>
      </c>
      <c r="J3082" s="8">
        <v>0</v>
      </c>
      <c r="K3082" s="8">
        <v>40770</v>
      </c>
    </row>
    <row r="3083" spans="1:11" hidden="1" x14ac:dyDescent="0.25">
      <c r="A3083" s="3" t="s">
        <v>5694</v>
      </c>
      <c r="B3083" s="3">
        <v>12</v>
      </c>
      <c r="C3083" s="5">
        <v>400</v>
      </c>
      <c r="D3083" s="6">
        <v>0</v>
      </c>
      <c r="E3083" s="7">
        <v>703571</v>
      </c>
      <c r="F3083" s="3">
        <v>56400</v>
      </c>
      <c r="G3083" s="3" t="str">
        <f t="shared" si="48"/>
        <v>5</v>
      </c>
      <c r="H3083" s="3" t="s">
        <v>5695</v>
      </c>
      <c r="I3083" s="8">
        <v>12000</v>
      </c>
      <c r="J3083" s="8">
        <v>0</v>
      </c>
      <c r="K3083" s="8">
        <v>12000</v>
      </c>
    </row>
    <row r="3084" spans="1:11" hidden="1" x14ac:dyDescent="0.25">
      <c r="A3084" s="3" t="s">
        <v>5696</v>
      </c>
      <c r="B3084" s="3">
        <v>12</v>
      </c>
      <c r="C3084" s="5">
        <v>400</v>
      </c>
      <c r="D3084" s="6">
        <v>0</v>
      </c>
      <c r="E3084" s="7">
        <v>703571</v>
      </c>
      <c r="F3084" s="3">
        <v>57350</v>
      </c>
      <c r="G3084" s="3" t="str">
        <f t="shared" si="48"/>
        <v>5</v>
      </c>
      <c r="H3084" s="3" t="s">
        <v>5697</v>
      </c>
      <c r="I3084" s="8">
        <v>30420.240000000002</v>
      </c>
      <c r="J3084" s="8">
        <v>8237.6299999999992</v>
      </c>
      <c r="K3084" s="8">
        <v>30420.240000000002</v>
      </c>
    </row>
    <row r="3085" spans="1:11" hidden="1" x14ac:dyDescent="0.25">
      <c r="A3085" s="3" t="s">
        <v>5698</v>
      </c>
      <c r="B3085" s="3">
        <v>12</v>
      </c>
      <c r="C3085" s="5">
        <v>400</v>
      </c>
      <c r="D3085" s="6">
        <v>0</v>
      </c>
      <c r="E3085" s="7">
        <v>703571</v>
      </c>
      <c r="F3085" s="3">
        <v>57500</v>
      </c>
      <c r="G3085" s="3" t="str">
        <f t="shared" si="48"/>
        <v>5</v>
      </c>
      <c r="H3085" s="3" t="s">
        <v>5699</v>
      </c>
      <c r="I3085" s="8">
        <v>7000</v>
      </c>
      <c r="J3085" s="8">
        <v>0</v>
      </c>
      <c r="K3085" s="8">
        <v>7000</v>
      </c>
    </row>
    <row r="3086" spans="1:11" hidden="1" x14ac:dyDescent="0.25">
      <c r="A3086" s="3" t="s">
        <v>5700</v>
      </c>
      <c r="B3086" s="3">
        <v>12</v>
      </c>
      <c r="C3086" s="5">
        <v>400</v>
      </c>
      <c r="D3086" s="6">
        <v>0</v>
      </c>
      <c r="E3086" s="7">
        <v>703571</v>
      </c>
      <c r="F3086" s="3">
        <v>57510</v>
      </c>
      <c r="G3086" s="3" t="str">
        <f t="shared" si="48"/>
        <v>5</v>
      </c>
      <c r="H3086" s="3" t="s">
        <v>5701</v>
      </c>
      <c r="I3086" s="8">
        <v>60000</v>
      </c>
      <c r="J3086" s="8">
        <v>125.72</v>
      </c>
      <c r="K3086" s="8">
        <v>60000</v>
      </c>
    </row>
    <row r="3087" spans="1:11" hidden="1" x14ac:dyDescent="0.25">
      <c r="A3087" s="3" t="s">
        <v>5702</v>
      </c>
      <c r="B3087" s="3">
        <v>12</v>
      </c>
      <c r="C3087" s="5">
        <v>400</v>
      </c>
      <c r="D3087" s="6">
        <v>0</v>
      </c>
      <c r="E3087" s="7">
        <v>703571</v>
      </c>
      <c r="F3087" s="3">
        <v>57552</v>
      </c>
      <c r="G3087" s="3" t="str">
        <f t="shared" si="48"/>
        <v>5</v>
      </c>
      <c r="H3087" s="3" t="s">
        <v>5703</v>
      </c>
      <c r="I3087" s="8">
        <v>25000</v>
      </c>
      <c r="J3087" s="8">
        <v>0</v>
      </c>
      <c r="K3087" s="8">
        <v>25000</v>
      </c>
    </row>
    <row r="3088" spans="1:11" hidden="1" x14ac:dyDescent="0.25">
      <c r="A3088" s="3" t="s">
        <v>5704</v>
      </c>
      <c r="B3088" s="3">
        <v>12</v>
      </c>
      <c r="C3088" s="5">
        <v>400</v>
      </c>
      <c r="D3088" s="6">
        <v>0</v>
      </c>
      <c r="E3088" s="7">
        <v>703571</v>
      </c>
      <c r="F3088" s="3">
        <v>57600</v>
      </c>
      <c r="G3088" s="3" t="str">
        <f t="shared" si="48"/>
        <v>5</v>
      </c>
      <c r="H3088" s="3" t="s">
        <v>5705</v>
      </c>
      <c r="I3088" s="8">
        <v>0</v>
      </c>
      <c r="J3088" s="8">
        <v>21375</v>
      </c>
      <c r="K3088" s="8">
        <v>0</v>
      </c>
    </row>
    <row r="3089" spans="1:11" hidden="1" x14ac:dyDescent="0.25">
      <c r="A3089" s="3" t="s">
        <v>5706</v>
      </c>
      <c r="B3089" s="3">
        <v>12</v>
      </c>
      <c r="C3089" s="5">
        <v>400</v>
      </c>
      <c r="D3089" s="6">
        <v>0</v>
      </c>
      <c r="E3089" s="7">
        <v>703580</v>
      </c>
      <c r="F3089" s="3">
        <v>56400</v>
      </c>
      <c r="G3089" s="3" t="str">
        <f t="shared" si="48"/>
        <v>5</v>
      </c>
      <c r="H3089" s="3" t="s">
        <v>5707</v>
      </c>
      <c r="I3089" s="8">
        <v>0</v>
      </c>
      <c r="J3089" s="8">
        <v>0</v>
      </c>
      <c r="K3089" s="8">
        <v>0</v>
      </c>
    </row>
    <row r="3090" spans="1:11" hidden="1" x14ac:dyDescent="0.25">
      <c r="A3090" s="3" t="s">
        <v>5708</v>
      </c>
      <c r="B3090" s="3">
        <v>12</v>
      </c>
      <c r="C3090" s="5">
        <v>400</v>
      </c>
      <c r="D3090" s="6">
        <v>0</v>
      </c>
      <c r="E3090" s="7">
        <v>703581</v>
      </c>
      <c r="F3090" s="3">
        <v>48120</v>
      </c>
      <c r="G3090" s="3" t="str">
        <f t="shared" si="48"/>
        <v>4</v>
      </c>
      <c r="H3090" s="3" t="s">
        <v>5709</v>
      </c>
      <c r="I3090" s="8">
        <v>-484584.3</v>
      </c>
      <c r="J3090" s="8">
        <v>-164531.85</v>
      </c>
      <c r="K3090" s="8">
        <v>-484584.3</v>
      </c>
    </row>
    <row r="3091" spans="1:11" hidden="1" x14ac:dyDescent="0.25">
      <c r="A3091" s="3" t="s">
        <v>5710</v>
      </c>
      <c r="B3091" s="3">
        <v>12</v>
      </c>
      <c r="C3091" s="5">
        <v>400</v>
      </c>
      <c r="D3091" s="6">
        <v>0</v>
      </c>
      <c r="E3091" s="7">
        <v>703581</v>
      </c>
      <c r="F3091" s="3">
        <v>51410</v>
      </c>
      <c r="G3091" s="3" t="str">
        <f t="shared" si="48"/>
        <v>5</v>
      </c>
      <c r="H3091" s="3" t="s">
        <v>5711</v>
      </c>
      <c r="I3091" s="8">
        <v>0</v>
      </c>
      <c r="J3091" s="8">
        <v>1373.6</v>
      </c>
      <c r="K3091" s="8">
        <v>0</v>
      </c>
    </row>
    <row r="3092" spans="1:11" hidden="1" x14ac:dyDescent="0.25">
      <c r="A3092" s="3" t="s">
        <v>5712</v>
      </c>
      <c r="B3092" s="3">
        <v>12</v>
      </c>
      <c r="C3092" s="5">
        <v>400</v>
      </c>
      <c r="D3092" s="6">
        <v>0</v>
      </c>
      <c r="E3092" s="7">
        <v>703581</v>
      </c>
      <c r="F3092" s="3">
        <v>52105</v>
      </c>
      <c r="G3092" s="3" t="str">
        <f t="shared" si="48"/>
        <v>5</v>
      </c>
      <c r="H3092" s="3" t="s">
        <v>5713</v>
      </c>
      <c r="I3092" s="8">
        <v>73811</v>
      </c>
      <c r="J3092" s="8">
        <v>46115.01</v>
      </c>
      <c r="K3092" s="8">
        <v>73811</v>
      </c>
    </row>
    <row r="3093" spans="1:11" hidden="1" x14ac:dyDescent="0.25">
      <c r="A3093" s="3" t="s">
        <v>5714</v>
      </c>
      <c r="B3093" s="3">
        <v>12</v>
      </c>
      <c r="C3093" s="5">
        <v>400</v>
      </c>
      <c r="D3093" s="6">
        <v>0</v>
      </c>
      <c r="E3093" s="7">
        <v>703581</v>
      </c>
      <c r="F3093" s="3">
        <v>52130</v>
      </c>
      <c r="G3093" s="3" t="str">
        <f t="shared" si="48"/>
        <v>5</v>
      </c>
      <c r="H3093" s="3" t="s">
        <v>5715</v>
      </c>
      <c r="I3093" s="8">
        <v>49420</v>
      </c>
      <c r="J3093" s="8">
        <v>37064.61</v>
      </c>
      <c r="K3093" s="8">
        <v>49420</v>
      </c>
    </row>
    <row r="3094" spans="1:11" hidden="1" x14ac:dyDescent="0.25">
      <c r="A3094" s="3" t="s">
        <v>5716</v>
      </c>
      <c r="B3094" s="3">
        <v>12</v>
      </c>
      <c r="C3094" s="5">
        <v>400</v>
      </c>
      <c r="D3094" s="6">
        <v>0</v>
      </c>
      <c r="E3094" s="7">
        <v>703581</v>
      </c>
      <c r="F3094" s="3">
        <v>52360</v>
      </c>
      <c r="G3094" s="3" t="str">
        <f t="shared" si="48"/>
        <v>5</v>
      </c>
      <c r="H3094" s="3" t="s">
        <v>5717</v>
      </c>
      <c r="I3094" s="8">
        <v>37492</v>
      </c>
      <c r="J3094" s="8">
        <v>6838.72</v>
      </c>
      <c r="K3094" s="8">
        <v>37492</v>
      </c>
    </row>
    <row r="3095" spans="1:11" hidden="1" x14ac:dyDescent="0.25">
      <c r="A3095" s="3" t="s">
        <v>5718</v>
      </c>
      <c r="B3095" s="3">
        <v>12</v>
      </c>
      <c r="C3095" s="5">
        <v>400</v>
      </c>
      <c r="D3095" s="6">
        <v>0</v>
      </c>
      <c r="E3095" s="7">
        <v>703581</v>
      </c>
      <c r="F3095" s="3">
        <v>52420</v>
      </c>
      <c r="G3095" s="3" t="str">
        <f t="shared" si="48"/>
        <v>5</v>
      </c>
      <c r="H3095" s="3" t="s">
        <v>5719</v>
      </c>
      <c r="I3095" s="8">
        <v>10000</v>
      </c>
      <c r="J3095" s="8">
        <v>0</v>
      </c>
      <c r="K3095" s="8">
        <v>10000</v>
      </c>
    </row>
    <row r="3096" spans="1:11" hidden="1" x14ac:dyDescent="0.25">
      <c r="A3096" s="3" t="s">
        <v>5720</v>
      </c>
      <c r="B3096" s="3">
        <v>12</v>
      </c>
      <c r="C3096" s="5">
        <v>400</v>
      </c>
      <c r="D3096" s="6">
        <v>0</v>
      </c>
      <c r="E3096" s="7">
        <v>703581</v>
      </c>
      <c r="F3096" s="3">
        <v>53120</v>
      </c>
      <c r="G3096" s="3" t="str">
        <f t="shared" si="48"/>
        <v>5</v>
      </c>
      <c r="H3096" s="3" t="s">
        <v>5721</v>
      </c>
      <c r="I3096" s="8">
        <v>0</v>
      </c>
      <c r="J3096" s="8">
        <v>221.83</v>
      </c>
      <c r="K3096" s="8">
        <v>0</v>
      </c>
    </row>
    <row r="3097" spans="1:11" hidden="1" x14ac:dyDescent="0.25">
      <c r="A3097" s="3" t="s">
        <v>5722</v>
      </c>
      <c r="B3097" s="3">
        <v>12</v>
      </c>
      <c r="C3097" s="5">
        <v>400</v>
      </c>
      <c r="D3097" s="6">
        <v>0</v>
      </c>
      <c r="E3097" s="7">
        <v>703581</v>
      </c>
      <c r="F3097" s="3">
        <v>53220</v>
      </c>
      <c r="G3097" s="3" t="str">
        <f t="shared" si="48"/>
        <v>5</v>
      </c>
      <c r="H3097" s="3" t="s">
        <v>5723</v>
      </c>
      <c r="I3097" s="8">
        <v>27974</v>
      </c>
      <c r="J3097" s="8">
        <v>17209.93</v>
      </c>
      <c r="K3097" s="8">
        <v>27974</v>
      </c>
    </row>
    <row r="3098" spans="1:11" hidden="1" x14ac:dyDescent="0.25">
      <c r="A3098" s="3" t="s">
        <v>5724</v>
      </c>
      <c r="B3098" s="3">
        <v>12</v>
      </c>
      <c r="C3098" s="5">
        <v>400</v>
      </c>
      <c r="D3098" s="6">
        <v>0</v>
      </c>
      <c r="E3098" s="7">
        <v>703581</v>
      </c>
      <c r="F3098" s="3">
        <v>53320</v>
      </c>
      <c r="G3098" s="3" t="str">
        <f t="shared" si="48"/>
        <v>5</v>
      </c>
      <c r="H3098" s="3" t="s">
        <v>5725</v>
      </c>
      <c r="I3098" s="8">
        <v>9965</v>
      </c>
      <c r="J3098" s="8">
        <v>5585.14</v>
      </c>
      <c r="K3098" s="8">
        <v>9965</v>
      </c>
    </row>
    <row r="3099" spans="1:11" hidden="1" x14ac:dyDescent="0.25">
      <c r="A3099" s="3" t="s">
        <v>5726</v>
      </c>
      <c r="B3099" s="3">
        <v>12</v>
      </c>
      <c r="C3099" s="5">
        <v>400</v>
      </c>
      <c r="D3099" s="6">
        <v>0</v>
      </c>
      <c r="E3099" s="7">
        <v>703581</v>
      </c>
      <c r="F3099" s="3">
        <v>53340</v>
      </c>
      <c r="G3099" s="3" t="str">
        <f t="shared" ref="G3099:G3162" si="49">LEFT(F3099,1)</f>
        <v>5</v>
      </c>
      <c r="H3099" s="3" t="s">
        <v>5727</v>
      </c>
      <c r="I3099" s="8">
        <v>2331</v>
      </c>
      <c r="J3099" s="8">
        <v>1326.2</v>
      </c>
      <c r="K3099" s="8">
        <v>2331</v>
      </c>
    </row>
    <row r="3100" spans="1:11" hidden="1" x14ac:dyDescent="0.25">
      <c r="A3100" s="3" t="s">
        <v>5728</v>
      </c>
      <c r="B3100" s="3">
        <v>12</v>
      </c>
      <c r="C3100" s="5">
        <v>400</v>
      </c>
      <c r="D3100" s="6">
        <v>0</v>
      </c>
      <c r="E3100" s="7">
        <v>703581</v>
      </c>
      <c r="F3100" s="3">
        <v>53420</v>
      </c>
      <c r="G3100" s="3" t="str">
        <f t="shared" si="49"/>
        <v>5</v>
      </c>
      <c r="H3100" s="3" t="s">
        <v>5729</v>
      </c>
      <c r="I3100" s="8">
        <v>13038</v>
      </c>
      <c r="J3100" s="8">
        <v>9782.17</v>
      </c>
      <c r="K3100" s="8">
        <v>13038</v>
      </c>
    </row>
    <row r="3101" spans="1:11" hidden="1" x14ac:dyDescent="0.25">
      <c r="A3101" s="3" t="s">
        <v>5730</v>
      </c>
      <c r="B3101" s="3">
        <v>12</v>
      </c>
      <c r="C3101" s="5">
        <v>400</v>
      </c>
      <c r="D3101" s="6">
        <v>0</v>
      </c>
      <c r="E3101" s="7">
        <v>703581</v>
      </c>
      <c r="F3101" s="3">
        <v>53520</v>
      </c>
      <c r="G3101" s="3" t="str">
        <f t="shared" si="49"/>
        <v>5</v>
      </c>
      <c r="H3101" s="3" t="s">
        <v>5731</v>
      </c>
      <c r="I3101" s="8">
        <v>80</v>
      </c>
      <c r="J3101" s="8">
        <v>45.68</v>
      </c>
      <c r="K3101" s="8">
        <v>80</v>
      </c>
    </row>
    <row r="3102" spans="1:11" hidden="1" x14ac:dyDescent="0.25">
      <c r="A3102" s="3" t="s">
        <v>5732</v>
      </c>
      <c r="B3102" s="3">
        <v>12</v>
      </c>
      <c r="C3102" s="5">
        <v>400</v>
      </c>
      <c r="D3102" s="6">
        <v>0</v>
      </c>
      <c r="E3102" s="7">
        <v>703581</v>
      </c>
      <c r="F3102" s="3">
        <v>53620</v>
      </c>
      <c r="G3102" s="3" t="str">
        <f t="shared" si="49"/>
        <v>5</v>
      </c>
      <c r="H3102" s="3" t="s">
        <v>5733</v>
      </c>
      <c r="I3102" s="8">
        <v>3138</v>
      </c>
      <c r="J3102" s="8">
        <v>1730.53</v>
      </c>
      <c r="K3102" s="8">
        <v>3138</v>
      </c>
    </row>
    <row r="3103" spans="1:11" hidden="1" x14ac:dyDescent="0.25">
      <c r="A3103" s="3" t="s">
        <v>5734</v>
      </c>
      <c r="B3103" s="3">
        <v>12</v>
      </c>
      <c r="C3103" s="5">
        <v>400</v>
      </c>
      <c r="D3103" s="6">
        <v>0</v>
      </c>
      <c r="E3103" s="7">
        <v>703581</v>
      </c>
      <c r="F3103" s="3">
        <v>53920</v>
      </c>
      <c r="G3103" s="3" t="str">
        <f t="shared" si="49"/>
        <v>5</v>
      </c>
      <c r="H3103" s="3" t="s">
        <v>5735</v>
      </c>
      <c r="I3103" s="8">
        <v>1800</v>
      </c>
      <c r="J3103" s="8">
        <v>2450</v>
      </c>
      <c r="K3103" s="8">
        <v>1800</v>
      </c>
    </row>
    <row r="3104" spans="1:11" hidden="1" x14ac:dyDescent="0.25">
      <c r="A3104" s="3" t="s">
        <v>5736</v>
      </c>
      <c r="B3104" s="3">
        <v>12</v>
      </c>
      <c r="C3104" s="5">
        <v>400</v>
      </c>
      <c r="D3104" s="6">
        <v>0</v>
      </c>
      <c r="E3104" s="7">
        <v>703581</v>
      </c>
      <c r="F3104" s="3">
        <v>54210</v>
      </c>
      <c r="G3104" s="3" t="str">
        <f t="shared" si="49"/>
        <v>5</v>
      </c>
      <c r="H3104" s="3" t="s">
        <v>5737</v>
      </c>
      <c r="I3104" s="8">
        <v>0</v>
      </c>
      <c r="J3104" s="8">
        <v>0</v>
      </c>
      <c r="K3104" s="8">
        <v>0</v>
      </c>
    </row>
    <row r="3105" spans="1:11" hidden="1" x14ac:dyDescent="0.25">
      <c r="A3105" s="3" t="s">
        <v>5738</v>
      </c>
      <c r="B3105" s="3">
        <v>12</v>
      </c>
      <c r="C3105" s="5">
        <v>400</v>
      </c>
      <c r="D3105" s="6">
        <v>0</v>
      </c>
      <c r="E3105" s="7">
        <v>703581</v>
      </c>
      <c r="F3105" s="3">
        <v>54300</v>
      </c>
      <c r="G3105" s="3" t="str">
        <f t="shared" si="49"/>
        <v>5</v>
      </c>
      <c r="H3105" s="3" t="s">
        <v>5739</v>
      </c>
      <c r="I3105" s="8">
        <v>20000</v>
      </c>
      <c r="J3105" s="8">
        <v>8759.5400000000009</v>
      </c>
      <c r="K3105" s="8">
        <v>20000</v>
      </c>
    </row>
    <row r="3106" spans="1:11" hidden="1" x14ac:dyDescent="0.25">
      <c r="A3106" s="3" t="s">
        <v>5740</v>
      </c>
      <c r="B3106" s="3">
        <v>12</v>
      </c>
      <c r="C3106" s="5">
        <v>400</v>
      </c>
      <c r="D3106" s="6">
        <v>0</v>
      </c>
      <c r="E3106" s="7">
        <v>703581</v>
      </c>
      <c r="F3106" s="3">
        <v>55105</v>
      </c>
      <c r="G3106" s="3" t="str">
        <f t="shared" si="49"/>
        <v>5</v>
      </c>
      <c r="H3106" s="3" t="s">
        <v>5741</v>
      </c>
      <c r="I3106" s="8">
        <v>10000</v>
      </c>
      <c r="J3106" s="8">
        <v>550</v>
      </c>
      <c r="K3106" s="8">
        <v>10000</v>
      </c>
    </row>
    <row r="3107" spans="1:11" hidden="1" x14ac:dyDescent="0.25">
      <c r="A3107" s="3" t="s">
        <v>5742</v>
      </c>
      <c r="B3107" s="3">
        <v>12</v>
      </c>
      <c r="C3107" s="5">
        <v>400</v>
      </c>
      <c r="D3107" s="6">
        <v>0</v>
      </c>
      <c r="E3107" s="7">
        <v>703581</v>
      </c>
      <c r="F3107" s="3">
        <v>55200</v>
      </c>
      <c r="G3107" s="3" t="str">
        <f t="shared" si="49"/>
        <v>5</v>
      </c>
      <c r="H3107" s="3" t="s">
        <v>5743</v>
      </c>
      <c r="I3107" s="8">
        <v>10000</v>
      </c>
      <c r="J3107" s="8">
        <v>825</v>
      </c>
      <c r="K3107" s="8">
        <v>10000</v>
      </c>
    </row>
    <row r="3108" spans="1:11" hidden="1" x14ac:dyDescent="0.25">
      <c r="A3108" s="3" t="s">
        <v>5744</v>
      </c>
      <c r="B3108" s="3">
        <v>12</v>
      </c>
      <c r="C3108" s="5">
        <v>400</v>
      </c>
      <c r="D3108" s="6">
        <v>0</v>
      </c>
      <c r="E3108" s="7">
        <v>703581</v>
      </c>
      <c r="F3108" s="3">
        <v>55240</v>
      </c>
      <c r="G3108" s="3" t="str">
        <f t="shared" si="49"/>
        <v>5</v>
      </c>
      <c r="H3108" s="3" t="s">
        <v>5745</v>
      </c>
      <c r="I3108" s="8">
        <v>63500</v>
      </c>
      <c r="J3108" s="8">
        <v>10619.13</v>
      </c>
      <c r="K3108" s="8">
        <v>63500</v>
      </c>
    </row>
    <row r="3109" spans="1:11" hidden="1" x14ac:dyDescent="0.25">
      <c r="A3109" s="3" t="s">
        <v>5746</v>
      </c>
      <c r="B3109" s="3">
        <v>12</v>
      </c>
      <c r="C3109" s="5">
        <v>400</v>
      </c>
      <c r="D3109" s="6">
        <v>0</v>
      </c>
      <c r="E3109" s="7">
        <v>703581</v>
      </c>
      <c r="F3109" s="3">
        <v>55300</v>
      </c>
      <c r="G3109" s="3" t="str">
        <f t="shared" si="49"/>
        <v>5</v>
      </c>
      <c r="H3109" s="3" t="s">
        <v>5747</v>
      </c>
      <c r="I3109" s="8">
        <v>0</v>
      </c>
      <c r="J3109" s="8">
        <v>312.5</v>
      </c>
      <c r="K3109" s="8">
        <v>0</v>
      </c>
    </row>
    <row r="3110" spans="1:11" hidden="1" x14ac:dyDescent="0.25">
      <c r="A3110" s="3" t="s">
        <v>5748</v>
      </c>
      <c r="B3110" s="3">
        <v>12</v>
      </c>
      <c r="C3110" s="5">
        <v>400</v>
      </c>
      <c r="D3110" s="6">
        <v>0</v>
      </c>
      <c r="E3110" s="7">
        <v>703581</v>
      </c>
      <c r="F3110" s="3">
        <v>55630</v>
      </c>
      <c r="G3110" s="3" t="str">
        <f t="shared" si="49"/>
        <v>5</v>
      </c>
      <c r="H3110" s="3" t="s">
        <v>5749</v>
      </c>
      <c r="I3110" s="8">
        <v>0</v>
      </c>
      <c r="J3110" s="8">
        <v>0.15</v>
      </c>
      <c r="K3110" s="8">
        <v>0</v>
      </c>
    </row>
    <row r="3111" spans="1:11" hidden="1" x14ac:dyDescent="0.25">
      <c r="A3111" s="3" t="s">
        <v>5750</v>
      </c>
      <c r="B3111" s="3">
        <v>12</v>
      </c>
      <c r="C3111" s="5">
        <v>400</v>
      </c>
      <c r="D3111" s="6">
        <v>0</v>
      </c>
      <c r="E3111" s="7">
        <v>703581</v>
      </c>
      <c r="F3111" s="3">
        <v>55635</v>
      </c>
      <c r="G3111" s="3" t="str">
        <f t="shared" si="49"/>
        <v>5</v>
      </c>
      <c r="H3111" s="3" t="s">
        <v>5751</v>
      </c>
      <c r="I3111" s="8">
        <v>10000</v>
      </c>
      <c r="J3111" s="8">
        <v>0</v>
      </c>
      <c r="K3111" s="8">
        <v>10000</v>
      </c>
    </row>
    <row r="3112" spans="1:11" hidden="1" x14ac:dyDescent="0.25">
      <c r="A3112" s="3" t="s">
        <v>5752</v>
      </c>
      <c r="B3112" s="3">
        <v>12</v>
      </c>
      <c r="C3112" s="5">
        <v>400</v>
      </c>
      <c r="D3112" s="6">
        <v>0</v>
      </c>
      <c r="E3112" s="7">
        <v>703581</v>
      </c>
      <c r="F3112" s="3">
        <v>55800</v>
      </c>
      <c r="G3112" s="3" t="str">
        <f t="shared" si="49"/>
        <v>5</v>
      </c>
      <c r="H3112" s="3" t="s">
        <v>5753</v>
      </c>
      <c r="I3112" s="8">
        <v>4328</v>
      </c>
      <c r="J3112" s="8">
        <v>0</v>
      </c>
      <c r="K3112" s="8">
        <v>4328</v>
      </c>
    </row>
    <row r="3113" spans="1:11" hidden="1" x14ac:dyDescent="0.25">
      <c r="A3113" s="3" t="s">
        <v>5754</v>
      </c>
      <c r="B3113" s="3">
        <v>12</v>
      </c>
      <c r="C3113" s="5">
        <v>400</v>
      </c>
      <c r="D3113" s="6">
        <v>0</v>
      </c>
      <c r="E3113" s="7">
        <v>703581</v>
      </c>
      <c r="F3113" s="3">
        <v>56400</v>
      </c>
      <c r="G3113" s="3" t="str">
        <f t="shared" si="49"/>
        <v>5</v>
      </c>
      <c r="H3113" s="3" t="s">
        <v>5755</v>
      </c>
      <c r="I3113" s="8">
        <v>12000</v>
      </c>
      <c r="J3113" s="8">
        <v>0</v>
      </c>
      <c r="K3113" s="8">
        <v>12000</v>
      </c>
    </row>
    <row r="3114" spans="1:11" hidden="1" x14ac:dyDescent="0.25">
      <c r="A3114" s="3" t="s">
        <v>5756</v>
      </c>
      <c r="B3114" s="3">
        <v>12</v>
      </c>
      <c r="C3114" s="5">
        <v>400</v>
      </c>
      <c r="D3114" s="6">
        <v>0</v>
      </c>
      <c r="E3114" s="7">
        <v>703581</v>
      </c>
      <c r="F3114" s="3">
        <v>57350</v>
      </c>
      <c r="G3114" s="3" t="str">
        <f t="shared" si="49"/>
        <v>5</v>
      </c>
      <c r="H3114" s="3" t="s">
        <v>5757</v>
      </c>
      <c r="I3114" s="8">
        <v>28707.3</v>
      </c>
      <c r="J3114" s="8">
        <v>8306.02</v>
      </c>
      <c r="K3114" s="8">
        <v>28707.3</v>
      </c>
    </row>
    <row r="3115" spans="1:11" hidden="1" x14ac:dyDescent="0.25">
      <c r="A3115" s="3" t="s">
        <v>5758</v>
      </c>
      <c r="B3115" s="3">
        <v>12</v>
      </c>
      <c r="C3115" s="5">
        <v>400</v>
      </c>
      <c r="D3115" s="6">
        <v>0</v>
      </c>
      <c r="E3115" s="7">
        <v>703581</v>
      </c>
      <c r="F3115" s="3">
        <v>57500</v>
      </c>
      <c r="G3115" s="3" t="str">
        <f t="shared" si="49"/>
        <v>5</v>
      </c>
      <c r="H3115" s="3" t="s">
        <v>5759</v>
      </c>
      <c r="I3115" s="8">
        <v>7000</v>
      </c>
      <c r="J3115" s="8">
        <v>0</v>
      </c>
      <c r="K3115" s="8">
        <v>7000</v>
      </c>
    </row>
    <row r="3116" spans="1:11" hidden="1" x14ac:dyDescent="0.25">
      <c r="A3116" s="3" t="s">
        <v>5760</v>
      </c>
      <c r="B3116" s="3">
        <v>12</v>
      </c>
      <c r="C3116" s="5">
        <v>400</v>
      </c>
      <c r="D3116" s="6">
        <v>0</v>
      </c>
      <c r="E3116" s="7">
        <v>703581</v>
      </c>
      <c r="F3116" s="3">
        <v>57510</v>
      </c>
      <c r="G3116" s="3" t="str">
        <f t="shared" si="49"/>
        <v>5</v>
      </c>
      <c r="H3116" s="3" t="s">
        <v>5761</v>
      </c>
      <c r="I3116" s="8">
        <v>60000</v>
      </c>
      <c r="J3116" s="8">
        <v>125.73</v>
      </c>
      <c r="K3116" s="8">
        <v>60000</v>
      </c>
    </row>
    <row r="3117" spans="1:11" hidden="1" x14ac:dyDescent="0.25">
      <c r="A3117" s="3" t="s">
        <v>5762</v>
      </c>
      <c r="B3117" s="3">
        <v>12</v>
      </c>
      <c r="C3117" s="5">
        <v>400</v>
      </c>
      <c r="D3117" s="6">
        <v>0</v>
      </c>
      <c r="E3117" s="7">
        <v>703581</v>
      </c>
      <c r="F3117" s="3">
        <v>57552</v>
      </c>
      <c r="G3117" s="3" t="str">
        <f t="shared" si="49"/>
        <v>5</v>
      </c>
      <c r="H3117" s="3" t="s">
        <v>5763</v>
      </c>
      <c r="I3117" s="8">
        <v>30000</v>
      </c>
      <c r="J3117" s="8">
        <v>0</v>
      </c>
      <c r="K3117" s="8">
        <v>30000</v>
      </c>
    </row>
    <row r="3118" spans="1:11" hidden="1" x14ac:dyDescent="0.25">
      <c r="A3118" s="3" t="s">
        <v>5764</v>
      </c>
      <c r="B3118" s="3">
        <v>12</v>
      </c>
      <c r="C3118" s="5">
        <v>400</v>
      </c>
      <c r="D3118" s="6">
        <v>0</v>
      </c>
      <c r="E3118" s="7">
        <v>703581</v>
      </c>
      <c r="F3118" s="3">
        <v>57600</v>
      </c>
      <c r="G3118" s="3" t="str">
        <f t="shared" si="49"/>
        <v>5</v>
      </c>
      <c r="H3118" s="3" t="s">
        <v>5765</v>
      </c>
      <c r="I3118" s="8">
        <v>0</v>
      </c>
      <c r="J3118" s="8">
        <v>21375</v>
      </c>
      <c r="K3118" s="8">
        <v>0</v>
      </c>
    </row>
    <row r="3119" spans="1:11" hidden="1" x14ac:dyDescent="0.25">
      <c r="A3119" s="3" t="s">
        <v>5766</v>
      </c>
      <c r="B3119" s="3">
        <v>12</v>
      </c>
      <c r="C3119" s="5">
        <v>400</v>
      </c>
      <c r="D3119" s="6">
        <v>0</v>
      </c>
      <c r="E3119" s="7">
        <v>703602</v>
      </c>
      <c r="F3119" s="3">
        <v>48600</v>
      </c>
      <c r="G3119" s="3" t="str">
        <f t="shared" si="49"/>
        <v>4</v>
      </c>
      <c r="H3119" s="3" t="s">
        <v>5767</v>
      </c>
      <c r="I3119" s="8">
        <v>-98274</v>
      </c>
      <c r="J3119" s="8">
        <v>-64021</v>
      </c>
      <c r="K3119" s="8">
        <v>-98274</v>
      </c>
    </row>
    <row r="3120" spans="1:11" hidden="1" x14ac:dyDescent="0.25">
      <c r="A3120" s="3" t="s">
        <v>5768</v>
      </c>
      <c r="B3120" s="3">
        <v>12</v>
      </c>
      <c r="C3120" s="5">
        <v>400</v>
      </c>
      <c r="D3120" s="6">
        <v>0</v>
      </c>
      <c r="E3120" s="7">
        <v>703602</v>
      </c>
      <c r="F3120" s="3">
        <v>48690</v>
      </c>
      <c r="G3120" s="3" t="str">
        <f t="shared" si="49"/>
        <v>4</v>
      </c>
      <c r="H3120" s="3" t="s">
        <v>5769</v>
      </c>
      <c r="I3120" s="8">
        <v>0</v>
      </c>
      <c r="J3120" s="8">
        <v>0</v>
      </c>
      <c r="K3120" s="8">
        <v>0</v>
      </c>
    </row>
    <row r="3121" spans="1:11" hidden="1" x14ac:dyDescent="0.25">
      <c r="A3121" s="3" t="s">
        <v>5770</v>
      </c>
      <c r="B3121" s="3">
        <v>12</v>
      </c>
      <c r="C3121" s="5">
        <v>400</v>
      </c>
      <c r="D3121" s="6">
        <v>0</v>
      </c>
      <c r="E3121" s="7">
        <v>703602</v>
      </c>
      <c r="F3121" s="3">
        <v>51200</v>
      </c>
      <c r="G3121" s="3" t="str">
        <f t="shared" si="49"/>
        <v>5</v>
      </c>
      <c r="H3121" s="3" t="s">
        <v>3029</v>
      </c>
      <c r="I3121" s="8">
        <v>66779</v>
      </c>
      <c r="J3121" s="8">
        <v>65783.44</v>
      </c>
      <c r="K3121" s="8">
        <v>66779</v>
      </c>
    </row>
    <row r="3122" spans="1:11" hidden="1" x14ac:dyDescent="0.25">
      <c r="A3122" s="3" t="s">
        <v>5771</v>
      </c>
      <c r="B3122" s="3">
        <v>12</v>
      </c>
      <c r="C3122" s="5">
        <v>400</v>
      </c>
      <c r="D3122" s="6">
        <v>0</v>
      </c>
      <c r="E3122" s="7">
        <v>703602</v>
      </c>
      <c r="F3122" s="3">
        <v>53000</v>
      </c>
      <c r="G3122" s="3" t="str">
        <f t="shared" si="49"/>
        <v>5</v>
      </c>
      <c r="H3122" s="3" t="s">
        <v>5772</v>
      </c>
      <c r="I3122" s="8">
        <v>27715</v>
      </c>
      <c r="J3122" s="8">
        <v>0</v>
      </c>
      <c r="K3122" s="8">
        <v>27715</v>
      </c>
    </row>
    <row r="3123" spans="1:11" hidden="1" x14ac:dyDescent="0.25">
      <c r="A3123" s="3" t="s">
        <v>5773</v>
      </c>
      <c r="B3123" s="3">
        <v>12</v>
      </c>
      <c r="C3123" s="5">
        <v>400</v>
      </c>
      <c r="D3123" s="6">
        <v>0</v>
      </c>
      <c r="E3123" s="7">
        <v>703602</v>
      </c>
      <c r="F3123" s="3">
        <v>53120</v>
      </c>
      <c r="G3123" s="3" t="str">
        <f t="shared" si="49"/>
        <v>5</v>
      </c>
      <c r="H3123" s="3" t="s">
        <v>3031</v>
      </c>
      <c r="I3123" s="8">
        <v>0</v>
      </c>
      <c r="J3123" s="8">
        <v>10624</v>
      </c>
      <c r="K3123" s="8">
        <v>0</v>
      </c>
    </row>
    <row r="3124" spans="1:11" hidden="1" x14ac:dyDescent="0.25">
      <c r="A3124" s="3" t="s">
        <v>5774</v>
      </c>
      <c r="B3124" s="3">
        <v>12</v>
      </c>
      <c r="C3124" s="5">
        <v>400</v>
      </c>
      <c r="D3124" s="6">
        <v>0</v>
      </c>
      <c r="E3124" s="7">
        <v>703602</v>
      </c>
      <c r="F3124" s="3">
        <v>53340</v>
      </c>
      <c r="G3124" s="3" t="str">
        <f t="shared" si="49"/>
        <v>5</v>
      </c>
      <c r="H3124" s="3" t="s">
        <v>3033</v>
      </c>
      <c r="I3124" s="8">
        <v>0</v>
      </c>
      <c r="J3124" s="8">
        <v>945.08</v>
      </c>
      <c r="K3124" s="8">
        <v>0</v>
      </c>
    </row>
    <row r="3125" spans="1:11" hidden="1" x14ac:dyDescent="0.25">
      <c r="A3125" s="3" t="s">
        <v>5775</v>
      </c>
      <c r="B3125" s="3">
        <v>12</v>
      </c>
      <c r="C3125" s="5">
        <v>400</v>
      </c>
      <c r="D3125" s="6">
        <v>0</v>
      </c>
      <c r="E3125" s="7">
        <v>703602</v>
      </c>
      <c r="F3125" s="3">
        <v>53420</v>
      </c>
      <c r="G3125" s="3" t="str">
        <f t="shared" si="49"/>
        <v>5</v>
      </c>
      <c r="H3125" s="3" t="s">
        <v>3035</v>
      </c>
      <c r="I3125" s="8">
        <v>0</v>
      </c>
      <c r="J3125" s="8">
        <v>20303.46</v>
      </c>
      <c r="K3125" s="8">
        <v>0</v>
      </c>
    </row>
    <row r="3126" spans="1:11" hidden="1" x14ac:dyDescent="0.25">
      <c r="A3126" s="3" t="s">
        <v>5776</v>
      </c>
      <c r="B3126" s="3">
        <v>12</v>
      </c>
      <c r="C3126" s="5">
        <v>400</v>
      </c>
      <c r="D3126" s="6">
        <v>0</v>
      </c>
      <c r="E3126" s="7">
        <v>703602</v>
      </c>
      <c r="F3126" s="3">
        <v>53520</v>
      </c>
      <c r="G3126" s="3" t="str">
        <f t="shared" si="49"/>
        <v>5</v>
      </c>
      <c r="H3126" s="3" t="s">
        <v>3037</v>
      </c>
      <c r="I3126" s="8">
        <v>0</v>
      </c>
      <c r="J3126" s="8">
        <v>32.880000000000003</v>
      </c>
      <c r="K3126" s="8">
        <v>0</v>
      </c>
    </row>
    <row r="3127" spans="1:11" hidden="1" x14ac:dyDescent="0.25">
      <c r="A3127" s="3" t="s">
        <v>5777</v>
      </c>
      <c r="B3127" s="3">
        <v>12</v>
      </c>
      <c r="C3127" s="5">
        <v>400</v>
      </c>
      <c r="D3127" s="6">
        <v>0</v>
      </c>
      <c r="E3127" s="7">
        <v>703602</v>
      </c>
      <c r="F3127" s="3">
        <v>53620</v>
      </c>
      <c r="G3127" s="3" t="str">
        <f t="shared" si="49"/>
        <v>5</v>
      </c>
      <c r="H3127" s="3" t="s">
        <v>3039</v>
      </c>
      <c r="I3127" s="8">
        <v>0</v>
      </c>
      <c r="J3127" s="8">
        <v>1243.8399999999999</v>
      </c>
      <c r="K3127" s="8">
        <v>0</v>
      </c>
    </row>
    <row r="3128" spans="1:11" hidden="1" x14ac:dyDescent="0.25">
      <c r="A3128" s="3" t="s">
        <v>5778</v>
      </c>
      <c r="B3128" s="3">
        <v>12</v>
      </c>
      <c r="C3128" s="5">
        <v>400</v>
      </c>
      <c r="D3128" s="6">
        <v>0</v>
      </c>
      <c r="E3128" s="7">
        <v>703602</v>
      </c>
      <c r="F3128" s="3">
        <v>57350</v>
      </c>
      <c r="G3128" s="3" t="str">
        <f t="shared" si="49"/>
        <v>5</v>
      </c>
      <c r="H3128" s="3" t="s">
        <v>5779</v>
      </c>
      <c r="I3128" s="8">
        <v>3780</v>
      </c>
      <c r="J3128" s="8">
        <v>2462.33</v>
      </c>
      <c r="K3128" s="8">
        <v>3780</v>
      </c>
    </row>
    <row r="3129" spans="1:11" hidden="1" x14ac:dyDescent="0.25">
      <c r="A3129" s="3" t="s">
        <v>5780</v>
      </c>
      <c r="B3129" s="3">
        <v>12</v>
      </c>
      <c r="C3129" s="5">
        <v>400</v>
      </c>
      <c r="D3129" s="6">
        <v>0</v>
      </c>
      <c r="E3129" s="7">
        <v>704700</v>
      </c>
      <c r="F3129" s="3">
        <v>48625</v>
      </c>
      <c r="G3129" s="3" t="str">
        <f t="shared" si="49"/>
        <v>4</v>
      </c>
      <c r="H3129" s="3" t="s">
        <v>5781</v>
      </c>
      <c r="I3129" s="8">
        <v>-255124.93</v>
      </c>
      <c r="J3129" s="8">
        <v>-255124.93</v>
      </c>
      <c r="K3129" s="8">
        <v>-255124.93</v>
      </c>
    </row>
    <row r="3130" spans="1:11" hidden="1" x14ac:dyDescent="0.25">
      <c r="A3130" s="3" t="s">
        <v>5782</v>
      </c>
      <c r="B3130" s="3">
        <v>12</v>
      </c>
      <c r="C3130" s="5">
        <v>400</v>
      </c>
      <c r="D3130" s="6">
        <v>0</v>
      </c>
      <c r="E3130" s="7">
        <v>704700</v>
      </c>
      <c r="F3130" s="3">
        <v>51200</v>
      </c>
      <c r="G3130" s="3" t="str">
        <f t="shared" si="49"/>
        <v>5</v>
      </c>
      <c r="H3130" s="3" t="s">
        <v>5783</v>
      </c>
      <c r="I3130" s="8">
        <v>66598</v>
      </c>
      <c r="J3130" s="8">
        <v>48435.199999999997</v>
      </c>
      <c r="K3130" s="8">
        <v>66598</v>
      </c>
    </row>
    <row r="3131" spans="1:11" hidden="1" x14ac:dyDescent="0.25">
      <c r="A3131" s="3" t="s">
        <v>5784</v>
      </c>
      <c r="B3131" s="3">
        <v>12</v>
      </c>
      <c r="C3131" s="5">
        <v>400</v>
      </c>
      <c r="D3131" s="6">
        <v>0</v>
      </c>
      <c r="E3131" s="7">
        <v>704700</v>
      </c>
      <c r="F3131" s="3">
        <v>52105</v>
      </c>
      <c r="G3131" s="3" t="str">
        <f t="shared" si="49"/>
        <v>5</v>
      </c>
      <c r="H3131" s="3" t="s">
        <v>5785</v>
      </c>
      <c r="I3131" s="8">
        <v>34982</v>
      </c>
      <c r="J3131" s="8">
        <v>29330.97</v>
      </c>
      <c r="K3131" s="8">
        <v>34982</v>
      </c>
    </row>
    <row r="3132" spans="1:11" hidden="1" x14ac:dyDescent="0.25">
      <c r="A3132" s="3" t="s">
        <v>5786</v>
      </c>
      <c r="B3132" s="3">
        <v>12</v>
      </c>
      <c r="C3132" s="5">
        <v>400</v>
      </c>
      <c r="D3132" s="6">
        <v>0</v>
      </c>
      <c r="E3132" s="7">
        <v>704700</v>
      </c>
      <c r="F3132" s="3">
        <v>52315</v>
      </c>
      <c r="G3132" s="3" t="str">
        <f t="shared" si="49"/>
        <v>5</v>
      </c>
      <c r="H3132" s="3" t="s">
        <v>3199</v>
      </c>
      <c r="I3132" s="8">
        <v>42723</v>
      </c>
      <c r="J3132" s="8">
        <v>4017</v>
      </c>
      <c r="K3132" s="8">
        <v>42723</v>
      </c>
    </row>
    <row r="3133" spans="1:11" hidden="1" x14ac:dyDescent="0.25">
      <c r="A3133" s="3" t="s">
        <v>5787</v>
      </c>
      <c r="B3133" s="3">
        <v>12</v>
      </c>
      <c r="C3133" s="5">
        <v>400</v>
      </c>
      <c r="D3133" s="6">
        <v>0</v>
      </c>
      <c r="E3133" s="7">
        <v>704700</v>
      </c>
      <c r="F3133" s="3">
        <v>52350</v>
      </c>
      <c r="G3133" s="3" t="str">
        <f t="shared" si="49"/>
        <v>5</v>
      </c>
      <c r="H3133" s="3" t="s">
        <v>5788</v>
      </c>
      <c r="I3133" s="8">
        <v>17700</v>
      </c>
      <c r="J3133" s="8">
        <v>0</v>
      </c>
      <c r="K3133" s="8">
        <v>17700</v>
      </c>
    </row>
    <row r="3134" spans="1:11" hidden="1" x14ac:dyDescent="0.25">
      <c r="A3134" s="3" t="s">
        <v>5789</v>
      </c>
      <c r="B3134" s="3">
        <v>12</v>
      </c>
      <c r="C3134" s="5">
        <v>400</v>
      </c>
      <c r="D3134" s="6">
        <v>0</v>
      </c>
      <c r="E3134" s="7">
        <v>704700</v>
      </c>
      <c r="F3134" s="3">
        <v>53120</v>
      </c>
      <c r="G3134" s="3" t="str">
        <f t="shared" si="49"/>
        <v>5</v>
      </c>
      <c r="H3134" s="3" t="s">
        <v>5790</v>
      </c>
      <c r="I3134" s="8">
        <v>12720</v>
      </c>
      <c r="J3134" s="8">
        <v>7822.32</v>
      </c>
      <c r="K3134" s="8">
        <v>12720</v>
      </c>
    </row>
    <row r="3135" spans="1:11" hidden="1" x14ac:dyDescent="0.25">
      <c r="A3135" s="3" t="s">
        <v>5791</v>
      </c>
      <c r="B3135" s="3">
        <v>12</v>
      </c>
      <c r="C3135" s="5">
        <v>400</v>
      </c>
      <c r="D3135" s="6">
        <v>0</v>
      </c>
      <c r="E3135" s="7">
        <v>704700</v>
      </c>
      <c r="F3135" s="3">
        <v>53220</v>
      </c>
      <c r="G3135" s="3" t="str">
        <f t="shared" si="49"/>
        <v>5</v>
      </c>
      <c r="H3135" s="3" t="s">
        <v>5792</v>
      </c>
      <c r="I3135" s="8">
        <v>7941</v>
      </c>
      <c r="J3135" s="8">
        <v>6069.81</v>
      </c>
      <c r="K3135" s="8">
        <v>7941</v>
      </c>
    </row>
    <row r="3136" spans="1:11" hidden="1" x14ac:dyDescent="0.25">
      <c r="A3136" s="3" t="s">
        <v>5793</v>
      </c>
      <c r="B3136" s="3">
        <v>12</v>
      </c>
      <c r="C3136" s="5">
        <v>400</v>
      </c>
      <c r="D3136" s="6">
        <v>0</v>
      </c>
      <c r="E3136" s="7">
        <v>704700</v>
      </c>
      <c r="F3136" s="3">
        <v>53320</v>
      </c>
      <c r="G3136" s="3" t="str">
        <f t="shared" si="49"/>
        <v>5</v>
      </c>
      <c r="H3136" s="3" t="s">
        <v>5794</v>
      </c>
      <c r="I3136" s="8">
        <v>2169</v>
      </c>
      <c r="J3136" s="8">
        <v>1819.44</v>
      </c>
      <c r="K3136" s="8">
        <v>2169</v>
      </c>
    </row>
    <row r="3137" spans="1:11" hidden="1" x14ac:dyDescent="0.25">
      <c r="A3137" s="3" t="s">
        <v>5795</v>
      </c>
      <c r="B3137" s="3">
        <v>12</v>
      </c>
      <c r="C3137" s="5">
        <v>400</v>
      </c>
      <c r="D3137" s="6">
        <v>0</v>
      </c>
      <c r="E3137" s="7">
        <v>704700</v>
      </c>
      <c r="F3137" s="3">
        <v>53340</v>
      </c>
      <c r="G3137" s="3" t="str">
        <f t="shared" si="49"/>
        <v>5</v>
      </c>
      <c r="H3137" s="3" t="s">
        <v>5796</v>
      </c>
      <c r="I3137" s="8">
        <v>1473</v>
      </c>
      <c r="J3137" s="8">
        <v>1128.23</v>
      </c>
      <c r="K3137" s="8">
        <v>1473</v>
      </c>
    </row>
    <row r="3138" spans="1:11" hidden="1" x14ac:dyDescent="0.25">
      <c r="A3138" s="3" t="s">
        <v>5797</v>
      </c>
      <c r="B3138" s="3">
        <v>12</v>
      </c>
      <c r="C3138" s="5">
        <v>400</v>
      </c>
      <c r="D3138" s="6">
        <v>0</v>
      </c>
      <c r="E3138" s="7">
        <v>704700</v>
      </c>
      <c r="F3138" s="3">
        <v>53420</v>
      </c>
      <c r="G3138" s="3" t="str">
        <f t="shared" si="49"/>
        <v>5</v>
      </c>
      <c r="H3138" s="3" t="s">
        <v>5798</v>
      </c>
      <c r="I3138" s="8">
        <v>19105</v>
      </c>
      <c r="J3138" s="8">
        <v>14392.41</v>
      </c>
      <c r="K3138" s="8">
        <v>19105</v>
      </c>
    </row>
    <row r="3139" spans="1:11" hidden="1" x14ac:dyDescent="0.25">
      <c r="A3139" s="3" t="s">
        <v>5799</v>
      </c>
      <c r="B3139" s="3">
        <v>12</v>
      </c>
      <c r="C3139" s="5">
        <v>400</v>
      </c>
      <c r="D3139" s="6">
        <v>0</v>
      </c>
      <c r="E3139" s="7">
        <v>704700</v>
      </c>
      <c r="F3139" s="3">
        <v>53520</v>
      </c>
      <c r="G3139" s="3" t="str">
        <f t="shared" si="49"/>
        <v>5</v>
      </c>
      <c r="H3139" s="3" t="s">
        <v>5800</v>
      </c>
      <c r="I3139" s="8">
        <v>51</v>
      </c>
      <c r="J3139" s="8">
        <v>38.869999999999997</v>
      </c>
      <c r="K3139" s="8">
        <v>51</v>
      </c>
    </row>
    <row r="3140" spans="1:11" hidden="1" x14ac:dyDescent="0.25">
      <c r="A3140" s="3" t="s">
        <v>5801</v>
      </c>
      <c r="B3140" s="3">
        <v>12</v>
      </c>
      <c r="C3140" s="5">
        <v>400</v>
      </c>
      <c r="D3140" s="6">
        <v>0</v>
      </c>
      <c r="E3140" s="7">
        <v>704700</v>
      </c>
      <c r="F3140" s="3">
        <v>53620</v>
      </c>
      <c r="G3140" s="3" t="str">
        <f t="shared" si="49"/>
        <v>5</v>
      </c>
      <c r="H3140" s="3" t="s">
        <v>3201</v>
      </c>
      <c r="I3140" s="8">
        <v>2927</v>
      </c>
      <c r="J3140" s="8">
        <v>1547.76</v>
      </c>
      <c r="K3140" s="8">
        <v>2927</v>
      </c>
    </row>
    <row r="3141" spans="1:11" hidden="1" x14ac:dyDescent="0.25">
      <c r="A3141" s="3" t="s">
        <v>5802</v>
      </c>
      <c r="B3141" s="3">
        <v>12</v>
      </c>
      <c r="C3141" s="5">
        <v>400</v>
      </c>
      <c r="D3141" s="6">
        <v>0</v>
      </c>
      <c r="E3141" s="7">
        <v>704700</v>
      </c>
      <c r="F3141" s="3">
        <v>53920</v>
      </c>
      <c r="G3141" s="3" t="str">
        <f t="shared" si="49"/>
        <v>5</v>
      </c>
      <c r="H3141" s="3" t="s">
        <v>5803</v>
      </c>
      <c r="I3141" s="8">
        <v>2640</v>
      </c>
      <c r="J3141" s="8">
        <v>1792.74</v>
      </c>
      <c r="K3141" s="8">
        <v>2640</v>
      </c>
    </row>
    <row r="3142" spans="1:11" hidden="1" x14ac:dyDescent="0.25">
      <c r="A3142" s="3" t="s">
        <v>5804</v>
      </c>
      <c r="B3142" s="3">
        <v>12</v>
      </c>
      <c r="C3142" s="5">
        <v>400</v>
      </c>
      <c r="D3142" s="6">
        <v>0</v>
      </c>
      <c r="E3142" s="7">
        <v>704700</v>
      </c>
      <c r="F3142" s="3">
        <v>54300</v>
      </c>
      <c r="G3142" s="3" t="str">
        <f t="shared" si="49"/>
        <v>5</v>
      </c>
      <c r="H3142" s="3" t="s">
        <v>5805</v>
      </c>
      <c r="I3142" s="8">
        <v>3000</v>
      </c>
      <c r="J3142" s="8">
        <v>1408.83</v>
      </c>
      <c r="K3142" s="8">
        <v>3000</v>
      </c>
    </row>
    <row r="3143" spans="1:11" hidden="1" x14ac:dyDescent="0.25">
      <c r="A3143" s="3" t="s">
        <v>5806</v>
      </c>
      <c r="B3143" s="3">
        <v>12</v>
      </c>
      <c r="C3143" s="5">
        <v>400</v>
      </c>
      <c r="D3143" s="6">
        <v>0</v>
      </c>
      <c r="E3143" s="7">
        <v>704700</v>
      </c>
      <c r="F3143" s="3">
        <v>55105</v>
      </c>
      <c r="G3143" s="3" t="str">
        <f t="shared" si="49"/>
        <v>5</v>
      </c>
      <c r="H3143" s="3" t="s">
        <v>5807</v>
      </c>
      <c r="I3143" s="8">
        <v>500</v>
      </c>
      <c r="J3143" s="8">
        <v>500</v>
      </c>
      <c r="K3143" s="8">
        <v>500</v>
      </c>
    </row>
    <row r="3144" spans="1:11" hidden="1" x14ac:dyDescent="0.25">
      <c r="A3144" s="3" t="s">
        <v>5808</v>
      </c>
      <c r="B3144" s="3">
        <v>12</v>
      </c>
      <c r="C3144" s="5">
        <v>400</v>
      </c>
      <c r="D3144" s="6">
        <v>0</v>
      </c>
      <c r="E3144" s="7">
        <v>704700</v>
      </c>
      <c r="F3144" s="3">
        <v>55200</v>
      </c>
      <c r="G3144" s="3" t="str">
        <f t="shared" si="49"/>
        <v>5</v>
      </c>
      <c r="H3144" s="3" t="s">
        <v>5809</v>
      </c>
      <c r="I3144" s="8">
        <v>2500</v>
      </c>
      <c r="J3144" s="8">
        <v>300</v>
      </c>
      <c r="K3144" s="8">
        <v>2500</v>
      </c>
    </row>
    <row r="3145" spans="1:11" hidden="1" x14ac:dyDescent="0.25">
      <c r="A3145" s="3" t="s">
        <v>5810</v>
      </c>
      <c r="B3145" s="3">
        <v>12</v>
      </c>
      <c r="C3145" s="5">
        <v>400</v>
      </c>
      <c r="D3145" s="6">
        <v>0</v>
      </c>
      <c r="E3145" s="7">
        <v>704700</v>
      </c>
      <c r="F3145" s="3">
        <v>55630</v>
      </c>
      <c r="G3145" s="3" t="str">
        <f t="shared" si="49"/>
        <v>5</v>
      </c>
      <c r="H3145" s="3" t="s">
        <v>5811</v>
      </c>
      <c r="I3145" s="8">
        <v>1000</v>
      </c>
      <c r="J3145" s="8">
        <v>0</v>
      </c>
      <c r="K3145" s="8">
        <v>1000</v>
      </c>
    </row>
    <row r="3146" spans="1:11" hidden="1" x14ac:dyDescent="0.25">
      <c r="A3146" s="3" t="s">
        <v>5812</v>
      </c>
      <c r="B3146" s="3">
        <v>12</v>
      </c>
      <c r="C3146" s="5">
        <v>400</v>
      </c>
      <c r="D3146" s="6">
        <v>0</v>
      </c>
      <c r="E3146" s="7">
        <v>704700</v>
      </c>
      <c r="F3146" s="3">
        <v>55635</v>
      </c>
      <c r="G3146" s="3" t="str">
        <f t="shared" si="49"/>
        <v>5</v>
      </c>
      <c r="H3146" s="3" t="s">
        <v>5813</v>
      </c>
      <c r="I3146" s="8">
        <v>125</v>
      </c>
      <c r="J3146" s="8">
        <v>0</v>
      </c>
      <c r="K3146" s="8">
        <v>125</v>
      </c>
    </row>
    <row r="3147" spans="1:11" hidden="1" x14ac:dyDescent="0.25">
      <c r="A3147" s="3" t="s">
        <v>5814</v>
      </c>
      <c r="B3147" s="3">
        <v>12</v>
      </c>
      <c r="C3147" s="5">
        <v>400</v>
      </c>
      <c r="D3147" s="6">
        <v>0</v>
      </c>
      <c r="E3147" s="7">
        <v>704700</v>
      </c>
      <c r="F3147" s="3">
        <v>55800</v>
      </c>
      <c r="G3147" s="3" t="str">
        <f t="shared" si="49"/>
        <v>5</v>
      </c>
      <c r="H3147" s="3" t="s">
        <v>5815</v>
      </c>
      <c r="I3147" s="8">
        <v>36970.93</v>
      </c>
      <c r="J3147" s="8">
        <v>0</v>
      </c>
      <c r="K3147" s="8">
        <v>36970.93</v>
      </c>
    </row>
    <row r="3148" spans="1:11" hidden="1" x14ac:dyDescent="0.25">
      <c r="A3148" s="3" t="s">
        <v>5816</v>
      </c>
      <c r="B3148" s="3">
        <v>12</v>
      </c>
      <c r="C3148" s="5">
        <v>400</v>
      </c>
      <c r="D3148" s="6">
        <v>0</v>
      </c>
      <c r="E3148" s="7">
        <v>705500</v>
      </c>
      <c r="F3148" s="3">
        <v>48140</v>
      </c>
      <c r="G3148" s="3" t="str">
        <f t="shared" si="49"/>
        <v>4</v>
      </c>
      <c r="H3148" s="3" t="s">
        <v>5817</v>
      </c>
      <c r="I3148" s="8">
        <v>-50760</v>
      </c>
      <c r="J3148" s="8">
        <v>0</v>
      </c>
      <c r="K3148" s="8">
        <v>-50760</v>
      </c>
    </row>
    <row r="3149" spans="1:11" hidden="1" x14ac:dyDescent="0.25">
      <c r="A3149" s="3" t="s">
        <v>5818</v>
      </c>
      <c r="B3149" s="3">
        <v>12</v>
      </c>
      <c r="C3149" s="5">
        <v>400</v>
      </c>
      <c r="D3149" s="6">
        <v>0</v>
      </c>
      <c r="E3149" s="7">
        <v>705500</v>
      </c>
      <c r="F3149" s="3">
        <v>51200</v>
      </c>
      <c r="G3149" s="3" t="str">
        <f t="shared" si="49"/>
        <v>5</v>
      </c>
      <c r="H3149" s="3" t="s">
        <v>5819</v>
      </c>
      <c r="I3149" s="8">
        <v>35806</v>
      </c>
      <c r="J3149" s="8">
        <v>22354.720000000001</v>
      </c>
      <c r="K3149" s="8">
        <v>35806</v>
      </c>
    </row>
    <row r="3150" spans="1:11" hidden="1" x14ac:dyDescent="0.25">
      <c r="A3150" s="3" t="s">
        <v>5820</v>
      </c>
      <c r="B3150" s="3">
        <v>12</v>
      </c>
      <c r="C3150" s="5">
        <v>400</v>
      </c>
      <c r="D3150" s="6">
        <v>0</v>
      </c>
      <c r="E3150" s="7">
        <v>705500</v>
      </c>
      <c r="F3150" s="3">
        <v>53120</v>
      </c>
      <c r="G3150" s="3" t="str">
        <f t="shared" si="49"/>
        <v>5</v>
      </c>
      <c r="H3150" s="3" t="s">
        <v>5821</v>
      </c>
      <c r="I3150" s="8">
        <v>6849</v>
      </c>
      <c r="J3150" s="8">
        <v>3610.32</v>
      </c>
      <c r="K3150" s="8">
        <v>6849</v>
      </c>
    </row>
    <row r="3151" spans="1:11" hidden="1" x14ac:dyDescent="0.25">
      <c r="A3151" s="3" t="s">
        <v>5822</v>
      </c>
      <c r="B3151" s="3">
        <v>12</v>
      </c>
      <c r="C3151" s="5">
        <v>400</v>
      </c>
      <c r="D3151" s="6">
        <v>0</v>
      </c>
      <c r="E3151" s="7">
        <v>705500</v>
      </c>
      <c r="F3151" s="3">
        <v>53340</v>
      </c>
      <c r="G3151" s="3" t="str">
        <f t="shared" si="49"/>
        <v>5</v>
      </c>
      <c r="H3151" s="3" t="s">
        <v>5823</v>
      </c>
      <c r="I3151" s="8">
        <v>520</v>
      </c>
      <c r="J3151" s="8">
        <v>324.37</v>
      </c>
      <c r="K3151" s="8">
        <v>520</v>
      </c>
    </row>
    <row r="3152" spans="1:11" hidden="1" x14ac:dyDescent="0.25">
      <c r="A3152" s="3" t="s">
        <v>5824</v>
      </c>
      <c r="B3152" s="3">
        <v>12</v>
      </c>
      <c r="C3152" s="5">
        <v>400</v>
      </c>
      <c r="D3152" s="6">
        <v>0</v>
      </c>
      <c r="E3152" s="7">
        <v>705500</v>
      </c>
      <c r="F3152" s="3">
        <v>53420</v>
      </c>
      <c r="G3152" s="3" t="str">
        <f t="shared" si="49"/>
        <v>5</v>
      </c>
      <c r="H3152" s="3" t="s">
        <v>5825</v>
      </c>
      <c r="I3152" s="8">
        <v>6079</v>
      </c>
      <c r="J3152" s="8">
        <v>3710.24</v>
      </c>
      <c r="K3152" s="8">
        <v>6079</v>
      </c>
    </row>
    <row r="3153" spans="1:11" hidden="1" x14ac:dyDescent="0.25">
      <c r="A3153" s="3" t="s">
        <v>5826</v>
      </c>
      <c r="B3153" s="3">
        <v>12</v>
      </c>
      <c r="C3153" s="5">
        <v>400</v>
      </c>
      <c r="D3153" s="6">
        <v>0</v>
      </c>
      <c r="E3153" s="7">
        <v>705500</v>
      </c>
      <c r="F3153" s="3">
        <v>53520</v>
      </c>
      <c r="G3153" s="3" t="str">
        <f t="shared" si="49"/>
        <v>5</v>
      </c>
      <c r="H3153" s="3" t="s">
        <v>5827</v>
      </c>
      <c r="I3153" s="8">
        <v>18</v>
      </c>
      <c r="J3153" s="8">
        <v>11.2</v>
      </c>
      <c r="K3153" s="8">
        <v>18</v>
      </c>
    </row>
    <row r="3154" spans="1:11" hidden="1" x14ac:dyDescent="0.25">
      <c r="A3154" s="3" t="s">
        <v>5828</v>
      </c>
      <c r="B3154" s="3">
        <v>12</v>
      </c>
      <c r="C3154" s="5">
        <v>400</v>
      </c>
      <c r="D3154" s="6">
        <v>0</v>
      </c>
      <c r="E3154" s="7">
        <v>705500</v>
      </c>
      <c r="F3154" s="3">
        <v>53620</v>
      </c>
      <c r="G3154" s="3" t="str">
        <f t="shared" si="49"/>
        <v>5</v>
      </c>
      <c r="H3154" s="3" t="s">
        <v>5829</v>
      </c>
      <c r="I3154" s="8">
        <v>648</v>
      </c>
      <c r="J3154" s="8">
        <v>422.72</v>
      </c>
      <c r="K3154" s="8">
        <v>648</v>
      </c>
    </row>
    <row r="3155" spans="1:11" hidden="1" x14ac:dyDescent="0.25">
      <c r="A3155" s="3" t="s">
        <v>5830</v>
      </c>
      <c r="B3155" s="3">
        <v>12</v>
      </c>
      <c r="C3155" s="5">
        <v>400</v>
      </c>
      <c r="D3155" s="6">
        <v>0</v>
      </c>
      <c r="E3155" s="7">
        <v>705500</v>
      </c>
      <c r="F3155" s="3">
        <v>53920</v>
      </c>
      <c r="G3155" s="3" t="str">
        <f t="shared" si="49"/>
        <v>5</v>
      </c>
      <c r="H3155" s="3" t="s">
        <v>5831</v>
      </c>
      <c r="I3155" s="8">
        <v>840</v>
      </c>
      <c r="J3155" s="8">
        <v>458.15</v>
      </c>
      <c r="K3155" s="8">
        <v>840</v>
      </c>
    </row>
    <row r="3156" spans="1:11" hidden="1" x14ac:dyDescent="0.25">
      <c r="A3156" s="3" t="s">
        <v>5832</v>
      </c>
      <c r="B3156" s="3">
        <v>12</v>
      </c>
      <c r="C3156" s="5">
        <v>400</v>
      </c>
      <c r="D3156" s="6">
        <v>0</v>
      </c>
      <c r="E3156" s="7">
        <v>705500</v>
      </c>
      <c r="F3156" s="3">
        <v>55630</v>
      </c>
      <c r="G3156" s="3" t="str">
        <f t="shared" si="49"/>
        <v>5</v>
      </c>
      <c r="H3156" s="3" t="s">
        <v>5833</v>
      </c>
      <c r="I3156" s="8">
        <v>0</v>
      </c>
      <c r="J3156" s="8">
        <v>7.42</v>
      </c>
      <c r="K3156" s="8">
        <v>0</v>
      </c>
    </row>
    <row r="3157" spans="1:11" hidden="1" x14ac:dyDescent="0.25">
      <c r="A3157" s="3" t="s">
        <v>5834</v>
      </c>
      <c r="B3157" s="3">
        <v>12</v>
      </c>
      <c r="C3157" s="5">
        <v>400</v>
      </c>
      <c r="D3157" s="6">
        <v>0</v>
      </c>
      <c r="E3157" s="7">
        <v>760087</v>
      </c>
      <c r="F3157" s="3">
        <v>48627</v>
      </c>
      <c r="G3157" s="3" t="str">
        <f t="shared" si="49"/>
        <v>4</v>
      </c>
      <c r="H3157" s="3" t="s">
        <v>5835</v>
      </c>
      <c r="I3157" s="8">
        <v>-625848.64</v>
      </c>
      <c r="J3157" s="8">
        <v>-305305</v>
      </c>
      <c r="K3157" s="8">
        <v>-625848.64</v>
      </c>
    </row>
    <row r="3158" spans="1:11" hidden="1" x14ac:dyDescent="0.25">
      <c r="A3158" s="3" t="s">
        <v>5836</v>
      </c>
      <c r="B3158" s="3">
        <v>12</v>
      </c>
      <c r="C3158" s="5">
        <v>400</v>
      </c>
      <c r="D3158" s="6">
        <v>0</v>
      </c>
      <c r="E3158" s="7">
        <v>760087</v>
      </c>
      <c r="F3158" s="3">
        <v>51412</v>
      </c>
      <c r="G3158" s="3" t="str">
        <f t="shared" si="49"/>
        <v>5</v>
      </c>
      <c r="H3158" s="3" t="s">
        <v>5837</v>
      </c>
      <c r="I3158" s="8">
        <v>30000</v>
      </c>
      <c r="J3158" s="8">
        <v>25054.85</v>
      </c>
      <c r="K3158" s="8">
        <v>30000</v>
      </c>
    </row>
    <row r="3159" spans="1:11" hidden="1" x14ac:dyDescent="0.25">
      <c r="A3159" s="3" t="s">
        <v>5838</v>
      </c>
      <c r="B3159" s="3">
        <v>12</v>
      </c>
      <c r="C3159" s="5">
        <v>400</v>
      </c>
      <c r="D3159" s="6">
        <v>0</v>
      </c>
      <c r="E3159" s="7">
        <v>760087</v>
      </c>
      <c r="F3159" s="3">
        <v>52105</v>
      </c>
      <c r="G3159" s="3" t="str">
        <f t="shared" si="49"/>
        <v>5</v>
      </c>
      <c r="H3159" s="3" t="s">
        <v>5839</v>
      </c>
      <c r="I3159" s="8">
        <v>73634</v>
      </c>
      <c r="J3159" s="8">
        <v>54601.64</v>
      </c>
      <c r="K3159" s="8">
        <v>73634</v>
      </c>
    </row>
    <row r="3160" spans="1:11" hidden="1" x14ac:dyDescent="0.25">
      <c r="A3160" s="3" t="s">
        <v>5840</v>
      </c>
      <c r="B3160" s="3">
        <v>12</v>
      </c>
      <c r="C3160" s="5">
        <v>400</v>
      </c>
      <c r="D3160" s="6">
        <v>0</v>
      </c>
      <c r="E3160" s="7">
        <v>760087</v>
      </c>
      <c r="F3160" s="3">
        <v>52350</v>
      </c>
      <c r="G3160" s="3" t="str">
        <f t="shared" si="49"/>
        <v>5</v>
      </c>
      <c r="H3160" s="3" t="s">
        <v>5841</v>
      </c>
      <c r="I3160" s="8">
        <v>0</v>
      </c>
      <c r="J3160" s="8">
        <v>2846.95</v>
      </c>
      <c r="K3160" s="8">
        <v>0</v>
      </c>
    </row>
    <row r="3161" spans="1:11" hidden="1" x14ac:dyDescent="0.25">
      <c r="A3161" s="3" t="s">
        <v>5842</v>
      </c>
      <c r="B3161" s="3">
        <v>12</v>
      </c>
      <c r="C3161" s="5">
        <v>400</v>
      </c>
      <c r="D3161" s="6">
        <v>0</v>
      </c>
      <c r="E3161" s="7">
        <v>760087</v>
      </c>
      <c r="F3161" s="3">
        <v>52360</v>
      </c>
      <c r="G3161" s="3" t="str">
        <f t="shared" si="49"/>
        <v>5</v>
      </c>
      <c r="H3161" s="3" t="s">
        <v>5843</v>
      </c>
      <c r="I3161" s="8">
        <v>0</v>
      </c>
      <c r="J3161" s="8">
        <v>12965.14</v>
      </c>
      <c r="K3161" s="8">
        <v>0</v>
      </c>
    </row>
    <row r="3162" spans="1:11" hidden="1" x14ac:dyDescent="0.25">
      <c r="A3162" s="3" t="s">
        <v>5844</v>
      </c>
      <c r="B3162" s="3">
        <v>12</v>
      </c>
      <c r="C3162" s="5">
        <v>400</v>
      </c>
      <c r="D3162" s="6">
        <v>0</v>
      </c>
      <c r="E3162" s="7">
        <v>760087</v>
      </c>
      <c r="F3162" s="3">
        <v>53120</v>
      </c>
      <c r="G3162" s="3" t="str">
        <f t="shared" si="49"/>
        <v>5</v>
      </c>
      <c r="H3162" s="3" t="s">
        <v>5845</v>
      </c>
      <c r="I3162" s="8">
        <v>5520</v>
      </c>
      <c r="J3162" s="8">
        <v>4016.94</v>
      </c>
      <c r="K3162" s="8">
        <v>5520</v>
      </c>
    </row>
    <row r="3163" spans="1:11" hidden="1" x14ac:dyDescent="0.25">
      <c r="A3163" s="3" t="s">
        <v>5846</v>
      </c>
      <c r="B3163" s="3">
        <v>12</v>
      </c>
      <c r="C3163" s="5">
        <v>400</v>
      </c>
      <c r="D3163" s="6">
        <v>0</v>
      </c>
      <c r="E3163" s="7">
        <v>760087</v>
      </c>
      <c r="F3163" s="3">
        <v>53220</v>
      </c>
      <c r="G3163" s="3" t="str">
        <f t="shared" ref="G3163:G3226" si="50">LEFT(F3163,1)</f>
        <v>5</v>
      </c>
      <c r="H3163" s="3" t="s">
        <v>5847</v>
      </c>
      <c r="I3163" s="8">
        <v>15242</v>
      </c>
      <c r="J3163" s="8">
        <v>13987.97</v>
      </c>
      <c r="K3163" s="8">
        <v>15242</v>
      </c>
    </row>
    <row r="3164" spans="1:11" hidden="1" x14ac:dyDescent="0.25">
      <c r="A3164" s="3" t="s">
        <v>5848</v>
      </c>
      <c r="B3164" s="3">
        <v>12</v>
      </c>
      <c r="C3164" s="5">
        <v>400</v>
      </c>
      <c r="D3164" s="6">
        <v>0</v>
      </c>
      <c r="E3164" s="7">
        <v>760087</v>
      </c>
      <c r="F3164" s="3">
        <v>53320</v>
      </c>
      <c r="G3164" s="3" t="str">
        <f t="shared" si="50"/>
        <v>5</v>
      </c>
      <c r="H3164" s="3" t="s">
        <v>5849</v>
      </c>
      <c r="I3164" s="8">
        <v>4565</v>
      </c>
      <c r="J3164" s="8">
        <v>4192.45</v>
      </c>
      <c r="K3164" s="8">
        <v>4565</v>
      </c>
    </row>
    <row r="3165" spans="1:11" hidden="1" x14ac:dyDescent="0.25">
      <c r="A3165" s="3" t="s">
        <v>5850</v>
      </c>
      <c r="B3165" s="3">
        <v>12</v>
      </c>
      <c r="C3165" s="5">
        <v>400</v>
      </c>
      <c r="D3165" s="6">
        <v>0</v>
      </c>
      <c r="E3165" s="7">
        <v>760087</v>
      </c>
      <c r="F3165" s="3">
        <v>53340</v>
      </c>
      <c r="G3165" s="3" t="str">
        <f t="shared" si="50"/>
        <v>5</v>
      </c>
      <c r="H3165" s="3" t="s">
        <v>5851</v>
      </c>
      <c r="I3165" s="8">
        <v>1503</v>
      </c>
      <c r="J3165" s="8">
        <v>1343.89</v>
      </c>
      <c r="K3165" s="8">
        <v>1503</v>
      </c>
    </row>
    <row r="3166" spans="1:11" hidden="1" x14ac:dyDescent="0.25">
      <c r="A3166" s="3" t="s">
        <v>5852</v>
      </c>
      <c r="B3166" s="3">
        <v>12</v>
      </c>
      <c r="C3166" s="5">
        <v>400</v>
      </c>
      <c r="D3166" s="6">
        <v>0</v>
      </c>
      <c r="E3166" s="7">
        <v>760087</v>
      </c>
      <c r="F3166" s="3">
        <v>53420</v>
      </c>
      <c r="G3166" s="3" t="str">
        <f t="shared" si="50"/>
        <v>5</v>
      </c>
      <c r="H3166" s="3" t="s">
        <v>5853</v>
      </c>
      <c r="I3166" s="8">
        <v>8893</v>
      </c>
      <c r="J3166" s="8">
        <v>6499.09</v>
      </c>
      <c r="K3166" s="8">
        <v>8893</v>
      </c>
    </row>
    <row r="3167" spans="1:11" hidden="1" x14ac:dyDescent="0.25">
      <c r="A3167" s="3" t="s">
        <v>5854</v>
      </c>
      <c r="B3167" s="3">
        <v>12</v>
      </c>
      <c r="C3167" s="5">
        <v>400</v>
      </c>
      <c r="D3167" s="6">
        <v>0</v>
      </c>
      <c r="E3167" s="7">
        <v>760087</v>
      </c>
      <c r="F3167" s="3">
        <v>53520</v>
      </c>
      <c r="G3167" s="3" t="str">
        <f t="shared" si="50"/>
        <v>5</v>
      </c>
      <c r="H3167" s="3" t="s">
        <v>5855</v>
      </c>
      <c r="I3167" s="8">
        <v>52</v>
      </c>
      <c r="J3167" s="8">
        <v>46.26</v>
      </c>
      <c r="K3167" s="8">
        <v>52</v>
      </c>
    </row>
    <row r="3168" spans="1:11" hidden="1" x14ac:dyDescent="0.25">
      <c r="A3168" s="3" t="s">
        <v>5856</v>
      </c>
      <c r="B3168" s="3">
        <v>12</v>
      </c>
      <c r="C3168" s="5">
        <v>400</v>
      </c>
      <c r="D3168" s="6">
        <v>0</v>
      </c>
      <c r="E3168" s="7">
        <v>760087</v>
      </c>
      <c r="F3168" s="3">
        <v>53620</v>
      </c>
      <c r="G3168" s="3" t="str">
        <f t="shared" si="50"/>
        <v>5</v>
      </c>
      <c r="H3168" s="3" t="s">
        <v>5857</v>
      </c>
      <c r="I3168" s="8">
        <v>1872</v>
      </c>
      <c r="J3168" s="8">
        <v>1808.13</v>
      </c>
      <c r="K3168" s="8">
        <v>1872</v>
      </c>
    </row>
    <row r="3169" spans="1:11" hidden="1" x14ac:dyDescent="0.25">
      <c r="A3169" s="3" t="s">
        <v>5858</v>
      </c>
      <c r="B3169" s="3">
        <v>12</v>
      </c>
      <c r="C3169" s="5">
        <v>400</v>
      </c>
      <c r="D3169" s="6">
        <v>0</v>
      </c>
      <c r="E3169" s="7">
        <v>760087</v>
      </c>
      <c r="F3169" s="3">
        <v>53920</v>
      </c>
      <c r="G3169" s="3" t="str">
        <f t="shared" si="50"/>
        <v>5</v>
      </c>
      <c r="H3169" s="3" t="s">
        <v>5859</v>
      </c>
      <c r="I3169" s="8">
        <v>2400</v>
      </c>
      <c r="J3169" s="8">
        <v>1600</v>
      </c>
      <c r="K3169" s="8">
        <v>2400</v>
      </c>
    </row>
    <row r="3170" spans="1:11" hidden="1" x14ac:dyDescent="0.25">
      <c r="A3170" s="3" t="s">
        <v>5860</v>
      </c>
      <c r="B3170" s="3">
        <v>12</v>
      </c>
      <c r="C3170" s="5">
        <v>400</v>
      </c>
      <c r="D3170" s="6">
        <v>0</v>
      </c>
      <c r="E3170" s="7">
        <v>760087</v>
      </c>
      <c r="F3170" s="3">
        <v>54210</v>
      </c>
      <c r="G3170" s="3" t="str">
        <f t="shared" si="50"/>
        <v>5</v>
      </c>
      <c r="H3170" s="3" t="s">
        <v>5861</v>
      </c>
      <c r="I3170" s="8">
        <v>100</v>
      </c>
      <c r="J3170" s="8">
        <v>0</v>
      </c>
      <c r="K3170" s="8">
        <v>100</v>
      </c>
    </row>
    <row r="3171" spans="1:11" hidden="1" x14ac:dyDescent="0.25">
      <c r="A3171" s="3" t="s">
        <v>5862</v>
      </c>
      <c r="B3171" s="3">
        <v>12</v>
      </c>
      <c r="C3171" s="5">
        <v>400</v>
      </c>
      <c r="D3171" s="6">
        <v>0</v>
      </c>
      <c r="E3171" s="7">
        <v>760087</v>
      </c>
      <c r="F3171" s="3">
        <v>54300</v>
      </c>
      <c r="G3171" s="3" t="str">
        <f t="shared" si="50"/>
        <v>5</v>
      </c>
      <c r="H3171" s="3" t="s">
        <v>5863</v>
      </c>
      <c r="I3171" s="8">
        <v>7980</v>
      </c>
      <c r="J3171" s="8">
        <v>1754.55</v>
      </c>
      <c r="K3171" s="8">
        <v>7980</v>
      </c>
    </row>
    <row r="3172" spans="1:11" hidden="1" x14ac:dyDescent="0.25">
      <c r="A3172" s="3" t="s">
        <v>5864</v>
      </c>
      <c r="B3172" s="3">
        <v>12</v>
      </c>
      <c r="C3172" s="5">
        <v>400</v>
      </c>
      <c r="D3172" s="6">
        <v>0</v>
      </c>
      <c r="E3172" s="7">
        <v>760087</v>
      </c>
      <c r="F3172" s="3">
        <v>55100</v>
      </c>
      <c r="G3172" s="3" t="str">
        <f t="shared" si="50"/>
        <v>5</v>
      </c>
      <c r="H3172" s="3" t="s">
        <v>5865</v>
      </c>
      <c r="I3172" s="8">
        <v>300</v>
      </c>
      <c r="J3172" s="8">
        <v>0</v>
      </c>
      <c r="K3172" s="8">
        <v>300</v>
      </c>
    </row>
    <row r="3173" spans="1:11" hidden="1" x14ac:dyDescent="0.25">
      <c r="A3173" s="3" t="s">
        <v>5866</v>
      </c>
      <c r="B3173" s="3">
        <v>12</v>
      </c>
      <c r="C3173" s="5">
        <v>400</v>
      </c>
      <c r="D3173" s="6">
        <v>0</v>
      </c>
      <c r="E3173" s="7">
        <v>760087</v>
      </c>
      <c r="F3173" s="3">
        <v>55105</v>
      </c>
      <c r="G3173" s="3" t="str">
        <f t="shared" si="50"/>
        <v>5</v>
      </c>
      <c r="H3173" s="3" t="s">
        <v>5867</v>
      </c>
      <c r="I3173" s="8">
        <v>5000</v>
      </c>
      <c r="J3173" s="8">
        <v>0</v>
      </c>
      <c r="K3173" s="8">
        <v>5000</v>
      </c>
    </row>
    <row r="3174" spans="1:11" hidden="1" x14ac:dyDescent="0.25">
      <c r="A3174" s="3" t="s">
        <v>5868</v>
      </c>
      <c r="B3174" s="3">
        <v>12</v>
      </c>
      <c r="C3174" s="5">
        <v>400</v>
      </c>
      <c r="D3174" s="6">
        <v>0</v>
      </c>
      <c r="E3174" s="7">
        <v>760087</v>
      </c>
      <c r="F3174" s="3">
        <v>55630</v>
      </c>
      <c r="G3174" s="3" t="str">
        <f t="shared" si="50"/>
        <v>5</v>
      </c>
      <c r="H3174" s="3" t="s">
        <v>5869</v>
      </c>
      <c r="I3174" s="8">
        <v>60</v>
      </c>
      <c r="J3174" s="8">
        <v>0</v>
      </c>
      <c r="K3174" s="8">
        <v>60</v>
      </c>
    </row>
    <row r="3175" spans="1:11" hidden="1" x14ac:dyDescent="0.25">
      <c r="A3175" s="3" t="s">
        <v>5870</v>
      </c>
      <c r="B3175" s="3">
        <v>12</v>
      </c>
      <c r="C3175" s="5">
        <v>400</v>
      </c>
      <c r="D3175" s="6">
        <v>0</v>
      </c>
      <c r="E3175" s="7">
        <v>760087</v>
      </c>
      <c r="F3175" s="3">
        <v>55800</v>
      </c>
      <c r="G3175" s="3" t="str">
        <f t="shared" si="50"/>
        <v>5</v>
      </c>
      <c r="H3175" s="3" t="s">
        <v>5871</v>
      </c>
      <c r="I3175" s="8">
        <v>458727.64</v>
      </c>
      <c r="J3175" s="8">
        <v>0</v>
      </c>
      <c r="K3175" s="8">
        <v>458727.64</v>
      </c>
    </row>
    <row r="3176" spans="1:11" hidden="1" x14ac:dyDescent="0.25">
      <c r="A3176" s="3" t="s">
        <v>5872</v>
      </c>
      <c r="B3176" s="3">
        <v>12</v>
      </c>
      <c r="C3176" s="5">
        <v>400</v>
      </c>
      <c r="D3176" s="6">
        <v>0</v>
      </c>
      <c r="E3176" s="7">
        <v>760087</v>
      </c>
      <c r="F3176" s="3">
        <v>56402</v>
      </c>
      <c r="G3176" s="3" t="str">
        <f t="shared" si="50"/>
        <v>5</v>
      </c>
      <c r="H3176" s="3" t="s">
        <v>5873</v>
      </c>
      <c r="I3176" s="8">
        <v>10000</v>
      </c>
      <c r="J3176" s="8">
        <v>0</v>
      </c>
      <c r="K3176" s="8">
        <v>10000</v>
      </c>
    </row>
    <row r="3177" spans="1:11" hidden="1" x14ac:dyDescent="0.25">
      <c r="A3177" s="3" t="s">
        <v>5874</v>
      </c>
      <c r="B3177" s="3">
        <v>12</v>
      </c>
      <c r="C3177" s="5">
        <v>420</v>
      </c>
      <c r="D3177" s="6">
        <v>0</v>
      </c>
      <c r="E3177" s="7">
        <v>700600</v>
      </c>
      <c r="F3177" s="3">
        <v>48627</v>
      </c>
      <c r="G3177" s="3" t="str">
        <f t="shared" si="50"/>
        <v>4</v>
      </c>
      <c r="H3177" s="3" t="s">
        <v>5875</v>
      </c>
      <c r="I3177" s="8">
        <v>-413361.65</v>
      </c>
      <c r="J3177" s="8">
        <v>-355616.65</v>
      </c>
      <c r="K3177" s="8">
        <v>-413361.65</v>
      </c>
    </row>
    <row r="3178" spans="1:11" hidden="1" x14ac:dyDescent="0.25">
      <c r="A3178" s="3" t="s">
        <v>5876</v>
      </c>
      <c r="B3178" s="3">
        <v>12</v>
      </c>
      <c r="C3178" s="5">
        <v>420</v>
      </c>
      <c r="D3178" s="6">
        <v>0</v>
      </c>
      <c r="E3178" s="7">
        <v>700600</v>
      </c>
      <c r="F3178" s="3">
        <v>52105</v>
      </c>
      <c r="G3178" s="3" t="str">
        <f t="shared" si="50"/>
        <v>5</v>
      </c>
      <c r="H3178" s="3" t="s">
        <v>5877</v>
      </c>
      <c r="I3178" s="8">
        <v>213716</v>
      </c>
      <c r="J3178" s="8">
        <v>159268.26999999999</v>
      </c>
      <c r="K3178" s="8">
        <v>213716</v>
      </c>
    </row>
    <row r="3179" spans="1:11" hidden="1" x14ac:dyDescent="0.25">
      <c r="A3179" s="3" t="s">
        <v>5878</v>
      </c>
      <c r="B3179" s="3">
        <v>12</v>
      </c>
      <c r="C3179" s="5">
        <v>420</v>
      </c>
      <c r="D3179" s="6">
        <v>0</v>
      </c>
      <c r="E3179" s="7">
        <v>700600</v>
      </c>
      <c r="F3179" s="3">
        <v>52300</v>
      </c>
      <c r="G3179" s="3" t="str">
        <f t="shared" si="50"/>
        <v>5</v>
      </c>
      <c r="H3179" s="3" t="s">
        <v>5879</v>
      </c>
      <c r="I3179" s="8">
        <v>0</v>
      </c>
      <c r="J3179" s="8">
        <v>42.19</v>
      </c>
      <c r="K3179" s="8">
        <v>0</v>
      </c>
    </row>
    <row r="3180" spans="1:11" hidden="1" x14ac:dyDescent="0.25">
      <c r="A3180" s="3" t="s">
        <v>5880</v>
      </c>
      <c r="B3180" s="3">
        <v>12</v>
      </c>
      <c r="C3180" s="5">
        <v>420</v>
      </c>
      <c r="D3180" s="6">
        <v>0</v>
      </c>
      <c r="E3180" s="7">
        <v>700600</v>
      </c>
      <c r="F3180" s="3">
        <v>52360</v>
      </c>
      <c r="G3180" s="3" t="str">
        <f t="shared" si="50"/>
        <v>5</v>
      </c>
      <c r="H3180" s="3" t="s">
        <v>5881</v>
      </c>
      <c r="I3180" s="8">
        <v>5460</v>
      </c>
      <c r="J3180" s="8">
        <v>2480</v>
      </c>
      <c r="K3180" s="8">
        <v>5460</v>
      </c>
    </row>
    <row r="3181" spans="1:11" hidden="1" x14ac:dyDescent="0.25">
      <c r="A3181" s="3" t="s">
        <v>5882</v>
      </c>
      <c r="B3181" s="3">
        <v>12</v>
      </c>
      <c r="C3181" s="5">
        <v>420</v>
      </c>
      <c r="D3181" s="6">
        <v>0</v>
      </c>
      <c r="E3181" s="7">
        <v>700600</v>
      </c>
      <c r="F3181" s="3">
        <v>53220</v>
      </c>
      <c r="G3181" s="3" t="str">
        <f t="shared" si="50"/>
        <v>5</v>
      </c>
      <c r="H3181" s="3" t="s">
        <v>5883</v>
      </c>
      <c r="I3181" s="8">
        <v>44239</v>
      </c>
      <c r="J3181" s="8">
        <v>32872.269999999997</v>
      </c>
      <c r="K3181" s="8">
        <v>44239</v>
      </c>
    </row>
    <row r="3182" spans="1:11" hidden="1" x14ac:dyDescent="0.25">
      <c r="A3182" s="3" t="s">
        <v>5884</v>
      </c>
      <c r="B3182" s="3">
        <v>12</v>
      </c>
      <c r="C3182" s="5">
        <v>420</v>
      </c>
      <c r="D3182" s="6">
        <v>0</v>
      </c>
      <c r="E3182" s="7">
        <v>700600</v>
      </c>
      <c r="F3182" s="3">
        <v>53320</v>
      </c>
      <c r="G3182" s="3" t="str">
        <f t="shared" si="50"/>
        <v>5</v>
      </c>
      <c r="H3182" s="3" t="s">
        <v>5885</v>
      </c>
      <c r="I3182" s="8">
        <v>13590</v>
      </c>
      <c r="J3182" s="8">
        <v>9765.69</v>
      </c>
      <c r="K3182" s="8">
        <v>13590</v>
      </c>
    </row>
    <row r="3183" spans="1:11" hidden="1" x14ac:dyDescent="0.25">
      <c r="A3183" s="3" t="s">
        <v>5886</v>
      </c>
      <c r="B3183" s="3">
        <v>12</v>
      </c>
      <c r="C3183" s="5">
        <v>420</v>
      </c>
      <c r="D3183" s="6">
        <v>0</v>
      </c>
      <c r="E3183" s="7">
        <v>700600</v>
      </c>
      <c r="F3183" s="3">
        <v>53340</v>
      </c>
      <c r="G3183" s="3" t="str">
        <f t="shared" si="50"/>
        <v>5</v>
      </c>
      <c r="H3183" s="3" t="s">
        <v>5887</v>
      </c>
      <c r="I3183" s="8">
        <v>3178</v>
      </c>
      <c r="J3183" s="8">
        <v>2319.85</v>
      </c>
      <c r="K3183" s="8">
        <v>3178</v>
      </c>
    </row>
    <row r="3184" spans="1:11" hidden="1" x14ac:dyDescent="0.25">
      <c r="A3184" s="3" t="s">
        <v>5888</v>
      </c>
      <c r="B3184" s="3">
        <v>12</v>
      </c>
      <c r="C3184" s="5">
        <v>420</v>
      </c>
      <c r="D3184" s="6">
        <v>0</v>
      </c>
      <c r="E3184" s="7">
        <v>700600</v>
      </c>
      <c r="F3184" s="3">
        <v>53420</v>
      </c>
      <c r="G3184" s="3" t="str">
        <f t="shared" si="50"/>
        <v>5</v>
      </c>
      <c r="H3184" s="3" t="s">
        <v>5889</v>
      </c>
      <c r="I3184" s="8">
        <v>85815</v>
      </c>
      <c r="J3184" s="8">
        <v>62828.18</v>
      </c>
      <c r="K3184" s="8">
        <v>85815</v>
      </c>
    </row>
    <row r="3185" spans="1:11" hidden="1" x14ac:dyDescent="0.25">
      <c r="A3185" s="3" t="s">
        <v>5890</v>
      </c>
      <c r="B3185" s="3">
        <v>12</v>
      </c>
      <c r="C3185" s="5">
        <v>420</v>
      </c>
      <c r="D3185" s="6">
        <v>0</v>
      </c>
      <c r="E3185" s="7">
        <v>700600</v>
      </c>
      <c r="F3185" s="3">
        <v>53520</v>
      </c>
      <c r="G3185" s="3" t="str">
        <f t="shared" si="50"/>
        <v>5</v>
      </c>
      <c r="H3185" s="3" t="s">
        <v>5891</v>
      </c>
      <c r="I3185" s="8">
        <v>110</v>
      </c>
      <c r="J3185" s="8">
        <v>80.86</v>
      </c>
      <c r="K3185" s="8">
        <v>110</v>
      </c>
    </row>
    <row r="3186" spans="1:11" hidden="1" x14ac:dyDescent="0.25">
      <c r="A3186" s="3" t="s">
        <v>5892</v>
      </c>
      <c r="B3186" s="3">
        <v>12</v>
      </c>
      <c r="C3186" s="5">
        <v>420</v>
      </c>
      <c r="D3186" s="6">
        <v>0</v>
      </c>
      <c r="E3186" s="7">
        <v>700600</v>
      </c>
      <c r="F3186" s="3">
        <v>53620</v>
      </c>
      <c r="G3186" s="3" t="str">
        <f t="shared" si="50"/>
        <v>5</v>
      </c>
      <c r="H3186" s="3" t="s">
        <v>5893</v>
      </c>
      <c r="I3186" s="8">
        <v>4144</v>
      </c>
      <c r="J3186" s="8">
        <v>3067.42</v>
      </c>
      <c r="K3186" s="8">
        <v>4144</v>
      </c>
    </row>
    <row r="3187" spans="1:11" hidden="1" x14ac:dyDescent="0.25">
      <c r="A3187" s="3" t="s">
        <v>5894</v>
      </c>
      <c r="B3187" s="3">
        <v>12</v>
      </c>
      <c r="C3187" s="5">
        <v>420</v>
      </c>
      <c r="D3187" s="6">
        <v>0</v>
      </c>
      <c r="E3187" s="7">
        <v>700600</v>
      </c>
      <c r="F3187" s="3">
        <v>55200</v>
      </c>
      <c r="G3187" s="3" t="str">
        <f t="shared" si="50"/>
        <v>5</v>
      </c>
      <c r="H3187" s="3" t="s">
        <v>5895</v>
      </c>
      <c r="I3187" s="8">
        <v>16252</v>
      </c>
      <c r="J3187" s="8">
        <v>1050</v>
      </c>
      <c r="K3187" s="8">
        <v>16252</v>
      </c>
    </row>
    <row r="3188" spans="1:11" hidden="1" x14ac:dyDescent="0.25">
      <c r="A3188" s="3" t="s">
        <v>5896</v>
      </c>
      <c r="B3188" s="3">
        <v>12</v>
      </c>
      <c r="C3188" s="5">
        <v>420</v>
      </c>
      <c r="D3188" s="6">
        <v>0</v>
      </c>
      <c r="E3188" s="7">
        <v>700600</v>
      </c>
      <c r="F3188" s="3">
        <v>55630</v>
      </c>
      <c r="G3188" s="3" t="str">
        <f t="shared" si="50"/>
        <v>5</v>
      </c>
      <c r="H3188" s="3" t="s">
        <v>5897</v>
      </c>
      <c r="I3188" s="8">
        <v>2000</v>
      </c>
      <c r="J3188" s="8">
        <v>322.64999999999998</v>
      </c>
      <c r="K3188" s="8">
        <v>2000</v>
      </c>
    </row>
    <row r="3189" spans="1:11" hidden="1" x14ac:dyDescent="0.25">
      <c r="A3189" s="3" t="s">
        <v>5898</v>
      </c>
      <c r="B3189" s="3">
        <v>12</v>
      </c>
      <c r="C3189" s="5">
        <v>420</v>
      </c>
      <c r="D3189" s="6">
        <v>0</v>
      </c>
      <c r="E3189" s="7">
        <v>700600</v>
      </c>
      <c r="F3189" s="3">
        <v>55800</v>
      </c>
      <c r="G3189" s="3" t="str">
        <f t="shared" si="50"/>
        <v>5</v>
      </c>
      <c r="H3189" s="3" t="s">
        <v>5899</v>
      </c>
      <c r="I3189" s="8">
        <v>24857.65</v>
      </c>
      <c r="J3189" s="8">
        <v>0</v>
      </c>
      <c r="K3189" s="8">
        <v>24857.65</v>
      </c>
    </row>
    <row r="3190" spans="1:11" hidden="1" x14ac:dyDescent="0.25">
      <c r="A3190" s="3" t="s">
        <v>5900</v>
      </c>
      <c r="B3190" s="3">
        <v>12</v>
      </c>
      <c r="C3190" s="5">
        <v>420</v>
      </c>
      <c r="D3190" s="6">
        <v>0</v>
      </c>
      <c r="E3190" s="7">
        <v>700601</v>
      </c>
      <c r="F3190" s="3">
        <v>48627</v>
      </c>
      <c r="G3190" s="3" t="str">
        <f t="shared" si="50"/>
        <v>4</v>
      </c>
      <c r="H3190" s="3" t="s">
        <v>5901</v>
      </c>
      <c r="I3190" s="8">
        <v>-99923.26</v>
      </c>
      <c r="J3190" s="8">
        <v>-85095.26</v>
      </c>
      <c r="K3190" s="8">
        <v>-99923.26</v>
      </c>
    </row>
    <row r="3191" spans="1:11" hidden="1" x14ac:dyDescent="0.25">
      <c r="A3191" s="3" t="s">
        <v>5902</v>
      </c>
      <c r="B3191" s="3">
        <v>12</v>
      </c>
      <c r="C3191" s="5">
        <v>420</v>
      </c>
      <c r="D3191" s="6">
        <v>0</v>
      </c>
      <c r="E3191" s="7">
        <v>700601</v>
      </c>
      <c r="F3191" s="3">
        <v>54210</v>
      </c>
      <c r="G3191" s="3" t="str">
        <f t="shared" si="50"/>
        <v>5</v>
      </c>
      <c r="H3191" s="3" t="s">
        <v>5903</v>
      </c>
      <c r="I3191" s="8">
        <v>8500</v>
      </c>
      <c r="J3191" s="8">
        <v>0</v>
      </c>
      <c r="K3191" s="8">
        <v>8500</v>
      </c>
    </row>
    <row r="3192" spans="1:11" hidden="1" x14ac:dyDescent="0.25">
      <c r="A3192" s="3" t="s">
        <v>5904</v>
      </c>
      <c r="B3192" s="3">
        <v>12</v>
      </c>
      <c r="C3192" s="5">
        <v>420</v>
      </c>
      <c r="D3192" s="6">
        <v>0</v>
      </c>
      <c r="E3192" s="7">
        <v>700601</v>
      </c>
      <c r="F3192" s="3">
        <v>54300</v>
      </c>
      <c r="G3192" s="3" t="str">
        <f t="shared" si="50"/>
        <v>5</v>
      </c>
      <c r="H3192" s="3" t="s">
        <v>5497</v>
      </c>
      <c r="I3192" s="8">
        <v>3500</v>
      </c>
      <c r="J3192" s="8">
        <v>3271.03</v>
      </c>
      <c r="K3192" s="8">
        <v>3500</v>
      </c>
    </row>
    <row r="3193" spans="1:11" hidden="1" x14ac:dyDescent="0.25">
      <c r="A3193" s="3" t="s">
        <v>5905</v>
      </c>
      <c r="B3193" s="3">
        <v>12</v>
      </c>
      <c r="C3193" s="5">
        <v>420</v>
      </c>
      <c r="D3193" s="6">
        <v>0</v>
      </c>
      <c r="E3193" s="7">
        <v>700601</v>
      </c>
      <c r="F3193" s="3">
        <v>55200</v>
      </c>
      <c r="G3193" s="3" t="str">
        <f t="shared" si="50"/>
        <v>5</v>
      </c>
      <c r="H3193" s="3" t="s">
        <v>5906</v>
      </c>
      <c r="I3193" s="8">
        <v>2000</v>
      </c>
      <c r="J3193" s="8">
        <v>-295</v>
      </c>
      <c r="K3193" s="8">
        <v>2000</v>
      </c>
    </row>
    <row r="3194" spans="1:11" hidden="1" x14ac:dyDescent="0.25">
      <c r="A3194" s="3" t="s">
        <v>5907</v>
      </c>
      <c r="B3194" s="3">
        <v>12</v>
      </c>
      <c r="C3194" s="5">
        <v>420</v>
      </c>
      <c r="D3194" s="6">
        <v>0</v>
      </c>
      <c r="E3194" s="7">
        <v>700601</v>
      </c>
      <c r="F3194" s="3">
        <v>55800</v>
      </c>
      <c r="G3194" s="3" t="str">
        <f t="shared" si="50"/>
        <v>5</v>
      </c>
      <c r="H3194" s="3" t="s">
        <v>5499</v>
      </c>
      <c r="I3194" s="8">
        <v>71369.460000000006</v>
      </c>
      <c r="J3194" s="8">
        <v>0</v>
      </c>
      <c r="K3194" s="8">
        <v>71369.460000000006</v>
      </c>
    </row>
    <row r="3195" spans="1:11" hidden="1" x14ac:dyDescent="0.25">
      <c r="A3195" s="3" t="s">
        <v>5908</v>
      </c>
      <c r="B3195" s="3">
        <v>12</v>
      </c>
      <c r="C3195" s="5">
        <v>420</v>
      </c>
      <c r="D3195" s="6">
        <v>0</v>
      </c>
      <c r="E3195" s="7">
        <v>700601</v>
      </c>
      <c r="F3195" s="3">
        <v>56400</v>
      </c>
      <c r="G3195" s="3" t="str">
        <f t="shared" si="50"/>
        <v>5</v>
      </c>
      <c r="H3195" s="3" t="s">
        <v>5909</v>
      </c>
      <c r="I3195" s="8">
        <v>12053.8</v>
      </c>
      <c r="J3195" s="8">
        <v>0</v>
      </c>
      <c r="K3195" s="8">
        <v>12053.8</v>
      </c>
    </row>
    <row r="3196" spans="1:11" hidden="1" x14ac:dyDescent="0.25">
      <c r="A3196" s="3" t="s">
        <v>5910</v>
      </c>
      <c r="B3196" s="3">
        <v>12</v>
      </c>
      <c r="C3196" s="5">
        <v>420</v>
      </c>
      <c r="D3196" s="6">
        <v>0</v>
      </c>
      <c r="E3196" s="7">
        <v>700603</v>
      </c>
      <c r="F3196" s="3">
        <v>48627</v>
      </c>
      <c r="G3196" s="3" t="str">
        <f t="shared" si="50"/>
        <v>4</v>
      </c>
      <c r="H3196" s="3" t="s">
        <v>5911</v>
      </c>
      <c r="I3196" s="8">
        <v>-226779.08</v>
      </c>
      <c r="J3196" s="8">
        <v>-226779.08</v>
      </c>
      <c r="K3196" s="8">
        <v>-226779.08</v>
      </c>
    </row>
    <row r="3197" spans="1:11" hidden="1" x14ac:dyDescent="0.25">
      <c r="A3197" s="3" t="s">
        <v>5912</v>
      </c>
      <c r="B3197" s="3">
        <v>12</v>
      </c>
      <c r="C3197" s="5">
        <v>420</v>
      </c>
      <c r="D3197" s="6">
        <v>0</v>
      </c>
      <c r="E3197" s="7">
        <v>700603</v>
      </c>
      <c r="F3197" s="3">
        <v>55105</v>
      </c>
      <c r="G3197" s="3" t="str">
        <f t="shared" si="50"/>
        <v>5</v>
      </c>
      <c r="H3197" s="3" t="s">
        <v>5913</v>
      </c>
      <c r="I3197" s="8">
        <v>5500</v>
      </c>
      <c r="J3197" s="8">
        <v>9798.75</v>
      </c>
      <c r="K3197" s="8">
        <v>5500</v>
      </c>
    </row>
    <row r="3198" spans="1:11" hidden="1" x14ac:dyDescent="0.25">
      <c r="A3198" s="3" t="s">
        <v>5914</v>
      </c>
      <c r="B3198" s="3">
        <v>12</v>
      </c>
      <c r="C3198" s="5">
        <v>420</v>
      </c>
      <c r="D3198" s="6">
        <v>0</v>
      </c>
      <c r="E3198" s="7">
        <v>700603</v>
      </c>
      <c r="F3198" s="3">
        <v>55555</v>
      </c>
      <c r="G3198" s="3" t="str">
        <f t="shared" si="50"/>
        <v>5</v>
      </c>
      <c r="H3198" s="3" t="s">
        <v>5915</v>
      </c>
      <c r="I3198" s="8">
        <v>0</v>
      </c>
      <c r="J3198" s="8">
        <v>380.1</v>
      </c>
      <c r="K3198" s="8">
        <v>0</v>
      </c>
    </row>
    <row r="3199" spans="1:11" hidden="1" x14ac:dyDescent="0.25">
      <c r="A3199" s="3" t="s">
        <v>5916</v>
      </c>
      <c r="B3199" s="3">
        <v>12</v>
      </c>
      <c r="C3199" s="5">
        <v>420</v>
      </c>
      <c r="D3199" s="6">
        <v>0</v>
      </c>
      <c r="E3199" s="7">
        <v>700603</v>
      </c>
      <c r="F3199" s="3">
        <v>55610</v>
      </c>
      <c r="G3199" s="3" t="str">
        <f t="shared" si="50"/>
        <v>5</v>
      </c>
      <c r="H3199" s="3" t="s">
        <v>5917</v>
      </c>
      <c r="I3199" s="8">
        <v>0</v>
      </c>
      <c r="J3199" s="8">
        <v>48000</v>
      </c>
      <c r="K3199" s="8">
        <v>0</v>
      </c>
    </row>
    <row r="3200" spans="1:11" hidden="1" x14ac:dyDescent="0.25">
      <c r="A3200" s="3" t="s">
        <v>5918</v>
      </c>
      <c r="B3200" s="3">
        <v>12</v>
      </c>
      <c r="C3200" s="5">
        <v>420</v>
      </c>
      <c r="D3200" s="6">
        <v>0</v>
      </c>
      <c r="E3200" s="7">
        <v>700603</v>
      </c>
      <c r="F3200" s="3">
        <v>55800</v>
      </c>
      <c r="G3200" s="3" t="str">
        <f t="shared" si="50"/>
        <v>5</v>
      </c>
      <c r="H3200" s="3" t="s">
        <v>5919</v>
      </c>
      <c r="I3200" s="8">
        <v>38919</v>
      </c>
      <c r="J3200" s="8">
        <v>0</v>
      </c>
      <c r="K3200" s="8">
        <v>38919</v>
      </c>
    </row>
    <row r="3201" spans="1:11" hidden="1" x14ac:dyDescent="0.25">
      <c r="A3201" s="3" t="s">
        <v>5920</v>
      </c>
      <c r="B3201" s="3">
        <v>12</v>
      </c>
      <c r="C3201" s="5">
        <v>420</v>
      </c>
      <c r="D3201" s="6">
        <v>0</v>
      </c>
      <c r="E3201" s="7">
        <v>700603</v>
      </c>
      <c r="F3201" s="3">
        <v>56400</v>
      </c>
      <c r="G3201" s="3" t="str">
        <f t="shared" si="50"/>
        <v>5</v>
      </c>
      <c r="H3201" s="3" t="s">
        <v>5921</v>
      </c>
      <c r="I3201" s="8">
        <v>182360.08</v>
      </c>
      <c r="J3201" s="8">
        <v>0</v>
      </c>
      <c r="K3201" s="8">
        <v>182360.08</v>
      </c>
    </row>
    <row r="3202" spans="1:11" hidden="1" x14ac:dyDescent="0.25">
      <c r="A3202" s="3" t="s">
        <v>5922</v>
      </c>
      <c r="B3202" s="3">
        <v>12</v>
      </c>
      <c r="C3202" s="5">
        <v>420</v>
      </c>
      <c r="D3202" s="6">
        <v>0</v>
      </c>
      <c r="E3202" s="7">
        <v>706500</v>
      </c>
      <c r="F3202" s="3">
        <v>48120</v>
      </c>
      <c r="G3202" s="3" t="str">
        <f t="shared" si="50"/>
        <v>4</v>
      </c>
      <c r="H3202" s="3" t="s">
        <v>5923</v>
      </c>
      <c r="I3202" s="8">
        <v>-206667</v>
      </c>
      <c r="J3202" s="8">
        <v>-39563.519999999997</v>
      </c>
      <c r="K3202" s="8">
        <v>-206667</v>
      </c>
    </row>
    <row r="3203" spans="1:11" hidden="1" x14ac:dyDescent="0.25">
      <c r="A3203" s="3" t="s">
        <v>5924</v>
      </c>
      <c r="B3203" s="3">
        <v>12</v>
      </c>
      <c r="C3203" s="5">
        <v>420</v>
      </c>
      <c r="D3203" s="6">
        <v>0</v>
      </c>
      <c r="E3203" s="7">
        <v>706500</v>
      </c>
      <c r="F3203" s="3">
        <v>52310</v>
      </c>
      <c r="G3203" s="3" t="str">
        <f t="shared" si="50"/>
        <v>5</v>
      </c>
      <c r="H3203" s="3" t="s">
        <v>5925</v>
      </c>
      <c r="I3203" s="8">
        <v>196826</v>
      </c>
      <c r="J3203" s="8">
        <v>45404.639999999999</v>
      </c>
      <c r="K3203" s="8">
        <v>196826</v>
      </c>
    </row>
    <row r="3204" spans="1:11" hidden="1" x14ac:dyDescent="0.25">
      <c r="A3204" s="3" t="s">
        <v>5926</v>
      </c>
      <c r="B3204" s="3">
        <v>12</v>
      </c>
      <c r="C3204" s="5">
        <v>420</v>
      </c>
      <c r="D3204" s="6">
        <v>0</v>
      </c>
      <c r="E3204" s="7">
        <v>706500</v>
      </c>
      <c r="F3204" s="3">
        <v>57350</v>
      </c>
      <c r="G3204" s="3" t="str">
        <f t="shared" si="50"/>
        <v>5</v>
      </c>
      <c r="H3204" s="3" t="s">
        <v>5927</v>
      </c>
      <c r="I3204" s="8">
        <v>9841</v>
      </c>
      <c r="J3204" s="8">
        <v>1555.34</v>
      </c>
      <c r="K3204" s="8">
        <v>9841</v>
      </c>
    </row>
    <row r="3205" spans="1:11" hidden="1" x14ac:dyDescent="0.25">
      <c r="A3205" s="3" t="s">
        <v>5928</v>
      </c>
      <c r="B3205" s="3">
        <v>12</v>
      </c>
      <c r="C3205" s="5">
        <v>420</v>
      </c>
      <c r="D3205" s="6">
        <v>0</v>
      </c>
      <c r="E3205" s="7">
        <v>708100</v>
      </c>
      <c r="F3205" s="3">
        <v>48101</v>
      </c>
      <c r="G3205" s="3" t="str">
        <f t="shared" si="50"/>
        <v>4</v>
      </c>
      <c r="H3205" s="3" t="s">
        <v>5929</v>
      </c>
      <c r="I3205" s="8">
        <v>-11432</v>
      </c>
      <c r="J3205" s="8">
        <v>0</v>
      </c>
      <c r="K3205" s="8">
        <v>-11432</v>
      </c>
    </row>
    <row r="3206" spans="1:11" hidden="1" x14ac:dyDescent="0.25">
      <c r="A3206" s="3" t="s">
        <v>5930</v>
      </c>
      <c r="B3206" s="3">
        <v>12</v>
      </c>
      <c r="C3206" s="5">
        <v>420</v>
      </c>
      <c r="D3206" s="6">
        <v>0</v>
      </c>
      <c r="E3206" s="7">
        <v>708100</v>
      </c>
      <c r="F3206" s="3">
        <v>57500</v>
      </c>
      <c r="G3206" s="3" t="str">
        <f t="shared" si="50"/>
        <v>5</v>
      </c>
      <c r="H3206" s="3" t="s">
        <v>5931</v>
      </c>
      <c r="I3206" s="8">
        <v>11432</v>
      </c>
      <c r="J3206" s="8">
        <v>0</v>
      </c>
      <c r="K3206" s="8">
        <v>11432</v>
      </c>
    </row>
    <row r="3207" spans="1:11" hidden="1" x14ac:dyDescent="0.25">
      <c r="A3207" s="3" t="s">
        <v>5932</v>
      </c>
      <c r="B3207" s="3">
        <v>12</v>
      </c>
      <c r="C3207" s="5">
        <v>430</v>
      </c>
      <c r="D3207" s="6">
        <v>0</v>
      </c>
      <c r="E3207" s="7">
        <v>700500</v>
      </c>
      <c r="F3207" s="3">
        <v>48622</v>
      </c>
      <c r="G3207" s="3" t="str">
        <f t="shared" si="50"/>
        <v>4</v>
      </c>
      <c r="H3207" s="3" t="s">
        <v>5933</v>
      </c>
      <c r="I3207" s="8">
        <v>-876374.54</v>
      </c>
      <c r="J3207" s="8">
        <v>-875732.54</v>
      </c>
      <c r="K3207" s="8">
        <v>-876374.54</v>
      </c>
    </row>
    <row r="3208" spans="1:11" hidden="1" x14ac:dyDescent="0.25">
      <c r="A3208" s="3" t="s">
        <v>5934</v>
      </c>
      <c r="B3208" s="3">
        <v>12</v>
      </c>
      <c r="C3208" s="5">
        <v>430</v>
      </c>
      <c r="D3208" s="6">
        <v>0</v>
      </c>
      <c r="E3208" s="7">
        <v>700500</v>
      </c>
      <c r="F3208" s="3">
        <v>51200</v>
      </c>
      <c r="G3208" s="3" t="str">
        <f t="shared" si="50"/>
        <v>5</v>
      </c>
      <c r="H3208" s="3" t="s">
        <v>5935</v>
      </c>
      <c r="I3208" s="8">
        <v>198270</v>
      </c>
      <c r="J3208" s="8">
        <v>150913.76</v>
      </c>
      <c r="K3208" s="8">
        <v>198270</v>
      </c>
    </row>
    <row r="3209" spans="1:11" hidden="1" x14ac:dyDescent="0.25">
      <c r="A3209" s="3" t="s">
        <v>5936</v>
      </c>
      <c r="B3209" s="3">
        <v>12</v>
      </c>
      <c r="C3209" s="5">
        <v>430</v>
      </c>
      <c r="D3209" s="6">
        <v>0</v>
      </c>
      <c r="E3209" s="7">
        <v>700500</v>
      </c>
      <c r="F3209" s="3">
        <v>51411</v>
      </c>
      <c r="G3209" s="3" t="str">
        <f t="shared" si="50"/>
        <v>5</v>
      </c>
      <c r="H3209" s="3" t="s">
        <v>5937</v>
      </c>
      <c r="I3209" s="8">
        <v>0</v>
      </c>
      <c r="J3209" s="8">
        <v>31012.6</v>
      </c>
      <c r="K3209" s="8">
        <v>0</v>
      </c>
    </row>
    <row r="3210" spans="1:11" hidden="1" x14ac:dyDescent="0.25">
      <c r="A3210" s="3" t="s">
        <v>5938</v>
      </c>
      <c r="B3210" s="3">
        <v>12</v>
      </c>
      <c r="C3210" s="5">
        <v>430</v>
      </c>
      <c r="D3210" s="6">
        <v>0</v>
      </c>
      <c r="E3210" s="7">
        <v>700500</v>
      </c>
      <c r="F3210" s="3">
        <v>52105</v>
      </c>
      <c r="G3210" s="3" t="str">
        <f t="shared" si="50"/>
        <v>5</v>
      </c>
      <c r="H3210" s="3" t="s">
        <v>5939</v>
      </c>
      <c r="I3210" s="8">
        <v>174075</v>
      </c>
      <c r="J3210" s="8">
        <v>127193.03</v>
      </c>
      <c r="K3210" s="8">
        <v>174075</v>
      </c>
    </row>
    <row r="3211" spans="1:11" hidden="1" x14ac:dyDescent="0.25">
      <c r="A3211" s="3" t="s">
        <v>5940</v>
      </c>
      <c r="B3211" s="3">
        <v>12</v>
      </c>
      <c r="C3211" s="5">
        <v>430</v>
      </c>
      <c r="D3211" s="6">
        <v>0</v>
      </c>
      <c r="E3211" s="7">
        <v>700500</v>
      </c>
      <c r="F3211" s="3">
        <v>53120</v>
      </c>
      <c r="G3211" s="3" t="str">
        <f t="shared" si="50"/>
        <v>5</v>
      </c>
      <c r="H3211" s="3" t="s">
        <v>5941</v>
      </c>
      <c r="I3211" s="8">
        <v>37870</v>
      </c>
      <c r="J3211" s="8">
        <v>29381.040000000001</v>
      </c>
      <c r="K3211" s="8">
        <v>37870</v>
      </c>
    </row>
    <row r="3212" spans="1:11" hidden="1" x14ac:dyDescent="0.25">
      <c r="A3212" s="3" t="s">
        <v>5942</v>
      </c>
      <c r="B3212" s="3">
        <v>12</v>
      </c>
      <c r="C3212" s="5">
        <v>430</v>
      </c>
      <c r="D3212" s="6">
        <v>0</v>
      </c>
      <c r="E3212" s="7">
        <v>700500</v>
      </c>
      <c r="F3212" s="3">
        <v>53220</v>
      </c>
      <c r="G3212" s="3" t="str">
        <f t="shared" si="50"/>
        <v>5</v>
      </c>
      <c r="H3212" s="3" t="s">
        <v>3185</v>
      </c>
      <c r="I3212" s="8">
        <v>39515</v>
      </c>
      <c r="J3212" s="8">
        <v>26331.41</v>
      </c>
      <c r="K3212" s="8">
        <v>39515</v>
      </c>
    </row>
    <row r="3213" spans="1:11" hidden="1" x14ac:dyDescent="0.25">
      <c r="A3213" s="3" t="s">
        <v>5943</v>
      </c>
      <c r="B3213" s="3">
        <v>12</v>
      </c>
      <c r="C3213" s="5">
        <v>430</v>
      </c>
      <c r="D3213" s="6">
        <v>0</v>
      </c>
      <c r="E3213" s="7">
        <v>700500</v>
      </c>
      <c r="F3213" s="3">
        <v>53320</v>
      </c>
      <c r="G3213" s="3" t="str">
        <f t="shared" si="50"/>
        <v>5</v>
      </c>
      <c r="H3213" s="3" t="s">
        <v>3187</v>
      </c>
      <c r="I3213" s="8">
        <v>10793</v>
      </c>
      <c r="J3213" s="8">
        <v>7839.95</v>
      </c>
      <c r="K3213" s="8">
        <v>10793</v>
      </c>
    </row>
    <row r="3214" spans="1:11" hidden="1" x14ac:dyDescent="0.25">
      <c r="A3214" s="3" t="s">
        <v>5944</v>
      </c>
      <c r="B3214" s="3">
        <v>12</v>
      </c>
      <c r="C3214" s="5">
        <v>430</v>
      </c>
      <c r="D3214" s="6">
        <v>0</v>
      </c>
      <c r="E3214" s="7">
        <v>700500</v>
      </c>
      <c r="F3214" s="3">
        <v>53340</v>
      </c>
      <c r="G3214" s="3" t="str">
        <f t="shared" si="50"/>
        <v>5</v>
      </c>
      <c r="H3214" s="3" t="s">
        <v>3189</v>
      </c>
      <c r="I3214" s="8">
        <v>5399</v>
      </c>
      <c r="J3214" s="8">
        <v>4424.9399999999996</v>
      </c>
      <c r="K3214" s="8">
        <v>5399</v>
      </c>
    </row>
    <row r="3215" spans="1:11" hidden="1" x14ac:dyDescent="0.25">
      <c r="A3215" s="3" t="s">
        <v>5945</v>
      </c>
      <c r="B3215" s="3">
        <v>12</v>
      </c>
      <c r="C3215" s="5">
        <v>430</v>
      </c>
      <c r="D3215" s="6">
        <v>0</v>
      </c>
      <c r="E3215" s="7">
        <v>700500</v>
      </c>
      <c r="F3215" s="3">
        <v>53420</v>
      </c>
      <c r="G3215" s="3" t="str">
        <f t="shared" si="50"/>
        <v>5</v>
      </c>
      <c r="H3215" s="3" t="s">
        <v>3191</v>
      </c>
      <c r="I3215" s="8">
        <v>104720</v>
      </c>
      <c r="J3215" s="8">
        <v>76425.06</v>
      </c>
      <c r="K3215" s="8">
        <v>104720</v>
      </c>
    </row>
    <row r="3216" spans="1:11" hidden="1" x14ac:dyDescent="0.25">
      <c r="A3216" s="3" t="s">
        <v>5946</v>
      </c>
      <c r="B3216" s="3">
        <v>12</v>
      </c>
      <c r="C3216" s="5">
        <v>430</v>
      </c>
      <c r="D3216" s="6">
        <v>0</v>
      </c>
      <c r="E3216" s="7">
        <v>700500</v>
      </c>
      <c r="F3216" s="3">
        <v>53520</v>
      </c>
      <c r="G3216" s="3" t="str">
        <f t="shared" si="50"/>
        <v>5</v>
      </c>
      <c r="H3216" s="3" t="s">
        <v>3193</v>
      </c>
      <c r="I3216" s="8">
        <v>186</v>
      </c>
      <c r="J3216" s="8">
        <v>153.74</v>
      </c>
      <c r="K3216" s="8">
        <v>186</v>
      </c>
    </row>
    <row r="3217" spans="1:11" hidden="1" x14ac:dyDescent="0.25">
      <c r="A3217" s="3" t="s">
        <v>5947</v>
      </c>
      <c r="B3217" s="3">
        <v>12</v>
      </c>
      <c r="C3217" s="5">
        <v>430</v>
      </c>
      <c r="D3217" s="6">
        <v>0</v>
      </c>
      <c r="E3217" s="7">
        <v>700500</v>
      </c>
      <c r="F3217" s="3">
        <v>53620</v>
      </c>
      <c r="G3217" s="3" t="str">
        <f t="shared" si="50"/>
        <v>5</v>
      </c>
      <c r="H3217" s="3" t="s">
        <v>3195</v>
      </c>
      <c r="I3217" s="8">
        <v>6725</v>
      </c>
      <c r="J3217" s="8">
        <v>5851.61</v>
      </c>
      <c r="K3217" s="8">
        <v>6725</v>
      </c>
    </row>
    <row r="3218" spans="1:11" hidden="1" x14ac:dyDescent="0.25">
      <c r="A3218" s="3" t="s">
        <v>5948</v>
      </c>
      <c r="B3218" s="3">
        <v>12</v>
      </c>
      <c r="C3218" s="5">
        <v>430</v>
      </c>
      <c r="D3218" s="6">
        <v>0</v>
      </c>
      <c r="E3218" s="7">
        <v>700500</v>
      </c>
      <c r="F3218" s="3">
        <v>53920</v>
      </c>
      <c r="G3218" s="3" t="str">
        <f t="shared" si="50"/>
        <v>5</v>
      </c>
      <c r="H3218" s="3" t="s">
        <v>5949</v>
      </c>
      <c r="I3218" s="8">
        <v>1320</v>
      </c>
      <c r="J3218" s="8">
        <v>1752.74</v>
      </c>
      <c r="K3218" s="8">
        <v>1320</v>
      </c>
    </row>
    <row r="3219" spans="1:11" hidden="1" x14ac:dyDescent="0.25">
      <c r="A3219" s="3" t="s">
        <v>5950</v>
      </c>
      <c r="B3219" s="3">
        <v>12</v>
      </c>
      <c r="C3219" s="5">
        <v>430</v>
      </c>
      <c r="D3219" s="6">
        <v>0</v>
      </c>
      <c r="E3219" s="7">
        <v>700500</v>
      </c>
      <c r="F3219" s="3">
        <v>54210</v>
      </c>
      <c r="G3219" s="3" t="str">
        <f t="shared" si="50"/>
        <v>5</v>
      </c>
      <c r="H3219" s="3" t="s">
        <v>5951</v>
      </c>
      <c r="I3219" s="8">
        <v>2200</v>
      </c>
      <c r="J3219" s="8">
        <v>0</v>
      </c>
      <c r="K3219" s="8">
        <v>2200</v>
      </c>
    </row>
    <row r="3220" spans="1:11" hidden="1" x14ac:dyDescent="0.25">
      <c r="A3220" s="3" t="s">
        <v>5952</v>
      </c>
      <c r="B3220" s="3">
        <v>12</v>
      </c>
      <c r="C3220" s="5">
        <v>430</v>
      </c>
      <c r="D3220" s="6">
        <v>0</v>
      </c>
      <c r="E3220" s="7">
        <v>700500</v>
      </c>
      <c r="F3220" s="3">
        <v>54220</v>
      </c>
      <c r="G3220" s="3" t="str">
        <f t="shared" si="50"/>
        <v>5</v>
      </c>
      <c r="H3220" s="3" t="s">
        <v>5953</v>
      </c>
      <c r="I3220" s="8">
        <v>800</v>
      </c>
      <c r="J3220" s="8">
        <v>-212.88</v>
      </c>
      <c r="K3220" s="8">
        <v>800</v>
      </c>
    </row>
    <row r="3221" spans="1:11" hidden="1" x14ac:dyDescent="0.25">
      <c r="A3221" s="3" t="s">
        <v>5954</v>
      </c>
      <c r="B3221" s="3">
        <v>12</v>
      </c>
      <c r="C3221" s="5">
        <v>430</v>
      </c>
      <c r="D3221" s="6">
        <v>0</v>
      </c>
      <c r="E3221" s="7">
        <v>700500</v>
      </c>
      <c r="F3221" s="3">
        <v>54300</v>
      </c>
      <c r="G3221" s="3" t="str">
        <f t="shared" si="50"/>
        <v>5</v>
      </c>
      <c r="H3221" s="3" t="s">
        <v>5955</v>
      </c>
      <c r="I3221" s="8">
        <v>3500</v>
      </c>
      <c r="J3221" s="8">
        <v>727.14</v>
      </c>
      <c r="K3221" s="8">
        <v>3500</v>
      </c>
    </row>
    <row r="3222" spans="1:11" hidden="1" x14ac:dyDescent="0.25">
      <c r="A3222" s="3" t="s">
        <v>5956</v>
      </c>
      <c r="B3222" s="3">
        <v>12</v>
      </c>
      <c r="C3222" s="5">
        <v>430</v>
      </c>
      <c r="D3222" s="6">
        <v>0</v>
      </c>
      <c r="E3222" s="7">
        <v>700500</v>
      </c>
      <c r="F3222" s="3">
        <v>55105</v>
      </c>
      <c r="G3222" s="3" t="str">
        <f t="shared" si="50"/>
        <v>5</v>
      </c>
      <c r="H3222" s="3" t="s">
        <v>5957</v>
      </c>
      <c r="I3222" s="8">
        <v>1000</v>
      </c>
      <c r="J3222" s="8">
        <v>1000</v>
      </c>
      <c r="K3222" s="8">
        <v>1000</v>
      </c>
    </row>
    <row r="3223" spans="1:11" hidden="1" x14ac:dyDescent="0.25">
      <c r="A3223" s="3" t="s">
        <v>5958</v>
      </c>
      <c r="B3223" s="3">
        <v>12</v>
      </c>
      <c r="C3223" s="5">
        <v>430</v>
      </c>
      <c r="D3223" s="6">
        <v>0</v>
      </c>
      <c r="E3223" s="7">
        <v>700500</v>
      </c>
      <c r="F3223" s="3">
        <v>55200</v>
      </c>
      <c r="G3223" s="3" t="str">
        <f t="shared" si="50"/>
        <v>5</v>
      </c>
      <c r="H3223" s="3" t="s">
        <v>5959</v>
      </c>
      <c r="I3223" s="8">
        <v>5000</v>
      </c>
      <c r="J3223" s="8">
        <v>455.44</v>
      </c>
      <c r="K3223" s="8">
        <v>5000</v>
      </c>
    </row>
    <row r="3224" spans="1:11" hidden="1" x14ac:dyDescent="0.25">
      <c r="A3224" s="3" t="s">
        <v>5960</v>
      </c>
      <c r="B3224" s="3">
        <v>12</v>
      </c>
      <c r="C3224" s="5">
        <v>430</v>
      </c>
      <c r="D3224" s="6">
        <v>0</v>
      </c>
      <c r="E3224" s="7">
        <v>700500</v>
      </c>
      <c r="F3224" s="3">
        <v>55300</v>
      </c>
      <c r="G3224" s="3" t="str">
        <f t="shared" si="50"/>
        <v>5</v>
      </c>
      <c r="H3224" s="3" t="s">
        <v>5961</v>
      </c>
      <c r="I3224" s="8">
        <v>300</v>
      </c>
      <c r="J3224" s="8">
        <v>150</v>
      </c>
      <c r="K3224" s="8">
        <v>300</v>
      </c>
    </row>
    <row r="3225" spans="1:11" hidden="1" x14ac:dyDescent="0.25">
      <c r="A3225" s="3" t="s">
        <v>5962</v>
      </c>
      <c r="B3225" s="3">
        <v>12</v>
      </c>
      <c r="C3225" s="5">
        <v>430</v>
      </c>
      <c r="D3225" s="6">
        <v>0</v>
      </c>
      <c r="E3225" s="7">
        <v>700500</v>
      </c>
      <c r="F3225" s="3">
        <v>55610</v>
      </c>
      <c r="G3225" s="3" t="str">
        <f t="shared" si="50"/>
        <v>5</v>
      </c>
      <c r="H3225" s="3" t="s">
        <v>5963</v>
      </c>
      <c r="I3225" s="8">
        <v>0</v>
      </c>
      <c r="J3225" s="8">
        <v>2100</v>
      </c>
      <c r="K3225" s="8">
        <v>0</v>
      </c>
    </row>
    <row r="3226" spans="1:11" hidden="1" x14ac:dyDescent="0.25">
      <c r="A3226" s="3" t="s">
        <v>5964</v>
      </c>
      <c r="B3226" s="3">
        <v>12</v>
      </c>
      <c r="C3226" s="5">
        <v>430</v>
      </c>
      <c r="D3226" s="6">
        <v>0</v>
      </c>
      <c r="E3226" s="7">
        <v>700500</v>
      </c>
      <c r="F3226" s="3">
        <v>55630</v>
      </c>
      <c r="G3226" s="3" t="str">
        <f t="shared" si="50"/>
        <v>5</v>
      </c>
      <c r="H3226" s="3" t="s">
        <v>3197</v>
      </c>
      <c r="I3226" s="8">
        <v>1800</v>
      </c>
      <c r="J3226" s="8">
        <v>142.94</v>
      </c>
      <c r="K3226" s="8">
        <v>1800</v>
      </c>
    </row>
    <row r="3227" spans="1:11" hidden="1" x14ac:dyDescent="0.25">
      <c r="A3227" s="3" t="s">
        <v>5965</v>
      </c>
      <c r="B3227" s="3">
        <v>12</v>
      </c>
      <c r="C3227" s="5">
        <v>430</v>
      </c>
      <c r="D3227" s="6">
        <v>0</v>
      </c>
      <c r="E3227" s="7">
        <v>700500</v>
      </c>
      <c r="F3227" s="3">
        <v>55635</v>
      </c>
      <c r="G3227" s="3" t="str">
        <f t="shared" ref="G3227:G3290" si="51">LEFT(F3227,1)</f>
        <v>5</v>
      </c>
      <c r="H3227" s="3" t="s">
        <v>5966</v>
      </c>
      <c r="I3227" s="8">
        <v>1000</v>
      </c>
      <c r="J3227" s="8">
        <v>0</v>
      </c>
      <c r="K3227" s="8">
        <v>1000</v>
      </c>
    </row>
    <row r="3228" spans="1:11" hidden="1" x14ac:dyDescent="0.25">
      <c r="A3228" s="3" t="s">
        <v>5967</v>
      </c>
      <c r="B3228" s="3">
        <v>12</v>
      </c>
      <c r="C3228" s="5">
        <v>430</v>
      </c>
      <c r="D3228" s="6">
        <v>0</v>
      </c>
      <c r="E3228" s="7">
        <v>700500</v>
      </c>
      <c r="F3228" s="3">
        <v>55800</v>
      </c>
      <c r="G3228" s="3" t="str">
        <f t="shared" si="51"/>
        <v>5</v>
      </c>
      <c r="H3228" s="3" t="s">
        <v>5968</v>
      </c>
      <c r="I3228" s="8">
        <v>121901.54</v>
      </c>
      <c r="J3228" s="8">
        <v>0</v>
      </c>
      <c r="K3228" s="8">
        <v>121901.54</v>
      </c>
    </row>
    <row r="3229" spans="1:11" hidden="1" x14ac:dyDescent="0.25">
      <c r="A3229" s="3" t="s">
        <v>5969</v>
      </c>
      <c r="B3229" s="3">
        <v>12</v>
      </c>
      <c r="C3229" s="5">
        <v>430</v>
      </c>
      <c r="D3229" s="6">
        <v>0</v>
      </c>
      <c r="E3229" s="7">
        <v>700500</v>
      </c>
      <c r="F3229" s="3">
        <v>56400</v>
      </c>
      <c r="G3229" s="3" t="str">
        <f t="shared" si="51"/>
        <v>5</v>
      </c>
      <c r="H3229" s="3" t="s">
        <v>5970</v>
      </c>
      <c r="I3229" s="8">
        <v>10000</v>
      </c>
      <c r="J3229" s="8">
        <v>0</v>
      </c>
      <c r="K3229" s="8">
        <v>10000</v>
      </c>
    </row>
    <row r="3230" spans="1:11" hidden="1" x14ac:dyDescent="0.25">
      <c r="A3230" s="3" t="s">
        <v>5971</v>
      </c>
      <c r="B3230" s="3">
        <v>12</v>
      </c>
      <c r="C3230" s="5">
        <v>430</v>
      </c>
      <c r="D3230" s="6">
        <v>0</v>
      </c>
      <c r="E3230" s="7">
        <v>700500</v>
      </c>
      <c r="F3230" s="3">
        <v>57500</v>
      </c>
      <c r="G3230" s="3" t="str">
        <f t="shared" si="51"/>
        <v>5</v>
      </c>
      <c r="H3230" s="3" t="s">
        <v>5972</v>
      </c>
      <c r="I3230" s="8">
        <v>150000</v>
      </c>
      <c r="J3230" s="8">
        <v>90424.14</v>
      </c>
      <c r="K3230" s="8">
        <v>150000</v>
      </c>
    </row>
    <row r="3231" spans="1:11" hidden="1" x14ac:dyDescent="0.25">
      <c r="A3231" s="3" t="s">
        <v>5973</v>
      </c>
      <c r="B3231" s="3">
        <v>12</v>
      </c>
      <c r="C3231" s="5">
        <v>430</v>
      </c>
      <c r="D3231" s="6">
        <v>0</v>
      </c>
      <c r="E3231" s="7">
        <v>700800</v>
      </c>
      <c r="F3231" s="3">
        <v>48627</v>
      </c>
      <c r="G3231" s="3" t="str">
        <f t="shared" si="51"/>
        <v>4</v>
      </c>
      <c r="H3231" s="3" t="s">
        <v>5974</v>
      </c>
      <c r="I3231" s="8">
        <v>-162076.49</v>
      </c>
      <c r="J3231" s="8">
        <v>-162076.49</v>
      </c>
      <c r="K3231" s="8">
        <v>-162076.49</v>
      </c>
    </row>
    <row r="3232" spans="1:11" hidden="1" x14ac:dyDescent="0.25">
      <c r="A3232" s="3" t="s">
        <v>5975</v>
      </c>
      <c r="B3232" s="3">
        <v>12</v>
      </c>
      <c r="C3232" s="5">
        <v>430</v>
      </c>
      <c r="D3232" s="6">
        <v>0</v>
      </c>
      <c r="E3232" s="7">
        <v>700800</v>
      </c>
      <c r="F3232" s="3">
        <v>51200</v>
      </c>
      <c r="G3232" s="3" t="str">
        <f t="shared" si="51"/>
        <v>5</v>
      </c>
      <c r="H3232" s="3" t="s">
        <v>5976</v>
      </c>
      <c r="I3232" s="8">
        <v>22030</v>
      </c>
      <c r="J3232" s="8">
        <v>19013.439999999999</v>
      </c>
      <c r="K3232" s="8">
        <v>22030</v>
      </c>
    </row>
    <row r="3233" spans="1:11" hidden="1" x14ac:dyDescent="0.25">
      <c r="A3233" s="3" t="s">
        <v>5977</v>
      </c>
      <c r="B3233" s="3">
        <v>12</v>
      </c>
      <c r="C3233" s="5">
        <v>430</v>
      </c>
      <c r="D3233" s="6">
        <v>0</v>
      </c>
      <c r="E3233" s="7">
        <v>700800</v>
      </c>
      <c r="F3233" s="3">
        <v>52105</v>
      </c>
      <c r="G3233" s="3" t="str">
        <f t="shared" si="51"/>
        <v>5</v>
      </c>
      <c r="H3233" s="3" t="s">
        <v>5978</v>
      </c>
      <c r="I3233" s="8">
        <v>45179</v>
      </c>
      <c r="J3233" s="8">
        <v>33618.47</v>
      </c>
      <c r="K3233" s="8">
        <v>45179</v>
      </c>
    </row>
    <row r="3234" spans="1:11" hidden="1" x14ac:dyDescent="0.25">
      <c r="A3234" s="3" t="s">
        <v>5979</v>
      </c>
      <c r="B3234" s="3">
        <v>12</v>
      </c>
      <c r="C3234" s="5">
        <v>430</v>
      </c>
      <c r="D3234" s="6">
        <v>0</v>
      </c>
      <c r="E3234" s="7">
        <v>700800</v>
      </c>
      <c r="F3234" s="3">
        <v>53120</v>
      </c>
      <c r="G3234" s="3" t="str">
        <f t="shared" si="51"/>
        <v>5</v>
      </c>
      <c r="H3234" s="3" t="s">
        <v>5980</v>
      </c>
      <c r="I3234" s="8">
        <v>3558</v>
      </c>
      <c r="J3234" s="8">
        <v>3070.72</v>
      </c>
      <c r="K3234" s="8">
        <v>3558</v>
      </c>
    </row>
    <row r="3235" spans="1:11" hidden="1" x14ac:dyDescent="0.25">
      <c r="A3235" s="3" t="s">
        <v>5981</v>
      </c>
      <c r="B3235" s="3">
        <v>12</v>
      </c>
      <c r="C3235" s="5">
        <v>430</v>
      </c>
      <c r="D3235" s="6">
        <v>0</v>
      </c>
      <c r="E3235" s="7">
        <v>700800</v>
      </c>
      <c r="F3235" s="3">
        <v>53220</v>
      </c>
      <c r="G3235" s="3" t="str">
        <f t="shared" si="51"/>
        <v>5</v>
      </c>
      <c r="H3235" s="3" t="s">
        <v>5982</v>
      </c>
      <c r="I3235" s="8">
        <v>9352</v>
      </c>
      <c r="J3235" s="8">
        <v>6959.65</v>
      </c>
      <c r="K3235" s="8">
        <v>9352</v>
      </c>
    </row>
    <row r="3236" spans="1:11" hidden="1" x14ac:dyDescent="0.25">
      <c r="A3236" s="3" t="s">
        <v>5983</v>
      </c>
      <c r="B3236" s="3">
        <v>12</v>
      </c>
      <c r="C3236" s="5">
        <v>430</v>
      </c>
      <c r="D3236" s="6">
        <v>0</v>
      </c>
      <c r="E3236" s="7">
        <v>700800</v>
      </c>
      <c r="F3236" s="3">
        <v>53320</v>
      </c>
      <c r="G3236" s="3" t="str">
        <f t="shared" si="51"/>
        <v>5</v>
      </c>
      <c r="H3236" s="3" t="s">
        <v>5984</v>
      </c>
      <c r="I3236" s="8">
        <v>2801</v>
      </c>
      <c r="J3236" s="8">
        <v>2085.14</v>
      </c>
      <c r="K3236" s="8">
        <v>2801</v>
      </c>
    </row>
    <row r="3237" spans="1:11" hidden="1" x14ac:dyDescent="0.25">
      <c r="A3237" s="3" t="s">
        <v>5985</v>
      </c>
      <c r="B3237" s="3">
        <v>12</v>
      </c>
      <c r="C3237" s="5">
        <v>430</v>
      </c>
      <c r="D3237" s="6">
        <v>0</v>
      </c>
      <c r="E3237" s="7">
        <v>700800</v>
      </c>
      <c r="F3237" s="3">
        <v>53340</v>
      </c>
      <c r="G3237" s="3" t="str">
        <f t="shared" si="51"/>
        <v>5</v>
      </c>
      <c r="H3237" s="3" t="s">
        <v>5986</v>
      </c>
      <c r="I3237" s="8">
        <v>975</v>
      </c>
      <c r="J3237" s="8">
        <v>762.07</v>
      </c>
      <c r="K3237" s="8">
        <v>975</v>
      </c>
    </row>
    <row r="3238" spans="1:11" hidden="1" x14ac:dyDescent="0.25">
      <c r="A3238" s="3" t="s">
        <v>5987</v>
      </c>
      <c r="B3238" s="3">
        <v>12</v>
      </c>
      <c r="C3238" s="5">
        <v>430</v>
      </c>
      <c r="D3238" s="6">
        <v>0</v>
      </c>
      <c r="E3238" s="7">
        <v>700800</v>
      </c>
      <c r="F3238" s="3">
        <v>53420</v>
      </c>
      <c r="G3238" s="3" t="str">
        <f t="shared" si="51"/>
        <v>5</v>
      </c>
      <c r="H3238" s="3" t="s">
        <v>5988</v>
      </c>
      <c r="I3238" s="8">
        <v>13780</v>
      </c>
      <c r="J3238" s="8">
        <v>10799.3</v>
      </c>
      <c r="K3238" s="8">
        <v>13780</v>
      </c>
    </row>
    <row r="3239" spans="1:11" hidden="1" x14ac:dyDescent="0.25">
      <c r="A3239" s="3" t="s">
        <v>5989</v>
      </c>
      <c r="B3239" s="3">
        <v>12</v>
      </c>
      <c r="C3239" s="5">
        <v>430</v>
      </c>
      <c r="D3239" s="6">
        <v>0</v>
      </c>
      <c r="E3239" s="7">
        <v>700800</v>
      </c>
      <c r="F3239" s="3">
        <v>53520</v>
      </c>
      <c r="G3239" s="3" t="str">
        <f t="shared" si="51"/>
        <v>5</v>
      </c>
      <c r="H3239" s="3" t="s">
        <v>5990</v>
      </c>
      <c r="I3239" s="8">
        <v>34</v>
      </c>
      <c r="J3239" s="8">
        <v>26.34</v>
      </c>
      <c r="K3239" s="8">
        <v>34</v>
      </c>
    </row>
    <row r="3240" spans="1:11" hidden="1" x14ac:dyDescent="0.25">
      <c r="A3240" s="3" t="s">
        <v>5991</v>
      </c>
      <c r="B3240" s="3">
        <v>12</v>
      </c>
      <c r="C3240" s="5">
        <v>430</v>
      </c>
      <c r="D3240" s="6">
        <v>0</v>
      </c>
      <c r="E3240" s="7">
        <v>700800</v>
      </c>
      <c r="F3240" s="3">
        <v>53620</v>
      </c>
      <c r="G3240" s="3" t="str">
        <f t="shared" si="51"/>
        <v>5</v>
      </c>
      <c r="H3240" s="3" t="s">
        <v>5992</v>
      </c>
      <c r="I3240" s="8">
        <v>1271</v>
      </c>
      <c r="J3240" s="8">
        <v>997.03</v>
      </c>
      <c r="K3240" s="8">
        <v>1271</v>
      </c>
    </row>
    <row r="3241" spans="1:11" hidden="1" x14ac:dyDescent="0.25">
      <c r="A3241" s="3" t="s">
        <v>5993</v>
      </c>
      <c r="B3241" s="3">
        <v>12</v>
      </c>
      <c r="C3241" s="5">
        <v>430</v>
      </c>
      <c r="D3241" s="6">
        <v>0</v>
      </c>
      <c r="E3241" s="7">
        <v>700800</v>
      </c>
      <c r="F3241" s="3">
        <v>53920</v>
      </c>
      <c r="G3241" s="3" t="str">
        <f t="shared" si="51"/>
        <v>5</v>
      </c>
      <c r="H3241" s="3" t="s">
        <v>5994</v>
      </c>
      <c r="I3241" s="8">
        <v>1200</v>
      </c>
      <c r="J3241" s="8">
        <v>876.37</v>
      </c>
      <c r="K3241" s="8">
        <v>1200</v>
      </c>
    </row>
    <row r="3242" spans="1:11" hidden="1" x14ac:dyDescent="0.25">
      <c r="A3242" s="3" t="s">
        <v>5995</v>
      </c>
      <c r="B3242" s="3">
        <v>12</v>
      </c>
      <c r="C3242" s="5">
        <v>430</v>
      </c>
      <c r="D3242" s="6">
        <v>0</v>
      </c>
      <c r="E3242" s="7">
        <v>700800</v>
      </c>
      <c r="F3242" s="3">
        <v>54210</v>
      </c>
      <c r="G3242" s="3" t="str">
        <f t="shared" si="51"/>
        <v>5</v>
      </c>
      <c r="H3242" s="3" t="s">
        <v>5996</v>
      </c>
      <c r="I3242" s="8">
        <v>1900</v>
      </c>
      <c r="J3242" s="8">
        <v>0</v>
      </c>
      <c r="K3242" s="8">
        <v>1900</v>
      </c>
    </row>
    <row r="3243" spans="1:11" hidden="1" x14ac:dyDescent="0.25">
      <c r="A3243" s="3" t="s">
        <v>5997</v>
      </c>
      <c r="B3243" s="3">
        <v>12</v>
      </c>
      <c r="C3243" s="5">
        <v>430</v>
      </c>
      <c r="D3243" s="6">
        <v>0</v>
      </c>
      <c r="E3243" s="7">
        <v>700800</v>
      </c>
      <c r="F3243" s="3">
        <v>54220</v>
      </c>
      <c r="G3243" s="3" t="str">
        <f t="shared" si="51"/>
        <v>5</v>
      </c>
      <c r="H3243" s="3" t="s">
        <v>5998</v>
      </c>
      <c r="I3243" s="8">
        <v>1000</v>
      </c>
      <c r="J3243" s="8">
        <v>0</v>
      </c>
      <c r="K3243" s="8">
        <v>1000</v>
      </c>
    </row>
    <row r="3244" spans="1:11" hidden="1" x14ac:dyDescent="0.25">
      <c r="A3244" s="3" t="s">
        <v>5999</v>
      </c>
      <c r="B3244" s="3">
        <v>12</v>
      </c>
      <c r="C3244" s="5">
        <v>430</v>
      </c>
      <c r="D3244" s="6">
        <v>0</v>
      </c>
      <c r="E3244" s="7">
        <v>700800</v>
      </c>
      <c r="F3244" s="3">
        <v>54300</v>
      </c>
      <c r="G3244" s="3" t="str">
        <f t="shared" si="51"/>
        <v>5</v>
      </c>
      <c r="H3244" s="3" t="s">
        <v>6000</v>
      </c>
      <c r="I3244" s="8">
        <v>696.49</v>
      </c>
      <c r="J3244" s="8">
        <v>1832.07</v>
      </c>
      <c r="K3244" s="8">
        <v>696.49</v>
      </c>
    </row>
    <row r="3245" spans="1:11" hidden="1" x14ac:dyDescent="0.25">
      <c r="A3245" s="3" t="s">
        <v>6001</v>
      </c>
      <c r="B3245" s="3">
        <v>12</v>
      </c>
      <c r="C3245" s="5">
        <v>430</v>
      </c>
      <c r="D3245" s="6">
        <v>0</v>
      </c>
      <c r="E3245" s="7">
        <v>700800</v>
      </c>
      <c r="F3245" s="3">
        <v>55105</v>
      </c>
      <c r="G3245" s="3" t="str">
        <f t="shared" si="51"/>
        <v>5</v>
      </c>
      <c r="H3245" s="3" t="s">
        <v>6002</v>
      </c>
      <c r="I3245" s="8">
        <v>500</v>
      </c>
      <c r="J3245" s="8">
        <v>500</v>
      </c>
      <c r="K3245" s="8">
        <v>500</v>
      </c>
    </row>
    <row r="3246" spans="1:11" hidden="1" x14ac:dyDescent="0.25">
      <c r="A3246" s="3" t="s">
        <v>6003</v>
      </c>
      <c r="B3246" s="3">
        <v>12</v>
      </c>
      <c r="C3246" s="5">
        <v>430</v>
      </c>
      <c r="D3246" s="6">
        <v>0</v>
      </c>
      <c r="E3246" s="7">
        <v>700800</v>
      </c>
      <c r="F3246" s="3">
        <v>55300</v>
      </c>
      <c r="G3246" s="3" t="str">
        <f t="shared" si="51"/>
        <v>5</v>
      </c>
      <c r="H3246" s="3" t="s">
        <v>6004</v>
      </c>
      <c r="I3246" s="8">
        <v>300</v>
      </c>
      <c r="J3246" s="8">
        <v>150</v>
      </c>
      <c r="K3246" s="8">
        <v>300</v>
      </c>
    </row>
    <row r="3247" spans="1:11" hidden="1" x14ac:dyDescent="0.25">
      <c r="A3247" s="3" t="s">
        <v>6005</v>
      </c>
      <c r="B3247" s="3">
        <v>12</v>
      </c>
      <c r="C3247" s="5">
        <v>430</v>
      </c>
      <c r="D3247" s="6">
        <v>0</v>
      </c>
      <c r="E3247" s="7">
        <v>700800</v>
      </c>
      <c r="F3247" s="3">
        <v>55610</v>
      </c>
      <c r="G3247" s="3" t="str">
        <f t="shared" si="51"/>
        <v>5</v>
      </c>
      <c r="H3247" s="3" t="s">
        <v>6006</v>
      </c>
      <c r="I3247" s="8">
        <v>0</v>
      </c>
      <c r="J3247" s="8">
        <v>2262</v>
      </c>
      <c r="K3247" s="8">
        <v>0</v>
      </c>
    </row>
    <row r="3248" spans="1:11" hidden="1" x14ac:dyDescent="0.25">
      <c r="A3248" s="3" t="s">
        <v>6007</v>
      </c>
      <c r="B3248" s="3">
        <v>12</v>
      </c>
      <c r="C3248" s="5">
        <v>430</v>
      </c>
      <c r="D3248" s="6">
        <v>0</v>
      </c>
      <c r="E3248" s="7">
        <v>700800</v>
      </c>
      <c r="F3248" s="3">
        <v>55630</v>
      </c>
      <c r="G3248" s="3" t="str">
        <f t="shared" si="51"/>
        <v>5</v>
      </c>
      <c r="H3248" s="3" t="s">
        <v>6008</v>
      </c>
      <c r="I3248" s="8">
        <v>0</v>
      </c>
      <c r="J3248" s="8">
        <v>0.4</v>
      </c>
      <c r="K3248" s="8">
        <v>0</v>
      </c>
    </row>
    <row r="3249" spans="1:11" hidden="1" x14ac:dyDescent="0.25">
      <c r="A3249" s="3" t="s">
        <v>6009</v>
      </c>
      <c r="B3249" s="3">
        <v>12</v>
      </c>
      <c r="C3249" s="5">
        <v>430</v>
      </c>
      <c r="D3249" s="6">
        <v>0</v>
      </c>
      <c r="E3249" s="7">
        <v>700800</v>
      </c>
      <c r="F3249" s="3">
        <v>55650</v>
      </c>
      <c r="G3249" s="3" t="str">
        <f t="shared" si="51"/>
        <v>5</v>
      </c>
      <c r="H3249" s="3" t="s">
        <v>6010</v>
      </c>
      <c r="I3249" s="8">
        <v>7500</v>
      </c>
      <c r="J3249" s="8">
        <v>0</v>
      </c>
      <c r="K3249" s="8">
        <v>7500</v>
      </c>
    </row>
    <row r="3250" spans="1:11" hidden="1" x14ac:dyDescent="0.25">
      <c r="A3250" s="3" t="s">
        <v>6011</v>
      </c>
      <c r="B3250" s="3">
        <v>12</v>
      </c>
      <c r="C3250" s="5">
        <v>430</v>
      </c>
      <c r="D3250" s="6">
        <v>0</v>
      </c>
      <c r="E3250" s="7">
        <v>700800</v>
      </c>
      <c r="F3250" s="3">
        <v>55800</v>
      </c>
      <c r="G3250" s="3" t="str">
        <f t="shared" si="51"/>
        <v>5</v>
      </c>
      <c r="H3250" s="3" t="s">
        <v>6012</v>
      </c>
      <c r="I3250" s="8">
        <v>0</v>
      </c>
      <c r="J3250" s="8">
        <v>0</v>
      </c>
      <c r="K3250" s="8">
        <v>0</v>
      </c>
    </row>
    <row r="3251" spans="1:11" hidden="1" x14ac:dyDescent="0.25">
      <c r="A3251" s="3" t="s">
        <v>6013</v>
      </c>
      <c r="B3251" s="3">
        <v>12</v>
      </c>
      <c r="C3251" s="5">
        <v>430</v>
      </c>
      <c r="D3251" s="6">
        <v>0</v>
      </c>
      <c r="E3251" s="7">
        <v>700800</v>
      </c>
      <c r="F3251" s="3">
        <v>56400</v>
      </c>
      <c r="G3251" s="3" t="str">
        <f t="shared" si="51"/>
        <v>5</v>
      </c>
      <c r="H3251" s="3" t="s">
        <v>6014</v>
      </c>
      <c r="I3251" s="8">
        <v>0</v>
      </c>
      <c r="J3251" s="8">
        <v>1494.88</v>
      </c>
      <c r="K3251" s="8">
        <v>0</v>
      </c>
    </row>
    <row r="3252" spans="1:11" hidden="1" x14ac:dyDescent="0.25">
      <c r="A3252" s="3" t="s">
        <v>6015</v>
      </c>
      <c r="B3252" s="3">
        <v>12</v>
      </c>
      <c r="C3252" s="5">
        <v>430</v>
      </c>
      <c r="D3252" s="6">
        <v>0</v>
      </c>
      <c r="E3252" s="7">
        <v>700800</v>
      </c>
      <c r="F3252" s="3">
        <v>57500</v>
      </c>
      <c r="G3252" s="3" t="str">
        <f t="shared" si="51"/>
        <v>5</v>
      </c>
      <c r="H3252" s="3" t="s">
        <v>6016</v>
      </c>
      <c r="I3252" s="8">
        <v>50000</v>
      </c>
      <c r="J3252" s="8">
        <v>8944.18</v>
      </c>
      <c r="K3252" s="8">
        <v>50000</v>
      </c>
    </row>
    <row r="3253" spans="1:11" hidden="1" x14ac:dyDescent="0.25">
      <c r="A3253" s="3" t="s">
        <v>6017</v>
      </c>
      <c r="B3253" s="3">
        <v>12</v>
      </c>
      <c r="C3253" s="5">
        <v>440</v>
      </c>
      <c r="D3253" s="6">
        <v>0</v>
      </c>
      <c r="E3253" s="7">
        <v>701020</v>
      </c>
      <c r="F3253" s="3">
        <v>48623</v>
      </c>
      <c r="G3253" s="3" t="str">
        <f t="shared" si="51"/>
        <v>4</v>
      </c>
      <c r="H3253" s="3" t="s">
        <v>6018</v>
      </c>
      <c r="I3253" s="8">
        <v>-735048.74</v>
      </c>
      <c r="J3253" s="8">
        <v>-770672.74</v>
      </c>
      <c r="K3253" s="8">
        <v>-735048.74</v>
      </c>
    </row>
    <row r="3254" spans="1:11" hidden="1" x14ac:dyDescent="0.25">
      <c r="A3254" s="3" t="s">
        <v>6019</v>
      </c>
      <c r="B3254" s="3">
        <v>12</v>
      </c>
      <c r="C3254" s="5">
        <v>440</v>
      </c>
      <c r="D3254" s="6">
        <v>0</v>
      </c>
      <c r="E3254" s="7">
        <v>701020</v>
      </c>
      <c r="F3254" s="3">
        <v>51200</v>
      </c>
      <c r="G3254" s="3" t="str">
        <f t="shared" si="51"/>
        <v>5</v>
      </c>
      <c r="H3254" s="3" t="s">
        <v>6020</v>
      </c>
      <c r="I3254" s="8">
        <v>64063.97</v>
      </c>
      <c r="J3254" s="8">
        <v>48309.84</v>
      </c>
      <c r="K3254" s="8">
        <v>64063.97</v>
      </c>
    </row>
    <row r="3255" spans="1:11" hidden="1" x14ac:dyDescent="0.25">
      <c r="A3255" s="3" t="s">
        <v>6021</v>
      </c>
      <c r="B3255" s="3">
        <v>12</v>
      </c>
      <c r="C3255" s="5">
        <v>440</v>
      </c>
      <c r="D3255" s="6">
        <v>0</v>
      </c>
      <c r="E3255" s="7">
        <v>701020</v>
      </c>
      <c r="F3255" s="3">
        <v>51210</v>
      </c>
      <c r="G3255" s="3" t="str">
        <f t="shared" si="51"/>
        <v>5</v>
      </c>
      <c r="H3255" s="3" t="s">
        <v>6022</v>
      </c>
      <c r="I3255" s="8">
        <v>46670.2</v>
      </c>
      <c r="J3255" s="8">
        <v>34774.9</v>
      </c>
      <c r="K3255" s="8">
        <v>46670.2</v>
      </c>
    </row>
    <row r="3256" spans="1:11" hidden="1" x14ac:dyDescent="0.25">
      <c r="A3256" s="3" t="s">
        <v>6023</v>
      </c>
      <c r="B3256" s="3">
        <v>12</v>
      </c>
      <c r="C3256" s="5">
        <v>440</v>
      </c>
      <c r="D3256" s="6">
        <v>0</v>
      </c>
      <c r="E3256" s="7">
        <v>701020</v>
      </c>
      <c r="F3256" s="3">
        <v>51310</v>
      </c>
      <c r="G3256" s="3" t="str">
        <f t="shared" si="51"/>
        <v>5</v>
      </c>
      <c r="H3256" s="3" t="s">
        <v>6024</v>
      </c>
      <c r="I3256" s="8">
        <v>3253.16</v>
      </c>
      <c r="J3256" s="8">
        <v>6445.2</v>
      </c>
      <c r="K3256" s="8">
        <v>3253.16</v>
      </c>
    </row>
    <row r="3257" spans="1:11" hidden="1" x14ac:dyDescent="0.25">
      <c r="A3257" s="3" t="s">
        <v>6025</v>
      </c>
      <c r="B3257" s="3">
        <v>12</v>
      </c>
      <c r="C3257" s="5">
        <v>440</v>
      </c>
      <c r="D3257" s="6">
        <v>0</v>
      </c>
      <c r="E3257" s="7">
        <v>701020</v>
      </c>
      <c r="F3257" s="3">
        <v>51311</v>
      </c>
      <c r="G3257" s="3" t="str">
        <f t="shared" si="51"/>
        <v>5</v>
      </c>
      <c r="H3257" s="3" t="s">
        <v>6026</v>
      </c>
      <c r="I3257" s="8">
        <v>4628.41</v>
      </c>
      <c r="J3257" s="8">
        <v>1947.24</v>
      </c>
      <c r="K3257" s="8">
        <v>4628.41</v>
      </c>
    </row>
    <row r="3258" spans="1:11" hidden="1" x14ac:dyDescent="0.25">
      <c r="A3258" s="3" t="s">
        <v>6027</v>
      </c>
      <c r="B3258" s="3">
        <v>12</v>
      </c>
      <c r="C3258" s="5">
        <v>440</v>
      </c>
      <c r="D3258" s="6">
        <v>0</v>
      </c>
      <c r="E3258" s="7">
        <v>701020</v>
      </c>
      <c r="F3258" s="3">
        <v>51410</v>
      </c>
      <c r="G3258" s="3" t="str">
        <f t="shared" si="51"/>
        <v>5</v>
      </c>
      <c r="H3258" s="3" t="s">
        <v>6028</v>
      </c>
      <c r="I3258" s="8">
        <v>5000</v>
      </c>
      <c r="J3258" s="8">
        <v>1098.8800000000001</v>
      </c>
      <c r="K3258" s="8">
        <v>5000</v>
      </c>
    </row>
    <row r="3259" spans="1:11" hidden="1" x14ac:dyDescent="0.25">
      <c r="A3259" s="3" t="s">
        <v>6029</v>
      </c>
      <c r="B3259" s="3">
        <v>12</v>
      </c>
      <c r="C3259" s="5">
        <v>440</v>
      </c>
      <c r="D3259" s="6">
        <v>0</v>
      </c>
      <c r="E3259" s="7">
        <v>701020</v>
      </c>
      <c r="F3259" s="3">
        <v>51411</v>
      </c>
      <c r="G3259" s="3" t="str">
        <f t="shared" si="51"/>
        <v>5</v>
      </c>
      <c r="H3259" s="3" t="s">
        <v>6030</v>
      </c>
      <c r="I3259" s="8">
        <v>91035</v>
      </c>
      <c r="J3259" s="8">
        <v>48199.62</v>
      </c>
      <c r="K3259" s="8">
        <v>91035</v>
      </c>
    </row>
    <row r="3260" spans="1:11" hidden="1" x14ac:dyDescent="0.25">
      <c r="A3260" s="3" t="s">
        <v>6031</v>
      </c>
      <c r="B3260" s="3">
        <v>12</v>
      </c>
      <c r="C3260" s="5">
        <v>440</v>
      </c>
      <c r="D3260" s="6">
        <v>0</v>
      </c>
      <c r="E3260" s="7">
        <v>701020</v>
      </c>
      <c r="F3260" s="3">
        <v>52105</v>
      </c>
      <c r="G3260" s="3" t="str">
        <f t="shared" si="51"/>
        <v>5</v>
      </c>
      <c r="H3260" s="3" t="s">
        <v>6032</v>
      </c>
      <c r="I3260" s="8">
        <v>182596.13</v>
      </c>
      <c r="J3260" s="8">
        <v>138302.76999999999</v>
      </c>
      <c r="K3260" s="8">
        <v>182596.13</v>
      </c>
    </row>
    <row r="3261" spans="1:11" hidden="1" x14ac:dyDescent="0.25">
      <c r="A3261" s="3" t="s">
        <v>6033</v>
      </c>
      <c r="B3261" s="3">
        <v>12</v>
      </c>
      <c r="C3261" s="5">
        <v>440</v>
      </c>
      <c r="D3261" s="6">
        <v>0</v>
      </c>
      <c r="E3261" s="7">
        <v>701020</v>
      </c>
      <c r="F3261" s="3">
        <v>52300</v>
      </c>
      <c r="G3261" s="3" t="str">
        <f t="shared" si="51"/>
        <v>5</v>
      </c>
      <c r="H3261" s="3" t="s">
        <v>6034</v>
      </c>
      <c r="I3261" s="8">
        <v>0</v>
      </c>
      <c r="J3261" s="8">
        <v>13.54</v>
      </c>
      <c r="K3261" s="8">
        <v>0</v>
      </c>
    </row>
    <row r="3262" spans="1:11" hidden="1" x14ac:dyDescent="0.25">
      <c r="A3262" s="3" t="s">
        <v>6035</v>
      </c>
      <c r="B3262" s="3">
        <v>12</v>
      </c>
      <c r="C3262" s="5">
        <v>440</v>
      </c>
      <c r="D3262" s="6">
        <v>0</v>
      </c>
      <c r="E3262" s="7">
        <v>701020</v>
      </c>
      <c r="F3262" s="3">
        <v>52400</v>
      </c>
      <c r="G3262" s="3" t="str">
        <f t="shared" si="51"/>
        <v>5</v>
      </c>
      <c r="H3262" s="3" t="s">
        <v>6036</v>
      </c>
      <c r="I3262" s="8">
        <v>25000</v>
      </c>
      <c r="J3262" s="8">
        <v>0</v>
      </c>
      <c r="K3262" s="8">
        <v>25000</v>
      </c>
    </row>
    <row r="3263" spans="1:11" hidden="1" x14ac:dyDescent="0.25">
      <c r="A3263" s="3" t="s">
        <v>6037</v>
      </c>
      <c r="B3263" s="3">
        <v>12</v>
      </c>
      <c r="C3263" s="5">
        <v>440</v>
      </c>
      <c r="D3263" s="6">
        <v>0</v>
      </c>
      <c r="E3263" s="7">
        <v>701020</v>
      </c>
      <c r="F3263" s="3">
        <v>52420</v>
      </c>
      <c r="G3263" s="3" t="str">
        <f t="shared" si="51"/>
        <v>5</v>
      </c>
      <c r="H3263" s="3" t="s">
        <v>6038</v>
      </c>
      <c r="I3263" s="8">
        <v>0</v>
      </c>
      <c r="J3263" s="8">
        <v>3876</v>
      </c>
      <c r="K3263" s="8">
        <v>0</v>
      </c>
    </row>
    <row r="3264" spans="1:11" hidden="1" x14ac:dyDescent="0.25">
      <c r="A3264" s="3" t="s">
        <v>6039</v>
      </c>
      <c r="B3264" s="3">
        <v>12</v>
      </c>
      <c r="C3264" s="5">
        <v>440</v>
      </c>
      <c r="D3264" s="6">
        <v>0</v>
      </c>
      <c r="E3264" s="7">
        <v>701020</v>
      </c>
      <c r="F3264" s="3">
        <v>53110</v>
      </c>
      <c r="G3264" s="3" t="str">
        <f t="shared" si="51"/>
        <v>5</v>
      </c>
      <c r="H3264" s="3" t="s">
        <v>6040</v>
      </c>
      <c r="I3264" s="8">
        <v>1450.21</v>
      </c>
      <c r="J3264" s="8">
        <v>0</v>
      </c>
      <c r="K3264" s="8">
        <v>1450.21</v>
      </c>
    </row>
    <row r="3265" spans="1:11" hidden="1" x14ac:dyDescent="0.25">
      <c r="A3265" s="3" t="s">
        <v>6041</v>
      </c>
      <c r="B3265" s="3">
        <v>12</v>
      </c>
      <c r="C3265" s="5">
        <v>440</v>
      </c>
      <c r="D3265" s="6">
        <v>0</v>
      </c>
      <c r="E3265" s="7">
        <v>701020</v>
      </c>
      <c r="F3265" s="3">
        <v>53120</v>
      </c>
      <c r="G3265" s="3" t="str">
        <f t="shared" si="51"/>
        <v>5</v>
      </c>
      <c r="H3265" s="3" t="s">
        <v>6042</v>
      </c>
      <c r="I3265" s="8">
        <v>26585.79</v>
      </c>
      <c r="J3265" s="8">
        <v>9710.2199999999993</v>
      </c>
      <c r="K3265" s="8">
        <v>26585.79</v>
      </c>
    </row>
    <row r="3266" spans="1:11" hidden="1" x14ac:dyDescent="0.25">
      <c r="A3266" s="3" t="s">
        <v>6043</v>
      </c>
      <c r="B3266" s="3">
        <v>12</v>
      </c>
      <c r="C3266" s="5">
        <v>440</v>
      </c>
      <c r="D3266" s="6">
        <v>0</v>
      </c>
      <c r="E3266" s="7">
        <v>701020</v>
      </c>
      <c r="F3266" s="3">
        <v>53210</v>
      </c>
      <c r="G3266" s="3" t="str">
        <f t="shared" si="51"/>
        <v>5</v>
      </c>
      <c r="H3266" s="3" t="s">
        <v>6044</v>
      </c>
      <c r="I3266" s="8">
        <v>0</v>
      </c>
      <c r="J3266" s="8">
        <v>302.31</v>
      </c>
      <c r="K3266" s="8">
        <v>0</v>
      </c>
    </row>
    <row r="3267" spans="1:11" hidden="1" x14ac:dyDescent="0.25">
      <c r="A3267" s="3" t="s">
        <v>6045</v>
      </c>
      <c r="B3267" s="3">
        <v>12</v>
      </c>
      <c r="C3267" s="5">
        <v>440</v>
      </c>
      <c r="D3267" s="6">
        <v>0</v>
      </c>
      <c r="E3267" s="7">
        <v>701020</v>
      </c>
      <c r="F3267" s="3">
        <v>53220</v>
      </c>
      <c r="G3267" s="3" t="str">
        <f t="shared" si="51"/>
        <v>5</v>
      </c>
      <c r="H3267" s="3" t="s">
        <v>6046</v>
      </c>
      <c r="I3267" s="8">
        <v>52095.3</v>
      </c>
      <c r="J3267" s="8">
        <v>38630.67</v>
      </c>
      <c r="K3267" s="8">
        <v>52095.3</v>
      </c>
    </row>
    <row r="3268" spans="1:11" hidden="1" x14ac:dyDescent="0.25">
      <c r="A3268" s="3" t="s">
        <v>6047</v>
      </c>
      <c r="B3268" s="3">
        <v>12</v>
      </c>
      <c r="C3268" s="5">
        <v>440</v>
      </c>
      <c r="D3268" s="6">
        <v>0</v>
      </c>
      <c r="E3268" s="7">
        <v>701020</v>
      </c>
      <c r="F3268" s="3">
        <v>53310</v>
      </c>
      <c r="G3268" s="3" t="str">
        <f t="shared" si="51"/>
        <v>5</v>
      </c>
      <c r="H3268" s="3" t="s">
        <v>6048</v>
      </c>
      <c r="I3268" s="8">
        <v>1550</v>
      </c>
      <c r="J3268" s="8">
        <v>517.13</v>
      </c>
      <c r="K3268" s="8">
        <v>1550</v>
      </c>
    </row>
    <row r="3269" spans="1:11" hidden="1" x14ac:dyDescent="0.25">
      <c r="A3269" s="3" t="s">
        <v>6049</v>
      </c>
      <c r="B3269" s="3">
        <v>12</v>
      </c>
      <c r="C3269" s="5">
        <v>440</v>
      </c>
      <c r="D3269" s="6">
        <v>0</v>
      </c>
      <c r="E3269" s="7">
        <v>701020</v>
      </c>
      <c r="F3269" s="3">
        <v>53320</v>
      </c>
      <c r="G3269" s="3" t="str">
        <f t="shared" si="51"/>
        <v>5</v>
      </c>
      <c r="H3269" s="3" t="s">
        <v>6050</v>
      </c>
      <c r="I3269" s="8">
        <v>14228.67</v>
      </c>
      <c r="J3269" s="8">
        <v>12924.57</v>
      </c>
      <c r="K3269" s="8">
        <v>14228.67</v>
      </c>
    </row>
    <row r="3270" spans="1:11" hidden="1" x14ac:dyDescent="0.25">
      <c r="A3270" s="3" t="s">
        <v>6051</v>
      </c>
      <c r="B3270" s="3">
        <v>12</v>
      </c>
      <c r="C3270" s="5">
        <v>440</v>
      </c>
      <c r="D3270" s="6">
        <v>0</v>
      </c>
      <c r="E3270" s="7">
        <v>701020</v>
      </c>
      <c r="F3270" s="3">
        <v>53330</v>
      </c>
      <c r="G3270" s="3" t="str">
        <f t="shared" si="51"/>
        <v>5</v>
      </c>
      <c r="H3270" s="3" t="s">
        <v>6052</v>
      </c>
      <c r="I3270" s="8">
        <v>476.78</v>
      </c>
      <c r="J3270" s="8">
        <v>120.93</v>
      </c>
      <c r="K3270" s="8">
        <v>476.78</v>
      </c>
    </row>
    <row r="3271" spans="1:11" hidden="1" x14ac:dyDescent="0.25">
      <c r="A3271" s="3" t="s">
        <v>6053</v>
      </c>
      <c r="B3271" s="3">
        <v>12</v>
      </c>
      <c r="C3271" s="5">
        <v>440</v>
      </c>
      <c r="D3271" s="6">
        <v>0</v>
      </c>
      <c r="E3271" s="7">
        <v>701020</v>
      </c>
      <c r="F3271" s="3">
        <v>53340</v>
      </c>
      <c r="G3271" s="3" t="str">
        <f t="shared" si="51"/>
        <v>5</v>
      </c>
      <c r="H3271" s="3" t="s">
        <v>6054</v>
      </c>
      <c r="I3271" s="8">
        <v>5397</v>
      </c>
      <c r="J3271" s="8">
        <v>3882.63</v>
      </c>
      <c r="K3271" s="8">
        <v>5397</v>
      </c>
    </row>
    <row r="3272" spans="1:11" hidden="1" x14ac:dyDescent="0.25">
      <c r="A3272" s="3" t="s">
        <v>6055</v>
      </c>
      <c r="B3272" s="3">
        <v>12</v>
      </c>
      <c r="C3272" s="5">
        <v>440</v>
      </c>
      <c r="D3272" s="6">
        <v>0</v>
      </c>
      <c r="E3272" s="7">
        <v>701020</v>
      </c>
      <c r="F3272" s="3">
        <v>53410</v>
      </c>
      <c r="G3272" s="3" t="str">
        <f t="shared" si="51"/>
        <v>5</v>
      </c>
      <c r="H3272" s="3" t="s">
        <v>6056</v>
      </c>
      <c r="I3272" s="8">
        <v>0</v>
      </c>
      <c r="J3272" s="8">
        <v>1390.1</v>
      </c>
      <c r="K3272" s="8">
        <v>0</v>
      </c>
    </row>
    <row r="3273" spans="1:11" hidden="1" x14ac:dyDescent="0.25">
      <c r="A3273" s="3" t="s">
        <v>6057</v>
      </c>
      <c r="B3273" s="3">
        <v>12</v>
      </c>
      <c r="C3273" s="5">
        <v>440</v>
      </c>
      <c r="D3273" s="6">
        <v>0</v>
      </c>
      <c r="E3273" s="7">
        <v>701020</v>
      </c>
      <c r="F3273" s="3">
        <v>53420</v>
      </c>
      <c r="G3273" s="3" t="str">
        <f t="shared" si="51"/>
        <v>5</v>
      </c>
      <c r="H3273" s="3" t="s">
        <v>6058</v>
      </c>
      <c r="I3273" s="8">
        <v>63959.97</v>
      </c>
      <c r="J3273" s="8">
        <v>51217.74</v>
      </c>
      <c r="K3273" s="8">
        <v>63959.97</v>
      </c>
    </row>
    <row r="3274" spans="1:11" hidden="1" x14ac:dyDescent="0.25">
      <c r="A3274" s="3" t="s">
        <v>6059</v>
      </c>
      <c r="B3274" s="3">
        <v>12</v>
      </c>
      <c r="C3274" s="5">
        <v>440</v>
      </c>
      <c r="D3274" s="6">
        <v>0</v>
      </c>
      <c r="E3274" s="7">
        <v>701020</v>
      </c>
      <c r="F3274" s="3">
        <v>53510</v>
      </c>
      <c r="G3274" s="3" t="str">
        <f t="shared" si="51"/>
        <v>5</v>
      </c>
      <c r="H3274" s="3" t="s">
        <v>6060</v>
      </c>
      <c r="I3274" s="8">
        <v>16.440000000000001</v>
      </c>
      <c r="J3274" s="8">
        <v>4.1399999999999997</v>
      </c>
      <c r="K3274" s="8">
        <v>16.440000000000001</v>
      </c>
    </row>
    <row r="3275" spans="1:11" hidden="1" x14ac:dyDescent="0.25">
      <c r="A3275" s="3" t="s">
        <v>6061</v>
      </c>
      <c r="B3275" s="3">
        <v>12</v>
      </c>
      <c r="C3275" s="5">
        <v>440</v>
      </c>
      <c r="D3275" s="6">
        <v>0</v>
      </c>
      <c r="E3275" s="7">
        <v>701020</v>
      </c>
      <c r="F3275" s="3">
        <v>53520</v>
      </c>
      <c r="G3275" s="3" t="str">
        <f t="shared" si="51"/>
        <v>5</v>
      </c>
      <c r="H3275" s="3" t="s">
        <v>6062</v>
      </c>
      <c r="I3275" s="8">
        <v>186.11</v>
      </c>
      <c r="J3275" s="8">
        <v>134.78</v>
      </c>
      <c r="K3275" s="8">
        <v>186.11</v>
      </c>
    </row>
    <row r="3276" spans="1:11" hidden="1" x14ac:dyDescent="0.25">
      <c r="A3276" s="3" t="s">
        <v>6063</v>
      </c>
      <c r="B3276" s="3">
        <v>12</v>
      </c>
      <c r="C3276" s="5">
        <v>440</v>
      </c>
      <c r="D3276" s="6">
        <v>0</v>
      </c>
      <c r="E3276" s="7">
        <v>701020</v>
      </c>
      <c r="F3276" s="3">
        <v>53610</v>
      </c>
      <c r="G3276" s="3" t="str">
        <f t="shared" si="51"/>
        <v>5</v>
      </c>
      <c r="H3276" s="3" t="s">
        <v>6064</v>
      </c>
      <c r="I3276" s="8">
        <v>593.91</v>
      </c>
      <c r="J3276" s="8">
        <v>231.94</v>
      </c>
      <c r="K3276" s="8">
        <v>593.91</v>
      </c>
    </row>
    <row r="3277" spans="1:11" hidden="1" x14ac:dyDescent="0.25">
      <c r="A3277" s="3" t="s">
        <v>6065</v>
      </c>
      <c r="B3277" s="3">
        <v>12</v>
      </c>
      <c r="C3277" s="5">
        <v>440</v>
      </c>
      <c r="D3277" s="6">
        <v>0</v>
      </c>
      <c r="E3277" s="7">
        <v>701020</v>
      </c>
      <c r="F3277" s="3">
        <v>53620</v>
      </c>
      <c r="G3277" s="3" t="str">
        <f t="shared" si="51"/>
        <v>5</v>
      </c>
      <c r="H3277" s="3" t="s">
        <v>6066</v>
      </c>
      <c r="I3277" s="8">
        <v>6722.8</v>
      </c>
      <c r="J3277" s="8">
        <v>5125.62</v>
      </c>
      <c r="K3277" s="8">
        <v>6722.8</v>
      </c>
    </row>
    <row r="3278" spans="1:11" hidden="1" x14ac:dyDescent="0.25">
      <c r="A3278" s="3" t="s">
        <v>6067</v>
      </c>
      <c r="B3278" s="3">
        <v>12</v>
      </c>
      <c r="C3278" s="5">
        <v>440</v>
      </c>
      <c r="D3278" s="6">
        <v>0</v>
      </c>
      <c r="E3278" s="7">
        <v>701020</v>
      </c>
      <c r="F3278" s="3">
        <v>53920</v>
      </c>
      <c r="G3278" s="3" t="str">
        <f t="shared" si="51"/>
        <v>5</v>
      </c>
      <c r="H3278" s="3" t="s">
        <v>6068</v>
      </c>
      <c r="I3278" s="8">
        <v>3360</v>
      </c>
      <c r="J3278" s="8">
        <v>1600</v>
      </c>
      <c r="K3278" s="8">
        <v>3360</v>
      </c>
    </row>
    <row r="3279" spans="1:11" hidden="1" x14ac:dyDescent="0.25">
      <c r="A3279" s="3" t="s">
        <v>6069</v>
      </c>
      <c r="B3279" s="3">
        <v>12</v>
      </c>
      <c r="C3279" s="5">
        <v>440</v>
      </c>
      <c r="D3279" s="6">
        <v>0</v>
      </c>
      <c r="E3279" s="7">
        <v>701020</v>
      </c>
      <c r="F3279" s="3">
        <v>54300</v>
      </c>
      <c r="G3279" s="3" t="str">
        <f t="shared" si="51"/>
        <v>5</v>
      </c>
      <c r="H3279" s="3" t="s">
        <v>6070</v>
      </c>
      <c r="I3279" s="8">
        <v>7708.36</v>
      </c>
      <c r="J3279" s="8">
        <v>4066.75</v>
      </c>
      <c r="K3279" s="8">
        <v>7708.36</v>
      </c>
    </row>
    <row r="3280" spans="1:11" hidden="1" x14ac:dyDescent="0.25">
      <c r="A3280" s="3" t="s">
        <v>6071</v>
      </c>
      <c r="B3280" s="3">
        <v>12</v>
      </c>
      <c r="C3280" s="5">
        <v>440</v>
      </c>
      <c r="D3280" s="6">
        <v>0</v>
      </c>
      <c r="E3280" s="7">
        <v>701020</v>
      </c>
      <c r="F3280" s="3">
        <v>55100</v>
      </c>
      <c r="G3280" s="3" t="str">
        <f t="shared" si="51"/>
        <v>5</v>
      </c>
      <c r="H3280" s="3" t="s">
        <v>6072</v>
      </c>
      <c r="I3280" s="8">
        <v>0</v>
      </c>
      <c r="J3280" s="8">
        <v>1800</v>
      </c>
      <c r="K3280" s="8">
        <v>0</v>
      </c>
    </row>
    <row r="3281" spans="1:11" hidden="1" x14ac:dyDescent="0.25">
      <c r="A3281" s="3" t="s">
        <v>6073</v>
      </c>
      <c r="B3281" s="3">
        <v>12</v>
      </c>
      <c r="C3281" s="5">
        <v>440</v>
      </c>
      <c r="D3281" s="6">
        <v>0</v>
      </c>
      <c r="E3281" s="7">
        <v>701020</v>
      </c>
      <c r="F3281" s="3">
        <v>55105</v>
      </c>
      <c r="G3281" s="3" t="str">
        <f t="shared" si="51"/>
        <v>5</v>
      </c>
      <c r="H3281" s="3" t="s">
        <v>6074</v>
      </c>
      <c r="I3281" s="8">
        <v>65000</v>
      </c>
      <c r="J3281" s="8">
        <v>0</v>
      </c>
      <c r="K3281" s="8">
        <v>65000</v>
      </c>
    </row>
    <row r="3282" spans="1:11" hidden="1" x14ac:dyDescent="0.25">
      <c r="A3282" s="3" t="s">
        <v>6075</v>
      </c>
      <c r="B3282" s="3">
        <v>12</v>
      </c>
      <c r="C3282" s="5">
        <v>440</v>
      </c>
      <c r="D3282" s="6">
        <v>0</v>
      </c>
      <c r="E3282" s="7">
        <v>701020</v>
      </c>
      <c r="F3282" s="3">
        <v>55200</v>
      </c>
      <c r="G3282" s="3" t="str">
        <f t="shared" si="51"/>
        <v>5</v>
      </c>
      <c r="H3282" s="3" t="s">
        <v>6076</v>
      </c>
      <c r="I3282" s="8">
        <v>0</v>
      </c>
      <c r="J3282" s="8">
        <v>2768</v>
      </c>
      <c r="K3282" s="8">
        <v>0</v>
      </c>
    </row>
    <row r="3283" spans="1:11" hidden="1" x14ac:dyDescent="0.25">
      <c r="A3283" s="3" t="s">
        <v>6077</v>
      </c>
      <c r="B3283" s="3">
        <v>12</v>
      </c>
      <c r="C3283" s="5">
        <v>440</v>
      </c>
      <c r="D3283" s="6">
        <v>0</v>
      </c>
      <c r="E3283" s="7">
        <v>701020</v>
      </c>
      <c r="F3283" s="3">
        <v>55300</v>
      </c>
      <c r="G3283" s="3" t="str">
        <f t="shared" si="51"/>
        <v>5</v>
      </c>
      <c r="H3283" s="3" t="s">
        <v>6078</v>
      </c>
      <c r="I3283" s="8">
        <v>645</v>
      </c>
      <c r="J3283" s="8">
        <v>315</v>
      </c>
      <c r="K3283" s="8">
        <v>645</v>
      </c>
    </row>
    <row r="3284" spans="1:11" hidden="1" x14ac:dyDescent="0.25">
      <c r="A3284" s="3" t="s">
        <v>6079</v>
      </c>
      <c r="B3284" s="3">
        <v>12</v>
      </c>
      <c r="C3284" s="5">
        <v>440</v>
      </c>
      <c r="D3284" s="6">
        <v>0</v>
      </c>
      <c r="E3284" s="7">
        <v>701020</v>
      </c>
      <c r="F3284" s="3">
        <v>55309</v>
      </c>
      <c r="G3284" s="3" t="str">
        <f t="shared" si="51"/>
        <v>5</v>
      </c>
      <c r="H3284" s="3" t="s">
        <v>6080</v>
      </c>
      <c r="I3284" s="8">
        <v>20000</v>
      </c>
      <c r="J3284" s="8">
        <v>15300</v>
      </c>
      <c r="K3284" s="8">
        <v>20000</v>
      </c>
    </row>
    <row r="3285" spans="1:11" hidden="1" x14ac:dyDescent="0.25">
      <c r="A3285" s="3" t="s">
        <v>6081</v>
      </c>
      <c r="B3285" s="3">
        <v>12</v>
      </c>
      <c r="C3285" s="5">
        <v>440</v>
      </c>
      <c r="D3285" s="6">
        <v>0</v>
      </c>
      <c r="E3285" s="7">
        <v>701020</v>
      </c>
      <c r="F3285" s="3">
        <v>55630</v>
      </c>
      <c r="G3285" s="3" t="str">
        <f t="shared" si="51"/>
        <v>5</v>
      </c>
      <c r="H3285" s="3" t="s">
        <v>6082</v>
      </c>
      <c r="I3285" s="8">
        <v>500</v>
      </c>
      <c r="J3285" s="8">
        <v>196.5</v>
      </c>
      <c r="K3285" s="8">
        <v>500</v>
      </c>
    </row>
    <row r="3286" spans="1:11" hidden="1" x14ac:dyDescent="0.25">
      <c r="A3286" s="3" t="s">
        <v>6083</v>
      </c>
      <c r="B3286" s="3">
        <v>12</v>
      </c>
      <c r="C3286" s="5">
        <v>440</v>
      </c>
      <c r="D3286" s="6">
        <v>0</v>
      </c>
      <c r="E3286" s="7">
        <v>701020</v>
      </c>
      <c r="F3286" s="3">
        <v>55800</v>
      </c>
      <c r="G3286" s="3" t="str">
        <f t="shared" si="51"/>
        <v>5</v>
      </c>
      <c r="H3286" s="3" t="s">
        <v>6084</v>
      </c>
      <c r="I3286" s="8">
        <v>37325.53</v>
      </c>
      <c r="J3286" s="8">
        <v>0</v>
      </c>
      <c r="K3286" s="8">
        <v>37325.53</v>
      </c>
    </row>
    <row r="3287" spans="1:11" hidden="1" x14ac:dyDescent="0.25">
      <c r="A3287" s="3" t="s">
        <v>6085</v>
      </c>
      <c r="B3287" s="3">
        <v>12</v>
      </c>
      <c r="C3287" s="5">
        <v>440</v>
      </c>
      <c r="D3287" s="6">
        <v>0</v>
      </c>
      <c r="E3287" s="7">
        <v>701020</v>
      </c>
      <c r="F3287" s="3">
        <v>56400</v>
      </c>
      <c r="G3287" s="3" t="str">
        <f t="shared" si="51"/>
        <v>5</v>
      </c>
      <c r="H3287" s="3" t="s">
        <v>6086</v>
      </c>
      <c r="I3287" s="8">
        <v>5000</v>
      </c>
      <c r="J3287" s="8">
        <v>695</v>
      </c>
      <c r="K3287" s="8">
        <v>5000</v>
      </c>
    </row>
    <row r="3288" spans="1:11" hidden="1" x14ac:dyDescent="0.25">
      <c r="A3288" s="3" t="s">
        <v>6087</v>
      </c>
      <c r="B3288" s="3">
        <v>12</v>
      </c>
      <c r="C3288" s="5">
        <v>440</v>
      </c>
      <c r="D3288" s="6">
        <v>0</v>
      </c>
      <c r="E3288" s="7">
        <v>701021</v>
      </c>
      <c r="F3288" s="3">
        <v>48623</v>
      </c>
      <c r="G3288" s="3" t="str">
        <f t="shared" si="51"/>
        <v>4</v>
      </c>
      <c r="H3288" s="3" t="s">
        <v>6088</v>
      </c>
      <c r="I3288" s="8">
        <v>-55414</v>
      </c>
      <c r="J3288" s="8">
        <v>-37682</v>
      </c>
      <c r="K3288" s="8">
        <v>-55414</v>
      </c>
    </row>
    <row r="3289" spans="1:11" hidden="1" x14ac:dyDescent="0.25">
      <c r="A3289" s="3" t="s">
        <v>6089</v>
      </c>
      <c r="B3289" s="3">
        <v>12</v>
      </c>
      <c r="C3289" s="5">
        <v>440</v>
      </c>
      <c r="D3289" s="6">
        <v>0</v>
      </c>
      <c r="E3289" s="7">
        <v>701021</v>
      </c>
      <c r="F3289" s="3">
        <v>55800</v>
      </c>
      <c r="G3289" s="3" t="str">
        <f t="shared" si="51"/>
        <v>5</v>
      </c>
      <c r="H3289" s="3" t="s">
        <v>6090</v>
      </c>
      <c r="I3289" s="8">
        <v>55414</v>
      </c>
      <c r="J3289" s="8">
        <v>0</v>
      </c>
      <c r="K3289" s="8">
        <v>55414</v>
      </c>
    </row>
    <row r="3290" spans="1:11" hidden="1" x14ac:dyDescent="0.25">
      <c r="A3290" s="3" t="s">
        <v>6091</v>
      </c>
      <c r="B3290" s="3">
        <v>12</v>
      </c>
      <c r="C3290" s="5">
        <v>440</v>
      </c>
      <c r="D3290" s="6">
        <v>0</v>
      </c>
      <c r="E3290" s="7">
        <v>701022</v>
      </c>
      <c r="F3290" s="3">
        <v>48623</v>
      </c>
      <c r="G3290" s="3" t="str">
        <f t="shared" si="51"/>
        <v>4</v>
      </c>
      <c r="H3290" s="3" t="s">
        <v>6092</v>
      </c>
      <c r="I3290" s="8">
        <v>-10811</v>
      </c>
      <c r="J3290" s="8">
        <v>-7351</v>
      </c>
      <c r="K3290" s="8">
        <v>-10811</v>
      </c>
    </row>
    <row r="3291" spans="1:11" hidden="1" x14ac:dyDescent="0.25">
      <c r="A3291" s="3" t="s">
        <v>6093</v>
      </c>
      <c r="B3291" s="3">
        <v>12</v>
      </c>
      <c r="C3291" s="5">
        <v>440</v>
      </c>
      <c r="D3291" s="6">
        <v>0</v>
      </c>
      <c r="E3291" s="7">
        <v>701022</v>
      </c>
      <c r="F3291" s="3">
        <v>55800</v>
      </c>
      <c r="G3291" s="3" t="str">
        <f t="shared" ref="G3291:G3354" si="52">LEFT(F3291,1)</f>
        <v>5</v>
      </c>
      <c r="H3291" s="3" t="s">
        <v>6094</v>
      </c>
      <c r="I3291" s="8">
        <v>10811</v>
      </c>
      <c r="J3291" s="8">
        <v>0</v>
      </c>
      <c r="K3291" s="8">
        <v>10811</v>
      </c>
    </row>
    <row r="3292" spans="1:11" hidden="1" x14ac:dyDescent="0.25">
      <c r="A3292" s="3" t="s">
        <v>6095</v>
      </c>
      <c r="B3292" s="3">
        <v>12</v>
      </c>
      <c r="C3292" s="5">
        <v>500</v>
      </c>
      <c r="D3292" s="6">
        <v>0</v>
      </c>
      <c r="E3292" s="7">
        <v>710100</v>
      </c>
      <c r="F3292" s="3">
        <v>48627</v>
      </c>
      <c r="G3292" s="3" t="str">
        <f t="shared" si="52"/>
        <v>4</v>
      </c>
      <c r="H3292" s="3" t="s">
        <v>6096</v>
      </c>
      <c r="I3292" s="8">
        <v>-32630</v>
      </c>
      <c r="J3292" s="8">
        <v>-32630</v>
      </c>
      <c r="K3292" s="8">
        <v>-32630</v>
      </c>
    </row>
    <row r="3293" spans="1:11" hidden="1" x14ac:dyDescent="0.25">
      <c r="A3293" s="3" t="s">
        <v>6097</v>
      </c>
      <c r="B3293" s="3">
        <v>12</v>
      </c>
      <c r="C3293" s="5">
        <v>500</v>
      </c>
      <c r="D3293" s="6">
        <v>0</v>
      </c>
      <c r="E3293" s="7">
        <v>710100</v>
      </c>
      <c r="F3293" s="3">
        <v>55100</v>
      </c>
      <c r="G3293" s="3" t="str">
        <f t="shared" si="52"/>
        <v>5</v>
      </c>
      <c r="H3293" s="3" t="s">
        <v>6098</v>
      </c>
      <c r="I3293" s="8">
        <v>0</v>
      </c>
      <c r="J3293" s="8">
        <v>1300</v>
      </c>
      <c r="K3293" s="8">
        <v>0</v>
      </c>
    </row>
    <row r="3294" spans="1:11" hidden="1" x14ac:dyDescent="0.25">
      <c r="A3294" s="3" t="s">
        <v>6099</v>
      </c>
      <c r="B3294" s="3">
        <v>12</v>
      </c>
      <c r="C3294" s="5">
        <v>500</v>
      </c>
      <c r="D3294" s="6">
        <v>0</v>
      </c>
      <c r="E3294" s="7">
        <v>710100</v>
      </c>
      <c r="F3294" s="3">
        <v>55125</v>
      </c>
      <c r="G3294" s="3" t="str">
        <f t="shared" si="52"/>
        <v>5</v>
      </c>
      <c r="H3294" s="3" t="s">
        <v>6100</v>
      </c>
      <c r="I3294" s="8">
        <v>0</v>
      </c>
      <c r="J3294" s="8">
        <v>750</v>
      </c>
      <c r="K3294" s="8">
        <v>0</v>
      </c>
    </row>
    <row r="3295" spans="1:11" hidden="1" x14ac:dyDescent="0.25">
      <c r="A3295" s="3" t="s">
        <v>6101</v>
      </c>
      <c r="B3295" s="3">
        <v>12</v>
      </c>
      <c r="C3295" s="5">
        <v>500</v>
      </c>
      <c r="D3295" s="6">
        <v>0</v>
      </c>
      <c r="E3295" s="7">
        <v>710100</v>
      </c>
      <c r="F3295" s="3">
        <v>55200</v>
      </c>
      <c r="G3295" s="3" t="str">
        <f t="shared" si="52"/>
        <v>5</v>
      </c>
      <c r="H3295" s="3" t="s">
        <v>6102</v>
      </c>
      <c r="I3295" s="8">
        <v>32630</v>
      </c>
      <c r="J3295" s="8">
        <v>0</v>
      </c>
      <c r="K3295" s="8">
        <v>32630</v>
      </c>
    </row>
    <row r="3296" spans="1:11" hidden="1" x14ac:dyDescent="0.25">
      <c r="A3296" s="3" t="s">
        <v>6103</v>
      </c>
      <c r="B3296" s="3">
        <v>12</v>
      </c>
      <c r="C3296" s="5">
        <v>500</v>
      </c>
      <c r="D3296" s="6">
        <v>0</v>
      </c>
      <c r="E3296" s="7">
        <v>710500</v>
      </c>
      <c r="F3296" s="3">
        <v>48627</v>
      </c>
      <c r="G3296" s="3" t="str">
        <f t="shared" si="52"/>
        <v>4</v>
      </c>
      <c r="H3296" s="3" t="s">
        <v>6104</v>
      </c>
      <c r="I3296" s="8">
        <v>-53739.89</v>
      </c>
      <c r="J3296" s="8">
        <v>-42879.86</v>
      </c>
      <c r="K3296" s="8">
        <v>-53739.89</v>
      </c>
    </row>
    <row r="3297" spans="1:11" hidden="1" x14ac:dyDescent="0.25">
      <c r="A3297" s="3" t="s">
        <v>6105</v>
      </c>
      <c r="B3297" s="3">
        <v>12</v>
      </c>
      <c r="C3297" s="5">
        <v>500</v>
      </c>
      <c r="D3297" s="6">
        <v>0</v>
      </c>
      <c r="E3297" s="7">
        <v>710500</v>
      </c>
      <c r="F3297" s="3">
        <v>55200</v>
      </c>
      <c r="G3297" s="3" t="str">
        <f t="shared" si="52"/>
        <v>5</v>
      </c>
      <c r="H3297" s="3" t="s">
        <v>6106</v>
      </c>
      <c r="I3297" s="8">
        <v>10000</v>
      </c>
      <c r="J3297" s="8">
        <v>0</v>
      </c>
      <c r="K3297" s="8">
        <v>10000</v>
      </c>
    </row>
    <row r="3298" spans="1:11" hidden="1" x14ac:dyDescent="0.25">
      <c r="A3298" s="3" t="s">
        <v>6107</v>
      </c>
      <c r="B3298" s="3">
        <v>12</v>
      </c>
      <c r="C3298" s="5">
        <v>500</v>
      </c>
      <c r="D3298" s="6">
        <v>0</v>
      </c>
      <c r="E3298" s="7">
        <v>710500</v>
      </c>
      <c r="F3298" s="3">
        <v>55300</v>
      </c>
      <c r="G3298" s="3" t="str">
        <f t="shared" si="52"/>
        <v>5</v>
      </c>
      <c r="H3298" s="3" t="s">
        <v>6108</v>
      </c>
      <c r="I3298" s="8">
        <v>0</v>
      </c>
      <c r="J3298" s="8">
        <v>250</v>
      </c>
      <c r="K3298" s="8">
        <v>0</v>
      </c>
    </row>
    <row r="3299" spans="1:11" hidden="1" x14ac:dyDescent="0.25">
      <c r="A3299" s="3" t="s">
        <v>6109</v>
      </c>
      <c r="B3299" s="3">
        <v>12</v>
      </c>
      <c r="C3299" s="5">
        <v>500</v>
      </c>
      <c r="D3299" s="6">
        <v>0</v>
      </c>
      <c r="E3299" s="7">
        <v>710500</v>
      </c>
      <c r="F3299" s="3">
        <v>55830</v>
      </c>
      <c r="G3299" s="3" t="str">
        <f t="shared" si="52"/>
        <v>5</v>
      </c>
      <c r="H3299" s="3" t="s">
        <v>6110</v>
      </c>
      <c r="I3299" s="8">
        <v>43739.89</v>
      </c>
      <c r="J3299" s="8">
        <v>29996.44</v>
      </c>
      <c r="K3299" s="8">
        <v>43739.89</v>
      </c>
    </row>
    <row r="3300" spans="1:11" hidden="1" x14ac:dyDescent="0.25">
      <c r="A3300" s="3" t="s">
        <v>6111</v>
      </c>
      <c r="B3300" s="3">
        <v>12</v>
      </c>
      <c r="C3300" s="5">
        <v>600</v>
      </c>
      <c r="D3300" s="6">
        <v>0</v>
      </c>
      <c r="E3300" s="7">
        <v>679000</v>
      </c>
      <c r="F3300" s="3">
        <v>54300</v>
      </c>
      <c r="G3300" s="3" t="str">
        <f t="shared" si="52"/>
        <v>5</v>
      </c>
      <c r="H3300" s="3" t="s">
        <v>3578</v>
      </c>
      <c r="I3300" s="8">
        <v>0</v>
      </c>
      <c r="J3300" s="8">
        <v>0</v>
      </c>
      <c r="K3300" s="8">
        <v>0</v>
      </c>
    </row>
    <row r="3301" spans="1:11" hidden="1" x14ac:dyDescent="0.25">
      <c r="A3301" s="3" t="s">
        <v>6112</v>
      </c>
      <c r="B3301" s="3">
        <v>12</v>
      </c>
      <c r="C3301" s="5">
        <v>600</v>
      </c>
      <c r="D3301" s="6">
        <v>0</v>
      </c>
      <c r="E3301" s="7">
        <v>679000</v>
      </c>
      <c r="F3301" s="3">
        <v>55610</v>
      </c>
      <c r="G3301" s="3" t="str">
        <f t="shared" si="52"/>
        <v>5</v>
      </c>
      <c r="H3301" s="3" t="s">
        <v>3550</v>
      </c>
      <c r="I3301" s="8">
        <v>0</v>
      </c>
      <c r="J3301" s="8">
        <v>35011.81</v>
      </c>
      <c r="K3301" s="8">
        <v>0</v>
      </c>
    </row>
    <row r="3302" spans="1:11" hidden="1" x14ac:dyDescent="0.25">
      <c r="A3302" s="3" t="s">
        <v>6113</v>
      </c>
      <c r="B3302" s="3">
        <v>12</v>
      </c>
      <c r="C3302" s="5">
        <v>600</v>
      </c>
      <c r="D3302" s="6">
        <v>0</v>
      </c>
      <c r="E3302" s="7">
        <v>679020</v>
      </c>
      <c r="F3302" s="3">
        <v>54300</v>
      </c>
      <c r="G3302" s="3" t="str">
        <f t="shared" si="52"/>
        <v>5</v>
      </c>
      <c r="H3302" s="3" t="s">
        <v>3580</v>
      </c>
      <c r="I3302" s="8">
        <v>10000</v>
      </c>
      <c r="J3302" s="8">
        <v>7383.33</v>
      </c>
      <c r="K3302" s="8">
        <v>10000</v>
      </c>
    </row>
    <row r="3303" spans="1:11" hidden="1" x14ac:dyDescent="0.25">
      <c r="A3303" s="3" t="s">
        <v>6114</v>
      </c>
      <c r="B3303" s="3">
        <v>13</v>
      </c>
      <c r="C3303" s="5">
        <v>0</v>
      </c>
      <c r="D3303" s="6">
        <v>0</v>
      </c>
      <c r="E3303" s="7">
        <v>0</v>
      </c>
      <c r="F3303" s="3">
        <v>48891</v>
      </c>
      <c r="G3303" s="3" t="str">
        <f t="shared" si="52"/>
        <v>4</v>
      </c>
      <c r="H3303" s="3" t="s">
        <v>6115</v>
      </c>
      <c r="I3303" s="8">
        <v>-19350</v>
      </c>
      <c r="J3303" s="8">
        <v>-13576</v>
      </c>
      <c r="K3303" s="8">
        <v>-19350</v>
      </c>
    </row>
    <row r="3304" spans="1:11" hidden="1" x14ac:dyDescent="0.25">
      <c r="A3304" s="3" t="s">
        <v>6116</v>
      </c>
      <c r="B3304" s="3">
        <v>13</v>
      </c>
      <c r="C3304" s="5">
        <v>0</v>
      </c>
      <c r="D3304" s="6">
        <v>0</v>
      </c>
      <c r="E3304" s="7">
        <v>695000</v>
      </c>
      <c r="F3304" s="3">
        <v>48881</v>
      </c>
      <c r="G3304" s="3" t="str">
        <f t="shared" si="52"/>
        <v>4</v>
      </c>
      <c r="H3304" s="3" t="s">
        <v>6117</v>
      </c>
      <c r="I3304" s="8">
        <v>-486</v>
      </c>
      <c r="J3304" s="8">
        <v>-398.71</v>
      </c>
      <c r="K3304" s="8">
        <v>-486</v>
      </c>
    </row>
    <row r="3305" spans="1:11" hidden="1" x14ac:dyDescent="0.25">
      <c r="A3305" s="3" t="s">
        <v>6118</v>
      </c>
      <c r="B3305" s="3">
        <v>13</v>
      </c>
      <c r="C3305" s="5">
        <v>210</v>
      </c>
      <c r="D3305" s="6">
        <v>0</v>
      </c>
      <c r="E3305" s="7">
        <v>695000</v>
      </c>
      <c r="F3305" s="3">
        <v>48881</v>
      </c>
      <c r="G3305" s="3" t="str">
        <f t="shared" si="52"/>
        <v>4</v>
      </c>
      <c r="H3305" s="3" t="s">
        <v>6117</v>
      </c>
      <c r="I3305" s="8">
        <v>0</v>
      </c>
      <c r="J3305" s="8">
        <v>0</v>
      </c>
      <c r="K3305" s="8">
        <v>0</v>
      </c>
    </row>
    <row r="3306" spans="1:11" hidden="1" x14ac:dyDescent="0.25">
      <c r="A3306" s="3" t="s">
        <v>6119</v>
      </c>
      <c r="B3306" s="3">
        <v>13</v>
      </c>
      <c r="C3306" s="5">
        <v>210</v>
      </c>
      <c r="D3306" s="6">
        <v>0</v>
      </c>
      <c r="E3306" s="7">
        <v>695000</v>
      </c>
      <c r="F3306" s="3">
        <v>52350</v>
      </c>
      <c r="G3306" s="3" t="str">
        <f t="shared" si="52"/>
        <v>5</v>
      </c>
      <c r="H3306" s="3" t="s">
        <v>6120</v>
      </c>
      <c r="I3306" s="8">
        <v>0</v>
      </c>
      <c r="J3306" s="8">
        <v>0</v>
      </c>
      <c r="K3306" s="8">
        <v>0</v>
      </c>
    </row>
    <row r="3307" spans="1:11" hidden="1" x14ac:dyDescent="0.25">
      <c r="A3307" s="3" t="s">
        <v>6121</v>
      </c>
      <c r="B3307" s="3">
        <v>13</v>
      </c>
      <c r="C3307" s="5">
        <v>210</v>
      </c>
      <c r="D3307" s="6">
        <v>0</v>
      </c>
      <c r="E3307" s="7">
        <v>695000</v>
      </c>
      <c r="F3307" s="3">
        <v>53620</v>
      </c>
      <c r="G3307" s="3" t="str">
        <f t="shared" si="52"/>
        <v>5</v>
      </c>
      <c r="H3307" s="3" t="s">
        <v>6122</v>
      </c>
      <c r="I3307" s="8">
        <v>0</v>
      </c>
      <c r="J3307" s="8">
        <v>0</v>
      </c>
      <c r="K3307" s="8">
        <v>0</v>
      </c>
    </row>
    <row r="3308" spans="1:11" hidden="1" x14ac:dyDescent="0.25">
      <c r="A3308" s="3" t="s">
        <v>6123</v>
      </c>
      <c r="B3308" s="3">
        <v>13</v>
      </c>
      <c r="C3308" s="5">
        <v>210</v>
      </c>
      <c r="D3308" s="6">
        <v>0</v>
      </c>
      <c r="E3308" s="7">
        <v>695000</v>
      </c>
      <c r="F3308" s="3">
        <v>55105</v>
      </c>
      <c r="G3308" s="3" t="str">
        <f t="shared" si="52"/>
        <v>5</v>
      </c>
      <c r="H3308" s="3" t="s">
        <v>811</v>
      </c>
      <c r="I3308" s="8">
        <v>15336</v>
      </c>
      <c r="J3308" s="8">
        <v>171156.34</v>
      </c>
      <c r="K3308" s="8">
        <v>15336</v>
      </c>
    </row>
    <row r="3309" spans="1:11" hidden="1" x14ac:dyDescent="0.25">
      <c r="A3309" s="3" t="s">
        <v>6124</v>
      </c>
      <c r="B3309" s="3">
        <v>13</v>
      </c>
      <c r="C3309" s="5">
        <v>210</v>
      </c>
      <c r="D3309" s="6">
        <v>0</v>
      </c>
      <c r="E3309" s="7">
        <v>695000</v>
      </c>
      <c r="F3309" s="3">
        <v>55650</v>
      </c>
      <c r="G3309" s="3" t="str">
        <f t="shared" si="52"/>
        <v>5</v>
      </c>
      <c r="H3309" s="3" t="s">
        <v>6125</v>
      </c>
      <c r="I3309" s="8">
        <v>4500</v>
      </c>
      <c r="J3309" s="8">
        <v>4500</v>
      </c>
      <c r="K3309" s="8">
        <v>4500</v>
      </c>
    </row>
    <row r="3310" spans="1:11" hidden="1" x14ac:dyDescent="0.25">
      <c r="A3310" s="3" t="s">
        <v>6126</v>
      </c>
      <c r="B3310" s="3">
        <v>13</v>
      </c>
      <c r="C3310" s="5">
        <v>210</v>
      </c>
      <c r="D3310" s="6">
        <v>0</v>
      </c>
      <c r="E3310" s="7">
        <v>695000</v>
      </c>
      <c r="F3310" s="3">
        <v>55861</v>
      </c>
      <c r="G3310" s="3" t="str">
        <f t="shared" si="52"/>
        <v>5</v>
      </c>
      <c r="H3310" s="3" t="s">
        <v>6127</v>
      </c>
      <c r="I3310" s="8">
        <v>0</v>
      </c>
      <c r="J3310" s="8">
        <v>444.74</v>
      </c>
      <c r="K3310" s="8">
        <v>0</v>
      </c>
    </row>
    <row r="3311" spans="1:11" hidden="1" x14ac:dyDescent="0.25">
      <c r="A3311" s="3" t="s">
        <v>6128</v>
      </c>
      <c r="B3311" s="3">
        <v>13</v>
      </c>
      <c r="C3311" s="5">
        <v>210</v>
      </c>
      <c r="D3311" s="6">
        <v>0</v>
      </c>
      <c r="E3311" s="7">
        <v>702810</v>
      </c>
      <c r="F3311" s="3">
        <v>48682</v>
      </c>
      <c r="G3311" s="3" t="str">
        <f t="shared" si="52"/>
        <v>4</v>
      </c>
      <c r="H3311" s="3" t="s">
        <v>6129</v>
      </c>
      <c r="I3311" s="8">
        <v>-371013</v>
      </c>
      <c r="J3311" s="8">
        <v>-175180.31</v>
      </c>
      <c r="K3311" s="8">
        <v>-371013</v>
      </c>
    </row>
    <row r="3312" spans="1:11" hidden="1" x14ac:dyDescent="0.25">
      <c r="A3312" s="3" t="s">
        <v>6130</v>
      </c>
      <c r="B3312" s="3">
        <v>13</v>
      </c>
      <c r="C3312" s="5">
        <v>210</v>
      </c>
      <c r="D3312" s="6">
        <v>0</v>
      </c>
      <c r="E3312" s="7">
        <v>702810</v>
      </c>
      <c r="F3312" s="3">
        <v>54300</v>
      </c>
      <c r="G3312" s="3" t="str">
        <f t="shared" si="52"/>
        <v>5</v>
      </c>
      <c r="H3312" s="3" t="s">
        <v>6131</v>
      </c>
      <c r="I3312" s="8">
        <v>229959.1</v>
      </c>
      <c r="J3312" s="8">
        <v>45553.13</v>
      </c>
      <c r="K3312" s="8">
        <v>229959.1</v>
      </c>
    </row>
    <row r="3313" spans="1:11" hidden="1" x14ac:dyDescent="0.25">
      <c r="A3313" s="3" t="s">
        <v>6132</v>
      </c>
      <c r="B3313" s="3">
        <v>13</v>
      </c>
      <c r="C3313" s="5">
        <v>210</v>
      </c>
      <c r="D3313" s="6">
        <v>0</v>
      </c>
      <c r="E3313" s="7">
        <v>702810</v>
      </c>
      <c r="F3313" s="3">
        <v>55105</v>
      </c>
      <c r="G3313" s="3" t="str">
        <f t="shared" si="52"/>
        <v>5</v>
      </c>
      <c r="H3313" s="3" t="s">
        <v>6133</v>
      </c>
      <c r="I3313" s="8">
        <v>59053.9</v>
      </c>
      <c r="J3313" s="8">
        <v>59053.9</v>
      </c>
      <c r="K3313" s="8">
        <v>59053.9</v>
      </c>
    </row>
    <row r="3314" spans="1:11" hidden="1" x14ac:dyDescent="0.25">
      <c r="A3314" s="3" t="s">
        <v>6134</v>
      </c>
      <c r="B3314" s="3">
        <v>13</v>
      </c>
      <c r="C3314" s="5">
        <v>210</v>
      </c>
      <c r="D3314" s="6">
        <v>0</v>
      </c>
      <c r="E3314" s="7">
        <v>702810</v>
      </c>
      <c r="F3314" s="3">
        <v>56341</v>
      </c>
      <c r="G3314" s="3" t="str">
        <f t="shared" si="52"/>
        <v>5</v>
      </c>
      <c r="H3314" s="3" t="s">
        <v>6135</v>
      </c>
      <c r="I3314" s="8">
        <v>77000</v>
      </c>
      <c r="J3314" s="8">
        <v>78904.179999999993</v>
      </c>
      <c r="K3314" s="8">
        <v>77000</v>
      </c>
    </row>
    <row r="3315" spans="1:11" hidden="1" x14ac:dyDescent="0.25">
      <c r="A3315" s="3" t="s">
        <v>6136</v>
      </c>
      <c r="B3315" s="3">
        <v>13</v>
      </c>
      <c r="C3315" s="5">
        <v>210</v>
      </c>
      <c r="D3315" s="6">
        <v>0</v>
      </c>
      <c r="E3315" s="7">
        <v>702810</v>
      </c>
      <c r="F3315" s="3">
        <v>56400</v>
      </c>
      <c r="G3315" s="3" t="str">
        <f t="shared" si="52"/>
        <v>5</v>
      </c>
      <c r="H3315" s="3" t="s">
        <v>6137</v>
      </c>
      <c r="I3315" s="8">
        <v>5000</v>
      </c>
      <c r="J3315" s="8">
        <v>0</v>
      </c>
      <c r="K3315" s="8">
        <v>5000</v>
      </c>
    </row>
    <row r="3316" spans="1:11" hidden="1" x14ac:dyDescent="0.25">
      <c r="A3316" s="3" t="s">
        <v>6138</v>
      </c>
      <c r="B3316" s="3">
        <v>31</v>
      </c>
      <c r="C3316" s="5">
        <v>240</v>
      </c>
      <c r="D3316" s="6">
        <v>0</v>
      </c>
      <c r="E3316" s="7">
        <v>0</v>
      </c>
      <c r="F3316" s="3">
        <v>48850</v>
      </c>
      <c r="G3316" s="3" t="str">
        <f t="shared" si="52"/>
        <v>4</v>
      </c>
      <c r="H3316" s="3" t="s">
        <v>6139</v>
      </c>
      <c r="I3316" s="8">
        <v>-100000</v>
      </c>
      <c r="J3316" s="8">
        <v>-41395.68</v>
      </c>
      <c r="K3316" s="8">
        <v>-100000</v>
      </c>
    </row>
    <row r="3317" spans="1:11" hidden="1" x14ac:dyDescent="0.25">
      <c r="A3317" s="3" t="s">
        <v>6140</v>
      </c>
      <c r="B3317" s="3">
        <v>31</v>
      </c>
      <c r="C3317" s="5">
        <v>240</v>
      </c>
      <c r="D3317" s="6">
        <v>0</v>
      </c>
      <c r="E3317" s="7">
        <v>0</v>
      </c>
      <c r="F3317" s="3">
        <v>48860</v>
      </c>
      <c r="G3317" s="3" t="str">
        <f t="shared" si="52"/>
        <v>4</v>
      </c>
      <c r="H3317" s="3" t="s">
        <v>41</v>
      </c>
      <c r="I3317" s="8">
        <v>-10000</v>
      </c>
      <c r="J3317" s="8">
        <v>-3673.87</v>
      </c>
      <c r="K3317" s="8">
        <v>-10000</v>
      </c>
    </row>
    <row r="3318" spans="1:11" hidden="1" x14ac:dyDescent="0.25">
      <c r="A3318" s="3" t="s">
        <v>6141</v>
      </c>
      <c r="B3318" s="3">
        <v>31</v>
      </c>
      <c r="C3318" s="5">
        <v>240</v>
      </c>
      <c r="D3318" s="6">
        <v>0</v>
      </c>
      <c r="E3318" s="7">
        <v>0</v>
      </c>
      <c r="F3318" s="3">
        <v>57300</v>
      </c>
      <c r="G3318" s="3" t="str">
        <f t="shared" si="52"/>
        <v>5</v>
      </c>
      <c r="H3318" s="3" t="s">
        <v>6142</v>
      </c>
      <c r="I3318" s="8">
        <v>110000</v>
      </c>
      <c r="J3318" s="8">
        <v>0</v>
      </c>
      <c r="K3318" s="8">
        <v>110000</v>
      </c>
    </row>
    <row r="3319" spans="1:11" hidden="1" x14ac:dyDescent="0.25">
      <c r="A3319" s="3" t="s">
        <v>6143</v>
      </c>
      <c r="B3319" s="3">
        <v>33</v>
      </c>
      <c r="C3319" s="5">
        <v>300</v>
      </c>
      <c r="D3319" s="6">
        <v>0</v>
      </c>
      <c r="E3319" s="7">
        <v>0</v>
      </c>
      <c r="F3319" s="3">
        <v>48600</v>
      </c>
      <c r="G3319" s="3" t="str">
        <f t="shared" si="52"/>
        <v>4</v>
      </c>
      <c r="H3319" s="3" t="s">
        <v>6144</v>
      </c>
      <c r="I3319" s="8">
        <v>-549132</v>
      </c>
      <c r="J3319" s="8">
        <v>-440795</v>
      </c>
      <c r="K3319" s="8">
        <v>-549132</v>
      </c>
    </row>
    <row r="3320" spans="1:11" hidden="1" x14ac:dyDescent="0.25">
      <c r="A3320" s="3" t="s">
        <v>6145</v>
      </c>
      <c r="B3320" s="3">
        <v>33</v>
      </c>
      <c r="C3320" s="5">
        <v>300</v>
      </c>
      <c r="D3320" s="6">
        <v>0</v>
      </c>
      <c r="E3320" s="7">
        <v>0</v>
      </c>
      <c r="F3320" s="3">
        <v>48627</v>
      </c>
      <c r="G3320" s="3" t="str">
        <f t="shared" si="52"/>
        <v>4</v>
      </c>
      <c r="H3320" s="3" t="s">
        <v>6146</v>
      </c>
      <c r="I3320" s="8">
        <v>-40302</v>
      </c>
      <c r="J3320" s="8">
        <v>-27405</v>
      </c>
      <c r="K3320" s="8">
        <v>-40302</v>
      </c>
    </row>
    <row r="3321" spans="1:11" hidden="1" x14ac:dyDescent="0.25">
      <c r="A3321" s="3" t="s">
        <v>6147</v>
      </c>
      <c r="B3321" s="3">
        <v>33</v>
      </c>
      <c r="C3321" s="5">
        <v>300</v>
      </c>
      <c r="D3321" s="6">
        <v>0</v>
      </c>
      <c r="E3321" s="7">
        <v>0</v>
      </c>
      <c r="F3321" s="3">
        <v>48860</v>
      </c>
      <c r="G3321" s="3" t="str">
        <f t="shared" si="52"/>
        <v>4</v>
      </c>
      <c r="H3321" s="3" t="s">
        <v>41</v>
      </c>
      <c r="I3321" s="8">
        <v>0</v>
      </c>
      <c r="J3321" s="8">
        <v>-1357.97</v>
      </c>
      <c r="K3321" s="8">
        <v>0</v>
      </c>
    </row>
    <row r="3322" spans="1:11" hidden="1" x14ac:dyDescent="0.25">
      <c r="A3322" s="3" t="s">
        <v>6148</v>
      </c>
      <c r="B3322" s="3">
        <v>33</v>
      </c>
      <c r="C3322" s="5">
        <v>300</v>
      </c>
      <c r="D3322" s="6">
        <v>0</v>
      </c>
      <c r="E3322" s="7">
        <v>0</v>
      </c>
      <c r="F3322" s="3">
        <v>51210</v>
      </c>
      <c r="G3322" s="3" t="str">
        <f t="shared" si="52"/>
        <v>5</v>
      </c>
      <c r="H3322" s="3" t="s">
        <v>6149</v>
      </c>
      <c r="I3322" s="8">
        <v>87224</v>
      </c>
      <c r="J3322" s="8">
        <v>65019.199999999997</v>
      </c>
      <c r="K3322" s="8">
        <v>87224</v>
      </c>
    </row>
    <row r="3323" spans="1:11" hidden="1" x14ac:dyDescent="0.25">
      <c r="A3323" s="3" t="s">
        <v>6150</v>
      </c>
      <c r="B3323" s="3">
        <v>33</v>
      </c>
      <c r="C3323" s="5">
        <v>300</v>
      </c>
      <c r="D3323" s="6">
        <v>0</v>
      </c>
      <c r="E3323" s="7">
        <v>0</v>
      </c>
      <c r="F3323" s="3">
        <v>52105</v>
      </c>
      <c r="G3323" s="3" t="str">
        <f t="shared" si="52"/>
        <v>5</v>
      </c>
      <c r="H3323" s="3" t="s">
        <v>6151</v>
      </c>
      <c r="I3323" s="8">
        <v>144166</v>
      </c>
      <c r="J3323" s="8">
        <v>104982.53</v>
      </c>
      <c r="K3323" s="8">
        <v>144166</v>
      </c>
    </row>
    <row r="3324" spans="1:11" hidden="1" x14ac:dyDescent="0.25">
      <c r="A3324" s="3" t="s">
        <v>6152</v>
      </c>
      <c r="B3324" s="3">
        <v>33</v>
      </c>
      <c r="C3324" s="5">
        <v>300</v>
      </c>
      <c r="D3324" s="6">
        <v>0</v>
      </c>
      <c r="E3324" s="7">
        <v>0</v>
      </c>
      <c r="F3324" s="3">
        <v>52350</v>
      </c>
      <c r="G3324" s="3" t="str">
        <f t="shared" si="52"/>
        <v>5</v>
      </c>
      <c r="H3324" s="3" t="s">
        <v>6153</v>
      </c>
      <c r="I3324" s="8">
        <v>50000</v>
      </c>
      <c r="J3324" s="8">
        <v>86714.8</v>
      </c>
      <c r="K3324" s="8">
        <v>50000</v>
      </c>
    </row>
    <row r="3325" spans="1:11" hidden="1" x14ac:dyDescent="0.25">
      <c r="A3325" s="3" t="s">
        <v>6154</v>
      </c>
      <c r="B3325" s="3">
        <v>33</v>
      </c>
      <c r="C3325" s="5">
        <v>300</v>
      </c>
      <c r="D3325" s="6">
        <v>0</v>
      </c>
      <c r="E3325" s="7">
        <v>0</v>
      </c>
      <c r="F3325" s="3">
        <v>52360</v>
      </c>
      <c r="G3325" s="3" t="str">
        <f t="shared" si="52"/>
        <v>5</v>
      </c>
      <c r="H3325" s="3" t="s">
        <v>6155</v>
      </c>
      <c r="I3325" s="8">
        <v>73000</v>
      </c>
      <c r="J3325" s="8">
        <v>0</v>
      </c>
      <c r="K3325" s="8">
        <v>73000</v>
      </c>
    </row>
    <row r="3326" spans="1:11" hidden="1" x14ac:dyDescent="0.25">
      <c r="A3326" s="3" t="s">
        <v>6156</v>
      </c>
      <c r="B3326" s="3">
        <v>33</v>
      </c>
      <c r="C3326" s="5">
        <v>300</v>
      </c>
      <c r="D3326" s="6">
        <v>0</v>
      </c>
      <c r="E3326" s="7">
        <v>0</v>
      </c>
      <c r="F3326" s="3">
        <v>53120</v>
      </c>
      <c r="G3326" s="3" t="str">
        <f t="shared" si="52"/>
        <v>5</v>
      </c>
      <c r="H3326" s="3" t="s">
        <v>6157</v>
      </c>
      <c r="I3326" s="8">
        <v>14087</v>
      </c>
      <c r="J3326" s="8">
        <v>10500.6</v>
      </c>
      <c r="K3326" s="8">
        <v>14087</v>
      </c>
    </row>
    <row r="3327" spans="1:11" hidden="1" x14ac:dyDescent="0.25">
      <c r="A3327" s="3" t="s">
        <v>6158</v>
      </c>
      <c r="B3327" s="3">
        <v>33</v>
      </c>
      <c r="C3327" s="5">
        <v>300</v>
      </c>
      <c r="D3327" s="6">
        <v>0</v>
      </c>
      <c r="E3327" s="7">
        <v>0</v>
      </c>
      <c r="F3327" s="3">
        <v>53220</v>
      </c>
      <c r="G3327" s="3" t="str">
        <f t="shared" si="52"/>
        <v>5</v>
      </c>
      <c r="H3327" s="3" t="s">
        <v>6159</v>
      </c>
      <c r="I3327" s="8">
        <v>29824</v>
      </c>
      <c r="J3327" s="8">
        <v>21730.05</v>
      </c>
      <c r="K3327" s="8">
        <v>29824</v>
      </c>
    </row>
    <row r="3328" spans="1:11" hidden="1" x14ac:dyDescent="0.25">
      <c r="A3328" s="3" t="s">
        <v>6160</v>
      </c>
      <c r="B3328" s="3">
        <v>33</v>
      </c>
      <c r="C3328" s="5">
        <v>300</v>
      </c>
      <c r="D3328" s="6">
        <v>0</v>
      </c>
      <c r="E3328" s="7">
        <v>0</v>
      </c>
      <c r="F3328" s="3">
        <v>53320</v>
      </c>
      <c r="G3328" s="3" t="str">
        <f t="shared" si="52"/>
        <v>5</v>
      </c>
      <c r="H3328" s="3" t="s">
        <v>6161</v>
      </c>
      <c r="I3328" s="8">
        <v>13459</v>
      </c>
      <c r="J3328" s="8">
        <v>6406.02</v>
      </c>
      <c r="K3328" s="8">
        <v>13459</v>
      </c>
    </row>
    <row r="3329" spans="1:11" hidden="1" x14ac:dyDescent="0.25">
      <c r="A3329" s="3" t="s">
        <v>6162</v>
      </c>
      <c r="B3329" s="3">
        <v>33</v>
      </c>
      <c r="C3329" s="5">
        <v>300</v>
      </c>
      <c r="D3329" s="6">
        <v>0</v>
      </c>
      <c r="E3329" s="7">
        <v>0</v>
      </c>
      <c r="F3329" s="3">
        <v>53340</v>
      </c>
      <c r="G3329" s="3" t="str">
        <f t="shared" si="52"/>
        <v>5</v>
      </c>
      <c r="H3329" s="3" t="s">
        <v>6163</v>
      </c>
      <c r="I3329" s="8">
        <v>4413</v>
      </c>
      <c r="J3329" s="8">
        <v>2440.96</v>
      </c>
      <c r="K3329" s="8">
        <v>4413</v>
      </c>
    </row>
    <row r="3330" spans="1:11" hidden="1" x14ac:dyDescent="0.25">
      <c r="A3330" s="3" t="s">
        <v>6164</v>
      </c>
      <c r="B3330" s="3">
        <v>33</v>
      </c>
      <c r="C3330" s="5">
        <v>300</v>
      </c>
      <c r="D3330" s="6">
        <v>0</v>
      </c>
      <c r="E3330" s="7">
        <v>0</v>
      </c>
      <c r="F3330" s="3">
        <v>53420</v>
      </c>
      <c r="G3330" s="3" t="str">
        <f t="shared" si="52"/>
        <v>5</v>
      </c>
      <c r="H3330" s="3" t="s">
        <v>6165</v>
      </c>
      <c r="I3330" s="8">
        <v>42057</v>
      </c>
      <c r="J3330" s="8">
        <v>29313.87</v>
      </c>
      <c r="K3330" s="8">
        <v>42057</v>
      </c>
    </row>
    <row r="3331" spans="1:11" hidden="1" x14ac:dyDescent="0.25">
      <c r="A3331" s="3" t="s">
        <v>6166</v>
      </c>
      <c r="B3331" s="3">
        <v>33</v>
      </c>
      <c r="C3331" s="5">
        <v>300</v>
      </c>
      <c r="D3331" s="6">
        <v>0</v>
      </c>
      <c r="E3331" s="7">
        <v>0</v>
      </c>
      <c r="F3331" s="3">
        <v>53520</v>
      </c>
      <c r="G3331" s="3" t="str">
        <f t="shared" si="52"/>
        <v>5</v>
      </c>
      <c r="H3331" s="3" t="s">
        <v>6167</v>
      </c>
      <c r="I3331" s="8">
        <v>153</v>
      </c>
      <c r="J3331" s="8">
        <v>84.52</v>
      </c>
      <c r="K3331" s="8">
        <v>153</v>
      </c>
    </row>
    <row r="3332" spans="1:11" hidden="1" x14ac:dyDescent="0.25">
      <c r="A3332" s="3" t="s">
        <v>6168</v>
      </c>
      <c r="B3332" s="3">
        <v>33</v>
      </c>
      <c r="C3332" s="5">
        <v>300</v>
      </c>
      <c r="D3332" s="6">
        <v>0</v>
      </c>
      <c r="E3332" s="7">
        <v>0</v>
      </c>
      <c r="F3332" s="3">
        <v>53620</v>
      </c>
      <c r="G3332" s="3" t="str">
        <f t="shared" si="52"/>
        <v>5</v>
      </c>
      <c r="H3332" s="3" t="s">
        <v>6169</v>
      </c>
      <c r="I3332" s="8">
        <v>5755</v>
      </c>
      <c r="J3332" s="8">
        <v>4859.68</v>
      </c>
      <c r="K3332" s="8">
        <v>5755</v>
      </c>
    </row>
    <row r="3333" spans="1:11" hidden="1" x14ac:dyDescent="0.25">
      <c r="A3333" s="3" t="s">
        <v>6170</v>
      </c>
      <c r="B3333" s="3">
        <v>33</v>
      </c>
      <c r="C3333" s="5">
        <v>300</v>
      </c>
      <c r="D3333" s="6">
        <v>0</v>
      </c>
      <c r="E3333" s="7">
        <v>0</v>
      </c>
      <c r="F3333" s="3">
        <v>54210</v>
      </c>
      <c r="G3333" s="3" t="str">
        <f t="shared" si="52"/>
        <v>5</v>
      </c>
      <c r="H3333" s="3" t="s">
        <v>6171</v>
      </c>
      <c r="I3333" s="8">
        <v>500</v>
      </c>
      <c r="J3333" s="8">
        <v>0</v>
      </c>
      <c r="K3333" s="8">
        <v>500</v>
      </c>
    </row>
    <row r="3334" spans="1:11" hidden="1" x14ac:dyDescent="0.25">
      <c r="A3334" s="3" t="s">
        <v>6172</v>
      </c>
      <c r="B3334" s="3">
        <v>33</v>
      </c>
      <c r="C3334" s="5">
        <v>300</v>
      </c>
      <c r="D3334" s="6">
        <v>0</v>
      </c>
      <c r="E3334" s="7">
        <v>0</v>
      </c>
      <c r="F3334" s="3">
        <v>54300</v>
      </c>
      <c r="G3334" s="3" t="str">
        <f t="shared" si="52"/>
        <v>5</v>
      </c>
      <c r="H3334" s="3" t="s">
        <v>6173</v>
      </c>
      <c r="I3334" s="8">
        <v>9000</v>
      </c>
      <c r="J3334" s="8">
        <v>7524.47</v>
      </c>
      <c r="K3334" s="8">
        <v>9000</v>
      </c>
    </row>
    <row r="3335" spans="1:11" hidden="1" x14ac:dyDescent="0.25">
      <c r="A3335" s="3" t="s">
        <v>6174</v>
      </c>
      <c r="B3335" s="3">
        <v>33</v>
      </c>
      <c r="C3335" s="5">
        <v>300</v>
      </c>
      <c r="D3335" s="6">
        <v>0</v>
      </c>
      <c r="E3335" s="7">
        <v>0</v>
      </c>
      <c r="F3335" s="3">
        <v>55200</v>
      </c>
      <c r="G3335" s="3" t="str">
        <f t="shared" si="52"/>
        <v>5</v>
      </c>
      <c r="H3335" s="3" t="s">
        <v>6175</v>
      </c>
      <c r="I3335" s="8">
        <v>1500</v>
      </c>
      <c r="J3335" s="8">
        <v>810</v>
      </c>
      <c r="K3335" s="8">
        <v>1500</v>
      </c>
    </row>
    <row r="3336" spans="1:11" hidden="1" x14ac:dyDescent="0.25">
      <c r="A3336" s="3" t="s">
        <v>6176</v>
      </c>
      <c r="B3336" s="3">
        <v>33</v>
      </c>
      <c r="C3336" s="5">
        <v>300</v>
      </c>
      <c r="D3336" s="6">
        <v>0</v>
      </c>
      <c r="E3336" s="7">
        <v>0</v>
      </c>
      <c r="F3336" s="3">
        <v>55240</v>
      </c>
      <c r="G3336" s="3" t="str">
        <f t="shared" si="52"/>
        <v>5</v>
      </c>
      <c r="H3336" s="3" t="s">
        <v>6177</v>
      </c>
      <c r="I3336" s="8">
        <v>500</v>
      </c>
      <c r="J3336" s="8">
        <v>0</v>
      </c>
      <c r="K3336" s="8">
        <v>500</v>
      </c>
    </row>
    <row r="3337" spans="1:11" hidden="1" x14ac:dyDescent="0.25">
      <c r="A3337" s="3" t="s">
        <v>6178</v>
      </c>
      <c r="B3337" s="3">
        <v>33</v>
      </c>
      <c r="C3337" s="5">
        <v>300</v>
      </c>
      <c r="D3337" s="6">
        <v>0</v>
      </c>
      <c r="E3337" s="7">
        <v>0</v>
      </c>
      <c r="F3337" s="3">
        <v>55300</v>
      </c>
      <c r="G3337" s="3" t="str">
        <f t="shared" si="52"/>
        <v>5</v>
      </c>
      <c r="H3337" s="3" t="s">
        <v>6179</v>
      </c>
      <c r="I3337" s="8">
        <v>1281.18</v>
      </c>
      <c r="J3337" s="8">
        <v>475</v>
      </c>
      <c r="K3337" s="8">
        <v>1281.18</v>
      </c>
    </row>
    <row r="3338" spans="1:11" hidden="1" x14ac:dyDescent="0.25">
      <c r="A3338" s="3" t="s">
        <v>6180</v>
      </c>
      <c r="B3338" s="3">
        <v>33</v>
      </c>
      <c r="C3338" s="5">
        <v>300</v>
      </c>
      <c r="D3338" s="6">
        <v>0</v>
      </c>
      <c r="E3338" s="7">
        <v>0</v>
      </c>
      <c r="F3338" s="3">
        <v>55630</v>
      </c>
      <c r="G3338" s="3" t="str">
        <f t="shared" si="52"/>
        <v>5</v>
      </c>
      <c r="H3338" s="3" t="s">
        <v>6181</v>
      </c>
      <c r="I3338" s="8">
        <v>2300</v>
      </c>
      <c r="J3338" s="8">
        <v>772.79</v>
      </c>
      <c r="K3338" s="8">
        <v>2300</v>
      </c>
    </row>
    <row r="3339" spans="1:11" hidden="1" x14ac:dyDescent="0.25">
      <c r="A3339" s="3" t="s">
        <v>6182</v>
      </c>
      <c r="B3339" s="3">
        <v>33</v>
      </c>
      <c r="C3339" s="5">
        <v>300</v>
      </c>
      <c r="D3339" s="6">
        <v>0</v>
      </c>
      <c r="E3339" s="7">
        <v>0</v>
      </c>
      <c r="F3339" s="3">
        <v>55635</v>
      </c>
      <c r="G3339" s="3" t="str">
        <f t="shared" si="52"/>
        <v>5</v>
      </c>
      <c r="H3339" s="3" t="s">
        <v>6183</v>
      </c>
      <c r="I3339" s="8">
        <v>100</v>
      </c>
      <c r="J3339" s="8">
        <v>0</v>
      </c>
      <c r="K3339" s="8">
        <v>100</v>
      </c>
    </row>
    <row r="3340" spans="1:11" hidden="1" x14ac:dyDescent="0.25">
      <c r="A3340" s="3" t="s">
        <v>6184</v>
      </c>
      <c r="B3340" s="3">
        <v>33</v>
      </c>
      <c r="C3340" s="5">
        <v>300</v>
      </c>
      <c r="D3340" s="6">
        <v>0</v>
      </c>
      <c r="E3340" s="7">
        <v>0</v>
      </c>
      <c r="F3340" s="3">
        <v>55650</v>
      </c>
      <c r="G3340" s="3" t="str">
        <f t="shared" si="52"/>
        <v>5</v>
      </c>
      <c r="H3340" s="3" t="s">
        <v>6185</v>
      </c>
      <c r="I3340" s="8">
        <v>11500</v>
      </c>
      <c r="J3340" s="8">
        <v>0</v>
      </c>
      <c r="K3340" s="8">
        <v>11500</v>
      </c>
    </row>
    <row r="3341" spans="1:11" hidden="1" x14ac:dyDescent="0.25">
      <c r="A3341" s="3" t="s">
        <v>6186</v>
      </c>
      <c r="B3341" s="3">
        <v>33</v>
      </c>
      <c r="C3341" s="5">
        <v>300</v>
      </c>
      <c r="D3341" s="6">
        <v>0</v>
      </c>
      <c r="E3341" s="7">
        <v>0</v>
      </c>
      <c r="F3341" s="3">
        <v>55651</v>
      </c>
      <c r="G3341" s="3" t="str">
        <f t="shared" si="52"/>
        <v>5</v>
      </c>
      <c r="H3341" s="3" t="s">
        <v>6187</v>
      </c>
      <c r="I3341" s="8">
        <v>4168.82</v>
      </c>
      <c r="J3341" s="8">
        <v>0</v>
      </c>
      <c r="K3341" s="8">
        <v>4168.82</v>
      </c>
    </row>
    <row r="3342" spans="1:11" hidden="1" x14ac:dyDescent="0.25">
      <c r="A3342" s="3" t="s">
        <v>6188</v>
      </c>
      <c r="B3342" s="3">
        <v>33</v>
      </c>
      <c r="C3342" s="5">
        <v>300</v>
      </c>
      <c r="D3342" s="6">
        <v>0</v>
      </c>
      <c r="E3342" s="7">
        <v>0</v>
      </c>
      <c r="F3342" s="3">
        <v>55807</v>
      </c>
      <c r="G3342" s="3" t="str">
        <f t="shared" si="52"/>
        <v>5</v>
      </c>
      <c r="H3342" s="3" t="s">
        <v>6189</v>
      </c>
      <c r="I3342" s="8">
        <v>0</v>
      </c>
      <c r="J3342" s="8">
        <v>484</v>
      </c>
      <c r="K3342" s="8">
        <v>0</v>
      </c>
    </row>
    <row r="3343" spans="1:11" hidden="1" x14ac:dyDescent="0.25">
      <c r="A3343" s="3" t="s">
        <v>6190</v>
      </c>
      <c r="B3343" s="3">
        <v>33</v>
      </c>
      <c r="C3343" s="5">
        <v>300</v>
      </c>
      <c r="D3343" s="6">
        <v>0</v>
      </c>
      <c r="E3343" s="7">
        <v>0</v>
      </c>
      <c r="F3343" s="3">
        <v>56400</v>
      </c>
      <c r="G3343" s="3" t="str">
        <f t="shared" si="52"/>
        <v>5</v>
      </c>
      <c r="H3343" s="3" t="s">
        <v>6191</v>
      </c>
      <c r="I3343" s="8">
        <v>1383</v>
      </c>
      <c r="J3343" s="8">
        <v>0</v>
      </c>
      <c r="K3343" s="8">
        <v>1383</v>
      </c>
    </row>
    <row r="3344" spans="1:11" hidden="1" x14ac:dyDescent="0.25">
      <c r="A3344" s="3" t="s">
        <v>6192</v>
      </c>
      <c r="B3344" s="3">
        <v>33</v>
      </c>
      <c r="C3344" s="5">
        <v>300</v>
      </c>
      <c r="D3344" s="6">
        <v>0</v>
      </c>
      <c r="E3344" s="7">
        <v>1</v>
      </c>
      <c r="F3344" s="3">
        <v>52105</v>
      </c>
      <c r="G3344" s="3" t="str">
        <f t="shared" si="52"/>
        <v>5</v>
      </c>
      <c r="H3344" s="3" t="s">
        <v>6193</v>
      </c>
      <c r="I3344" s="8">
        <v>47549</v>
      </c>
      <c r="J3344" s="8">
        <v>36557.129999999997</v>
      </c>
      <c r="K3344" s="8">
        <v>47549</v>
      </c>
    </row>
    <row r="3345" spans="1:11" hidden="1" x14ac:dyDescent="0.25">
      <c r="A3345" s="3" t="s">
        <v>6194</v>
      </c>
      <c r="B3345" s="3">
        <v>33</v>
      </c>
      <c r="C3345" s="5">
        <v>300</v>
      </c>
      <c r="D3345" s="6">
        <v>0</v>
      </c>
      <c r="E3345" s="7">
        <v>1</v>
      </c>
      <c r="F3345" s="3">
        <v>53220</v>
      </c>
      <c r="G3345" s="3" t="str">
        <f t="shared" si="52"/>
        <v>5</v>
      </c>
      <c r="H3345" s="3" t="s">
        <v>6195</v>
      </c>
      <c r="I3345" s="8">
        <v>9843</v>
      </c>
      <c r="J3345" s="8">
        <v>7562.45</v>
      </c>
      <c r="K3345" s="8">
        <v>9843</v>
      </c>
    </row>
    <row r="3346" spans="1:11" hidden="1" x14ac:dyDescent="0.25">
      <c r="A3346" s="3" t="s">
        <v>6196</v>
      </c>
      <c r="B3346" s="3">
        <v>33</v>
      </c>
      <c r="C3346" s="5">
        <v>300</v>
      </c>
      <c r="D3346" s="6">
        <v>0</v>
      </c>
      <c r="E3346" s="7">
        <v>1</v>
      </c>
      <c r="F3346" s="3">
        <v>53320</v>
      </c>
      <c r="G3346" s="3" t="str">
        <f t="shared" si="52"/>
        <v>5</v>
      </c>
      <c r="H3346" s="3" t="s">
        <v>6197</v>
      </c>
      <c r="I3346" s="8">
        <v>2948</v>
      </c>
      <c r="J3346" s="8">
        <v>2185.41</v>
      </c>
      <c r="K3346" s="8">
        <v>2948</v>
      </c>
    </row>
    <row r="3347" spans="1:11" hidden="1" x14ac:dyDescent="0.25">
      <c r="A3347" s="3" t="s">
        <v>6198</v>
      </c>
      <c r="B3347" s="3">
        <v>33</v>
      </c>
      <c r="C3347" s="5">
        <v>300</v>
      </c>
      <c r="D3347" s="6">
        <v>0</v>
      </c>
      <c r="E3347" s="7">
        <v>1</v>
      </c>
      <c r="F3347" s="3">
        <v>53340</v>
      </c>
      <c r="G3347" s="3" t="str">
        <f t="shared" si="52"/>
        <v>5</v>
      </c>
      <c r="H3347" s="3" t="s">
        <v>6199</v>
      </c>
      <c r="I3347" s="8">
        <v>690</v>
      </c>
      <c r="J3347" s="8">
        <v>511.12</v>
      </c>
      <c r="K3347" s="8">
        <v>690</v>
      </c>
    </row>
    <row r="3348" spans="1:11" hidden="1" x14ac:dyDescent="0.25">
      <c r="A3348" s="3" t="s">
        <v>6200</v>
      </c>
      <c r="B3348" s="3">
        <v>33</v>
      </c>
      <c r="C3348" s="5">
        <v>300</v>
      </c>
      <c r="D3348" s="6">
        <v>0</v>
      </c>
      <c r="E3348" s="7">
        <v>1</v>
      </c>
      <c r="F3348" s="3">
        <v>53420</v>
      </c>
      <c r="G3348" s="3" t="str">
        <f t="shared" si="52"/>
        <v>5</v>
      </c>
      <c r="H3348" s="3" t="s">
        <v>6201</v>
      </c>
      <c r="I3348" s="8">
        <v>29810</v>
      </c>
      <c r="J3348" s="8">
        <v>21827.360000000001</v>
      </c>
      <c r="K3348" s="8">
        <v>29810</v>
      </c>
    </row>
    <row r="3349" spans="1:11" hidden="1" x14ac:dyDescent="0.25">
      <c r="A3349" s="3" t="s">
        <v>6202</v>
      </c>
      <c r="B3349" s="3">
        <v>33</v>
      </c>
      <c r="C3349" s="5">
        <v>300</v>
      </c>
      <c r="D3349" s="6">
        <v>0</v>
      </c>
      <c r="E3349" s="7">
        <v>1</v>
      </c>
      <c r="F3349" s="3">
        <v>53520</v>
      </c>
      <c r="G3349" s="3" t="str">
        <f t="shared" si="52"/>
        <v>5</v>
      </c>
      <c r="H3349" s="3" t="s">
        <v>6203</v>
      </c>
      <c r="I3349" s="8">
        <v>24</v>
      </c>
      <c r="J3349" s="8">
        <v>18.02</v>
      </c>
      <c r="K3349" s="8">
        <v>24</v>
      </c>
    </row>
    <row r="3350" spans="1:11" hidden="1" x14ac:dyDescent="0.25">
      <c r="A3350" s="3" t="s">
        <v>6204</v>
      </c>
      <c r="B3350" s="3">
        <v>33</v>
      </c>
      <c r="C3350" s="5">
        <v>300</v>
      </c>
      <c r="D3350" s="6">
        <v>0</v>
      </c>
      <c r="E3350" s="7">
        <v>1</v>
      </c>
      <c r="F3350" s="3">
        <v>53620</v>
      </c>
      <c r="G3350" s="3" t="str">
        <f t="shared" si="52"/>
        <v>5</v>
      </c>
      <c r="H3350" s="3" t="s">
        <v>6205</v>
      </c>
      <c r="I3350" s="8">
        <v>899</v>
      </c>
      <c r="J3350" s="8">
        <v>693.06</v>
      </c>
      <c r="K3350" s="8">
        <v>899</v>
      </c>
    </row>
    <row r="3351" spans="1:11" hidden="1" x14ac:dyDescent="0.25">
      <c r="A3351" s="3" t="s">
        <v>6206</v>
      </c>
      <c r="B3351" s="3">
        <v>33</v>
      </c>
      <c r="C3351" s="5">
        <v>300</v>
      </c>
      <c r="D3351" s="6">
        <v>0</v>
      </c>
      <c r="E3351" s="7">
        <v>1</v>
      </c>
      <c r="F3351" s="3">
        <v>55630</v>
      </c>
      <c r="G3351" s="3" t="str">
        <f t="shared" si="52"/>
        <v>5</v>
      </c>
      <c r="H3351" s="3" t="s">
        <v>6207</v>
      </c>
      <c r="I3351" s="8">
        <v>1300</v>
      </c>
      <c r="J3351" s="8">
        <v>88.41</v>
      </c>
      <c r="K3351" s="8">
        <v>1300</v>
      </c>
    </row>
    <row r="3352" spans="1:11" hidden="1" x14ac:dyDescent="0.25">
      <c r="A3352" s="3" t="s">
        <v>6208</v>
      </c>
      <c r="B3352" s="3">
        <v>33</v>
      </c>
      <c r="C3352" s="5">
        <v>300</v>
      </c>
      <c r="D3352" s="6">
        <v>0</v>
      </c>
      <c r="E3352" s="7">
        <v>692001</v>
      </c>
      <c r="F3352" s="3">
        <v>48690</v>
      </c>
      <c r="G3352" s="3" t="str">
        <f t="shared" si="52"/>
        <v>4</v>
      </c>
      <c r="H3352" s="3" t="s">
        <v>6209</v>
      </c>
      <c r="I3352" s="8">
        <v>-2290</v>
      </c>
      <c r="J3352" s="8">
        <v>0</v>
      </c>
      <c r="K3352" s="8">
        <v>-2290</v>
      </c>
    </row>
    <row r="3353" spans="1:11" hidden="1" x14ac:dyDescent="0.25">
      <c r="A3353" s="3" t="s">
        <v>6210</v>
      </c>
      <c r="B3353" s="3">
        <v>33</v>
      </c>
      <c r="C3353" s="5">
        <v>300</v>
      </c>
      <c r="D3353" s="6">
        <v>0</v>
      </c>
      <c r="E3353" s="7">
        <v>692001</v>
      </c>
      <c r="F3353" s="3">
        <v>54300</v>
      </c>
      <c r="G3353" s="3" t="str">
        <f t="shared" si="52"/>
        <v>5</v>
      </c>
      <c r="H3353" s="3" t="s">
        <v>6211</v>
      </c>
      <c r="I3353" s="8">
        <v>290</v>
      </c>
      <c r="J3353" s="8">
        <v>0</v>
      </c>
      <c r="K3353" s="8">
        <v>290</v>
      </c>
    </row>
    <row r="3354" spans="1:11" hidden="1" x14ac:dyDescent="0.25">
      <c r="A3354" s="3" t="s">
        <v>6212</v>
      </c>
      <c r="B3354" s="3">
        <v>33</v>
      </c>
      <c r="C3354" s="5">
        <v>300</v>
      </c>
      <c r="D3354" s="6">
        <v>0</v>
      </c>
      <c r="E3354" s="7">
        <v>692001</v>
      </c>
      <c r="F3354" s="3">
        <v>55100</v>
      </c>
      <c r="G3354" s="3" t="str">
        <f t="shared" si="52"/>
        <v>5</v>
      </c>
      <c r="H3354" s="3" t="s">
        <v>6213</v>
      </c>
      <c r="I3354" s="8">
        <v>2000</v>
      </c>
      <c r="J3354" s="8">
        <v>0</v>
      </c>
      <c r="K3354" s="8">
        <v>2000</v>
      </c>
    </row>
    <row r="3355" spans="1:11" hidden="1" x14ac:dyDescent="0.25">
      <c r="A3355" s="3" t="s">
        <v>6214</v>
      </c>
      <c r="B3355" s="3">
        <v>33</v>
      </c>
      <c r="C3355" s="5">
        <v>300</v>
      </c>
      <c r="D3355" s="6">
        <v>0</v>
      </c>
      <c r="E3355" s="7">
        <v>760004</v>
      </c>
      <c r="F3355" s="3">
        <v>48890</v>
      </c>
      <c r="G3355" s="3" t="str">
        <f t="shared" ref="G3355:G3418" si="53">LEFT(F3355,1)</f>
        <v>4</v>
      </c>
      <c r="H3355" s="3" t="s">
        <v>6215</v>
      </c>
      <c r="I3355" s="8">
        <v>-965</v>
      </c>
      <c r="J3355" s="8">
        <v>0</v>
      </c>
      <c r="K3355" s="8">
        <v>-965</v>
      </c>
    </row>
    <row r="3356" spans="1:11" hidden="1" x14ac:dyDescent="0.25">
      <c r="A3356" s="3" t="s">
        <v>6216</v>
      </c>
      <c r="B3356" s="3">
        <v>33</v>
      </c>
      <c r="C3356" s="5">
        <v>300</v>
      </c>
      <c r="D3356" s="6">
        <v>0</v>
      </c>
      <c r="E3356" s="7">
        <v>760004</v>
      </c>
      <c r="F3356" s="3">
        <v>55240</v>
      </c>
      <c r="G3356" s="3" t="str">
        <f t="shared" si="53"/>
        <v>5</v>
      </c>
      <c r="H3356" s="3" t="s">
        <v>6217</v>
      </c>
      <c r="I3356" s="8">
        <v>965</v>
      </c>
      <c r="J3356" s="8">
        <v>0</v>
      </c>
      <c r="K3356" s="8">
        <v>965</v>
      </c>
    </row>
    <row r="3357" spans="1:11" hidden="1" x14ac:dyDescent="0.25">
      <c r="A3357" s="3" t="s">
        <v>6218</v>
      </c>
      <c r="B3357" s="3">
        <v>33</v>
      </c>
      <c r="C3357" s="5">
        <v>300</v>
      </c>
      <c r="D3357" s="6">
        <v>0</v>
      </c>
      <c r="E3357" s="7">
        <v>760023</v>
      </c>
      <c r="F3357" s="3">
        <v>48690</v>
      </c>
      <c r="G3357" s="3" t="str">
        <f t="shared" si="53"/>
        <v>4</v>
      </c>
      <c r="H3357" s="3" t="s">
        <v>6219</v>
      </c>
      <c r="I3357" s="8">
        <v>-2160</v>
      </c>
      <c r="J3357" s="8">
        <v>-2160</v>
      </c>
      <c r="K3357" s="8">
        <v>-2160</v>
      </c>
    </row>
    <row r="3358" spans="1:11" hidden="1" x14ac:dyDescent="0.25">
      <c r="A3358" s="3" t="s">
        <v>6220</v>
      </c>
      <c r="B3358" s="3">
        <v>33</v>
      </c>
      <c r="C3358" s="5">
        <v>300</v>
      </c>
      <c r="D3358" s="6">
        <v>0</v>
      </c>
      <c r="E3358" s="7">
        <v>760023</v>
      </c>
      <c r="F3358" s="3">
        <v>54300</v>
      </c>
      <c r="G3358" s="3" t="str">
        <f t="shared" si="53"/>
        <v>5</v>
      </c>
      <c r="H3358" s="3" t="s">
        <v>6221</v>
      </c>
      <c r="I3358" s="8">
        <v>2160</v>
      </c>
      <c r="J3358" s="8">
        <v>0</v>
      </c>
      <c r="K3358" s="8">
        <v>2160</v>
      </c>
    </row>
    <row r="3359" spans="1:11" hidden="1" x14ac:dyDescent="0.25">
      <c r="A3359" s="3" t="s">
        <v>6222</v>
      </c>
      <c r="B3359" s="3">
        <v>41</v>
      </c>
      <c r="C3359" s="5">
        <v>200</v>
      </c>
      <c r="D3359" s="6">
        <v>0</v>
      </c>
      <c r="E3359" s="7">
        <v>0</v>
      </c>
      <c r="F3359" s="3">
        <v>48816</v>
      </c>
      <c r="G3359" s="3" t="str">
        <f t="shared" si="53"/>
        <v>4</v>
      </c>
      <c r="H3359" s="3" t="s">
        <v>6223</v>
      </c>
      <c r="I3359" s="8">
        <v>-80000</v>
      </c>
      <c r="J3359" s="8">
        <v>-44201</v>
      </c>
      <c r="K3359" s="8">
        <v>-80000</v>
      </c>
    </row>
    <row r="3360" spans="1:11" hidden="1" x14ac:dyDescent="0.25">
      <c r="A3360" s="3" t="s">
        <v>6224</v>
      </c>
      <c r="B3360" s="3">
        <v>41</v>
      </c>
      <c r="C3360" s="5">
        <v>200</v>
      </c>
      <c r="D3360" s="6">
        <v>0</v>
      </c>
      <c r="E3360" s="7">
        <v>0</v>
      </c>
      <c r="F3360" s="3">
        <v>48818</v>
      </c>
      <c r="G3360" s="3" t="str">
        <f t="shared" si="53"/>
        <v>4</v>
      </c>
      <c r="H3360" s="3" t="s">
        <v>37</v>
      </c>
      <c r="I3360" s="8">
        <v>-120000</v>
      </c>
      <c r="J3360" s="8">
        <v>-98201.94</v>
      </c>
      <c r="K3360" s="8">
        <v>-120000</v>
      </c>
    </row>
    <row r="3361" spans="1:11" hidden="1" x14ac:dyDescent="0.25">
      <c r="A3361" s="3" t="s">
        <v>6225</v>
      </c>
      <c r="B3361" s="3">
        <v>41</v>
      </c>
      <c r="C3361" s="5">
        <v>200</v>
      </c>
      <c r="D3361" s="6">
        <v>0</v>
      </c>
      <c r="E3361" s="7">
        <v>0</v>
      </c>
      <c r="F3361" s="3">
        <v>48860</v>
      </c>
      <c r="G3361" s="3" t="str">
        <f t="shared" si="53"/>
        <v>4</v>
      </c>
      <c r="H3361" s="3" t="s">
        <v>41</v>
      </c>
      <c r="I3361" s="8">
        <v>-20881</v>
      </c>
      <c r="J3361" s="8">
        <v>-9941.48</v>
      </c>
      <c r="K3361" s="8">
        <v>-20881</v>
      </c>
    </row>
    <row r="3362" spans="1:11" hidden="1" x14ac:dyDescent="0.25">
      <c r="A3362" s="3" t="s">
        <v>6226</v>
      </c>
      <c r="B3362" s="3">
        <v>41</v>
      </c>
      <c r="C3362" s="5">
        <v>200</v>
      </c>
      <c r="D3362" s="6">
        <v>0</v>
      </c>
      <c r="E3362" s="7">
        <v>672020</v>
      </c>
      <c r="F3362" s="3">
        <v>55663</v>
      </c>
      <c r="G3362" s="3" t="str">
        <f t="shared" si="53"/>
        <v>5</v>
      </c>
      <c r="H3362" s="3" t="s">
        <v>743</v>
      </c>
      <c r="I3362" s="8">
        <v>0</v>
      </c>
      <c r="J3362" s="8">
        <v>485.83</v>
      </c>
      <c r="K3362" s="8">
        <v>0</v>
      </c>
    </row>
    <row r="3363" spans="1:11" hidden="1" x14ac:dyDescent="0.25">
      <c r="A3363" s="3" t="s">
        <v>6227</v>
      </c>
      <c r="B3363" s="3">
        <v>41</v>
      </c>
      <c r="C3363" s="5">
        <v>200</v>
      </c>
      <c r="D3363" s="6">
        <v>0</v>
      </c>
      <c r="E3363" s="7">
        <v>672020</v>
      </c>
      <c r="F3363" s="3">
        <v>55800</v>
      </c>
      <c r="G3363" s="3" t="str">
        <f t="shared" si="53"/>
        <v>5</v>
      </c>
      <c r="H3363" s="3" t="s">
        <v>747</v>
      </c>
      <c r="I3363" s="8">
        <v>0</v>
      </c>
      <c r="J3363" s="8">
        <v>467.5</v>
      </c>
      <c r="K3363" s="8">
        <v>0</v>
      </c>
    </row>
    <row r="3364" spans="1:11" hidden="1" x14ac:dyDescent="0.25">
      <c r="A3364" s="3" t="s">
        <v>6228</v>
      </c>
      <c r="B3364" s="3">
        <v>41</v>
      </c>
      <c r="C3364" s="5">
        <v>200</v>
      </c>
      <c r="D3364" s="6">
        <v>0</v>
      </c>
      <c r="E3364" s="7">
        <v>672020</v>
      </c>
      <c r="F3364" s="3">
        <v>56400</v>
      </c>
      <c r="G3364" s="3" t="str">
        <f t="shared" si="53"/>
        <v>5</v>
      </c>
      <c r="H3364" s="3" t="s">
        <v>6229</v>
      </c>
      <c r="I3364" s="8">
        <v>0</v>
      </c>
      <c r="J3364" s="8">
        <v>909.21</v>
      </c>
      <c r="K3364" s="8">
        <v>0</v>
      </c>
    </row>
    <row r="3365" spans="1:11" hidden="1" x14ac:dyDescent="0.25">
      <c r="A3365" s="3" t="s">
        <v>6230</v>
      </c>
      <c r="B3365" s="3">
        <v>41</v>
      </c>
      <c r="C3365" s="5">
        <v>210</v>
      </c>
      <c r="D3365" s="6">
        <v>0</v>
      </c>
      <c r="E3365" s="7">
        <v>672020</v>
      </c>
      <c r="F3365" s="3">
        <v>48890</v>
      </c>
      <c r="G3365" s="3" t="str">
        <f t="shared" si="53"/>
        <v>4</v>
      </c>
      <c r="H3365" s="3" t="s">
        <v>6231</v>
      </c>
      <c r="I3365" s="8">
        <v>0</v>
      </c>
      <c r="J3365" s="8">
        <v>-26318.89</v>
      </c>
      <c r="K3365" s="8">
        <v>0</v>
      </c>
    </row>
    <row r="3366" spans="1:11" hidden="1" x14ac:dyDescent="0.25">
      <c r="A3366" s="3" t="s">
        <v>6232</v>
      </c>
      <c r="B3366" s="3">
        <v>41</v>
      </c>
      <c r="C3366" s="5">
        <v>210</v>
      </c>
      <c r="D3366" s="6">
        <v>0</v>
      </c>
      <c r="E3366" s="7">
        <v>672020</v>
      </c>
      <c r="F3366" s="3">
        <v>55105</v>
      </c>
      <c r="G3366" s="3" t="str">
        <f t="shared" si="53"/>
        <v>5</v>
      </c>
      <c r="H3366" s="3" t="s">
        <v>727</v>
      </c>
      <c r="I3366" s="8">
        <v>0</v>
      </c>
      <c r="J3366" s="8">
        <v>-17.29</v>
      </c>
      <c r="K3366" s="8">
        <v>0</v>
      </c>
    </row>
    <row r="3367" spans="1:11" hidden="1" x14ac:dyDescent="0.25">
      <c r="A3367" s="3" t="s">
        <v>6233</v>
      </c>
      <c r="B3367" s="3">
        <v>41</v>
      </c>
      <c r="C3367" s="5">
        <v>210</v>
      </c>
      <c r="D3367" s="6">
        <v>0</v>
      </c>
      <c r="E3367" s="7">
        <v>672020</v>
      </c>
      <c r="F3367" s="3">
        <v>55600</v>
      </c>
      <c r="G3367" s="3" t="str">
        <f t="shared" si="53"/>
        <v>5</v>
      </c>
      <c r="H3367" s="3" t="s">
        <v>737</v>
      </c>
      <c r="I3367" s="8">
        <v>90101</v>
      </c>
      <c r="J3367" s="8">
        <v>82592.95</v>
      </c>
      <c r="K3367" s="8">
        <v>90101</v>
      </c>
    </row>
    <row r="3368" spans="1:11" hidden="1" x14ac:dyDescent="0.25">
      <c r="A3368" s="3" t="s">
        <v>6234</v>
      </c>
      <c r="B3368" s="3">
        <v>41</v>
      </c>
      <c r="C3368" s="5">
        <v>220</v>
      </c>
      <c r="D3368" s="6">
        <v>0</v>
      </c>
      <c r="E3368" s="7">
        <v>651000</v>
      </c>
      <c r="F3368" s="3">
        <v>55105</v>
      </c>
      <c r="G3368" s="3" t="str">
        <f t="shared" si="53"/>
        <v>5</v>
      </c>
      <c r="H3368" s="3" t="s">
        <v>6235</v>
      </c>
      <c r="I3368" s="8">
        <v>34600</v>
      </c>
      <c r="J3368" s="8">
        <v>30000</v>
      </c>
      <c r="K3368" s="8">
        <v>34600</v>
      </c>
    </row>
    <row r="3369" spans="1:11" hidden="1" x14ac:dyDescent="0.25">
      <c r="A3369" s="3" t="s">
        <v>6236</v>
      </c>
      <c r="B3369" s="3">
        <v>41</v>
      </c>
      <c r="C3369" s="5">
        <v>220</v>
      </c>
      <c r="D3369" s="6">
        <v>0</v>
      </c>
      <c r="E3369" s="7">
        <v>659010</v>
      </c>
      <c r="F3369" s="3">
        <v>48890</v>
      </c>
      <c r="G3369" s="3" t="str">
        <f t="shared" si="53"/>
        <v>4</v>
      </c>
      <c r="H3369" s="3" t="s">
        <v>6237</v>
      </c>
      <c r="I3369" s="8">
        <v>0</v>
      </c>
      <c r="J3369" s="8">
        <v>0</v>
      </c>
      <c r="K3369" s="8">
        <v>0</v>
      </c>
    </row>
    <row r="3370" spans="1:11" hidden="1" x14ac:dyDescent="0.25">
      <c r="A3370" s="3" t="s">
        <v>6238</v>
      </c>
      <c r="B3370" s="3">
        <v>41</v>
      </c>
      <c r="C3370" s="5">
        <v>220</v>
      </c>
      <c r="D3370" s="6">
        <v>0</v>
      </c>
      <c r="E3370" s="7">
        <v>659010</v>
      </c>
      <c r="F3370" s="3">
        <v>55105</v>
      </c>
      <c r="G3370" s="3" t="str">
        <f t="shared" si="53"/>
        <v>5</v>
      </c>
      <c r="H3370" s="3" t="s">
        <v>931</v>
      </c>
      <c r="I3370" s="8">
        <v>93400</v>
      </c>
      <c r="J3370" s="8">
        <v>64000</v>
      </c>
      <c r="K3370" s="8">
        <v>93400</v>
      </c>
    </row>
    <row r="3371" spans="1:11" hidden="1" x14ac:dyDescent="0.25">
      <c r="A3371" s="3" t="s">
        <v>6239</v>
      </c>
      <c r="B3371" s="3">
        <v>41</v>
      </c>
      <c r="C3371" s="5">
        <v>220</v>
      </c>
      <c r="D3371" s="6">
        <v>0</v>
      </c>
      <c r="E3371" s="7">
        <v>659010</v>
      </c>
      <c r="F3371" s="3">
        <v>56100</v>
      </c>
      <c r="G3371" s="3" t="str">
        <f t="shared" si="53"/>
        <v>5</v>
      </c>
      <c r="H3371" s="3" t="s">
        <v>6240</v>
      </c>
      <c r="I3371" s="8">
        <v>30000</v>
      </c>
      <c r="J3371" s="8">
        <v>0</v>
      </c>
      <c r="K3371" s="8">
        <v>30000</v>
      </c>
    </row>
    <row r="3372" spans="1:11" hidden="1" x14ac:dyDescent="0.25">
      <c r="A3372" s="3" t="s">
        <v>6241</v>
      </c>
      <c r="B3372" s="3">
        <v>41</v>
      </c>
      <c r="C3372" s="5">
        <v>220</v>
      </c>
      <c r="D3372" s="6">
        <v>2</v>
      </c>
      <c r="E3372" s="7">
        <v>651000</v>
      </c>
      <c r="F3372" s="3">
        <v>55105</v>
      </c>
      <c r="G3372" s="3" t="str">
        <f t="shared" si="53"/>
        <v>5</v>
      </c>
      <c r="H3372" s="3" t="s">
        <v>6235</v>
      </c>
      <c r="I3372" s="8">
        <v>0</v>
      </c>
      <c r="J3372" s="8">
        <v>0</v>
      </c>
      <c r="K3372" s="8">
        <v>0</v>
      </c>
    </row>
    <row r="3373" spans="1:11" hidden="1" x14ac:dyDescent="0.25">
      <c r="A3373" s="3" t="s">
        <v>6242</v>
      </c>
      <c r="B3373" s="3">
        <v>41</v>
      </c>
      <c r="C3373" s="5">
        <v>304</v>
      </c>
      <c r="D3373" s="6">
        <v>0</v>
      </c>
      <c r="E3373" s="7">
        <v>190200</v>
      </c>
      <c r="F3373" s="3">
        <v>56400</v>
      </c>
      <c r="G3373" s="3" t="str">
        <f t="shared" si="53"/>
        <v>5</v>
      </c>
      <c r="H3373" s="3" t="s">
        <v>6243</v>
      </c>
      <c r="I3373" s="8">
        <v>0</v>
      </c>
      <c r="J3373" s="8">
        <v>0</v>
      </c>
      <c r="K3373" s="8">
        <v>0</v>
      </c>
    </row>
    <row r="3374" spans="1:11" hidden="1" x14ac:dyDescent="0.25">
      <c r="A3374" s="3" t="s">
        <v>6244</v>
      </c>
      <c r="B3374" s="3">
        <v>41</v>
      </c>
      <c r="C3374" s="5">
        <v>600</v>
      </c>
      <c r="D3374" s="6">
        <v>0</v>
      </c>
      <c r="E3374" s="7">
        <v>678000</v>
      </c>
      <c r="F3374" s="3">
        <v>55105</v>
      </c>
      <c r="G3374" s="3" t="str">
        <f t="shared" si="53"/>
        <v>5</v>
      </c>
      <c r="H3374" s="3" t="s">
        <v>3315</v>
      </c>
      <c r="I3374" s="8">
        <v>0</v>
      </c>
      <c r="J3374" s="8">
        <v>2025</v>
      </c>
      <c r="K3374" s="8">
        <v>0</v>
      </c>
    </row>
    <row r="3375" spans="1:11" hidden="1" x14ac:dyDescent="0.25">
      <c r="A3375" s="3" t="s">
        <v>6245</v>
      </c>
      <c r="B3375" s="3">
        <v>41</v>
      </c>
      <c r="C3375" s="5">
        <v>600</v>
      </c>
      <c r="D3375" s="6">
        <v>0</v>
      </c>
      <c r="E3375" s="7">
        <v>678000</v>
      </c>
      <c r="F3375" s="3">
        <v>56400</v>
      </c>
      <c r="G3375" s="3" t="str">
        <f t="shared" si="53"/>
        <v>5</v>
      </c>
      <c r="H3375" s="3" t="s">
        <v>3333</v>
      </c>
      <c r="I3375" s="8">
        <v>250000</v>
      </c>
      <c r="J3375" s="8">
        <v>28254.07</v>
      </c>
      <c r="K3375" s="8">
        <v>250000</v>
      </c>
    </row>
    <row r="3376" spans="1:11" hidden="1" x14ac:dyDescent="0.25">
      <c r="A3376" s="3" t="s">
        <v>6246</v>
      </c>
      <c r="B3376" s="3">
        <v>41</v>
      </c>
      <c r="C3376" s="5">
        <v>600</v>
      </c>
      <c r="D3376" s="6">
        <v>0</v>
      </c>
      <c r="E3376" s="7">
        <v>678000</v>
      </c>
      <c r="F3376" s="3">
        <v>56405</v>
      </c>
      <c r="G3376" s="3" t="str">
        <f t="shared" si="53"/>
        <v>5</v>
      </c>
      <c r="H3376" s="3" t="s">
        <v>6247</v>
      </c>
      <c r="I3376" s="8">
        <v>0</v>
      </c>
      <c r="J3376" s="8">
        <v>0</v>
      </c>
      <c r="K3376" s="8">
        <v>0</v>
      </c>
    </row>
    <row r="3377" spans="1:11" hidden="1" x14ac:dyDescent="0.25">
      <c r="A3377" s="3" t="s">
        <v>6248</v>
      </c>
      <c r="B3377" s="3">
        <v>43</v>
      </c>
      <c r="C3377" s="5">
        <v>220</v>
      </c>
      <c r="D3377" s="6">
        <v>0</v>
      </c>
      <c r="E3377" s="7">
        <v>745003</v>
      </c>
      <c r="F3377" s="3">
        <v>56202</v>
      </c>
      <c r="G3377" s="3" t="str">
        <f t="shared" si="53"/>
        <v>5</v>
      </c>
      <c r="H3377" s="3" t="s">
        <v>6249</v>
      </c>
      <c r="I3377" s="8">
        <v>0</v>
      </c>
      <c r="J3377" s="8">
        <v>0</v>
      </c>
      <c r="K3377" s="8">
        <v>0</v>
      </c>
    </row>
    <row r="3378" spans="1:11" hidden="1" x14ac:dyDescent="0.25">
      <c r="A3378" s="3" t="s">
        <v>6250</v>
      </c>
      <c r="B3378" s="3">
        <v>44</v>
      </c>
      <c r="C3378" s="5">
        <v>0</v>
      </c>
      <c r="D3378" s="6">
        <v>0</v>
      </c>
      <c r="E3378" s="7">
        <v>0</v>
      </c>
      <c r="F3378" s="3">
        <v>55105</v>
      </c>
      <c r="G3378" s="3" t="str">
        <f t="shared" si="53"/>
        <v>5</v>
      </c>
      <c r="H3378" s="3" t="s">
        <v>6251</v>
      </c>
      <c r="I3378" s="8">
        <v>0</v>
      </c>
      <c r="J3378" s="8">
        <v>0</v>
      </c>
      <c r="K3378" s="8">
        <v>0</v>
      </c>
    </row>
    <row r="3379" spans="1:11" hidden="1" x14ac:dyDescent="0.25">
      <c r="A3379" s="3" t="s">
        <v>6252</v>
      </c>
      <c r="B3379" s="3">
        <v>44</v>
      </c>
      <c r="C3379" s="5">
        <v>200</v>
      </c>
      <c r="D3379" s="6">
        <v>0</v>
      </c>
      <c r="E3379" s="7">
        <v>0</v>
      </c>
      <c r="F3379" s="3">
        <v>48850</v>
      </c>
      <c r="G3379" s="3" t="str">
        <f t="shared" si="53"/>
        <v>4</v>
      </c>
      <c r="H3379" s="3" t="s">
        <v>6139</v>
      </c>
      <c r="I3379" s="8">
        <v>-422358</v>
      </c>
      <c r="J3379" s="8">
        <v>-292306.83</v>
      </c>
      <c r="K3379" s="8">
        <v>-422358</v>
      </c>
    </row>
    <row r="3380" spans="1:11" hidden="1" x14ac:dyDescent="0.25">
      <c r="A3380" s="3" t="s">
        <v>6253</v>
      </c>
      <c r="B3380" s="3">
        <v>44</v>
      </c>
      <c r="C3380" s="5">
        <v>200</v>
      </c>
      <c r="D3380" s="6">
        <v>0</v>
      </c>
      <c r="E3380" s="7">
        <v>0</v>
      </c>
      <c r="F3380" s="3">
        <v>48860</v>
      </c>
      <c r="G3380" s="3" t="str">
        <f t="shared" si="53"/>
        <v>4</v>
      </c>
      <c r="H3380" s="3" t="s">
        <v>41</v>
      </c>
      <c r="I3380" s="8">
        <v>-28104</v>
      </c>
      <c r="J3380" s="8">
        <v>-8806.3799999999992</v>
      </c>
      <c r="K3380" s="8">
        <v>-28104</v>
      </c>
    </row>
    <row r="3381" spans="1:11" hidden="1" x14ac:dyDescent="0.25">
      <c r="A3381" s="3" t="s">
        <v>6254</v>
      </c>
      <c r="B3381" s="3">
        <v>44</v>
      </c>
      <c r="C3381" s="5">
        <v>200</v>
      </c>
      <c r="D3381" s="6">
        <v>0</v>
      </c>
      <c r="E3381" s="7">
        <v>0</v>
      </c>
      <c r="F3381" s="3">
        <v>55105</v>
      </c>
      <c r="G3381" s="3" t="str">
        <f t="shared" si="53"/>
        <v>5</v>
      </c>
      <c r="H3381" s="3" t="s">
        <v>6251</v>
      </c>
      <c r="I3381" s="8">
        <v>0</v>
      </c>
      <c r="J3381" s="8">
        <v>3862</v>
      </c>
      <c r="K3381" s="8">
        <v>0</v>
      </c>
    </row>
    <row r="3382" spans="1:11" hidden="1" x14ac:dyDescent="0.25">
      <c r="A3382" s="3" t="s">
        <v>6255</v>
      </c>
      <c r="B3382" s="3">
        <v>44</v>
      </c>
      <c r="C3382" s="5">
        <v>200</v>
      </c>
      <c r="D3382" s="6">
        <v>0</v>
      </c>
      <c r="E3382" s="7">
        <v>0</v>
      </c>
      <c r="F3382" s="3">
        <v>55540</v>
      </c>
      <c r="G3382" s="3" t="str">
        <f t="shared" si="53"/>
        <v>5</v>
      </c>
      <c r="H3382" s="3" t="s">
        <v>6256</v>
      </c>
      <c r="I3382" s="8">
        <v>2300</v>
      </c>
      <c r="J3382" s="8">
        <v>883.2</v>
      </c>
      <c r="K3382" s="8">
        <v>2300</v>
      </c>
    </row>
    <row r="3383" spans="1:11" hidden="1" x14ac:dyDescent="0.25">
      <c r="A3383" s="3" t="s">
        <v>6257</v>
      </c>
      <c r="B3383" s="3">
        <v>44</v>
      </c>
      <c r="C3383" s="5">
        <v>200</v>
      </c>
      <c r="D3383" s="6">
        <v>0</v>
      </c>
      <c r="E3383" s="7">
        <v>0</v>
      </c>
      <c r="F3383" s="3">
        <v>55560</v>
      </c>
      <c r="G3383" s="3" t="str">
        <f t="shared" si="53"/>
        <v>5</v>
      </c>
      <c r="H3383" s="3" t="s">
        <v>6258</v>
      </c>
      <c r="I3383" s="8">
        <v>797</v>
      </c>
      <c r="J3383" s="8">
        <v>470.54</v>
      </c>
      <c r="K3383" s="8">
        <v>797</v>
      </c>
    </row>
    <row r="3384" spans="1:11" hidden="1" x14ac:dyDescent="0.25">
      <c r="A3384" s="3" t="s">
        <v>6259</v>
      </c>
      <c r="B3384" s="3">
        <v>44</v>
      </c>
      <c r="C3384" s="5">
        <v>200</v>
      </c>
      <c r="D3384" s="6">
        <v>0</v>
      </c>
      <c r="E3384" s="7">
        <v>0</v>
      </c>
      <c r="F3384" s="3">
        <v>55570</v>
      </c>
      <c r="G3384" s="3" t="str">
        <f t="shared" si="53"/>
        <v>5</v>
      </c>
      <c r="H3384" s="3" t="s">
        <v>6260</v>
      </c>
      <c r="I3384" s="8">
        <v>2910</v>
      </c>
      <c r="J3384" s="8">
        <v>2065.5</v>
      </c>
      <c r="K3384" s="8">
        <v>2910</v>
      </c>
    </row>
    <row r="3385" spans="1:11" hidden="1" x14ac:dyDescent="0.25">
      <c r="A3385" s="3" t="s">
        <v>6261</v>
      </c>
      <c r="B3385" s="3">
        <v>44</v>
      </c>
      <c r="C3385" s="5">
        <v>200</v>
      </c>
      <c r="D3385" s="6">
        <v>0</v>
      </c>
      <c r="E3385" s="7">
        <v>0</v>
      </c>
      <c r="F3385" s="3">
        <v>55580</v>
      </c>
      <c r="G3385" s="3" t="str">
        <f t="shared" si="53"/>
        <v>5</v>
      </c>
      <c r="H3385" s="3" t="s">
        <v>6262</v>
      </c>
      <c r="I3385" s="8">
        <v>691</v>
      </c>
      <c r="J3385" s="8">
        <v>509.84</v>
      </c>
      <c r="K3385" s="8">
        <v>691</v>
      </c>
    </row>
    <row r="3386" spans="1:11" hidden="1" x14ac:dyDescent="0.25">
      <c r="A3386" s="3" t="s">
        <v>6263</v>
      </c>
      <c r="B3386" s="3">
        <v>44</v>
      </c>
      <c r="C3386" s="5">
        <v>200</v>
      </c>
      <c r="D3386" s="6">
        <v>0</v>
      </c>
      <c r="E3386" s="7">
        <v>0</v>
      </c>
      <c r="F3386" s="3">
        <v>55600</v>
      </c>
      <c r="G3386" s="3" t="str">
        <f t="shared" si="53"/>
        <v>5</v>
      </c>
      <c r="H3386" s="3" t="s">
        <v>6139</v>
      </c>
      <c r="I3386" s="8">
        <v>9861</v>
      </c>
      <c r="J3386" s="8">
        <v>0</v>
      </c>
      <c r="K3386" s="8">
        <v>9861</v>
      </c>
    </row>
    <row r="3387" spans="1:11" hidden="1" x14ac:dyDescent="0.25">
      <c r="A3387" s="3" t="s">
        <v>6264</v>
      </c>
      <c r="B3387" s="3">
        <v>44</v>
      </c>
      <c r="C3387" s="5">
        <v>200</v>
      </c>
      <c r="D3387" s="6">
        <v>0</v>
      </c>
      <c r="E3387" s="7">
        <v>0</v>
      </c>
      <c r="F3387" s="3">
        <v>55642</v>
      </c>
      <c r="G3387" s="3" t="str">
        <f t="shared" si="53"/>
        <v>5</v>
      </c>
      <c r="H3387" s="3" t="s">
        <v>6265</v>
      </c>
      <c r="I3387" s="8">
        <v>10000</v>
      </c>
      <c r="J3387" s="8">
        <v>1420.5</v>
      </c>
      <c r="K3387" s="8">
        <v>10000</v>
      </c>
    </row>
    <row r="3388" spans="1:11" hidden="1" x14ac:dyDescent="0.25">
      <c r="A3388" s="3" t="s">
        <v>6266</v>
      </c>
      <c r="B3388" s="3">
        <v>44</v>
      </c>
      <c r="C3388" s="5">
        <v>200</v>
      </c>
      <c r="D3388" s="6">
        <v>0</v>
      </c>
      <c r="E3388" s="7">
        <v>0</v>
      </c>
      <c r="F3388" s="3">
        <v>55650</v>
      </c>
      <c r="G3388" s="3" t="str">
        <f t="shared" si="53"/>
        <v>5</v>
      </c>
      <c r="H3388" s="3" t="s">
        <v>6185</v>
      </c>
      <c r="I3388" s="8">
        <v>2340</v>
      </c>
      <c r="J3388" s="8">
        <v>1034.8499999999999</v>
      </c>
      <c r="K3388" s="8">
        <v>2340</v>
      </c>
    </row>
    <row r="3389" spans="1:11" hidden="1" x14ac:dyDescent="0.25">
      <c r="A3389" s="3" t="s">
        <v>6267</v>
      </c>
      <c r="B3389" s="3">
        <v>44</v>
      </c>
      <c r="C3389" s="5">
        <v>200</v>
      </c>
      <c r="D3389" s="6">
        <v>0</v>
      </c>
      <c r="E3389" s="7">
        <v>0</v>
      </c>
      <c r="F3389" s="3">
        <v>55651</v>
      </c>
      <c r="G3389" s="3" t="str">
        <f t="shared" si="53"/>
        <v>5</v>
      </c>
      <c r="H3389" s="3" t="s">
        <v>6187</v>
      </c>
      <c r="I3389" s="8">
        <v>0</v>
      </c>
      <c r="J3389" s="8">
        <v>298</v>
      </c>
      <c r="K3389" s="8">
        <v>0</v>
      </c>
    </row>
    <row r="3390" spans="1:11" hidden="1" x14ac:dyDescent="0.25">
      <c r="A3390" s="3" t="s">
        <v>6268</v>
      </c>
      <c r="B3390" s="3">
        <v>44</v>
      </c>
      <c r="C3390" s="5">
        <v>200</v>
      </c>
      <c r="D3390" s="6">
        <v>0</v>
      </c>
      <c r="E3390" s="7">
        <v>0</v>
      </c>
      <c r="F3390" s="3">
        <v>55800</v>
      </c>
      <c r="G3390" s="3" t="str">
        <f t="shared" si="53"/>
        <v>5</v>
      </c>
      <c r="H3390" s="3" t="s">
        <v>6269</v>
      </c>
      <c r="I3390" s="8">
        <v>28000</v>
      </c>
      <c r="J3390" s="8">
        <v>11732.07</v>
      </c>
      <c r="K3390" s="8">
        <v>28000</v>
      </c>
    </row>
    <row r="3391" spans="1:11" hidden="1" x14ac:dyDescent="0.25">
      <c r="A3391" s="3" t="s">
        <v>6270</v>
      </c>
      <c r="B3391" s="3">
        <v>44</v>
      </c>
      <c r="C3391" s="5">
        <v>200</v>
      </c>
      <c r="D3391" s="6">
        <v>0</v>
      </c>
      <c r="E3391" s="7">
        <v>0</v>
      </c>
      <c r="F3391" s="3">
        <v>56211</v>
      </c>
      <c r="G3391" s="3" t="str">
        <f t="shared" si="53"/>
        <v>5</v>
      </c>
      <c r="H3391" s="3" t="s">
        <v>6271</v>
      </c>
      <c r="I3391" s="8">
        <v>0</v>
      </c>
      <c r="J3391" s="8">
        <v>0</v>
      </c>
      <c r="K3391" s="8">
        <v>0</v>
      </c>
    </row>
    <row r="3392" spans="1:11" hidden="1" x14ac:dyDescent="0.25">
      <c r="A3392" s="3" t="s">
        <v>6272</v>
      </c>
      <c r="B3392" s="3">
        <v>44</v>
      </c>
      <c r="C3392" s="5">
        <v>200</v>
      </c>
      <c r="D3392" s="6">
        <v>0</v>
      </c>
      <c r="E3392" s="7">
        <v>0</v>
      </c>
      <c r="F3392" s="3">
        <v>56400</v>
      </c>
      <c r="G3392" s="3" t="str">
        <f t="shared" si="53"/>
        <v>5</v>
      </c>
      <c r="H3392" s="3" t="s">
        <v>6191</v>
      </c>
      <c r="I3392" s="8">
        <v>240</v>
      </c>
      <c r="J3392" s="8">
        <v>0</v>
      </c>
      <c r="K3392" s="8">
        <v>240</v>
      </c>
    </row>
    <row r="3393" spans="1:11" hidden="1" x14ac:dyDescent="0.25">
      <c r="A3393" s="3" t="s">
        <v>6273</v>
      </c>
      <c r="B3393" s="3">
        <v>44</v>
      </c>
      <c r="C3393" s="5">
        <v>200</v>
      </c>
      <c r="D3393" s="6">
        <v>1</v>
      </c>
      <c r="E3393" s="7">
        <v>0</v>
      </c>
      <c r="F3393" s="3">
        <v>55800</v>
      </c>
      <c r="G3393" s="3" t="str">
        <f t="shared" si="53"/>
        <v>5</v>
      </c>
      <c r="H3393" s="3" t="s">
        <v>6269</v>
      </c>
      <c r="I3393" s="8">
        <v>0</v>
      </c>
      <c r="J3393" s="8">
        <v>7076.91</v>
      </c>
      <c r="K3393" s="8">
        <v>0</v>
      </c>
    </row>
    <row r="3394" spans="1:11" hidden="1" x14ac:dyDescent="0.25">
      <c r="A3394" s="3" t="s">
        <v>6274</v>
      </c>
      <c r="B3394" s="3">
        <v>44</v>
      </c>
      <c r="C3394" s="5">
        <v>200</v>
      </c>
      <c r="D3394" s="6">
        <v>5</v>
      </c>
      <c r="E3394" s="7">
        <v>0</v>
      </c>
      <c r="F3394" s="3">
        <v>55800</v>
      </c>
      <c r="G3394" s="3" t="str">
        <f t="shared" si="53"/>
        <v>5</v>
      </c>
      <c r="H3394" s="3" t="s">
        <v>6269</v>
      </c>
      <c r="I3394" s="8">
        <v>0</v>
      </c>
      <c r="J3394" s="8">
        <v>246.94</v>
      </c>
      <c r="K3394" s="8">
        <v>0</v>
      </c>
    </row>
    <row r="3395" spans="1:11" hidden="1" x14ac:dyDescent="0.25">
      <c r="A3395" s="3" t="s">
        <v>6275</v>
      </c>
      <c r="B3395" s="3">
        <v>44</v>
      </c>
      <c r="C3395" s="5">
        <v>220</v>
      </c>
      <c r="D3395" s="6">
        <v>0</v>
      </c>
      <c r="E3395" s="7">
        <v>0</v>
      </c>
      <c r="F3395" s="3">
        <v>55105</v>
      </c>
      <c r="G3395" s="3" t="str">
        <f t="shared" si="53"/>
        <v>5</v>
      </c>
      <c r="H3395" s="3" t="s">
        <v>6251</v>
      </c>
      <c r="I3395" s="8">
        <v>87000</v>
      </c>
      <c r="J3395" s="8">
        <v>41146.68</v>
      </c>
      <c r="K3395" s="8">
        <v>87000</v>
      </c>
    </row>
    <row r="3396" spans="1:11" hidden="1" x14ac:dyDescent="0.25">
      <c r="A3396" s="3" t="s">
        <v>6276</v>
      </c>
      <c r="B3396" s="3">
        <v>44</v>
      </c>
      <c r="C3396" s="5">
        <v>220</v>
      </c>
      <c r="D3396" s="6">
        <v>0</v>
      </c>
      <c r="E3396" s="7">
        <v>0</v>
      </c>
      <c r="F3396" s="3">
        <v>55800</v>
      </c>
      <c r="G3396" s="3" t="str">
        <f t="shared" si="53"/>
        <v>5</v>
      </c>
      <c r="H3396" s="3" t="s">
        <v>6269</v>
      </c>
      <c r="I3396" s="8">
        <v>0</v>
      </c>
      <c r="J3396" s="8">
        <v>0</v>
      </c>
      <c r="K3396" s="8">
        <v>0</v>
      </c>
    </row>
    <row r="3397" spans="1:11" hidden="1" x14ac:dyDescent="0.25">
      <c r="A3397" s="3" t="s">
        <v>6277</v>
      </c>
      <c r="B3397" s="3">
        <v>44</v>
      </c>
      <c r="C3397" s="5">
        <v>220</v>
      </c>
      <c r="D3397" s="6">
        <v>0</v>
      </c>
      <c r="E3397" s="7">
        <v>0</v>
      </c>
      <c r="F3397" s="3">
        <v>56203</v>
      </c>
      <c r="G3397" s="3" t="str">
        <f t="shared" si="53"/>
        <v>5</v>
      </c>
      <c r="H3397" s="3" t="s">
        <v>6278</v>
      </c>
      <c r="I3397" s="8">
        <v>0</v>
      </c>
      <c r="J3397" s="8">
        <v>0</v>
      </c>
      <c r="K3397" s="8">
        <v>0</v>
      </c>
    </row>
    <row r="3398" spans="1:11" hidden="1" x14ac:dyDescent="0.25">
      <c r="A3398" s="3" t="s">
        <v>6279</v>
      </c>
      <c r="B3398" s="3">
        <v>44</v>
      </c>
      <c r="C3398" s="5">
        <v>220</v>
      </c>
      <c r="D3398" s="6">
        <v>0</v>
      </c>
      <c r="E3398" s="7">
        <v>0</v>
      </c>
      <c r="F3398" s="3">
        <v>56225</v>
      </c>
      <c r="G3398" s="3" t="str">
        <f t="shared" si="53"/>
        <v>5</v>
      </c>
      <c r="H3398" s="3" t="s">
        <v>6280</v>
      </c>
      <c r="I3398" s="8">
        <v>0</v>
      </c>
      <c r="J3398" s="8">
        <v>0</v>
      </c>
      <c r="K3398" s="8">
        <v>0</v>
      </c>
    </row>
    <row r="3399" spans="1:11" hidden="1" x14ac:dyDescent="0.25">
      <c r="A3399" s="3" t="s">
        <v>6281</v>
      </c>
      <c r="B3399" s="3">
        <v>44</v>
      </c>
      <c r="C3399" s="5">
        <v>220</v>
      </c>
      <c r="D3399" s="6">
        <v>0</v>
      </c>
      <c r="E3399" s="7">
        <v>0</v>
      </c>
      <c r="F3399" s="3">
        <v>56400</v>
      </c>
      <c r="G3399" s="3" t="str">
        <f t="shared" si="53"/>
        <v>5</v>
      </c>
      <c r="H3399" s="3" t="s">
        <v>6191</v>
      </c>
      <c r="I3399" s="8">
        <v>0</v>
      </c>
      <c r="J3399" s="8">
        <v>0</v>
      </c>
      <c r="K3399" s="8">
        <v>0</v>
      </c>
    </row>
    <row r="3400" spans="1:11" hidden="1" x14ac:dyDescent="0.25">
      <c r="A3400" s="3" t="s">
        <v>6282</v>
      </c>
      <c r="B3400" s="3">
        <v>44</v>
      </c>
      <c r="C3400" s="5">
        <v>220</v>
      </c>
      <c r="D3400" s="6">
        <v>0</v>
      </c>
      <c r="E3400" s="7">
        <v>0</v>
      </c>
      <c r="F3400" s="3">
        <v>56405</v>
      </c>
      <c r="G3400" s="3" t="str">
        <f t="shared" si="53"/>
        <v>5</v>
      </c>
      <c r="H3400" s="3" t="s">
        <v>6283</v>
      </c>
      <c r="I3400" s="8">
        <v>37760</v>
      </c>
      <c r="J3400" s="8">
        <v>37509.85</v>
      </c>
      <c r="K3400" s="8">
        <v>37760</v>
      </c>
    </row>
    <row r="3401" spans="1:11" hidden="1" x14ac:dyDescent="0.25">
      <c r="A3401" s="3" t="s">
        <v>6284</v>
      </c>
      <c r="B3401" s="3">
        <v>44</v>
      </c>
      <c r="C3401" s="5">
        <v>340</v>
      </c>
      <c r="D3401" s="6">
        <v>0</v>
      </c>
      <c r="E3401" s="7">
        <v>0</v>
      </c>
      <c r="F3401" s="3">
        <v>56224</v>
      </c>
      <c r="G3401" s="3" t="str">
        <f t="shared" si="53"/>
        <v>5</v>
      </c>
      <c r="H3401" s="3" t="s">
        <v>6285</v>
      </c>
      <c r="I3401" s="8">
        <v>0</v>
      </c>
      <c r="J3401" s="8">
        <v>0</v>
      </c>
      <c r="K3401" s="8">
        <v>0</v>
      </c>
    </row>
    <row r="3402" spans="1:11" hidden="1" x14ac:dyDescent="0.25">
      <c r="A3402" s="3" t="s">
        <v>6286</v>
      </c>
      <c r="B3402" s="3">
        <v>46</v>
      </c>
      <c r="C3402" s="5">
        <v>0</v>
      </c>
      <c r="D3402" s="6">
        <v>0</v>
      </c>
      <c r="E3402" s="7">
        <v>0</v>
      </c>
      <c r="F3402" s="3">
        <v>48860</v>
      </c>
      <c r="G3402" s="3" t="str">
        <f t="shared" si="53"/>
        <v>4</v>
      </c>
      <c r="H3402" s="3" t="s">
        <v>41</v>
      </c>
      <c r="I3402" s="8">
        <v>-1500000</v>
      </c>
      <c r="J3402" s="8">
        <v>-640983.54</v>
      </c>
      <c r="K3402" s="8">
        <v>-1500000</v>
      </c>
    </row>
    <row r="3403" spans="1:11" hidden="1" x14ac:dyDescent="0.25">
      <c r="A3403" s="3" t="s">
        <v>6287</v>
      </c>
      <c r="B3403" s="3">
        <v>46</v>
      </c>
      <c r="C3403" s="5">
        <v>0</v>
      </c>
      <c r="D3403" s="6">
        <v>0</v>
      </c>
      <c r="E3403" s="7">
        <v>0</v>
      </c>
      <c r="F3403" s="3">
        <v>56400</v>
      </c>
      <c r="G3403" s="3" t="str">
        <f t="shared" si="53"/>
        <v>5</v>
      </c>
      <c r="H3403" s="3" t="s">
        <v>6191</v>
      </c>
      <c r="I3403" s="8">
        <v>44111354.670000002</v>
      </c>
      <c r="J3403" s="8">
        <v>0</v>
      </c>
      <c r="K3403" s="8">
        <v>44111354.670000002</v>
      </c>
    </row>
    <row r="3404" spans="1:11" hidden="1" x14ac:dyDescent="0.25">
      <c r="A3404" s="3" t="s">
        <v>6288</v>
      </c>
      <c r="B3404" s="3">
        <v>46</v>
      </c>
      <c r="C3404" s="5">
        <v>0</v>
      </c>
      <c r="D3404" s="6">
        <v>0</v>
      </c>
      <c r="E3404" s="7">
        <v>801000</v>
      </c>
      <c r="F3404" s="3">
        <v>52105</v>
      </c>
      <c r="G3404" s="3" t="str">
        <f t="shared" si="53"/>
        <v>5</v>
      </c>
      <c r="H3404" s="3" t="s">
        <v>6289</v>
      </c>
      <c r="I3404" s="8">
        <v>133622.04</v>
      </c>
      <c r="J3404" s="8">
        <v>99254.81</v>
      </c>
      <c r="K3404" s="8">
        <v>133622.04</v>
      </c>
    </row>
    <row r="3405" spans="1:11" hidden="1" x14ac:dyDescent="0.25">
      <c r="A3405" s="3" t="s">
        <v>6290</v>
      </c>
      <c r="B3405" s="3">
        <v>46</v>
      </c>
      <c r="C3405" s="5">
        <v>0</v>
      </c>
      <c r="D3405" s="6">
        <v>0</v>
      </c>
      <c r="E3405" s="7">
        <v>801000</v>
      </c>
      <c r="F3405" s="3">
        <v>52130</v>
      </c>
      <c r="G3405" s="3" t="str">
        <f t="shared" si="53"/>
        <v>5</v>
      </c>
      <c r="H3405" s="3" t="s">
        <v>6291</v>
      </c>
      <c r="I3405" s="8">
        <v>137973.6</v>
      </c>
      <c r="J3405" s="8">
        <v>103480.29</v>
      </c>
      <c r="K3405" s="8">
        <v>137973.6</v>
      </c>
    </row>
    <row r="3406" spans="1:11" hidden="1" x14ac:dyDescent="0.25">
      <c r="A3406" s="3" t="s">
        <v>6292</v>
      </c>
      <c r="B3406" s="3">
        <v>46</v>
      </c>
      <c r="C3406" s="5">
        <v>0</v>
      </c>
      <c r="D3406" s="6">
        <v>0</v>
      </c>
      <c r="E3406" s="7">
        <v>801000</v>
      </c>
      <c r="F3406" s="3">
        <v>53000</v>
      </c>
      <c r="G3406" s="3" t="str">
        <f t="shared" si="53"/>
        <v>5</v>
      </c>
      <c r="H3406" s="3" t="s">
        <v>6293</v>
      </c>
      <c r="I3406" s="8">
        <v>0</v>
      </c>
      <c r="J3406" s="8">
        <v>0</v>
      </c>
      <c r="K3406" s="8">
        <v>0</v>
      </c>
    </row>
    <row r="3407" spans="1:11" hidden="1" x14ac:dyDescent="0.25">
      <c r="A3407" s="3" t="s">
        <v>6294</v>
      </c>
      <c r="B3407" s="3">
        <v>46</v>
      </c>
      <c r="C3407" s="5">
        <v>0</v>
      </c>
      <c r="D3407" s="6">
        <v>0</v>
      </c>
      <c r="E3407" s="7">
        <v>801000</v>
      </c>
      <c r="F3407" s="3">
        <v>53220</v>
      </c>
      <c r="G3407" s="3" t="str">
        <f t="shared" si="53"/>
        <v>5</v>
      </c>
      <c r="H3407" s="3" t="s">
        <v>6295</v>
      </c>
      <c r="I3407" s="8">
        <v>56220.3</v>
      </c>
      <c r="J3407" s="8">
        <v>41968.56</v>
      </c>
      <c r="K3407" s="8">
        <v>56220.3</v>
      </c>
    </row>
    <row r="3408" spans="1:11" hidden="1" x14ac:dyDescent="0.25">
      <c r="A3408" s="3" t="s">
        <v>6296</v>
      </c>
      <c r="B3408" s="3">
        <v>46</v>
      </c>
      <c r="C3408" s="5">
        <v>0</v>
      </c>
      <c r="D3408" s="6">
        <v>0</v>
      </c>
      <c r="E3408" s="7">
        <v>801000</v>
      </c>
      <c r="F3408" s="3">
        <v>53320</v>
      </c>
      <c r="G3408" s="3" t="str">
        <f t="shared" si="53"/>
        <v>5</v>
      </c>
      <c r="H3408" s="3" t="s">
        <v>6297</v>
      </c>
      <c r="I3408" s="8">
        <v>16838.919999999998</v>
      </c>
      <c r="J3408" s="8">
        <v>11514.01</v>
      </c>
      <c r="K3408" s="8">
        <v>16838.919999999998</v>
      </c>
    </row>
    <row r="3409" spans="1:11" hidden="1" x14ac:dyDescent="0.25">
      <c r="A3409" s="3" t="s">
        <v>6298</v>
      </c>
      <c r="B3409" s="3">
        <v>46</v>
      </c>
      <c r="C3409" s="5">
        <v>0</v>
      </c>
      <c r="D3409" s="6">
        <v>0</v>
      </c>
      <c r="E3409" s="7">
        <v>801000</v>
      </c>
      <c r="F3409" s="3">
        <v>53340</v>
      </c>
      <c r="G3409" s="3" t="str">
        <f t="shared" si="53"/>
        <v>5</v>
      </c>
      <c r="H3409" s="3" t="s">
        <v>6299</v>
      </c>
      <c r="I3409" s="8">
        <v>3938.14</v>
      </c>
      <c r="J3409" s="8">
        <v>2912.61</v>
      </c>
      <c r="K3409" s="8">
        <v>3938.14</v>
      </c>
    </row>
    <row r="3410" spans="1:11" hidden="1" x14ac:dyDescent="0.25">
      <c r="A3410" s="3" t="s">
        <v>6300</v>
      </c>
      <c r="B3410" s="3">
        <v>46</v>
      </c>
      <c r="C3410" s="5">
        <v>0</v>
      </c>
      <c r="D3410" s="6">
        <v>0</v>
      </c>
      <c r="E3410" s="7">
        <v>801000</v>
      </c>
      <c r="F3410" s="3">
        <v>53420</v>
      </c>
      <c r="G3410" s="3" t="str">
        <f t="shared" si="53"/>
        <v>5</v>
      </c>
      <c r="H3410" s="3" t="s">
        <v>6301</v>
      </c>
      <c r="I3410" s="8">
        <v>88171.45</v>
      </c>
      <c r="J3410" s="8">
        <v>56972.47</v>
      </c>
      <c r="K3410" s="8">
        <v>88171.45</v>
      </c>
    </row>
    <row r="3411" spans="1:11" hidden="1" x14ac:dyDescent="0.25">
      <c r="A3411" s="3" t="s">
        <v>6302</v>
      </c>
      <c r="B3411" s="3">
        <v>46</v>
      </c>
      <c r="C3411" s="5">
        <v>0</v>
      </c>
      <c r="D3411" s="6">
        <v>0</v>
      </c>
      <c r="E3411" s="7">
        <v>801000</v>
      </c>
      <c r="F3411" s="3">
        <v>53520</v>
      </c>
      <c r="G3411" s="3" t="str">
        <f t="shared" si="53"/>
        <v>5</v>
      </c>
      <c r="H3411" s="3" t="s">
        <v>6303</v>
      </c>
      <c r="I3411" s="8">
        <v>135.80000000000001</v>
      </c>
      <c r="J3411" s="8">
        <v>101.36</v>
      </c>
      <c r="K3411" s="8">
        <v>135.80000000000001</v>
      </c>
    </row>
    <row r="3412" spans="1:11" hidden="1" x14ac:dyDescent="0.25">
      <c r="A3412" s="3" t="s">
        <v>6304</v>
      </c>
      <c r="B3412" s="3">
        <v>46</v>
      </c>
      <c r="C3412" s="5">
        <v>0</v>
      </c>
      <c r="D3412" s="6">
        <v>0</v>
      </c>
      <c r="E3412" s="7">
        <v>801000</v>
      </c>
      <c r="F3412" s="3">
        <v>53620</v>
      </c>
      <c r="G3412" s="3" t="str">
        <f t="shared" si="53"/>
        <v>5</v>
      </c>
      <c r="H3412" s="3" t="s">
        <v>6305</v>
      </c>
      <c r="I3412" s="8">
        <v>5135.32</v>
      </c>
      <c r="J3412" s="8">
        <v>3838.52</v>
      </c>
      <c r="K3412" s="8">
        <v>5135.32</v>
      </c>
    </row>
    <row r="3413" spans="1:11" hidden="1" x14ac:dyDescent="0.25">
      <c r="A3413" s="3" t="s">
        <v>6306</v>
      </c>
      <c r="B3413" s="3">
        <v>46</v>
      </c>
      <c r="C3413" s="5">
        <v>0</v>
      </c>
      <c r="D3413" s="6">
        <v>0</v>
      </c>
      <c r="E3413" s="7">
        <v>801000</v>
      </c>
      <c r="F3413" s="3">
        <v>55630</v>
      </c>
      <c r="G3413" s="3" t="str">
        <f t="shared" si="53"/>
        <v>5</v>
      </c>
      <c r="H3413" s="3" t="s">
        <v>6307</v>
      </c>
      <c r="I3413" s="8">
        <v>2500</v>
      </c>
      <c r="J3413" s="8">
        <v>645.26</v>
      </c>
      <c r="K3413" s="8">
        <v>2500</v>
      </c>
    </row>
    <row r="3414" spans="1:11" hidden="1" x14ac:dyDescent="0.25">
      <c r="A3414" s="3" t="s">
        <v>6308</v>
      </c>
      <c r="B3414" s="3">
        <v>46</v>
      </c>
      <c r="C3414" s="5">
        <v>0</v>
      </c>
      <c r="D3414" s="6">
        <v>0</v>
      </c>
      <c r="E3414" s="7">
        <v>801000</v>
      </c>
      <c r="F3414" s="3">
        <v>55700</v>
      </c>
      <c r="G3414" s="3" t="str">
        <f t="shared" si="53"/>
        <v>5</v>
      </c>
      <c r="H3414" s="3" t="s">
        <v>6309</v>
      </c>
      <c r="I3414" s="8">
        <v>12000</v>
      </c>
      <c r="J3414" s="8">
        <v>0</v>
      </c>
      <c r="K3414" s="8">
        <v>12000</v>
      </c>
    </row>
    <row r="3415" spans="1:11" hidden="1" x14ac:dyDescent="0.25">
      <c r="A3415" s="3" t="s">
        <v>6310</v>
      </c>
      <c r="B3415" s="3">
        <v>46</v>
      </c>
      <c r="C3415" s="5">
        <v>0</v>
      </c>
      <c r="D3415" s="6">
        <v>0</v>
      </c>
      <c r="E3415" s="7">
        <v>801000</v>
      </c>
      <c r="F3415" s="3">
        <v>55710</v>
      </c>
      <c r="G3415" s="3" t="str">
        <f t="shared" si="53"/>
        <v>5</v>
      </c>
      <c r="H3415" s="3" t="s">
        <v>6311</v>
      </c>
      <c r="I3415" s="8">
        <v>0</v>
      </c>
      <c r="J3415" s="8">
        <v>-341515.21</v>
      </c>
      <c r="K3415" s="8">
        <v>0</v>
      </c>
    </row>
    <row r="3416" spans="1:11" hidden="1" x14ac:dyDescent="0.25">
      <c r="A3416" s="3" t="s">
        <v>6312</v>
      </c>
      <c r="B3416" s="3">
        <v>46</v>
      </c>
      <c r="C3416" s="5">
        <v>1</v>
      </c>
      <c r="D3416" s="6">
        <v>0</v>
      </c>
      <c r="E3416" s="7">
        <v>880000</v>
      </c>
      <c r="F3416" s="3">
        <v>54300</v>
      </c>
      <c r="G3416" s="3" t="str">
        <f t="shared" si="53"/>
        <v>5</v>
      </c>
      <c r="H3416" s="3" t="s">
        <v>6313</v>
      </c>
      <c r="I3416" s="8">
        <v>1000</v>
      </c>
      <c r="J3416" s="8">
        <v>63.38</v>
      </c>
      <c r="K3416" s="8">
        <v>1000</v>
      </c>
    </row>
    <row r="3417" spans="1:11" hidden="1" x14ac:dyDescent="0.25">
      <c r="A3417" s="3" t="s">
        <v>6314</v>
      </c>
      <c r="B3417" s="3">
        <v>46</v>
      </c>
      <c r="C3417" s="5">
        <v>1</v>
      </c>
      <c r="D3417" s="6">
        <v>0</v>
      </c>
      <c r="E3417" s="7">
        <v>880000</v>
      </c>
      <c r="F3417" s="3">
        <v>55200</v>
      </c>
      <c r="G3417" s="3" t="str">
        <f t="shared" si="53"/>
        <v>5</v>
      </c>
      <c r="H3417" s="3" t="s">
        <v>6315</v>
      </c>
      <c r="I3417" s="8">
        <v>1305</v>
      </c>
      <c r="J3417" s="8">
        <v>631.15</v>
      </c>
      <c r="K3417" s="8">
        <v>1305</v>
      </c>
    </row>
    <row r="3418" spans="1:11" hidden="1" x14ac:dyDescent="0.25">
      <c r="A3418" s="3" t="s">
        <v>6316</v>
      </c>
      <c r="B3418" s="3">
        <v>46</v>
      </c>
      <c r="C3418" s="5">
        <v>1</v>
      </c>
      <c r="D3418" s="6">
        <v>0</v>
      </c>
      <c r="E3418" s="7">
        <v>880000</v>
      </c>
      <c r="F3418" s="3">
        <v>55635</v>
      </c>
      <c r="G3418" s="3" t="str">
        <f t="shared" si="53"/>
        <v>5</v>
      </c>
      <c r="H3418" s="3" t="s">
        <v>6317</v>
      </c>
      <c r="I3418" s="8">
        <v>0</v>
      </c>
      <c r="J3418" s="8">
        <v>0</v>
      </c>
      <c r="K3418" s="8">
        <v>0</v>
      </c>
    </row>
    <row r="3419" spans="1:11" hidden="1" x14ac:dyDescent="0.25">
      <c r="A3419" s="3" t="s">
        <v>6318</v>
      </c>
      <c r="B3419" s="3">
        <v>46</v>
      </c>
      <c r="C3419" s="5">
        <v>1</v>
      </c>
      <c r="D3419" s="6">
        <v>0</v>
      </c>
      <c r="E3419" s="7">
        <v>880000</v>
      </c>
      <c r="F3419" s="3">
        <v>55700</v>
      </c>
      <c r="G3419" s="3" t="str">
        <f t="shared" ref="G3419:G3482" si="54">LEFT(F3419,1)</f>
        <v>5</v>
      </c>
      <c r="H3419" s="3" t="s">
        <v>6319</v>
      </c>
      <c r="I3419" s="8">
        <v>10000</v>
      </c>
      <c r="J3419" s="8">
        <v>9319.5</v>
      </c>
      <c r="K3419" s="8">
        <v>10000</v>
      </c>
    </row>
    <row r="3420" spans="1:11" hidden="1" x14ac:dyDescent="0.25">
      <c r="A3420" s="3" t="s">
        <v>6320</v>
      </c>
      <c r="B3420" s="3">
        <v>46</v>
      </c>
      <c r="C3420" s="5">
        <v>1</v>
      </c>
      <c r="D3420" s="6">
        <v>0</v>
      </c>
      <c r="E3420" s="7">
        <v>880100</v>
      </c>
      <c r="F3420" s="3">
        <v>55200</v>
      </c>
      <c r="G3420" s="3" t="str">
        <f t="shared" si="54"/>
        <v>5</v>
      </c>
      <c r="H3420" s="3" t="s">
        <v>6321</v>
      </c>
      <c r="I3420" s="8">
        <v>0</v>
      </c>
      <c r="J3420" s="8">
        <v>119.5</v>
      </c>
      <c r="K3420" s="8">
        <v>0</v>
      </c>
    </row>
    <row r="3421" spans="1:11" hidden="1" x14ac:dyDescent="0.25">
      <c r="A3421" s="3" t="s">
        <v>6322</v>
      </c>
      <c r="B3421" s="3">
        <v>46</v>
      </c>
      <c r="C3421" s="5">
        <v>1</v>
      </c>
      <c r="D3421" s="6">
        <v>0</v>
      </c>
      <c r="E3421" s="7">
        <v>880200</v>
      </c>
      <c r="F3421" s="3">
        <v>56203</v>
      </c>
      <c r="G3421" s="3" t="str">
        <f t="shared" si="54"/>
        <v>5</v>
      </c>
      <c r="H3421" s="3" t="s">
        <v>6323</v>
      </c>
      <c r="I3421" s="8">
        <v>338200</v>
      </c>
      <c r="J3421" s="8">
        <v>136000</v>
      </c>
      <c r="K3421" s="8">
        <v>338200</v>
      </c>
    </row>
    <row r="3422" spans="1:11" hidden="1" x14ac:dyDescent="0.25">
      <c r="A3422" s="3" t="s">
        <v>6324</v>
      </c>
      <c r="B3422" s="3">
        <v>46</v>
      </c>
      <c r="C3422" s="5">
        <v>1</v>
      </c>
      <c r="D3422" s="6">
        <v>0</v>
      </c>
      <c r="E3422" s="7">
        <v>880200</v>
      </c>
      <c r="F3422" s="3">
        <v>56210</v>
      </c>
      <c r="G3422" s="3" t="str">
        <f t="shared" si="54"/>
        <v>5</v>
      </c>
      <c r="H3422" s="3" t="s">
        <v>6325</v>
      </c>
      <c r="I3422" s="8">
        <v>273165</v>
      </c>
      <c r="J3422" s="8">
        <v>98621.56</v>
      </c>
      <c r="K3422" s="8">
        <v>273165</v>
      </c>
    </row>
    <row r="3423" spans="1:11" hidden="1" x14ac:dyDescent="0.25">
      <c r="A3423" s="3" t="s">
        <v>6326</v>
      </c>
      <c r="B3423" s="3">
        <v>46</v>
      </c>
      <c r="C3423" s="5">
        <v>1</v>
      </c>
      <c r="D3423" s="6">
        <v>0</v>
      </c>
      <c r="E3423" s="7">
        <v>880200</v>
      </c>
      <c r="F3423" s="3">
        <v>56220</v>
      </c>
      <c r="G3423" s="3" t="str">
        <f t="shared" si="54"/>
        <v>5</v>
      </c>
      <c r="H3423" s="3" t="s">
        <v>6327</v>
      </c>
      <c r="I3423" s="8">
        <v>0</v>
      </c>
      <c r="J3423" s="8">
        <v>21390.12</v>
      </c>
      <c r="K3423" s="8">
        <v>0</v>
      </c>
    </row>
    <row r="3424" spans="1:11" hidden="1" x14ac:dyDescent="0.25">
      <c r="A3424" s="3" t="s">
        <v>6328</v>
      </c>
      <c r="B3424" s="3">
        <v>46</v>
      </c>
      <c r="C3424" s="5">
        <v>1</v>
      </c>
      <c r="D3424" s="6">
        <v>0</v>
      </c>
      <c r="E3424" s="7">
        <v>880200</v>
      </c>
      <c r="F3424" s="3">
        <v>56222</v>
      </c>
      <c r="G3424" s="3" t="str">
        <f t="shared" si="54"/>
        <v>5</v>
      </c>
      <c r="H3424" s="3" t="s">
        <v>6329</v>
      </c>
      <c r="I3424" s="8">
        <v>22000</v>
      </c>
      <c r="J3424" s="8">
        <v>21390.12</v>
      </c>
      <c r="K3424" s="8">
        <v>22000</v>
      </c>
    </row>
    <row r="3425" spans="1:11" hidden="1" x14ac:dyDescent="0.25">
      <c r="A3425" s="3" t="s">
        <v>6330</v>
      </c>
      <c r="B3425" s="3">
        <v>46</v>
      </c>
      <c r="C3425" s="5">
        <v>1</v>
      </c>
      <c r="D3425" s="6">
        <v>0</v>
      </c>
      <c r="E3425" s="7">
        <v>880200</v>
      </c>
      <c r="F3425" s="3">
        <v>56223</v>
      </c>
      <c r="G3425" s="3" t="str">
        <f t="shared" si="54"/>
        <v>5</v>
      </c>
      <c r="H3425" s="3" t="s">
        <v>6331</v>
      </c>
      <c r="I3425" s="8">
        <v>25620</v>
      </c>
      <c r="J3425" s="8">
        <v>3818.75</v>
      </c>
      <c r="K3425" s="8">
        <v>25620</v>
      </c>
    </row>
    <row r="3426" spans="1:11" hidden="1" x14ac:dyDescent="0.25">
      <c r="A3426" s="3" t="s">
        <v>6332</v>
      </c>
      <c r="B3426" s="3">
        <v>46</v>
      </c>
      <c r="C3426" s="5">
        <v>1</v>
      </c>
      <c r="D3426" s="6">
        <v>0</v>
      </c>
      <c r="E3426" s="7">
        <v>880200</v>
      </c>
      <c r="F3426" s="3">
        <v>56225</v>
      </c>
      <c r="G3426" s="3" t="str">
        <f t="shared" si="54"/>
        <v>5</v>
      </c>
      <c r="H3426" s="3" t="s">
        <v>6333</v>
      </c>
      <c r="I3426" s="8">
        <v>17000000</v>
      </c>
      <c r="J3426" s="8">
        <v>5170583.6900000004</v>
      </c>
      <c r="K3426" s="8">
        <v>17000000</v>
      </c>
    </row>
    <row r="3427" spans="1:11" hidden="1" x14ac:dyDescent="0.25">
      <c r="A3427" s="3" t="s">
        <v>6334</v>
      </c>
      <c r="B3427" s="3">
        <v>46</v>
      </c>
      <c r="C3427" s="5">
        <v>1</v>
      </c>
      <c r="D3427" s="6">
        <v>0</v>
      </c>
      <c r="E3427" s="7">
        <v>880200</v>
      </c>
      <c r="F3427" s="3">
        <v>56250</v>
      </c>
      <c r="G3427" s="3" t="str">
        <f t="shared" si="54"/>
        <v>5</v>
      </c>
      <c r="H3427" s="3" t="s">
        <v>6335</v>
      </c>
      <c r="I3427" s="8">
        <v>205819</v>
      </c>
      <c r="J3427" s="8">
        <v>183088.86</v>
      </c>
      <c r="K3427" s="8">
        <v>205819</v>
      </c>
    </row>
    <row r="3428" spans="1:11" hidden="1" x14ac:dyDescent="0.25">
      <c r="A3428" s="3" t="s">
        <v>6336</v>
      </c>
      <c r="B3428" s="3">
        <v>46</v>
      </c>
      <c r="C3428" s="5">
        <v>1</v>
      </c>
      <c r="D3428" s="6">
        <v>0</v>
      </c>
      <c r="E3428" s="7">
        <v>880300</v>
      </c>
      <c r="F3428" s="3">
        <v>56215</v>
      </c>
      <c r="G3428" s="3" t="str">
        <f t="shared" si="54"/>
        <v>5</v>
      </c>
      <c r="H3428" s="3" t="s">
        <v>6337</v>
      </c>
      <c r="I3428" s="8">
        <v>24400</v>
      </c>
      <c r="J3428" s="8">
        <v>23278.799999999999</v>
      </c>
      <c r="K3428" s="8">
        <v>24400</v>
      </c>
    </row>
    <row r="3429" spans="1:11" hidden="1" x14ac:dyDescent="0.25">
      <c r="A3429" s="3" t="s">
        <v>6338</v>
      </c>
      <c r="B3429" s="3">
        <v>46</v>
      </c>
      <c r="C3429" s="5">
        <v>1</v>
      </c>
      <c r="D3429" s="6">
        <v>0</v>
      </c>
      <c r="E3429" s="7">
        <v>880400</v>
      </c>
      <c r="F3429" s="3">
        <v>56203</v>
      </c>
      <c r="G3429" s="3" t="str">
        <f t="shared" si="54"/>
        <v>5</v>
      </c>
      <c r="H3429" s="3" t="s">
        <v>6339</v>
      </c>
      <c r="I3429" s="8">
        <v>166840</v>
      </c>
      <c r="J3429" s="8">
        <v>68800</v>
      </c>
      <c r="K3429" s="8">
        <v>166840</v>
      </c>
    </row>
    <row r="3430" spans="1:11" hidden="1" x14ac:dyDescent="0.25">
      <c r="A3430" s="3" t="s">
        <v>6340</v>
      </c>
      <c r="B3430" s="3">
        <v>46</v>
      </c>
      <c r="C3430" s="5">
        <v>1</v>
      </c>
      <c r="D3430" s="6">
        <v>0</v>
      </c>
      <c r="E3430" s="7">
        <v>880400</v>
      </c>
      <c r="F3430" s="3">
        <v>56210</v>
      </c>
      <c r="G3430" s="3" t="str">
        <f t="shared" si="54"/>
        <v>5</v>
      </c>
      <c r="H3430" s="3" t="s">
        <v>6341</v>
      </c>
      <c r="I3430" s="8">
        <v>270000</v>
      </c>
      <c r="J3430" s="8">
        <v>31261.64</v>
      </c>
      <c r="K3430" s="8">
        <v>270000</v>
      </c>
    </row>
    <row r="3431" spans="1:11" hidden="1" x14ac:dyDescent="0.25">
      <c r="A3431" s="3" t="s">
        <v>6342</v>
      </c>
      <c r="B3431" s="3">
        <v>46</v>
      </c>
      <c r="C3431" s="5">
        <v>1</v>
      </c>
      <c r="D3431" s="6">
        <v>0</v>
      </c>
      <c r="E3431" s="7">
        <v>880400</v>
      </c>
      <c r="F3431" s="3">
        <v>56217</v>
      </c>
      <c r="G3431" s="3" t="str">
        <f t="shared" si="54"/>
        <v>5</v>
      </c>
      <c r="H3431" s="3" t="s">
        <v>6343</v>
      </c>
      <c r="I3431" s="8">
        <v>1200</v>
      </c>
      <c r="J3431" s="8">
        <v>553</v>
      </c>
      <c r="K3431" s="8">
        <v>1200</v>
      </c>
    </row>
    <row r="3432" spans="1:11" hidden="1" x14ac:dyDescent="0.25">
      <c r="A3432" s="3" t="s">
        <v>6344</v>
      </c>
      <c r="B3432" s="3">
        <v>46</v>
      </c>
      <c r="C3432" s="5">
        <v>1</v>
      </c>
      <c r="D3432" s="6">
        <v>0</v>
      </c>
      <c r="E3432" s="7">
        <v>880400</v>
      </c>
      <c r="F3432" s="3">
        <v>56218</v>
      </c>
      <c r="G3432" s="3" t="str">
        <f t="shared" si="54"/>
        <v>5</v>
      </c>
      <c r="H3432" s="3" t="s">
        <v>6345</v>
      </c>
      <c r="I3432" s="8">
        <v>350000</v>
      </c>
      <c r="J3432" s="8">
        <v>264401.21000000002</v>
      </c>
      <c r="K3432" s="8">
        <v>350000</v>
      </c>
    </row>
    <row r="3433" spans="1:11" hidden="1" x14ac:dyDescent="0.25">
      <c r="A3433" s="3" t="s">
        <v>6346</v>
      </c>
      <c r="B3433" s="3">
        <v>46</v>
      </c>
      <c r="C3433" s="5">
        <v>1</v>
      </c>
      <c r="D3433" s="6">
        <v>0</v>
      </c>
      <c r="E3433" s="7">
        <v>880400</v>
      </c>
      <c r="F3433" s="3">
        <v>56223</v>
      </c>
      <c r="G3433" s="3" t="str">
        <f t="shared" si="54"/>
        <v>5</v>
      </c>
      <c r="H3433" s="3" t="s">
        <v>6347</v>
      </c>
      <c r="I3433" s="8">
        <v>16880</v>
      </c>
      <c r="J3433" s="8">
        <v>3362.5</v>
      </c>
      <c r="K3433" s="8">
        <v>16880</v>
      </c>
    </row>
    <row r="3434" spans="1:11" hidden="1" x14ac:dyDescent="0.25">
      <c r="A3434" s="3" t="s">
        <v>6348</v>
      </c>
      <c r="B3434" s="3">
        <v>46</v>
      </c>
      <c r="C3434" s="5">
        <v>1</v>
      </c>
      <c r="D3434" s="6">
        <v>0</v>
      </c>
      <c r="E3434" s="7">
        <v>880400</v>
      </c>
      <c r="F3434" s="3">
        <v>56224</v>
      </c>
      <c r="G3434" s="3" t="str">
        <f t="shared" si="54"/>
        <v>5</v>
      </c>
      <c r="H3434" s="3" t="s">
        <v>6349</v>
      </c>
      <c r="I3434" s="8">
        <v>10196677</v>
      </c>
      <c r="J3434" s="8">
        <v>2441211.7799999998</v>
      </c>
      <c r="K3434" s="8">
        <v>10196677</v>
      </c>
    </row>
    <row r="3435" spans="1:11" hidden="1" x14ac:dyDescent="0.25">
      <c r="A3435" s="3" t="s">
        <v>6350</v>
      </c>
      <c r="B3435" s="3">
        <v>46</v>
      </c>
      <c r="C3435" s="5">
        <v>1</v>
      </c>
      <c r="D3435" s="6">
        <v>0</v>
      </c>
      <c r="E3435" s="7">
        <v>880400</v>
      </c>
      <c r="F3435" s="3">
        <v>56250</v>
      </c>
      <c r="G3435" s="3" t="str">
        <f t="shared" si="54"/>
        <v>5</v>
      </c>
      <c r="H3435" s="3" t="s">
        <v>6351</v>
      </c>
      <c r="I3435" s="8">
        <v>69900</v>
      </c>
      <c r="J3435" s="8">
        <v>65039.7</v>
      </c>
      <c r="K3435" s="8">
        <v>69900</v>
      </c>
    </row>
    <row r="3436" spans="1:11" hidden="1" x14ac:dyDescent="0.25">
      <c r="A3436" s="3" t="s">
        <v>6352</v>
      </c>
      <c r="B3436" s="3">
        <v>46</v>
      </c>
      <c r="C3436" s="5">
        <v>1</v>
      </c>
      <c r="D3436" s="6">
        <v>0</v>
      </c>
      <c r="E3436" s="7">
        <v>881100</v>
      </c>
      <c r="F3436" s="3">
        <v>56226</v>
      </c>
      <c r="G3436" s="3" t="str">
        <f t="shared" si="54"/>
        <v>5</v>
      </c>
      <c r="H3436" s="3" t="s">
        <v>6353</v>
      </c>
      <c r="I3436" s="8">
        <v>275237</v>
      </c>
      <c r="J3436" s="8">
        <v>84033.75</v>
      </c>
      <c r="K3436" s="8">
        <v>275237</v>
      </c>
    </row>
    <row r="3437" spans="1:11" hidden="1" x14ac:dyDescent="0.25">
      <c r="A3437" s="3" t="s">
        <v>6354</v>
      </c>
      <c r="B3437" s="3">
        <v>46</v>
      </c>
      <c r="C3437" s="5">
        <v>1</v>
      </c>
      <c r="D3437" s="6">
        <v>2</v>
      </c>
      <c r="E3437" s="7">
        <v>880500</v>
      </c>
      <c r="F3437" s="3">
        <v>56202</v>
      </c>
      <c r="G3437" s="3" t="str">
        <f t="shared" si="54"/>
        <v>5</v>
      </c>
      <c r="H3437" s="3" t="s">
        <v>6355</v>
      </c>
      <c r="I3437" s="8">
        <v>1850</v>
      </c>
      <c r="J3437" s="8">
        <v>1848</v>
      </c>
      <c r="K3437" s="8">
        <v>1850</v>
      </c>
    </row>
    <row r="3438" spans="1:11" hidden="1" x14ac:dyDescent="0.25">
      <c r="A3438" s="3" t="s">
        <v>6356</v>
      </c>
      <c r="B3438" s="3">
        <v>46</v>
      </c>
      <c r="C3438" s="5">
        <v>1</v>
      </c>
      <c r="D3438" s="6">
        <v>2</v>
      </c>
      <c r="E3438" s="7">
        <v>880500</v>
      </c>
      <c r="F3438" s="3">
        <v>56203</v>
      </c>
      <c r="G3438" s="3" t="str">
        <f t="shared" si="54"/>
        <v>5</v>
      </c>
      <c r="H3438" s="3" t="s">
        <v>6357</v>
      </c>
      <c r="I3438" s="8">
        <v>128200</v>
      </c>
      <c r="J3438" s="8">
        <v>93200</v>
      </c>
      <c r="K3438" s="8">
        <v>128200</v>
      </c>
    </row>
    <row r="3439" spans="1:11" hidden="1" x14ac:dyDescent="0.25">
      <c r="A3439" s="3" t="s">
        <v>6358</v>
      </c>
      <c r="B3439" s="3">
        <v>46</v>
      </c>
      <c r="C3439" s="5">
        <v>1</v>
      </c>
      <c r="D3439" s="6">
        <v>2</v>
      </c>
      <c r="E3439" s="7">
        <v>880500</v>
      </c>
      <c r="F3439" s="3">
        <v>56210</v>
      </c>
      <c r="G3439" s="3" t="str">
        <f t="shared" si="54"/>
        <v>5</v>
      </c>
      <c r="H3439" s="3" t="s">
        <v>6359</v>
      </c>
      <c r="I3439" s="8">
        <v>711520</v>
      </c>
      <c r="J3439" s="8">
        <v>211352.76</v>
      </c>
      <c r="K3439" s="8">
        <v>711520</v>
      </c>
    </row>
    <row r="3440" spans="1:11" hidden="1" x14ac:dyDescent="0.25">
      <c r="A3440" s="3" t="s">
        <v>6360</v>
      </c>
      <c r="B3440" s="3">
        <v>46</v>
      </c>
      <c r="C3440" s="5">
        <v>1</v>
      </c>
      <c r="D3440" s="6">
        <v>2</v>
      </c>
      <c r="E3440" s="7">
        <v>880500</v>
      </c>
      <c r="F3440" s="3">
        <v>56218</v>
      </c>
      <c r="G3440" s="3" t="str">
        <f t="shared" si="54"/>
        <v>5</v>
      </c>
      <c r="H3440" s="3" t="s">
        <v>6361</v>
      </c>
      <c r="I3440" s="8">
        <v>432000</v>
      </c>
      <c r="J3440" s="8">
        <v>282677.39</v>
      </c>
      <c r="K3440" s="8">
        <v>432000</v>
      </c>
    </row>
    <row r="3441" spans="1:11" hidden="1" x14ac:dyDescent="0.25">
      <c r="A3441" s="3" t="s">
        <v>6362</v>
      </c>
      <c r="B3441" s="3">
        <v>46</v>
      </c>
      <c r="C3441" s="5">
        <v>1</v>
      </c>
      <c r="D3441" s="6">
        <v>2</v>
      </c>
      <c r="E3441" s="7">
        <v>880500</v>
      </c>
      <c r="F3441" s="3">
        <v>56225</v>
      </c>
      <c r="G3441" s="3" t="str">
        <f t="shared" si="54"/>
        <v>5</v>
      </c>
      <c r="H3441" s="3" t="s">
        <v>6363</v>
      </c>
      <c r="I3441" s="8">
        <v>8169764</v>
      </c>
      <c r="J3441" s="8">
        <v>5576652</v>
      </c>
      <c r="K3441" s="8">
        <v>8169764</v>
      </c>
    </row>
    <row r="3442" spans="1:11" hidden="1" x14ac:dyDescent="0.25">
      <c r="A3442" s="3" t="s">
        <v>6364</v>
      </c>
      <c r="B3442" s="3">
        <v>46</v>
      </c>
      <c r="C3442" s="5">
        <v>1</v>
      </c>
      <c r="D3442" s="6">
        <v>2</v>
      </c>
      <c r="E3442" s="7">
        <v>880500</v>
      </c>
      <c r="F3442" s="3">
        <v>56250</v>
      </c>
      <c r="G3442" s="3" t="str">
        <f t="shared" si="54"/>
        <v>5</v>
      </c>
      <c r="H3442" s="3" t="s">
        <v>6365</v>
      </c>
      <c r="I3442" s="8">
        <v>86906</v>
      </c>
      <c r="J3442" s="8">
        <v>41774.800000000003</v>
      </c>
      <c r="K3442" s="8">
        <v>86906</v>
      </c>
    </row>
    <row r="3443" spans="1:11" hidden="1" x14ac:dyDescent="0.25">
      <c r="A3443" s="3" t="s">
        <v>6366</v>
      </c>
      <c r="B3443" s="3">
        <v>46</v>
      </c>
      <c r="C3443" s="5">
        <v>1</v>
      </c>
      <c r="D3443" s="6">
        <v>4</v>
      </c>
      <c r="E3443" s="7">
        <v>880100</v>
      </c>
      <c r="F3443" s="3">
        <v>56203</v>
      </c>
      <c r="G3443" s="3" t="str">
        <f t="shared" si="54"/>
        <v>5</v>
      </c>
      <c r="H3443" s="3" t="s">
        <v>6367</v>
      </c>
      <c r="I3443" s="8">
        <v>115400</v>
      </c>
      <c r="J3443" s="8">
        <v>84900</v>
      </c>
      <c r="K3443" s="8">
        <v>115400</v>
      </c>
    </row>
    <row r="3444" spans="1:11" hidden="1" x14ac:dyDescent="0.25">
      <c r="A3444" s="3" t="s">
        <v>6368</v>
      </c>
      <c r="B3444" s="3">
        <v>46</v>
      </c>
      <c r="C3444" s="5">
        <v>1</v>
      </c>
      <c r="D3444" s="6">
        <v>4</v>
      </c>
      <c r="E3444" s="7">
        <v>880100</v>
      </c>
      <c r="F3444" s="3">
        <v>56210</v>
      </c>
      <c r="G3444" s="3" t="str">
        <f t="shared" si="54"/>
        <v>5</v>
      </c>
      <c r="H3444" s="3" t="s">
        <v>6369</v>
      </c>
      <c r="I3444" s="8">
        <v>782000</v>
      </c>
      <c r="J3444" s="8">
        <v>73700</v>
      </c>
      <c r="K3444" s="8">
        <v>782000</v>
      </c>
    </row>
    <row r="3445" spans="1:11" hidden="1" x14ac:dyDescent="0.25">
      <c r="A3445" s="3" t="s">
        <v>6370</v>
      </c>
      <c r="B3445" s="3">
        <v>46</v>
      </c>
      <c r="C3445" s="5">
        <v>1</v>
      </c>
      <c r="D3445" s="6">
        <v>4</v>
      </c>
      <c r="E3445" s="7">
        <v>880100</v>
      </c>
      <c r="F3445" s="3">
        <v>56217</v>
      </c>
      <c r="G3445" s="3" t="str">
        <f t="shared" si="54"/>
        <v>5</v>
      </c>
      <c r="H3445" s="3" t="s">
        <v>6371</v>
      </c>
      <c r="I3445" s="8">
        <v>600</v>
      </c>
      <c r="J3445" s="8">
        <v>553</v>
      </c>
      <c r="K3445" s="8">
        <v>600</v>
      </c>
    </row>
    <row r="3446" spans="1:11" hidden="1" x14ac:dyDescent="0.25">
      <c r="A3446" s="3" t="s">
        <v>6372</v>
      </c>
      <c r="B3446" s="3">
        <v>46</v>
      </c>
      <c r="C3446" s="5">
        <v>1</v>
      </c>
      <c r="D3446" s="6">
        <v>4</v>
      </c>
      <c r="E3446" s="7">
        <v>880100</v>
      </c>
      <c r="F3446" s="3">
        <v>56218</v>
      </c>
      <c r="G3446" s="3" t="str">
        <f t="shared" si="54"/>
        <v>5</v>
      </c>
      <c r="H3446" s="3" t="s">
        <v>6373</v>
      </c>
      <c r="I3446" s="8">
        <v>575000</v>
      </c>
      <c r="J3446" s="8">
        <v>507135.22</v>
      </c>
      <c r="K3446" s="8">
        <v>575000</v>
      </c>
    </row>
    <row r="3447" spans="1:11" hidden="1" x14ac:dyDescent="0.25">
      <c r="A3447" s="3" t="s">
        <v>6374</v>
      </c>
      <c r="B3447" s="3">
        <v>46</v>
      </c>
      <c r="C3447" s="5">
        <v>1</v>
      </c>
      <c r="D3447" s="6">
        <v>4</v>
      </c>
      <c r="E3447" s="7">
        <v>880100</v>
      </c>
      <c r="F3447" s="3">
        <v>56220</v>
      </c>
      <c r="G3447" s="3" t="str">
        <f t="shared" si="54"/>
        <v>5</v>
      </c>
      <c r="H3447" s="3" t="s">
        <v>6375</v>
      </c>
      <c r="I3447" s="8">
        <v>2600</v>
      </c>
      <c r="J3447" s="8">
        <v>1611.9</v>
      </c>
      <c r="K3447" s="8">
        <v>2600</v>
      </c>
    </row>
    <row r="3448" spans="1:11" hidden="1" x14ac:dyDescent="0.25">
      <c r="A3448" s="3" t="s">
        <v>6376</v>
      </c>
      <c r="B3448" s="3">
        <v>46</v>
      </c>
      <c r="C3448" s="5">
        <v>1</v>
      </c>
      <c r="D3448" s="6">
        <v>4</v>
      </c>
      <c r="E3448" s="7">
        <v>880100</v>
      </c>
      <c r="F3448" s="3">
        <v>56225</v>
      </c>
      <c r="G3448" s="3" t="str">
        <f t="shared" si="54"/>
        <v>5</v>
      </c>
      <c r="H3448" s="3" t="s">
        <v>6377</v>
      </c>
      <c r="I3448" s="8">
        <v>6926403</v>
      </c>
      <c r="J3448" s="8">
        <v>5601516.9800000004</v>
      </c>
      <c r="K3448" s="8">
        <v>6926403</v>
      </c>
    </row>
    <row r="3449" spans="1:11" hidden="1" x14ac:dyDescent="0.25">
      <c r="A3449" s="3" t="s">
        <v>6378</v>
      </c>
      <c r="B3449" s="3">
        <v>46</v>
      </c>
      <c r="C3449" s="5">
        <v>1</v>
      </c>
      <c r="D3449" s="6">
        <v>4</v>
      </c>
      <c r="E3449" s="7">
        <v>880100</v>
      </c>
      <c r="F3449" s="3">
        <v>56250</v>
      </c>
      <c r="G3449" s="3" t="str">
        <f t="shared" si="54"/>
        <v>5</v>
      </c>
      <c r="H3449" s="3" t="s">
        <v>6379</v>
      </c>
      <c r="I3449" s="8">
        <v>92915</v>
      </c>
      <c r="J3449" s="8">
        <v>60149.08</v>
      </c>
      <c r="K3449" s="8">
        <v>92915</v>
      </c>
    </row>
    <row r="3450" spans="1:11" hidden="1" x14ac:dyDescent="0.25">
      <c r="A3450" s="3" t="s">
        <v>6380</v>
      </c>
      <c r="B3450" s="3">
        <v>46</v>
      </c>
      <c r="C3450" s="5">
        <v>1</v>
      </c>
      <c r="D3450" s="6">
        <v>5</v>
      </c>
      <c r="E3450" s="7">
        <v>880300</v>
      </c>
      <c r="F3450" s="3">
        <v>56203</v>
      </c>
      <c r="G3450" s="3" t="str">
        <f t="shared" si="54"/>
        <v>5</v>
      </c>
      <c r="H3450" s="3" t="s">
        <v>6381</v>
      </c>
      <c r="I3450" s="8">
        <v>192000</v>
      </c>
      <c r="J3450" s="8">
        <v>50000</v>
      </c>
      <c r="K3450" s="8">
        <v>192000</v>
      </c>
    </row>
    <row r="3451" spans="1:11" hidden="1" x14ac:dyDescent="0.25">
      <c r="A3451" s="3" t="s">
        <v>6382</v>
      </c>
      <c r="B3451" s="3">
        <v>46</v>
      </c>
      <c r="C3451" s="5">
        <v>1</v>
      </c>
      <c r="D3451" s="6">
        <v>5</v>
      </c>
      <c r="E3451" s="7">
        <v>880300</v>
      </c>
      <c r="F3451" s="3">
        <v>56211</v>
      </c>
      <c r="G3451" s="3" t="str">
        <f t="shared" si="54"/>
        <v>5</v>
      </c>
      <c r="H3451" s="3" t="s">
        <v>6383</v>
      </c>
      <c r="I3451" s="8">
        <v>59200</v>
      </c>
      <c r="J3451" s="8">
        <v>892.36</v>
      </c>
      <c r="K3451" s="8">
        <v>59200</v>
      </c>
    </row>
    <row r="3452" spans="1:11" hidden="1" x14ac:dyDescent="0.25">
      <c r="A3452" s="3" t="s">
        <v>6384</v>
      </c>
      <c r="B3452" s="3">
        <v>46</v>
      </c>
      <c r="C3452" s="5">
        <v>1</v>
      </c>
      <c r="D3452" s="6">
        <v>5</v>
      </c>
      <c r="E3452" s="7">
        <v>880300</v>
      </c>
      <c r="F3452" s="3">
        <v>56215</v>
      </c>
      <c r="G3452" s="3" t="str">
        <f t="shared" si="54"/>
        <v>5</v>
      </c>
      <c r="H3452" s="3" t="s">
        <v>6337</v>
      </c>
      <c r="I3452" s="8">
        <v>6200</v>
      </c>
      <c r="J3452" s="8">
        <v>5535</v>
      </c>
      <c r="K3452" s="8">
        <v>6200</v>
      </c>
    </row>
    <row r="3453" spans="1:11" hidden="1" x14ac:dyDescent="0.25">
      <c r="A3453" s="3" t="s">
        <v>6385</v>
      </c>
      <c r="B3453" s="3">
        <v>46</v>
      </c>
      <c r="C3453" s="5">
        <v>1</v>
      </c>
      <c r="D3453" s="6">
        <v>5</v>
      </c>
      <c r="E3453" s="7">
        <v>880300</v>
      </c>
      <c r="F3453" s="3">
        <v>56216</v>
      </c>
      <c r="G3453" s="3" t="str">
        <f t="shared" si="54"/>
        <v>5</v>
      </c>
      <c r="H3453" s="3" t="s">
        <v>6386</v>
      </c>
      <c r="I3453" s="8">
        <v>2100</v>
      </c>
      <c r="J3453" s="8">
        <v>1285.1500000000001</v>
      </c>
      <c r="K3453" s="8">
        <v>2100</v>
      </c>
    </row>
    <row r="3454" spans="1:11" hidden="1" x14ac:dyDescent="0.25">
      <c r="A3454" s="3" t="s">
        <v>6387</v>
      </c>
      <c r="B3454" s="3">
        <v>46</v>
      </c>
      <c r="C3454" s="5">
        <v>1</v>
      </c>
      <c r="D3454" s="6">
        <v>5</v>
      </c>
      <c r="E3454" s="7">
        <v>880300</v>
      </c>
      <c r="F3454" s="3">
        <v>56217</v>
      </c>
      <c r="G3454" s="3" t="str">
        <f t="shared" si="54"/>
        <v>5</v>
      </c>
      <c r="H3454" s="3" t="s">
        <v>6388</v>
      </c>
      <c r="I3454" s="8">
        <v>500</v>
      </c>
      <c r="J3454" s="8">
        <v>465</v>
      </c>
      <c r="K3454" s="8">
        <v>500</v>
      </c>
    </row>
    <row r="3455" spans="1:11" hidden="1" x14ac:dyDescent="0.25">
      <c r="A3455" s="3" t="s">
        <v>6389</v>
      </c>
      <c r="B3455" s="3">
        <v>46</v>
      </c>
      <c r="C3455" s="5">
        <v>1</v>
      </c>
      <c r="D3455" s="6">
        <v>5</v>
      </c>
      <c r="E3455" s="7">
        <v>880300</v>
      </c>
      <c r="F3455" s="3">
        <v>56220</v>
      </c>
      <c r="G3455" s="3" t="str">
        <f t="shared" si="54"/>
        <v>5</v>
      </c>
      <c r="H3455" s="3" t="s">
        <v>6390</v>
      </c>
      <c r="I3455" s="8">
        <v>28000</v>
      </c>
      <c r="J3455" s="8">
        <v>27010.69</v>
      </c>
      <c r="K3455" s="8">
        <v>28000</v>
      </c>
    </row>
    <row r="3456" spans="1:11" hidden="1" x14ac:dyDescent="0.25">
      <c r="A3456" s="3" t="s">
        <v>6391</v>
      </c>
      <c r="B3456" s="3">
        <v>46</v>
      </c>
      <c r="C3456" s="5">
        <v>1</v>
      </c>
      <c r="D3456" s="6">
        <v>5</v>
      </c>
      <c r="E3456" s="7">
        <v>880300</v>
      </c>
      <c r="F3456" s="3">
        <v>56223</v>
      </c>
      <c r="G3456" s="3" t="str">
        <f t="shared" si="54"/>
        <v>5</v>
      </c>
      <c r="H3456" s="3" t="s">
        <v>6392</v>
      </c>
      <c r="I3456" s="8">
        <v>7500</v>
      </c>
      <c r="J3456" s="8">
        <v>7451.5</v>
      </c>
      <c r="K3456" s="8">
        <v>7500</v>
      </c>
    </row>
    <row r="3457" spans="1:11" hidden="1" x14ac:dyDescent="0.25">
      <c r="A3457" s="3" t="s">
        <v>6393</v>
      </c>
      <c r="B3457" s="3">
        <v>46</v>
      </c>
      <c r="C3457" s="5">
        <v>1</v>
      </c>
      <c r="D3457" s="6">
        <v>5</v>
      </c>
      <c r="E3457" s="7">
        <v>880300</v>
      </c>
      <c r="F3457" s="3">
        <v>56225</v>
      </c>
      <c r="G3457" s="3" t="str">
        <f t="shared" si="54"/>
        <v>5</v>
      </c>
      <c r="H3457" s="3" t="s">
        <v>6394</v>
      </c>
      <c r="I3457" s="8">
        <v>11120066</v>
      </c>
      <c r="J3457" s="8">
        <v>3044470.29</v>
      </c>
      <c r="K3457" s="8">
        <v>11120066</v>
      </c>
    </row>
    <row r="3458" spans="1:11" hidden="1" x14ac:dyDescent="0.25">
      <c r="A3458" s="3" t="s">
        <v>6395</v>
      </c>
      <c r="B3458" s="3">
        <v>46</v>
      </c>
      <c r="C3458" s="5">
        <v>1</v>
      </c>
      <c r="D3458" s="6">
        <v>5</v>
      </c>
      <c r="E3458" s="7">
        <v>880300</v>
      </c>
      <c r="F3458" s="3">
        <v>56250</v>
      </c>
      <c r="G3458" s="3" t="str">
        <f t="shared" si="54"/>
        <v>5</v>
      </c>
      <c r="H3458" s="3" t="s">
        <v>6396</v>
      </c>
      <c r="I3458" s="8">
        <v>160000</v>
      </c>
      <c r="J3458" s="8">
        <v>29373</v>
      </c>
      <c r="K3458" s="8">
        <v>160000</v>
      </c>
    </row>
    <row r="3459" spans="1:11" hidden="1" x14ac:dyDescent="0.25">
      <c r="A3459" s="3" t="s">
        <v>6397</v>
      </c>
      <c r="B3459" s="3">
        <v>46</v>
      </c>
      <c r="C3459" s="5">
        <v>2</v>
      </c>
      <c r="D3459" s="6">
        <v>0</v>
      </c>
      <c r="E3459" s="7">
        <v>0</v>
      </c>
      <c r="F3459" s="3">
        <v>48940</v>
      </c>
      <c r="G3459" s="3" t="str">
        <f t="shared" si="54"/>
        <v>4</v>
      </c>
      <c r="H3459" s="3" t="s">
        <v>6398</v>
      </c>
      <c r="I3459" s="8">
        <v>-70000000</v>
      </c>
      <c r="J3459" s="8">
        <v>-69420484.790000007</v>
      </c>
      <c r="K3459" s="8">
        <v>-70000000</v>
      </c>
    </row>
    <row r="3460" spans="1:11" hidden="1" x14ac:dyDescent="0.25">
      <c r="A3460" s="3" t="s">
        <v>6399</v>
      </c>
      <c r="B3460" s="3">
        <v>46</v>
      </c>
      <c r="C3460" s="5">
        <v>2</v>
      </c>
      <c r="D3460" s="6">
        <v>0</v>
      </c>
      <c r="E3460" s="7">
        <v>880250</v>
      </c>
      <c r="F3460" s="3">
        <v>56203</v>
      </c>
      <c r="G3460" s="3" t="str">
        <f t="shared" si="54"/>
        <v>5</v>
      </c>
      <c r="H3460" s="3" t="s">
        <v>6400</v>
      </c>
      <c r="I3460" s="8">
        <v>60000</v>
      </c>
      <c r="J3460" s="8">
        <v>0</v>
      </c>
      <c r="K3460" s="8">
        <v>60000</v>
      </c>
    </row>
    <row r="3461" spans="1:11" hidden="1" x14ac:dyDescent="0.25">
      <c r="A3461" s="3" t="s">
        <v>6401</v>
      </c>
      <c r="B3461" s="3">
        <v>46</v>
      </c>
      <c r="C3461" s="5">
        <v>2</v>
      </c>
      <c r="D3461" s="6">
        <v>0</v>
      </c>
      <c r="E3461" s="7">
        <v>880250</v>
      </c>
      <c r="F3461" s="3">
        <v>56211</v>
      </c>
      <c r="G3461" s="3" t="str">
        <f t="shared" si="54"/>
        <v>5</v>
      </c>
      <c r="H3461" s="3" t="s">
        <v>6402</v>
      </c>
      <c r="I3461" s="8">
        <v>66740</v>
      </c>
      <c r="J3461" s="8">
        <v>11213</v>
      </c>
      <c r="K3461" s="8">
        <v>66740</v>
      </c>
    </row>
    <row r="3462" spans="1:11" hidden="1" x14ac:dyDescent="0.25">
      <c r="A3462" s="3" t="s">
        <v>6403</v>
      </c>
      <c r="B3462" s="3">
        <v>46</v>
      </c>
      <c r="C3462" s="5">
        <v>2</v>
      </c>
      <c r="D3462" s="6">
        <v>0</v>
      </c>
      <c r="E3462" s="7">
        <v>880250</v>
      </c>
      <c r="F3462" s="3">
        <v>56224</v>
      </c>
      <c r="G3462" s="3" t="str">
        <f t="shared" si="54"/>
        <v>5</v>
      </c>
      <c r="H3462" s="3" t="s">
        <v>6404</v>
      </c>
      <c r="I3462" s="8">
        <v>1615759.76</v>
      </c>
      <c r="J3462" s="8">
        <v>0</v>
      </c>
      <c r="K3462" s="8">
        <v>1615759.76</v>
      </c>
    </row>
    <row r="3463" spans="1:11" hidden="1" x14ac:dyDescent="0.25">
      <c r="A3463" s="3" t="s">
        <v>6405</v>
      </c>
      <c r="B3463" s="3">
        <v>46</v>
      </c>
      <c r="C3463" s="5">
        <v>2</v>
      </c>
      <c r="D3463" s="6">
        <v>0</v>
      </c>
      <c r="E3463" s="7">
        <v>880350</v>
      </c>
      <c r="F3463" s="3">
        <v>56200</v>
      </c>
      <c r="G3463" s="3" t="str">
        <f t="shared" si="54"/>
        <v>5</v>
      </c>
      <c r="H3463" s="3" t="s">
        <v>6406</v>
      </c>
      <c r="I3463" s="8">
        <v>1507426</v>
      </c>
      <c r="J3463" s="8">
        <v>966387.78</v>
      </c>
      <c r="K3463" s="8">
        <v>1507426</v>
      </c>
    </row>
    <row r="3464" spans="1:11" hidden="1" x14ac:dyDescent="0.25">
      <c r="A3464" s="3" t="s">
        <v>6407</v>
      </c>
      <c r="B3464" s="3">
        <v>46</v>
      </c>
      <c r="C3464" s="5">
        <v>2</v>
      </c>
      <c r="D3464" s="6">
        <v>0</v>
      </c>
      <c r="E3464" s="7">
        <v>880450</v>
      </c>
      <c r="F3464" s="3">
        <v>56216</v>
      </c>
      <c r="G3464" s="3" t="str">
        <f t="shared" si="54"/>
        <v>5</v>
      </c>
      <c r="H3464" s="3" t="s">
        <v>6408</v>
      </c>
      <c r="I3464" s="8">
        <v>150</v>
      </c>
      <c r="J3464" s="8">
        <v>21.85</v>
      </c>
      <c r="K3464" s="8">
        <v>150</v>
      </c>
    </row>
    <row r="3465" spans="1:11" hidden="1" x14ac:dyDescent="0.25">
      <c r="A3465" s="3" t="s">
        <v>6409</v>
      </c>
      <c r="B3465" s="3">
        <v>46</v>
      </c>
      <c r="C3465" s="5">
        <v>2</v>
      </c>
      <c r="D3465" s="6">
        <v>0</v>
      </c>
      <c r="E3465" s="7">
        <v>880450</v>
      </c>
      <c r="F3465" s="3">
        <v>56250</v>
      </c>
      <c r="G3465" s="3" t="str">
        <f t="shared" si="54"/>
        <v>5</v>
      </c>
      <c r="H3465" s="3" t="s">
        <v>6410</v>
      </c>
      <c r="I3465" s="8">
        <v>81000</v>
      </c>
      <c r="J3465" s="8">
        <v>29500</v>
      </c>
      <c r="K3465" s="8">
        <v>81000</v>
      </c>
    </row>
    <row r="3466" spans="1:11" hidden="1" x14ac:dyDescent="0.25">
      <c r="A3466" s="3" t="s">
        <v>6411</v>
      </c>
      <c r="B3466" s="3">
        <v>46</v>
      </c>
      <c r="C3466" s="5">
        <v>2</v>
      </c>
      <c r="D3466" s="6">
        <v>0</v>
      </c>
      <c r="E3466" s="7">
        <v>880700</v>
      </c>
      <c r="F3466" s="3">
        <v>56224</v>
      </c>
      <c r="G3466" s="3" t="str">
        <f t="shared" si="54"/>
        <v>5</v>
      </c>
      <c r="H3466" s="3" t="s">
        <v>6412</v>
      </c>
      <c r="I3466" s="8">
        <v>904873</v>
      </c>
      <c r="J3466" s="8">
        <v>0</v>
      </c>
      <c r="K3466" s="8">
        <v>904873</v>
      </c>
    </row>
    <row r="3467" spans="1:11" hidden="1" x14ac:dyDescent="0.25">
      <c r="A3467" s="3" t="s">
        <v>6413</v>
      </c>
      <c r="B3467" s="3">
        <v>46</v>
      </c>
      <c r="C3467" s="5">
        <v>2</v>
      </c>
      <c r="D3467" s="6">
        <v>0</v>
      </c>
      <c r="E3467" s="7">
        <v>880750</v>
      </c>
      <c r="F3467" s="3">
        <v>56224</v>
      </c>
      <c r="G3467" s="3" t="str">
        <f t="shared" si="54"/>
        <v>5</v>
      </c>
      <c r="H3467" s="3" t="s">
        <v>6414</v>
      </c>
      <c r="I3467" s="8">
        <v>3000000</v>
      </c>
      <c r="J3467" s="8">
        <v>0</v>
      </c>
      <c r="K3467" s="8">
        <v>3000000</v>
      </c>
    </row>
    <row r="3468" spans="1:11" hidden="1" x14ac:dyDescent="0.25">
      <c r="A3468" s="3" t="s">
        <v>6415</v>
      </c>
      <c r="B3468" s="3">
        <v>46</v>
      </c>
      <c r="C3468" s="5">
        <v>2</v>
      </c>
      <c r="D3468" s="6">
        <v>0</v>
      </c>
      <c r="E3468" s="7">
        <v>880800</v>
      </c>
      <c r="F3468" s="3">
        <v>56211</v>
      </c>
      <c r="G3468" s="3" t="str">
        <f t="shared" si="54"/>
        <v>5</v>
      </c>
      <c r="H3468" s="3" t="s">
        <v>6416</v>
      </c>
      <c r="I3468" s="8">
        <v>856500</v>
      </c>
      <c r="J3468" s="8">
        <v>254376.65</v>
      </c>
      <c r="K3468" s="8">
        <v>856500</v>
      </c>
    </row>
    <row r="3469" spans="1:11" hidden="1" x14ac:dyDescent="0.25">
      <c r="A3469" s="3" t="s">
        <v>6417</v>
      </c>
      <c r="B3469" s="3">
        <v>46</v>
      </c>
      <c r="C3469" s="5">
        <v>2</v>
      </c>
      <c r="D3469" s="6">
        <v>0</v>
      </c>
      <c r="E3469" s="7">
        <v>880800</v>
      </c>
      <c r="F3469" s="3">
        <v>56215</v>
      </c>
      <c r="G3469" s="3" t="str">
        <f t="shared" si="54"/>
        <v>5</v>
      </c>
      <c r="H3469" s="3" t="s">
        <v>6418</v>
      </c>
      <c r="I3469" s="8">
        <v>6600</v>
      </c>
      <c r="J3469" s="8">
        <v>6530</v>
      </c>
      <c r="K3469" s="8">
        <v>6600</v>
      </c>
    </row>
    <row r="3470" spans="1:11" hidden="1" x14ac:dyDescent="0.25">
      <c r="A3470" s="3" t="s">
        <v>6419</v>
      </c>
      <c r="B3470" s="3">
        <v>46</v>
      </c>
      <c r="C3470" s="5">
        <v>2</v>
      </c>
      <c r="D3470" s="6">
        <v>0</v>
      </c>
      <c r="E3470" s="7">
        <v>880800</v>
      </c>
      <c r="F3470" s="3">
        <v>56223</v>
      </c>
      <c r="G3470" s="3" t="str">
        <f t="shared" si="54"/>
        <v>5</v>
      </c>
      <c r="H3470" s="3" t="s">
        <v>6420</v>
      </c>
      <c r="I3470" s="8">
        <v>2500</v>
      </c>
      <c r="J3470" s="8">
        <v>2450</v>
      </c>
      <c r="K3470" s="8">
        <v>2500</v>
      </c>
    </row>
    <row r="3471" spans="1:11" hidden="1" x14ac:dyDescent="0.25">
      <c r="A3471" s="3" t="s">
        <v>6421</v>
      </c>
      <c r="B3471" s="3">
        <v>46</v>
      </c>
      <c r="C3471" s="5">
        <v>2</v>
      </c>
      <c r="D3471" s="6">
        <v>0</v>
      </c>
      <c r="E3471" s="7">
        <v>880800</v>
      </c>
      <c r="F3471" s="3">
        <v>56224</v>
      </c>
      <c r="G3471" s="3" t="str">
        <f t="shared" si="54"/>
        <v>5</v>
      </c>
      <c r="H3471" s="3" t="s">
        <v>6422</v>
      </c>
      <c r="I3471" s="8">
        <v>465480</v>
      </c>
      <c r="J3471" s="8">
        <v>0</v>
      </c>
      <c r="K3471" s="8">
        <v>465480</v>
      </c>
    </row>
    <row r="3472" spans="1:11" hidden="1" x14ac:dyDescent="0.25">
      <c r="A3472" s="3" t="s">
        <v>6423</v>
      </c>
      <c r="B3472" s="3">
        <v>46</v>
      </c>
      <c r="C3472" s="5">
        <v>2</v>
      </c>
      <c r="D3472" s="6">
        <v>0</v>
      </c>
      <c r="E3472" s="7">
        <v>880800</v>
      </c>
      <c r="F3472" s="3">
        <v>56250</v>
      </c>
      <c r="G3472" s="3" t="str">
        <f t="shared" si="54"/>
        <v>5</v>
      </c>
      <c r="H3472" s="3" t="s">
        <v>6424</v>
      </c>
      <c r="I3472" s="8">
        <v>38000</v>
      </c>
      <c r="J3472" s="8">
        <v>0</v>
      </c>
      <c r="K3472" s="8">
        <v>38000</v>
      </c>
    </row>
    <row r="3473" spans="1:11" hidden="1" x14ac:dyDescent="0.25">
      <c r="A3473" s="3" t="s">
        <v>6425</v>
      </c>
      <c r="B3473" s="3">
        <v>46</v>
      </c>
      <c r="C3473" s="5">
        <v>2</v>
      </c>
      <c r="D3473" s="6">
        <v>0</v>
      </c>
      <c r="E3473" s="7">
        <v>880900</v>
      </c>
      <c r="F3473" s="3">
        <v>56211</v>
      </c>
      <c r="G3473" s="3" t="str">
        <f t="shared" si="54"/>
        <v>5</v>
      </c>
      <c r="H3473" s="3" t="s">
        <v>6426</v>
      </c>
      <c r="I3473" s="8">
        <v>611000</v>
      </c>
      <c r="J3473" s="8">
        <v>59500</v>
      </c>
      <c r="K3473" s="8">
        <v>611000</v>
      </c>
    </row>
    <row r="3474" spans="1:11" hidden="1" x14ac:dyDescent="0.25">
      <c r="A3474" s="3" t="s">
        <v>6427</v>
      </c>
      <c r="B3474" s="3">
        <v>46</v>
      </c>
      <c r="C3474" s="5">
        <v>2</v>
      </c>
      <c r="D3474" s="6">
        <v>0</v>
      </c>
      <c r="E3474" s="7">
        <v>880900</v>
      </c>
      <c r="F3474" s="3">
        <v>56215</v>
      </c>
      <c r="G3474" s="3" t="str">
        <f t="shared" si="54"/>
        <v>5</v>
      </c>
      <c r="H3474" s="3" t="s">
        <v>6428</v>
      </c>
      <c r="I3474" s="8">
        <v>7100</v>
      </c>
      <c r="J3474" s="8">
        <v>7020</v>
      </c>
      <c r="K3474" s="8">
        <v>7100</v>
      </c>
    </row>
    <row r="3475" spans="1:11" hidden="1" x14ac:dyDescent="0.25">
      <c r="A3475" s="3" t="s">
        <v>6429</v>
      </c>
      <c r="B3475" s="3">
        <v>46</v>
      </c>
      <c r="C3475" s="5">
        <v>2</v>
      </c>
      <c r="D3475" s="6">
        <v>1</v>
      </c>
      <c r="E3475" s="7">
        <v>880600</v>
      </c>
      <c r="F3475" s="3">
        <v>56211</v>
      </c>
      <c r="G3475" s="3" t="str">
        <f t="shared" si="54"/>
        <v>5</v>
      </c>
      <c r="H3475" s="3" t="s">
        <v>6430</v>
      </c>
      <c r="I3475" s="8">
        <v>500000</v>
      </c>
      <c r="J3475" s="8">
        <v>0</v>
      </c>
      <c r="K3475" s="8">
        <v>500000</v>
      </c>
    </row>
    <row r="3476" spans="1:11" hidden="1" x14ac:dyDescent="0.25">
      <c r="A3476" s="3" t="s">
        <v>6431</v>
      </c>
      <c r="B3476" s="3">
        <v>46</v>
      </c>
      <c r="C3476" s="5">
        <v>2</v>
      </c>
      <c r="D3476" s="6">
        <v>2</v>
      </c>
      <c r="E3476" s="7">
        <v>880500</v>
      </c>
      <c r="F3476" s="3">
        <v>55575</v>
      </c>
      <c r="G3476" s="3" t="str">
        <f t="shared" si="54"/>
        <v>5</v>
      </c>
      <c r="H3476" s="3" t="s">
        <v>6432</v>
      </c>
      <c r="I3476" s="8">
        <v>0</v>
      </c>
      <c r="J3476" s="8">
        <v>0</v>
      </c>
      <c r="K3476" s="8">
        <v>0</v>
      </c>
    </row>
    <row r="3477" spans="1:11" hidden="1" x14ac:dyDescent="0.25">
      <c r="A3477" s="3" t="s">
        <v>6433</v>
      </c>
      <c r="B3477" s="3">
        <v>46</v>
      </c>
      <c r="C3477" s="5">
        <v>2</v>
      </c>
      <c r="D3477" s="6">
        <v>2</v>
      </c>
      <c r="E3477" s="7">
        <v>880500</v>
      </c>
      <c r="F3477" s="3">
        <v>56203</v>
      </c>
      <c r="G3477" s="3" t="str">
        <f t="shared" si="54"/>
        <v>5</v>
      </c>
      <c r="H3477" s="3" t="s">
        <v>6357</v>
      </c>
      <c r="I3477" s="8">
        <v>0</v>
      </c>
      <c r="J3477" s="8">
        <v>0</v>
      </c>
      <c r="K3477" s="8">
        <v>0</v>
      </c>
    </row>
    <row r="3478" spans="1:11" hidden="1" x14ac:dyDescent="0.25">
      <c r="A3478" s="3" t="s">
        <v>6434</v>
      </c>
      <c r="B3478" s="3">
        <v>46</v>
      </c>
      <c r="C3478" s="5">
        <v>2</v>
      </c>
      <c r="D3478" s="6">
        <v>2</v>
      </c>
      <c r="E3478" s="7">
        <v>880500</v>
      </c>
      <c r="F3478" s="3">
        <v>56211</v>
      </c>
      <c r="G3478" s="3" t="str">
        <f t="shared" si="54"/>
        <v>5</v>
      </c>
      <c r="H3478" s="3" t="s">
        <v>6435</v>
      </c>
      <c r="I3478" s="8">
        <v>0</v>
      </c>
      <c r="J3478" s="8">
        <v>0</v>
      </c>
      <c r="K3478" s="8">
        <v>0</v>
      </c>
    </row>
    <row r="3479" spans="1:11" hidden="1" x14ac:dyDescent="0.25">
      <c r="A3479" s="3" t="s">
        <v>6436</v>
      </c>
      <c r="B3479" s="3">
        <v>52</v>
      </c>
      <c r="C3479" s="5">
        <v>230</v>
      </c>
      <c r="D3479" s="6">
        <v>0</v>
      </c>
      <c r="E3479" s="7">
        <v>0</v>
      </c>
      <c r="F3479" s="3">
        <v>48844</v>
      </c>
      <c r="G3479" s="3" t="str">
        <f t="shared" si="54"/>
        <v>4</v>
      </c>
      <c r="H3479" s="3" t="s">
        <v>6437</v>
      </c>
      <c r="I3479" s="8">
        <v>-8869</v>
      </c>
      <c r="J3479" s="8">
        <v>-9919.09</v>
      </c>
      <c r="K3479" s="8">
        <v>-8869</v>
      </c>
    </row>
    <row r="3480" spans="1:11" hidden="1" x14ac:dyDescent="0.25">
      <c r="A3480" s="3" t="s">
        <v>6438</v>
      </c>
      <c r="B3480" s="3">
        <v>52</v>
      </c>
      <c r="C3480" s="5">
        <v>230</v>
      </c>
      <c r="D3480" s="6">
        <v>0</v>
      </c>
      <c r="E3480" s="7">
        <v>0</v>
      </c>
      <c r="F3480" s="3">
        <v>48845</v>
      </c>
      <c r="G3480" s="3" t="str">
        <f t="shared" si="54"/>
        <v>4</v>
      </c>
      <c r="H3480" s="3" t="s">
        <v>6439</v>
      </c>
      <c r="I3480" s="8">
        <v>-11113</v>
      </c>
      <c r="J3480" s="8">
        <v>-13419.01</v>
      </c>
      <c r="K3480" s="8">
        <v>-11113</v>
      </c>
    </row>
    <row r="3481" spans="1:11" hidden="1" x14ac:dyDescent="0.25">
      <c r="A3481" s="3" t="s">
        <v>6440</v>
      </c>
      <c r="B3481" s="3">
        <v>52</v>
      </c>
      <c r="C3481" s="5">
        <v>230</v>
      </c>
      <c r="D3481" s="6">
        <v>0</v>
      </c>
      <c r="E3481" s="7">
        <v>0</v>
      </c>
      <c r="F3481" s="3">
        <v>48849</v>
      </c>
      <c r="G3481" s="3" t="str">
        <f t="shared" si="54"/>
        <v>4</v>
      </c>
      <c r="H3481" s="3" t="s">
        <v>6441</v>
      </c>
      <c r="I3481" s="8">
        <v>0</v>
      </c>
      <c r="J3481" s="8">
        <v>0</v>
      </c>
      <c r="K3481" s="8">
        <v>0</v>
      </c>
    </row>
    <row r="3482" spans="1:11" hidden="1" x14ac:dyDescent="0.25">
      <c r="A3482" s="3" t="s">
        <v>6442</v>
      </c>
      <c r="B3482" s="3">
        <v>52</v>
      </c>
      <c r="C3482" s="5">
        <v>230</v>
      </c>
      <c r="D3482" s="6">
        <v>0</v>
      </c>
      <c r="E3482" s="7">
        <v>0</v>
      </c>
      <c r="F3482" s="3">
        <v>48860</v>
      </c>
      <c r="G3482" s="3" t="str">
        <f t="shared" si="54"/>
        <v>4</v>
      </c>
      <c r="H3482" s="3" t="s">
        <v>41</v>
      </c>
      <c r="I3482" s="8">
        <v>-2525</v>
      </c>
      <c r="J3482" s="8">
        <v>-709.7</v>
      </c>
      <c r="K3482" s="8">
        <v>-2525</v>
      </c>
    </row>
    <row r="3483" spans="1:11" hidden="1" x14ac:dyDescent="0.25">
      <c r="A3483" s="3" t="s">
        <v>6443</v>
      </c>
      <c r="B3483" s="3">
        <v>52</v>
      </c>
      <c r="C3483" s="5">
        <v>230</v>
      </c>
      <c r="D3483" s="6">
        <v>0</v>
      </c>
      <c r="E3483" s="7">
        <v>0</v>
      </c>
      <c r="F3483" s="3">
        <v>52105</v>
      </c>
      <c r="G3483" s="3" t="str">
        <f t="shared" ref="G3483:G3546" si="55">LEFT(F3483,1)</f>
        <v>5</v>
      </c>
      <c r="H3483" s="3" t="s">
        <v>6151</v>
      </c>
      <c r="I3483" s="8">
        <v>0</v>
      </c>
      <c r="J3483" s="8">
        <v>0</v>
      </c>
      <c r="K3483" s="8">
        <v>0</v>
      </c>
    </row>
    <row r="3484" spans="1:11" hidden="1" x14ac:dyDescent="0.25">
      <c r="A3484" s="3" t="s">
        <v>6444</v>
      </c>
      <c r="B3484" s="3">
        <v>52</v>
      </c>
      <c r="C3484" s="5">
        <v>230</v>
      </c>
      <c r="D3484" s="6">
        <v>0</v>
      </c>
      <c r="E3484" s="7">
        <v>0</v>
      </c>
      <c r="F3484" s="3">
        <v>52115</v>
      </c>
      <c r="G3484" s="3" t="str">
        <f t="shared" si="55"/>
        <v>5</v>
      </c>
      <c r="H3484" s="3" t="s">
        <v>6445</v>
      </c>
      <c r="I3484" s="8">
        <v>0</v>
      </c>
      <c r="J3484" s="8">
        <v>2201.31</v>
      </c>
      <c r="K3484" s="8">
        <v>0</v>
      </c>
    </row>
    <row r="3485" spans="1:11" hidden="1" x14ac:dyDescent="0.25">
      <c r="A3485" s="3" t="s">
        <v>6446</v>
      </c>
      <c r="B3485" s="3">
        <v>52</v>
      </c>
      <c r="C3485" s="5">
        <v>230</v>
      </c>
      <c r="D3485" s="6">
        <v>0</v>
      </c>
      <c r="E3485" s="7">
        <v>0</v>
      </c>
      <c r="F3485" s="3">
        <v>52120</v>
      </c>
      <c r="G3485" s="3" t="str">
        <f t="shared" si="55"/>
        <v>5</v>
      </c>
      <c r="H3485" s="3" t="s">
        <v>6447</v>
      </c>
      <c r="I3485" s="8">
        <v>0</v>
      </c>
      <c r="J3485" s="8">
        <v>1577.25</v>
      </c>
      <c r="K3485" s="8">
        <v>0</v>
      </c>
    </row>
    <row r="3486" spans="1:11" hidden="1" x14ac:dyDescent="0.25">
      <c r="A3486" s="3" t="s">
        <v>6448</v>
      </c>
      <c r="B3486" s="3">
        <v>52</v>
      </c>
      <c r="C3486" s="5">
        <v>230</v>
      </c>
      <c r="D3486" s="6">
        <v>0</v>
      </c>
      <c r="E3486" s="7">
        <v>0</v>
      </c>
      <c r="F3486" s="3">
        <v>52125</v>
      </c>
      <c r="G3486" s="3" t="str">
        <f t="shared" si="55"/>
        <v>5</v>
      </c>
      <c r="H3486" s="3" t="s">
        <v>6449</v>
      </c>
      <c r="I3486" s="8">
        <v>0</v>
      </c>
      <c r="J3486" s="8">
        <v>0</v>
      </c>
      <c r="K3486" s="8">
        <v>0</v>
      </c>
    </row>
    <row r="3487" spans="1:11" hidden="1" x14ac:dyDescent="0.25">
      <c r="A3487" s="3" t="s">
        <v>6450</v>
      </c>
      <c r="B3487" s="3">
        <v>52</v>
      </c>
      <c r="C3487" s="5">
        <v>230</v>
      </c>
      <c r="D3487" s="6">
        <v>0</v>
      </c>
      <c r="E3487" s="7">
        <v>0</v>
      </c>
      <c r="F3487" s="3">
        <v>52130</v>
      </c>
      <c r="G3487" s="3" t="str">
        <f t="shared" si="55"/>
        <v>5</v>
      </c>
      <c r="H3487" s="3" t="s">
        <v>6451</v>
      </c>
      <c r="I3487" s="8">
        <v>0</v>
      </c>
      <c r="J3487" s="8">
        <v>0</v>
      </c>
      <c r="K3487" s="8">
        <v>0</v>
      </c>
    </row>
    <row r="3488" spans="1:11" hidden="1" x14ac:dyDescent="0.25">
      <c r="A3488" s="3" t="s">
        <v>6452</v>
      </c>
      <c r="B3488" s="3">
        <v>52</v>
      </c>
      <c r="C3488" s="5">
        <v>230</v>
      </c>
      <c r="D3488" s="6">
        <v>0</v>
      </c>
      <c r="E3488" s="7">
        <v>0</v>
      </c>
      <c r="F3488" s="3">
        <v>52300</v>
      </c>
      <c r="G3488" s="3" t="str">
        <f t="shared" si="55"/>
        <v>5</v>
      </c>
      <c r="H3488" s="3" t="s">
        <v>6453</v>
      </c>
      <c r="I3488" s="8">
        <v>0</v>
      </c>
      <c r="J3488" s="8">
        <v>296.72000000000003</v>
      </c>
      <c r="K3488" s="8">
        <v>0</v>
      </c>
    </row>
    <row r="3489" spans="1:11" hidden="1" x14ac:dyDescent="0.25">
      <c r="A3489" s="3" t="s">
        <v>6454</v>
      </c>
      <c r="B3489" s="3">
        <v>52</v>
      </c>
      <c r="C3489" s="5">
        <v>230</v>
      </c>
      <c r="D3489" s="6">
        <v>0</v>
      </c>
      <c r="E3489" s="7">
        <v>0</v>
      </c>
      <c r="F3489" s="3">
        <v>52310</v>
      </c>
      <c r="G3489" s="3" t="str">
        <f t="shared" si="55"/>
        <v>5</v>
      </c>
      <c r="H3489" s="3" t="s">
        <v>6455</v>
      </c>
      <c r="I3489" s="8">
        <v>0</v>
      </c>
      <c r="J3489" s="8">
        <v>0</v>
      </c>
      <c r="K3489" s="8">
        <v>0</v>
      </c>
    </row>
    <row r="3490" spans="1:11" hidden="1" x14ac:dyDescent="0.25">
      <c r="A3490" s="3" t="s">
        <v>6456</v>
      </c>
      <c r="B3490" s="3">
        <v>52</v>
      </c>
      <c r="C3490" s="5">
        <v>230</v>
      </c>
      <c r="D3490" s="6">
        <v>0</v>
      </c>
      <c r="E3490" s="7">
        <v>0</v>
      </c>
      <c r="F3490" s="3">
        <v>52350</v>
      </c>
      <c r="G3490" s="3" t="str">
        <f t="shared" si="55"/>
        <v>5</v>
      </c>
      <c r="H3490" s="3" t="s">
        <v>6153</v>
      </c>
      <c r="I3490" s="8">
        <v>0</v>
      </c>
      <c r="J3490" s="8">
        <v>0</v>
      </c>
      <c r="K3490" s="8">
        <v>0</v>
      </c>
    </row>
    <row r="3491" spans="1:11" hidden="1" x14ac:dyDescent="0.25">
      <c r="A3491" s="3" t="s">
        <v>6457</v>
      </c>
      <c r="B3491" s="3">
        <v>52</v>
      </c>
      <c r="C3491" s="5">
        <v>230</v>
      </c>
      <c r="D3491" s="6">
        <v>0</v>
      </c>
      <c r="E3491" s="7">
        <v>0</v>
      </c>
      <c r="F3491" s="3">
        <v>53220</v>
      </c>
      <c r="G3491" s="3" t="str">
        <f t="shared" si="55"/>
        <v>5</v>
      </c>
      <c r="H3491" s="3" t="s">
        <v>6159</v>
      </c>
      <c r="I3491" s="8">
        <v>0</v>
      </c>
      <c r="J3491" s="8">
        <v>821.71</v>
      </c>
      <c r="K3491" s="8">
        <v>0</v>
      </c>
    </row>
    <row r="3492" spans="1:11" hidden="1" x14ac:dyDescent="0.25">
      <c r="A3492" s="3" t="s">
        <v>6458</v>
      </c>
      <c r="B3492" s="3">
        <v>52</v>
      </c>
      <c r="C3492" s="5">
        <v>230</v>
      </c>
      <c r="D3492" s="6">
        <v>0</v>
      </c>
      <c r="E3492" s="7">
        <v>0</v>
      </c>
      <c r="F3492" s="3">
        <v>53320</v>
      </c>
      <c r="G3492" s="3" t="str">
        <f t="shared" si="55"/>
        <v>5</v>
      </c>
      <c r="H3492" s="3" t="s">
        <v>6161</v>
      </c>
      <c r="I3492" s="8">
        <v>0</v>
      </c>
      <c r="J3492" s="8">
        <v>244.27</v>
      </c>
      <c r="K3492" s="8">
        <v>0</v>
      </c>
    </row>
    <row r="3493" spans="1:11" hidden="1" x14ac:dyDescent="0.25">
      <c r="A3493" s="3" t="s">
        <v>6459</v>
      </c>
      <c r="B3493" s="3">
        <v>52</v>
      </c>
      <c r="C3493" s="5">
        <v>230</v>
      </c>
      <c r="D3493" s="6">
        <v>0</v>
      </c>
      <c r="E3493" s="7">
        <v>0</v>
      </c>
      <c r="F3493" s="3">
        <v>53340</v>
      </c>
      <c r="G3493" s="3" t="str">
        <f t="shared" si="55"/>
        <v>5</v>
      </c>
      <c r="H3493" s="3" t="s">
        <v>6163</v>
      </c>
      <c r="I3493" s="8">
        <v>0</v>
      </c>
      <c r="J3493" s="8">
        <v>57.19</v>
      </c>
      <c r="K3493" s="8">
        <v>0</v>
      </c>
    </row>
    <row r="3494" spans="1:11" hidden="1" x14ac:dyDescent="0.25">
      <c r="A3494" s="3" t="s">
        <v>6460</v>
      </c>
      <c r="B3494" s="3">
        <v>52</v>
      </c>
      <c r="C3494" s="5">
        <v>230</v>
      </c>
      <c r="D3494" s="6">
        <v>0</v>
      </c>
      <c r="E3494" s="7">
        <v>0</v>
      </c>
      <c r="F3494" s="3">
        <v>53420</v>
      </c>
      <c r="G3494" s="3" t="str">
        <f t="shared" si="55"/>
        <v>5</v>
      </c>
      <c r="H3494" s="3" t="s">
        <v>6165</v>
      </c>
      <c r="I3494" s="8">
        <v>0</v>
      </c>
      <c r="J3494" s="8">
        <v>1150.52</v>
      </c>
      <c r="K3494" s="8">
        <v>0</v>
      </c>
    </row>
    <row r="3495" spans="1:11" hidden="1" x14ac:dyDescent="0.25">
      <c r="A3495" s="3" t="s">
        <v>6461</v>
      </c>
      <c r="B3495" s="3">
        <v>52</v>
      </c>
      <c r="C3495" s="5">
        <v>230</v>
      </c>
      <c r="D3495" s="6">
        <v>0</v>
      </c>
      <c r="E3495" s="7">
        <v>0</v>
      </c>
      <c r="F3495" s="3">
        <v>53520</v>
      </c>
      <c r="G3495" s="3" t="str">
        <f t="shared" si="55"/>
        <v>5</v>
      </c>
      <c r="H3495" s="3" t="s">
        <v>6167</v>
      </c>
      <c r="I3495" s="8">
        <v>0</v>
      </c>
      <c r="J3495" s="8">
        <v>1.98</v>
      </c>
      <c r="K3495" s="8">
        <v>0</v>
      </c>
    </row>
    <row r="3496" spans="1:11" hidden="1" x14ac:dyDescent="0.25">
      <c r="A3496" s="3" t="s">
        <v>6462</v>
      </c>
      <c r="B3496" s="3">
        <v>52</v>
      </c>
      <c r="C3496" s="5">
        <v>230</v>
      </c>
      <c r="D3496" s="6">
        <v>0</v>
      </c>
      <c r="E3496" s="7">
        <v>0</v>
      </c>
      <c r="F3496" s="3">
        <v>53620</v>
      </c>
      <c r="G3496" s="3" t="str">
        <f t="shared" si="55"/>
        <v>5</v>
      </c>
      <c r="H3496" s="3" t="s">
        <v>6169</v>
      </c>
      <c r="I3496" s="8">
        <v>0</v>
      </c>
      <c r="J3496" s="8">
        <v>77.05</v>
      </c>
      <c r="K3496" s="8">
        <v>0</v>
      </c>
    </row>
    <row r="3497" spans="1:11" hidden="1" x14ac:dyDescent="0.25">
      <c r="A3497" s="3" t="s">
        <v>6463</v>
      </c>
      <c r="B3497" s="3">
        <v>52</v>
      </c>
      <c r="C3497" s="5">
        <v>230</v>
      </c>
      <c r="D3497" s="6">
        <v>0</v>
      </c>
      <c r="E3497" s="7">
        <v>0</v>
      </c>
      <c r="F3497" s="3">
        <v>53920</v>
      </c>
      <c r="G3497" s="3" t="str">
        <f t="shared" si="55"/>
        <v>5</v>
      </c>
      <c r="H3497" s="3" t="s">
        <v>6464</v>
      </c>
      <c r="I3497" s="8">
        <v>0</v>
      </c>
      <c r="J3497" s="8">
        <v>48</v>
      </c>
      <c r="K3497" s="8">
        <v>0</v>
      </c>
    </row>
    <row r="3498" spans="1:11" hidden="1" x14ac:dyDescent="0.25">
      <c r="A3498" s="3" t="s">
        <v>6465</v>
      </c>
      <c r="B3498" s="3">
        <v>52</v>
      </c>
      <c r="C3498" s="5">
        <v>230</v>
      </c>
      <c r="D3498" s="6">
        <v>0</v>
      </c>
      <c r="E3498" s="7">
        <v>0</v>
      </c>
      <c r="F3498" s="3">
        <v>54210</v>
      </c>
      <c r="G3498" s="3" t="str">
        <f t="shared" si="55"/>
        <v>5</v>
      </c>
      <c r="H3498" s="3" t="s">
        <v>6171</v>
      </c>
      <c r="I3498" s="8">
        <v>10000</v>
      </c>
      <c r="J3498" s="8">
        <v>536.95000000000005</v>
      </c>
      <c r="K3498" s="8">
        <v>10000</v>
      </c>
    </row>
    <row r="3499" spans="1:11" hidden="1" x14ac:dyDescent="0.25">
      <c r="A3499" s="3" t="s">
        <v>6466</v>
      </c>
      <c r="B3499" s="3">
        <v>52</v>
      </c>
      <c r="C3499" s="5">
        <v>230</v>
      </c>
      <c r="D3499" s="6">
        <v>0</v>
      </c>
      <c r="E3499" s="7">
        <v>0</v>
      </c>
      <c r="F3499" s="3">
        <v>54300</v>
      </c>
      <c r="G3499" s="3" t="str">
        <f t="shared" si="55"/>
        <v>5</v>
      </c>
      <c r="H3499" s="3" t="s">
        <v>6173</v>
      </c>
      <c r="I3499" s="8">
        <v>9982</v>
      </c>
      <c r="J3499" s="8">
        <v>679.02</v>
      </c>
      <c r="K3499" s="8">
        <v>9982</v>
      </c>
    </row>
    <row r="3500" spans="1:11" hidden="1" x14ac:dyDescent="0.25">
      <c r="A3500" s="3" t="s">
        <v>6467</v>
      </c>
      <c r="B3500" s="3">
        <v>52</v>
      </c>
      <c r="C3500" s="5">
        <v>230</v>
      </c>
      <c r="D3500" s="6">
        <v>0</v>
      </c>
      <c r="E3500" s="7">
        <v>0</v>
      </c>
      <c r="F3500" s="3">
        <v>54320</v>
      </c>
      <c r="G3500" s="3" t="str">
        <f t="shared" si="55"/>
        <v>5</v>
      </c>
      <c r="H3500" s="3" t="s">
        <v>6468</v>
      </c>
      <c r="I3500" s="8">
        <v>0</v>
      </c>
      <c r="J3500" s="8">
        <v>0</v>
      </c>
      <c r="K3500" s="8">
        <v>0</v>
      </c>
    </row>
    <row r="3501" spans="1:11" hidden="1" x14ac:dyDescent="0.25">
      <c r="A3501" s="3" t="s">
        <v>6469</v>
      </c>
      <c r="B3501" s="3">
        <v>52</v>
      </c>
      <c r="C3501" s="5">
        <v>230</v>
      </c>
      <c r="D3501" s="6">
        <v>0</v>
      </c>
      <c r="E3501" s="7">
        <v>0</v>
      </c>
      <c r="F3501" s="3">
        <v>55200</v>
      </c>
      <c r="G3501" s="3" t="str">
        <f t="shared" si="55"/>
        <v>5</v>
      </c>
      <c r="H3501" s="3" t="s">
        <v>6175</v>
      </c>
      <c r="I3501" s="8">
        <v>0</v>
      </c>
      <c r="J3501" s="8">
        <v>0</v>
      </c>
      <c r="K3501" s="8">
        <v>0</v>
      </c>
    </row>
    <row r="3502" spans="1:11" hidden="1" x14ac:dyDescent="0.25">
      <c r="A3502" s="3" t="s">
        <v>6470</v>
      </c>
      <c r="B3502" s="3">
        <v>52</v>
      </c>
      <c r="C3502" s="5">
        <v>230</v>
      </c>
      <c r="D3502" s="6">
        <v>0</v>
      </c>
      <c r="E3502" s="7">
        <v>0</v>
      </c>
      <c r="F3502" s="3">
        <v>55600</v>
      </c>
      <c r="G3502" s="3" t="str">
        <f t="shared" si="55"/>
        <v>5</v>
      </c>
      <c r="H3502" s="3" t="s">
        <v>6139</v>
      </c>
      <c r="I3502" s="8">
        <v>0</v>
      </c>
      <c r="J3502" s="8">
        <v>30</v>
      </c>
      <c r="K3502" s="8">
        <v>0</v>
      </c>
    </row>
    <row r="3503" spans="1:11" hidden="1" x14ac:dyDescent="0.25">
      <c r="A3503" s="3" t="s">
        <v>6471</v>
      </c>
      <c r="B3503" s="3">
        <v>52</v>
      </c>
      <c r="C3503" s="5">
        <v>230</v>
      </c>
      <c r="D3503" s="6">
        <v>0</v>
      </c>
      <c r="E3503" s="7">
        <v>0</v>
      </c>
      <c r="F3503" s="3">
        <v>55630</v>
      </c>
      <c r="G3503" s="3" t="str">
        <f t="shared" si="55"/>
        <v>5</v>
      </c>
      <c r="H3503" s="3" t="s">
        <v>6181</v>
      </c>
      <c r="I3503" s="8">
        <v>0</v>
      </c>
      <c r="J3503" s="8">
        <v>21.12</v>
      </c>
      <c r="K3503" s="8">
        <v>0</v>
      </c>
    </row>
    <row r="3504" spans="1:11" hidden="1" x14ac:dyDescent="0.25">
      <c r="A3504" s="3" t="s">
        <v>6472</v>
      </c>
      <c r="B3504" s="3">
        <v>52</v>
      </c>
      <c r="C3504" s="5">
        <v>230</v>
      </c>
      <c r="D3504" s="6">
        <v>0</v>
      </c>
      <c r="E3504" s="7">
        <v>0</v>
      </c>
      <c r="F3504" s="3">
        <v>55651</v>
      </c>
      <c r="G3504" s="3" t="str">
        <f t="shared" si="55"/>
        <v>5</v>
      </c>
      <c r="H3504" s="3" t="s">
        <v>6187</v>
      </c>
      <c r="I3504" s="8">
        <v>0</v>
      </c>
      <c r="J3504" s="8">
        <v>0</v>
      </c>
      <c r="K3504" s="8">
        <v>0</v>
      </c>
    </row>
    <row r="3505" spans="1:11" hidden="1" x14ac:dyDescent="0.25">
      <c r="A3505" s="3" t="s">
        <v>6473</v>
      </c>
      <c r="B3505" s="3">
        <v>52</v>
      </c>
      <c r="C3505" s="5">
        <v>230</v>
      </c>
      <c r="D3505" s="6">
        <v>0</v>
      </c>
      <c r="E3505" s="7">
        <v>0</v>
      </c>
      <c r="F3505" s="3">
        <v>55800</v>
      </c>
      <c r="G3505" s="3" t="str">
        <f t="shared" si="55"/>
        <v>5</v>
      </c>
      <c r="H3505" s="3" t="s">
        <v>6269</v>
      </c>
      <c r="I3505" s="8">
        <v>370</v>
      </c>
      <c r="J3505" s="8">
        <v>1086</v>
      </c>
      <c r="K3505" s="8">
        <v>370</v>
      </c>
    </row>
    <row r="3506" spans="1:11" hidden="1" x14ac:dyDescent="0.25">
      <c r="A3506" s="3" t="s">
        <v>6474</v>
      </c>
      <c r="B3506" s="3">
        <v>52</v>
      </c>
      <c r="C3506" s="5">
        <v>230</v>
      </c>
      <c r="D3506" s="6">
        <v>0</v>
      </c>
      <c r="E3506" s="7">
        <v>0</v>
      </c>
      <c r="F3506" s="3">
        <v>55805</v>
      </c>
      <c r="G3506" s="3" t="str">
        <f t="shared" si="55"/>
        <v>5</v>
      </c>
      <c r="H3506" s="3" t="s">
        <v>6475</v>
      </c>
      <c r="I3506" s="8">
        <v>0</v>
      </c>
      <c r="J3506" s="8">
        <v>0</v>
      </c>
      <c r="K3506" s="8">
        <v>0</v>
      </c>
    </row>
    <row r="3507" spans="1:11" hidden="1" x14ac:dyDescent="0.25">
      <c r="A3507" s="3" t="s">
        <v>6476</v>
      </c>
      <c r="B3507" s="3">
        <v>52</v>
      </c>
      <c r="C3507" s="5">
        <v>230</v>
      </c>
      <c r="D3507" s="6">
        <v>0</v>
      </c>
      <c r="E3507" s="7">
        <v>0</v>
      </c>
      <c r="F3507" s="3">
        <v>55861</v>
      </c>
      <c r="G3507" s="3" t="str">
        <f t="shared" si="55"/>
        <v>5</v>
      </c>
      <c r="H3507" s="3" t="s">
        <v>6477</v>
      </c>
      <c r="I3507" s="8">
        <v>1215</v>
      </c>
      <c r="J3507" s="8">
        <v>1350.3</v>
      </c>
      <c r="K3507" s="8">
        <v>1215</v>
      </c>
    </row>
    <row r="3508" spans="1:11" hidden="1" x14ac:dyDescent="0.25">
      <c r="A3508" s="3" t="s">
        <v>6478</v>
      </c>
      <c r="B3508" s="3">
        <v>52</v>
      </c>
      <c r="C3508" s="5">
        <v>230</v>
      </c>
      <c r="D3508" s="6">
        <v>0</v>
      </c>
      <c r="E3508" s="7">
        <v>0</v>
      </c>
      <c r="F3508" s="3">
        <v>56217</v>
      </c>
      <c r="G3508" s="3" t="str">
        <f t="shared" si="55"/>
        <v>5</v>
      </c>
      <c r="H3508" s="3" t="s">
        <v>6479</v>
      </c>
      <c r="I3508" s="8">
        <v>940</v>
      </c>
      <c r="J3508" s="8">
        <v>948</v>
      </c>
      <c r="K3508" s="8">
        <v>940</v>
      </c>
    </row>
    <row r="3509" spans="1:11" hidden="1" x14ac:dyDescent="0.25">
      <c r="A3509" s="3" t="s">
        <v>6480</v>
      </c>
      <c r="B3509" s="3">
        <v>52</v>
      </c>
      <c r="C3509" s="5">
        <v>230</v>
      </c>
      <c r="D3509" s="6">
        <v>0</v>
      </c>
      <c r="E3509" s="7">
        <v>0</v>
      </c>
      <c r="F3509" s="3">
        <v>57300</v>
      </c>
      <c r="G3509" s="3" t="str">
        <f t="shared" si="55"/>
        <v>5</v>
      </c>
      <c r="H3509" s="3" t="s">
        <v>6142</v>
      </c>
      <c r="I3509" s="8">
        <v>7443</v>
      </c>
      <c r="J3509" s="8">
        <v>11148.92</v>
      </c>
      <c r="K3509" s="8">
        <v>7443</v>
      </c>
    </row>
    <row r="3510" spans="1:11" hidden="1" x14ac:dyDescent="0.25">
      <c r="A3510" s="3" t="s">
        <v>6481</v>
      </c>
      <c r="B3510" s="3">
        <v>55</v>
      </c>
      <c r="C3510" s="5">
        <v>230</v>
      </c>
      <c r="D3510" s="6">
        <v>0</v>
      </c>
      <c r="E3510" s="7">
        <v>0</v>
      </c>
      <c r="F3510" s="3">
        <v>48844</v>
      </c>
      <c r="G3510" s="3" t="str">
        <f t="shared" si="55"/>
        <v>4</v>
      </c>
      <c r="H3510" s="3" t="s">
        <v>6437</v>
      </c>
      <c r="I3510" s="8">
        <v>0</v>
      </c>
      <c r="J3510" s="8">
        <v>0</v>
      </c>
      <c r="K3510" s="8">
        <v>0</v>
      </c>
    </row>
    <row r="3511" spans="1:11" hidden="1" x14ac:dyDescent="0.25">
      <c r="A3511" s="3" t="s">
        <v>6482</v>
      </c>
      <c r="B3511" s="3">
        <v>55</v>
      </c>
      <c r="C3511" s="5">
        <v>230</v>
      </c>
      <c r="D3511" s="6">
        <v>0</v>
      </c>
      <c r="E3511" s="7">
        <v>0</v>
      </c>
      <c r="F3511" s="3">
        <v>48860</v>
      </c>
      <c r="G3511" s="3" t="str">
        <f t="shared" si="55"/>
        <v>4</v>
      </c>
      <c r="H3511" s="3" t="s">
        <v>41</v>
      </c>
      <c r="I3511" s="8">
        <v>0</v>
      </c>
      <c r="J3511" s="8">
        <v>1025.18</v>
      </c>
      <c r="K3511" s="8">
        <v>0</v>
      </c>
    </row>
    <row r="3512" spans="1:11" hidden="1" x14ac:dyDescent="0.25">
      <c r="A3512" s="3" t="s">
        <v>6483</v>
      </c>
      <c r="B3512" s="3">
        <v>55</v>
      </c>
      <c r="C3512" s="5">
        <v>230</v>
      </c>
      <c r="D3512" s="6">
        <v>0</v>
      </c>
      <c r="E3512" s="7">
        <v>0</v>
      </c>
      <c r="F3512" s="3">
        <v>48862</v>
      </c>
      <c r="G3512" s="3" t="str">
        <f t="shared" si="55"/>
        <v>4</v>
      </c>
      <c r="H3512" s="3" t="s">
        <v>6484</v>
      </c>
      <c r="I3512" s="8">
        <v>0</v>
      </c>
      <c r="J3512" s="8">
        <v>0</v>
      </c>
      <c r="K3512" s="8">
        <v>0</v>
      </c>
    </row>
    <row r="3513" spans="1:11" hidden="1" x14ac:dyDescent="0.25">
      <c r="A3513" s="3" t="s">
        <v>6485</v>
      </c>
      <c r="B3513" s="3">
        <v>55</v>
      </c>
      <c r="C3513" s="5">
        <v>230</v>
      </c>
      <c r="D3513" s="6">
        <v>0</v>
      </c>
      <c r="E3513" s="7">
        <v>0</v>
      </c>
      <c r="F3513" s="3">
        <v>48863</v>
      </c>
      <c r="G3513" s="3" t="str">
        <f t="shared" si="55"/>
        <v>4</v>
      </c>
      <c r="H3513" s="3" t="s">
        <v>6486</v>
      </c>
      <c r="I3513" s="8">
        <v>0</v>
      </c>
      <c r="J3513" s="8">
        <v>0</v>
      </c>
      <c r="K3513" s="8">
        <v>0</v>
      </c>
    </row>
    <row r="3514" spans="1:11" hidden="1" x14ac:dyDescent="0.25">
      <c r="A3514" s="3" t="s">
        <v>6487</v>
      </c>
      <c r="B3514" s="3">
        <v>55</v>
      </c>
      <c r="C3514" s="5">
        <v>230</v>
      </c>
      <c r="D3514" s="6">
        <v>0</v>
      </c>
      <c r="E3514" s="7">
        <v>0</v>
      </c>
      <c r="F3514" s="3">
        <v>48864</v>
      </c>
      <c r="G3514" s="3" t="str">
        <f t="shared" si="55"/>
        <v>4</v>
      </c>
      <c r="H3514" s="3" t="s">
        <v>6488</v>
      </c>
      <c r="I3514" s="8">
        <v>0</v>
      </c>
      <c r="J3514" s="8">
        <v>0</v>
      </c>
      <c r="K3514" s="8">
        <v>0</v>
      </c>
    </row>
    <row r="3515" spans="1:11" hidden="1" x14ac:dyDescent="0.25">
      <c r="A3515" s="3" t="s">
        <v>6489</v>
      </c>
      <c r="B3515" s="3">
        <v>55</v>
      </c>
      <c r="C3515" s="5">
        <v>230</v>
      </c>
      <c r="D3515" s="6">
        <v>0</v>
      </c>
      <c r="E3515" s="7">
        <v>0</v>
      </c>
      <c r="F3515" s="3">
        <v>48980</v>
      </c>
      <c r="G3515" s="3" t="str">
        <f t="shared" si="55"/>
        <v>4</v>
      </c>
      <c r="H3515" s="3" t="s">
        <v>55</v>
      </c>
      <c r="I3515" s="8">
        <v>-7443</v>
      </c>
      <c r="J3515" s="8">
        <v>-11148.92</v>
      </c>
      <c r="K3515" s="8">
        <v>-7443</v>
      </c>
    </row>
    <row r="3516" spans="1:11" hidden="1" x14ac:dyDescent="0.25">
      <c r="A3516" s="3" t="s">
        <v>6490</v>
      </c>
      <c r="B3516" s="3">
        <v>55</v>
      </c>
      <c r="C3516" s="5">
        <v>230</v>
      </c>
      <c r="D3516" s="6">
        <v>0</v>
      </c>
      <c r="E3516" s="7">
        <v>0</v>
      </c>
      <c r="F3516" s="3">
        <v>52105</v>
      </c>
      <c r="G3516" s="3" t="str">
        <f t="shared" si="55"/>
        <v>5</v>
      </c>
      <c r="H3516" s="3" t="s">
        <v>6151</v>
      </c>
      <c r="I3516" s="8">
        <v>0</v>
      </c>
      <c r="J3516" s="8">
        <v>0</v>
      </c>
      <c r="K3516" s="8">
        <v>0</v>
      </c>
    </row>
    <row r="3517" spans="1:11" hidden="1" x14ac:dyDescent="0.25">
      <c r="A3517" s="3" t="s">
        <v>6491</v>
      </c>
      <c r="B3517" s="3">
        <v>55</v>
      </c>
      <c r="C3517" s="5">
        <v>230</v>
      </c>
      <c r="D3517" s="6">
        <v>0</v>
      </c>
      <c r="E3517" s="7">
        <v>0</v>
      </c>
      <c r="F3517" s="3">
        <v>52115</v>
      </c>
      <c r="G3517" s="3" t="str">
        <f t="shared" si="55"/>
        <v>5</v>
      </c>
      <c r="H3517" s="3" t="s">
        <v>6445</v>
      </c>
      <c r="I3517" s="8">
        <v>0</v>
      </c>
      <c r="J3517" s="8">
        <v>0</v>
      </c>
      <c r="K3517" s="8">
        <v>0</v>
      </c>
    </row>
    <row r="3518" spans="1:11" hidden="1" x14ac:dyDescent="0.25">
      <c r="A3518" s="3" t="s">
        <v>6492</v>
      </c>
      <c r="B3518" s="3">
        <v>55</v>
      </c>
      <c r="C3518" s="5">
        <v>230</v>
      </c>
      <c r="D3518" s="6">
        <v>0</v>
      </c>
      <c r="E3518" s="7">
        <v>0</v>
      </c>
      <c r="F3518" s="3">
        <v>52300</v>
      </c>
      <c r="G3518" s="3" t="str">
        <f t="shared" si="55"/>
        <v>5</v>
      </c>
      <c r="H3518" s="3" t="s">
        <v>6453</v>
      </c>
      <c r="I3518" s="8">
        <v>0</v>
      </c>
      <c r="J3518" s="8">
        <v>191.36</v>
      </c>
      <c r="K3518" s="8">
        <v>0</v>
      </c>
    </row>
    <row r="3519" spans="1:11" hidden="1" x14ac:dyDescent="0.25">
      <c r="A3519" s="3" t="s">
        <v>6493</v>
      </c>
      <c r="B3519" s="3">
        <v>55</v>
      </c>
      <c r="C3519" s="5">
        <v>230</v>
      </c>
      <c r="D3519" s="6">
        <v>0</v>
      </c>
      <c r="E3519" s="7">
        <v>0</v>
      </c>
      <c r="F3519" s="3">
        <v>53220</v>
      </c>
      <c r="G3519" s="3" t="str">
        <f t="shared" si="55"/>
        <v>5</v>
      </c>
      <c r="H3519" s="3" t="s">
        <v>6159</v>
      </c>
      <c r="I3519" s="8">
        <v>0</v>
      </c>
      <c r="J3519" s="8">
        <v>39.61</v>
      </c>
      <c r="K3519" s="8">
        <v>0</v>
      </c>
    </row>
    <row r="3520" spans="1:11" hidden="1" x14ac:dyDescent="0.25">
      <c r="A3520" s="3" t="s">
        <v>6494</v>
      </c>
      <c r="B3520" s="3">
        <v>55</v>
      </c>
      <c r="C3520" s="5">
        <v>230</v>
      </c>
      <c r="D3520" s="6">
        <v>0</v>
      </c>
      <c r="E3520" s="7">
        <v>0</v>
      </c>
      <c r="F3520" s="3">
        <v>53320</v>
      </c>
      <c r="G3520" s="3" t="str">
        <f t="shared" si="55"/>
        <v>5</v>
      </c>
      <c r="H3520" s="3" t="s">
        <v>6161</v>
      </c>
      <c r="I3520" s="8">
        <v>0</v>
      </c>
      <c r="J3520" s="8">
        <v>11.86</v>
      </c>
      <c r="K3520" s="8">
        <v>0</v>
      </c>
    </row>
    <row r="3521" spans="1:11" hidden="1" x14ac:dyDescent="0.25">
      <c r="A3521" s="3" t="s">
        <v>6495</v>
      </c>
      <c r="B3521" s="3">
        <v>55</v>
      </c>
      <c r="C3521" s="5">
        <v>230</v>
      </c>
      <c r="D3521" s="6">
        <v>0</v>
      </c>
      <c r="E3521" s="7">
        <v>0</v>
      </c>
      <c r="F3521" s="3">
        <v>53340</v>
      </c>
      <c r="G3521" s="3" t="str">
        <f t="shared" si="55"/>
        <v>5</v>
      </c>
      <c r="H3521" s="3" t="s">
        <v>6163</v>
      </c>
      <c r="I3521" s="8">
        <v>0</v>
      </c>
      <c r="J3521" s="8">
        <v>2.78</v>
      </c>
      <c r="K3521" s="8">
        <v>0</v>
      </c>
    </row>
    <row r="3522" spans="1:11" hidden="1" x14ac:dyDescent="0.25">
      <c r="A3522" s="3" t="s">
        <v>6496</v>
      </c>
      <c r="B3522" s="3">
        <v>55</v>
      </c>
      <c r="C3522" s="5">
        <v>230</v>
      </c>
      <c r="D3522" s="6">
        <v>0</v>
      </c>
      <c r="E3522" s="7">
        <v>0</v>
      </c>
      <c r="F3522" s="3">
        <v>53420</v>
      </c>
      <c r="G3522" s="3" t="str">
        <f t="shared" si="55"/>
        <v>5</v>
      </c>
      <c r="H3522" s="3" t="s">
        <v>6165</v>
      </c>
      <c r="I3522" s="8">
        <v>0</v>
      </c>
      <c r="J3522" s="8">
        <v>0.93</v>
      </c>
      <c r="K3522" s="8">
        <v>0</v>
      </c>
    </row>
    <row r="3523" spans="1:11" hidden="1" x14ac:dyDescent="0.25">
      <c r="A3523" s="3" t="s">
        <v>6497</v>
      </c>
      <c r="B3523" s="3">
        <v>55</v>
      </c>
      <c r="C3523" s="5">
        <v>230</v>
      </c>
      <c r="D3523" s="6">
        <v>0</v>
      </c>
      <c r="E3523" s="7">
        <v>0</v>
      </c>
      <c r="F3523" s="3">
        <v>53520</v>
      </c>
      <c r="G3523" s="3" t="str">
        <f t="shared" si="55"/>
        <v>5</v>
      </c>
      <c r="H3523" s="3" t="s">
        <v>6167</v>
      </c>
      <c r="I3523" s="8">
        <v>0</v>
      </c>
      <c r="J3523" s="8">
        <v>0.09</v>
      </c>
      <c r="K3523" s="8">
        <v>0</v>
      </c>
    </row>
    <row r="3524" spans="1:11" hidden="1" x14ac:dyDescent="0.25">
      <c r="A3524" s="3" t="s">
        <v>6498</v>
      </c>
      <c r="B3524" s="3">
        <v>55</v>
      </c>
      <c r="C3524" s="5">
        <v>230</v>
      </c>
      <c r="D3524" s="6">
        <v>0</v>
      </c>
      <c r="E3524" s="7">
        <v>0</v>
      </c>
      <c r="F3524" s="3">
        <v>53620</v>
      </c>
      <c r="G3524" s="3" t="str">
        <f t="shared" si="55"/>
        <v>5</v>
      </c>
      <c r="H3524" s="3" t="s">
        <v>6169</v>
      </c>
      <c r="I3524" s="8">
        <v>0</v>
      </c>
      <c r="J3524" s="8">
        <v>3.61</v>
      </c>
      <c r="K3524" s="8">
        <v>0</v>
      </c>
    </row>
    <row r="3525" spans="1:11" hidden="1" x14ac:dyDescent="0.25">
      <c r="A3525" s="3" t="s">
        <v>6499</v>
      </c>
      <c r="B3525" s="3">
        <v>55</v>
      </c>
      <c r="C3525" s="5">
        <v>230</v>
      </c>
      <c r="D3525" s="6">
        <v>0</v>
      </c>
      <c r="E3525" s="7">
        <v>0</v>
      </c>
      <c r="F3525" s="3">
        <v>53920</v>
      </c>
      <c r="G3525" s="3" t="str">
        <f t="shared" si="55"/>
        <v>5</v>
      </c>
      <c r="H3525" s="3" t="s">
        <v>6464</v>
      </c>
      <c r="I3525" s="8">
        <v>0</v>
      </c>
      <c r="J3525" s="8">
        <v>0</v>
      </c>
      <c r="K3525" s="8">
        <v>0</v>
      </c>
    </row>
    <row r="3526" spans="1:11" hidden="1" x14ac:dyDescent="0.25">
      <c r="A3526" s="3" t="s">
        <v>6500</v>
      </c>
      <c r="B3526" s="3">
        <v>55</v>
      </c>
      <c r="C3526" s="5">
        <v>230</v>
      </c>
      <c r="D3526" s="6">
        <v>0</v>
      </c>
      <c r="E3526" s="7">
        <v>0</v>
      </c>
      <c r="F3526" s="3">
        <v>54210</v>
      </c>
      <c r="G3526" s="3" t="str">
        <f t="shared" si="55"/>
        <v>5</v>
      </c>
      <c r="H3526" s="3" t="s">
        <v>6171</v>
      </c>
      <c r="I3526" s="8">
        <v>0</v>
      </c>
      <c r="J3526" s="8">
        <v>495.02</v>
      </c>
      <c r="K3526" s="8">
        <v>0</v>
      </c>
    </row>
    <row r="3527" spans="1:11" hidden="1" x14ac:dyDescent="0.25">
      <c r="A3527" s="3" t="s">
        <v>6501</v>
      </c>
      <c r="B3527" s="3">
        <v>55</v>
      </c>
      <c r="C3527" s="5">
        <v>230</v>
      </c>
      <c r="D3527" s="6">
        <v>0</v>
      </c>
      <c r="E3527" s="7">
        <v>0</v>
      </c>
      <c r="F3527" s="3">
        <v>54300</v>
      </c>
      <c r="G3527" s="3" t="str">
        <f t="shared" si="55"/>
        <v>5</v>
      </c>
      <c r="H3527" s="3" t="s">
        <v>6173</v>
      </c>
      <c r="I3527" s="8">
        <v>0</v>
      </c>
      <c r="J3527" s="8">
        <v>-2.59</v>
      </c>
      <c r="K3527" s="8">
        <v>0</v>
      </c>
    </row>
    <row r="3528" spans="1:11" hidden="1" x14ac:dyDescent="0.25">
      <c r="A3528" s="3" t="s">
        <v>6502</v>
      </c>
      <c r="B3528" s="3">
        <v>55</v>
      </c>
      <c r="C3528" s="5">
        <v>230</v>
      </c>
      <c r="D3528" s="6">
        <v>0</v>
      </c>
      <c r="E3528" s="7">
        <v>0</v>
      </c>
      <c r="F3528" s="3">
        <v>54320</v>
      </c>
      <c r="G3528" s="3" t="str">
        <f t="shared" si="55"/>
        <v>5</v>
      </c>
      <c r="H3528" s="3" t="s">
        <v>6468</v>
      </c>
      <c r="I3528" s="8">
        <v>0</v>
      </c>
      <c r="J3528" s="8">
        <v>0</v>
      </c>
      <c r="K3528" s="8">
        <v>0</v>
      </c>
    </row>
    <row r="3529" spans="1:11" hidden="1" x14ac:dyDescent="0.25">
      <c r="A3529" s="3" t="s">
        <v>6503</v>
      </c>
      <c r="B3529" s="3">
        <v>55</v>
      </c>
      <c r="C3529" s="5">
        <v>230</v>
      </c>
      <c r="D3529" s="6">
        <v>0</v>
      </c>
      <c r="E3529" s="7">
        <v>0</v>
      </c>
      <c r="F3529" s="3">
        <v>55105</v>
      </c>
      <c r="G3529" s="3" t="str">
        <f t="shared" si="55"/>
        <v>5</v>
      </c>
      <c r="H3529" s="3" t="s">
        <v>6251</v>
      </c>
      <c r="I3529" s="8">
        <v>243</v>
      </c>
      <c r="J3529" s="8">
        <v>141.47</v>
      </c>
      <c r="K3529" s="8">
        <v>243</v>
      </c>
    </row>
    <row r="3530" spans="1:11" hidden="1" x14ac:dyDescent="0.25">
      <c r="A3530" s="3" t="s">
        <v>6504</v>
      </c>
      <c r="B3530" s="3">
        <v>55</v>
      </c>
      <c r="C3530" s="5">
        <v>230</v>
      </c>
      <c r="D3530" s="6">
        <v>0</v>
      </c>
      <c r="E3530" s="7">
        <v>0</v>
      </c>
      <c r="F3530" s="3">
        <v>55200</v>
      </c>
      <c r="G3530" s="3" t="str">
        <f t="shared" si="55"/>
        <v>5</v>
      </c>
      <c r="H3530" s="3" t="s">
        <v>6175</v>
      </c>
      <c r="I3530" s="8">
        <v>0</v>
      </c>
      <c r="J3530" s="8">
        <v>0</v>
      </c>
      <c r="K3530" s="8">
        <v>0</v>
      </c>
    </row>
    <row r="3531" spans="1:11" hidden="1" x14ac:dyDescent="0.25">
      <c r="A3531" s="3" t="s">
        <v>6505</v>
      </c>
      <c r="B3531" s="3">
        <v>55</v>
      </c>
      <c r="C3531" s="5">
        <v>230</v>
      </c>
      <c r="D3531" s="6">
        <v>0</v>
      </c>
      <c r="E3531" s="7">
        <v>0</v>
      </c>
      <c r="F3531" s="3">
        <v>55630</v>
      </c>
      <c r="G3531" s="3" t="str">
        <f t="shared" si="55"/>
        <v>5</v>
      </c>
      <c r="H3531" s="3" t="s">
        <v>6181</v>
      </c>
      <c r="I3531" s="8">
        <v>0</v>
      </c>
      <c r="J3531" s="8">
        <v>0</v>
      </c>
      <c r="K3531" s="8">
        <v>0</v>
      </c>
    </row>
    <row r="3532" spans="1:11" hidden="1" x14ac:dyDescent="0.25">
      <c r="A3532" s="3" t="s">
        <v>6506</v>
      </c>
      <c r="B3532" s="3">
        <v>55</v>
      </c>
      <c r="C3532" s="5">
        <v>230</v>
      </c>
      <c r="D3532" s="6">
        <v>0</v>
      </c>
      <c r="E3532" s="7">
        <v>0</v>
      </c>
      <c r="F3532" s="3">
        <v>55640</v>
      </c>
      <c r="G3532" s="3" t="str">
        <f t="shared" si="55"/>
        <v>5</v>
      </c>
      <c r="H3532" s="3" t="s">
        <v>6507</v>
      </c>
      <c r="I3532" s="8">
        <v>0</v>
      </c>
      <c r="J3532" s="8">
        <v>0</v>
      </c>
      <c r="K3532" s="8">
        <v>0</v>
      </c>
    </row>
    <row r="3533" spans="1:11" hidden="1" x14ac:dyDescent="0.25">
      <c r="A3533" s="3" t="s">
        <v>6508</v>
      </c>
      <c r="B3533" s="3">
        <v>55</v>
      </c>
      <c r="C3533" s="5">
        <v>230</v>
      </c>
      <c r="D3533" s="6">
        <v>0</v>
      </c>
      <c r="E3533" s="7">
        <v>0</v>
      </c>
      <c r="F3533" s="3">
        <v>55650</v>
      </c>
      <c r="G3533" s="3" t="str">
        <f t="shared" si="55"/>
        <v>5</v>
      </c>
      <c r="H3533" s="3" t="s">
        <v>6185</v>
      </c>
      <c r="I3533" s="8">
        <v>3696</v>
      </c>
      <c r="J3533" s="8">
        <v>-4751.32</v>
      </c>
      <c r="K3533" s="8">
        <v>3696</v>
      </c>
    </row>
    <row r="3534" spans="1:11" hidden="1" x14ac:dyDescent="0.25">
      <c r="A3534" s="3" t="s">
        <v>6509</v>
      </c>
      <c r="B3534" s="3">
        <v>55</v>
      </c>
      <c r="C3534" s="5">
        <v>230</v>
      </c>
      <c r="D3534" s="6">
        <v>0</v>
      </c>
      <c r="E3534" s="7">
        <v>0</v>
      </c>
      <c r="F3534" s="3">
        <v>55651</v>
      </c>
      <c r="G3534" s="3" t="str">
        <f t="shared" si="55"/>
        <v>5</v>
      </c>
      <c r="H3534" s="3" t="s">
        <v>6187</v>
      </c>
      <c r="I3534" s="8">
        <v>0</v>
      </c>
      <c r="J3534" s="8">
        <v>0</v>
      </c>
      <c r="K3534" s="8">
        <v>0</v>
      </c>
    </row>
    <row r="3535" spans="1:11" hidden="1" x14ac:dyDescent="0.25">
      <c r="A3535" s="3" t="s">
        <v>6510</v>
      </c>
      <c r="B3535" s="3">
        <v>55</v>
      </c>
      <c r="C3535" s="5">
        <v>230</v>
      </c>
      <c r="D3535" s="6">
        <v>0</v>
      </c>
      <c r="E3535" s="7">
        <v>0</v>
      </c>
      <c r="F3535" s="3">
        <v>55800</v>
      </c>
      <c r="G3535" s="3" t="str">
        <f t="shared" si="55"/>
        <v>5</v>
      </c>
      <c r="H3535" s="3" t="s">
        <v>6269</v>
      </c>
      <c r="I3535" s="8">
        <v>0</v>
      </c>
      <c r="J3535" s="8">
        <v>107</v>
      </c>
      <c r="K3535" s="8">
        <v>0</v>
      </c>
    </row>
    <row r="3536" spans="1:11" hidden="1" x14ac:dyDescent="0.25">
      <c r="A3536" s="3" t="s">
        <v>6511</v>
      </c>
      <c r="B3536" s="3">
        <v>55</v>
      </c>
      <c r="C3536" s="5">
        <v>230</v>
      </c>
      <c r="D3536" s="6">
        <v>0</v>
      </c>
      <c r="E3536" s="7">
        <v>0</v>
      </c>
      <c r="F3536" s="3">
        <v>55861</v>
      </c>
      <c r="G3536" s="3" t="str">
        <f t="shared" si="55"/>
        <v>5</v>
      </c>
      <c r="H3536" s="3" t="s">
        <v>6477</v>
      </c>
      <c r="I3536" s="8">
        <v>2548</v>
      </c>
      <c r="J3536" s="8">
        <v>4425.17</v>
      </c>
      <c r="K3536" s="8">
        <v>2548</v>
      </c>
    </row>
    <row r="3537" spans="1:11" hidden="1" x14ac:dyDescent="0.25">
      <c r="A3537" s="3" t="s">
        <v>6512</v>
      </c>
      <c r="B3537" s="3">
        <v>55</v>
      </c>
      <c r="C3537" s="5">
        <v>230</v>
      </c>
      <c r="D3537" s="6">
        <v>0</v>
      </c>
      <c r="E3537" s="7">
        <v>0</v>
      </c>
      <c r="F3537" s="3">
        <v>56217</v>
      </c>
      <c r="G3537" s="3" t="str">
        <f t="shared" si="55"/>
        <v>5</v>
      </c>
      <c r="H3537" s="3" t="s">
        <v>6479</v>
      </c>
      <c r="I3537" s="8">
        <v>956</v>
      </c>
      <c r="J3537" s="8">
        <v>994</v>
      </c>
      <c r="K3537" s="8">
        <v>956</v>
      </c>
    </row>
    <row r="3538" spans="1:11" hidden="1" x14ac:dyDescent="0.25">
      <c r="A3538" s="3" t="s">
        <v>6513</v>
      </c>
      <c r="B3538" s="3">
        <v>55</v>
      </c>
      <c r="C3538" s="5">
        <v>230</v>
      </c>
      <c r="D3538" s="6">
        <v>0</v>
      </c>
      <c r="E3538" s="7">
        <v>0</v>
      </c>
      <c r="F3538" s="3">
        <v>56400</v>
      </c>
      <c r="G3538" s="3" t="str">
        <f t="shared" si="55"/>
        <v>5</v>
      </c>
      <c r="H3538" s="3" t="s">
        <v>6191</v>
      </c>
      <c r="I3538" s="8">
        <v>0</v>
      </c>
      <c r="J3538" s="8">
        <v>0</v>
      </c>
      <c r="K3538" s="8">
        <v>0</v>
      </c>
    </row>
    <row r="3539" spans="1:11" hidden="1" x14ac:dyDescent="0.25">
      <c r="A3539" s="3" t="s">
        <v>6514</v>
      </c>
      <c r="B3539" s="3">
        <v>59</v>
      </c>
      <c r="C3539" s="5">
        <v>0</v>
      </c>
      <c r="D3539" s="6">
        <v>0</v>
      </c>
      <c r="E3539" s="7">
        <v>0</v>
      </c>
      <c r="F3539" s="3">
        <v>48860</v>
      </c>
      <c r="G3539" s="3" t="str">
        <f t="shared" si="55"/>
        <v>4</v>
      </c>
      <c r="H3539" s="3" t="s">
        <v>41</v>
      </c>
      <c r="I3539" s="8">
        <v>0</v>
      </c>
      <c r="J3539" s="8">
        <v>-259.06</v>
      </c>
      <c r="K3539" s="8">
        <v>0</v>
      </c>
    </row>
    <row r="3540" spans="1:11" hidden="1" x14ac:dyDescent="0.25">
      <c r="A3540" s="3" t="s">
        <v>6515</v>
      </c>
      <c r="B3540" s="3">
        <v>59</v>
      </c>
      <c r="C3540" s="5">
        <v>350</v>
      </c>
      <c r="D3540" s="6">
        <v>1</v>
      </c>
      <c r="E3540" s="7">
        <v>682210</v>
      </c>
      <c r="F3540" s="3">
        <v>48890</v>
      </c>
      <c r="G3540" s="3" t="str">
        <f t="shared" si="55"/>
        <v>4</v>
      </c>
      <c r="H3540" s="3" t="s">
        <v>6516</v>
      </c>
      <c r="I3540" s="8">
        <v>0</v>
      </c>
      <c r="J3540" s="8">
        <v>0</v>
      </c>
      <c r="K3540" s="8">
        <v>0</v>
      </c>
    </row>
    <row r="3541" spans="1:11" hidden="1" x14ac:dyDescent="0.25">
      <c r="A3541" s="3" t="s">
        <v>6517</v>
      </c>
      <c r="B3541" s="3">
        <v>61</v>
      </c>
      <c r="C3541" s="5">
        <v>0</v>
      </c>
      <c r="D3541" s="6">
        <v>0</v>
      </c>
      <c r="E3541" s="7">
        <v>0</v>
      </c>
      <c r="F3541" s="3">
        <v>53600</v>
      </c>
      <c r="G3541" s="3" t="str">
        <f t="shared" si="55"/>
        <v>5</v>
      </c>
      <c r="H3541" s="3" t="s">
        <v>6518</v>
      </c>
      <c r="I3541" s="8">
        <v>40000</v>
      </c>
      <c r="J3541" s="8">
        <v>-1196.7</v>
      </c>
      <c r="K3541" s="8">
        <v>40000</v>
      </c>
    </row>
    <row r="3542" spans="1:11" hidden="1" x14ac:dyDescent="0.25">
      <c r="A3542" s="3" t="s">
        <v>6519</v>
      </c>
      <c r="B3542" s="3">
        <v>61</v>
      </c>
      <c r="C3542" s="5">
        <v>0</v>
      </c>
      <c r="D3542" s="6">
        <v>0</v>
      </c>
      <c r="E3542" s="7">
        <v>0</v>
      </c>
      <c r="F3542" s="3">
        <v>55400</v>
      </c>
      <c r="G3542" s="3" t="str">
        <f t="shared" si="55"/>
        <v>5</v>
      </c>
      <c r="H3542" s="3" t="s">
        <v>6520</v>
      </c>
      <c r="I3542" s="8">
        <v>3000</v>
      </c>
      <c r="J3542" s="8">
        <v>13651.44</v>
      </c>
      <c r="K3542" s="8">
        <v>3000</v>
      </c>
    </row>
    <row r="3543" spans="1:11" hidden="1" x14ac:dyDescent="0.25">
      <c r="A3543" s="3" t="s">
        <v>6521</v>
      </c>
      <c r="B3543" s="3">
        <v>61</v>
      </c>
      <c r="C3543" s="5">
        <v>0</v>
      </c>
      <c r="D3543" s="6">
        <v>0</v>
      </c>
      <c r="E3543" s="7">
        <v>0</v>
      </c>
      <c r="F3543" s="3">
        <v>55800</v>
      </c>
      <c r="G3543" s="3" t="str">
        <f t="shared" si="55"/>
        <v>5</v>
      </c>
      <c r="H3543" s="3" t="s">
        <v>6269</v>
      </c>
      <c r="I3543" s="8">
        <v>3000</v>
      </c>
      <c r="J3543" s="8">
        <v>250</v>
      </c>
      <c r="K3543" s="8">
        <v>3000</v>
      </c>
    </row>
    <row r="3544" spans="1:11" hidden="1" x14ac:dyDescent="0.25">
      <c r="A3544" s="3" t="s">
        <v>6522</v>
      </c>
      <c r="B3544" s="3">
        <v>61</v>
      </c>
      <c r="C3544" s="5">
        <v>200</v>
      </c>
      <c r="D3544" s="6">
        <v>0</v>
      </c>
      <c r="E3544" s="7">
        <v>0</v>
      </c>
      <c r="F3544" s="3">
        <v>48860</v>
      </c>
      <c r="G3544" s="3" t="str">
        <f t="shared" si="55"/>
        <v>4</v>
      </c>
      <c r="H3544" s="3" t="s">
        <v>41</v>
      </c>
      <c r="I3544" s="8">
        <v>-2000</v>
      </c>
      <c r="J3544" s="8">
        <v>4.5999999999999996</v>
      </c>
      <c r="K3544" s="8">
        <v>-2000</v>
      </c>
    </row>
    <row r="3545" spans="1:11" hidden="1" x14ac:dyDescent="0.25">
      <c r="A3545" s="3" t="s">
        <v>6523</v>
      </c>
      <c r="B3545" s="3">
        <v>62</v>
      </c>
      <c r="C3545" s="5">
        <v>0</v>
      </c>
      <c r="D3545" s="6">
        <v>0</v>
      </c>
      <c r="E3545" s="7">
        <v>0</v>
      </c>
      <c r="F3545" s="3">
        <v>48860</v>
      </c>
      <c r="G3545" s="3" t="str">
        <f t="shared" si="55"/>
        <v>4</v>
      </c>
      <c r="H3545" s="3" t="s">
        <v>41</v>
      </c>
      <c r="I3545" s="8">
        <v>-282809</v>
      </c>
      <c r="J3545" s="8">
        <v>-939378.3</v>
      </c>
      <c r="K3545" s="8">
        <v>-282809</v>
      </c>
    </row>
    <row r="3546" spans="1:11" hidden="1" x14ac:dyDescent="0.25">
      <c r="A3546" s="3" t="s">
        <v>6524</v>
      </c>
      <c r="B3546" s="3">
        <v>62</v>
      </c>
      <c r="C3546" s="5">
        <v>0</v>
      </c>
      <c r="D3546" s="6">
        <v>0</v>
      </c>
      <c r="E3546" s="7">
        <v>0</v>
      </c>
      <c r="F3546" s="3">
        <v>55709</v>
      </c>
      <c r="G3546" s="3" t="str">
        <f t="shared" si="55"/>
        <v>5</v>
      </c>
      <c r="H3546" s="3" t="s">
        <v>6525</v>
      </c>
      <c r="I3546" s="8">
        <v>2500</v>
      </c>
      <c r="J3546" s="8">
        <v>1460.41</v>
      </c>
      <c r="K3546" s="8">
        <v>2500</v>
      </c>
    </row>
    <row r="3547" spans="1:11" hidden="1" x14ac:dyDescent="0.25">
      <c r="A3547" s="3" t="s">
        <v>6526</v>
      </c>
      <c r="B3547" s="3">
        <v>62</v>
      </c>
      <c r="C3547" s="5">
        <v>0</v>
      </c>
      <c r="D3547" s="6">
        <v>0</v>
      </c>
      <c r="E3547" s="7">
        <v>0</v>
      </c>
      <c r="F3547" s="3">
        <v>55800</v>
      </c>
      <c r="G3547" s="3" t="str">
        <f t="shared" ref="G3547:G3610" si="56">LEFT(F3547,1)</f>
        <v>5</v>
      </c>
      <c r="H3547" s="3" t="s">
        <v>6269</v>
      </c>
      <c r="I3547" s="8">
        <v>2500</v>
      </c>
      <c r="J3547" s="8">
        <v>1067.81</v>
      </c>
      <c r="K3547" s="8">
        <v>2500</v>
      </c>
    </row>
    <row r="3548" spans="1:11" hidden="1" x14ac:dyDescent="0.25">
      <c r="A3548" s="3" t="s">
        <v>6527</v>
      </c>
      <c r="B3548" s="3">
        <v>63</v>
      </c>
      <c r="C3548" s="5">
        <v>0</v>
      </c>
      <c r="D3548" s="6">
        <v>0</v>
      </c>
      <c r="E3548" s="7">
        <v>0</v>
      </c>
      <c r="F3548" s="3">
        <v>48860</v>
      </c>
      <c r="G3548" s="3" t="str">
        <f t="shared" si="56"/>
        <v>4</v>
      </c>
      <c r="H3548" s="3" t="s">
        <v>41</v>
      </c>
      <c r="I3548" s="8">
        <v>-111365</v>
      </c>
      <c r="J3548" s="8">
        <v>-355919.54</v>
      </c>
      <c r="K3548" s="8">
        <v>-111365</v>
      </c>
    </row>
    <row r="3549" spans="1:11" hidden="1" x14ac:dyDescent="0.25">
      <c r="A3549" s="3" t="s">
        <v>6528</v>
      </c>
      <c r="B3549" s="3">
        <v>63</v>
      </c>
      <c r="C3549" s="5">
        <v>0</v>
      </c>
      <c r="D3549" s="6">
        <v>0</v>
      </c>
      <c r="E3549" s="7">
        <v>0</v>
      </c>
      <c r="F3549" s="3">
        <v>55709</v>
      </c>
      <c r="G3549" s="3" t="str">
        <f t="shared" si="56"/>
        <v>5</v>
      </c>
      <c r="H3549" s="3" t="s">
        <v>6525</v>
      </c>
      <c r="I3549" s="8">
        <v>5400</v>
      </c>
      <c r="J3549" s="8">
        <v>4682.95</v>
      </c>
      <c r="K3549" s="8">
        <v>5400</v>
      </c>
    </row>
    <row r="3550" spans="1:11" hidden="1" x14ac:dyDescent="0.25">
      <c r="A3550" s="3" t="s">
        <v>6529</v>
      </c>
      <c r="B3550" s="3">
        <v>63</v>
      </c>
      <c r="C3550" s="5">
        <v>0</v>
      </c>
      <c r="D3550" s="6">
        <v>0</v>
      </c>
      <c r="E3550" s="7">
        <v>0</v>
      </c>
      <c r="F3550" s="3">
        <v>57300</v>
      </c>
      <c r="G3550" s="3" t="str">
        <f t="shared" si="56"/>
        <v>5</v>
      </c>
      <c r="H3550" s="3" t="s">
        <v>6142</v>
      </c>
      <c r="I3550" s="8">
        <v>0</v>
      </c>
      <c r="J3550" s="8">
        <v>0</v>
      </c>
      <c r="K3550" s="8">
        <v>0</v>
      </c>
    </row>
    <row r="3551" spans="1:11" hidden="1" x14ac:dyDescent="0.25">
      <c r="A3551" s="3" t="s">
        <v>6530</v>
      </c>
      <c r="B3551" s="3">
        <v>71</v>
      </c>
      <c r="C3551" s="5">
        <v>400</v>
      </c>
      <c r="D3551" s="6">
        <v>0</v>
      </c>
      <c r="E3551" s="7">
        <v>0</v>
      </c>
      <c r="F3551" s="3">
        <v>48843</v>
      </c>
      <c r="G3551" s="3" t="str">
        <f t="shared" si="56"/>
        <v>4</v>
      </c>
      <c r="H3551" s="3" t="s">
        <v>6531</v>
      </c>
      <c r="I3551" s="8">
        <v>-87000</v>
      </c>
      <c r="J3551" s="8">
        <v>-41424.949999999997</v>
      </c>
      <c r="K3551" s="8">
        <v>-87000</v>
      </c>
    </row>
    <row r="3552" spans="1:11" hidden="1" x14ac:dyDescent="0.25">
      <c r="A3552" s="3" t="s">
        <v>6532</v>
      </c>
      <c r="B3552" s="3">
        <v>71</v>
      </c>
      <c r="C3552" s="5">
        <v>400</v>
      </c>
      <c r="D3552" s="6">
        <v>0</v>
      </c>
      <c r="E3552" s="7">
        <v>0</v>
      </c>
      <c r="F3552" s="3">
        <v>48860</v>
      </c>
      <c r="G3552" s="3" t="str">
        <f t="shared" si="56"/>
        <v>4</v>
      </c>
      <c r="H3552" s="3" t="s">
        <v>41</v>
      </c>
      <c r="I3552" s="8">
        <v>-2500</v>
      </c>
      <c r="J3552" s="8">
        <v>-1231.73</v>
      </c>
      <c r="K3552" s="8">
        <v>-2500</v>
      </c>
    </row>
    <row r="3553" spans="1:11" hidden="1" x14ac:dyDescent="0.25">
      <c r="A3553" s="3" t="s">
        <v>6533</v>
      </c>
      <c r="B3553" s="3">
        <v>71</v>
      </c>
      <c r="C3553" s="5">
        <v>400</v>
      </c>
      <c r="D3553" s="6">
        <v>0</v>
      </c>
      <c r="E3553" s="7">
        <v>0</v>
      </c>
      <c r="F3553" s="3">
        <v>48890</v>
      </c>
      <c r="G3553" s="3" t="str">
        <f t="shared" si="56"/>
        <v>4</v>
      </c>
      <c r="H3553" s="3" t="s">
        <v>51</v>
      </c>
      <c r="I3553" s="8">
        <v>0</v>
      </c>
      <c r="J3553" s="8">
        <v>-3.78</v>
      </c>
      <c r="K3553" s="8">
        <v>0</v>
      </c>
    </row>
    <row r="3554" spans="1:11" hidden="1" x14ac:dyDescent="0.25">
      <c r="A3554" s="3" t="s">
        <v>6534</v>
      </c>
      <c r="B3554" s="3">
        <v>71</v>
      </c>
      <c r="C3554" s="5">
        <v>400</v>
      </c>
      <c r="D3554" s="6">
        <v>0</v>
      </c>
      <c r="E3554" s="7">
        <v>0</v>
      </c>
      <c r="F3554" s="3">
        <v>48980</v>
      </c>
      <c r="G3554" s="3" t="str">
        <f t="shared" si="56"/>
        <v>4</v>
      </c>
      <c r="H3554" s="3" t="s">
        <v>55</v>
      </c>
      <c r="I3554" s="8">
        <v>-10000</v>
      </c>
      <c r="J3554" s="8">
        <v>0</v>
      </c>
      <c r="K3554" s="8">
        <v>-10000</v>
      </c>
    </row>
    <row r="3555" spans="1:11" hidden="1" x14ac:dyDescent="0.25">
      <c r="A3555" s="3" t="s">
        <v>6535</v>
      </c>
      <c r="B3555" s="3">
        <v>71</v>
      </c>
      <c r="C3555" s="5">
        <v>400</v>
      </c>
      <c r="D3555" s="6">
        <v>0</v>
      </c>
      <c r="E3555" s="7">
        <v>0</v>
      </c>
      <c r="F3555" s="3">
        <v>52105</v>
      </c>
      <c r="G3555" s="3" t="str">
        <f t="shared" si="56"/>
        <v>5</v>
      </c>
      <c r="H3555" s="3" t="s">
        <v>6151</v>
      </c>
      <c r="I3555" s="8">
        <v>31764</v>
      </c>
      <c r="J3555" s="8">
        <v>23186.95</v>
      </c>
      <c r="K3555" s="8">
        <v>31764</v>
      </c>
    </row>
    <row r="3556" spans="1:11" hidden="1" x14ac:dyDescent="0.25">
      <c r="A3556" s="3" t="s">
        <v>6536</v>
      </c>
      <c r="B3556" s="3">
        <v>71</v>
      </c>
      <c r="C3556" s="5">
        <v>400</v>
      </c>
      <c r="D3556" s="6">
        <v>0</v>
      </c>
      <c r="E3556" s="7">
        <v>0</v>
      </c>
      <c r="F3556" s="3">
        <v>52350</v>
      </c>
      <c r="G3556" s="3" t="str">
        <f t="shared" si="56"/>
        <v>5</v>
      </c>
      <c r="H3556" s="3" t="s">
        <v>6153</v>
      </c>
      <c r="I3556" s="8">
        <v>10000</v>
      </c>
      <c r="J3556" s="8">
        <v>0</v>
      </c>
      <c r="K3556" s="8">
        <v>10000</v>
      </c>
    </row>
    <row r="3557" spans="1:11" hidden="1" x14ac:dyDescent="0.25">
      <c r="A3557" s="3" t="s">
        <v>6537</v>
      </c>
      <c r="B3557" s="3">
        <v>71</v>
      </c>
      <c r="C3557" s="5">
        <v>400</v>
      </c>
      <c r="D3557" s="6">
        <v>0</v>
      </c>
      <c r="E3557" s="7">
        <v>0</v>
      </c>
      <c r="F3557" s="3">
        <v>53220</v>
      </c>
      <c r="G3557" s="3" t="str">
        <f t="shared" si="56"/>
        <v>5</v>
      </c>
      <c r="H3557" s="3" t="s">
        <v>6159</v>
      </c>
      <c r="I3557" s="8">
        <v>6575</v>
      </c>
      <c r="J3557" s="8">
        <v>4754.0200000000004</v>
      </c>
      <c r="K3557" s="8">
        <v>6575</v>
      </c>
    </row>
    <row r="3558" spans="1:11" hidden="1" x14ac:dyDescent="0.25">
      <c r="A3558" s="3" t="s">
        <v>6538</v>
      </c>
      <c r="B3558" s="3">
        <v>71</v>
      </c>
      <c r="C3558" s="5">
        <v>400</v>
      </c>
      <c r="D3558" s="6">
        <v>0</v>
      </c>
      <c r="E3558" s="7">
        <v>0</v>
      </c>
      <c r="F3558" s="3">
        <v>53320</v>
      </c>
      <c r="G3558" s="3" t="str">
        <f t="shared" si="56"/>
        <v>5</v>
      </c>
      <c r="H3558" s="3" t="s">
        <v>6161</v>
      </c>
      <c r="I3558" s="8">
        <v>1969</v>
      </c>
      <c r="J3558" s="8">
        <v>1414.83</v>
      </c>
      <c r="K3558" s="8">
        <v>1969</v>
      </c>
    </row>
    <row r="3559" spans="1:11" hidden="1" x14ac:dyDescent="0.25">
      <c r="A3559" s="3" t="s">
        <v>6539</v>
      </c>
      <c r="B3559" s="3">
        <v>71</v>
      </c>
      <c r="C3559" s="5">
        <v>400</v>
      </c>
      <c r="D3559" s="6">
        <v>0</v>
      </c>
      <c r="E3559" s="7">
        <v>0</v>
      </c>
      <c r="F3559" s="3">
        <v>53340</v>
      </c>
      <c r="G3559" s="3" t="str">
        <f t="shared" si="56"/>
        <v>5</v>
      </c>
      <c r="H3559" s="3" t="s">
        <v>6163</v>
      </c>
      <c r="I3559" s="8">
        <v>461</v>
      </c>
      <c r="J3559" s="8">
        <v>330.91</v>
      </c>
      <c r="K3559" s="8">
        <v>461</v>
      </c>
    </row>
    <row r="3560" spans="1:11" hidden="1" x14ac:dyDescent="0.25">
      <c r="A3560" s="3" t="s">
        <v>6540</v>
      </c>
      <c r="B3560" s="3">
        <v>71</v>
      </c>
      <c r="C3560" s="5">
        <v>400</v>
      </c>
      <c r="D3560" s="6">
        <v>0</v>
      </c>
      <c r="E3560" s="7">
        <v>0</v>
      </c>
      <c r="F3560" s="3">
        <v>53420</v>
      </c>
      <c r="G3560" s="3" t="str">
        <f t="shared" si="56"/>
        <v>5</v>
      </c>
      <c r="H3560" s="3" t="s">
        <v>6165</v>
      </c>
      <c r="I3560" s="8">
        <v>16561</v>
      </c>
      <c r="J3560" s="8">
        <v>12126.17</v>
      </c>
      <c r="K3560" s="8">
        <v>16561</v>
      </c>
    </row>
    <row r="3561" spans="1:11" hidden="1" x14ac:dyDescent="0.25">
      <c r="A3561" s="3" t="s">
        <v>6541</v>
      </c>
      <c r="B3561" s="3">
        <v>71</v>
      </c>
      <c r="C3561" s="5">
        <v>400</v>
      </c>
      <c r="D3561" s="6">
        <v>0</v>
      </c>
      <c r="E3561" s="7">
        <v>0</v>
      </c>
      <c r="F3561" s="3">
        <v>53520</v>
      </c>
      <c r="G3561" s="3" t="str">
        <f t="shared" si="56"/>
        <v>5</v>
      </c>
      <c r="H3561" s="3" t="s">
        <v>6167</v>
      </c>
      <c r="I3561" s="8">
        <v>16</v>
      </c>
      <c r="J3561" s="8">
        <v>11.65</v>
      </c>
      <c r="K3561" s="8">
        <v>16</v>
      </c>
    </row>
    <row r="3562" spans="1:11" hidden="1" x14ac:dyDescent="0.25">
      <c r="A3562" s="3" t="s">
        <v>6542</v>
      </c>
      <c r="B3562" s="3">
        <v>71</v>
      </c>
      <c r="C3562" s="5">
        <v>400</v>
      </c>
      <c r="D3562" s="6">
        <v>0</v>
      </c>
      <c r="E3562" s="7">
        <v>0</v>
      </c>
      <c r="F3562" s="3">
        <v>53620</v>
      </c>
      <c r="G3562" s="3" t="str">
        <f t="shared" si="56"/>
        <v>5</v>
      </c>
      <c r="H3562" s="3" t="s">
        <v>6169</v>
      </c>
      <c r="I3562" s="8">
        <v>935</v>
      </c>
      <c r="J3562" s="8">
        <v>439.72</v>
      </c>
      <c r="K3562" s="8">
        <v>935</v>
      </c>
    </row>
    <row r="3563" spans="1:11" hidden="1" x14ac:dyDescent="0.25">
      <c r="A3563" s="3" t="s">
        <v>6543</v>
      </c>
      <c r="B3563" s="3">
        <v>71</v>
      </c>
      <c r="C3563" s="5">
        <v>400</v>
      </c>
      <c r="D3563" s="6">
        <v>0</v>
      </c>
      <c r="E3563" s="7">
        <v>0</v>
      </c>
      <c r="F3563" s="3">
        <v>54300</v>
      </c>
      <c r="G3563" s="3" t="str">
        <f t="shared" si="56"/>
        <v>5</v>
      </c>
      <c r="H3563" s="3" t="s">
        <v>6173</v>
      </c>
      <c r="I3563" s="8">
        <v>5000</v>
      </c>
      <c r="J3563" s="8">
        <v>594.19000000000005</v>
      </c>
      <c r="K3563" s="8">
        <v>5000</v>
      </c>
    </row>
    <row r="3564" spans="1:11" hidden="1" x14ac:dyDescent="0.25">
      <c r="A3564" s="3" t="s">
        <v>6544</v>
      </c>
      <c r="B3564" s="3">
        <v>71</v>
      </c>
      <c r="C3564" s="5">
        <v>400</v>
      </c>
      <c r="D3564" s="6">
        <v>0</v>
      </c>
      <c r="E3564" s="7">
        <v>0</v>
      </c>
      <c r="F3564" s="3">
        <v>55200</v>
      </c>
      <c r="G3564" s="3" t="str">
        <f t="shared" si="56"/>
        <v>5</v>
      </c>
      <c r="H3564" s="3" t="s">
        <v>6175</v>
      </c>
      <c r="I3564" s="8">
        <v>10000</v>
      </c>
      <c r="J3564" s="8">
        <v>1000</v>
      </c>
      <c r="K3564" s="8">
        <v>10000</v>
      </c>
    </row>
    <row r="3565" spans="1:11" hidden="1" x14ac:dyDescent="0.25">
      <c r="A3565" s="3" t="s">
        <v>6545</v>
      </c>
      <c r="B3565" s="3">
        <v>71</v>
      </c>
      <c r="C3565" s="5">
        <v>400</v>
      </c>
      <c r="D3565" s="6">
        <v>0</v>
      </c>
      <c r="E3565" s="7">
        <v>0</v>
      </c>
      <c r="F3565" s="3">
        <v>55240</v>
      </c>
      <c r="G3565" s="3" t="str">
        <f t="shared" si="56"/>
        <v>5</v>
      </c>
      <c r="H3565" s="3" t="s">
        <v>6177</v>
      </c>
      <c r="I3565" s="8">
        <v>3000</v>
      </c>
      <c r="J3565" s="8">
        <v>0</v>
      </c>
      <c r="K3565" s="8">
        <v>3000</v>
      </c>
    </row>
    <row r="3566" spans="1:11" hidden="1" x14ac:dyDescent="0.25">
      <c r="A3566" s="3" t="s">
        <v>6546</v>
      </c>
      <c r="B3566" s="3">
        <v>71</v>
      </c>
      <c r="C3566" s="5">
        <v>400</v>
      </c>
      <c r="D3566" s="6">
        <v>0</v>
      </c>
      <c r="E3566" s="7">
        <v>0</v>
      </c>
      <c r="F3566" s="3">
        <v>55243</v>
      </c>
      <c r="G3566" s="3" t="str">
        <f t="shared" si="56"/>
        <v>5</v>
      </c>
      <c r="H3566" s="3" t="s">
        <v>6547</v>
      </c>
      <c r="I3566" s="8">
        <v>10000</v>
      </c>
      <c r="J3566" s="8">
        <v>1450.32</v>
      </c>
      <c r="K3566" s="8">
        <v>10000</v>
      </c>
    </row>
    <row r="3567" spans="1:11" hidden="1" x14ac:dyDescent="0.25">
      <c r="A3567" s="3" t="s">
        <v>6548</v>
      </c>
      <c r="B3567" s="3">
        <v>71</v>
      </c>
      <c r="C3567" s="5">
        <v>400</v>
      </c>
      <c r="D3567" s="6">
        <v>0</v>
      </c>
      <c r="E3567" s="7">
        <v>0</v>
      </c>
      <c r="F3567" s="3">
        <v>55244</v>
      </c>
      <c r="G3567" s="3" t="str">
        <f t="shared" si="56"/>
        <v>5</v>
      </c>
      <c r="H3567" s="3" t="s">
        <v>6549</v>
      </c>
      <c r="I3567" s="8">
        <v>4400</v>
      </c>
      <c r="J3567" s="8">
        <v>108.4</v>
      </c>
      <c r="K3567" s="8">
        <v>4400</v>
      </c>
    </row>
    <row r="3568" spans="1:11" hidden="1" x14ac:dyDescent="0.25">
      <c r="A3568" s="3" t="s">
        <v>6550</v>
      </c>
      <c r="B3568" s="3">
        <v>71</v>
      </c>
      <c r="C3568" s="5">
        <v>400</v>
      </c>
      <c r="D3568" s="6">
        <v>0</v>
      </c>
      <c r="E3568" s="7">
        <v>0</v>
      </c>
      <c r="F3568" s="3">
        <v>55247</v>
      </c>
      <c r="G3568" s="3" t="str">
        <f t="shared" si="56"/>
        <v>5</v>
      </c>
      <c r="H3568" s="3" t="s">
        <v>6551</v>
      </c>
      <c r="I3568" s="8">
        <v>2500</v>
      </c>
      <c r="J3568" s="8">
        <v>0</v>
      </c>
      <c r="K3568" s="8">
        <v>2500</v>
      </c>
    </row>
    <row r="3569" spans="1:11" hidden="1" x14ac:dyDescent="0.25">
      <c r="A3569" s="3" t="s">
        <v>6552</v>
      </c>
      <c r="B3569" s="3">
        <v>71</v>
      </c>
      <c r="C3569" s="5">
        <v>400</v>
      </c>
      <c r="D3569" s="6">
        <v>0</v>
      </c>
      <c r="E3569" s="7">
        <v>0</v>
      </c>
      <c r="F3569" s="3">
        <v>55300</v>
      </c>
      <c r="G3569" s="3" t="str">
        <f t="shared" si="56"/>
        <v>5</v>
      </c>
      <c r="H3569" s="3" t="s">
        <v>6179</v>
      </c>
      <c r="I3569" s="8">
        <v>500</v>
      </c>
      <c r="J3569" s="8">
        <v>175</v>
      </c>
      <c r="K3569" s="8">
        <v>500</v>
      </c>
    </row>
    <row r="3570" spans="1:11" hidden="1" x14ac:dyDescent="0.25">
      <c r="A3570" s="3" t="s">
        <v>6553</v>
      </c>
      <c r="B3570" s="3">
        <v>71</v>
      </c>
      <c r="C3570" s="5">
        <v>400</v>
      </c>
      <c r="D3570" s="6">
        <v>0</v>
      </c>
      <c r="E3570" s="7">
        <v>0</v>
      </c>
      <c r="F3570" s="3">
        <v>55600</v>
      </c>
      <c r="G3570" s="3" t="str">
        <f t="shared" si="56"/>
        <v>5</v>
      </c>
      <c r="H3570" s="3" t="s">
        <v>6139</v>
      </c>
      <c r="I3570" s="8">
        <v>1000</v>
      </c>
      <c r="J3570" s="8">
        <v>1170.74</v>
      </c>
      <c r="K3570" s="8">
        <v>1000</v>
      </c>
    </row>
    <row r="3571" spans="1:11" hidden="1" x14ac:dyDescent="0.25">
      <c r="A3571" s="3" t="s">
        <v>6554</v>
      </c>
      <c r="B3571" s="3">
        <v>71</v>
      </c>
      <c r="C3571" s="5">
        <v>400</v>
      </c>
      <c r="D3571" s="6">
        <v>0</v>
      </c>
      <c r="E3571" s="7">
        <v>0</v>
      </c>
      <c r="F3571" s="3">
        <v>55635</v>
      </c>
      <c r="G3571" s="3" t="str">
        <f t="shared" si="56"/>
        <v>5</v>
      </c>
      <c r="H3571" s="3" t="s">
        <v>6183</v>
      </c>
      <c r="I3571" s="8">
        <v>1000</v>
      </c>
      <c r="J3571" s="8">
        <v>0</v>
      </c>
      <c r="K3571" s="8">
        <v>1000</v>
      </c>
    </row>
    <row r="3572" spans="1:11" hidden="1" x14ac:dyDescent="0.25">
      <c r="A3572" s="3" t="s">
        <v>6555</v>
      </c>
      <c r="B3572" s="3">
        <v>71</v>
      </c>
      <c r="C3572" s="5">
        <v>400</v>
      </c>
      <c r="D3572" s="6">
        <v>0</v>
      </c>
      <c r="E3572" s="7">
        <v>0</v>
      </c>
      <c r="F3572" s="3">
        <v>55650</v>
      </c>
      <c r="G3572" s="3" t="str">
        <f t="shared" si="56"/>
        <v>5</v>
      </c>
      <c r="H3572" s="3" t="s">
        <v>6185</v>
      </c>
      <c r="I3572" s="8">
        <v>2000</v>
      </c>
      <c r="J3572" s="8">
        <v>137.9</v>
      </c>
      <c r="K3572" s="8">
        <v>2000</v>
      </c>
    </row>
    <row r="3573" spans="1:11" hidden="1" x14ac:dyDescent="0.25">
      <c r="A3573" s="3" t="s">
        <v>6556</v>
      </c>
      <c r="B3573" s="3">
        <v>71</v>
      </c>
      <c r="C3573" s="5">
        <v>400</v>
      </c>
      <c r="D3573" s="6">
        <v>0</v>
      </c>
      <c r="E3573" s="7">
        <v>0</v>
      </c>
      <c r="F3573" s="3">
        <v>57510</v>
      </c>
      <c r="G3573" s="3" t="str">
        <f t="shared" si="56"/>
        <v>5</v>
      </c>
      <c r="H3573" s="3" t="s">
        <v>6557</v>
      </c>
      <c r="I3573" s="8">
        <v>4550</v>
      </c>
      <c r="J3573" s="8">
        <v>3900</v>
      </c>
      <c r="K3573" s="8">
        <v>4550</v>
      </c>
    </row>
    <row r="3574" spans="1:11" hidden="1" x14ac:dyDescent="0.25">
      <c r="A3574" s="3" t="s">
        <v>6558</v>
      </c>
      <c r="B3574" s="3">
        <v>72</v>
      </c>
      <c r="C3574" s="5">
        <v>400</v>
      </c>
      <c r="D3574" s="6">
        <v>0</v>
      </c>
      <c r="E3574" s="7">
        <v>0</v>
      </c>
      <c r="F3574" s="3">
        <v>48844</v>
      </c>
      <c r="G3574" s="3" t="str">
        <f t="shared" si="56"/>
        <v>4</v>
      </c>
      <c r="H3574" s="3" t="s">
        <v>6437</v>
      </c>
      <c r="I3574" s="8">
        <v>0</v>
      </c>
      <c r="J3574" s="8">
        <v>1237.44</v>
      </c>
      <c r="K3574" s="8">
        <v>0</v>
      </c>
    </row>
    <row r="3575" spans="1:11" hidden="1" x14ac:dyDescent="0.25">
      <c r="A3575" s="3" t="s">
        <v>6559</v>
      </c>
      <c r="B3575" s="3">
        <v>72</v>
      </c>
      <c r="C3575" s="5">
        <v>400</v>
      </c>
      <c r="D3575" s="6">
        <v>0</v>
      </c>
      <c r="E3575" s="7">
        <v>0</v>
      </c>
      <c r="F3575" s="3">
        <v>48860</v>
      </c>
      <c r="G3575" s="3" t="str">
        <f t="shared" si="56"/>
        <v>4</v>
      </c>
      <c r="H3575" s="3" t="s">
        <v>41</v>
      </c>
      <c r="I3575" s="8">
        <v>0</v>
      </c>
      <c r="J3575" s="8">
        <v>-106.26</v>
      </c>
      <c r="K3575" s="8">
        <v>0</v>
      </c>
    </row>
    <row r="3576" spans="1:11" hidden="1" x14ac:dyDescent="0.25">
      <c r="A3576" s="3" t="s">
        <v>6560</v>
      </c>
      <c r="B3576" s="3">
        <v>72</v>
      </c>
      <c r="C3576" s="5">
        <v>400</v>
      </c>
      <c r="D3576" s="6">
        <v>0</v>
      </c>
      <c r="E3576" s="7">
        <v>0</v>
      </c>
      <c r="F3576" s="3">
        <v>48884</v>
      </c>
      <c r="G3576" s="3" t="str">
        <f t="shared" si="56"/>
        <v>4</v>
      </c>
      <c r="H3576" s="3" t="s">
        <v>6561</v>
      </c>
      <c r="I3576" s="8">
        <v>-9929</v>
      </c>
      <c r="J3576" s="8">
        <v>-18880.580000000002</v>
      </c>
      <c r="K3576" s="8">
        <v>-9929</v>
      </c>
    </row>
    <row r="3577" spans="1:11" hidden="1" x14ac:dyDescent="0.25">
      <c r="A3577" s="3" t="s">
        <v>6562</v>
      </c>
      <c r="B3577" s="3">
        <v>72</v>
      </c>
      <c r="C3577" s="5">
        <v>400</v>
      </c>
      <c r="D3577" s="6">
        <v>0</v>
      </c>
      <c r="E3577" s="7">
        <v>0</v>
      </c>
      <c r="F3577" s="3">
        <v>55200</v>
      </c>
      <c r="G3577" s="3" t="str">
        <f t="shared" si="56"/>
        <v>5</v>
      </c>
      <c r="H3577" s="3" t="s">
        <v>6175</v>
      </c>
      <c r="I3577" s="8">
        <v>9929</v>
      </c>
      <c r="J3577" s="8">
        <v>0</v>
      </c>
      <c r="K3577" s="8">
        <v>9929</v>
      </c>
    </row>
    <row r="3578" spans="1:11" hidden="1" x14ac:dyDescent="0.25">
      <c r="A3578" s="3" t="s">
        <v>6563</v>
      </c>
      <c r="B3578" s="3">
        <v>72</v>
      </c>
      <c r="C3578" s="5">
        <v>400</v>
      </c>
      <c r="D3578" s="6">
        <v>0</v>
      </c>
      <c r="E3578" s="7">
        <v>0</v>
      </c>
      <c r="F3578" s="3">
        <v>55800</v>
      </c>
      <c r="G3578" s="3" t="str">
        <f t="shared" si="56"/>
        <v>5</v>
      </c>
      <c r="H3578" s="3" t="s">
        <v>6269</v>
      </c>
      <c r="I3578" s="8">
        <v>0</v>
      </c>
      <c r="J3578" s="8">
        <v>908.5</v>
      </c>
      <c r="K3578" s="8">
        <v>0</v>
      </c>
    </row>
    <row r="3579" spans="1:11" hidden="1" x14ac:dyDescent="0.25">
      <c r="A3579" s="3" t="s">
        <v>6564</v>
      </c>
      <c r="B3579" s="3">
        <v>72</v>
      </c>
      <c r="C3579" s="5">
        <v>400</v>
      </c>
      <c r="D3579" s="6">
        <v>0</v>
      </c>
      <c r="E3579" s="7">
        <v>0</v>
      </c>
      <c r="F3579" s="3">
        <v>57351</v>
      </c>
      <c r="G3579" s="3" t="str">
        <f t="shared" si="56"/>
        <v>5</v>
      </c>
      <c r="H3579" s="3" t="s">
        <v>6565</v>
      </c>
      <c r="I3579" s="8">
        <v>0</v>
      </c>
      <c r="J3579" s="8">
        <v>1765</v>
      </c>
      <c r="K3579" s="8">
        <v>0</v>
      </c>
    </row>
    <row r="3580" spans="1:11" hidden="1" x14ac:dyDescent="0.25">
      <c r="A3580" s="3" t="s">
        <v>6566</v>
      </c>
      <c r="B3580" s="3">
        <v>74</v>
      </c>
      <c r="C3580" s="5">
        <v>420</v>
      </c>
      <c r="D3580" s="6">
        <v>0</v>
      </c>
      <c r="E3580" s="7">
        <v>700700</v>
      </c>
      <c r="F3580" s="3">
        <v>48150</v>
      </c>
      <c r="G3580" s="3" t="str">
        <f t="shared" si="56"/>
        <v>4</v>
      </c>
      <c r="H3580" s="3" t="s">
        <v>6567</v>
      </c>
      <c r="I3580" s="8">
        <v>-271788</v>
      </c>
      <c r="J3580" s="8">
        <v>-75700</v>
      </c>
      <c r="K3580" s="8">
        <v>-271788</v>
      </c>
    </row>
    <row r="3581" spans="1:11" hidden="1" x14ac:dyDescent="0.25">
      <c r="A3581" s="3" t="s">
        <v>6568</v>
      </c>
      <c r="B3581" s="3">
        <v>74</v>
      </c>
      <c r="C3581" s="5">
        <v>420</v>
      </c>
      <c r="D3581" s="6">
        <v>0</v>
      </c>
      <c r="E3581" s="7">
        <v>700700</v>
      </c>
      <c r="F3581" s="3">
        <v>57350</v>
      </c>
      <c r="G3581" s="3" t="str">
        <f t="shared" si="56"/>
        <v>5</v>
      </c>
      <c r="H3581" s="3" t="s">
        <v>6569</v>
      </c>
      <c r="I3581" s="8">
        <v>12888</v>
      </c>
      <c r="J3581" s="8">
        <v>0</v>
      </c>
      <c r="K3581" s="8">
        <v>12888</v>
      </c>
    </row>
    <row r="3582" spans="1:11" hidden="1" x14ac:dyDescent="0.25">
      <c r="A3582" s="3" t="s">
        <v>6570</v>
      </c>
      <c r="B3582" s="3">
        <v>74</v>
      </c>
      <c r="C3582" s="5">
        <v>420</v>
      </c>
      <c r="D3582" s="6">
        <v>0</v>
      </c>
      <c r="E3582" s="7">
        <v>700700</v>
      </c>
      <c r="F3582" s="3">
        <v>57500</v>
      </c>
      <c r="G3582" s="3" t="str">
        <f t="shared" si="56"/>
        <v>5</v>
      </c>
      <c r="H3582" s="3" t="s">
        <v>6571</v>
      </c>
      <c r="I3582" s="8">
        <v>258900</v>
      </c>
      <c r="J3582" s="8">
        <v>75500</v>
      </c>
      <c r="K3582" s="8">
        <v>258900</v>
      </c>
    </row>
    <row r="3583" spans="1:11" hidden="1" x14ac:dyDescent="0.25">
      <c r="A3583" s="3" t="s">
        <v>6572</v>
      </c>
      <c r="B3583" s="3">
        <v>74</v>
      </c>
      <c r="C3583" s="5">
        <v>420</v>
      </c>
      <c r="D3583" s="6">
        <v>0</v>
      </c>
      <c r="E3583" s="7">
        <v>700900</v>
      </c>
      <c r="F3583" s="3">
        <v>48690</v>
      </c>
      <c r="G3583" s="3" t="str">
        <f t="shared" si="56"/>
        <v>4</v>
      </c>
      <c r="H3583" s="3" t="s">
        <v>6573</v>
      </c>
      <c r="I3583" s="8">
        <v>-1411468</v>
      </c>
      <c r="J3583" s="8">
        <v>-1450492</v>
      </c>
      <c r="K3583" s="8">
        <v>-1411468</v>
      </c>
    </row>
    <row r="3584" spans="1:11" hidden="1" x14ac:dyDescent="0.25">
      <c r="A3584" s="3" t="s">
        <v>6574</v>
      </c>
      <c r="B3584" s="3">
        <v>74</v>
      </c>
      <c r="C3584" s="5">
        <v>420</v>
      </c>
      <c r="D3584" s="6">
        <v>0</v>
      </c>
      <c r="E3584" s="7">
        <v>700900</v>
      </c>
      <c r="F3584" s="3">
        <v>57500</v>
      </c>
      <c r="G3584" s="3" t="str">
        <f t="shared" si="56"/>
        <v>5</v>
      </c>
      <c r="H3584" s="3" t="s">
        <v>6575</v>
      </c>
      <c r="I3584" s="8">
        <v>1312945</v>
      </c>
      <c r="J3584" s="8">
        <v>1327737</v>
      </c>
      <c r="K3584" s="8">
        <v>1312945</v>
      </c>
    </row>
    <row r="3585" spans="1:11" hidden="1" x14ac:dyDescent="0.25">
      <c r="A3585" s="3" t="s">
        <v>6576</v>
      </c>
      <c r="B3585" s="3">
        <v>74</v>
      </c>
      <c r="C3585" s="5">
        <v>420</v>
      </c>
      <c r="D3585" s="6">
        <v>0</v>
      </c>
      <c r="E3585" s="7">
        <v>700901</v>
      </c>
      <c r="F3585" s="3">
        <v>57500</v>
      </c>
      <c r="G3585" s="3" t="str">
        <f t="shared" si="56"/>
        <v>5</v>
      </c>
      <c r="H3585" s="3" t="s">
        <v>6577</v>
      </c>
      <c r="I3585" s="8">
        <v>98523</v>
      </c>
      <c r="J3585" s="8">
        <v>79845</v>
      </c>
      <c r="K3585" s="8">
        <v>98523</v>
      </c>
    </row>
    <row r="3586" spans="1:11" hidden="1" x14ac:dyDescent="0.25">
      <c r="A3586" s="3" t="s">
        <v>6578</v>
      </c>
      <c r="B3586" s="3">
        <v>74</v>
      </c>
      <c r="C3586" s="5">
        <v>420</v>
      </c>
      <c r="D3586" s="6">
        <v>0</v>
      </c>
      <c r="E3586" s="7">
        <v>706000</v>
      </c>
      <c r="F3586" s="3">
        <v>48150</v>
      </c>
      <c r="G3586" s="3" t="str">
        <f t="shared" si="56"/>
        <v>4</v>
      </c>
      <c r="H3586" s="3" t="s">
        <v>6579</v>
      </c>
      <c r="I3586" s="8">
        <v>-10535180</v>
      </c>
      <c r="J3586" s="8">
        <v>-8130322.2699999996</v>
      </c>
      <c r="K3586" s="8">
        <v>-10535180</v>
      </c>
    </row>
    <row r="3587" spans="1:11" hidden="1" x14ac:dyDescent="0.25">
      <c r="A3587" s="3" t="s">
        <v>6580</v>
      </c>
      <c r="B3587" s="3">
        <v>74</v>
      </c>
      <c r="C3587" s="5">
        <v>420</v>
      </c>
      <c r="D3587" s="6">
        <v>0</v>
      </c>
      <c r="E3587" s="7">
        <v>706000</v>
      </c>
      <c r="F3587" s="3">
        <v>57500</v>
      </c>
      <c r="G3587" s="3" t="str">
        <f t="shared" si="56"/>
        <v>5</v>
      </c>
      <c r="H3587" s="3" t="s">
        <v>6581</v>
      </c>
      <c r="I3587" s="8">
        <v>10535180</v>
      </c>
      <c r="J3587" s="8">
        <v>8413513.2699999996</v>
      </c>
      <c r="K3587" s="8">
        <v>10535180</v>
      </c>
    </row>
    <row r="3588" spans="1:11" hidden="1" x14ac:dyDescent="0.25">
      <c r="A3588" s="3" t="s">
        <v>6582</v>
      </c>
      <c r="B3588" s="3">
        <v>74</v>
      </c>
      <c r="C3588" s="5">
        <v>420</v>
      </c>
      <c r="D3588" s="6">
        <v>0</v>
      </c>
      <c r="E3588" s="7">
        <v>708900</v>
      </c>
      <c r="F3588" s="3">
        <v>48150</v>
      </c>
      <c r="G3588" s="3" t="str">
        <f t="shared" si="56"/>
        <v>4</v>
      </c>
      <c r="H3588" s="3" t="s">
        <v>6583</v>
      </c>
      <c r="I3588" s="8">
        <v>-464820</v>
      </c>
      <c r="J3588" s="8">
        <v>-1002529.17</v>
      </c>
      <c r="K3588" s="8">
        <v>-464820</v>
      </c>
    </row>
    <row r="3589" spans="1:11" hidden="1" x14ac:dyDescent="0.25">
      <c r="A3589" s="3" t="s">
        <v>6584</v>
      </c>
      <c r="B3589" s="3">
        <v>74</v>
      </c>
      <c r="C3589" s="5">
        <v>420</v>
      </c>
      <c r="D3589" s="6">
        <v>0</v>
      </c>
      <c r="E3589" s="7">
        <v>708900</v>
      </c>
      <c r="F3589" s="3">
        <v>57500</v>
      </c>
      <c r="G3589" s="3" t="str">
        <f t="shared" si="56"/>
        <v>5</v>
      </c>
      <c r="H3589" s="3" t="s">
        <v>6585</v>
      </c>
      <c r="I3589" s="8">
        <v>464820</v>
      </c>
      <c r="J3589" s="8">
        <v>1002529.17</v>
      </c>
      <c r="K3589" s="8">
        <v>464820</v>
      </c>
    </row>
    <row r="3590" spans="1:11" hidden="1" x14ac:dyDescent="0.25">
      <c r="A3590" s="3" t="s">
        <v>6586</v>
      </c>
      <c r="B3590" s="3">
        <v>74</v>
      </c>
      <c r="C3590" s="5">
        <v>420</v>
      </c>
      <c r="D3590" s="6">
        <v>0</v>
      </c>
      <c r="E3590" s="7">
        <v>732010</v>
      </c>
      <c r="F3590" s="3">
        <v>48115</v>
      </c>
      <c r="G3590" s="3" t="str">
        <f t="shared" si="56"/>
        <v>4</v>
      </c>
      <c r="H3590" s="3" t="s">
        <v>6587</v>
      </c>
      <c r="I3590" s="8">
        <v>-2694340</v>
      </c>
      <c r="J3590" s="8">
        <v>-1972500</v>
      </c>
      <c r="K3590" s="8">
        <v>-2694340</v>
      </c>
    </row>
    <row r="3591" spans="1:11" hidden="1" x14ac:dyDescent="0.25">
      <c r="A3591" s="3" t="s">
        <v>6588</v>
      </c>
      <c r="B3591" s="3">
        <v>74</v>
      </c>
      <c r="C3591" s="5">
        <v>420</v>
      </c>
      <c r="D3591" s="6">
        <v>0</v>
      </c>
      <c r="E3591" s="7">
        <v>732010</v>
      </c>
      <c r="F3591" s="3">
        <v>57500</v>
      </c>
      <c r="G3591" s="3" t="str">
        <f t="shared" si="56"/>
        <v>5</v>
      </c>
      <c r="H3591" s="3" t="s">
        <v>6589</v>
      </c>
      <c r="I3591" s="8">
        <v>2694340</v>
      </c>
      <c r="J3591" s="8">
        <v>2010500</v>
      </c>
      <c r="K3591" s="8">
        <v>2694340</v>
      </c>
    </row>
    <row r="3592" spans="1:11" hidden="1" x14ac:dyDescent="0.25">
      <c r="A3592" s="3" t="s">
        <v>6590</v>
      </c>
      <c r="B3592" s="3">
        <v>74</v>
      </c>
      <c r="C3592" s="5">
        <v>420</v>
      </c>
      <c r="D3592" s="6">
        <v>0</v>
      </c>
      <c r="E3592" s="7">
        <v>732100</v>
      </c>
      <c r="F3592" s="3">
        <v>48627</v>
      </c>
      <c r="G3592" s="3" t="str">
        <f t="shared" si="56"/>
        <v>4</v>
      </c>
      <c r="H3592" s="3" t="s">
        <v>6591</v>
      </c>
      <c r="I3592" s="8">
        <v>0</v>
      </c>
      <c r="J3592" s="8">
        <v>-82802</v>
      </c>
      <c r="K3592" s="8">
        <v>0</v>
      </c>
    </row>
    <row r="3593" spans="1:11" hidden="1" x14ac:dyDescent="0.25">
      <c r="A3593" s="3" t="s">
        <v>6592</v>
      </c>
      <c r="B3593" s="3">
        <v>74</v>
      </c>
      <c r="C3593" s="5">
        <v>420</v>
      </c>
      <c r="D3593" s="6">
        <v>0</v>
      </c>
      <c r="E3593" s="7">
        <v>732100</v>
      </c>
      <c r="F3593" s="3">
        <v>57500</v>
      </c>
      <c r="G3593" s="3" t="str">
        <f t="shared" si="56"/>
        <v>5</v>
      </c>
      <c r="H3593" s="3" t="s">
        <v>6593</v>
      </c>
      <c r="I3593" s="8">
        <v>0</v>
      </c>
      <c r="J3593" s="8">
        <v>49600</v>
      </c>
      <c r="K3593" s="8">
        <v>0</v>
      </c>
    </row>
    <row r="3594" spans="1:11" hidden="1" x14ac:dyDescent="0.25">
      <c r="A3594" s="3" t="s">
        <v>6594</v>
      </c>
      <c r="B3594" s="3">
        <v>74</v>
      </c>
      <c r="C3594" s="5">
        <v>420</v>
      </c>
      <c r="D3594" s="6">
        <v>0</v>
      </c>
      <c r="E3594" s="7">
        <v>760010</v>
      </c>
      <c r="F3594" s="3">
        <v>48150</v>
      </c>
      <c r="G3594" s="3" t="str">
        <f t="shared" si="56"/>
        <v>4</v>
      </c>
      <c r="H3594" s="3" t="s">
        <v>6595</v>
      </c>
      <c r="I3594" s="8">
        <v>-89655</v>
      </c>
      <c r="J3594" s="8">
        <v>-54036</v>
      </c>
      <c r="K3594" s="8">
        <v>-89655</v>
      </c>
    </row>
    <row r="3595" spans="1:11" hidden="1" x14ac:dyDescent="0.25">
      <c r="A3595" s="3" t="s">
        <v>6596</v>
      </c>
      <c r="B3595" s="3">
        <v>74</v>
      </c>
      <c r="C3595" s="5">
        <v>420</v>
      </c>
      <c r="D3595" s="6">
        <v>0</v>
      </c>
      <c r="E3595" s="7">
        <v>760010</v>
      </c>
      <c r="F3595" s="3">
        <v>57500</v>
      </c>
      <c r="G3595" s="3" t="str">
        <f t="shared" si="56"/>
        <v>5</v>
      </c>
      <c r="H3595" s="3" t="s">
        <v>6597</v>
      </c>
      <c r="I3595" s="8">
        <v>89655</v>
      </c>
      <c r="J3595" s="8">
        <v>54036</v>
      </c>
      <c r="K3595" s="8">
        <v>89655</v>
      </c>
    </row>
    <row r="3596" spans="1:11" hidden="1" x14ac:dyDescent="0.25">
      <c r="A3596" s="3" t="s">
        <v>6598</v>
      </c>
      <c r="B3596" s="3">
        <v>74</v>
      </c>
      <c r="C3596" s="5">
        <v>420</v>
      </c>
      <c r="D3596" s="6">
        <v>0</v>
      </c>
      <c r="E3596" s="7">
        <v>760085</v>
      </c>
      <c r="F3596" s="3">
        <v>48627</v>
      </c>
      <c r="G3596" s="3" t="str">
        <f t="shared" si="56"/>
        <v>4</v>
      </c>
      <c r="H3596" s="3" t="s">
        <v>6599</v>
      </c>
      <c r="I3596" s="8">
        <v>-1572237</v>
      </c>
      <c r="J3596" s="8">
        <v>-1498979</v>
      </c>
      <c r="K3596" s="8">
        <v>-1572237</v>
      </c>
    </row>
    <row r="3597" spans="1:11" hidden="1" x14ac:dyDescent="0.25">
      <c r="A3597" s="3" t="s">
        <v>6600</v>
      </c>
      <c r="B3597" s="3">
        <v>74</v>
      </c>
      <c r="C3597" s="5">
        <v>420</v>
      </c>
      <c r="D3597" s="6">
        <v>0</v>
      </c>
      <c r="E3597" s="7">
        <v>760085</v>
      </c>
      <c r="F3597" s="3">
        <v>57500</v>
      </c>
      <c r="G3597" s="3" t="str">
        <f t="shared" si="56"/>
        <v>5</v>
      </c>
      <c r="H3597" s="3" t="s">
        <v>6601</v>
      </c>
      <c r="I3597" s="8">
        <v>1572237</v>
      </c>
      <c r="J3597" s="8">
        <v>1171836</v>
      </c>
      <c r="K3597" s="8">
        <v>1572237</v>
      </c>
    </row>
    <row r="3598" spans="1:11" hidden="1" x14ac:dyDescent="0.25">
      <c r="A3598" s="3" t="s">
        <v>6602</v>
      </c>
      <c r="B3598" s="3">
        <v>74</v>
      </c>
      <c r="C3598" s="5">
        <v>420</v>
      </c>
      <c r="D3598" s="6">
        <v>0</v>
      </c>
      <c r="E3598" s="7">
        <v>760087</v>
      </c>
      <c r="F3598" s="3">
        <v>48620</v>
      </c>
      <c r="G3598" s="3" t="str">
        <f t="shared" si="56"/>
        <v>4</v>
      </c>
      <c r="H3598" s="3" t="s">
        <v>6603</v>
      </c>
      <c r="I3598" s="8">
        <v>0</v>
      </c>
      <c r="J3598" s="8">
        <v>-40118.93</v>
      </c>
      <c r="K3598" s="8">
        <v>0</v>
      </c>
    </row>
    <row r="3599" spans="1:11" hidden="1" x14ac:dyDescent="0.25">
      <c r="A3599" s="3" t="s">
        <v>6604</v>
      </c>
      <c r="B3599" s="3">
        <v>74</v>
      </c>
      <c r="C3599" s="5">
        <v>420</v>
      </c>
      <c r="D3599" s="6">
        <v>0</v>
      </c>
      <c r="E3599" s="7">
        <v>760087</v>
      </c>
      <c r="F3599" s="3">
        <v>48627</v>
      </c>
      <c r="G3599" s="3" t="str">
        <f t="shared" si="56"/>
        <v>4</v>
      </c>
      <c r="H3599" s="3" t="s">
        <v>5835</v>
      </c>
      <c r="I3599" s="8">
        <v>0</v>
      </c>
      <c r="J3599" s="8">
        <v>-280424.71000000002</v>
      </c>
      <c r="K3599" s="8">
        <v>0</v>
      </c>
    </row>
    <row r="3600" spans="1:11" hidden="1" x14ac:dyDescent="0.25">
      <c r="A3600" s="3" t="s">
        <v>6605</v>
      </c>
      <c r="B3600" s="3">
        <v>74</v>
      </c>
      <c r="C3600" s="5">
        <v>420</v>
      </c>
      <c r="D3600" s="6">
        <v>0</v>
      </c>
      <c r="E3600" s="7">
        <v>760087</v>
      </c>
      <c r="F3600" s="3">
        <v>57500</v>
      </c>
      <c r="G3600" s="3" t="str">
        <f t="shared" si="56"/>
        <v>5</v>
      </c>
      <c r="H3600" s="3" t="s">
        <v>6606</v>
      </c>
      <c r="I3600" s="8">
        <v>0</v>
      </c>
      <c r="J3600" s="8">
        <v>0</v>
      </c>
      <c r="K3600" s="8">
        <v>0</v>
      </c>
    </row>
    <row r="3601" spans="1:11" hidden="1" x14ac:dyDescent="0.25">
      <c r="A3601" s="3" t="s">
        <v>6607</v>
      </c>
      <c r="B3601" s="3">
        <v>75</v>
      </c>
      <c r="C3601" s="5">
        <v>0</v>
      </c>
      <c r="D3601" s="6">
        <v>0</v>
      </c>
      <c r="E3601" s="7">
        <v>0</v>
      </c>
      <c r="F3601" s="3">
        <v>48860</v>
      </c>
      <c r="G3601" s="3" t="str">
        <f t="shared" si="56"/>
        <v>4</v>
      </c>
      <c r="H3601" s="3" t="s">
        <v>41</v>
      </c>
      <c r="I3601" s="8">
        <v>0</v>
      </c>
      <c r="J3601" s="8">
        <v>-1499.17</v>
      </c>
      <c r="K3601" s="8">
        <v>0</v>
      </c>
    </row>
    <row r="3602" spans="1:11" hidden="1" x14ac:dyDescent="0.25">
      <c r="A3602" s="3" t="s">
        <v>6608</v>
      </c>
      <c r="B3602" s="3">
        <v>75</v>
      </c>
      <c r="C3602" s="5">
        <v>0</v>
      </c>
      <c r="D3602" s="6">
        <v>0</v>
      </c>
      <c r="E3602" s="7">
        <v>0</v>
      </c>
      <c r="F3602" s="3">
        <v>55800</v>
      </c>
      <c r="G3602" s="3" t="str">
        <f t="shared" si="56"/>
        <v>5</v>
      </c>
      <c r="H3602" s="3" t="s">
        <v>6269</v>
      </c>
      <c r="I3602" s="8">
        <v>2000</v>
      </c>
      <c r="J3602" s="8">
        <v>0</v>
      </c>
      <c r="K3602" s="8">
        <v>2000</v>
      </c>
    </row>
    <row r="3603" spans="1:11" hidden="1" x14ac:dyDescent="0.25">
      <c r="A3603" s="3" t="s">
        <v>6609</v>
      </c>
      <c r="B3603" s="3">
        <v>75</v>
      </c>
      <c r="C3603" s="5">
        <v>200</v>
      </c>
      <c r="D3603" s="6">
        <v>0</v>
      </c>
      <c r="E3603" s="7">
        <v>0</v>
      </c>
      <c r="F3603" s="3">
        <v>55105</v>
      </c>
      <c r="G3603" s="3" t="str">
        <f t="shared" si="56"/>
        <v>5</v>
      </c>
      <c r="H3603" s="3" t="s">
        <v>6251</v>
      </c>
      <c r="I3603" s="8">
        <v>48000</v>
      </c>
      <c r="J3603" s="8">
        <v>5909.19</v>
      </c>
      <c r="K3603" s="8">
        <v>48000</v>
      </c>
    </row>
    <row r="3604" spans="1:11" hidden="1" x14ac:dyDescent="0.25">
      <c r="A3604" s="3" t="s">
        <v>6610</v>
      </c>
      <c r="B3604" s="3">
        <v>75</v>
      </c>
      <c r="C3604" s="5">
        <v>200</v>
      </c>
      <c r="D3604" s="6">
        <v>0</v>
      </c>
      <c r="E3604" s="7">
        <v>975109</v>
      </c>
      <c r="F3604" s="3">
        <v>48000</v>
      </c>
      <c r="G3604" s="3" t="str">
        <f t="shared" si="56"/>
        <v>4</v>
      </c>
      <c r="H3604" s="3" t="s">
        <v>6611</v>
      </c>
      <c r="I3604" s="8">
        <v>0</v>
      </c>
      <c r="J3604" s="8">
        <v>-334</v>
      </c>
      <c r="K3604" s="8">
        <v>0</v>
      </c>
    </row>
    <row r="3605" spans="1:11" hidden="1" x14ac:dyDescent="0.25">
      <c r="A3605" s="3" t="s">
        <v>6612</v>
      </c>
      <c r="B3605" s="3">
        <v>75</v>
      </c>
      <c r="C3605" s="5">
        <v>200</v>
      </c>
      <c r="D3605" s="6">
        <v>0</v>
      </c>
      <c r="E3605" s="7">
        <v>975109</v>
      </c>
      <c r="F3605" s="3">
        <v>55000</v>
      </c>
      <c r="G3605" s="3" t="str">
        <f t="shared" si="56"/>
        <v>5</v>
      </c>
      <c r="H3605" s="3" t="s">
        <v>6613</v>
      </c>
      <c r="I3605" s="8">
        <v>0</v>
      </c>
      <c r="J3605" s="8">
        <v>159.43</v>
      </c>
      <c r="K3605" s="8">
        <v>0</v>
      </c>
    </row>
    <row r="3606" spans="1:11" hidden="1" x14ac:dyDescent="0.25">
      <c r="A3606" s="3" t="s">
        <v>6614</v>
      </c>
      <c r="B3606" s="3">
        <v>75</v>
      </c>
      <c r="C3606" s="5">
        <v>400</v>
      </c>
      <c r="D3606" s="6">
        <v>0</v>
      </c>
      <c r="E3606" s="7">
        <v>0</v>
      </c>
      <c r="F3606" s="3">
        <v>48885</v>
      </c>
      <c r="G3606" s="3" t="str">
        <f t="shared" si="56"/>
        <v>4</v>
      </c>
      <c r="H3606" s="3" t="s">
        <v>6615</v>
      </c>
      <c r="I3606" s="8">
        <v>-50000</v>
      </c>
      <c r="J3606" s="8">
        <v>-19444.3</v>
      </c>
      <c r="K3606" s="8">
        <v>-50000</v>
      </c>
    </row>
    <row r="3607" spans="1:11" hidden="1" x14ac:dyDescent="0.25">
      <c r="A3607" s="3" t="s">
        <v>6616</v>
      </c>
      <c r="B3607" s="3">
        <v>79</v>
      </c>
      <c r="C3607" s="5">
        <v>320</v>
      </c>
      <c r="D3607" s="6">
        <v>0</v>
      </c>
      <c r="E3607" s="7">
        <v>0</v>
      </c>
      <c r="F3607" s="3">
        <v>48840</v>
      </c>
      <c r="G3607" s="3" t="str">
        <f t="shared" si="56"/>
        <v>4</v>
      </c>
      <c r="H3607" s="3" t="s">
        <v>6617</v>
      </c>
      <c r="I3607" s="8">
        <v>-1000</v>
      </c>
      <c r="J3607" s="8">
        <v>0</v>
      </c>
      <c r="K3607" s="8">
        <v>-1000</v>
      </c>
    </row>
    <row r="3608" spans="1:11" hidden="1" x14ac:dyDescent="0.25">
      <c r="A3608" s="3" t="s">
        <v>6618</v>
      </c>
      <c r="B3608" s="3">
        <v>79</v>
      </c>
      <c r="C3608" s="5">
        <v>320</v>
      </c>
      <c r="D3608" s="6">
        <v>0</v>
      </c>
      <c r="E3608" s="7">
        <v>0</v>
      </c>
      <c r="F3608" s="3">
        <v>48841</v>
      </c>
      <c r="G3608" s="3" t="str">
        <f t="shared" si="56"/>
        <v>4</v>
      </c>
      <c r="H3608" s="3" t="s">
        <v>6619</v>
      </c>
      <c r="I3608" s="8">
        <v>-8640</v>
      </c>
      <c r="J3608" s="8">
        <v>0</v>
      </c>
      <c r="K3608" s="8">
        <v>-8640</v>
      </c>
    </row>
    <row r="3609" spans="1:11" hidden="1" x14ac:dyDescent="0.25">
      <c r="A3609" s="3" t="s">
        <v>6620</v>
      </c>
      <c r="B3609" s="3">
        <v>79</v>
      </c>
      <c r="C3609" s="5">
        <v>320</v>
      </c>
      <c r="D3609" s="6">
        <v>0</v>
      </c>
      <c r="E3609" s="7">
        <v>0</v>
      </c>
      <c r="F3609" s="3">
        <v>48846</v>
      </c>
      <c r="G3609" s="3" t="str">
        <f t="shared" si="56"/>
        <v>4</v>
      </c>
      <c r="H3609" s="3" t="s">
        <v>6621</v>
      </c>
      <c r="I3609" s="8">
        <v>-17500</v>
      </c>
      <c r="J3609" s="8">
        <v>-11005.12</v>
      </c>
      <c r="K3609" s="8">
        <v>-17500</v>
      </c>
    </row>
    <row r="3610" spans="1:11" hidden="1" x14ac:dyDescent="0.25">
      <c r="A3610" s="3" t="s">
        <v>6622</v>
      </c>
      <c r="B3610" s="3">
        <v>79</v>
      </c>
      <c r="C3610" s="5">
        <v>320</v>
      </c>
      <c r="D3610" s="6">
        <v>0</v>
      </c>
      <c r="E3610" s="7">
        <v>0</v>
      </c>
      <c r="F3610" s="3">
        <v>48847</v>
      </c>
      <c r="G3610" s="3" t="str">
        <f t="shared" si="56"/>
        <v>4</v>
      </c>
      <c r="H3610" s="3" t="s">
        <v>6623</v>
      </c>
      <c r="I3610" s="8">
        <v>-290</v>
      </c>
      <c r="J3610" s="8">
        <v>0</v>
      </c>
      <c r="K3610" s="8">
        <v>-290</v>
      </c>
    </row>
    <row r="3611" spans="1:11" hidden="1" x14ac:dyDescent="0.25">
      <c r="A3611" s="3" t="s">
        <v>6624</v>
      </c>
      <c r="B3611" s="3">
        <v>79</v>
      </c>
      <c r="C3611" s="5">
        <v>320</v>
      </c>
      <c r="D3611" s="6">
        <v>0</v>
      </c>
      <c r="E3611" s="7">
        <v>0</v>
      </c>
      <c r="F3611" s="3">
        <v>48848</v>
      </c>
      <c r="G3611" s="3" t="str">
        <f t="shared" ref="G3611:G3634" si="57">LEFT(F3611,1)</f>
        <v>4</v>
      </c>
      <c r="H3611" s="3" t="s">
        <v>6625</v>
      </c>
      <c r="I3611" s="8">
        <v>-5000</v>
      </c>
      <c r="J3611" s="8">
        <v>0</v>
      </c>
      <c r="K3611" s="8">
        <v>-5000</v>
      </c>
    </row>
    <row r="3612" spans="1:11" hidden="1" x14ac:dyDescent="0.25">
      <c r="A3612" s="3" t="s">
        <v>6626</v>
      </c>
      <c r="B3612" s="3">
        <v>79</v>
      </c>
      <c r="C3612" s="5">
        <v>320</v>
      </c>
      <c r="D3612" s="6">
        <v>0</v>
      </c>
      <c r="E3612" s="7">
        <v>0</v>
      </c>
      <c r="F3612" s="3">
        <v>48860</v>
      </c>
      <c r="G3612" s="3" t="str">
        <f t="shared" si="57"/>
        <v>4</v>
      </c>
      <c r="H3612" s="3" t="s">
        <v>41</v>
      </c>
      <c r="I3612" s="8">
        <v>-100</v>
      </c>
      <c r="J3612" s="8">
        <v>-245.41</v>
      </c>
      <c r="K3612" s="8">
        <v>-100</v>
      </c>
    </row>
    <row r="3613" spans="1:11" hidden="1" x14ac:dyDescent="0.25">
      <c r="A3613" s="3" t="s">
        <v>6627</v>
      </c>
      <c r="B3613" s="3">
        <v>79</v>
      </c>
      <c r="C3613" s="5">
        <v>320</v>
      </c>
      <c r="D3613" s="6">
        <v>0</v>
      </c>
      <c r="E3613" s="7">
        <v>0</v>
      </c>
      <c r="F3613" s="3">
        <v>48890</v>
      </c>
      <c r="G3613" s="3" t="str">
        <f t="shared" si="57"/>
        <v>4</v>
      </c>
      <c r="H3613" s="3" t="s">
        <v>51</v>
      </c>
      <c r="I3613" s="8">
        <v>0</v>
      </c>
      <c r="J3613" s="8">
        <v>-8000</v>
      </c>
      <c r="K3613" s="8">
        <v>0</v>
      </c>
    </row>
    <row r="3614" spans="1:11" hidden="1" x14ac:dyDescent="0.25">
      <c r="A3614" s="3" t="s">
        <v>6628</v>
      </c>
      <c r="B3614" s="3">
        <v>79</v>
      </c>
      <c r="C3614" s="5">
        <v>320</v>
      </c>
      <c r="D3614" s="6">
        <v>0</v>
      </c>
      <c r="E3614" s="7">
        <v>0</v>
      </c>
      <c r="F3614" s="3">
        <v>52360</v>
      </c>
      <c r="G3614" s="3" t="str">
        <f t="shared" si="57"/>
        <v>5</v>
      </c>
      <c r="H3614" s="3" t="s">
        <v>6155</v>
      </c>
      <c r="I3614" s="8">
        <v>17000</v>
      </c>
      <c r="J3614" s="8">
        <v>0</v>
      </c>
      <c r="K3614" s="8">
        <v>17000</v>
      </c>
    </row>
    <row r="3615" spans="1:11" hidden="1" x14ac:dyDescent="0.25">
      <c r="A3615" s="3" t="s">
        <v>6629</v>
      </c>
      <c r="B3615" s="3">
        <v>79</v>
      </c>
      <c r="C3615" s="5">
        <v>320</v>
      </c>
      <c r="D3615" s="6">
        <v>0</v>
      </c>
      <c r="E3615" s="7">
        <v>0</v>
      </c>
      <c r="F3615" s="3">
        <v>53320</v>
      </c>
      <c r="G3615" s="3" t="str">
        <f t="shared" si="57"/>
        <v>5</v>
      </c>
      <c r="H3615" s="3" t="s">
        <v>6161</v>
      </c>
      <c r="I3615" s="8">
        <v>1054</v>
      </c>
      <c r="J3615" s="8">
        <v>0</v>
      </c>
      <c r="K3615" s="8">
        <v>1054</v>
      </c>
    </row>
    <row r="3616" spans="1:11" hidden="1" x14ac:dyDescent="0.25">
      <c r="A3616" s="3" t="s">
        <v>6630</v>
      </c>
      <c r="B3616" s="3">
        <v>79</v>
      </c>
      <c r="C3616" s="5">
        <v>320</v>
      </c>
      <c r="D3616" s="6">
        <v>0</v>
      </c>
      <c r="E3616" s="7">
        <v>0</v>
      </c>
      <c r="F3616" s="3">
        <v>53340</v>
      </c>
      <c r="G3616" s="3" t="str">
        <f t="shared" si="57"/>
        <v>5</v>
      </c>
      <c r="H3616" s="3" t="s">
        <v>6163</v>
      </c>
      <c r="I3616" s="8">
        <v>246</v>
      </c>
      <c r="J3616" s="8">
        <v>0</v>
      </c>
      <c r="K3616" s="8">
        <v>246</v>
      </c>
    </row>
    <row r="3617" spans="1:11" hidden="1" x14ac:dyDescent="0.25">
      <c r="A3617" s="3" t="s">
        <v>6631</v>
      </c>
      <c r="B3617" s="3">
        <v>79</v>
      </c>
      <c r="C3617" s="5">
        <v>320</v>
      </c>
      <c r="D3617" s="6">
        <v>0</v>
      </c>
      <c r="E3617" s="7">
        <v>0</v>
      </c>
      <c r="F3617" s="3">
        <v>53520</v>
      </c>
      <c r="G3617" s="3" t="str">
        <f t="shared" si="57"/>
        <v>5</v>
      </c>
      <c r="H3617" s="3" t="s">
        <v>6167</v>
      </c>
      <c r="I3617" s="8">
        <v>9</v>
      </c>
      <c r="J3617" s="8">
        <v>0</v>
      </c>
      <c r="K3617" s="8">
        <v>9</v>
      </c>
    </row>
    <row r="3618" spans="1:11" hidden="1" x14ac:dyDescent="0.25">
      <c r="A3618" s="3" t="s">
        <v>6632</v>
      </c>
      <c r="B3618" s="3">
        <v>79</v>
      </c>
      <c r="C3618" s="5">
        <v>320</v>
      </c>
      <c r="D3618" s="6">
        <v>0</v>
      </c>
      <c r="E3618" s="7">
        <v>0</v>
      </c>
      <c r="F3618" s="3">
        <v>53620</v>
      </c>
      <c r="G3618" s="3" t="str">
        <f t="shared" si="57"/>
        <v>5</v>
      </c>
      <c r="H3618" s="3" t="s">
        <v>6169</v>
      </c>
      <c r="I3618" s="8">
        <v>307</v>
      </c>
      <c r="J3618" s="8">
        <v>0</v>
      </c>
      <c r="K3618" s="8">
        <v>307</v>
      </c>
    </row>
    <row r="3619" spans="1:11" hidden="1" x14ac:dyDescent="0.25">
      <c r="A3619" s="3" t="s">
        <v>6633</v>
      </c>
      <c r="B3619" s="3">
        <v>79</v>
      </c>
      <c r="C3619" s="5">
        <v>320</v>
      </c>
      <c r="D3619" s="6">
        <v>0</v>
      </c>
      <c r="E3619" s="7">
        <v>0</v>
      </c>
      <c r="F3619" s="3">
        <v>54210</v>
      </c>
      <c r="G3619" s="3" t="str">
        <f t="shared" si="57"/>
        <v>5</v>
      </c>
      <c r="H3619" s="3" t="s">
        <v>6171</v>
      </c>
      <c r="I3619" s="8">
        <v>15000</v>
      </c>
      <c r="J3619" s="8">
        <v>0</v>
      </c>
      <c r="K3619" s="8">
        <v>15000</v>
      </c>
    </row>
    <row r="3620" spans="1:11" hidden="1" x14ac:dyDescent="0.25">
      <c r="A3620" s="3" t="s">
        <v>6634</v>
      </c>
      <c r="B3620" s="3">
        <v>79</v>
      </c>
      <c r="C3620" s="5">
        <v>320</v>
      </c>
      <c r="D3620" s="6">
        <v>0</v>
      </c>
      <c r="E3620" s="7">
        <v>0</v>
      </c>
      <c r="F3620" s="3">
        <v>55140</v>
      </c>
      <c r="G3620" s="3" t="str">
        <f t="shared" si="57"/>
        <v>5</v>
      </c>
      <c r="H3620" s="3" t="s">
        <v>6635</v>
      </c>
      <c r="I3620" s="8">
        <v>4000</v>
      </c>
      <c r="J3620" s="8">
        <v>0</v>
      </c>
      <c r="K3620" s="8">
        <v>4000</v>
      </c>
    </row>
    <row r="3621" spans="1:11" hidden="1" x14ac:dyDescent="0.25">
      <c r="A3621" s="3" t="s">
        <v>6636</v>
      </c>
      <c r="B3621" s="3">
        <v>79</v>
      </c>
      <c r="C3621" s="5">
        <v>320</v>
      </c>
      <c r="D3621" s="6">
        <v>0</v>
      </c>
      <c r="E3621" s="7">
        <v>0</v>
      </c>
      <c r="F3621" s="3">
        <v>55250</v>
      </c>
      <c r="G3621" s="3" t="str">
        <f t="shared" si="57"/>
        <v>5</v>
      </c>
      <c r="H3621" s="3" t="s">
        <v>6637</v>
      </c>
      <c r="I3621" s="8">
        <v>7200</v>
      </c>
      <c r="J3621" s="8">
        <v>0</v>
      </c>
      <c r="K3621" s="8">
        <v>7200</v>
      </c>
    </row>
    <row r="3622" spans="1:11" hidden="1" x14ac:dyDescent="0.25">
      <c r="A3622" s="3" t="s">
        <v>6638</v>
      </c>
      <c r="B3622" s="3">
        <v>79</v>
      </c>
      <c r="C3622" s="5">
        <v>320</v>
      </c>
      <c r="D3622" s="6">
        <v>0</v>
      </c>
      <c r="E3622" s="7">
        <v>0</v>
      </c>
      <c r="F3622" s="3">
        <v>55251</v>
      </c>
      <c r="G3622" s="3" t="str">
        <f t="shared" si="57"/>
        <v>5</v>
      </c>
      <c r="H3622" s="3" t="s">
        <v>6639</v>
      </c>
      <c r="I3622" s="8">
        <v>2000</v>
      </c>
      <c r="J3622" s="8">
        <v>0</v>
      </c>
      <c r="K3622" s="8">
        <v>2000</v>
      </c>
    </row>
    <row r="3623" spans="1:11" hidden="1" x14ac:dyDescent="0.25">
      <c r="A3623" s="3" t="s">
        <v>6640</v>
      </c>
      <c r="B3623" s="3">
        <v>79</v>
      </c>
      <c r="C3623" s="5">
        <v>320</v>
      </c>
      <c r="D3623" s="6">
        <v>0</v>
      </c>
      <c r="E3623" s="7">
        <v>0</v>
      </c>
      <c r="F3623" s="3">
        <v>55252</v>
      </c>
      <c r="G3623" s="3" t="str">
        <f t="shared" si="57"/>
        <v>5</v>
      </c>
      <c r="H3623" s="3" t="s">
        <v>6641</v>
      </c>
      <c r="I3623" s="8">
        <v>1000</v>
      </c>
      <c r="J3623" s="8">
        <v>0</v>
      </c>
      <c r="K3623" s="8">
        <v>1000</v>
      </c>
    </row>
    <row r="3624" spans="1:11" hidden="1" x14ac:dyDescent="0.25">
      <c r="A3624" s="3" t="s">
        <v>6642</v>
      </c>
      <c r="B3624" s="3">
        <v>79</v>
      </c>
      <c r="C3624" s="5">
        <v>320</v>
      </c>
      <c r="D3624" s="6">
        <v>0</v>
      </c>
      <c r="E3624" s="7">
        <v>0</v>
      </c>
      <c r="F3624" s="3">
        <v>55253</v>
      </c>
      <c r="G3624" s="3" t="str">
        <f t="shared" si="57"/>
        <v>5</v>
      </c>
      <c r="H3624" s="3" t="s">
        <v>6643</v>
      </c>
      <c r="I3624" s="8">
        <v>1000</v>
      </c>
      <c r="J3624" s="8">
        <v>0</v>
      </c>
      <c r="K3624" s="8">
        <v>1000</v>
      </c>
    </row>
    <row r="3625" spans="1:11" hidden="1" x14ac:dyDescent="0.25">
      <c r="A3625" s="3" t="s">
        <v>6644</v>
      </c>
      <c r="B3625" s="3">
        <v>79</v>
      </c>
      <c r="C3625" s="5">
        <v>320</v>
      </c>
      <c r="D3625" s="6">
        <v>0</v>
      </c>
      <c r="E3625" s="7">
        <v>0</v>
      </c>
      <c r="F3625" s="3">
        <v>55254</v>
      </c>
      <c r="G3625" s="3" t="str">
        <f t="shared" si="57"/>
        <v>5</v>
      </c>
      <c r="H3625" s="3" t="s">
        <v>6645</v>
      </c>
      <c r="I3625" s="8">
        <v>2000</v>
      </c>
      <c r="J3625" s="8">
        <v>0</v>
      </c>
      <c r="K3625" s="8">
        <v>2000</v>
      </c>
    </row>
    <row r="3626" spans="1:11" hidden="1" x14ac:dyDescent="0.25">
      <c r="A3626" s="3" t="s">
        <v>6646</v>
      </c>
      <c r="B3626" s="3">
        <v>79</v>
      </c>
      <c r="C3626" s="5">
        <v>320</v>
      </c>
      <c r="D3626" s="6">
        <v>0</v>
      </c>
      <c r="E3626" s="7">
        <v>0</v>
      </c>
      <c r="F3626" s="3">
        <v>55255</v>
      </c>
      <c r="G3626" s="3" t="str">
        <f t="shared" si="57"/>
        <v>5</v>
      </c>
      <c r="H3626" s="3" t="s">
        <v>6647</v>
      </c>
      <c r="I3626" s="8">
        <v>1500</v>
      </c>
      <c r="J3626" s="8">
        <v>0</v>
      </c>
      <c r="K3626" s="8">
        <v>1500</v>
      </c>
    </row>
    <row r="3627" spans="1:11" hidden="1" x14ac:dyDescent="0.25">
      <c r="A3627" s="3" t="s">
        <v>6648</v>
      </c>
      <c r="B3627" s="3">
        <v>79</v>
      </c>
      <c r="C3627" s="5">
        <v>320</v>
      </c>
      <c r="D3627" s="6">
        <v>0</v>
      </c>
      <c r="E3627" s="7">
        <v>0</v>
      </c>
      <c r="F3627" s="3">
        <v>55256</v>
      </c>
      <c r="G3627" s="3" t="str">
        <f t="shared" si="57"/>
        <v>5</v>
      </c>
      <c r="H3627" s="3" t="s">
        <v>6649</v>
      </c>
      <c r="I3627" s="8">
        <v>1300</v>
      </c>
      <c r="J3627" s="8">
        <v>0</v>
      </c>
      <c r="K3627" s="8">
        <v>1300</v>
      </c>
    </row>
    <row r="3628" spans="1:11" hidden="1" x14ac:dyDescent="0.25">
      <c r="A3628" s="3" t="s">
        <v>6650</v>
      </c>
      <c r="B3628" s="3">
        <v>79</v>
      </c>
      <c r="C3628" s="5">
        <v>320</v>
      </c>
      <c r="D3628" s="6">
        <v>0</v>
      </c>
      <c r="E3628" s="7">
        <v>0</v>
      </c>
      <c r="F3628" s="3">
        <v>55257</v>
      </c>
      <c r="G3628" s="3" t="str">
        <f t="shared" si="57"/>
        <v>5</v>
      </c>
      <c r="H3628" s="3" t="s">
        <v>6651</v>
      </c>
      <c r="I3628" s="8">
        <v>1000</v>
      </c>
      <c r="J3628" s="8">
        <v>0</v>
      </c>
      <c r="K3628" s="8">
        <v>1000</v>
      </c>
    </row>
    <row r="3629" spans="1:11" hidden="1" x14ac:dyDescent="0.25">
      <c r="A3629" s="3" t="s">
        <v>6652</v>
      </c>
      <c r="B3629" s="3">
        <v>79</v>
      </c>
      <c r="C3629" s="5">
        <v>320</v>
      </c>
      <c r="D3629" s="6">
        <v>0</v>
      </c>
      <c r="E3629" s="7">
        <v>0</v>
      </c>
      <c r="F3629" s="3">
        <v>55258</v>
      </c>
      <c r="G3629" s="3" t="str">
        <f t="shared" si="57"/>
        <v>5</v>
      </c>
      <c r="H3629" s="3" t="s">
        <v>6653</v>
      </c>
      <c r="I3629" s="8">
        <v>1000</v>
      </c>
      <c r="J3629" s="8">
        <v>0</v>
      </c>
      <c r="K3629" s="8">
        <v>1000</v>
      </c>
    </row>
    <row r="3630" spans="1:11" hidden="1" x14ac:dyDescent="0.25">
      <c r="A3630" s="3" t="s">
        <v>6654</v>
      </c>
      <c r="B3630" s="3">
        <v>79</v>
      </c>
      <c r="C3630" s="5">
        <v>320</v>
      </c>
      <c r="D3630" s="6">
        <v>0</v>
      </c>
      <c r="E3630" s="7">
        <v>0</v>
      </c>
      <c r="F3630" s="3">
        <v>55261</v>
      </c>
      <c r="G3630" s="3" t="str">
        <f t="shared" si="57"/>
        <v>5</v>
      </c>
      <c r="H3630" s="3" t="s">
        <v>6655</v>
      </c>
      <c r="I3630" s="8">
        <v>3800</v>
      </c>
      <c r="J3630" s="8">
        <v>0</v>
      </c>
      <c r="K3630" s="8">
        <v>3800</v>
      </c>
    </row>
    <row r="3631" spans="1:11" hidden="1" x14ac:dyDescent="0.25">
      <c r="A3631" s="3" t="s">
        <v>6656</v>
      </c>
      <c r="B3631" s="3">
        <v>79</v>
      </c>
      <c r="C3631" s="5">
        <v>320</v>
      </c>
      <c r="D3631" s="6">
        <v>0</v>
      </c>
      <c r="E3631" s="7">
        <v>0</v>
      </c>
      <c r="F3631" s="3">
        <v>55262</v>
      </c>
      <c r="G3631" s="3" t="str">
        <f t="shared" si="57"/>
        <v>5</v>
      </c>
      <c r="H3631" s="3" t="s">
        <v>6657</v>
      </c>
      <c r="I3631" s="8">
        <v>1000</v>
      </c>
      <c r="J3631" s="8">
        <v>0</v>
      </c>
      <c r="K3631" s="8">
        <v>1000</v>
      </c>
    </row>
    <row r="3632" spans="1:11" hidden="1" x14ac:dyDescent="0.25">
      <c r="A3632" s="3" t="s">
        <v>6658</v>
      </c>
      <c r="B3632" s="3">
        <v>79</v>
      </c>
      <c r="C3632" s="5">
        <v>320</v>
      </c>
      <c r="D3632" s="6">
        <v>0</v>
      </c>
      <c r="E3632" s="7">
        <v>0</v>
      </c>
      <c r="F3632" s="3">
        <v>55264</v>
      </c>
      <c r="G3632" s="3" t="str">
        <f t="shared" si="57"/>
        <v>5</v>
      </c>
      <c r="H3632" s="3" t="s">
        <v>6659</v>
      </c>
      <c r="I3632" s="8">
        <v>2500</v>
      </c>
      <c r="J3632" s="8">
        <v>0</v>
      </c>
      <c r="K3632" s="8">
        <v>2500</v>
      </c>
    </row>
    <row r="3633" spans="1:12" hidden="1" x14ac:dyDescent="0.25">
      <c r="A3633" s="3" t="s">
        <v>6660</v>
      </c>
      <c r="B3633" s="3">
        <v>79</v>
      </c>
      <c r="C3633" s="5">
        <v>320</v>
      </c>
      <c r="D3633" s="6">
        <v>0</v>
      </c>
      <c r="E3633" s="7">
        <v>0</v>
      </c>
      <c r="F3633" s="3">
        <v>55800</v>
      </c>
      <c r="G3633" s="3" t="str">
        <f t="shared" si="57"/>
        <v>5</v>
      </c>
      <c r="H3633" s="3" t="s">
        <v>6269</v>
      </c>
      <c r="I3633" s="8">
        <v>1000</v>
      </c>
      <c r="J3633" s="8">
        <v>27</v>
      </c>
      <c r="K3633" s="8">
        <v>1000</v>
      </c>
    </row>
    <row r="3634" spans="1:12" hidden="1" x14ac:dyDescent="0.25">
      <c r="A3634" s="3" t="s">
        <v>6661</v>
      </c>
      <c r="B3634" s="3">
        <v>79</v>
      </c>
      <c r="C3634" s="5">
        <v>320</v>
      </c>
      <c r="D3634" s="6">
        <v>0</v>
      </c>
      <c r="E3634" s="7">
        <v>0</v>
      </c>
      <c r="F3634" s="3">
        <v>55861</v>
      </c>
      <c r="G3634" s="3" t="str">
        <f t="shared" si="57"/>
        <v>5</v>
      </c>
      <c r="H3634" s="3" t="s">
        <v>6477</v>
      </c>
      <c r="I3634" s="8">
        <v>582</v>
      </c>
      <c r="J3634" s="8">
        <v>233.55</v>
      </c>
      <c r="K3634" s="8">
        <v>582</v>
      </c>
    </row>
    <row r="3636" spans="1:12" ht="15.75" thickBot="1" x14ac:dyDescent="0.3">
      <c r="H3636" s="4" t="s">
        <v>6674</v>
      </c>
      <c r="I3636" s="10">
        <f>SUBTOTAL(9,I2:I3635)</f>
        <v>-52914077.349999994</v>
      </c>
      <c r="J3636" s="10">
        <f>SUBTOTAL(9,J2:J3635)</f>
        <v>-32748908.570000004</v>
      </c>
      <c r="K3636" s="19">
        <f>SUBTOTAL(9,K2:K3635)</f>
        <v>-55539273.060000002</v>
      </c>
      <c r="L3636" s="11"/>
    </row>
    <row r="3637" spans="1:12" ht="15.75" thickTop="1" x14ac:dyDescent="0.25"/>
    <row r="3639" spans="1:12" x14ac:dyDescent="0.25">
      <c r="H3639" s="17"/>
      <c r="L3639" s="257"/>
    </row>
  </sheetData>
  <autoFilter ref="A1:L3634">
    <filterColumn colId="1">
      <filters>
        <filter val="11"/>
      </filters>
    </filterColumn>
    <filterColumn colId="6">
      <filters>
        <filter val="4"/>
      </filters>
    </filterColumn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E1" sqref="E1"/>
    </sheetView>
  </sheetViews>
  <sheetFormatPr defaultRowHeight="12.75" x14ac:dyDescent="0.2"/>
  <cols>
    <col min="1" max="1" width="6.5703125" style="197" bestFit="1" customWidth="1"/>
    <col min="2" max="2" width="41.28515625" style="197" bestFit="1" customWidth="1"/>
    <col min="3" max="3" width="26.7109375" style="197" bestFit="1" customWidth="1"/>
    <col min="4" max="4" width="9.140625" style="197" bestFit="1" customWidth="1"/>
    <col min="5" max="5" width="18" style="197" bestFit="1" customWidth="1"/>
    <col min="6" max="6" width="21.7109375" style="197" bestFit="1" customWidth="1"/>
    <col min="7" max="7" width="16.5703125" style="197" bestFit="1" customWidth="1"/>
    <col min="8" max="8" width="14.5703125" style="197" bestFit="1" customWidth="1"/>
    <col min="9" max="9" width="20.85546875" style="197" bestFit="1" customWidth="1"/>
    <col min="10" max="16384" width="9.140625" style="197"/>
  </cols>
  <sheetData>
    <row r="1" spans="1:8" s="204" customFormat="1" x14ac:dyDescent="0.2">
      <c r="A1" s="190" t="s">
        <v>6688</v>
      </c>
      <c r="B1" s="190" t="s">
        <v>6689</v>
      </c>
      <c r="C1" s="190" t="s">
        <v>9942</v>
      </c>
      <c r="D1" s="203" t="s">
        <v>6691</v>
      </c>
      <c r="E1" s="199" t="s">
        <v>9951</v>
      </c>
      <c r="F1" s="190" t="s">
        <v>6707</v>
      </c>
      <c r="G1" s="190" t="s">
        <v>9952</v>
      </c>
      <c r="H1" s="190" t="s">
        <v>6720</v>
      </c>
    </row>
    <row r="2" spans="1:8" x14ac:dyDescent="0.2">
      <c r="A2" s="189" t="s">
        <v>6725</v>
      </c>
      <c r="B2" s="189" t="s">
        <v>7616</v>
      </c>
      <c r="C2" s="189" t="s">
        <v>9943</v>
      </c>
      <c r="D2" s="195">
        <v>0.5</v>
      </c>
      <c r="E2" s="196">
        <v>31068</v>
      </c>
      <c r="F2" s="189" t="s">
        <v>3056</v>
      </c>
      <c r="G2" s="191">
        <f>+'21-22 Position Control Data'!AV7</f>
        <v>17413.597344000002</v>
      </c>
      <c r="H2" s="191">
        <f>+E2+G2</f>
        <v>48481.597344000002</v>
      </c>
    </row>
    <row r="3" spans="1:8" x14ac:dyDescent="0.2">
      <c r="A3" s="189" t="s">
        <v>6725</v>
      </c>
      <c r="B3" s="189" t="s">
        <v>7616</v>
      </c>
      <c r="C3" s="189" t="s">
        <v>9943</v>
      </c>
      <c r="D3" s="195">
        <v>0.5</v>
      </c>
      <c r="E3" s="196">
        <v>31068</v>
      </c>
      <c r="F3" s="189" t="s">
        <v>3090</v>
      </c>
      <c r="G3" s="191">
        <f>+'21-22 Position Control Data'!AV8</f>
        <v>17413.597344000002</v>
      </c>
      <c r="H3" s="191">
        <f t="shared" ref="H3:H7" si="0">+E3+G3</f>
        <v>48481.597344000002</v>
      </c>
    </row>
    <row r="4" spans="1:8" x14ac:dyDescent="0.2">
      <c r="A4" s="189" t="s">
        <v>6725</v>
      </c>
      <c r="B4" s="189" t="s">
        <v>7615</v>
      </c>
      <c r="C4" s="189" t="s">
        <v>9944</v>
      </c>
      <c r="D4" s="195">
        <v>1</v>
      </c>
      <c r="E4" s="196">
        <v>48556</v>
      </c>
      <c r="F4" s="189" t="s">
        <v>2321</v>
      </c>
      <c r="G4" s="191">
        <f>+'21-22 Position Control Data'!AV121</f>
        <v>43047.81113799999</v>
      </c>
      <c r="H4" s="191">
        <f t="shared" si="0"/>
        <v>91603.81113799999</v>
      </c>
    </row>
    <row r="5" spans="1:8" x14ac:dyDescent="0.2">
      <c r="A5" s="189" t="s">
        <v>7216</v>
      </c>
      <c r="B5" s="189" t="s">
        <v>7611</v>
      </c>
      <c r="C5" s="189" t="s">
        <v>9950</v>
      </c>
      <c r="D5" s="195">
        <v>1</v>
      </c>
      <c r="E5" s="196">
        <v>128482</v>
      </c>
      <c r="F5" s="189" t="s">
        <v>564</v>
      </c>
      <c r="G5" s="191">
        <f>+'21-22 Position Control Data'!AV511</f>
        <v>78279.782055999996</v>
      </c>
      <c r="H5" s="191">
        <f t="shared" si="0"/>
        <v>206761.782056</v>
      </c>
    </row>
    <row r="6" spans="1:8" ht="15" x14ac:dyDescent="0.2">
      <c r="A6" s="189" t="s">
        <v>7216</v>
      </c>
      <c r="B6" s="189" t="s">
        <v>9962</v>
      </c>
      <c r="C6" s="189" t="s">
        <v>7249</v>
      </c>
      <c r="D6" s="62">
        <v>1</v>
      </c>
      <c r="E6" s="61">
        <v>169271</v>
      </c>
      <c r="F6" s="56" t="s">
        <v>3248</v>
      </c>
      <c r="G6" s="65">
        <f>+'21-22 Position Control Data'!AV282</f>
        <v>68805.189968000006</v>
      </c>
      <c r="H6" s="191">
        <f t="shared" si="0"/>
        <v>238076.18996799999</v>
      </c>
    </row>
    <row r="7" spans="1:8" ht="15" x14ac:dyDescent="0.2">
      <c r="A7" s="189" t="s">
        <v>6725</v>
      </c>
      <c r="B7" s="189" t="s">
        <v>9961</v>
      </c>
      <c r="C7" s="189" t="s">
        <v>9969</v>
      </c>
      <c r="D7" s="57">
        <v>1</v>
      </c>
      <c r="E7" s="61">
        <v>32078.5</v>
      </c>
      <c r="F7" s="56" t="s">
        <v>3013</v>
      </c>
      <c r="G7" s="65">
        <f>+'21-22 Position Control Data'!AV158</f>
        <v>28307.303727999999</v>
      </c>
      <c r="H7" s="191">
        <f t="shared" si="0"/>
        <v>60385.803727999999</v>
      </c>
    </row>
    <row r="8" spans="1:8" s="217" customFormat="1" ht="15" x14ac:dyDescent="0.2">
      <c r="A8" s="218"/>
      <c r="B8" s="218"/>
      <c r="C8" s="218"/>
      <c r="D8" s="219"/>
      <c r="E8" s="220"/>
      <c r="F8" s="218"/>
      <c r="G8" s="221"/>
      <c r="H8" s="221"/>
    </row>
    <row r="9" spans="1:8" x14ac:dyDescent="0.2">
      <c r="A9" s="189"/>
      <c r="B9" s="189"/>
      <c r="C9" s="189"/>
      <c r="D9" s="198" t="s">
        <v>6674</v>
      </c>
      <c r="E9" s="199">
        <f>SUM(E2:E8)</f>
        <v>440523.5</v>
      </c>
      <c r="F9" s="190"/>
      <c r="G9" s="199">
        <f>SUM(G2:G8)</f>
        <v>253267.28157799997</v>
      </c>
      <c r="H9" s="200">
        <f>SUM(H2:H8)</f>
        <v>693790.78157799994</v>
      </c>
    </row>
    <row r="12" spans="1:8" x14ac:dyDescent="0.2">
      <c r="H12" s="2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E1" sqref="E1"/>
    </sheetView>
  </sheetViews>
  <sheetFormatPr defaultRowHeight="12.75" x14ac:dyDescent="0.2"/>
  <cols>
    <col min="1" max="1" width="6.5703125" style="197" bestFit="1" customWidth="1"/>
    <col min="2" max="2" width="41.28515625" style="197" bestFit="1" customWidth="1"/>
    <col min="3" max="3" width="26.7109375" style="197" bestFit="1" customWidth="1"/>
    <col min="4" max="4" width="9.140625" style="197" bestFit="1" customWidth="1"/>
    <col min="5" max="5" width="18" style="197" bestFit="1" customWidth="1"/>
    <col min="6" max="6" width="21.7109375" style="197" bestFit="1" customWidth="1"/>
    <col min="7" max="7" width="16.5703125" style="197" bestFit="1" customWidth="1"/>
    <col min="8" max="8" width="14.5703125" style="197" bestFit="1" customWidth="1"/>
    <col min="9" max="16384" width="9.140625" style="197"/>
  </cols>
  <sheetData>
    <row r="1" spans="1:8" s="204" customFormat="1" x14ac:dyDescent="0.2">
      <c r="A1" s="190" t="s">
        <v>6688</v>
      </c>
      <c r="B1" s="190" t="s">
        <v>6689</v>
      </c>
      <c r="C1" s="190" t="s">
        <v>9942</v>
      </c>
      <c r="D1" s="203" t="s">
        <v>6691</v>
      </c>
      <c r="E1" s="199" t="s">
        <v>9951</v>
      </c>
      <c r="F1" s="190" t="s">
        <v>6707</v>
      </c>
      <c r="G1" s="190" t="s">
        <v>9952</v>
      </c>
      <c r="H1" s="190" t="s">
        <v>6720</v>
      </c>
    </row>
    <row r="2" spans="1:8" x14ac:dyDescent="0.2">
      <c r="A2" s="189" t="s">
        <v>6725</v>
      </c>
      <c r="B2" s="189" t="s">
        <v>6906</v>
      </c>
      <c r="C2" s="194" t="s">
        <v>6907</v>
      </c>
      <c r="D2" s="201">
        <v>1</v>
      </c>
      <c r="E2" s="196">
        <v>70324</v>
      </c>
      <c r="F2" s="189" t="s">
        <v>595</v>
      </c>
      <c r="G2" s="191">
        <f>+'21-22 Position Control Data'!AV57</f>
        <v>50379.447681999998</v>
      </c>
      <c r="H2" s="191">
        <f>+E2+G2</f>
        <v>120703.447682</v>
      </c>
    </row>
    <row r="3" spans="1:8" x14ac:dyDescent="0.2">
      <c r="A3" s="189" t="s">
        <v>6725</v>
      </c>
      <c r="B3" s="189" t="s">
        <v>6933</v>
      </c>
      <c r="C3" s="189" t="s">
        <v>6934</v>
      </c>
      <c r="D3" s="195">
        <v>1</v>
      </c>
      <c r="E3" s="196">
        <v>94296.3</v>
      </c>
      <c r="F3" s="189" t="s">
        <v>3290</v>
      </c>
      <c r="G3" s="191">
        <f>+'21-22 Position Control Data'!AV69</f>
        <v>66765.764810399996</v>
      </c>
      <c r="H3" s="191">
        <f t="shared" ref="H3:H23" si="0">+E3+G3</f>
        <v>161062.06481040001</v>
      </c>
    </row>
    <row r="4" spans="1:8" x14ac:dyDescent="0.2">
      <c r="A4" s="189" t="s">
        <v>6725</v>
      </c>
      <c r="B4" s="189" t="s">
        <v>6938</v>
      </c>
      <c r="C4" s="189" t="s">
        <v>6770</v>
      </c>
      <c r="D4" s="195">
        <v>1</v>
      </c>
      <c r="E4" s="196">
        <v>51014</v>
      </c>
      <c r="F4" s="189" t="s">
        <v>1624</v>
      </c>
      <c r="G4" s="191">
        <f>+'21-22 Position Control Data'!AV72</f>
        <v>43875.685201999993</v>
      </c>
      <c r="H4" s="191">
        <f t="shared" si="0"/>
        <v>94889.685201999993</v>
      </c>
    </row>
    <row r="5" spans="1:8" x14ac:dyDescent="0.2">
      <c r="A5" s="189" t="s">
        <v>6725</v>
      </c>
      <c r="B5" s="189" t="s">
        <v>6980</v>
      </c>
      <c r="C5" s="189" t="s">
        <v>6780</v>
      </c>
      <c r="D5" s="195">
        <v>1</v>
      </c>
      <c r="E5" s="196">
        <v>45088</v>
      </c>
      <c r="F5" s="189" t="s">
        <v>595</v>
      </c>
      <c r="G5" s="191">
        <f>+'21-22 Position Control Data'!AV94</f>
        <v>41879.760993999997</v>
      </c>
      <c r="H5" s="191">
        <f t="shared" si="0"/>
        <v>86967.760993999997</v>
      </c>
    </row>
    <row r="6" spans="1:8" x14ac:dyDescent="0.2">
      <c r="A6" s="189" t="s">
        <v>6725</v>
      </c>
      <c r="B6" s="189" t="s">
        <v>7618</v>
      </c>
      <c r="C6" s="189" t="s">
        <v>6887</v>
      </c>
      <c r="D6" s="195">
        <v>1</v>
      </c>
      <c r="E6" s="196">
        <v>33161.1</v>
      </c>
      <c r="F6" s="189" t="s">
        <v>2560</v>
      </c>
      <c r="G6" s="191">
        <f>+'21-22 Position Control Data'!AV189</f>
        <v>29854.557091799998</v>
      </c>
      <c r="H6" s="191">
        <f t="shared" si="0"/>
        <v>63015.657091799992</v>
      </c>
    </row>
    <row r="7" spans="1:8" x14ac:dyDescent="0.2">
      <c r="A7" s="189" t="s">
        <v>6725</v>
      </c>
      <c r="B7" s="189" t="s">
        <v>7618</v>
      </c>
      <c r="C7" s="189" t="s">
        <v>6887</v>
      </c>
      <c r="D7" s="195">
        <v>1</v>
      </c>
      <c r="E7" s="196">
        <v>14211.9</v>
      </c>
      <c r="F7" s="189" t="s">
        <v>2592</v>
      </c>
      <c r="G7" s="191">
        <f>+'21-22 Position Control Data'!AV190</f>
        <v>12794.810182199999</v>
      </c>
      <c r="H7" s="191">
        <f t="shared" si="0"/>
        <v>27006.710182199997</v>
      </c>
    </row>
    <row r="8" spans="1:8" x14ac:dyDescent="0.2">
      <c r="A8" s="189" t="s">
        <v>7125</v>
      </c>
      <c r="B8" s="189" t="s">
        <v>9963</v>
      </c>
      <c r="C8" s="189" t="s">
        <v>9945</v>
      </c>
      <c r="D8" s="195">
        <v>1</v>
      </c>
      <c r="E8" s="196">
        <v>52515.299999999996</v>
      </c>
      <c r="F8" s="189" t="s">
        <v>854</v>
      </c>
      <c r="G8" s="191">
        <f>+'21-22 Position Control Data'!AV215</f>
        <v>44381.335052399998</v>
      </c>
      <c r="H8" s="191">
        <f t="shared" si="0"/>
        <v>96896.635052400001</v>
      </c>
    </row>
    <row r="9" spans="1:8" x14ac:dyDescent="0.2">
      <c r="A9" s="189" t="s">
        <v>7125</v>
      </c>
      <c r="B9" s="189" t="s">
        <v>7173</v>
      </c>
      <c r="C9" s="189" t="s">
        <v>7127</v>
      </c>
      <c r="D9" s="202">
        <v>0.5</v>
      </c>
      <c r="E9" s="196">
        <v>9163</v>
      </c>
      <c r="F9" s="189" t="s">
        <v>816</v>
      </c>
      <c r="G9" s="191">
        <f>+'21-22 Position Control Data'!AV233</f>
        <v>3156.1917039999998</v>
      </c>
      <c r="H9" s="191">
        <f t="shared" si="0"/>
        <v>12319.191704000001</v>
      </c>
    </row>
    <row r="10" spans="1:8" x14ac:dyDescent="0.2">
      <c r="A10" s="189" t="s">
        <v>7125</v>
      </c>
      <c r="B10" s="189" t="s">
        <v>7173</v>
      </c>
      <c r="C10" s="189" t="s">
        <v>7127</v>
      </c>
      <c r="D10" s="202">
        <v>0.5</v>
      </c>
      <c r="E10" s="196">
        <v>9163</v>
      </c>
      <c r="F10" s="189" t="s">
        <v>854</v>
      </c>
      <c r="G10" s="191">
        <f>+'21-22 Position Control Data'!AV234</f>
        <v>3156.1917039999998</v>
      </c>
      <c r="H10" s="191">
        <f t="shared" si="0"/>
        <v>12319.191704000001</v>
      </c>
    </row>
    <row r="11" spans="1:8" x14ac:dyDescent="0.2">
      <c r="A11" s="189" t="s">
        <v>7177</v>
      </c>
      <c r="B11" s="189" t="s">
        <v>9964</v>
      </c>
      <c r="C11" s="189" t="s">
        <v>9946</v>
      </c>
      <c r="D11" s="195">
        <v>1</v>
      </c>
      <c r="E11" s="196">
        <v>71418</v>
      </c>
      <c r="F11" s="189" t="s">
        <v>3246</v>
      </c>
      <c r="G11" s="191">
        <f>+'21-22 Position Control Data'!AV243</f>
        <v>59060.170343999998</v>
      </c>
      <c r="H11" s="191">
        <f t="shared" si="0"/>
        <v>130478.170344</v>
      </c>
    </row>
    <row r="12" spans="1:8" x14ac:dyDescent="0.2">
      <c r="A12" s="189" t="s">
        <v>7216</v>
      </c>
      <c r="B12" s="189" t="s">
        <v>9965</v>
      </c>
      <c r="C12" s="189" t="s">
        <v>9947</v>
      </c>
      <c r="D12" s="195">
        <v>1</v>
      </c>
      <c r="E12" s="196">
        <v>136556</v>
      </c>
      <c r="F12" s="189" t="s">
        <v>564</v>
      </c>
      <c r="G12" s="191">
        <f>+'21-22 Position Control Data'!AV283</f>
        <v>80999.16984799999</v>
      </c>
      <c r="H12" s="191">
        <f t="shared" si="0"/>
        <v>217555.16984799999</v>
      </c>
    </row>
    <row r="13" spans="1:8" x14ac:dyDescent="0.2">
      <c r="A13" s="192" t="s">
        <v>7216</v>
      </c>
      <c r="B13" s="189" t="s">
        <v>7311</v>
      </c>
      <c r="C13" s="189" t="s">
        <v>7312</v>
      </c>
      <c r="D13" s="195">
        <v>1</v>
      </c>
      <c r="E13" s="196">
        <v>112132</v>
      </c>
      <c r="F13" s="189" t="s">
        <v>2069</v>
      </c>
      <c r="G13" s="191">
        <f>+'21-22 Position Control Data'!AV316</f>
        <v>50791.825746000002</v>
      </c>
      <c r="H13" s="191">
        <f t="shared" si="0"/>
        <v>162923.82574599999</v>
      </c>
    </row>
    <row r="14" spans="1:8" x14ac:dyDescent="0.2">
      <c r="A14" s="193" t="s">
        <v>7338</v>
      </c>
      <c r="B14" s="189" t="s">
        <v>7371</v>
      </c>
      <c r="C14" s="189" t="s">
        <v>7372</v>
      </c>
      <c r="D14" s="195">
        <v>1</v>
      </c>
      <c r="E14" s="196">
        <v>39506</v>
      </c>
      <c r="F14" s="189" t="s">
        <v>1139</v>
      </c>
      <c r="G14" s="191">
        <f>+'21-22 Position Control Data'!AV353</f>
        <v>21837.036392999998</v>
      </c>
      <c r="H14" s="191">
        <f t="shared" si="0"/>
        <v>61343.036393000002</v>
      </c>
    </row>
    <row r="15" spans="1:8" x14ac:dyDescent="0.2">
      <c r="A15" s="193" t="s">
        <v>7338</v>
      </c>
      <c r="B15" s="189" t="s">
        <v>7371</v>
      </c>
      <c r="C15" s="189" t="s">
        <v>7373</v>
      </c>
      <c r="D15" s="195">
        <v>1</v>
      </c>
      <c r="E15" s="196">
        <v>39506</v>
      </c>
      <c r="F15" s="189" t="s">
        <v>7374</v>
      </c>
      <c r="G15" s="191">
        <f>+'21-22 Position Control Data'!AV354</f>
        <v>21837.036392999998</v>
      </c>
      <c r="H15" s="191">
        <f t="shared" si="0"/>
        <v>61343.036393000002</v>
      </c>
    </row>
    <row r="16" spans="1:8" x14ac:dyDescent="0.2">
      <c r="A16" s="189" t="s">
        <v>7338</v>
      </c>
      <c r="B16" s="189" t="s">
        <v>9966</v>
      </c>
      <c r="C16" s="189" t="s">
        <v>9948</v>
      </c>
      <c r="D16" s="195">
        <v>1</v>
      </c>
      <c r="E16" s="196">
        <v>84618</v>
      </c>
      <c r="F16" s="189" t="s">
        <v>7637</v>
      </c>
      <c r="G16" s="191">
        <f>+'21-22 Position Control Data'!AV427</f>
        <v>53191.060138000001</v>
      </c>
      <c r="H16" s="191">
        <f t="shared" si="0"/>
        <v>137809.060138</v>
      </c>
    </row>
    <row r="17" spans="1:8" x14ac:dyDescent="0.2">
      <c r="A17" s="193" t="s">
        <v>7338</v>
      </c>
      <c r="B17" s="189" t="s">
        <v>7490</v>
      </c>
      <c r="C17" s="189" t="s">
        <v>7491</v>
      </c>
      <c r="D17" s="195">
        <v>1</v>
      </c>
      <c r="E17" s="196">
        <v>8804.3000000000011</v>
      </c>
      <c r="F17" s="189" t="s">
        <v>2509</v>
      </c>
      <c r="G17" s="191">
        <f>+'21-22 Position Control Data'!AV428</f>
        <v>4561.4906933999991</v>
      </c>
      <c r="H17" s="191">
        <f t="shared" si="0"/>
        <v>13365.7906934</v>
      </c>
    </row>
    <row r="18" spans="1:8" x14ac:dyDescent="0.2">
      <c r="A18" s="193" t="s">
        <v>7338</v>
      </c>
      <c r="B18" s="189" t="s">
        <v>7490</v>
      </c>
      <c r="C18" s="189" t="s">
        <v>7491</v>
      </c>
      <c r="D18" s="195">
        <v>1</v>
      </c>
      <c r="E18" s="196">
        <v>79238.7</v>
      </c>
      <c r="F18" s="189" t="s">
        <v>2555</v>
      </c>
      <c r="G18" s="191">
        <f>+'21-22 Position Control Data'!AV429</f>
        <v>41053.416240599996</v>
      </c>
      <c r="H18" s="191">
        <f t="shared" si="0"/>
        <v>120292.11624059999</v>
      </c>
    </row>
    <row r="19" spans="1:8" x14ac:dyDescent="0.2">
      <c r="A19" s="189" t="s">
        <v>7338</v>
      </c>
      <c r="B19" s="189" t="s">
        <v>9967</v>
      </c>
      <c r="C19" s="189" t="s">
        <v>9949</v>
      </c>
      <c r="D19" s="195">
        <v>1</v>
      </c>
      <c r="E19" s="196">
        <v>78948.306000000011</v>
      </c>
      <c r="F19" s="189" t="s">
        <v>1697</v>
      </c>
      <c r="G19" s="191">
        <f>+'21-22 Position Control Data'!AV457</f>
        <v>34744.647182391003</v>
      </c>
      <c r="H19" s="191">
        <f t="shared" si="0"/>
        <v>113692.95318239101</v>
      </c>
    </row>
    <row r="20" spans="1:8" x14ac:dyDescent="0.2">
      <c r="A20" s="193" t="s">
        <v>7338</v>
      </c>
      <c r="B20" s="189" t="s">
        <v>7557</v>
      </c>
      <c r="C20" s="189" t="s">
        <v>7436</v>
      </c>
      <c r="D20" s="195">
        <v>1</v>
      </c>
      <c r="E20" s="196">
        <v>79012</v>
      </c>
      <c r="F20" s="189" t="s">
        <v>2736</v>
      </c>
      <c r="G20" s="191">
        <f>+'21-22 Position Control Data'!AV480</f>
        <v>43674.072785999997</v>
      </c>
      <c r="H20" s="191">
        <f t="shared" si="0"/>
        <v>122686.072786</v>
      </c>
    </row>
    <row r="21" spans="1:8" x14ac:dyDescent="0.2">
      <c r="A21" s="193" t="s">
        <v>7338</v>
      </c>
      <c r="B21" s="189" t="s">
        <v>7573</v>
      </c>
      <c r="C21" s="189" t="s">
        <v>7384</v>
      </c>
      <c r="D21" s="195">
        <v>1</v>
      </c>
      <c r="E21" s="196">
        <v>79012</v>
      </c>
      <c r="F21" s="189" t="s">
        <v>1697</v>
      </c>
      <c r="G21" s="191">
        <f>+'21-22 Position Control Data'!AV496</f>
        <v>43674.072785999997</v>
      </c>
      <c r="H21" s="191">
        <f t="shared" si="0"/>
        <v>122686.072786</v>
      </c>
    </row>
    <row r="22" spans="1:8" x14ac:dyDescent="0.2">
      <c r="A22" s="189" t="s">
        <v>6725</v>
      </c>
      <c r="B22" s="189" t="s">
        <v>7598</v>
      </c>
      <c r="C22" s="189" t="s">
        <v>6795</v>
      </c>
      <c r="D22" s="195">
        <v>0.5</v>
      </c>
      <c r="E22" s="196">
        <v>23658</v>
      </c>
      <c r="F22" s="189" t="s">
        <v>3056</v>
      </c>
      <c r="G22" s="191">
        <f>+'21-22 Position Control Data'!AV514</f>
        <v>8187.4436640000004</v>
      </c>
      <c r="H22" s="191">
        <f t="shared" si="0"/>
        <v>31845.443663999999</v>
      </c>
    </row>
    <row r="23" spans="1:8" x14ac:dyDescent="0.2">
      <c r="A23" s="189" t="s">
        <v>6725</v>
      </c>
      <c r="B23" s="189" t="s">
        <v>9968</v>
      </c>
      <c r="C23" s="189" t="s">
        <v>7599</v>
      </c>
      <c r="D23" s="195">
        <v>1</v>
      </c>
      <c r="E23" s="196">
        <v>56243</v>
      </c>
      <c r="F23" s="189" t="s">
        <v>7600</v>
      </c>
      <c r="G23" s="191">
        <f>+'21-22 Position Control Data'!AV515</f>
        <v>53949.108943999992</v>
      </c>
      <c r="H23" s="191">
        <f t="shared" si="0"/>
        <v>110192.10894399999</v>
      </c>
    </row>
    <row r="25" spans="1:8" x14ac:dyDescent="0.2">
      <c r="A25" s="189"/>
      <c r="B25" s="189"/>
      <c r="C25" s="189"/>
      <c r="D25" s="195"/>
      <c r="E25" s="196"/>
      <c r="F25" s="189"/>
      <c r="G25" s="191"/>
      <c r="H25" s="191"/>
    </row>
    <row r="26" spans="1:8" x14ac:dyDescent="0.2">
      <c r="A26" s="189"/>
      <c r="B26" s="189"/>
      <c r="C26" s="189"/>
      <c r="D26" s="195"/>
      <c r="E26" s="196"/>
      <c r="F26" s="189"/>
      <c r="G26" s="189"/>
      <c r="H26" s="189"/>
    </row>
    <row r="27" spans="1:8" x14ac:dyDescent="0.2">
      <c r="A27" s="189"/>
      <c r="B27" s="189"/>
      <c r="C27" s="189"/>
      <c r="D27" s="198" t="s">
        <v>6674</v>
      </c>
      <c r="E27" s="199">
        <f>SUM(E2:E26)</f>
        <v>1267588.906</v>
      </c>
      <c r="F27" s="190"/>
      <c r="G27" s="199">
        <f>SUM(G2:G26)</f>
        <v>813804.29558119096</v>
      </c>
      <c r="H27" s="200">
        <f>SUM(H2:H26)</f>
        <v>2081393.201581191</v>
      </c>
    </row>
    <row r="29" spans="1:8" x14ac:dyDescent="0.2">
      <c r="H29" s="2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opLeftCell="B1" workbookViewId="0">
      <selection activeCell="K13" sqref="K13"/>
    </sheetView>
  </sheetViews>
  <sheetFormatPr defaultRowHeight="15" x14ac:dyDescent="0.25"/>
  <cols>
    <col min="1" max="1" width="13" customWidth="1"/>
    <col min="2" max="2" width="18.85546875" customWidth="1"/>
    <col min="3" max="3" width="24" bestFit="1" customWidth="1"/>
    <col min="4" max="4" width="14.28515625" bestFit="1" customWidth="1"/>
    <col min="6" max="6" width="13" customWidth="1"/>
    <col min="7" max="7" width="18.85546875" customWidth="1"/>
    <col min="8" max="8" width="46" bestFit="1" customWidth="1"/>
    <col min="9" max="9" width="14.28515625" bestFit="1" customWidth="1"/>
    <col min="11" max="11" width="14.28515625" style="228" bestFit="1" customWidth="1"/>
    <col min="12" max="12" width="30.42578125" bestFit="1" customWidth="1"/>
  </cols>
  <sheetData>
    <row r="1" spans="1:12" x14ac:dyDescent="0.25">
      <c r="A1" t="s">
        <v>7620</v>
      </c>
      <c r="F1" s="90" t="s">
        <v>6689</v>
      </c>
      <c r="G1" t="s">
        <v>7619</v>
      </c>
      <c r="H1" t="s">
        <v>7621</v>
      </c>
    </row>
    <row r="3" spans="1:12" x14ac:dyDescent="0.25">
      <c r="A3" s="90" t="s">
        <v>7603</v>
      </c>
      <c r="B3" t="s">
        <v>7601</v>
      </c>
      <c r="C3" t="s">
        <v>7602</v>
      </c>
      <c r="D3" s="141" t="s">
        <v>7643</v>
      </c>
      <c r="F3" s="90" t="s">
        <v>7603</v>
      </c>
      <c r="G3" t="s">
        <v>7601</v>
      </c>
      <c r="H3" t="s">
        <v>7602</v>
      </c>
      <c r="I3" s="141" t="s">
        <v>7643</v>
      </c>
    </row>
    <row r="4" spans="1:12" x14ac:dyDescent="0.25">
      <c r="A4" s="91" t="s">
        <v>6758</v>
      </c>
      <c r="B4" s="92"/>
      <c r="C4" s="92"/>
      <c r="D4" s="92"/>
      <c r="F4" s="91" t="s">
        <v>6758</v>
      </c>
      <c r="G4" s="92"/>
      <c r="H4" s="92"/>
    </row>
    <row r="5" spans="1:12" x14ac:dyDescent="0.25">
      <c r="A5" s="93" t="s">
        <v>7606</v>
      </c>
      <c r="B5" s="92">
        <v>14509537.066000002</v>
      </c>
      <c r="C5" s="92">
        <v>6503506.0197795108</v>
      </c>
      <c r="D5" s="92"/>
      <c r="F5" s="93" t="s">
        <v>7606</v>
      </c>
      <c r="G5" s="92">
        <v>13908759.760000002</v>
      </c>
      <c r="H5" s="92">
        <v>6188141.3614211204</v>
      </c>
    </row>
    <row r="6" spans="1:12" x14ac:dyDescent="0.25">
      <c r="A6" s="93" t="s">
        <v>7185</v>
      </c>
      <c r="B6" s="92">
        <v>10979320.307182832</v>
      </c>
      <c r="C6" s="92">
        <v>7660306.7865441339</v>
      </c>
      <c r="D6" s="92"/>
      <c r="F6" s="93" t="s">
        <v>7185</v>
      </c>
      <c r="G6" s="92">
        <v>10312508.707182834</v>
      </c>
      <c r="H6" s="92">
        <v>7161867.1493213326</v>
      </c>
    </row>
    <row r="7" spans="1:12" x14ac:dyDescent="0.25">
      <c r="A7" s="91" t="s">
        <v>7607</v>
      </c>
      <c r="B7" s="92">
        <v>25488857.373182833</v>
      </c>
      <c r="C7" s="92">
        <v>14163812.806323644</v>
      </c>
      <c r="D7" s="92"/>
      <c r="F7" s="91" t="s">
        <v>7607</v>
      </c>
      <c r="G7" s="92">
        <v>24221268.467182837</v>
      </c>
      <c r="H7" s="92">
        <v>13350008.510742452</v>
      </c>
      <c r="I7" s="92"/>
      <c r="K7" s="228" t="s">
        <v>9970</v>
      </c>
    </row>
    <row r="8" spans="1:12" x14ac:dyDescent="0.25">
      <c r="A8" s="91" t="s">
        <v>7604</v>
      </c>
      <c r="B8" s="92">
        <v>25488857.373182833</v>
      </c>
      <c r="C8" s="92">
        <v>14163812.806323644</v>
      </c>
      <c r="D8" s="135">
        <f>SUM(B8:C8)</f>
        <v>39652670.179506481</v>
      </c>
      <c r="F8" s="91" t="s">
        <v>7604</v>
      </c>
      <c r="G8" s="92">
        <v>24221268.467182837</v>
      </c>
      <c r="H8" s="92">
        <v>13350008.510742452</v>
      </c>
      <c r="I8" s="185">
        <f>SUM(G8:H8)</f>
        <v>37571276.977925286</v>
      </c>
      <c r="K8" s="229">
        <f>+D8-I8</f>
        <v>2081393.201581195</v>
      </c>
      <c r="L8" t="s">
        <v>9971</v>
      </c>
    </row>
    <row r="10" spans="1:12" x14ac:dyDescent="0.25">
      <c r="H10" s="139" t="s">
        <v>7904</v>
      </c>
    </row>
    <row r="11" spans="1:12" x14ac:dyDescent="0.25">
      <c r="H11" s="139" t="s">
        <v>7905</v>
      </c>
      <c r="K11" s="134">
        <v>37449840.657286763</v>
      </c>
      <c r="L11" t="s">
        <v>9996</v>
      </c>
    </row>
    <row r="12" spans="1:12" x14ac:dyDescent="0.25">
      <c r="D12" s="92"/>
      <c r="H12" s="139" t="s">
        <v>7906</v>
      </c>
      <c r="K12" s="256">
        <f>+I8</f>
        <v>37571276.977925286</v>
      </c>
      <c r="L12" t="s">
        <v>9997</v>
      </c>
    </row>
    <row r="13" spans="1:12" x14ac:dyDescent="0.25">
      <c r="H13" s="140" t="s">
        <v>7907</v>
      </c>
      <c r="I13" s="186">
        <f>257*12</f>
        <v>3084</v>
      </c>
      <c r="K13" s="125">
        <f>+K12-K11</f>
        <v>121436.32063852251</v>
      </c>
      <c r="L13" t="s">
        <v>9970</v>
      </c>
    </row>
    <row r="15" spans="1:12" x14ac:dyDescent="0.25">
      <c r="G15" s="125"/>
      <c r="H15" s="125"/>
      <c r="I15" s="134" t="s">
        <v>6714</v>
      </c>
    </row>
    <row r="16" spans="1:12" x14ac:dyDescent="0.25">
      <c r="F16" s="124" t="s">
        <v>7901</v>
      </c>
      <c r="G16" s="125"/>
      <c r="H16" s="125"/>
      <c r="I16" s="125">
        <v>110000</v>
      </c>
    </row>
    <row r="17" spans="6:9" x14ac:dyDescent="0.25">
      <c r="F17" s="124" t="s">
        <v>7902</v>
      </c>
      <c r="G17" s="125"/>
      <c r="H17" s="125"/>
      <c r="I17" s="136">
        <v>125000</v>
      </c>
    </row>
    <row r="18" spans="6:9" x14ac:dyDescent="0.25">
      <c r="G18" s="125"/>
      <c r="H18" s="137" t="s">
        <v>7903</v>
      </c>
      <c r="I18" s="187">
        <f>SUM(I16:I17)</f>
        <v>235000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"/>
  <sheetViews>
    <sheetView topLeftCell="D1" workbookViewId="0">
      <pane ySplit="2" topLeftCell="A253" activePane="bottomLeft" state="frozen"/>
      <selection pane="bottomLeft" activeCell="P274" sqref="P274"/>
    </sheetView>
  </sheetViews>
  <sheetFormatPr defaultRowHeight="15" x14ac:dyDescent="0.25"/>
  <cols>
    <col min="1" max="1" width="98.5703125" bestFit="1" customWidth="1"/>
    <col min="2" max="2" width="13.28515625" style="125" bestFit="1" customWidth="1"/>
    <col min="3" max="3" width="15.5703125" style="125" bestFit="1" customWidth="1"/>
    <col min="4" max="4" width="20.5703125" style="125" bestFit="1" customWidth="1"/>
    <col min="5" max="5" width="16.28515625" style="125" customWidth="1"/>
    <col min="6" max="6" width="14.85546875" style="125" bestFit="1" customWidth="1"/>
    <col min="7" max="8" width="16.28515625" style="125" customWidth="1"/>
    <col min="9" max="9" width="13.28515625" bestFit="1" customWidth="1"/>
    <col min="11" max="11" width="10.5703125" bestFit="1" customWidth="1"/>
    <col min="12" max="12" width="11.5703125" bestFit="1" customWidth="1"/>
    <col min="13" max="13" width="10.5703125" bestFit="1" customWidth="1"/>
    <col min="14" max="14" width="11.5703125" bestFit="1" customWidth="1"/>
    <col min="15" max="15" width="13.42578125" bestFit="1" customWidth="1"/>
    <col min="16" max="16" width="13.28515625" bestFit="1" customWidth="1"/>
  </cols>
  <sheetData>
    <row r="1" spans="1:16" ht="45" x14ac:dyDescent="0.25">
      <c r="A1" s="112" t="s">
        <v>7603</v>
      </c>
      <c r="B1" s="116" t="s">
        <v>7639</v>
      </c>
      <c r="C1" s="116" t="s">
        <v>9959</v>
      </c>
      <c r="D1" s="117" t="s">
        <v>9983</v>
      </c>
      <c r="E1" s="212" t="s">
        <v>9982</v>
      </c>
      <c r="F1" s="212" t="s">
        <v>9955</v>
      </c>
      <c r="G1" s="212" t="s">
        <v>9954</v>
      </c>
      <c r="H1" s="214" t="s">
        <v>9958</v>
      </c>
      <c r="I1" s="118">
        <v>0.16919999999999999</v>
      </c>
      <c r="J1" s="118">
        <v>0.2291</v>
      </c>
      <c r="K1" s="118">
        <v>6.2E-2</v>
      </c>
      <c r="L1" s="118">
        <v>1.4500000000000001E-2</v>
      </c>
      <c r="M1" s="118">
        <v>1.23E-2</v>
      </c>
      <c r="N1" s="119">
        <v>1.8908000000000001E-2</v>
      </c>
      <c r="O1" s="120" t="s">
        <v>7642</v>
      </c>
      <c r="P1" s="120" t="s">
        <v>7643</v>
      </c>
    </row>
    <row r="2" spans="1:16" x14ac:dyDescent="0.25">
      <c r="A2" s="113" t="s">
        <v>7606</v>
      </c>
      <c r="B2" s="121"/>
      <c r="C2" s="121"/>
      <c r="D2" s="121"/>
      <c r="E2" s="213"/>
      <c r="F2" s="213"/>
      <c r="G2" s="213"/>
      <c r="H2" s="213"/>
    </row>
    <row r="3" spans="1:16" x14ac:dyDescent="0.25">
      <c r="A3" s="122">
        <v>51310</v>
      </c>
      <c r="B3" s="123"/>
      <c r="C3" s="123"/>
      <c r="D3" s="123"/>
      <c r="E3" s="123"/>
      <c r="F3" s="123"/>
      <c r="G3" s="123"/>
      <c r="H3" s="123"/>
    </row>
    <row r="4" spans="1:16" x14ac:dyDescent="0.25">
      <c r="A4" s="124" t="s">
        <v>7644</v>
      </c>
      <c r="B4" s="125">
        <v>0</v>
      </c>
      <c r="C4" s="125">
        <v>3580.74</v>
      </c>
      <c r="D4" s="125">
        <f>ROUND(E4*0.94,0)</f>
        <v>0</v>
      </c>
      <c r="E4" s="125">
        <v>0</v>
      </c>
      <c r="F4" s="125">
        <f>+B4-C4</f>
        <v>-3580.74</v>
      </c>
      <c r="G4" s="125">
        <f t="shared" ref="G4:G67" si="0">+D4-B4</f>
        <v>0</v>
      </c>
      <c r="H4" s="209" t="e">
        <f t="shared" ref="H4:H67" si="1">+G4/B4</f>
        <v>#DIV/0!</v>
      </c>
      <c r="I4" s="125">
        <f t="shared" ref="I4:I35" si="2">+$D4*$I$1</f>
        <v>0</v>
      </c>
      <c r="J4" s="125"/>
      <c r="K4" s="125"/>
      <c r="L4" s="125">
        <f t="shared" ref="L4:L35" si="3">+$D4*$L$1</f>
        <v>0</v>
      </c>
      <c r="M4" s="125">
        <f t="shared" ref="M4:M35" si="4">+$D4*$M$1</f>
        <v>0</v>
      </c>
      <c r="N4" s="125">
        <f t="shared" ref="N4:N35" si="5">+$D4*$N$1</f>
        <v>0</v>
      </c>
      <c r="O4" s="125">
        <f>SUM(I4:N4)</f>
        <v>0</v>
      </c>
      <c r="P4" s="125">
        <f t="shared" ref="P4:P35" si="6">+D4+O4</f>
        <v>0</v>
      </c>
    </row>
    <row r="5" spans="1:16" x14ac:dyDescent="0.25">
      <c r="A5" s="124" t="s">
        <v>7676</v>
      </c>
      <c r="B5" s="125">
        <v>0</v>
      </c>
      <c r="C5" s="125">
        <v>14123.08</v>
      </c>
      <c r="D5" s="125">
        <f t="shared" ref="D5:D51" si="7">ROUND(E5*0.94,0)</f>
        <v>11280</v>
      </c>
      <c r="E5" s="125">
        <v>12000</v>
      </c>
      <c r="F5" s="125">
        <f t="shared" ref="F5:F68" si="8">+B5-C5</f>
        <v>-14123.08</v>
      </c>
      <c r="G5" s="125">
        <f t="shared" si="0"/>
        <v>11280</v>
      </c>
      <c r="H5" s="209" t="e">
        <f t="shared" si="1"/>
        <v>#DIV/0!</v>
      </c>
      <c r="I5" s="125">
        <f t="shared" si="2"/>
        <v>1908.5759999999998</v>
      </c>
      <c r="J5" s="125"/>
      <c r="K5" s="125"/>
      <c r="L5" s="125">
        <f t="shared" si="3"/>
        <v>163.56</v>
      </c>
      <c r="M5" s="125">
        <f t="shared" si="4"/>
        <v>138.744</v>
      </c>
      <c r="N5" s="125">
        <f t="shared" si="5"/>
        <v>213.28224</v>
      </c>
      <c r="O5" s="125">
        <f t="shared" ref="O5:O53" si="9">SUM(I5:N5)</f>
        <v>2424.1622400000001</v>
      </c>
      <c r="P5" s="125">
        <f t="shared" si="6"/>
        <v>13704.16224</v>
      </c>
    </row>
    <row r="6" spans="1:16" x14ac:dyDescent="0.25">
      <c r="A6" s="124" t="s">
        <v>7646</v>
      </c>
      <c r="B6" s="125">
        <v>4293</v>
      </c>
      <c r="C6" s="125">
        <v>2864.5</v>
      </c>
      <c r="D6" s="125">
        <f t="shared" si="7"/>
        <v>4035</v>
      </c>
      <c r="E6" s="125">
        <v>4293</v>
      </c>
      <c r="F6" s="125">
        <f t="shared" si="8"/>
        <v>1428.5</v>
      </c>
      <c r="G6" s="125">
        <f t="shared" si="0"/>
        <v>-258</v>
      </c>
      <c r="H6" s="209">
        <f t="shared" si="1"/>
        <v>-6.0097833682739341E-2</v>
      </c>
      <c r="I6" s="125">
        <f t="shared" si="2"/>
        <v>682.72199999999998</v>
      </c>
      <c r="J6" s="125"/>
      <c r="K6" s="125"/>
      <c r="L6" s="125">
        <f t="shared" si="3"/>
        <v>58.5075</v>
      </c>
      <c r="M6" s="125">
        <f t="shared" si="4"/>
        <v>49.630499999999998</v>
      </c>
      <c r="N6" s="125">
        <f t="shared" si="5"/>
        <v>76.293779999999998</v>
      </c>
      <c r="O6" s="125">
        <f t="shared" si="9"/>
        <v>867.15377999999998</v>
      </c>
      <c r="P6" s="125">
        <f t="shared" si="6"/>
        <v>4902.1537799999996</v>
      </c>
    </row>
    <row r="7" spans="1:16" x14ac:dyDescent="0.25">
      <c r="A7" s="124" t="s">
        <v>7647</v>
      </c>
      <c r="B7" s="125">
        <v>4293</v>
      </c>
      <c r="C7" s="125">
        <v>1289.04</v>
      </c>
      <c r="D7" s="125">
        <f t="shared" si="7"/>
        <v>4177</v>
      </c>
      <c r="E7" s="125">
        <v>4443.2550000000001</v>
      </c>
      <c r="F7" s="125">
        <f t="shared" si="8"/>
        <v>3003.96</v>
      </c>
      <c r="G7" s="125">
        <f t="shared" si="0"/>
        <v>-116</v>
      </c>
      <c r="H7" s="209">
        <f t="shared" si="1"/>
        <v>-2.7020731423247145E-2</v>
      </c>
      <c r="I7" s="125">
        <f t="shared" si="2"/>
        <v>706.74839999999995</v>
      </c>
      <c r="J7" s="125"/>
      <c r="K7" s="125"/>
      <c r="L7" s="125">
        <f t="shared" si="3"/>
        <v>60.566500000000005</v>
      </c>
      <c r="M7" s="125">
        <f t="shared" si="4"/>
        <v>51.377099999999999</v>
      </c>
      <c r="N7" s="125">
        <f t="shared" si="5"/>
        <v>78.978716000000006</v>
      </c>
      <c r="O7" s="125">
        <f t="shared" si="9"/>
        <v>897.67071599999997</v>
      </c>
      <c r="P7" s="125">
        <f t="shared" si="6"/>
        <v>5074.6707159999996</v>
      </c>
    </row>
    <row r="8" spans="1:16" x14ac:dyDescent="0.25">
      <c r="A8" s="124" t="s">
        <v>7648</v>
      </c>
      <c r="B8" s="125">
        <v>23246</v>
      </c>
      <c r="C8" s="125">
        <v>11574.27</v>
      </c>
      <c r="D8" s="125">
        <f t="shared" si="7"/>
        <v>21851</v>
      </c>
      <c r="E8" s="125">
        <v>23246</v>
      </c>
      <c r="F8" s="125">
        <f t="shared" si="8"/>
        <v>11671.73</v>
      </c>
      <c r="G8" s="125">
        <f t="shared" si="0"/>
        <v>-1395</v>
      </c>
      <c r="H8" s="209">
        <f t="shared" si="1"/>
        <v>-6.00103243568786E-2</v>
      </c>
      <c r="I8" s="125">
        <f t="shared" si="2"/>
        <v>3697.1891999999998</v>
      </c>
      <c r="J8" s="125"/>
      <c r="K8" s="125"/>
      <c r="L8" s="125">
        <f t="shared" si="3"/>
        <v>316.83950000000004</v>
      </c>
      <c r="M8" s="125">
        <f t="shared" si="4"/>
        <v>268.76729999999998</v>
      </c>
      <c r="N8" s="125">
        <f t="shared" si="5"/>
        <v>413.15870800000005</v>
      </c>
      <c r="O8" s="125">
        <f t="shared" si="9"/>
        <v>4695.9547080000002</v>
      </c>
      <c r="P8" s="125">
        <f t="shared" si="6"/>
        <v>26546.954708000001</v>
      </c>
    </row>
    <row r="9" spans="1:16" x14ac:dyDescent="0.25">
      <c r="A9" s="124" t="s">
        <v>7649</v>
      </c>
      <c r="B9" s="125">
        <v>4293</v>
      </c>
      <c r="C9" s="125">
        <v>6546.65</v>
      </c>
      <c r="D9" s="125">
        <f t="shared" si="7"/>
        <v>6580</v>
      </c>
      <c r="E9" s="125">
        <v>7000</v>
      </c>
      <c r="F9" s="125">
        <f t="shared" si="8"/>
        <v>-2253.6499999999996</v>
      </c>
      <c r="G9" s="125">
        <f t="shared" si="0"/>
        <v>2287</v>
      </c>
      <c r="H9" s="209">
        <f t="shared" si="1"/>
        <v>0.53272769624970884</v>
      </c>
      <c r="I9" s="125">
        <f t="shared" si="2"/>
        <v>1113.336</v>
      </c>
      <c r="J9" s="125"/>
      <c r="K9" s="125"/>
      <c r="L9" s="125">
        <f t="shared" si="3"/>
        <v>95.410000000000011</v>
      </c>
      <c r="M9" s="125">
        <f t="shared" si="4"/>
        <v>80.933999999999997</v>
      </c>
      <c r="N9" s="125">
        <f t="shared" si="5"/>
        <v>124.41464000000001</v>
      </c>
      <c r="O9" s="125">
        <f t="shared" si="9"/>
        <v>1414.09464</v>
      </c>
      <c r="P9" s="125">
        <f t="shared" si="6"/>
        <v>7994.0946400000003</v>
      </c>
    </row>
    <row r="10" spans="1:16" x14ac:dyDescent="0.25">
      <c r="A10" s="124" t="s">
        <v>7650</v>
      </c>
      <c r="B10" s="125">
        <v>0</v>
      </c>
      <c r="C10" s="125">
        <v>7734.24</v>
      </c>
      <c r="D10" s="125">
        <f t="shared" si="7"/>
        <v>6580</v>
      </c>
      <c r="E10" s="125">
        <v>7000</v>
      </c>
      <c r="F10" s="125">
        <f t="shared" si="8"/>
        <v>-7734.24</v>
      </c>
      <c r="G10" s="125">
        <f t="shared" si="0"/>
        <v>6580</v>
      </c>
      <c r="H10" s="209" t="e">
        <f t="shared" si="1"/>
        <v>#DIV/0!</v>
      </c>
      <c r="I10" s="125">
        <f t="shared" si="2"/>
        <v>1113.336</v>
      </c>
      <c r="J10" s="125"/>
      <c r="K10" s="125"/>
      <c r="L10" s="125">
        <f t="shared" si="3"/>
        <v>95.410000000000011</v>
      </c>
      <c r="M10" s="125">
        <f t="shared" si="4"/>
        <v>80.933999999999997</v>
      </c>
      <c r="N10" s="125">
        <f t="shared" si="5"/>
        <v>124.41464000000001</v>
      </c>
      <c r="O10" s="125">
        <f t="shared" si="9"/>
        <v>1414.09464</v>
      </c>
      <c r="P10" s="125">
        <f t="shared" si="6"/>
        <v>7994.0946400000003</v>
      </c>
    </row>
    <row r="11" spans="1:16" x14ac:dyDescent="0.25">
      <c r="A11" s="124" t="s">
        <v>7651</v>
      </c>
      <c r="B11" s="125">
        <v>25758</v>
      </c>
      <c r="C11" s="125">
        <v>9858.7999999999993</v>
      </c>
      <c r="D11" s="125">
        <f t="shared" si="7"/>
        <v>18800</v>
      </c>
      <c r="E11" s="125">
        <v>20000</v>
      </c>
      <c r="F11" s="125">
        <f t="shared" si="8"/>
        <v>15899.2</v>
      </c>
      <c r="G11" s="125">
        <f t="shared" si="0"/>
        <v>-6958</v>
      </c>
      <c r="H11" s="209">
        <f t="shared" si="1"/>
        <v>-0.27012966845251962</v>
      </c>
      <c r="I11" s="125">
        <f t="shared" si="2"/>
        <v>3180.9599999999996</v>
      </c>
      <c r="J11" s="125"/>
      <c r="K11" s="125"/>
      <c r="L11" s="125">
        <f t="shared" si="3"/>
        <v>272.60000000000002</v>
      </c>
      <c r="M11" s="125">
        <f t="shared" si="4"/>
        <v>231.24</v>
      </c>
      <c r="N11" s="125">
        <f t="shared" si="5"/>
        <v>355.47040000000004</v>
      </c>
      <c r="O11" s="125">
        <f t="shared" si="9"/>
        <v>4040.2703999999994</v>
      </c>
      <c r="P11" s="125">
        <f t="shared" si="6"/>
        <v>22840.270400000001</v>
      </c>
    </row>
    <row r="12" spans="1:16" x14ac:dyDescent="0.25">
      <c r="A12" s="124" t="s">
        <v>7652</v>
      </c>
      <c r="B12" s="125">
        <v>4293</v>
      </c>
      <c r="C12" s="125">
        <v>3819.95</v>
      </c>
      <c r="D12" s="125">
        <f t="shared" si="7"/>
        <v>9400</v>
      </c>
      <c r="E12" s="125">
        <v>10000</v>
      </c>
      <c r="F12" s="125">
        <f t="shared" si="8"/>
        <v>473.05000000000018</v>
      </c>
      <c r="G12" s="125">
        <f t="shared" si="0"/>
        <v>5107</v>
      </c>
      <c r="H12" s="209">
        <f t="shared" si="1"/>
        <v>1.1896109946424411</v>
      </c>
      <c r="I12" s="125">
        <f t="shared" si="2"/>
        <v>1590.4799999999998</v>
      </c>
      <c r="J12" s="125"/>
      <c r="K12" s="125"/>
      <c r="L12" s="125">
        <f t="shared" si="3"/>
        <v>136.30000000000001</v>
      </c>
      <c r="M12" s="125">
        <f t="shared" si="4"/>
        <v>115.62</v>
      </c>
      <c r="N12" s="125">
        <f t="shared" si="5"/>
        <v>177.73520000000002</v>
      </c>
      <c r="O12" s="125">
        <f t="shared" si="9"/>
        <v>2020.1351999999997</v>
      </c>
      <c r="P12" s="125">
        <f t="shared" si="6"/>
        <v>11420.135200000001</v>
      </c>
    </row>
    <row r="13" spans="1:16" s="3" customFormat="1" x14ac:dyDescent="0.25">
      <c r="A13" s="126" t="s">
        <v>7653</v>
      </c>
      <c r="B13" s="8">
        <v>0</v>
      </c>
      <c r="C13" s="8">
        <v>4296.8</v>
      </c>
      <c r="D13" s="125">
        <f t="shared" si="7"/>
        <v>0</v>
      </c>
      <c r="E13" s="8"/>
      <c r="F13" s="125">
        <f t="shared" si="8"/>
        <v>-4296.8</v>
      </c>
      <c r="G13" s="125">
        <f t="shared" si="0"/>
        <v>0</v>
      </c>
      <c r="H13" s="209" t="e">
        <f t="shared" si="1"/>
        <v>#DIV/0!</v>
      </c>
      <c r="I13" s="125">
        <f t="shared" si="2"/>
        <v>0</v>
      </c>
      <c r="J13" s="125"/>
      <c r="K13" s="125"/>
      <c r="L13" s="125">
        <f t="shared" si="3"/>
        <v>0</v>
      </c>
      <c r="M13" s="125">
        <f t="shared" si="4"/>
        <v>0</v>
      </c>
      <c r="N13" s="125">
        <f t="shared" si="5"/>
        <v>0</v>
      </c>
      <c r="O13" s="125">
        <f t="shared" si="9"/>
        <v>0</v>
      </c>
      <c r="P13" s="125">
        <f t="shared" si="6"/>
        <v>0</v>
      </c>
    </row>
    <row r="14" spans="1:16" x14ac:dyDescent="0.25">
      <c r="A14" s="124" t="s">
        <v>7654</v>
      </c>
      <c r="B14" s="125">
        <v>17172</v>
      </c>
      <c r="C14" s="125">
        <v>4296.8</v>
      </c>
      <c r="D14" s="125">
        <f t="shared" si="7"/>
        <v>14100</v>
      </c>
      <c r="E14" s="125">
        <v>15000</v>
      </c>
      <c r="F14" s="125">
        <f t="shared" si="8"/>
        <v>12875.2</v>
      </c>
      <c r="G14" s="125">
        <f t="shared" si="0"/>
        <v>-3072</v>
      </c>
      <c r="H14" s="209">
        <f t="shared" si="1"/>
        <v>-0.17889587700908455</v>
      </c>
      <c r="I14" s="125">
        <f t="shared" si="2"/>
        <v>2385.7199999999998</v>
      </c>
      <c r="J14" s="125"/>
      <c r="K14" s="125"/>
      <c r="L14" s="125">
        <f t="shared" si="3"/>
        <v>204.45000000000002</v>
      </c>
      <c r="M14" s="125">
        <f t="shared" si="4"/>
        <v>173.43</v>
      </c>
      <c r="N14" s="125">
        <f t="shared" si="5"/>
        <v>266.6028</v>
      </c>
      <c r="O14" s="125">
        <f t="shared" si="9"/>
        <v>3030.2027999999996</v>
      </c>
      <c r="P14" s="125">
        <f t="shared" si="6"/>
        <v>17130.202799999999</v>
      </c>
    </row>
    <row r="15" spans="1:16" x14ac:dyDescent="0.25">
      <c r="A15" s="124" t="s">
        <v>7655</v>
      </c>
      <c r="B15" s="125">
        <v>2430</v>
      </c>
      <c r="C15" s="125">
        <v>2578.08</v>
      </c>
      <c r="D15" s="125">
        <f t="shared" si="7"/>
        <v>2820</v>
      </c>
      <c r="E15" s="125">
        <v>3000</v>
      </c>
      <c r="F15" s="125">
        <f t="shared" si="8"/>
        <v>-148.07999999999993</v>
      </c>
      <c r="G15" s="125">
        <f t="shared" si="0"/>
        <v>390</v>
      </c>
      <c r="H15" s="209">
        <f t="shared" si="1"/>
        <v>0.16049382716049382</v>
      </c>
      <c r="I15" s="125">
        <f t="shared" si="2"/>
        <v>477.14399999999995</v>
      </c>
      <c r="J15" s="125"/>
      <c r="K15" s="125"/>
      <c r="L15" s="125">
        <f t="shared" si="3"/>
        <v>40.89</v>
      </c>
      <c r="M15" s="125">
        <f t="shared" si="4"/>
        <v>34.686</v>
      </c>
      <c r="N15" s="125">
        <f t="shared" si="5"/>
        <v>53.32056</v>
      </c>
      <c r="O15" s="125">
        <f t="shared" si="9"/>
        <v>606.04056000000003</v>
      </c>
      <c r="P15" s="125">
        <f t="shared" si="6"/>
        <v>3426.0405599999999</v>
      </c>
    </row>
    <row r="16" spans="1:16" x14ac:dyDescent="0.25">
      <c r="A16" s="124" t="s">
        <v>7656</v>
      </c>
      <c r="B16" s="125">
        <v>17172</v>
      </c>
      <c r="C16" s="125">
        <v>0</v>
      </c>
      <c r="D16" s="125">
        <f t="shared" si="7"/>
        <v>16142</v>
      </c>
      <c r="E16" s="125">
        <v>17172</v>
      </c>
      <c r="F16" s="125">
        <f t="shared" si="8"/>
        <v>17172</v>
      </c>
      <c r="G16" s="125">
        <f t="shared" si="0"/>
        <v>-1030</v>
      </c>
      <c r="H16" s="209">
        <f t="shared" si="1"/>
        <v>-5.9981365012811552E-2</v>
      </c>
      <c r="I16" s="125">
        <f t="shared" si="2"/>
        <v>2731.2264</v>
      </c>
      <c r="J16" s="125"/>
      <c r="K16" s="125"/>
      <c r="L16" s="125">
        <f t="shared" si="3"/>
        <v>234.05900000000003</v>
      </c>
      <c r="M16" s="125">
        <f t="shared" si="4"/>
        <v>198.54660000000001</v>
      </c>
      <c r="N16" s="125">
        <f t="shared" si="5"/>
        <v>305.21293600000001</v>
      </c>
      <c r="O16" s="125">
        <f t="shared" si="9"/>
        <v>3469.0449360000002</v>
      </c>
      <c r="P16" s="125">
        <f t="shared" si="6"/>
        <v>19611.044935999998</v>
      </c>
    </row>
    <row r="17" spans="1:16" x14ac:dyDescent="0.25">
      <c r="A17" s="124" t="s">
        <v>7657</v>
      </c>
      <c r="B17" s="125">
        <v>51516</v>
      </c>
      <c r="C17" s="125">
        <v>58622.2</v>
      </c>
      <c r="D17" s="125">
        <f t="shared" si="7"/>
        <v>61100</v>
      </c>
      <c r="E17" s="125">
        <v>65000</v>
      </c>
      <c r="F17" s="125">
        <f t="shared" si="8"/>
        <v>-7106.1999999999971</v>
      </c>
      <c r="G17" s="125">
        <f t="shared" si="0"/>
        <v>9584</v>
      </c>
      <c r="H17" s="209">
        <f t="shared" si="1"/>
        <v>0.18603928876465564</v>
      </c>
      <c r="I17" s="125">
        <f t="shared" si="2"/>
        <v>10338.119999999999</v>
      </c>
      <c r="J17" s="125"/>
      <c r="K17" s="125"/>
      <c r="L17" s="125">
        <f t="shared" si="3"/>
        <v>885.95</v>
      </c>
      <c r="M17" s="125">
        <f t="shared" si="4"/>
        <v>751.53</v>
      </c>
      <c r="N17" s="125">
        <f t="shared" si="5"/>
        <v>1155.2788</v>
      </c>
      <c r="O17" s="125">
        <f t="shared" si="9"/>
        <v>13130.8788</v>
      </c>
      <c r="P17" s="125">
        <f t="shared" si="6"/>
        <v>74230.878800000006</v>
      </c>
    </row>
    <row r="18" spans="1:16" x14ac:dyDescent="0.25">
      <c r="A18" s="124" t="s">
        <v>7658</v>
      </c>
      <c r="B18" s="125">
        <v>17172</v>
      </c>
      <c r="C18" s="125">
        <v>12233.96</v>
      </c>
      <c r="D18" s="125">
        <f t="shared" si="7"/>
        <v>16142</v>
      </c>
      <c r="E18" s="125">
        <v>17172</v>
      </c>
      <c r="F18" s="125">
        <f t="shared" si="8"/>
        <v>4938.0400000000009</v>
      </c>
      <c r="G18" s="125">
        <f t="shared" si="0"/>
        <v>-1030</v>
      </c>
      <c r="H18" s="209">
        <f t="shared" si="1"/>
        <v>-5.9981365012811552E-2</v>
      </c>
      <c r="I18" s="125">
        <f t="shared" si="2"/>
        <v>2731.2264</v>
      </c>
      <c r="J18" s="125"/>
      <c r="K18" s="125"/>
      <c r="L18" s="125">
        <f t="shared" si="3"/>
        <v>234.05900000000003</v>
      </c>
      <c r="M18" s="125">
        <f t="shared" si="4"/>
        <v>198.54660000000001</v>
      </c>
      <c r="N18" s="125">
        <f t="shared" si="5"/>
        <v>305.21293600000001</v>
      </c>
      <c r="O18" s="125">
        <f t="shared" si="9"/>
        <v>3469.0449360000002</v>
      </c>
      <c r="P18" s="125">
        <f t="shared" si="6"/>
        <v>19611.044935999998</v>
      </c>
    </row>
    <row r="19" spans="1:16" x14ac:dyDescent="0.25">
      <c r="A19" s="124" t="s">
        <v>7659</v>
      </c>
      <c r="B19" s="125">
        <v>21465</v>
      </c>
      <c r="C19" s="125">
        <v>11046.38</v>
      </c>
      <c r="D19" s="125">
        <f t="shared" si="7"/>
        <v>20177</v>
      </c>
      <c r="E19" s="125">
        <v>21465</v>
      </c>
      <c r="F19" s="125">
        <f t="shared" si="8"/>
        <v>10418.620000000001</v>
      </c>
      <c r="G19" s="125">
        <f t="shared" si="0"/>
        <v>-1288</v>
      </c>
      <c r="H19" s="209">
        <f t="shared" si="1"/>
        <v>-6.0004658746797113E-2</v>
      </c>
      <c r="I19" s="125">
        <f t="shared" si="2"/>
        <v>3413.9483999999998</v>
      </c>
      <c r="J19" s="125"/>
      <c r="K19" s="125"/>
      <c r="L19" s="125">
        <f t="shared" si="3"/>
        <v>292.56650000000002</v>
      </c>
      <c r="M19" s="125">
        <f t="shared" si="4"/>
        <v>248.1771</v>
      </c>
      <c r="N19" s="125">
        <f t="shared" si="5"/>
        <v>381.50671600000004</v>
      </c>
      <c r="O19" s="125">
        <f t="shared" si="9"/>
        <v>4336.1987159999999</v>
      </c>
      <c r="P19" s="125">
        <f t="shared" si="6"/>
        <v>24513.198715999999</v>
      </c>
    </row>
    <row r="20" spans="1:16" x14ac:dyDescent="0.25">
      <c r="A20" s="124" t="s">
        <v>7660</v>
      </c>
      <c r="B20" s="125">
        <v>36000</v>
      </c>
      <c r="C20" s="125">
        <v>41662.660000000003</v>
      </c>
      <c r="D20" s="125">
        <f t="shared" si="7"/>
        <v>33840</v>
      </c>
      <c r="E20" s="125">
        <v>36000</v>
      </c>
      <c r="F20" s="125">
        <f t="shared" si="8"/>
        <v>-5662.6600000000035</v>
      </c>
      <c r="G20" s="125">
        <f t="shared" si="0"/>
        <v>-2160</v>
      </c>
      <c r="H20" s="209">
        <f t="shared" si="1"/>
        <v>-0.06</v>
      </c>
      <c r="I20" s="125">
        <f t="shared" si="2"/>
        <v>5725.7280000000001</v>
      </c>
      <c r="J20" s="125"/>
      <c r="K20" s="125"/>
      <c r="L20" s="125">
        <f t="shared" si="3"/>
        <v>490.68</v>
      </c>
      <c r="M20" s="125">
        <f t="shared" si="4"/>
        <v>416.23200000000003</v>
      </c>
      <c r="N20" s="125">
        <f t="shared" si="5"/>
        <v>639.84672</v>
      </c>
      <c r="O20" s="125">
        <f t="shared" si="9"/>
        <v>7272.4867200000008</v>
      </c>
      <c r="P20" s="125">
        <f t="shared" si="6"/>
        <v>41112.486720000001</v>
      </c>
    </row>
    <row r="21" spans="1:16" x14ac:dyDescent="0.25">
      <c r="A21" s="124" t="s">
        <v>7661</v>
      </c>
      <c r="B21" s="125">
        <v>5000</v>
      </c>
      <c r="C21" s="125">
        <v>5133.32</v>
      </c>
      <c r="D21" s="125">
        <f t="shared" si="7"/>
        <v>4700</v>
      </c>
      <c r="E21" s="125">
        <v>5000</v>
      </c>
      <c r="F21" s="125">
        <f t="shared" si="8"/>
        <v>-133.31999999999971</v>
      </c>
      <c r="G21" s="125">
        <f t="shared" si="0"/>
        <v>-300</v>
      </c>
      <c r="H21" s="209">
        <f t="shared" si="1"/>
        <v>-0.06</v>
      </c>
      <c r="I21" s="125">
        <f t="shared" si="2"/>
        <v>795.2399999999999</v>
      </c>
      <c r="J21" s="125"/>
      <c r="K21" s="125"/>
      <c r="L21" s="125">
        <f t="shared" si="3"/>
        <v>68.150000000000006</v>
      </c>
      <c r="M21" s="125">
        <f t="shared" si="4"/>
        <v>57.81</v>
      </c>
      <c r="N21" s="125">
        <f t="shared" si="5"/>
        <v>88.86760000000001</v>
      </c>
      <c r="O21" s="125">
        <f t="shared" si="9"/>
        <v>1010.0675999999999</v>
      </c>
      <c r="P21" s="125">
        <f t="shared" si="6"/>
        <v>5710.0676000000003</v>
      </c>
    </row>
    <row r="22" spans="1:16" x14ac:dyDescent="0.25">
      <c r="A22" s="124" t="s">
        <v>7662</v>
      </c>
      <c r="B22" s="125">
        <v>8500</v>
      </c>
      <c r="C22" s="125">
        <v>60715.06</v>
      </c>
      <c r="D22" s="125">
        <f t="shared" si="7"/>
        <v>7990</v>
      </c>
      <c r="E22" s="125">
        <v>8500</v>
      </c>
      <c r="F22" s="125">
        <f t="shared" si="8"/>
        <v>-52215.06</v>
      </c>
      <c r="G22" s="125">
        <f t="shared" si="0"/>
        <v>-510</v>
      </c>
      <c r="H22" s="209">
        <f t="shared" si="1"/>
        <v>-0.06</v>
      </c>
      <c r="I22" s="125">
        <f t="shared" si="2"/>
        <v>1351.9079999999999</v>
      </c>
      <c r="J22" s="125"/>
      <c r="K22" s="125"/>
      <c r="L22" s="125">
        <f t="shared" si="3"/>
        <v>115.855</v>
      </c>
      <c r="M22" s="125">
        <f t="shared" si="4"/>
        <v>98.277000000000001</v>
      </c>
      <c r="N22" s="125">
        <f t="shared" si="5"/>
        <v>151.07492000000002</v>
      </c>
      <c r="O22" s="125">
        <f t="shared" si="9"/>
        <v>1717.11492</v>
      </c>
      <c r="P22" s="125">
        <f t="shared" si="6"/>
        <v>9707.11492</v>
      </c>
    </row>
    <row r="23" spans="1:16" x14ac:dyDescent="0.25">
      <c r="A23" s="124" t="s">
        <v>7663</v>
      </c>
      <c r="B23" s="125">
        <v>4800</v>
      </c>
      <c r="C23" s="125">
        <v>0</v>
      </c>
      <c r="D23" s="125">
        <f t="shared" si="7"/>
        <v>4512</v>
      </c>
      <c r="E23" s="125">
        <v>4800</v>
      </c>
      <c r="F23" s="125">
        <f t="shared" si="8"/>
        <v>4800</v>
      </c>
      <c r="G23" s="125">
        <f t="shared" si="0"/>
        <v>-288</v>
      </c>
      <c r="H23" s="209">
        <f t="shared" si="1"/>
        <v>-0.06</v>
      </c>
      <c r="I23" s="125">
        <f t="shared" si="2"/>
        <v>763.43039999999996</v>
      </c>
      <c r="J23" s="125"/>
      <c r="K23" s="125"/>
      <c r="L23" s="125">
        <f t="shared" si="3"/>
        <v>65.424000000000007</v>
      </c>
      <c r="M23" s="125">
        <f t="shared" si="4"/>
        <v>55.497599999999998</v>
      </c>
      <c r="N23" s="125">
        <f t="shared" si="5"/>
        <v>85.312896000000009</v>
      </c>
      <c r="O23" s="125">
        <f t="shared" si="9"/>
        <v>969.664896</v>
      </c>
      <c r="P23" s="125">
        <f t="shared" si="6"/>
        <v>5481.6648960000002</v>
      </c>
    </row>
    <row r="24" spans="1:16" x14ac:dyDescent="0.25">
      <c r="A24" s="124" t="s">
        <v>7664</v>
      </c>
      <c r="B24" s="125">
        <v>32000</v>
      </c>
      <c r="C24" s="125">
        <v>43958.01</v>
      </c>
      <c r="D24" s="125">
        <f t="shared" si="7"/>
        <v>52640</v>
      </c>
      <c r="E24" s="125">
        <v>56000</v>
      </c>
      <c r="F24" s="125">
        <f t="shared" si="8"/>
        <v>-11958.010000000002</v>
      </c>
      <c r="G24" s="125">
        <f t="shared" si="0"/>
        <v>20640</v>
      </c>
      <c r="H24" s="209">
        <f t="shared" si="1"/>
        <v>0.64500000000000002</v>
      </c>
      <c r="I24" s="125">
        <f t="shared" si="2"/>
        <v>8906.6880000000001</v>
      </c>
      <c r="J24" s="125"/>
      <c r="K24" s="125"/>
      <c r="L24" s="125">
        <f t="shared" si="3"/>
        <v>763.28000000000009</v>
      </c>
      <c r="M24" s="125">
        <f t="shared" si="4"/>
        <v>647.47199999999998</v>
      </c>
      <c r="N24" s="125">
        <f t="shared" si="5"/>
        <v>995.31712000000005</v>
      </c>
      <c r="O24" s="125">
        <f t="shared" si="9"/>
        <v>11312.75712</v>
      </c>
      <c r="P24" s="125">
        <f t="shared" si="6"/>
        <v>63952.757120000002</v>
      </c>
    </row>
    <row r="25" spans="1:16" x14ac:dyDescent="0.25">
      <c r="A25" s="124" t="s">
        <v>7665</v>
      </c>
      <c r="B25" s="125">
        <v>34000</v>
      </c>
      <c r="C25" s="125">
        <v>5729.98</v>
      </c>
      <c r="D25" s="125">
        <f t="shared" si="7"/>
        <v>31960</v>
      </c>
      <c r="E25" s="125">
        <v>34000</v>
      </c>
      <c r="F25" s="125">
        <f t="shared" si="8"/>
        <v>28270.02</v>
      </c>
      <c r="G25" s="125">
        <f t="shared" si="0"/>
        <v>-2040</v>
      </c>
      <c r="H25" s="209">
        <f t="shared" si="1"/>
        <v>-0.06</v>
      </c>
      <c r="I25" s="125">
        <f t="shared" si="2"/>
        <v>5407.6319999999996</v>
      </c>
      <c r="J25" s="125"/>
      <c r="K25" s="125"/>
      <c r="L25" s="125">
        <f t="shared" si="3"/>
        <v>463.42</v>
      </c>
      <c r="M25" s="125">
        <f t="shared" si="4"/>
        <v>393.108</v>
      </c>
      <c r="N25" s="125">
        <f t="shared" si="5"/>
        <v>604.29968000000008</v>
      </c>
      <c r="O25" s="125">
        <f t="shared" si="9"/>
        <v>6868.4596799999999</v>
      </c>
      <c r="P25" s="125">
        <f t="shared" si="6"/>
        <v>38828.45968</v>
      </c>
    </row>
    <row r="26" spans="1:16" x14ac:dyDescent="0.25">
      <c r="A26" s="124" t="s">
        <v>7666</v>
      </c>
      <c r="B26" s="125">
        <v>271000</v>
      </c>
      <c r="C26" s="125">
        <v>165308.10999999999</v>
      </c>
      <c r="D26" s="125">
        <f t="shared" si="7"/>
        <v>254740</v>
      </c>
      <c r="E26" s="125">
        <v>271000</v>
      </c>
      <c r="F26" s="125">
        <f t="shared" si="8"/>
        <v>105691.89000000001</v>
      </c>
      <c r="G26" s="125">
        <f t="shared" si="0"/>
        <v>-16260</v>
      </c>
      <c r="H26" s="209">
        <f t="shared" si="1"/>
        <v>-0.06</v>
      </c>
      <c r="I26" s="125">
        <f t="shared" si="2"/>
        <v>43102.007999999994</v>
      </c>
      <c r="J26" s="125"/>
      <c r="K26" s="125"/>
      <c r="L26" s="125">
        <f t="shared" si="3"/>
        <v>3693.73</v>
      </c>
      <c r="M26" s="125">
        <f t="shared" si="4"/>
        <v>3133.3020000000001</v>
      </c>
      <c r="N26" s="125">
        <f t="shared" si="5"/>
        <v>4816.62392</v>
      </c>
      <c r="O26" s="125">
        <f t="shared" si="9"/>
        <v>54745.663919999999</v>
      </c>
      <c r="P26" s="125">
        <f t="shared" si="6"/>
        <v>309485.66392000002</v>
      </c>
    </row>
    <row r="27" spans="1:16" x14ac:dyDescent="0.25">
      <c r="A27" s="124" t="s">
        <v>7667</v>
      </c>
      <c r="B27" s="125">
        <v>7287</v>
      </c>
      <c r="C27" s="125">
        <v>8785.91</v>
      </c>
      <c r="D27" s="125">
        <f t="shared" si="7"/>
        <v>10275</v>
      </c>
      <c r="E27" s="125">
        <v>10930.5</v>
      </c>
      <c r="F27" s="125">
        <f t="shared" si="8"/>
        <v>-1498.9099999999999</v>
      </c>
      <c r="G27" s="125">
        <f t="shared" si="0"/>
        <v>2988</v>
      </c>
      <c r="H27" s="209">
        <f t="shared" si="1"/>
        <v>0.41004528612597779</v>
      </c>
      <c r="I27" s="125">
        <f t="shared" si="2"/>
        <v>1738.53</v>
      </c>
      <c r="J27" s="125"/>
      <c r="K27" s="125"/>
      <c r="L27" s="125">
        <f t="shared" si="3"/>
        <v>148.98750000000001</v>
      </c>
      <c r="M27" s="125">
        <f t="shared" si="4"/>
        <v>126.38250000000001</v>
      </c>
      <c r="N27" s="125">
        <f t="shared" si="5"/>
        <v>194.27970000000002</v>
      </c>
      <c r="O27" s="125">
        <f t="shared" si="9"/>
        <v>2208.1796999999997</v>
      </c>
      <c r="P27" s="125">
        <f t="shared" si="6"/>
        <v>12483.179700000001</v>
      </c>
    </row>
    <row r="28" spans="1:16" x14ac:dyDescent="0.25">
      <c r="A28" s="124" t="s">
        <v>7668</v>
      </c>
      <c r="B28" s="125">
        <v>26000</v>
      </c>
      <c r="C28" s="125">
        <v>48175.55</v>
      </c>
      <c r="D28" s="125">
        <f t="shared" si="7"/>
        <v>48880</v>
      </c>
      <c r="E28" s="125">
        <v>52000</v>
      </c>
      <c r="F28" s="125">
        <f t="shared" si="8"/>
        <v>-22175.550000000003</v>
      </c>
      <c r="G28" s="125">
        <f t="shared" si="0"/>
        <v>22880</v>
      </c>
      <c r="H28" s="209">
        <f t="shared" si="1"/>
        <v>0.88</v>
      </c>
      <c r="I28" s="125">
        <f t="shared" si="2"/>
        <v>8270.4959999999992</v>
      </c>
      <c r="J28" s="125"/>
      <c r="K28" s="125"/>
      <c r="L28" s="125">
        <f t="shared" si="3"/>
        <v>708.76</v>
      </c>
      <c r="M28" s="125">
        <f t="shared" si="4"/>
        <v>601.22400000000005</v>
      </c>
      <c r="N28" s="125">
        <f t="shared" si="5"/>
        <v>924.22304000000008</v>
      </c>
      <c r="O28" s="125">
        <f t="shared" si="9"/>
        <v>10504.70304</v>
      </c>
      <c r="P28" s="125">
        <f t="shared" si="6"/>
        <v>59384.70304</v>
      </c>
    </row>
    <row r="29" spans="1:16" x14ac:dyDescent="0.25">
      <c r="A29" s="124" t="s">
        <v>7669</v>
      </c>
      <c r="B29" s="125">
        <v>1300</v>
      </c>
      <c r="C29" s="125">
        <v>2781</v>
      </c>
      <c r="D29" s="125">
        <f t="shared" si="7"/>
        <v>2444</v>
      </c>
      <c r="E29" s="125">
        <v>2600</v>
      </c>
      <c r="F29" s="125">
        <f t="shared" si="8"/>
        <v>-1481</v>
      </c>
      <c r="G29" s="125">
        <f t="shared" si="0"/>
        <v>1144</v>
      </c>
      <c r="H29" s="209">
        <f t="shared" si="1"/>
        <v>0.88</v>
      </c>
      <c r="I29" s="125">
        <f t="shared" si="2"/>
        <v>413.52479999999997</v>
      </c>
      <c r="J29" s="125"/>
      <c r="K29" s="125"/>
      <c r="L29" s="125">
        <f t="shared" si="3"/>
        <v>35.438000000000002</v>
      </c>
      <c r="M29" s="125">
        <f t="shared" si="4"/>
        <v>30.061199999999999</v>
      </c>
      <c r="N29" s="125">
        <f t="shared" si="5"/>
        <v>46.211152000000006</v>
      </c>
      <c r="O29" s="125">
        <f t="shared" si="9"/>
        <v>525.23515199999997</v>
      </c>
      <c r="P29" s="125">
        <f t="shared" si="6"/>
        <v>2969.2351520000002</v>
      </c>
    </row>
    <row r="30" spans="1:16" x14ac:dyDescent="0.25">
      <c r="A30" s="124" t="s">
        <v>7670</v>
      </c>
      <c r="B30" s="125">
        <v>33000</v>
      </c>
      <c r="C30" s="125">
        <v>29606.76</v>
      </c>
      <c r="D30" s="125">
        <f t="shared" si="7"/>
        <v>38775</v>
      </c>
      <c r="E30" s="125">
        <v>41250</v>
      </c>
      <c r="F30" s="125">
        <f t="shared" si="8"/>
        <v>3393.2400000000016</v>
      </c>
      <c r="G30" s="125">
        <f t="shared" si="0"/>
        <v>5775</v>
      </c>
      <c r="H30" s="209">
        <f t="shared" si="1"/>
        <v>0.17499999999999999</v>
      </c>
      <c r="I30" s="125">
        <f t="shared" si="2"/>
        <v>6560.73</v>
      </c>
      <c r="J30" s="125"/>
      <c r="K30" s="125"/>
      <c r="L30" s="125">
        <f t="shared" si="3"/>
        <v>562.23750000000007</v>
      </c>
      <c r="M30" s="125">
        <f t="shared" si="4"/>
        <v>476.9325</v>
      </c>
      <c r="N30" s="125">
        <f t="shared" si="5"/>
        <v>733.15770000000009</v>
      </c>
      <c r="O30" s="125">
        <f t="shared" si="9"/>
        <v>8333.0576999999994</v>
      </c>
      <c r="P30" s="125">
        <f t="shared" si="6"/>
        <v>47108.057699999998</v>
      </c>
    </row>
    <row r="31" spans="1:16" x14ac:dyDescent="0.25">
      <c r="A31" s="124" t="s">
        <v>7671</v>
      </c>
      <c r="B31" s="125">
        <v>19123</v>
      </c>
      <c r="C31" s="125">
        <v>5365.62</v>
      </c>
      <c r="D31" s="125">
        <f t="shared" si="7"/>
        <v>17976</v>
      </c>
      <c r="E31" s="125">
        <v>19123</v>
      </c>
      <c r="F31" s="125">
        <f t="shared" si="8"/>
        <v>13757.380000000001</v>
      </c>
      <c r="G31" s="125">
        <f t="shared" si="0"/>
        <v>-1147</v>
      </c>
      <c r="H31" s="209">
        <f t="shared" si="1"/>
        <v>-5.9980128640903622E-2</v>
      </c>
      <c r="I31" s="125">
        <f t="shared" si="2"/>
        <v>3041.5391999999997</v>
      </c>
      <c r="J31" s="125"/>
      <c r="K31" s="125"/>
      <c r="L31" s="125">
        <f t="shared" si="3"/>
        <v>260.65199999999999</v>
      </c>
      <c r="M31" s="125">
        <f t="shared" si="4"/>
        <v>221.10480000000001</v>
      </c>
      <c r="N31" s="125">
        <f t="shared" si="5"/>
        <v>339.89020800000003</v>
      </c>
      <c r="O31" s="125">
        <f t="shared" si="9"/>
        <v>3863.1862080000001</v>
      </c>
      <c r="P31" s="125">
        <f t="shared" si="6"/>
        <v>21839.186207999999</v>
      </c>
    </row>
    <row r="32" spans="1:16" x14ac:dyDescent="0.25">
      <c r="A32" s="124" t="s">
        <v>7672</v>
      </c>
      <c r="B32" s="125">
        <v>12000</v>
      </c>
      <c r="C32" s="125">
        <v>3746.15</v>
      </c>
      <c r="D32" s="125">
        <f t="shared" si="7"/>
        <v>11280</v>
      </c>
      <c r="E32" s="125">
        <v>12000</v>
      </c>
      <c r="F32" s="125">
        <f t="shared" si="8"/>
        <v>8253.85</v>
      </c>
      <c r="G32" s="125">
        <f t="shared" si="0"/>
        <v>-720</v>
      </c>
      <c r="H32" s="209">
        <f t="shared" si="1"/>
        <v>-0.06</v>
      </c>
      <c r="I32" s="125">
        <f t="shared" si="2"/>
        <v>1908.5759999999998</v>
      </c>
      <c r="J32" s="125"/>
      <c r="K32" s="125"/>
      <c r="L32" s="125">
        <f t="shared" si="3"/>
        <v>163.56</v>
      </c>
      <c r="M32" s="125">
        <f t="shared" si="4"/>
        <v>138.744</v>
      </c>
      <c r="N32" s="125">
        <f t="shared" si="5"/>
        <v>213.28224</v>
      </c>
      <c r="O32" s="125">
        <f t="shared" si="9"/>
        <v>2424.1622400000001</v>
      </c>
      <c r="P32" s="125">
        <f t="shared" si="6"/>
        <v>13704.16224</v>
      </c>
    </row>
    <row r="33" spans="1:16" x14ac:dyDescent="0.25">
      <c r="A33" s="124" t="s">
        <v>7673</v>
      </c>
      <c r="B33" s="125">
        <v>2520</v>
      </c>
      <c r="C33" s="125">
        <v>5986.44</v>
      </c>
      <c r="D33" s="125">
        <f t="shared" si="7"/>
        <v>2369</v>
      </c>
      <c r="E33" s="125">
        <v>2520</v>
      </c>
      <c r="F33" s="125">
        <f t="shared" si="8"/>
        <v>-3466.4399999999996</v>
      </c>
      <c r="G33" s="125">
        <f t="shared" si="0"/>
        <v>-151</v>
      </c>
      <c r="H33" s="209">
        <f t="shared" si="1"/>
        <v>-5.9920634920634923E-2</v>
      </c>
      <c r="I33" s="125">
        <f t="shared" si="2"/>
        <v>400.83479999999997</v>
      </c>
      <c r="J33" s="125"/>
      <c r="K33" s="125"/>
      <c r="L33" s="125">
        <f t="shared" si="3"/>
        <v>34.350500000000004</v>
      </c>
      <c r="M33" s="125">
        <f t="shared" si="4"/>
        <v>29.1387</v>
      </c>
      <c r="N33" s="125">
        <f t="shared" si="5"/>
        <v>44.793052000000003</v>
      </c>
      <c r="O33" s="125">
        <f t="shared" si="9"/>
        <v>509.11705199999994</v>
      </c>
      <c r="P33" s="125">
        <f t="shared" si="6"/>
        <v>2878.1170520000001</v>
      </c>
    </row>
    <row r="34" spans="1:16" x14ac:dyDescent="0.25">
      <c r="A34" s="124" t="s">
        <v>7674</v>
      </c>
      <c r="B34" s="125">
        <v>0</v>
      </c>
      <c r="C34" s="125">
        <v>1113.98</v>
      </c>
      <c r="D34" s="125">
        <f t="shared" si="7"/>
        <v>0</v>
      </c>
      <c r="E34" s="125">
        <v>0</v>
      </c>
      <c r="F34" s="125">
        <f t="shared" si="8"/>
        <v>-1113.98</v>
      </c>
      <c r="G34" s="125">
        <f t="shared" si="0"/>
        <v>0</v>
      </c>
      <c r="H34" s="209" t="e">
        <f t="shared" si="1"/>
        <v>#DIV/0!</v>
      </c>
      <c r="I34" s="125">
        <f t="shared" si="2"/>
        <v>0</v>
      </c>
      <c r="J34" s="125"/>
      <c r="K34" s="125"/>
      <c r="L34" s="125">
        <f t="shared" si="3"/>
        <v>0</v>
      </c>
      <c r="M34" s="125">
        <f t="shared" si="4"/>
        <v>0</v>
      </c>
      <c r="N34" s="125">
        <f t="shared" si="5"/>
        <v>0</v>
      </c>
      <c r="O34" s="125">
        <f t="shared" si="9"/>
        <v>0</v>
      </c>
      <c r="P34" s="125">
        <f t="shared" si="6"/>
        <v>0</v>
      </c>
    </row>
    <row r="35" spans="1:16" x14ac:dyDescent="0.25">
      <c r="A35" s="124" t="s">
        <v>7675</v>
      </c>
      <c r="B35" s="125">
        <v>6000</v>
      </c>
      <c r="C35" s="125">
        <v>3425.52</v>
      </c>
      <c r="D35" s="125">
        <f t="shared" si="7"/>
        <v>5640</v>
      </c>
      <c r="E35" s="125">
        <v>6000</v>
      </c>
      <c r="F35" s="125">
        <f t="shared" si="8"/>
        <v>2574.48</v>
      </c>
      <c r="G35" s="125">
        <f t="shared" si="0"/>
        <v>-360</v>
      </c>
      <c r="H35" s="209">
        <f t="shared" si="1"/>
        <v>-0.06</v>
      </c>
      <c r="I35" s="125">
        <f t="shared" si="2"/>
        <v>954.2879999999999</v>
      </c>
      <c r="J35" s="125"/>
      <c r="K35" s="125"/>
      <c r="L35" s="125">
        <f t="shared" si="3"/>
        <v>81.78</v>
      </c>
      <c r="M35" s="125">
        <f t="shared" si="4"/>
        <v>69.372</v>
      </c>
      <c r="N35" s="125">
        <f t="shared" si="5"/>
        <v>106.64112</v>
      </c>
      <c r="O35" s="125">
        <f t="shared" si="9"/>
        <v>1212.0811200000001</v>
      </c>
      <c r="P35" s="125">
        <f t="shared" si="6"/>
        <v>6852.0811199999998</v>
      </c>
    </row>
    <row r="36" spans="1:16" x14ac:dyDescent="0.25">
      <c r="A36" s="124" t="s">
        <v>7676</v>
      </c>
      <c r="B36" s="125">
        <v>111716</v>
      </c>
      <c r="C36" s="125">
        <v>63391.98</v>
      </c>
      <c r="D36" s="125">
        <f t="shared" si="7"/>
        <v>93733</v>
      </c>
      <c r="E36" s="125">
        <v>99716</v>
      </c>
      <c r="F36" s="125">
        <f t="shared" si="8"/>
        <v>48324.02</v>
      </c>
      <c r="G36" s="125">
        <f t="shared" si="0"/>
        <v>-17983</v>
      </c>
      <c r="H36" s="209">
        <f t="shared" si="1"/>
        <v>-0.160970675641806</v>
      </c>
      <c r="I36" s="125">
        <f t="shared" ref="I36:I67" si="10">+$D36*$I$1</f>
        <v>15859.623599999999</v>
      </c>
      <c r="J36" s="125"/>
      <c r="K36" s="125"/>
      <c r="L36" s="125">
        <f t="shared" ref="L36:L67" si="11">+$D36*$L$1</f>
        <v>1359.1285</v>
      </c>
      <c r="M36" s="125">
        <f t="shared" ref="M36:M67" si="12">+$D36*$M$1</f>
        <v>1152.9159</v>
      </c>
      <c r="N36" s="125">
        <f t="shared" ref="N36:N67" si="13">+$D36*$N$1</f>
        <v>1772.3035640000001</v>
      </c>
      <c r="O36" s="125">
        <f t="shared" si="9"/>
        <v>20143.971563999999</v>
      </c>
      <c r="P36" s="125">
        <f t="shared" ref="P36:P67" si="14">+D36+O36</f>
        <v>113876.97156400001</v>
      </c>
    </row>
    <row r="37" spans="1:16" x14ac:dyDescent="0.25">
      <c r="A37" s="124" t="s">
        <v>7677</v>
      </c>
      <c r="B37" s="125">
        <v>17658</v>
      </c>
      <c r="C37" s="125">
        <v>4171.5</v>
      </c>
      <c r="D37" s="125">
        <f t="shared" si="7"/>
        <v>11280</v>
      </c>
      <c r="E37" s="125">
        <v>12000</v>
      </c>
      <c r="F37" s="125">
        <f t="shared" si="8"/>
        <v>13486.5</v>
      </c>
      <c r="G37" s="125">
        <f t="shared" si="0"/>
        <v>-6378</v>
      </c>
      <c r="H37" s="209">
        <f t="shared" si="1"/>
        <v>-0.36119605844376484</v>
      </c>
      <c r="I37" s="125">
        <f t="shared" si="10"/>
        <v>1908.5759999999998</v>
      </c>
      <c r="J37" s="125"/>
      <c r="K37" s="125"/>
      <c r="L37" s="125">
        <f t="shared" si="11"/>
        <v>163.56</v>
      </c>
      <c r="M37" s="125">
        <f t="shared" si="12"/>
        <v>138.744</v>
      </c>
      <c r="N37" s="125">
        <f t="shared" si="13"/>
        <v>213.28224</v>
      </c>
      <c r="O37" s="125">
        <f t="shared" si="9"/>
        <v>2424.1622400000001</v>
      </c>
      <c r="P37" s="125">
        <f t="shared" si="14"/>
        <v>13704.16224</v>
      </c>
    </row>
    <row r="38" spans="1:16" x14ac:dyDescent="0.25">
      <c r="A38" s="124" t="s">
        <v>7678</v>
      </c>
      <c r="B38" s="125">
        <v>0</v>
      </c>
      <c r="C38" s="125">
        <v>2291.62</v>
      </c>
      <c r="D38" s="125">
        <f t="shared" si="7"/>
        <v>2820</v>
      </c>
      <c r="E38" s="125">
        <v>3000</v>
      </c>
      <c r="F38" s="125">
        <f t="shared" si="8"/>
        <v>-2291.62</v>
      </c>
      <c r="G38" s="125">
        <f t="shared" si="0"/>
        <v>2820</v>
      </c>
      <c r="H38" s="209" t="e">
        <f t="shared" si="1"/>
        <v>#DIV/0!</v>
      </c>
      <c r="I38" s="125">
        <f t="shared" si="10"/>
        <v>477.14399999999995</v>
      </c>
      <c r="J38" s="125"/>
      <c r="K38" s="125"/>
      <c r="L38" s="125">
        <f t="shared" si="11"/>
        <v>40.89</v>
      </c>
      <c r="M38" s="125">
        <f t="shared" si="12"/>
        <v>34.686</v>
      </c>
      <c r="N38" s="125">
        <f t="shared" si="13"/>
        <v>53.32056</v>
      </c>
      <c r="O38" s="125">
        <f t="shared" si="9"/>
        <v>606.04056000000003</v>
      </c>
      <c r="P38" s="125">
        <f t="shared" si="14"/>
        <v>3426.0405599999999</v>
      </c>
    </row>
    <row r="39" spans="1:16" x14ac:dyDescent="0.25">
      <c r="A39" s="124" t="s">
        <v>7679</v>
      </c>
      <c r="B39" s="125">
        <v>32521</v>
      </c>
      <c r="C39" s="125">
        <v>8510.0400000000009</v>
      </c>
      <c r="D39" s="125">
        <f t="shared" si="7"/>
        <v>30570</v>
      </c>
      <c r="E39" s="1">
        <v>32521</v>
      </c>
      <c r="F39" s="125">
        <f t="shared" si="8"/>
        <v>24010.959999999999</v>
      </c>
      <c r="G39" s="125">
        <f t="shared" si="0"/>
        <v>-1951</v>
      </c>
      <c r="H39" s="209">
        <f t="shared" si="1"/>
        <v>-5.9992005165892807E-2</v>
      </c>
      <c r="I39" s="125">
        <f t="shared" si="10"/>
        <v>5172.4439999999995</v>
      </c>
      <c r="J39" s="125"/>
      <c r="K39" s="125"/>
      <c r="L39" s="125">
        <f t="shared" si="11"/>
        <v>443.26500000000004</v>
      </c>
      <c r="M39" s="125">
        <f t="shared" si="12"/>
        <v>376.01100000000002</v>
      </c>
      <c r="N39" s="125">
        <f t="shared" si="13"/>
        <v>578.01756</v>
      </c>
      <c r="O39" s="125">
        <f t="shared" si="9"/>
        <v>6569.7375600000005</v>
      </c>
      <c r="P39" s="125">
        <f t="shared" si="14"/>
        <v>37139.737560000001</v>
      </c>
    </row>
    <row r="40" spans="1:16" x14ac:dyDescent="0.25">
      <c r="A40" s="124" t="s">
        <v>7680</v>
      </c>
      <c r="B40" s="125">
        <v>25000</v>
      </c>
      <c r="C40" s="125">
        <v>13978.39</v>
      </c>
      <c r="D40" s="125">
        <f t="shared" si="7"/>
        <v>25888</v>
      </c>
      <c r="E40" s="125">
        <v>27540</v>
      </c>
      <c r="F40" s="125">
        <f t="shared" si="8"/>
        <v>11021.61</v>
      </c>
      <c r="G40" s="125">
        <f t="shared" si="0"/>
        <v>888</v>
      </c>
      <c r="H40" s="209">
        <f t="shared" si="1"/>
        <v>3.5520000000000003E-2</v>
      </c>
      <c r="I40" s="125">
        <f t="shared" si="10"/>
        <v>4380.2496000000001</v>
      </c>
      <c r="J40" s="125"/>
      <c r="K40" s="125"/>
      <c r="L40" s="125">
        <f t="shared" si="11"/>
        <v>375.37600000000003</v>
      </c>
      <c r="M40" s="125">
        <f t="shared" si="12"/>
        <v>318.42239999999998</v>
      </c>
      <c r="N40" s="125">
        <f t="shared" si="13"/>
        <v>489.49030400000004</v>
      </c>
      <c r="O40" s="125">
        <f t="shared" si="9"/>
        <v>5563.5383040000006</v>
      </c>
      <c r="P40" s="125">
        <f t="shared" si="14"/>
        <v>31451.538304000002</v>
      </c>
    </row>
    <row r="41" spans="1:16" x14ac:dyDescent="0.25">
      <c r="A41" s="124" t="s">
        <v>7681</v>
      </c>
      <c r="B41" s="125">
        <v>34380</v>
      </c>
      <c r="C41" s="125">
        <v>15661.66</v>
      </c>
      <c r="D41" s="125">
        <f t="shared" si="7"/>
        <v>32317</v>
      </c>
      <c r="E41" s="125">
        <v>34380</v>
      </c>
      <c r="F41" s="125">
        <f t="shared" si="8"/>
        <v>18718.34</v>
      </c>
      <c r="G41" s="125">
        <f t="shared" si="0"/>
        <v>-2063</v>
      </c>
      <c r="H41" s="209">
        <f t="shared" si="1"/>
        <v>-6.0005817335660266E-2</v>
      </c>
      <c r="I41" s="125">
        <f t="shared" si="10"/>
        <v>5468.0364</v>
      </c>
      <c r="J41" s="125"/>
      <c r="K41" s="125"/>
      <c r="L41" s="125">
        <f t="shared" si="11"/>
        <v>468.59650000000005</v>
      </c>
      <c r="M41" s="125">
        <f t="shared" si="12"/>
        <v>397.4991</v>
      </c>
      <c r="N41" s="125">
        <f t="shared" si="13"/>
        <v>611.04983600000003</v>
      </c>
      <c r="O41" s="125">
        <f t="shared" si="9"/>
        <v>6945.1818359999997</v>
      </c>
      <c r="P41" s="125">
        <f t="shared" si="14"/>
        <v>39262.181836000003</v>
      </c>
    </row>
    <row r="42" spans="1:16" x14ac:dyDescent="0.25">
      <c r="A42" s="124" t="s">
        <v>7682</v>
      </c>
      <c r="B42" s="125">
        <v>36528</v>
      </c>
      <c r="C42" s="125">
        <v>18771.22</v>
      </c>
      <c r="D42" s="125">
        <f t="shared" si="7"/>
        <v>34579</v>
      </c>
      <c r="E42" s="125">
        <v>36786.095999999998</v>
      </c>
      <c r="F42" s="125">
        <f t="shared" si="8"/>
        <v>17756.78</v>
      </c>
      <c r="G42" s="125">
        <f t="shared" si="0"/>
        <v>-1949</v>
      </c>
      <c r="H42" s="209">
        <f t="shared" si="1"/>
        <v>-5.3356329391151994E-2</v>
      </c>
      <c r="I42" s="125">
        <f t="shared" si="10"/>
        <v>5850.7667999999994</v>
      </c>
      <c r="J42" s="125"/>
      <c r="K42" s="125"/>
      <c r="L42" s="125">
        <f t="shared" si="11"/>
        <v>501.39550000000003</v>
      </c>
      <c r="M42" s="125">
        <f t="shared" si="12"/>
        <v>425.32170000000002</v>
      </c>
      <c r="N42" s="125">
        <f t="shared" si="13"/>
        <v>653.81973200000004</v>
      </c>
      <c r="O42" s="125">
        <f t="shared" si="9"/>
        <v>7431.3037319999994</v>
      </c>
      <c r="P42" s="125">
        <f t="shared" si="14"/>
        <v>42010.303732</v>
      </c>
    </row>
    <row r="43" spans="1:16" x14ac:dyDescent="0.25">
      <c r="A43" s="124" t="s">
        <v>7683</v>
      </c>
      <c r="B43" s="125">
        <v>13381</v>
      </c>
      <c r="C43" s="125">
        <v>0</v>
      </c>
      <c r="D43" s="125">
        <f t="shared" si="7"/>
        <v>2350</v>
      </c>
      <c r="E43" s="125">
        <v>2500</v>
      </c>
      <c r="F43" s="125">
        <f t="shared" si="8"/>
        <v>13381</v>
      </c>
      <c r="G43" s="125">
        <f t="shared" si="0"/>
        <v>-11031</v>
      </c>
      <c r="H43" s="209">
        <f t="shared" si="1"/>
        <v>-0.8243778491891488</v>
      </c>
      <c r="I43" s="125">
        <f t="shared" si="10"/>
        <v>397.61999999999995</v>
      </c>
      <c r="J43" s="125"/>
      <c r="K43" s="125"/>
      <c r="L43" s="125">
        <f t="shared" si="11"/>
        <v>34.075000000000003</v>
      </c>
      <c r="M43" s="125">
        <f t="shared" si="12"/>
        <v>28.905000000000001</v>
      </c>
      <c r="N43" s="125">
        <f t="shared" si="13"/>
        <v>44.433800000000005</v>
      </c>
      <c r="O43" s="125">
        <f t="shared" si="9"/>
        <v>505.03379999999993</v>
      </c>
      <c r="P43" s="125">
        <f t="shared" si="14"/>
        <v>2855.0338000000002</v>
      </c>
    </row>
    <row r="44" spans="1:16" x14ac:dyDescent="0.25">
      <c r="A44" s="124" t="s">
        <v>7684</v>
      </c>
      <c r="B44" s="125">
        <v>10000</v>
      </c>
      <c r="C44" s="125">
        <v>0</v>
      </c>
      <c r="D44" s="125">
        <f t="shared" si="7"/>
        <v>15255</v>
      </c>
      <c r="E44" s="125">
        <v>16229.16</v>
      </c>
      <c r="F44" s="125">
        <f t="shared" si="8"/>
        <v>10000</v>
      </c>
      <c r="G44" s="125">
        <f t="shared" si="0"/>
        <v>5255</v>
      </c>
      <c r="H44" s="209">
        <f t="shared" si="1"/>
        <v>0.52549999999999997</v>
      </c>
      <c r="I44" s="125">
        <f t="shared" si="10"/>
        <v>2581.1459999999997</v>
      </c>
      <c r="J44" s="125"/>
      <c r="K44" s="125"/>
      <c r="L44" s="125">
        <f t="shared" si="11"/>
        <v>221.19750000000002</v>
      </c>
      <c r="M44" s="125">
        <f t="shared" si="12"/>
        <v>187.63650000000001</v>
      </c>
      <c r="N44" s="125">
        <f t="shared" si="13"/>
        <v>288.44154000000003</v>
      </c>
      <c r="O44" s="125">
        <f t="shared" si="9"/>
        <v>3278.4215400000003</v>
      </c>
      <c r="P44" s="125">
        <f t="shared" si="14"/>
        <v>18533.421539999999</v>
      </c>
    </row>
    <row r="45" spans="1:16" x14ac:dyDescent="0.25">
      <c r="A45" s="124" t="s">
        <v>7685</v>
      </c>
      <c r="B45" s="125">
        <v>7000</v>
      </c>
      <c r="C45" s="125">
        <v>0</v>
      </c>
      <c r="D45" s="125">
        <f t="shared" si="7"/>
        <v>6580</v>
      </c>
      <c r="E45" s="125">
        <v>7000</v>
      </c>
      <c r="F45" s="125">
        <f t="shared" si="8"/>
        <v>7000</v>
      </c>
      <c r="G45" s="125">
        <f t="shared" si="0"/>
        <v>-420</v>
      </c>
      <c r="H45" s="209">
        <f t="shared" si="1"/>
        <v>-0.06</v>
      </c>
      <c r="I45" s="125">
        <f t="shared" si="10"/>
        <v>1113.336</v>
      </c>
      <c r="J45" s="125"/>
      <c r="K45" s="125"/>
      <c r="L45" s="125">
        <f t="shared" si="11"/>
        <v>95.410000000000011</v>
      </c>
      <c r="M45" s="125">
        <f t="shared" si="12"/>
        <v>80.933999999999997</v>
      </c>
      <c r="N45" s="125">
        <f t="shared" si="13"/>
        <v>124.41464000000001</v>
      </c>
      <c r="O45" s="125">
        <f t="shared" si="9"/>
        <v>1414.09464</v>
      </c>
      <c r="P45" s="125">
        <f t="shared" si="14"/>
        <v>7994.0946400000003</v>
      </c>
    </row>
    <row r="46" spans="1:16" x14ac:dyDescent="0.25">
      <c r="A46" s="124" t="s">
        <v>7686</v>
      </c>
      <c r="B46" s="125">
        <v>6000</v>
      </c>
      <c r="C46" s="125">
        <v>1432.26</v>
      </c>
      <c r="D46" s="125">
        <f t="shared" si="7"/>
        <v>5696</v>
      </c>
      <c r="E46" s="125">
        <v>6060</v>
      </c>
      <c r="F46" s="125">
        <f t="shared" si="8"/>
        <v>4567.74</v>
      </c>
      <c r="G46" s="125">
        <f t="shared" si="0"/>
        <v>-304</v>
      </c>
      <c r="H46" s="209">
        <f t="shared" si="1"/>
        <v>-5.0666666666666665E-2</v>
      </c>
      <c r="I46" s="125">
        <f t="shared" si="10"/>
        <v>963.76319999999998</v>
      </c>
      <c r="J46" s="125"/>
      <c r="K46" s="125"/>
      <c r="L46" s="125">
        <f t="shared" si="11"/>
        <v>82.591999999999999</v>
      </c>
      <c r="M46" s="125">
        <f t="shared" si="12"/>
        <v>70.0608</v>
      </c>
      <c r="N46" s="125">
        <f t="shared" si="13"/>
        <v>107.69996800000001</v>
      </c>
      <c r="O46" s="125">
        <f t="shared" si="9"/>
        <v>1224.1159680000001</v>
      </c>
      <c r="P46" s="125">
        <f t="shared" si="14"/>
        <v>6920.1159680000001</v>
      </c>
    </row>
    <row r="47" spans="1:16" x14ac:dyDescent="0.25">
      <c r="A47" s="124" t="s">
        <v>7687</v>
      </c>
      <c r="B47" s="125">
        <v>71000</v>
      </c>
      <c r="C47" s="125">
        <v>50980.49</v>
      </c>
      <c r="D47" s="125">
        <f t="shared" si="7"/>
        <v>67407</v>
      </c>
      <c r="E47" s="125">
        <v>71710</v>
      </c>
      <c r="F47" s="125">
        <f t="shared" si="8"/>
        <v>20019.510000000002</v>
      </c>
      <c r="G47" s="125">
        <f t="shared" si="0"/>
        <v>-3593</v>
      </c>
      <c r="H47" s="209">
        <f t="shared" si="1"/>
        <v>-5.06056338028169E-2</v>
      </c>
      <c r="I47" s="125">
        <f t="shared" si="10"/>
        <v>11405.2644</v>
      </c>
      <c r="J47" s="125"/>
      <c r="K47" s="125"/>
      <c r="L47" s="125">
        <f t="shared" si="11"/>
        <v>977.40150000000006</v>
      </c>
      <c r="M47" s="125">
        <f t="shared" si="12"/>
        <v>829.10609999999997</v>
      </c>
      <c r="N47" s="125">
        <f t="shared" si="13"/>
        <v>1274.5315560000001</v>
      </c>
      <c r="O47" s="125">
        <f t="shared" si="9"/>
        <v>14486.303556000001</v>
      </c>
      <c r="P47" s="125">
        <f t="shared" si="14"/>
        <v>81893.303555999999</v>
      </c>
    </row>
    <row r="48" spans="1:16" x14ac:dyDescent="0.25">
      <c r="A48" s="124" t="s">
        <v>7688</v>
      </c>
      <c r="B48" s="125">
        <v>35000</v>
      </c>
      <c r="C48" s="125">
        <v>26138.93</v>
      </c>
      <c r="D48" s="125">
        <f t="shared" si="7"/>
        <v>33229</v>
      </c>
      <c r="E48" s="125">
        <v>35350</v>
      </c>
      <c r="F48" s="125">
        <f t="shared" si="8"/>
        <v>8861.07</v>
      </c>
      <c r="G48" s="125">
        <f t="shared" si="0"/>
        <v>-1771</v>
      </c>
      <c r="H48" s="209">
        <f t="shared" si="1"/>
        <v>-5.0599999999999999E-2</v>
      </c>
      <c r="I48" s="125">
        <f t="shared" si="10"/>
        <v>5622.3467999999993</v>
      </c>
      <c r="J48" s="125"/>
      <c r="K48" s="125"/>
      <c r="L48" s="125">
        <f t="shared" si="11"/>
        <v>481.82050000000004</v>
      </c>
      <c r="M48" s="125">
        <f t="shared" si="12"/>
        <v>408.7167</v>
      </c>
      <c r="N48" s="125">
        <f t="shared" si="13"/>
        <v>628.29393200000004</v>
      </c>
      <c r="O48" s="125">
        <f t="shared" si="9"/>
        <v>7141.1779319999987</v>
      </c>
      <c r="P48" s="125">
        <f t="shared" si="14"/>
        <v>40370.177931999999</v>
      </c>
    </row>
    <row r="49" spans="1:16" x14ac:dyDescent="0.25">
      <c r="A49" s="124" t="s">
        <v>7689</v>
      </c>
      <c r="B49" s="125">
        <v>7600</v>
      </c>
      <c r="C49" s="125">
        <v>6352.64</v>
      </c>
      <c r="D49" s="125">
        <f t="shared" si="7"/>
        <v>7215</v>
      </c>
      <c r="E49" s="125">
        <v>7676</v>
      </c>
      <c r="F49" s="125">
        <f t="shared" si="8"/>
        <v>1247.3599999999997</v>
      </c>
      <c r="G49" s="125">
        <f t="shared" si="0"/>
        <v>-385</v>
      </c>
      <c r="H49" s="209">
        <f t="shared" si="1"/>
        <v>-5.0657894736842103E-2</v>
      </c>
      <c r="I49" s="125">
        <f t="shared" si="10"/>
        <v>1220.778</v>
      </c>
      <c r="J49" s="125"/>
      <c r="K49" s="125"/>
      <c r="L49" s="125">
        <f t="shared" si="11"/>
        <v>104.61750000000001</v>
      </c>
      <c r="M49" s="125">
        <f t="shared" si="12"/>
        <v>88.744500000000002</v>
      </c>
      <c r="N49" s="125">
        <f t="shared" si="13"/>
        <v>136.42122000000001</v>
      </c>
      <c r="O49" s="125">
        <f t="shared" si="9"/>
        <v>1550.56122</v>
      </c>
      <c r="P49" s="125">
        <f t="shared" si="14"/>
        <v>8765.5612199999996</v>
      </c>
    </row>
    <row r="50" spans="1:16" x14ac:dyDescent="0.25">
      <c r="A50" s="124" t="s">
        <v>7690</v>
      </c>
      <c r="B50" s="125">
        <v>0</v>
      </c>
      <c r="C50" s="125">
        <v>1373.6</v>
      </c>
      <c r="D50" s="125">
        <f t="shared" si="7"/>
        <v>1880</v>
      </c>
      <c r="E50" s="125">
        <v>2000</v>
      </c>
      <c r="F50" s="125">
        <f t="shared" si="8"/>
        <v>-1373.6</v>
      </c>
      <c r="G50" s="125">
        <f t="shared" si="0"/>
        <v>1880</v>
      </c>
      <c r="H50" s="209" t="e">
        <f t="shared" si="1"/>
        <v>#DIV/0!</v>
      </c>
      <c r="I50" s="125">
        <f t="shared" si="10"/>
        <v>318.096</v>
      </c>
      <c r="J50" s="125"/>
      <c r="K50" s="125"/>
      <c r="L50" s="125">
        <f t="shared" si="11"/>
        <v>27.26</v>
      </c>
      <c r="M50" s="125">
        <f t="shared" si="12"/>
        <v>23.123999999999999</v>
      </c>
      <c r="N50" s="125">
        <f t="shared" si="13"/>
        <v>35.547040000000003</v>
      </c>
      <c r="O50" s="125">
        <f t="shared" si="9"/>
        <v>404.02704</v>
      </c>
      <c r="P50" s="125">
        <f t="shared" si="14"/>
        <v>2284.0270399999999</v>
      </c>
    </row>
    <row r="51" spans="1:16" x14ac:dyDescent="0.25">
      <c r="A51" s="124" t="s">
        <v>7691</v>
      </c>
      <c r="B51" s="125">
        <v>148000</v>
      </c>
      <c r="C51" s="125">
        <v>69534.53</v>
      </c>
      <c r="D51" s="125">
        <f t="shared" si="7"/>
        <v>139120</v>
      </c>
      <c r="E51" s="125">
        <v>148000</v>
      </c>
      <c r="F51" s="125">
        <f t="shared" si="8"/>
        <v>78465.47</v>
      </c>
      <c r="G51" s="125">
        <f t="shared" si="0"/>
        <v>-8880</v>
      </c>
      <c r="H51" s="209">
        <f t="shared" si="1"/>
        <v>-0.06</v>
      </c>
      <c r="I51" s="125">
        <f t="shared" si="10"/>
        <v>23539.103999999999</v>
      </c>
      <c r="J51" s="125"/>
      <c r="K51" s="125"/>
      <c r="L51" s="125">
        <f t="shared" si="11"/>
        <v>2017.24</v>
      </c>
      <c r="M51" s="125">
        <f t="shared" si="12"/>
        <v>1711.1759999999999</v>
      </c>
      <c r="N51" s="125">
        <f t="shared" si="13"/>
        <v>2630.4809600000003</v>
      </c>
      <c r="O51" s="125">
        <f t="shared" si="9"/>
        <v>29898.000960000001</v>
      </c>
      <c r="P51" s="125">
        <f t="shared" si="14"/>
        <v>169018.00096</v>
      </c>
    </row>
    <row r="52" spans="1:16" s="120" customFormat="1" x14ac:dyDescent="0.25">
      <c r="A52" s="122" t="s">
        <v>7692</v>
      </c>
      <c r="B52" s="123">
        <f>SUM(B4:B51)</f>
        <v>1247417</v>
      </c>
      <c r="C52" s="123">
        <f t="shared" ref="C52:D52" si="15">SUM(C4:C51)</f>
        <v>868548.42</v>
      </c>
      <c r="D52" s="123">
        <f t="shared" si="15"/>
        <v>1251124</v>
      </c>
      <c r="E52" s="123">
        <v>1330983.0109999999</v>
      </c>
      <c r="F52" s="125">
        <f t="shared" si="8"/>
        <v>378868.57999999996</v>
      </c>
      <c r="G52" s="125">
        <f t="shared" si="0"/>
        <v>3707</v>
      </c>
      <c r="H52" s="209">
        <f t="shared" si="1"/>
        <v>2.9717408051998652E-3</v>
      </c>
      <c r="I52" s="123">
        <f t="shared" si="10"/>
        <v>211690.18079999997</v>
      </c>
      <c r="J52" s="123"/>
      <c r="K52" s="123"/>
      <c r="L52" s="123">
        <f t="shared" si="11"/>
        <v>18141.298000000003</v>
      </c>
      <c r="M52" s="123">
        <f t="shared" si="12"/>
        <v>15388.825199999999</v>
      </c>
      <c r="N52" s="123">
        <f t="shared" si="13"/>
        <v>23656.252592000001</v>
      </c>
      <c r="O52" s="123">
        <f t="shared" si="9"/>
        <v>268876.55659199995</v>
      </c>
      <c r="P52" s="123">
        <f t="shared" si="14"/>
        <v>1520000.5565919999</v>
      </c>
    </row>
    <row r="53" spans="1:16" x14ac:dyDescent="0.25">
      <c r="A53" s="122">
        <v>51311</v>
      </c>
      <c r="B53" s="123"/>
      <c r="C53" s="123"/>
      <c r="D53" s="123"/>
      <c r="E53" s="123"/>
      <c r="H53" s="209"/>
      <c r="I53" s="125">
        <f t="shared" si="10"/>
        <v>0</v>
      </c>
      <c r="L53" s="125">
        <f t="shared" si="11"/>
        <v>0</v>
      </c>
      <c r="M53" s="125">
        <f t="shared" si="12"/>
        <v>0</v>
      </c>
      <c r="N53" s="125">
        <f t="shared" si="13"/>
        <v>0</v>
      </c>
      <c r="O53" s="125">
        <f t="shared" si="9"/>
        <v>0</v>
      </c>
      <c r="P53" s="125">
        <f t="shared" si="14"/>
        <v>0</v>
      </c>
    </row>
    <row r="54" spans="1:16" x14ac:dyDescent="0.25">
      <c r="A54" s="124" t="s">
        <v>7693</v>
      </c>
      <c r="B54" s="125">
        <v>0</v>
      </c>
      <c r="C54" s="125">
        <v>624.05999999999995</v>
      </c>
      <c r="D54" s="125">
        <v>0</v>
      </c>
      <c r="F54" s="125">
        <f t="shared" si="8"/>
        <v>-624.05999999999995</v>
      </c>
      <c r="G54" s="125">
        <f t="shared" si="0"/>
        <v>0</v>
      </c>
      <c r="H54" s="209" t="e">
        <f t="shared" si="1"/>
        <v>#DIV/0!</v>
      </c>
      <c r="I54" s="125">
        <f t="shared" si="10"/>
        <v>0</v>
      </c>
      <c r="J54" s="125"/>
      <c r="K54" s="125"/>
      <c r="L54" s="125">
        <f t="shared" si="11"/>
        <v>0</v>
      </c>
      <c r="M54" s="125">
        <f t="shared" si="12"/>
        <v>0</v>
      </c>
      <c r="N54" s="125">
        <f t="shared" si="13"/>
        <v>0</v>
      </c>
      <c r="O54" s="125">
        <f t="shared" ref="O54:O117" si="16">SUM(I54:N54)</f>
        <v>0</v>
      </c>
      <c r="P54" s="125">
        <f t="shared" si="14"/>
        <v>0</v>
      </c>
    </row>
    <row r="55" spans="1:16" x14ac:dyDescent="0.25">
      <c r="A55" s="124" t="s">
        <v>7694</v>
      </c>
      <c r="B55" s="125">
        <v>32269</v>
      </c>
      <c r="C55" s="125">
        <v>19822.93</v>
      </c>
      <c r="D55" s="125">
        <v>32269</v>
      </c>
      <c r="E55" s="125">
        <v>32269</v>
      </c>
      <c r="F55" s="125">
        <f t="shared" si="8"/>
        <v>12446.07</v>
      </c>
      <c r="G55" s="125">
        <f t="shared" si="0"/>
        <v>0</v>
      </c>
      <c r="H55" s="209">
        <f t="shared" si="1"/>
        <v>0</v>
      </c>
      <c r="I55" s="125">
        <f t="shared" si="10"/>
        <v>5459.9147999999996</v>
      </c>
      <c r="J55" s="125"/>
      <c r="K55" s="125"/>
      <c r="L55" s="125">
        <f t="shared" si="11"/>
        <v>467.90050000000002</v>
      </c>
      <c r="M55" s="125">
        <f t="shared" si="12"/>
        <v>396.90870000000001</v>
      </c>
      <c r="N55" s="125">
        <f t="shared" si="13"/>
        <v>610.14225199999998</v>
      </c>
      <c r="O55" s="125">
        <f t="shared" si="16"/>
        <v>6934.8662519999989</v>
      </c>
      <c r="P55" s="125">
        <f t="shared" si="14"/>
        <v>39203.866252</v>
      </c>
    </row>
    <row r="56" spans="1:16" x14ac:dyDescent="0.25">
      <c r="A56" s="124" t="s">
        <v>7695</v>
      </c>
      <c r="B56" s="125">
        <v>21502</v>
      </c>
      <c r="C56" s="125">
        <v>20982.240000000002</v>
      </c>
      <c r="D56" s="125">
        <v>21502</v>
      </c>
      <c r="E56" s="125">
        <v>21502</v>
      </c>
      <c r="F56" s="125">
        <f t="shared" si="8"/>
        <v>519.7599999999984</v>
      </c>
      <c r="G56" s="125">
        <f t="shared" si="0"/>
        <v>0</v>
      </c>
      <c r="H56" s="209">
        <f t="shared" si="1"/>
        <v>0</v>
      </c>
      <c r="I56" s="125">
        <f t="shared" si="10"/>
        <v>3638.1383999999998</v>
      </c>
      <c r="J56" s="125"/>
      <c r="K56" s="125"/>
      <c r="L56" s="125">
        <f t="shared" si="11"/>
        <v>311.779</v>
      </c>
      <c r="M56" s="125">
        <f t="shared" si="12"/>
        <v>264.47460000000001</v>
      </c>
      <c r="N56" s="125">
        <f t="shared" si="13"/>
        <v>406.55981600000001</v>
      </c>
      <c r="O56" s="125">
        <f t="shared" si="16"/>
        <v>4620.9518159999998</v>
      </c>
      <c r="P56" s="125">
        <f t="shared" si="14"/>
        <v>26122.951816000001</v>
      </c>
    </row>
    <row r="57" spans="1:16" x14ac:dyDescent="0.25">
      <c r="A57" s="124" t="s">
        <v>7696</v>
      </c>
      <c r="B57" s="125">
        <v>24352</v>
      </c>
      <c r="C57" s="125">
        <v>15583.3</v>
      </c>
      <c r="D57" s="125">
        <v>24352</v>
      </c>
      <c r="E57" s="125">
        <v>24352</v>
      </c>
      <c r="F57" s="125">
        <f t="shared" si="8"/>
        <v>8768.7000000000007</v>
      </c>
      <c r="G57" s="125">
        <f t="shared" si="0"/>
        <v>0</v>
      </c>
      <c r="H57" s="209">
        <f t="shared" si="1"/>
        <v>0</v>
      </c>
      <c r="I57" s="125">
        <f t="shared" si="10"/>
        <v>4120.3584000000001</v>
      </c>
      <c r="J57" s="125"/>
      <c r="K57" s="125"/>
      <c r="L57" s="125">
        <f t="shared" si="11"/>
        <v>353.10400000000004</v>
      </c>
      <c r="M57" s="125">
        <f t="shared" si="12"/>
        <v>299.52960000000002</v>
      </c>
      <c r="N57" s="125">
        <f t="shared" si="13"/>
        <v>460.44761600000004</v>
      </c>
      <c r="O57" s="125">
        <f t="shared" si="16"/>
        <v>5233.4396160000006</v>
      </c>
      <c r="P57" s="125">
        <f t="shared" si="14"/>
        <v>29585.439616</v>
      </c>
    </row>
    <row r="58" spans="1:16" x14ac:dyDescent="0.25">
      <c r="A58" s="124" t="s">
        <v>7697</v>
      </c>
      <c r="B58" s="125">
        <v>6738</v>
      </c>
      <c r="C58" s="125">
        <v>0</v>
      </c>
      <c r="D58" s="125">
        <v>6738</v>
      </c>
      <c r="E58" s="125">
        <v>6738</v>
      </c>
      <c r="F58" s="125">
        <f t="shared" si="8"/>
        <v>6738</v>
      </c>
      <c r="G58" s="125">
        <f t="shared" si="0"/>
        <v>0</v>
      </c>
      <c r="H58" s="209">
        <f t="shared" si="1"/>
        <v>0</v>
      </c>
      <c r="I58" s="125">
        <f t="shared" si="10"/>
        <v>1140.0696</v>
      </c>
      <c r="J58" s="125"/>
      <c r="K58" s="125"/>
      <c r="L58" s="125">
        <f t="shared" si="11"/>
        <v>97.701000000000008</v>
      </c>
      <c r="M58" s="125">
        <f t="shared" si="12"/>
        <v>82.877399999999994</v>
      </c>
      <c r="N58" s="125">
        <f t="shared" si="13"/>
        <v>127.40210400000001</v>
      </c>
      <c r="O58" s="125">
        <f t="shared" si="16"/>
        <v>1448.0501040000001</v>
      </c>
      <c r="P58" s="125">
        <f t="shared" si="14"/>
        <v>8186.0501039999999</v>
      </c>
    </row>
    <row r="59" spans="1:16" x14ac:dyDescent="0.25">
      <c r="A59" s="124" t="s">
        <v>7698</v>
      </c>
      <c r="B59" s="125">
        <v>21635</v>
      </c>
      <c r="C59" s="125">
        <v>5216.3999999999996</v>
      </c>
      <c r="D59" s="125">
        <v>21635</v>
      </c>
      <c r="E59" s="125">
        <v>21635</v>
      </c>
      <c r="F59" s="125">
        <f t="shared" si="8"/>
        <v>16418.599999999999</v>
      </c>
      <c r="G59" s="125">
        <f t="shared" si="0"/>
        <v>0</v>
      </c>
      <c r="H59" s="209">
        <f t="shared" si="1"/>
        <v>0</v>
      </c>
      <c r="I59" s="125">
        <f t="shared" si="10"/>
        <v>3660.6419999999998</v>
      </c>
      <c r="J59" s="125"/>
      <c r="K59" s="125"/>
      <c r="L59" s="125">
        <f t="shared" si="11"/>
        <v>313.70750000000004</v>
      </c>
      <c r="M59" s="125">
        <f t="shared" si="12"/>
        <v>266.1105</v>
      </c>
      <c r="N59" s="125">
        <f t="shared" si="13"/>
        <v>409.07458000000003</v>
      </c>
      <c r="O59" s="125">
        <f t="shared" si="16"/>
        <v>4649.5345800000005</v>
      </c>
      <c r="P59" s="125">
        <f t="shared" si="14"/>
        <v>26284.53458</v>
      </c>
    </row>
    <row r="60" spans="1:16" x14ac:dyDescent="0.25">
      <c r="A60" s="124" t="s">
        <v>7699</v>
      </c>
      <c r="B60" s="125">
        <v>4024</v>
      </c>
      <c r="C60" s="125">
        <v>7921.54</v>
      </c>
      <c r="D60" s="125">
        <v>4024</v>
      </c>
      <c r="E60" s="125">
        <v>4024</v>
      </c>
      <c r="F60" s="125">
        <f t="shared" si="8"/>
        <v>-3897.54</v>
      </c>
      <c r="G60" s="125">
        <f t="shared" si="0"/>
        <v>0</v>
      </c>
      <c r="H60" s="209">
        <f t="shared" si="1"/>
        <v>0</v>
      </c>
      <c r="I60" s="125">
        <f t="shared" si="10"/>
        <v>680.86079999999993</v>
      </c>
      <c r="J60" s="125"/>
      <c r="K60" s="125"/>
      <c r="L60" s="125">
        <f t="shared" si="11"/>
        <v>58.348000000000006</v>
      </c>
      <c r="M60" s="125">
        <f t="shared" si="12"/>
        <v>49.495200000000004</v>
      </c>
      <c r="N60" s="125">
        <f t="shared" si="13"/>
        <v>76.085791999999998</v>
      </c>
      <c r="O60" s="125">
        <f t="shared" si="16"/>
        <v>864.78979199999981</v>
      </c>
      <c r="P60" s="125">
        <f t="shared" si="14"/>
        <v>4888.7897919999996</v>
      </c>
    </row>
    <row r="61" spans="1:16" x14ac:dyDescent="0.25">
      <c r="A61" s="124" t="s">
        <v>7700</v>
      </c>
      <c r="B61" s="125">
        <v>38563</v>
      </c>
      <c r="C61" s="125">
        <v>32758.560000000001</v>
      </c>
      <c r="D61" s="125">
        <v>38563</v>
      </c>
      <c r="E61" s="125">
        <v>38563</v>
      </c>
      <c r="F61" s="125">
        <f t="shared" si="8"/>
        <v>5804.4399999999987</v>
      </c>
      <c r="G61" s="125">
        <f t="shared" si="0"/>
        <v>0</v>
      </c>
      <c r="H61" s="209">
        <f t="shared" si="1"/>
        <v>0</v>
      </c>
      <c r="I61" s="125">
        <f t="shared" si="10"/>
        <v>6524.8595999999998</v>
      </c>
      <c r="J61" s="125"/>
      <c r="K61" s="125"/>
      <c r="L61" s="125">
        <f t="shared" si="11"/>
        <v>559.1635</v>
      </c>
      <c r="M61" s="125">
        <f t="shared" si="12"/>
        <v>474.32490000000001</v>
      </c>
      <c r="N61" s="125">
        <f t="shared" si="13"/>
        <v>729.14920400000005</v>
      </c>
      <c r="O61" s="125">
        <f t="shared" si="16"/>
        <v>8287.4972039999993</v>
      </c>
      <c r="P61" s="125">
        <f t="shared" si="14"/>
        <v>46850.497203999999</v>
      </c>
    </row>
    <row r="62" spans="1:16" x14ac:dyDescent="0.25">
      <c r="A62" s="124" t="s">
        <v>7701</v>
      </c>
      <c r="B62" s="125">
        <v>4258</v>
      </c>
      <c r="C62" s="125">
        <v>5539.12</v>
      </c>
      <c r="D62" s="125">
        <v>4258</v>
      </c>
      <c r="E62" s="125">
        <v>10000</v>
      </c>
      <c r="F62" s="125">
        <f t="shared" si="8"/>
        <v>-1281.1199999999999</v>
      </c>
      <c r="G62" s="125">
        <f t="shared" si="0"/>
        <v>0</v>
      </c>
      <c r="H62" s="209">
        <f t="shared" si="1"/>
        <v>0</v>
      </c>
      <c r="I62" s="125">
        <f t="shared" si="10"/>
        <v>720.45359999999994</v>
      </c>
      <c r="J62" s="125"/>
      <c r="K62" s="125"/>
      <c r="L62" s="125">
        <f t="shared" si="11"/>
        <v>61.741</v>
      </c>
      <c r="M62" s="125">
        <f t="shared" si="12"/>
        <v>52.373400000000004</v>
      </c>
      <c r="N62" s="125">
        <f t="shared" si="13"/>
        <v>80.510264000000006</v>
      </c>
      <c r="O62" s="125">
        <f t="shared" si="16"/>
        <v>915.07826399999999</v>
      </c>
      <c r="P62" s="125">
        <f t="shared" si="14"/>
        <v>5173.0782639999998</v>
      </c>
    </row>
    <row r="63" spans="1:16" x14ac:dyDescent="0.25">
      <c r="A63" s="124" t="s">
        <v>7702</v>
      </c>
      <c r="B63" s="125">
        <v>132074</v>
      </c>
      <c r="C63" s="125">
        <v>54276.62</v>
      </c>
      <c r="D63" s="125">
        <v>132074</v>
      </c>
      <c r="E63" s="125">
        <v>132074</v>
      </c>
      <c r="F63" s="125">
        <f t="shared" si="8"/>
        <v>77797.38</v>
      </c>
      <c r="G63" s="125">
        <f t="shared" si="0"/>
        <v>0</v>
      </c>
      <c r="H63" s="209">
        <f t="shared" si="1"/>
        <v>0</v>
      </c>
      <c r="I63" s="125">
        <f t="shared" si="10"/>
        <v>22346.9208</v>
      </c>
      <c r="J63" s="125"/>
      <c r="K63" s="125"/>
      <c r="L63" s="125">
        <f t="shared" si="11"/>
        <v>1915.0730000000001</v>
      </c>
      <c r="M63" s="125">
        <f t="shared" si="12"/>
        <v>1624.5101999999999</v>
      </c>
      <c r="N63" s="125">
        <f t="shared" si="13"/>
        <v>2497.2551920000001</v>
      </c>
      <c r="O63" s="125">
        <f t="shared" si="16"/>
        <v>28383.759192000001</v>
      </c>
      <c r="P63" s="125">
        <f t="shared" si="14"/>
        <v>160457.759192</v>
      </c>
    </row>
    <row r="64" spans="1:16" x14ac:dyDescent="0.25">
      <c r="A64" s="124" t="s">
        <v>7703</v>
      </c>
      <c r="B64" s="125">
        <v>12958</v>
      </c>
      <c r="C64" s="125">
        <v>33362.879999999997</v>
      </c>
      <c r="D64" s="125">
        <v>12958</v>
      </c>
      <c r="E64" s="125">
        <v>12958</v>
      </c>
      <c r="F64" s="125">
        <f t="shared" si="8"/>
        <v>-20404.879999999997</v>
      </c>
      <c r="G64" s="125">
        <f t="shared" si="0"/>
        <v>0</v>
      </c>
      <c r="H64" s="209">
        <f t="shared" si="1"/>
        <v>0</v>
      </c>
      <c r="I64" s="125">
        <f t="shared" si="10"/>
        <v>2192.4935999999998</v>
      </c>
      <c r="J64" s="125"/>
      <c r="K64" s="125"/>
      <c r="L64" s="125">
        <f t="shared" si="11"/>
        <v>187.89100000000002</v>
      </c>
      <c r="M64" s="125">
        <f t="shared" si="12"/>
        <v>159.38339999999999</v>
      </c>
      <c r="N64" s="125">
        <f t="shared" si="13"/>
        <v>245.00986400000002</v>
      </c>
      <c r="O64" s="125">
        <f t="shared" si="16"/>
        <v>2784.7778640000001</v>
      </c>
      <c r="P64" s="125">
        <f t="shared" si="14"/>
        <v>15742.777864</v>
      </c>
    </row>
    <row r="65" spans="1:16" x14ac:dyDescent="0.25">
      <c r="A65" s="124" t="s">
        <v>7704</v>
      </c>
      <c r="B65" s="125">
        <v>34636</v>
      </c>
      <c r="C65" s="125">
        <v>9229.92</v>
      </c>
      <c r="D65" s="125">
        <v>34636</v>
      </c>
      <c r="E65" s="125">
        <v>34636</v>
      </c>
      <c r="F65" s="125">
        <f t="shared" si="8"/>
        <v>25406.080000000002</v>
      </c>
      <c r="G65" s="125">
        <f t="shared" si="0"/>
        <v>0</v>
      </c>
      <c r="H65" s="209">
        <f t="shared" si="1"/>
        <v>0</v>
      </c>
      <c r="I65" s="125">
        <f t="shared" si="10"/>
        <v>5860.4111999999996</v>
      </c>
      <c r="J65" s="125"/>
      <c r="K65" s="125"/>
      <c r="L65" s="125">
        <f t="shared" si="11"/>
        <v>502.22200000000004</v>
      </c>
      <c r="M65" s="125">
        <f t="shared" si="12"/>
        <v>426.02280000000002</v>
      </c>
      <c r="N65" s="125">
        <f t="shared" si="13"/>
        <v>654.89748800000007</v>
      </c>
      <c r="O65" s="125">
        <f t="shared" si="16"/>
        <v>7443.5534879999996</v>
      </c>
      <c r="P65" s="125">
        <f t="shared" si="14"/>
        <v>42079.553487999998</v>
      </c>
    </row>
    <row r="66" spans="1:16" x14ac:dyDescent="0.25">
      <c r="A66" s="124" t="s">
        <v>7705</v>
      </c>
      <c r="B66" s="125">
        <v>10280</v>
      </c>
      <c r="C66" s="125">
        <v>4481.58</v>
      </c>
      <c r="D66" s="125">
        <v>10280</v>
      </c>
      <c r="E66" s="125">
        <v>10280</v>
      </c>
      <c r="F66" s="125">
        <f t="shared" si="8"/>
        <v>5798.42</v>
      </c>
      <c r="G66" s="125">
        <f t="shared" si="0"/>
        <v>0</v>
      </c>
      <c r="H66" s="209">
        <f t="shared" si="1"/>
        <v>0</v>
      </c>
      <c r="I66" s="125">
        <f t="shared" si="10"/>
        <v>1739.376</v>
      </c>
      <c r="J66" s="125"/>
      <c r="K66" s="125"/>
      <c r="L66" s="125">
        <f t="shared" si="11"/>
        <v>149.06</v>
      </c>
      <c r="M66" s="125">
        <f t="shared" si="12"/>
        <v>126.444</v>
      </c>
      <c r="N66" s="125">
        <f t="shared" si="13"/>
        <v>194.37424000000001</v>
      </c>
      <c r="O66" s="125">
        <f t="shared" si="16"/>
        <v>2209.2542399999998</v>
      </c>
      <c r="P66" s="125">
        <f t="shared" si="14"/>
        <v>12489.25424</v>
      </c>
    </row>
    <row r="67" spans="1:16" x14ac:dyDescent="0.25">
      <c r="A67" s="124" t="s">
        <v>7706</v>
      </c>
      <c r="B67" s="125">
        <v>2668</v>
      </c>
      <c r="C67" s="125">
        <v>0</v>
      </c>
      <c r="D67" s="125">
        <v>2668</v>
      </c>
      <c r="E67" s="125">
        <v>2668</v>
      </c>
      <c r="F67" s="125">
        <f t="shared" si="8"/>
        <v>2668</v>
      </c>
      <c r="G67" s="125">
        <f t="shared" si="0"/>
        <v>0</v>
      </c>
      <c r="H67" s="209">
        <f t="shared" si="1"/>
        <v>0</v>
      </c>
      <c r="I67" s="125">
        <f t="shared" si="10"/>
        <v>451.42559999999997</v>
      </c>
      <c r="J67" s="125"/>
      <c r="K67" s="125"/>
      <c r="L67" s="125">
        <f t="shared" si="11"/>
        <v>38.686</v>
      </c>
      <c r="M67" s="125">
        <f t="shared" si="12"/>
        <v>32.816400000000002</v>
      </c>
      <c r="N67" s="125">
        <f t="shared" si="13"/>
        <v>50.446544000000003</v>
      </c>
      <c r="O67" s="125">
        <f t="shared" si="16"/>
        <v>573.37454400000001</v>
      </c>
      <c r="P67" s="125">
        <f t="shared" si="14"/>
        <v>3241.3745440000002</v>
      </c>
    </row>
    <row r="68" spans="1:16" x14ac:dyDescent="0.25">
      <c r="A68" s="124" t="s">
        <v>7707</v>
      </c>
      <c r="B68" s="125">
        <v>31812</v>
      </c>
      <c r="C68" s="125">
        <v>30253.46</v>
      </c>
      <c r="D68" s="125">
        <v>31812</v>
      </c>
      <c r="E68" s="125">
        <v>31812</v>
      </c>
      <c r="F68" s="125">
        <f t="shared" si="8"/>
        <v>1558.5400000000009</v>
      </c>
      <c r="G68" s="125">
        <f t="shared" ref="G68:G131" si="17">+D68-B68</f>
        <v>0</v>
      </c>
      <c r="H68" s="209">
        <f t="shared" ref="H68:H131" si="18">+G68/B68</f>
        <v>0</v>
      </c>
      <c r="I68" s="125">
        <f t="shared" ref="I68:I99" si="19">+$D68*$I$1</f>
        <v>5382.5904</v>
      </c>
      <c r="J68" s="125"/>
      <c r="K68" s="125"/>
      <c r="L68" s="125">
        <f t="shared" ref="L68:L99" si="20">+$D68*$L$1</f>
        <v>461.274</v>
      </c>
      <c r="M68" s="125">
        <f t="shared" ref="M68:M99" si="21">+$D68*$M$1</f>
        <v>391.2876</v>
      </c>
      <c r="N68" s="125">
        <f t="shared" ref="N68:N99" si="22">+$D68*$N$1</f>
        <v>601.50129600000002</v>
      </c>
      <c r="O68" s="125">
        <f t="shared" si="16"/>
        <v>6836.6532960000004</v>
      </c>
      <c r="P68" s="125">
        <f t="shared" ref="P68:P99" si="23">+D68+O68</f>
        <v>38648.653296000004</v>
      </c>
    </row>
    <row r="69" spans="1:16" x14ac:dyDescent="0.25">
      <c r="A69" s="124" t="s">
        <v>7708</v>
      </c>
      <c r="B69" s="125">
        <v>27695</v>
      </c>
      <c r="C69" s="125">
        <v>15638.82</v>
      </c>
      <c r="D69" s="125">
        <v>27695</v>
      </c>
      <c r="E69" s="125">
        <v>27695</v>
      </c>
      <c r="F69" s="125">
        <f t="shared" ref="F69:F132" si="24">+B69-C69</f>
        <v>12056.18</v>
      </c>
      <c r="G69" s="125">
        <f t="shared" si="17"/>
        <v>0</v>
      </c>
      <c r="H69" s="209">
        <f t="shared" si="18"/>
        <v>0</v>
      </c>
      <c r="I69" s="125">
        <f t="shared" si="19"/>
        <v>4685.9939999999997</v>
      </c>
      <c r="J69" s="125"/>
      <c r="K69" s="125"/>
      <c r="L69" s="125">
        <f t="shared" si="20"/>
        <v>401.57750000000004</v>
      </c>
      <c r="M69" s="125">
        <f t="shared" si="21"/>
        <v>340.64850000000001</v>
      </c>
      <c r="N69" s="125">
        <f t="shared" si="22"/>
        <v>523.65706</v>
      </c>
      <c r="O69" s="125">
        <f t="shared" si="16"/>
        <v>5951.8770600000007</v>
      </c>
      <c r="P69" s="125">
        <f t="shared" si="23"/>
        <v>33646.877059999999</v>
      </c>
    </row>
    <row r="70" spans="1:16" x14ac:dyDescent="0.25">
      <c r="A70" s="124" t="s">
        <v>7709</v>
      </c>
      <c r="B70" s="125">
        <v>13612</v>
      </c>
      <c r="C70" s="125">
        <v>8424</v>
      </c>
      <c r="D70" s="125">
        <v>13612</v>
      </c>
      <c r="E70" s="125">
        <v>13612</v>
      </c>
      <c r="F70" s="125">
        <f t="shared" si="24"/>
        <v>5188</v>
      </c>
      <c r="G70" s="125">
        <f t="shared" si="17"/>
        <v>0</v>
      </c>
      <c r="H70" s="209">
        <f t="shared" si="18"/>
        <v>0</v>
      </c>
      <c r="I70" s="125">
        <f t="shared" si="19"/>
        <v>2303.1504</v>
      </c>
      <c r="J70" s="125"/>
      <c r="K70" s="125"/>
      <c r="L70" s="125">
        <f t="shared" si="20"/>
        <v>197.37400000000002</v>
      </c>
      <c r="M70" s="125">
        <f t="shared" si="21"/>
        <v>167.42760000000001</v>
      </c>
      <c r="N70" s="125">
        <f t="shared" si="22"/>
        <v>257.375696</v>
      </c>
      <c r="O70" s="125">
        <f t="shared" si="16"/>
        <v>2925.3276960000003</v>
      </c>
      <c r="P70" s="125">
        <f t="shared" si="23"/>
        <v>16537.327696</v>
      </c>
    </row>
    <row r="71" spans="1:16" x14ac:dyDescent="0.25">
      <c r="A71" s="124" t="s">
        <v>7710</v>
      </c>
      <c r="B71" s="125">
        <v>57590</v>
      </c>
      <c r="C71" s="125">
        <v>6922.44</v>
      </c>
      <c r="D71" s="125">
        <v>57590</v>
      </c>
      <c r="E71" s="125">
        <v>57590</v>
      </c>
      <c r="F71" s="125">
        <f t="shared" si="24"/>
        <v>50667.56</v>
      </c>
      <c r="G71" s="125">
        <f t="shared" si="17"/>
        <v>0</v>
      </c>
      <c r="H71" s="209">
        <f t="shared" si="18"/>
        <v>0</v>
      </c>
      <c r="I71" s="125">
        <f t="shared" si="19"/>
        <v>9744.2279999999992</v>
      </c>
      <c r="J71" s="125"/>
      <c r="K71" s="125"/>
      <c r="L71" s="125">
        <f t="shared" si="20"/>
        <v>835.05500000000006</v>
      </c>
      <c r="M71" s="125">
        <f t="shared" si="21"/>
        <v>708.35699999999997</v>
      </c>
      <c r="N71" s="125">
        <f t="shared" si="22"/>
        <v>1088.9117200000001</v>
      </c>
      <c r="O71" s="125">
        <f t="shared" si="16"/>
        <v>12376.551719999999</v>
      </c>
      <c r="P71" s="125">
        <f t="shared" si="23"/>
        <v>69966.551720000003</v>
      </c>
    </row>
    <row r="72" spans="1:16" x14ac:dyDescent="0.25">
      <c r="A72" s="124" t="s">
        <v>7711</v>
      </c>
      <c r="B72" s="125">
        <v>17512</v>
      </c>
      <c r="C72" s="125">
        <v>16800.88</v>
      </c>
      <c r="D72" s="125">
        <v>17512</v>
      </c>
      <c r="E72" s="125">
        <v>17512</v>
      </c>
      <c r="F72" s="125">
        <f t="shared" si="24"/>
        <v>711.11999999999898</v>
      </c>
      <c r="G72" s="125">
        <f t="shared" si="17"/>
        <v>0</v>
      </c>
      <c r="H72" s="209">
        <f t="shared" si="18"/>
        <v>0</v>
      </c>
      <c r="I72" s="125">
        <f t="shared" si="19"/>
        <v>2963.0303999999996</v>
      </c>
      <c r="J72" s="125"/>
      <c r="K72" s="125"/>
      <c r="L72" s="125">
        <f t="shared" si="20"/>
        <v>253.92400000000001</v>
      </c>
      <c r="M72" s="125">
        <f t="shared" si="21"/>
        <v>215.39760000000001</v>
      </c>
      <c r="N72" s="125">
        <f t="shared" si="22"/>
        <v>331.116896</v>
      </c>
      <c r="O72" s="125">
        <f t="shared" si="16"/>
        <v>3763.4688959999999</v>
      </c>
      <c r="P72" s="125">
        <f t="shared" si="23"/>
        <v>21275.468895999998</v>
      </c>
    </row>
    <row r="73" spans="1:16" x14ac:dyDescent="0.25">
      <c r="A73" s="124" t="s">
        <v>7712</v>
      </c>
      <c r="B73" s="125">
        <v>3167</v>
      </c>
      <c r="C73" s="125">
        <v>0</v>
      </c>
      <c r="D73" s="125">
        <v>3167</v>
      </c>
      <c r="E73" s="125">
        <v>3167</v>
      </c>
      <c r="F73" s="125">
        <f t="shared" si="24"/>
        <v>3167</v>
      </c>
      <c r="G73" s="125">
        <f t="shared" si="17"/>
        <v>0</v>
      </c>
      <c r="H73" s="209">
        <f t="shared" si="18"/>
        <v>0</v>
      </c>
      <c r="I73" s="125">
        <f t="shared" si="19"/>
        <v>535.85640000000001</v>
      </c>
      <c r="J73" s="125"/>
      <c r="K73" s="125"/>
      <c r="L73" s="125">
        <f t="shared" si="20"/>
        <v>45.921500000000002</v>
      </c>
      <c r="M73" s="125">
        <f t="shared" si="21"/>
        <v>38.954100000000004</v>
      </c>
      <c r="N73" s="125">
        <f t="shared" si="22"/>
        <v>59.881636</v>
      </c>
      <c r="O73" s="125">
        <f t="shared" si="16"/>
        <v>680.61363600000004</v>
      </c>
      <c r="P73" s="125">
        <f t="shared" si="23"/>
        <v>3847.613636</v>
      </c>
    </row>
    <row r="74" spans="1:16" x14ac:dyDescent="0.25">
      <c r="A74" s="124" t="s">
        <v>7713</v>
      </c>
      <c r="B74" s="125">
        <v>4262</v>
      </c>
      <c r="C74" s="125">
        <v>5054.3999999999996</v>
      </c>
      <c r="D74" s="125">
        <v>4262</v>
      </c>
      <c r="E74" s="125">
        <v>4262</v>
      </c>
      <c r="F74" s="125">
        <f t="shared" si="24"/>
        <v>-792.39999999999964</v>
      </c>
      <c r="G74" s="125">
        <f t="shared" si="17"/>
        <v>0</v>
      </c>
      <c r="H74" s="209">
        <f t="shared" si="18"/>
        <v>0</v>
      </c>
      <c r="I74" s="125">
        <f t="shared" si="19"/>
        <v>721.13040000000001</v>
      </c>
      <c r="J74" s="125"/>
      <c r="K74" s="125"/>
      <c r="L74" s="125">
        <f t="shared" si="20"/>
        <v>61.799000000000007</v>
      </c>
      <c r="M74" s="125">
        <f t="shared" si="21"/>
        <v>52.422600000000003</v>
      </c>
      <c r="N74" s="125">
        <f t="shared" si="22"/>
        <v>80.585896000000005</v>
      </c>
      <c r="O74" s="125">
        <f t="shared" si="16"/>
        <v>915.93789600000002</v>
      </c>
      <c r="P74" s="125">
        <f t="shared" si="23"/>
        <v>5177.9378960000004</v>
      </c>
    </row>
    <row r="75" spans="1:16" x14ac:dyDescent="0.25">
      <c r="A75" s="124" t="s">
        <v>7714</v>
      </c>
      <c r="B75" s="125">
        <v>14066</v>
      </c>
      <c r="C75" s="125">
        <v>9735.31</v>
      </c>
      <c r="D75" s="125">
        <v>14066</v>
      </c>
      <c r="E75" s="125">
        <v>14066</v>
      </c>
      <c r="F75" s="125">
        <f t="shared" si="24"/>
        <v>4330.6900000000005</v>
      </c>
      <c r="G75" s="125">
        <f t="shared" si="17"/>
        <v>0</v>
      </c>
      <c r="H75" s="209">
        <f t="shared" si="18"/>
        <v>0</v>
      </c>
      <c r="I75" s="125">
        <f t="shared" si="19"/>
        <v>2379.9672</v>
      </c>
      <c r="J75" s="125"/>
      <c r="K75" s="125"/>
      <c r="L75" s="125">
        <f t="shared" si="20"/>
        <v>203.95700000000002</v>
      </c>
      <c r="M75" s="125">
        <f t="shared" si="21"/>
        <v>173.01179999999999</v>
      </c>
      <c r="N75" s="125">
        <f t="shared" si="22"/>
        <v>265.95992799999999</v>
      </c>
      <c r="O75" s="125">
        <f t="shared" si="16"/>
        <v>3022.8959279999999</v>
      </c>
      <c r="P75" s="125">
        <f t="shared" si="23"/>
        <v>17088.895927999998</v>
      </c>
    </row>
    <row r="76" spans="1:16" x14ac:dyDescent="0.25">
      <c r="A76" s="124" t="s">
        <v>7715</v>
      </c>
      <c r="B76" s="125">
        <v>10958</v>
      </c>
      <c r="C76" s="125">
        <v>0</v>
      </c>
      <c r="D76" s="125">
        <v>10958</v>
      </c>
      <c r="E76" s="125">
        <v>10958</v>
      </c>
      <c r="F76" s="125">
        <f t="shared" si="24"/>
        <v>10958</v>
      </c>
      <c r="G76" s="125">
        <f t="shared" si="17"/>
        <v>0</v>
      </c>
      <c r="H76" s="209">
        <f t="shared" si="18"/>
        <v>0</v>
      </c>
      <c r="I76" s="125">
        <f t="shared" si="19"/>
        <v>1854.0935999999999</v>
      </c>
      <c r="J76" s="125"/>
      <c r="K76" s="125"/>
      <c r="L76" s="125">
        <f t="shared" si="20"/>
        <v>158.89100000000002</v>
      </c>
      <c r="M76" s="125">
        <f t="shared" si="21"/>
        <v>134.7834</v>
      </c>
      <c r="N76" s="125">
        <f t="shared" si="22"/>
        <v>207.19386400000002</v>
      </c>
      <c r="O76" s="125">
        <f t="shared" si="16"/>
        <v>2354.9618639999999</v>
      </c>
      <c r="P76" s="125">
        <f t="shared" si="23"/>
        <v>13312.961864000001</v>
      </c>
    </row>
    <row r="77" spans="1:16" x14ac:dyDescent="0.25">
      <c r="A77" s="124" t="s">
        <v>7716</v>
      </c>
      <c r="B77" s="125">
        <v>40554</v>
      </c>
      <c r="C77" s="125">
        <v>17022.8</v>
      </c>
      <c r="D77" s="125">
        <v>40554</v>
      </c>
      <c r="E77" s="125">
        <v>40554</v>
      </c>
      <c r="F77" s="125">
        <f t="shared" si="24"/>
        <v>23531.200000000001</v>
      </c>
      <c r="G77" s="125">
        <f t="shared" si="17"/>
        <v>0</v>
      </c>
      <c r="H77" s="209">
        <f t="shared" si="18"/>
        <v>0</v>
      </c>
      <c r="I77" s="125">
        <f t="shared" si="19"/>
        <v>6861.7367999999997</v>
      </c>
      <c r="J77" s="125"/>
      <c r="K77" s="125"/>
      <c r="L77" s="125">
        <f t="shared" si="20"/>
        <v>588.03300000000002</v>
      </c>
      <c r="M77" s="125">
        <f t="shared" si="21"/>
        <v>498.81420000000003</v>
      </c>
      <c r="N77" s="125">
        <f t="shared" si="22"/>
        <v>766.79503199999999</v>
      </c>
      <c r="O77" s="125">
        <f t="shared" si="16"/>
        <v>8715.3790320000007</v>
      </c>
      <c r="P77" s="125">
        <f t="shared" si="23"/>
        <v>49269.379031999997</v>
      </c>
    </row>
    <row r="78" spans="1:16" x14ac:dyDescent="0.25">
      <c r="A78" s="124" t="s">
        <v>7717</v>
      </c>
      <c r="B78" s="125">
        <v>6000</v>
      </c>
      <c r="C78" s="125">
        <v>18135.75</v>
      </c>
      <c r="D78" s="125">
        <v>6000</v>
      </c>
      <c r="E78" s="125">
        <v>25000</v>
      </c>
      <c r="F78" s="125">
        <f t="shared" si="24"/>
        <v>-12135.75</v>
      </c>
      <c r="G78" s="125">
        <f t="shared" si="17"/>
        <v>0</v>
      </c>
      <c r="H78" s="209">
        <f t="shared" si="18"/>
        <v>0</v>
      </c>
      <c r="I78" s="125">
        <f t="shared" si="19"/>
        <v>1015.1999999999999</v>
      </c>
      <c r="J78" s="125"/>
      <c r="K78" s="125"/>
      <c r="L78" s="125">
        <f t="shared" si="20"/>
        <v>87</v>
      </c>
      <c r="M78" s="125">
        <f t="shared" si="21"/>
        <v>73.8</v>
      </c>
      <c r="N78" s="125">
        <f t="shared" si="22"/>
        <v>113.44800000000001</v>
      </c>
      <c r="O78" s="125">
        <f t="shared" si="16"/>
        <v>1289.4479999999999</v>
      </c>
      <c r="P78" s="125">
        <f t="shared" si="23"/>
        <v>7289.4480000000003</v>
      </c>
    </row>
    <row r="79" spans="1:16" x14ac:dyDescent="0.25">
      <c r="A79" s="124" t="s">
        <v>7718</v>
      </c>
      <c r="B79" s="125">
        <v>0</v>
      </c>
      <c r="C79" s="125">
        <v>0</v>
      </c>
      <c r="D79" s="125">
        <v>0</v>
      </c>
      <c r="E79" s="125">
        <v>86356.26</v>
      </c>
      <c r="F79" s="125">
        <f t="shared" si="24"/>
        <v>0</v>
      </c>
      <c r="G79" s="125">
        <f t="shared" si="17"/>
        <v>0</v>
      </c>
      <c r="H79" s="209" t="e">
        <f t="shared" si="18"/>
        <v>#DIV/0!</v>
      </c>
      <c r="I79" s="125">
        <f t="shared" si="19"/>
        <v>0</v>
      </c>
      <c r="J79" s="125"/>
      <c r="K79" s="125"/>
      <c r="L79" s="125">
        <f t="shared" si="20"/>
        <v>0</v>
      </c>
      <c r="M79" s="125">
        <f t="shared" si="21"/>
        <v>0</v>
      </c>
      <c r="N79" s="125">
        <f t="shared" si="22"/>
        <v>0</v>
      </c>
      <c r="O79" s="125">
        <f t="shared" si="16"/>
        <v>0</v>
      </c>
      <c r="P79" s="125">
        <f t="shared" si="23"/>
        <v>0</v>
      </c>
    </row>
    <row r="80" spans="1:16" x14ac:dyDescent="0.25">
      <c r="A80" s="124" t="s">
        <v>7719</v>
      </c>
      <c r="B80" s="125">
        <v>0</v>
      </c>
      <c r="C80" s="125">
        <v>26949.360000000001</v>
      </c>
      <c r="D80" s="125">
        <v>0</v>
      </c>
      <c r="E80" s="125">
        <v>37000</v>
      </c>
      <c r="F80" s="125">
        <f t="shared" si="24"/>
        <v>-26949.360000000001</v>
      </c>
      <c r="G80" s="125">
        <f t="shared" si="17"/>
        <v>0</v>
      </c>
      <c r="H80" s="209" t="e">
        <f t="shared" si="18"/>
        <v>#DIV/0!</v>
      </c>
      <c r="I80" s="125">
        <f t="shared" si="19"/>
        <v>0</v>
      </c>
      <c r="J80" s="125"/>
      <c r="K80" s="125"/>
      <c r="L80" s="125">
        <f t="shared" si="20"/>
        <v>0</v>
      </c>
      <c r="M80" s="125">
        <f t="shared" si="21"/>
        <v>0</v>
      </c>
      <c r="N80" s="125">
        <f t="shared" si="22"/>
        <v>0</v>
      </c>
      <c r="O80" s="125">
        <f t="shared" si="16"/>
        <v>0</v>
      </c>
      <c r="P80" s="125">
        <f t="shared" si="23"/>
        <v>0</v>
      </c>
    </row>
    <row r="81" spans="1:16" x14ac:dyDescent="0.25">
      <c r="A81" s="124" t="s">
        <v>7720</v>
      </c>
      <c r="B81" s="125">
        <v>0</v>
      </c>
      <c r="C81" s="125">
        <v>2160.42</v>
      </c>
      <c r="D81" s="125">
        <v>0</v>
      </c>
      <c r="F81" s="125">
        <f t="shared" si="24"/>
        <v>-2160.42</v>
      </c>
      <c r="G81" s="125">
        <f t="shared" si="17"/>
        <v>0</v>
      </c>
      <c r="H81" s="209" t="e">
        <f t="shared" si="18"/>
        <v>#DIV/0!</v>
      </c>
      <c r="I81" s="125">
        <f t="shared" si="19"/>
        <v>0</v>
      </c>
      <c r="J81" s="125"/>
      <c r="K81" s="125"/>
      <c r="L81" s="125">
        <f t="shared" si="20"/>
        <v>0</v>
      </c>
      <c r="M81" s="125">
        <f t="shared" si="21"/>
        <v>0</v>
      </c>
      <c r="N81" s="125">
        <f t="shared" si="22"/>
        <v>0</v>
      </c>
      <c r="O81" s="125">
        <f t="shared" si="16"/>
        <v>0</v>
      </c>
      <c r="P81" s="125">
        <f t="shared" si="23"/>
        <v>0</v>
      </c>
    </row>
    <row r="82" spans="1:16" x14ac:dyDescent="0.25">
      <c r="A82" s="124" t="s">
        <v>7721</v>
      </c>
      <c r="B82" s="125">
        <v>176100</v>
      </c>
      <c r="C82" s="125">
        <v>132043.07999999999</v>
      </c>
      <c r="D82" s="125">
        <v>176100</v>
      </c>
      <c r="E82" s="125">
        <v>176100</v>
      </c>
      <c r="F82" s="125">
        <f t="shared" si="24"/>
        <v>44056.920000000013</v>
      </c>
      <c r="G82" s="125">
        <f t="shared" si="17"/>
        <v>0</v>
      </c>
      <c r="H82" s="209">
        <f t="shared" si="18"/>
        <v>0</v>
      </c>
      <c r="I82" s="125">
        <f t="shared" si="19"/>
        <v>29796.12</v>
      </c>
      <c r="J82" s="125"/>
      <c r="K82" s="125"/>
      <c r="L82" s="125">
        <f t="shared" si="20"/>
        <v>2553.4500000000003</v>
      </c>
      <c r="M82" s="125">
        <f t="shared" si="21"/>
        <v>2166.0300000000002</v>
      </c>
      <c r="N82" s="125">
        <f t="shared" si="22"/>
        <v>3329.6988000000001</v>
      </c>
      <c r="O82" s="125">
        <f t="shared" si="16"/>
        <v>37845.298799999997</v>
      </c>
      <c r="P82" s="125">
        <f t="shared" si="23"/>
        <v>213945.29879999999</v>
      </c>
    </row>
    <row r="83" spans="1:16" x14ac:dyDescent="0.25">
      <c r="A83" s="124" t="s">
        <v>7722</v>
      </c>
      <c r="B83" s="125">
        <v>123560</v>
      </c>
      <c r="C83" s="125">
        <v>124742.43</v>
      </c>
      <c r="D83" s="125">
        <v>123560</v>
      </c>
      <c r="E83" s="125">
        <v>123560</v>
      </c>
      <c r="F83" s="125">
        <f t="shared" si="24"/>
        <v>-1182.429999999993</v>
      </c>
      <c r="G83" s="125">
        <f t="shared" si="17"/>
        <v>0</v>
      </c>
      <c r="H83" s="209">
        <f t="shared" si="18"/>
        <v>0</v>
      </c>
      <c r="I83" s="125">
        <f t="shared" si="19"/>
        <v>20906.351999999999</v>
      </c>
      <c r="J83" s="125"/>
      <c r="K83" s="125"/>
      <c r="L83" s="125">
        <f t="shared" si="20"/>
        <v>1791.6200000000001</v>
      </c>
      <c r="M83" s="125">
        <f t="shared" si="21"/>
        <v>1519.788</v>
      </c>
      <c r="N83" s="125">
        <f t="shared" si="22"/>
        <v>2336.2724800000001</v>
      </c>
      <c r="O83" s="125">
        <f t="shared" si="16"/>
        <v>26554.032479999998</v>
      </c>
      <c r="P83" s="125">
        <f t="shared" si="23"/>
        <v>150114.03247999999</v>
      </c>
    </row>
    <row r="84" spans="1:16" x14ac:dyDescent="0.25">
      <c r="A84" s="124" t="s">
        <v>7723</v>
      </c>
      <c r="B84" s="125">
        <v>120985</v>
      </c>
      <c r="C84" s="125">
        <v>70953.039999999994</v>
      </c>
      <c r="D84" s="125">
        <v>120985</v>
      </c>
      <c r="E84" s="125">
        <v>120000</v>
      </c>
      <c r="F84" s="125">
        <f t="shared" si="24"/>
        <v>50031.960000000006</v>
      </c>
      <c r="G84" s="125">
        <f t="shared" si="17"/>
        <v>0</v>
      </c>
      <c r="H84" s="209">
        <f t="shared" si="18"/>
        <v>0</v>
      </c>
      <c r="I84" s="125">
        <f t="shared" si="19"/>
        <v>20470.662</v>
      </c>
      <c r="J84" s="125"/>
      <c r="K84" s="125"/>
      <c r="L84" s="125">
        <f t="shared" si="20"/>
        <v>1754.2825</v>
      </c>
      <c r="M84" s="125">
        <f t="shared" si="21"/>
        <v>1488.1155000000001</v>
      </c>
      <c r="N84" s="125">
        <f t="shared" si="22"/>
        <v>2287.5843800000002</v>
      </c>
      <c r="O84" s="125">
        <f t="shared" si="16"/>
        <v>26000.644380000002</v>
      </c>
      <c r="P84" s="125">
        <f t="shared" si="23"/>
        <v>146985.64438000001</v>
      </c>
    </row>
    <row r="85" spans="1:16" x14ac:dyDescent="0.25">
      <c r="A85" s="124" t="s">
        <v>7724</v>
      </c>
      <c r="B85" s="125">
        <v>55907</v>
      </c>
      <c r="C85" s="125">
        <v>26648.06</v>
      </c>
      <c r="D85" s="125">
        <v>55907</v>
      </c>
      <c r="E85" s="125">
        <v>40000</v>
      </c>
      <c r="F85" s="125">
        <f t="shared" si="24"/>
        <v>29258.94</v>
      </c>
      <c r="G85" s="125">
        <f t="shared" si="17"/>
        <v>0</v>
      </c>
      <c r="H85" s="209">
        <f t="shared" si="18"/>
        <v>0</v>
      </c>
      <c r="I85" s="125">
        <f t="shared" si="19"/>
        <v>9459.4643999999989</v>
      </c>
      <c r="J85" s="125"/>
      <c r="K85" s="125"/>
      <c r="L85" s="125">
        <f t="shared" si="20"/>
        <v>810.65150000000006</v>
      </c>
      <c r="M85" s="125">
        <f t="shared" si="21"/>
        <v>687.65610000000004</v>
      </c>
      <c r="N85" s="125">
        <f t="shared" si="22"/>
        <v>1057.0895560000001</v>
      </c>
      <c r="O85" s="125">
        <f t="shared" si="16"/>
        <v>12014.861556</v>
      </c>
      <c r="P85" s="125">
        <f t="shared" si="23"/>
        <v>67921.861556000003</v>
      </c>
    </row>
    <row r="86" spans="1:16" x14ac:dyDescent="0.25">
      <c r="A86" s="124" t="s">
        <v>7725</v>
      </c>
      <c r="B86" s="125">
        <v>3000</v>
      </c>
      <c r="C86" s="125">
        <v>0</v>
      </c>
      <c r="D86" s="125">
        <v>3000</v>
      </c>
      <c r="E86" s="125">
        <v>8000</v>
      </c>
      <c r="F86" s="125">
        <f t="shared" si="24"/>
        <v>3000</v>
      </c>
      <c r="G86" s="125">
        <f t="shared" si="17"/>
        <v>0</v>
      </c>
      <c r="H86" s="209">
        <f t="shared" si="18"/>
        <v>0</v>
      </c>
      <c r="I86" s="125">
        <f t="shared" si="19"/>
        <v>507.59999999999997</v>
      </c>
      <c r="J86" s="125"/>
      <c r="K86" s="125"/>
      <c r="L86" s="125">
        <f t="shared" si="20"/>
        <v>43.5</v>
      </c>
      <c r="M86" s="125">
        <f t="shared" si="21"/>
        <v>36.9</v>
      </c>
      <c r="N86" s="125">
        <f t="shared" si="22"/>
        <v>56.724000000000004</v>
      </c>
      <c r="O86" s="125">
        <f t="shared" si="16"/>
        <v>644.72399999999993</v>
      </c>
      <c r="P86" s="125">
        <f t="shared" si="23"/>
        <v>3644.7240000000002</v>
      </c>
    </row>
    <row r="87" spans="1:16" x14ac:dyDescent="0.25">
      <c r="A87" s="124" t="s">
        <v>7726</v>
      </c>
      <c r="B87" s="125">
        <v>186940</v>
      </c>
      <c r="C87" s="125">
        <v>162220.4</v>
      </c>
      <c r="D87" s="125">
        <v>186940</v>
      </c>
      <c r="E87" s="125">
        <v>160000</v>
      </c>
      <c r="F87" s="125">
        <f t="shared" si="24"/>
        <v>24719.600000000006</v>
      </c>
      <c r="G87" s="125">
        <f t="shared" si="17"/>
        <v>0</v>
      </c>
      <c r="H87" s="209">
        <f t="shared" si="18"/>
        <v>0</v>
      </c>
      <c r="I87" s="125">
        <f t="shared" si="19"/>
        <v>31630.248</v>
      </c>
      <c r="J87" s="125"/>
      <c r="K87" s="125"/>
      <c r="L87" s="125">
        <f t="shared" si="20"/>
        <v>2710.63</v>
      </c>
      <c r="M87" s="125">
        <f t="shared" si="21"/>
        <v>2299.3620000000001</v>
      </c>
      <c r="N87" s="125">
        <f t="shared" si="22"/>
        <v>3534.6615200000001</v>
      </c>
      <c r="O87" s="125">
        <f t="shared" si="16"/>
        <v>40174.901519999999</v>
      </c>
      <c r="P87" s="125">
        <f t="shared" si="23"/>
        <v>227114.90152000001</v>
      </c>
    </row>
    <row r="88" spans="1:16" x14ac:dyDescent="0.25">
      <c r="A88" s="124" t="s">
        <v>7727</v>
      </c>
      <c r="B88" s="125">
        <v>0</v>
      </c>
      <c r="C88" s="125">
        <v>1032.75</v>
      </c>
      <c r="D88" s="125">
        <v>0</v>
      </c>
      <c r="F88" s="125">
        <f t="shared" si="24"/>
        <v>-1032.75</v>
      </c>
      <c r="G88" s="125">
        <f t="shared" si="17"/>
        <v>0</v>
      </c>
      <c r="H88" s="209" t="e">
        <f t="shared" si="18"/>
        <v>#DIV/0!</v>
      </c>
      <c r="I88" s="125">
        <f t="shared" si="19"/>
        <v>0</v>
      </c>
      <c r="J88" s="125"/>
      <c r="K88" s="125"/>
      <c r="L88" s="125">
        <f t="shared" si="20"/>
        <v>0</v>
      </c>
      <c r="M88" s="125">
        <f t="shared" si="21"/>
        <v>0</v>
      </c>
      <c r="N88" s="125">
        <f t="shared" si="22"/>
        <v>0</v>
      </c>
      <c r="O88" s="125">
        <f t="shared" si="16"/>
        <v>0</v>
      </c>
      <c r="P88" s="125">
        <f t="shared" si="23"/>
        <v>0</v>
      </c>
    </row>
    <row r="89" spans="1:16" x14ac:dyDescent="0.25">
      <c r="A89" s="124" t="s">
        <v>7728</v>
      </c>
      <c r="B89" s="125">
        <v>35828</v>
      </c>
      <c r="C89" s="125">
        <v>36125.32</v>
      </c>
      <c r="D89" s="125">
        <v>35828</v>
      </c>
      <c r="E89" s="125">
        <v>35828</v>
      </c>
      <c r="F89" s="125">
        <f t="shared" si="24"/>
        <v>-297.31999999999971</v>
      </c>
      <c r="G89" s="125">
        <f t="shared" si="17"/>
        <v>0</v>
      </c>
      <c r="H89" s="209">
        <f t="shared" si="18"/>
        <v>0</v>
      </c>
      <c r="I89" s="125">
        <f t="shared" si="19"/>
        <v>6062.0976000000001</v>
      </c>
      <c r="J89" s="125"/>
      <c r="K89" s="125"/>
      <c r="L89" s="125">
        <f t="shared" si="20"/>
        <v>519.50599999999997</v>
      </c>
      <c r="M89" s="125">
        <f t="shared" si="21"/>
        <v>440.68439999999998</v>
      </c>
      <c r="N89" s="125">
        <f t="shared" si="22"/>
        <v>677.43582400000003</v>
      </c>
      <c r="O89" s="125">
        <f t="shared" si="16"/>
        <v>7699.7238240000006</v>
      </c>
      <c r="P89" s="125">
        <f t="shared" si="23"/>
        <v>43527.723824000001</v>
      </c>
    </row>
    <row r="90" spans="1:16" x14ac:dyDescent="0.25">
      <c r="A90" s="124" t="s">
        <v>7729</v>
      </c>
      <c r="B90" s="125">
        <v>38721</v>
      </c>
      <c r="C90" s="125">
        <v>30987.99</v>
      </c>
      <c r="D90" s="125">
        <v>38721</v>
      </c>
      <c r="E90" s="125">
        <v>38721</v>
      </c>
      <c r="F90" s="125">
        <f t="shared" si="24"/>
        <v>7733.0099999999984</v>
      </c>
      <c r="G90" s="125">
        <f t="shared" si="17"/>
        <v>0</v>
      </c>
      <c r="H90" s="209">
        <f t="shared" si="18"/>
        <v>0</v>
      </c>
      <c r="I90" s="125">
        <f t="shared" si="19"/>
        <v>6551.5931999999993</v>
      </c>
      <c r="J90" s="125"/>
      <c r="K90" s="125"/>
      <c r="L90" s="125">
        <f t="shared" si="20"/>
        <v>561.45450000000005</v>
      </c>
      <c r="M90" s="125">
        <f t="shared" si="21"/>
        <v>476.26830000000001</v>
      </c>
      <c r="N90" s="125">
        <f t="shared" si="22"/>
        <v>732.1366680000001</v>
      </c>
      <c r="O90" s="125">
        <f t="shared" si="16"/>
        <v>8321.4526679999981</v>
      </c>
      <c r="P90" s="125">
        <f t="shared" si="23"/>
        <v>47042.452667999998</v>
      </c>
    </row>
    <row r="91" spans="1:16" x14ac:dyDescent="0.25">
      <c r="A91" s="124" t="s">
        <v>7730</v>
      </c>
      <c r="B91" s="125">
        <v>17500</v>
      </c>
      <c r="C91" s="125">
        <v>24451.919999999998</v>
      </c>
      <c r="D91" s="125">
        <v>17500</v>
      </c>
      <c r="E91" s="125">
        <v>25000</v>
      </c>
      <c r="F91" s="125">
        <f t="shared" si="24"/>
        <v>-6951.9199999999983</v>
      </c>
      <c r="G91" s="125">
        <f t="shared" si="17"/>
        <v>0</v>
      </c>
      <c r="H91" s="209">
        <f t="shared" si="18"/>
        <v>0</v>
      </c>
      <c r="I91" s="125">
        <f t="shared" si="19"/>
        <v>2961</v>
      </c>
      <c r="J91" s="125"/>
      <c r="K91" s="125"/>
      <c r="L91" s="125">
        <f t="shared" si="20"/>
        <v>253.75</v>
      </c>
      <c r="M91" s="125">
        <f t="shared" si="21"/>
        <v>215.25</v>
      </c>
      <c r="N91" s="125">
        <f t="shared" si="22"/>
        <v>330.89000000000004</v>
      </c>
      <c r="O91" s="125">
        <f t="shared" si="16"/>
        <v>3760.89</v>
      </c>
      <c r="P91" s="125">
        <f t="shared" si="23"/>
        <v>21260.89</v>
      </c>
    </row>
    <row r="92" spans="1:16" x14ac:dyDescent="0.25">
      <c r="A92" s="124" t="s">
        <v>7731</v>
      </c>
      <c r="B92" s="125">
        <v>139590</v>
      </c>
      <c r="C92" s="125">
        <v>106801.73</v>
      </c>
      <c r="D92" s="125">
        <v>139590</v>
      </c>
      <c r="E92" s="125">
        <v>130000</v>
      </c>
      <c r="F92" s="125">
        <f t="shared" si="24"/>
        <v>32788.270000000004</v>
      </c>
      <c r="G92" s="125">
        <f t="shared" si="17"/>
        <v>0</v>
      </c>
      <c r="H92" s="209">
        <f t="shared" si="18"/>
        <v>0</v>
      </c>
      <c r="I92" s="125">
        <f t="shared" si="19"/>
        <v>23618.627999999997</v>
      </c>
      <c r="J92" s="125"/>
      <c r="K92" s="125"/>
      <c r="L92" s="125">
        <f t="shared" si="20"/>
        <v>2024.0550000000001</v>
      </c>
      <c r="M92" s="125">
        <f t="shared" si="21"/>
        <v>1716.9570000000001</v>
      </c>
      <c r="N92" s="125">
        <f t="shared" si="22"/>
        <v>2639.3677200000002</v>
      </c>
      <c r="O92" s="125">
        <f t="shared" si="16"/>
        <v>29999.007719999994</v>
      </c>
      <c r="P92" s="125">
        <f t="shared" si="23"/>
        <v>169589.00771999999</v>
      </c>
    </row>
    <row r="93" spans="1:16" x14ac:dyDescent="0.25">
      <c r="A93" s="124" t="s">
        <v>7732</v>
      </c>
      <c r="B93" s="125">
        <v>101500</v>
      </c>
      <c r="C93" s="125">
        <v>68214.05</v>
      </c>
      <c r="D93" s="125">
        <v>101500</v>
      </c>
      <c r="E93" s="125">
        <v>101500</v>
      </c>
      <c r="F93" s="125">
        <f t="shared" si="24"/>
        <v>33285.949999999997</v>
      </c>
      <c r="G93" s="125">
        <f t="shared" si="17"/>
        <v>0</v>
      </c>
      <c r="H93" s="209">
        <f t="shared" si="18"/>
        <v>0</v>
      </c>
      <c r="I93" s="125">
        <f t="shared" si="19"/>
        <v>17173.8</v>
      </c>
      <c r="J93" s="125"/>
      <c r="K93" s="125"/>
      <c r="L93" s="125">
        <f t="shared" si="20"/>
        <v>1471.75</v>
      </c>
      <c r="M93" s="125">
        <f t="shared" si="21"/>
        <v>1248.45</v>
      </c>
      <c r="N93" s="125">
        <f t="shared" si="22"/>
        <v>1919.162</v>
      </c>
      <c r="O93" s="125">
        <f t="shared" si="16"/>
        <v>21813.162</v>
      </c>
      <c r="P93" s="125">
        <f t="shared" si="23"/>
        <v>123313.162</v>
      </c>
    </row>
    <row r="94" spans="1:16" x14ac:dyDescent="0.25">
      <c r="A94" s="124" t="s">
        <v>7733</v>
      </c>
      <c r="B94" s="125">
        <v>49035</v>
      </c>
      <c r="C94" s="125">
        <v>39974.29</v>
      </c>
      <c r="D94" s="125">
        <v>49035</v>
      </c>
      <c r="E94" s="125">
        <v>49035</v>
      </c>
      <c r="F94" s="125">
        <f t="shared" si="24"/>
        <v>9060.7099999999991</v>
      </c>
      <c r="G94" s="125">
        <f t="shared" si="17"/>
        <v>0</v>
      </c>
      <c r="H94" s="209">
        <f t="shared" si="18"/>
        <v>0</v>
      </c>
      <c r="I94" s="125">
        <f t="shared" si="19"/>
        <v>8296.7219999999998</v>
      </c>
      <c r="J94" s="125"/>
      <c r="K94" s="125"/>
      <c r="L94" s="125">
        <f t="shared" si="20"/>
        <v>711.00750000000005</v>
      </c>
      <c r="M94" s="125">
        <f t="shared" si="21"/>
        <v>603.13049999999998</v>
      </c>
      <c r="N94" s="125">
        <f t="shared" si="22"/>
        <v>927.1537800000001</v>
      </c>
      <c r="O94" s="125">
        <f t="shared" si="16"/>
        <v>10538.013779999999</v>
      </c>
      <c r="P94" s="125">
        <f t="shared" si="23"/>
        <v>59573.013780000001</v>
      </c>
    </row>
    <row r="95" spans="1:16" x14ac:dyDescent="0.25">
      <c r="A95" s="124" t="s">
        <v>7734</v>
      </c>
      <c r="B95" s="125">
        <v>235000</v>
      </c>
      <c r="C95" s="125">
        <v>40113.5</v>
      </c>
      <c r="D95" s="125">
        <v>235000</v>
      </c>
      <c r="E95" s="125">
        <v>235000</v>
      </c>
      <c r="F95" s="125">
        <f t="shared" si="24"/>
        <v>194886.5</v>
      </c>
      <c r="G95" s="125">
        <f t="shared" si="17"/>
        <v>0</v>
      </c>
      <c r="H95" s="209">
        <f t="shared" si="18"/>
        <v>0</v>
      </c>
      <c r="I95" s="125">
        <f t="shared" si="19"/>
        <v>39762</v>
      </c>
      <c r="J95" s="125"/>
      <c r="K95" s="125"/>
      <c r="L95" s="125">
        <f t="shared" si="20"/>
        <v>3407.5</v>
      </c>
      <c r="M95" s="125">
        <f t="shared" si="21"/>
        <v>2890.5</v>
      </c>
      <c r="N95" s="125">
        <f t="shared" si="22"/>
        <v>4443.38</v>
      </c>
      <c r="O95" s="125">
        <f t="shared" si="16"/>
        <v>50503.38</v>
      </c>
      <c r="P95" s="125">
        <f t="shared" si="23"/>
        <v>285503.38</v>
      </c>
    </row>
    <row r="96" spans="1:16" x14ac:dyDescent="0.25">
      <c r="A96" s="124" t="s">
        <v>7735</v>
      </c>
      <c r="B96" s="125">
        <v>500</v>
      </c>
      <c r="C96" s="125">
        <v>0</v>
      </c>
      <c r="D96" s="125">
        <v>500</v>
      </c>
      <c r="E96" s="125">
        <v>500</v>
      </c>
      <c r="F96" s="125">
        <f t="shared" si="24"/>
        <v>500</v>
      </c>
      <c r="G96" s="125">
        <f t="shared" si="17"/>
        <v>0</v>
      </c>
      <c r="H96" s="209">
        <f t="shared" si="18"/>
        <v>0</v>
      </c>
      <c r="I96" s="125">
        <f t="shared" si="19"/>
        <v>84.6</v>
      </c>
      <c r="J96" s="125"/>
      <c r="K96" s="125"/>
      <c r="L96" s="125">
        <f t="shared" si="20"/>
        <v>7.25</v>
      </c>
      <c r="M96" s="125">
        <f t="shared" si="21"/>
        <v>6.15</v>
      </c>
      <c r="N96" s="125">
        <f t="shared" si="22"/>
        <v>9.4540000000000006</v>
      </c>
      <c r="O96" s="125">
        <f t="shared" si="16"/>
        <v>107.45400000000001</v>
      </c>
      <c r="P96" s="125">
        <f t="shared" si="23"/>
        <v>607.45399999999995</v>
      </c>
    </row>
    <row r="97" spans="1:16" x14ac:dyDescent="0.25">
      <c r="A97" s="124" t="s">
        <v>7736</v>
      </c>
      <c r="B97" s="125">
        <v>64000</v>
      </c>
      <c r="C97" s="125">
        <v>51253.7</v>
      </c>
      <c r="D97" s="125">
        <v>64000</v>
      </c>
      <c r="E97" s="125">
        <v>64000</v>
      </c>
      <c r="F97" s="125">
        <f t="shared" si="24"/>
        <v>12746.300000000003</v>
      </c>
      <c r="G97" s="125">
        <f t="shared" si="17"/>
        <v>0</v>
      </c>
      <c r="H97" s="209">
        <f t="shared" si="18"/>
        <v>0</v>
      </c>
      <c r="I97" s="125">
        <f t="shared" si="19"/>
        <v>10828.8</v>
      </c>
      <c r="J97" s="125"/>
      <c r="K97" s="125"/>
      <c r="L97" s="125">
        <f t="shared" si="20"/>
        <v>928</v>
      </c>
      <c r="M97" s="125">
        <f t="shared" si="21"/>
        <v>787.2</v>
      </c>
      <c r="N97" s="125">
        <f t="shared" si="22"/>
        <v>1210.1120000000001</v>
      </c>
      <c r="O97" s="125">
        <f t="shared" si="16"/>
        <v>13754.112000000001</v>
      </c>
      <c r="P97" s="125">
        <f t="shared" si="23"/>
        <v>77754.111999999994</v>
      </c>
    </row>
    <row r="98" spans="1:16" x14ac:dyDescent="0.25">
      <c r="A98" s="124" t="s">
        <v>7737</v>
      </c>
      <c r="B98" s="125">
        <v>32000</v>
      </c>
      <c r="C98" s="125">
        <v>10660.7</v>
      </c>
      <c r="D98" s="125">
        <v>32000</v>
      </c>
      <c r="E98" s="125">
        <v>32000</v>
      </c>
      <c r="F98" s="125">
        <f t="shared" si="24"/>
        <v>21339.3</v>
      </c>
      <c r="G98" s="125">
        <f t="shared" si="17"/>
        <v>0</v>
      </c>
      <c r="H98" s="209">
        <f t="shared" si="18"/>
        <v>0</v>
      </c>
      <c r="I98" s="125">
        <f t="shared" si="19"/>
        <v>5414.4</v>
      </c>
      <c r="J98" s="125"/>
      <c r="K98" s="125"/>
      <c r="L98" s="125">
        <f t="shared" si="20"/>
        <v>464</v>
      </c>
      <c r="M98" s="125">
        <f t="shared" si="21"/>
        <v>393.6</v>
      </c>
      <c r="N98" s="125">
        <f t="shared" si="22"/>
        <v>605.05600000000004</v>
      </c>
      <c r="O98" s="125">
        <f t="shared" si="16"/>
        <v>6877.0560000000005</v>
      </c>
      <c r="P98" s="125">
        <f t="shared" si="23"/>
        <v>38877.055999999997</v>
      </c>
    </row>
    <row r="99" spans="1:16" x14ac:dyDescent="0.25">
      <c r="A99" s="124" t="s">
        <v>7738</v>
      </c>
      <c r="B99" s="125">
        <v>35000</v>
      </c>
      <c r="C99" s="125">
        <v>29901.66</v>
      </c>
      <c r="D99" s="125">
        <v>35000</v>
      </c>
      <c r="E99" s="125">
        <v>35000</v>
      </c>
      <c r="F99" s="125">
        <f t="shared" si="24"/>
        <v>5098.34</v>
      </c>
      <c r="G99" s="125">
        <f t="shared" si="17"/>
        <v>0</v>
      </c>
      <c r="H99" s="209">
        <f t="shared" si="18"/>
        <v>0</v>
      </c>
      <c r="I99" s="125">
        <f t="shared" si="19"/>
        <v>5922</v>
      </c>
      <c r="J99" s="125"/>
      <c r="K99" s="125"/>
      <c r="L99" s="125">
        <f t="shared" si="20"/>
        <v>507.5</v>
      </c>
      <c r="M99" s="125">
        <f t="shared" si="21"/>
        <v>430.5</v>
      </c>
      <c r="N99" s="125">
        <f t="shared" si="22"/>
        <v>661.78000000000009</v>
      </c>
      <c r="O99" s="125">
        <f t="shared" si="16"/>
        <v>7521.78</v>
      </c>
      <c r="P99" s="125">
        <f t="shared" si="23"/>
        <v>42521.78</v>
      </c>
    </row>
    <row r="100" spans="1:16" x14ac:dyDescent="0.25">
      <c r="A100" s="124" t="s">
        <v>7739</v>
      </c>
      <c r="B100" s="125">
        <v>231000</v>
      </c>
      <c r="C100" s="125">
        <v>193029.25</v>
      </c>
      <c r="D100" s="125">
        <v>231000</v>
      </c>
      <c r="E100" s="125">
        <v>240240</v>
      </c>
      <c r="F100" s="125">
        <f t="shared" si="24"/>
        <v>37970.75</v>
      </c>
      <c r="G100" s="125">
        <f t="shared" si="17"/>
        <v>0</v>
      </c>
      <c r="H100" s="209">
        <f t="shared" si="18"/>
        <v>0</v>
      </c>
      <c r="I100" s="125">
        <f t="shared" ref="I100:I133" si="25">+$D100*$I$1</f>
        <v>39085.199999999997</v>
      </c>
      <c r="J100" s="125"/>
      <c r="K100" s="125"/>
      <c r="L100" s="125">
        <f t="shared" ref="L100:L133" si="26">+$D100*$L$1</f>
        <v>3349.5</v>
      </c>
      <c r="M100" s="125">
        <f t="shared" ref="M100:M133" si="27">+$D100*$M$1</f>
        <v>2841.3</v>
      </c>
      <c r="N100" s="125">
        <f t="shared" ref="N100:N133" si="28">+$D100*$N$1</f>
        <v>4367.7480000000005</v>
      </c>
      <c r="O100" s="125">
        <f t="shared" si="16"/>
        <v>49643.748</v>
      </c>
      <c r="P100" s="125">
        <f t="shared" ref="P100:P131" si="29">+D100+O100</f>
        <v>280643.74800000002</v>
      </c>
    </row>
    <row r="101" spans="1:16" x14ac:dyDescent="0.25">
      <c r="A101" s="124" t="s">
        <v>7740</v>
      </c>
      <c r="B101" s="125">
        <v>620</v>
      </c>
      <c r="C101" s="125">
        <v>0</v>
      </c>
      <c r="D101" s="125">
        <v>620</v>
      </c>
      <c r="E101" s="125">
        <v>644.80000000000007</v>
      </c>
      <c r="F101" s="125">
        <f t="shared" si="24"/>
        <v>620</v>
      </c>
      <c r="G101" s="125">
        <f t="shared" si="17"/>
        <v>0</v>
      </c>
      <c r="H101" s="209">
        <f t="shared" si="18"/>
        <v>0</v>
      </c>
      <c r="I101" s="125">
        <f t="shared" si="25"/>
        <v>104.904</v>
      </c>
      <c r="J101" s="125"/>
      <c r="K101" s="125"/>
      <c r="L101" s="125">
        <f t="shared" si="26"/>
        <v>8.99</v>
      </c>
      <c r="M101" s="125">
        <f t="shared" si="27"/>
        <v>7.6260000000000003</v>
      </c>
      <c r="N101" s="125">
        <f t="shared" si="28"/>
        <v>11.72296</v>
      </c>
      <c r="O101" s="125">
        <f t="shared" si="16"/>
        <v>133.24295999999998</v>
      </c>
      <c r="P101" s="125">
        <f t="shared" si="29"/>
        <v>753.24296000000004</v>
      </c>
    </row>
    <row r="102" spans="1:16" x14ac:dyDescent="0.25">
      <c r="A102" s="124" t="s">
        <v>7741</v>
      </c>
      <c r="B102" s="125">
        <v>240000</v>
      </c>
      <c r="C102" s="125">
        <v>77003.59</v>
      </c>
      <c r="D102" s="125">
        <v>240000</v>
      </c>
      <c r="E102" s="125">
        <v>240000</v>
      </c>
      <c r="F102" s="125">
        <f t="shared" si="24"/>
        <v>162996.41</v>
      </c>
      <c r="G102" s="125">
        <f t="shared" si="17"/>
        <v>0</v>
      </c>
      <c r="H102" s="209">
        <f t="shared" si="18"/>
        <v>0</v>
      </c>
      <c r="I102" s="125">
        <f t="shared" si="25"/>
        <v>40608</v>
      </c>
      <c r="J102" s="125"/>
      <c r="K102" s="125"/>
      <c r="L102" s="125">
        <f t="shared" si="26"/>
        <v>3480</v>
      </c>
      <c r="M102" s="125">
        <f t="shared" si="27"/>
        <v>2952</v>
      </c>
      <c r="N102" s="125">
        <f t="shared" si="28"/>
        <v>4537.92</v>
      </c>
      <c r="O102" s="125">
        <f t="shared" si="16"/>
        <v>51577.919999999998</v>
      </c>
      <c r="P102" s="125">
        <f t="shared" si="29"/>
        <v>291577.92</v>
      </c>
    </row>
    <row r="103" spans="1:16" x14ac:dyDescent="0.25">
      <c r="A103" s="124" t="s">
        <v>7742</v>
      </c>
      <c r="B103" s="125">
        <v>39000</v>
      </c>
      <c r="C103" s="125">
        <v>46242.34</v>
      </c>
      <c r="D103" s="125">
        <v>39000</v>
      </c>
      <c r="E103" s="125">
        <v>48672</v>
      </c>
      <c r="F103" s="125">
        <f t="shared" si="24"/>
        <v>-7242.3399999999965</v>
      </c>
      <c r="G103" s="125">
        <f t="shared" si="17"/>
        <v>0</v>
      </c>
      <c r="H103" s="209">
        <f t="shared" si="18"/>
        <v>0</v>
      </c>
      <c r="I103" s="125">
        <f t="shared" si="25"/>
        <v>6598.7999999999993</v>
      </c>
      <c r="J103" s="125"/>
      <c r="K103" s="125"/>
      <c r="L103" s="125">
        <f t="shared" si="26"/>
        <v>565.5</v>
      </c>
      <c r="M103" s="125">
        <f t="shared" si="27"/>
        <v>479.7</v>
      </c>
      <c r="N103" s="125">
        <f t="shared" si="28"/>
        <v>737.41200000000003</v>
      </c>
      <c r="O103" s="125">
        <f t="shared" si="16"/>
        <v>8381.4119999999984</v>
      </c>
      <c r="P103" s="125">
        <f t="shared" si="29"/>
        <v>47381.411999999997</v>
      </c>
    </row>
    <row r="104" spans="1:16" x14ac:dyDescent="0.25">
      <c r="A104" s="124" t="s">
        <v>7743</v>
      </c>
      <c r="B104" s="125">
        <v>81500</v>
      </c>
      <c r="C104" s="125">
        <v>51212.27</v>
      </c>
      <c r="D104" s="125">
        <v>81500</v>
      </c>
      <c r="E104" s="125">
        <v>84760</v>
      </c>
      <c r="F104" s="125">
        <f t="shared" si="24"/>
        <v>30287.730000000003</v>
      </c>
      <c r="G104" s="125">
        <f t="shared" si="17"/>
        <v>0</v>
      </c>
      <c r="H104" s="209">
        <f t="shared" si="18"/>
        <v>0</v>
      </c>
      <c r="I104" s="125">
        <f t="shared" si="25"/>
        <v>13789.8</v>
      </c>
      <c r="J104" s="125"/>
      <c r="K104" s="125"/>
      <c r="L104" s="125">
        <f t="shared" si="26"/>
        <v>1181.75</v>
      </c>
      <c r="M104" s="125">
        <f t="shared" si="27"/>
        <v>1002.45</v>
      </c>
      <c r="N104" s="125">
        <f t="shared" si="28"/>
        <v>1541.0020000000002</v>
      </c>
      <c r="O104" s="125">
        <f t="shared" si="16"/>
        <v>17515.002</v>
      </c>
      <c r="P104" s="125">
        <f t="shared" si="29"/>
        <v>99015.002000000008</v>
      </c>
    </row>
    <row r="105" spans="1:16" x14ac:dyDescent="0.25">
      <c r="A105" s="124" t="s">
        <v>7744</v>
      </c>
      <c r="B105" s="125">
        <v>33400</v>
      </c>
      <c r="C105" s="125">
        <v>36071.589999999997</v>
      </c>
      <c r="D105" s="125">
        <v>33400</v>
      </c>
      <c r="E105" s="125">
        <v>34736</v>
      </c>
      <c r="F105" s="125">
        <f t="shared" si="24"/>
        <v>-2671.5899999999965</v>
      </c>
      <c r="G105" s="125">
        <f t="shared" si="17"/>
        <v>0</v>
      </c>
      <c r="H105" s="209">
        <f t="shared" si="18"/>
        <v>0</v>
      </c>
      <c r="I105" s="125">
        <f t="shared" si="25"/>
        <v>5651.28</v>
      </c>
      <c r="J105" s="125"/>
      <c r="K105" s="125"/>
      <c r="L105" s="125">
        <f t="shared" si="26"/>
        <v>484.3</v>
      </c>
      <c r="M105" s="125">
        <f t="shared" si="27"/>
        <v>410.82</v>
      </c>
      <c r="N105" s="125">
        <f t="shared" si="28"/>
        <v>631.52719999999999</v>
      </c>
      <c r="O105" s="125">
        <f t="shared" si="16"/>
        <v>7177.9272000000001</v>
      </c>
      <c r="P105" s="125">
        <f t="shared" si="29"/>
        <v>40577.927199999998</v>
      </c>
    </row>
    <row r="106" spans="1:16" x14ac:dyDescent="0.25">
      <c r="A106" s="124" t="s">
        <v>7745</v>
      </c>
      <c r="B106" s="125">
        <v>2900</v>
      </c>
      <c r="C106" s="125">
        <v>0</v>
      </c>
      <c r="D106" s="125">
        <v>2900</v>
      </c>
      <c r="E106" s="125">
        <v>2900</v>
      </c>
      <c r="F106" s="125">
        <f t="shared" si="24"/>
        <v>2900</v>
      </c>
      <c r="G106" s="125">
        <f t="shared" si="17"/>
        <v>0</v>
      </c>
      <c r="H106" s="209">
        <f t="shared" si="18"/>
        <v>0</v>
      </c>
      <c r="I106" s="125">
        <f t="shared" si="25"/>
        <v>490.67999999999995</v>
      </c>
      <c r="J106" s="125"/>
      <c r="K106" s="125"/>
      <c r="L106" s="125">
        <f t="shared" si="26"/>
        <v>42.050000000000004</v>
      </c>
      <c r="M106" s="125">
        <f t="shared" si="27"/>
        <v>35.67</v>
      </c>
      <c r="N106" s="125">
        <f t="shared" si="28"/>
        <v>54.833200000000005</v>
      </c>
      <c r="O106" s="125">
        <f t="shared" si="16"/>
        <v>623.2331999999999</v>
      </c>
      <c r="P106" s="125">
        <f t="shared" si="29"/>
        <v>3523.2331999999997</v>
      </c>
    </row>
    <row r="107" spans="1:16" x14ac:dyDescent="0.25">
      <c r="A107" s="124" t="s">
        <v>7746</v>
      </c>
      <c r="B107" s="125">
        <v>3400</v>
      </c>
      <c r="C107" s="125">
        <v>0</v>
      </c>
      <c r="D107" s="125">
        <v>3400</v>
      </c>
      <c r="E107" s="125">
        <v>3400</v>
      </c>
      <c r="F107" s="125">
        <f t="shared" si="24"/>
        <v>3400</v>
      </c>
      <c r="G107" s="125">
        <f t="shared" si="17"/>
        <v>0</v>
      </c>
      <c r="H107" s="209">
        <f t="shared" si="18"/>
        <v>0</v>
      </c>
      <c r="I107" s="125">
        <f t="shared" si="25"/>
        <v>575.28</v>
      </c>
      <c r="J107" s="125"/>
      <c r="K107" s="125"/>
      <c r="L107" s="125">
        <f t="shared" si="26"/>
        <v>49.300000000000004</v>
      </c>
      <c r="M107" s="125">
        <f t="shared" si="27"/>
        <v>41.82</v>
      </c>
      <c r="N107" s="125">
        <f t="shared" si="28"/>
        <v>64.287199999999999</v>
      </c>
      <c r="O107" s="125">
        <f t="shared" si="16"/>
        <v>730.68719999999996</v>
      </c>
      <c r="P107" s="125">
        <f t="shared" si="29"/>
        <v>4130.6872000000003</v>
      </c>
    </row>
    <row r="108" spans="1:16" x14ac:dyDescent="0.25">
      <c r="A108" s="124" t="s">
        <v>7747</v>
      </c>
      <c r="B108" s="125">
        <v>3500</v>
      </c>
      <c r="C108" s="125">
        <v>2336.6999999999998</v>
      </c>
      <c r="D108" s="125">
        <v>3500</v>
      </c>
      <c r="E108" s="125">
        <v>3640</v>
      </c>
      <c r="F108" s="125">
        <f t="shared" si="24"/>
        <v>1163.3000000000002</v>
      </c>
      <c r="G108" s="125">
        <f t="shared" si="17"/>
        <v>0</v>
      </c>
      <c r="H108" s="209">
        <f t="shared" si="18"/>
        <v>0</v>
      </c>
      <c r="I108" s="125">
        <f t="shared" si="25"/>
        <v>592.19999999999993</v>
      </c>
      <c r="J108" s="125"/>
      <c r="K108" s="125"/>
      <c r="L108" s="125">
        <f t="shared" si="26"/>
        <v>50.75</v>
      </c>
      <c r="M108" s="125">
        <f t="shared" si="27"/>
        <v>43.05</v>
      </c>
      <c r="N108" s="125">
        <f t="shared" si="28"/>
        <v>66.177999999999997</v>
      </c>
      <c r="O108" s="125">
        <f t="shared" si="16"/>
        <v>752.17799999999988</v>
      </c>
      <c r="P108" s="125">
        <f t="shared" si="29"/>
        <v>4252.1779999999999</v>
      </c>
    </row>
    <row r="109" spans="1:16" x14ac:dyDescent="0.25">
      <c r="A109" s="124" t="s">
        <v>7748</v>
      </c>
      <c r="B109" s="125">
        <v>142438</v>
      </c>
      <c r="C109" s="125">
        <v>76968.210000000006</v>
      </c>
      <c r="D109" s="125">
        <v>142438</v>
      </c>
      <c r="E109" s="125">
        <v>142438</v>
      </c>
      <c r="F109" s="125">
        <f t="shared" si="24"/>
        <v>65469.789999999994</v>
      </c>
      <c r="G109" s="125">
        <f t="shared" si="17"/>
        <v>0</v>
      </c>
      <c r="H109" s="209">
        <f t="shared" si="18"/>
        <v>0</v>
      </c>
      <c r="I109" s="125">
        <f t="shared" si="25"/>
        <v>24100.509599999998</v>
      </c>
      <c r="J109" s="125"/>
      <c r="K109" s="125"/>
      <c r="L109" s="125">
        <f t="shared" si="26"/>
        <v>2065.3510000000001</v>
      </c>
      <c r="M109" s="125">
        <f t="shared" si="27"/>
        <v>1751.9874</v>
      </c>
      <c r="N109" s="125">
        <f t="shared" si="28"/>
        <v>2693.2177040000001</v>
      </c>
      <c r="O109" s="125">
        <f t="shared" si="16"/>
        <v>30611.065703999997</v>
      </c>
      <c r="P109" s="125">
        <f t="shared" si="29"/>
        <v>173049.06570400001</v>
      </c>
    </row>
    <row r="110" spans="1:16" x14ac:dyDescent="0.25">
      <c r="A110" s="124" t="s">
        <v>7749</v>
      </c>
      <c r="B110" s="125">
        <v>95000</v>
      </c>
      <c r="C110" s="125">
        <v>71994.87</v>
      </c>
      <c r="D110" s="125">
        <v>95000</v>
      </c>
      <c r="E110" s="125">
        <v>95000</v>
      </c>
      <c r="F110" s="125">
        <f t="shared" si="24"/>
        <v>23005.130000000005</v>
      </c>
      <c r="G110" s="125">
        <f t="shared" si="17"/>
        <v>0</v>
      </c>
      <c r="H110" s="209">
        <f t="shared" si="18"/>
        <v>0</v>
      </c>
      <c r="I110" s="125">
        <f t="shared" si="25"/>
        <v>16073.999999999998</v>
      </c>
      <c r="J110" s="125"/>
      <c r="K110" s="125"/>
      <c r="L110" s="125">
        <f t="shared" si="26"/>
        <v>1377.5</v>
      </c>
      <c r="M110" s="125">
        <f t="shared" si="27"/>
        <v>1168.5</v>
      </c>
      <c r="N110" s="125">
        <f t="shared" si="28"/>
        <v>1796.2600000000002</v>
      </c>
      <c r="O110" s="125">
        <f t="shared" si="16"/>
        <v>20416.260000000002</v>
      </c>
      <c r="P110" s="125">
        <f t="shared" si="29"/>
        <v>115416.26000000001</v>
      </c>
    </row>
    <row r="111" spans="1:16" x14ac:dyDescent="0.25">
      <c r="A111" s="124" t="s">
        <v>7750</v>
      </c>
      <c r="B111" s="125">
        <v>64500</v>
      </c>
      <c r="C111" s="125">
        <v>72719.850000000006</v>
      </c>
      <c r="D111" s="125">
        <v>64500</v>
      </c>
      <c r="E111" s="125">
        <v>76000</v>
      </c>
      <c r="F111" s="125">
        <f t="shared" si="24"/>
        <v>-8219.8500000000058</v>
      </c>
      <c r="G111" s="125">
        <f t="shared" si="17"/>
        <v>0</v>
      </c>
      <c r="H111" s="209">
        <f t="shared" si="18"/>
        <v>0</v>
      </c>
      <c r="I111" s="125">
        <f t="shared" si="25"/>
        <v>10913.4</v>
      </c>
      <c r="J111" s="125"/>
      <c r="K111" s="125"/>
      <c r="L111" s="125">
        <f t="shared" si="26"/>
        <v>935.25</v>
      </c>
      <c r="M111" s="125">
        <f t="shared" si="27"/>
        <v>793.35</v>
      </c>
      <c r="N111" s="125">
        <f t="shared" si="28"/>
        <v>1219.566</v>
      </c>
      <c r="O111" s="125">
        <f t="shared" si="16"/>
        <v>13861.566000000001</v>
      </c>
      <c r="P111" s="125">
        <f t="shared" si="29"/>
        <v>78361.566000000006</v>
      </c>
    </row>
    <row r="112" spans="1:16" x14ac:dyDescent="0.25">
      <c r="A112" s="124" t="s">
        <v>7751</v>
      </c>
      <c r="B112" s="125">
        <v>13000</v>
      </c>
      <c r="C112" s="125">
        <v>4635.96</v>
      </c>
      <c r="D112" s="125">
        <v>13000</v>
      </c>
      <c r="E112" s="125">
        <v>13000</v>
      </c>
      <c r="F112" s="125">
        <f t="shared" si="24"/>
        <v>8364.0400000000009</v>
      </c>
      <c r="G112" s="125">
        <f t="shared" si="17"/>
        <v>0</v>
      </c>
      <c r="H112" s="209">
        <f t="shared" si="18"/>
        <v>0</v>
      </c>
      <c r="I112" s="125">
        <f t="shared" si="25"/>
        <v>2199.6</v>
      </c>
      <c r="J112" s="125"/>
      <c r="K112" s="125"/>
      <c r="L112" s="125">
        <f t="shared" si="26"/>
        <v>188.5</v>
      </c>
      <c r="M112" s="125">
        <f t="shared" si="27"/>
        <v>159.9</v>
      </c>
      <c r="N112" s="125">
        <f t="shared" si="28"/>
        <v>245.804</v>
      </c>
      <c r="O112" s="125">
        <f t="shared" si="16"/>
        <v>2793.8040000000001</v>
      </c>
      <c r="P112" s="125">
        <f t="shared" si="29"/>
        <v>15793.804</v>
      </c>
    </row>
    <row r="113" spans="1:16" x14ac:dyDescent="0.25">
      <c r="A113" s="124" t="s">
        <v>7752</v>
      </c>
      <c r="B113" s="125">
        <v>30000</v>
      </c>
      <c r="C113" s="125">
        <v>16801.400000000001</v>
      </c>
      <c r="D113" s="125">
        <v>30000</v>
      </c>
      <c r="E113" s="125">
        <v>30000</v>
      </c>
      <c r="F113" s="125">
        <f t="shared" si="24"/>
        <v>13198.599999999999</v>
      </c>
      <c r="G113" s="125">
        <f t="shared" si="17"/>
        <v>0</v>
      </c>
      <c r="H113" s="209">
        <f t="shared" si="18"/>
        <v>0</v>
      </c>
      <c r="I113" s="125">
        <f t="shared" si="25"/>
        <v>5076</v>
      </c>
      <c r="J113" s="125"/>
      <c r="K113" s="125"/>
      <c r="L113" s="125">
        <f t="shared" si="26"/>
        <v>435</v>
      </c>
      <c r="M113" s="125">
        <f t="shared" si="27"/>
        <v>369</v>
      </c>
      <c r="N113" s="125">
        <f t="shared" si="28"/>
        <v>567.24</v>
      </c>
      <c r="O113" s="125">
        <f t="shared" si="16"/>
        <v>6447.24</v>
      </c>
      <c r="P113" s="125">
        <f t="shared" si="29"/>
        <v>36447.24</v>
      </c>
    </row>
    <row r="114" spans="1:16" x14ac:dyDescent="0.25">
      <c r="A114" s="124" t="s">
        <v>7753</v>
      </c>
      <c r="B114" s="125">
        <v>101500</v>
      </c>
      <c r="C114" s="125">
        <v>51298.74</v>
      </c>
      <c r="D114" s="125">
        <v>101500</v>
      </c>
      <c r="E114" s="125">
        <v>74500</v>
      </c>
      <c r="F114" s="125">
        <f t="shared" si="24"/>
        <v>50201.26</v>
      </c>
      <c r="G114" s="125">
        <f t="shared" si="17"/>
        <v>0</v>
      </c>
      <c r="H114" s="209">
        <f t="shared" si="18"/>
        <v>0</v>
      </c>
      <c r="I114" s="125">
        <f t="shared" si="25"/>
        <v>17173.8</v>
      </c>
      <c r="J114" s="125"/>
      <c r="K114" s="125"/>
      <c r="L114" s="125">
        <f t="shared" si="26"/>
        <v>1471.75</v>
      </c>
      <c r="M114" s="125">
        <f t="shared" si="27"/>
        <v>1248.45</v>
      </c>
      <c r="N114" s="125">
        <f t="shared" si="28"/>
        <v>1919.162</v>
      </c>
      <c r="O114" s="125">
        <f t="shared" si="16"/>
        <v>21813.162</v>
      </c>
      <c r="P114" s="125">
        <f t="shared" si="29"/>
        <v>123313.162</v>
      </c>
    </row>
    <row r="115" spans="1:16" x14ac:dyDescent="0.25">
      <c r="A115" s="124" t="s">
        <v>7754</v>
      </c>
      <c r="B115" s="125">
        <v>8480</v>
      </c>
      <c r="C115" s="125">
        <v>2077.17</v>
      </c>
      <c r="D115" s="125">
        <v>8480</v>
      </c>
      <c r="E115" s="125">
        <v>8480</v>
      </c>
      <c r="F115" s="125">
        <f t="shared" si="24"/>
        <v>6402.83</v>
      </c>
      <c r="G115" s="125">
        <f t="shared" si="17"/>
        <v>0</v>
      </c>
      <c r="H115" s="209">
        <f t="shared" si="18"/>
        <v>0</v>
      </c>
      <c r="I115" s="125">
        <f t="shared" si="25"/>
        <v>1434.8159999999998</v>
      </c>
      <c r="J115" s="125"/>
      <c r="K115" s="125"/>
      <c r="L115" s="125">
        <f t="shared" si="26"/>
        <v>122.96000000000001</v>
      </c>
      <c r="M115" s="125">
        <f t="shared" si="27"/>
        <v>104.304</v>
      </c>
      <c r="N115" s="125">
        <f t="shared" si="28"/>
        <v>160.33984000000001</v>
      </c>
      <c r="O115" s="125">
        <f t="shared" si="16"/>
        <v>1822.41984</v>
      </c>
      <c r="P115" s="125">
        <f t="shared" si="29"/>
        <v>10302.41984</v>
      </c>
    </row>
    <row r="116" spans="1:16" x14ac:dyDescent="0.25">
      <c r="A116" s="124" t="s">
        <v>7755</v>
      </c>
      <c r="B116" s="125">
        <v>9572</v>
      </c>
      <c r="C116" s="125">
        <v>0</v>
      </c>
      <c r="D116" s="125">
        <v>9572</v>
      </c>
      <c r="E116" s="125">
        <v>11000</v>
      </c>
      <c r="F116" s="125">
        <f t="shared" si="24"/>
        <v>9572</v>
      </c>
      <c r="G116" s="125">
        <f t="shared" si="17"/>
        <v>0</v>
      </c>
      <c r="H116" s="209">
        <f t="shared" si="18"/>
        <v>0</v>
      </c>
      <c r="I116" s="125">
        <f t="shared" si="25"/>
        <v>1619.5824</v>
      </c>
      <c r="J116" s="125"/>
      <c r="K116" s="125"/>
      <c r="L116" s="125">
        <f t="shared" si="26"/>
        <v>138.79400000000001</v>
      </c>
      <c r="M116" s="125">
        <f t="shared" si="27"/>
        <v>117.73560000000001</v>
      </c>
      <c r="N116" s="125">
        <f t="shared" si="28"/>
        <v>180.98737600000001</v>
      </c>
      <c r="O116" s="125">
        <f t="shared" si="16"/>
        <v>2057.0993760000001</v>
      </c>
      <c r="P116" s="125">
        <f t="shared" si="29"/>
        <v>11629.099376</v>
      </c>
    </row>
    <row r="117" spans="1:16" x14ac:dyDescent="0.25">
      <c r="A117" s="124" t="s">
        <v>7756</v>
      </c>
      <c r="B117" s="125">
        <v>176227</v>
      </c>
      <c r="C117" s="125">
        <v>104802.85</v>
      </c>
      <c r="D117" s="125">
        <v>176227</v>
      </c>
      <c r="E117" s="125">
        <v>176842</v>
      </c>
      <c r="F117" s="125">
        <f t="shared" si="24"/>
        <v>71424.149999999994</v>
      </c>
      <c r="G117" s="125">
        <f t="shared" si="17"/>
        <v>0</v>
      </c>
      <c r="H117" s="209">
        <f t="shared" si="18"/>
        <v>0</v>
      </c>
      <c r="I117" s="125">
        <f t="shared" si="25"/>
        <v>29817.608399999997</v>
      </c>
      <c r="J117" s="125"/>
      <c r="K117" s="125"/>
      <c r="L117" s="125">
        <f t="shared" si="26"/>
        <v>2555.2915000000003</v>
      </c>
      <c r="M117" s="125">
        <f t="shared" si="27"/>
        <v>2167.5920999999998</v>
      </c>
      <c r="N117" s="125">
        <f t="shared" si="28"/>
        <v>3332.1001160000001</v>
      </c>
      <c r="O117" s="125">
        <f t="shared" si="16"/>
        <v>37872.592116</v>
      </c>
      <c r="P117" s="125">
        <f t="shared" si="29"/>
        <v>214099.59211600001</v>
      </c>
    </row>
    <row r="118" spans="1:16" x14ac:dyDescent="0.25">
      <c r="A118" s="124" t="s">
        <v>7757</v>
      </c>
      <c r="B118" s="125">
        <v>100266</v>
      </c>
      <c r="C118" s="125">
        <v>80362.960000000006</v>
      </c>
      <c r="D118" s="125">
        <v>100266</v>
      </c>
      <c r="E118" s="125">
        <v>100266</v>
      </c>
      <c r="F118" s="125">
        <f t="shared" si="24"/>
        <v>19903.039999999994</v>
      </c>
      <c r="G118" s="125">
        <f t="shared" si="17"/>
        <v>0</v>
      </c>
      <c r="H118" s="209">
        <f t="shared" si="18"/>
        <v>0</v>
      </c>
      <c r="I118" s="125">
        <f t="shared" si="25"/>
        <v>16965.0072</v>
      </c>
      <c r="J118" s="125"/>
      <c r="K118" s="125"/>
      <c r="L118" s="125">
        <f t="shared" si="26"/>
        <v>1453.857</v>
      </c>
      <c r="M118" s="125">
        <f t="shared" si="27"/>
        <v>1233.2718</v>
      </c>
      <c r="N118" s="125">
        <f t="shared" si="28"/>
        <v>1895.8295280000002</v>
      </c>
      <c r="O118" s="125">
        <f t="shared" ref="O118:O133" si="30">SUM(I118:N118)</f>
        <v>21547.965528000001</v>
      </c>
      <c r="P118" s="125">
        <f t="shared" si="29"/>
        <v>121813.965528</v>
      </c>
    </row>
    <row r="119" spans="1:16" s="3" customFormat="1" x14ac:dyDescent="0.25">
      <c r="A119" s="126" t="s">
        <v>7758</v>
      </c>
      <c r="B119" s="8">
        <v>0</v>
      </c>
      <c r="C119" s="8">
        <v>25561.02</v>
      </c>
      <c r="D119" s="8">
        <v>0</v>
      </c>
      <c r="E119" s="8"/>
      <c r="F119" s="125">
        <f t="shared" si="24"/>
        <v>-25561.02</v>
      </c>
      <c r="G119" s="125">
        <f t="shared" si="17"/>
        <v>0</v>
      </c>
      <c r="H119" s="209" t="e">
        <f t="shared" si="18"/>
        <v>#DIV/0!</v>
      </c>
      <c r="I119" s="125">
        <f t="shared" si="25"/>
        <v>0</v>
      </c>
      <c r="J119" s="125"/>
      <c r="K119" s="125"/>
      <c r="L119" s="125">
        <f t="shared" si="26"/>
        <v>0</v>
      </c>
      <c r="M119" s="125">
        <f t="shared" si="27"/>
        <v>0</v>
      </c>
      <c r="N119" s="125">
        <f t="shared" si="28"/>
        <v>0</v>
      </c>
      <c r="O119" s="125">
        <f t="shared" si="30"/>
        <v>0</v>
      </c>
      <c r="P119" s="125">
        <f t="shared" si="29"/>
        <v>0</v>
      </c>
    </row>
    <row r="120" spans="1:16" x14ac:dyDescent="0.25">
      <c r="A120" s="124" t="s">
        <v>7759</v>
      </c>
      <c r="B120" s="125">
        <v>46109</v>
      </c>
      <c r="C120" s="125">
        <v>8419.7000000000007</v>
      </c>
      <c r="D120" s="125">
        <v>46109</v>
      </c>
      <c r="F120" s="125">
        <f t="shared" si="24"/>
        <v>37689.300000000003</v>
      </c>
      <c r="G120" s="125">
        <f t="shared" si="17"/>
        <v>0</v>
      </c>
      <c r="H120" s="209">
        <f t="shared" si="18"/>
        <v>0</v>
      </c>
      <c r="I120" s="125">
        <f t="shared" si="25"/>
        <v>7801.6427999999996</v>
      </c>
      <c r="J120" s="125"/>
      <c r="K120" s="125"/>
      <c r="L120" s="125">
        <f t="shared" si="26"/>
        <v>668.58050000000003</v>
      </c>
      <c r="M120" s="125">
        <f t="shared" si="27"/>
        <v>567.14070000000004</v>
      </c>
      <c r="N120" s="125">
        <f t="shared" si="28"/>
        <v>871.82897200000002</v>
      </c>
      <c r="O120" s="125">
        <f t="shared" si="30"/>
        <v>9909.1929719999989</v>
      </c>
      <c r="P120" s="125">
        <f t="shared" si="29"/>
        <v>56018.192971999997</v>
      </c>
    </row>
    <row r="121" spans="1:16" x14ac:dyDescent="0.25">
      <c r="A121" s="124" t="s">
        <v>7760</v>
      </c>
      <c r="B121" s="125">
        <v>75234</v>
      </c>
      <c r="C121" s="125">
        <v>24624.21</v>
      </c>
      <c r="D121" s="125">
        <v>75234</v>
      </c>
      <c r="E121" s="125">
        <v>75736.08</v>
      </c>
      <c r="F121" s="125">
        <f t="shared" si="24"/>
        <v>50609.79</v>
      </c>
      <c r="G121" s="125">
        <f t="shared" si="17"/>
        <v>0</v>
      </c>
      <c r="H121" s="209">
        <f t="shared" si="18"/>
        <v>0</v>
      </c>
      <c r="I121" s="125">
        <f t="shared" si="25"/>
        <v>12729.592799999999</v>
      </c>
      <c r="J121" s="125"/>
      <c r="K121" s="125"/>
      <c r="L121" s="125">
        <f t="shared" si="26"/>
        <v>1090.893</v>
      </c>
      <c r="M121" s="125">
        <f t="shared" si="27"/>
        <v>925.37819999999999</v>
      </c>
      <c r="N121" s="125">
        <f t="shared" si="28"/>
        <v>1422.5244720000001</v>
      </c>
      <c r="O121" s="125">
        <f t="shared" si="30"/>
        <v>16168.388471999999</v>
      </c>
      <c r="P121" s="125">
        <f t="shared" si="29"/>
        <v>91402.388471999991</v>
      </c>
    </row>
    <row r="122" spans="1:16" x14ac:dyDescent="0.25">
      <c r="A122" s="124" t="s">
        <v>7761</v>
      </c>
      <c r="B122" s="125">
        <v>13944</v>
      </c>
      <c r="C122" s="125">
        <v>3288.6</v>
      </c>
      <c r="D122" s="125">
        <v>13944</v>
      </c>
      <c r="E122" s="125">
        <v>103275</v>
      </c>
      <c r="F122" s="125">
        <f t="shared" si="24"/>
        <v>10655.4</v>
      </c>
      <c r="G122" s="125">
        <f t="shared" si="17"/>
        <v>0</v>
      </c>
      <c r="H122" s="209">
        <f t="shared" si="18"/>
        <v>0</v>
      </c>
      <c r="I122" s="125">
        <f t="shared" si="25"/>
        <v>2359.3247999999999</v>
      </c>
      <c r="J122" s="125"/>
      <c r="K122" s="125"/>
      <c r="L122" s="125">
        <f t="shared" si="26"/>
        <v>202.18800000000002</v>
      </c>
      <c r="M122" s="125">
        <f t="shared" si="27"/>
        <v>171.5112</v>
      </c>
      <c r="N122" s="125">
        <f t="shared" si="28"/>
        <v>263.65315200000003</v>
      </c>
      <c r="O122" s="125">
        <f t="shared" si="30"/>
        <v>2996.6771519999998</v>
      </c>
      <c r="P122" s="125">
        <f t="shared" si="29"/>
        <v>16940.677152</v>
      </c>
    </row>
    <row r="123" spans="1:16" x14ac:dyDescent="0.25">
      <c r="A123" s="124" t="s">
        <v>7762</v>
      </c>
      <c r="B123" s="125">
        <v>23000</v>
      </c>
      <c r="C123" s="125">
        <v>2525.91</v>
      </c>
      <c r="D123" s="125">
        <v>23000</v>
      </c>
      <c r="E123" s="125">
        <v>40572.9</v>
      </c>
      <c r="F123" s="125">
        <f t="shared" si="24"/>
        <v>20474.09</v>
      </c>
      <c r="G123" s="125">
        <f t="shared" si="17"/>
        <v>0</v>
      </c>
      <c r="H123" s="209">
        <f t="shared" si="18"/>
        <v>0</v>
      </c>
      <c r="I123" s="125">
        <f t="shared" si="25"/>
        <v>3891.6</v>
      </c>
      <c r="J123" s="125"/>
      <c r="K123" s="125"/>
      <c r="L123" s="125">
        <f t="shared" si="26"/>
        <v>333.5</v>
      </c>
      <c r="M123" s="125">
        <f t="shared" si="27"/>
        <v>282.89999999999998</v>
      </c>
      <c r="N123" s="125">
        <f t="shared" si="28"/>
        <v>434.88400000000001</v>
      </c>
      <c r="O123" s="125">
        <f t="shared" si="30"/>
        <v>4942.884</v>
      </c>
      <c r="P123" s="125">
        <f t="shared" si="29"/>
        <v>27942.883999999998</v>
      </c>
    </row>
    <row r="124" spans="1:16" x14ac:dyDescent="0.25">
      <c r="A124" s="124" t="s">
        <v>7763</v>
      </c>
      <c r="B124" s="125">
        <v>3000</v>
      </c>
      <c r="C124" s="125">
        <v>4297.68</v>
      </c>
      <c r="D124" s="125">
        <v>3000</v>
      </c>
      <c r="E124" s="125">
        <v>14000</v>
      </c>
      <c r="F124" s="125">
        <f t="shared" si="24"/>
        <v>-1297.6800000000003</v>
      </c>
      <c r="G124" s="125">
        <f t="shared" si="17"/>
        <v>0</v>
      </c>
      <c r="H124" s="209">
        <f t="shared" si="18"/>
        <v>0</v>
      </c>
      <c r="I124" s="125">
        <f t="shared" si="25"/>
        <v>507.59999999999997</v>
      </c>
      <c r="J124" s="125"/>
      <c r="K124" s="125"/>
      <c r="L124" s="125">
        <f t="shared" si="26"/>
        <v>43.5</v>
      </c>
      <c r="M124" s="125">
        <f t="shared" si="27"/>
        <v>36.9</v>
      </c>
      <c r="N124" s="125">
        <f t="shared" si="28"/>
        <v>56.724000000000004</v>
      </c>
      <c r="O124" s="125">
        <f t="shared" si="30"/>
        <v>644.72399999999993</v>
      </c>
      <c r="P124" s="125">
        <f t="shared" si="29"/>
        <v>3644.7240000000002</v>
      </c>
    </row>
    <row r="125" spans="1:16" x14ac:dyDescent="0.25">
      <c r="A125" s="124" t="s">
        <v>7764</v>
      </c>
      <c r="B125" s="125">
        <v>3000</v>
      </c>
      <c r="C125" s="125">
        <v>28.44</v>
      </c>
      <c r="D125" s="125">
        <v>3000</v>
      </c>
      <c r="E125" s="125">
        <v>3000</v>
      </c>
      <c r="F125" s="125">
        <f t="shared" si="24"/>
        <v>2971.56</v>
      </c>
      <c r="G125" s="125">
        <f t="shared" si="17"/>
        <v>0</v>
      </c>
      <c r="H125" s="209">
        <f t="shared" si="18"/>
        <v>0</v>
      </c>
      <c r="I125" s="125">
        <f t="shared" si="25"/>
        <v>507.59999999999997</v>
      </c>
      <c r="J125" s="125"/>
      <c r="K125" s="125"/>
      <c r="L125" s="125">
        <f t="shared" si="26"/>
        <v>43.5</v>
      </c>
      <c r="M125" s="125">
        <f t="shared" si="27"/>
        <v>36.9</v>
      </c>
      <c r="N125" s="125">
        <f t="shared" si="28"/>
        <v>56.724000000000004</v>
      </c>
      <c r="O125" s="125">
        <f t="shared" si="30"/>
        <v>644.72399999999993</v>
      </c>
      <c r="P125" s="125">
        <f t="shared" si="29"/>
        <v>3644.7240000000002</v>
      </c>
    </row>
    <row r="126" spans="1:16" x14ac:dyDescent="0.25">
      <c r="A126" s="124" t="s">
        <v>7765</v>
      </c>
      <c r="B126" s="125">
        <v>33050</v>
      </c>
      <c r="C126" s="125">
        <v>31184.81</v>
      </c>
      <c r="D126" s="125">
        <v>33050</v>
      </c>
      <c r="E126" s="125">
        <v>54527</v>
      </c>
      <c r="F126" s="125">
        <f t="shared" si="24"/>
        <v>1865.1899999999987</v>
      </c>
      <c r="G126" s="125">
        <f t="shared" si="17"/>
        <v>0</v>
      </c>
      <c r="H126" s="209">
        <f t="shared" si="18"/>
        <v>0</v>
      </c>
      <c r="I126" s="125">
        <f t="shared" si="25"/>
        <v>5592.0599999999995</v>
      </c>
      <c r="J126" s="125"/>
      <c r="K126" s="125"/>
      <c r="L126" s="125">
        <f t="shared" si="26"/>
        <v>479.22500000000002</v>
      </c>
      <c r="M126" s="125">
        <f t="shared" si="27"/>
        <v>406.51499999999999</v>
      </c>
      <c r="N126" s="125">
        <f t="shared" si="28"/>
        <v>624.90940000000001</v>
      </c>
      <c r="O126" s="125">
        <f t="shared" si="30"/>
        <v>7102.7093999999997</v>
      </c>
      <c r="P126" s="125">
        <f t="shared" si="29"/>
        <v>40152.7094</v>
      </c>
    </row>
    <row r="127" spans="1:16" x14ac:dyDescent="0.25">
      <c r="A127" s="124" t="s">
        <v>7766</v>
      </c>
      <c r="B127" s="125">
        <v>142912</v>
      </c>
      <c r="C127" s="125">
        <v>155405.46</v>
      </c>
      <c r="D127" s="125">
        <v>142912</v>
      </c>
      <c r="E127" s="125">
        <v>144341.12</v>
      </c>
      <c r="F127" s="125">
        <f t="shared" si="24"/>
        <v>-12493.459999999992</v>
      </c>
      <c r="G127" s="125">
        <f t="shared" si="17"/>
        <v>0</v>
      </c>
      <c r="H127" s="209">
        <f t="shared" si="18"/>
        <v>0</v>
      </c>
      <c r="I127" s="125">
        <f t="shared" si="25"/>
        <v>24180.7104</v>
      </c>
      <c r="J127" s="125"/>
      <c r="K127" s="125"/>
      <c r="L127" s="125">
        <f t="shared" si="26"/>
        <v>2072.2240000000002</v>
      </c>
      <c r="M127" s="125">
        <f t="shared" si="27"/>
        <v>1757.8176000000001</v>
      </c>
      <c r="N127" s="125">
        <f t="shared" si="28"/>
        <v>2702.180096</v>
      </c>
      <c r="O127" s="125">
        <f t="shared" si="30"/>
        <v>30712.932095999997</v>
      </c>
      <c r="P127" s="125">
        <f t="shared" si="29"/>
        <v>173624.932096</v>
      </c>
    </row>
    <row r="128" spans="1:16" x14ac:dyDescent="0.25">
      <c r="A128" s="124" t="s">
        <v>7767</v>
      </c>
      <c r="B128" s="125">
        <v>300000</v>
      </c>
      <c r="C128" s="125">
        <v>148597.1</v>
      </c>
      <c r="D128" s="125">
        <v>300000</v>
      </c>
      <c r="E128" s="125">
        <v>375360</v>
      </c>
      <c r="F128" s="125">
        <f t="shared" si="24"/>
        <v>151402.9</v>
      </c>
      <c r="G128" s="125">
        <f t="shared" si="17"/>
        <v>0</v>
      </c>
      <c r="H128" s="209">
        <f t="shared" si="18"/>
        <v>0</v>
      </c>
      <c r="I128" s="125">
        <f t="shared" si="25"/>
        <v>50760</v>
      </c>
      <c r="J128" s="125"/>
      <c r="K128" s="125"/>
      <c r="L128" s="125">
        <f t="shared" si="26"/>
        <v>4350</v>
      </c>
      <c r="M128" s="125">
        <f t="shared" si="27"/>
        <v>3690</v>
      </c>
      <c r="N128" s="125">
        <f t="shared" si="28"/>
        <v>5672.4000000000005</v>
      </c>
      <c r="O128" s="125">
        <f t="shared" si="30"/>
        <v>64472.4</v>
      </c>
      <c r="P128" s="125">
        <f t="shared" si="29"/>
        <v>364472.4</v>
      </c>
    </row>
    <row r="129" spans="1:16" x14ac:dyDescent="0.25">
      <c r="A129" s="124" t="s">
        <v>7768</v>
      </c>
      <c r="B129" s="125">
        <v>127000</v>
      </c>
      <c r="C129" s="125">
        <v>113968.04</v>
      </c>
      <c r="D129" s="125">
        <v>127000</v>
      </c>
      <c r="E129" s="125">
        <v>140330</v>
      </c>
      <c r="F129" s="125">
        <f t="shared" si="24"/>
        <v>13031.960000000006</v>
      </c>
      <c r="G129" s="125">
        <f t="shared" si="17"/>
        <v>0</v>
      </c>
      <c r="H129" s="209">
        <f t="shared" si="18"/>
        <v>0</v>
      </c>
      <c r="I129" s="125">
        <f t="shared" si="25"/>
        <v>21488.399999999998</v>
      </c>
      <c r="J129" s="125"/>
      <c r="K129" s="125"/>
      <c r="L129" s="125">
        <f t="shared" si="26"/>
        <v>1841.5</v>
      </c>
      <c r="M129" s="125">
        <f t="shared" si="27"/>
        <v>1562.1</v>
      </c>
      <c r="N129" s="125">
        <f t="shared" si="28"/>
        <v>2401.3160000000003</v>
      </c>
      <c r="O129" s="125">
        <f t="shared" si="30"/>
        <v>27293.315999999995</v>
      </c>
      <c r="P129" s="125">
        <f t="shared" si="29"/>
        <v>154293.31599999999</v>
      </c>
    </row>
    <row r="130" spans="1:16" x14ac:dyDescent="0.25">
      <c r="A130" s="124" t="s">
        <v>7769</v>
      </c>
      <c r="B130" s="125">
        <v>175000</v>
      </c>
      <c r="C130" s="125">
        <v>81713.87</v>
      </c>
      <c r="D130" s="125">
        <v>175000</v>
      </c>
      <c r="E130" s="125">
        <v>176750</v>
      </c>
      <c r="F130" s="125">
        <f t="shared" si="24"/>
        <v>93286.13</v>
      </c>
      <c r="G130" s="125">
        <f t="shared" si="17"/>
        <v>0</v>
      </c>
      <c r="H130" s="209">
        <f t="shared" si="18"/>
        <v>0</v>
      </c>
      <c r="I130" s="125">
        <f t="shared" si="25"/>
        <v>29609.999999999996</v>
      </c>
      <c r="J130" s="125"/>
      <c r="K130" s="125"/>
      <c r="L130" s="125">
        <f t="shared" si="26"/>
        <v>2537.5</v>
      </c>
      <c r="M130" s="125">
        <f t="shared" si="27"/>
        <v>2152.5</v>
      </c>
      <c r="N130" s="125">
        <f t="shared" si="28"/>
        <v>3308.9</v>
      </c>
      <c r="O130" s="125">
        <f t="shared" si="30"/>
        <v>37608.9</v>
      </c>
      <c r="P130" s="125">
        <f t="shared" si="29"/>
        <v>212608.9</v>
      </c>
    </row>
    <row r="131" spans="1:16" x14ac:dyDescent="0.25">
      <c r="A131" s="124" t="s">
        <v>7770</v>
      </c>
      <c r="B131" s="125">
        <v>58317</v>
      </c>
      <c r="C131" s="125">
        <v>36751.64</v>
      </c>
      <c r="D131" s="125">
        <v>58317</v>
      </c>
      <c r="E131" s="125">
        <v>58317</v>
      </c>
      <c r="F131" s="125">
        <f t="shared" si="24"/>
        <v>21565.360000000001</v>
      </c>
      <c r="G131" s="125">
        <f t="shared" si="17"/>
        <v>0</v>
      </c>
      <c r="H131" s="209">
        <f t="shared" si="18"/>
        <v>0</v>
      </c>
      <c r="I131" s="125">
        <f t="shared" si="25"/>
        <v>9867.2363999999998</v>
      </c>
      <c r="J131" s="125"/>
      <c r="K131" s="125"/>
      <c r="L131" s="125">
        <f t="shared" si="26"/>
        <v>845.59649999999999</v>
      </c>
      <c r="M131" s="125">
        <f t="shared" si="27"/>
        <v>717.29909999999995</v>
      </c>
      <c r="N131" s="125">
        <f t="shared" si="28"/>
        <v>1102.6578360000001</v>
      </c>
      <c r="O131" s="125">
        <f t="shared" si="30"/>
        <v>12532.789836</v>
      </c>
      <c r="P131" s="125">
        <f t="shared" si="29"/>
        <v>70849.789835999996</v>
      </c>
    </row>
    <row r="132" spans="1:16" x14ac:dyDescent="0.25">
      <c r="A132" s="124" t="s">
        <v>7771</v>
      </c>
      <c r="B132" s="125">
        <v>5000</v>
      </c>
      <c r="C132" s="125">
        <v>0</v>
      </c>
      <c r="D132" s="125">
        <v>5000</v>
      </c>
      <c r="E132" s="125">
        <v>5000</v>
      </c>
      <c r="F132" s="125">
        <f t="shared" si="24"/>
        <v>5000</v>
      </c>
      <c r="G132" s="125">
        <f t="shared" ref="G132:G195" si="31">+D132-B132</f>
        <v>0</v>
      </c>
      <c r="H132" s="209">
        <f t="shared" ref="H132:H195" si="32">+G132/B132</f>
        <v>0</v>
      </c>
      <c r="I132" s="125">
        <f t="shared" si="25"/>
        <v>846</v>
      </c>
      <c r="J132" s="125"/>
      <c r="K132" s="125"/>
      <c r="L132" s="125">
        <f t="shared" si="26"/>
        <v>72.5</v>
      </c>
      <c r="M132" s="125">
        <f t="shared" si="27"/>
        <v>61.5</v>
      </c>
      <c r="N132" s="125">
        <f t="shared" si="28"/>
        <v>94.54</v>
      </c>
      <c r="O132" s="125">
        <f t="shared" si="30"/>
        <v>1074.54</v>
      </c>
      <c r="P132" s="125">
        <f t="shared" ref="P132:P133" si="33">+D132+O132</f>
        <v>6074.54</v>
      </c>
    </row>
    <row r="133" spans="1:16" s="120" customFormat="1" x14ac:dyDescent="0.25">
      <c r="A133" s="122" t="s">
        <v>7772</v>
      </c>
      <c r="B133" s="123">
        <f>SUM(B54:B132)</f>
        <v>4370220</v>
      </c>
      <c r="C133" s="123">
        <f t="shared" ref="C133:D133" si="34">SUM(C54:C132)</f>
        <v>2846945.6400000011</v>
      </c>
      <c r="D133" s="123">
        <f t="shared" si="34"/>
        <v>4370220</v>
      </c>
      <c r="E133" s="123">
        <v>4673255.16</v>
      </c>
      <c r="F133" s="125">
        <f t="shared" ref="F133:F196" si="35">+B133-C133</f>
        <v>1523274.3599999989</v>
      </c>
      <c r="G133" s="125">
        <f>+D133-B133</f>
        <v>0</v>
      </c>
      <c r="H133" s="209">
        <f t="shared" si="32"/>
        <v>0</v>
      </c>
      <c r="I133" s="123">
        <f t="shared" si="25"/>
        <v>739441.22399999993</v>
      </c>
      <c r="J133" s="123"/>
      <c r="K133" s="123"/>
      <c r="L133" s="123">
        <f t="shared" si="26"/>
        <v>63368.19</v>
      </c>
      <c r="M133" s="123">
        <f t="shared" si="27"/>
        <v>53753.705999999998</v>
      </c>
      <c r="N133" s="123">
        <f t="shared" si="28"/>
        <v>82632.119760000001</v>
      </c>
      <c r="O133" s="123">
        <f t="shared" si="30"/>
        <v>939195.23975999991</v>
      </c>
      <c r="P133" s="123">
        <f t="shared" si="33"/>
        <v>5309415.2397600003</v>
      </c>
    </row>
    <row r="134" spans="1:16" x14ac:dyDescent="0.25">
      <c r="A134" s="122">
        <v>51410</v>
      </c>
      <c r="B134" s="123"/>
      <c r="C134" s="123"/>
      <c r="D134" s="123"/>
      <c r="E134" s="123"/>
      <c r="F134" s="125">
        <f t="shared" si="35"/>
        <v>0</v>
      </c>
      <c r="G134" s="125">
        <f t="shared" si="31"/>
        <v>0</v>
      </c>
      <c r="H134" s="209" t="e">
        <f t="shared" si="32"/>
        <v>#DIV/0!</v>
      </c>
    </row>
    <row r="135" spans="1:16" x14ac:dyDescent="0.25">
      <c r="A135" s="124" t="s">
        <v>7773</v>
      </c>
      <c r="B135" s="125">
        <v>140000</v>
      </c>
      <c r="C135" s="125">
        <v>33734.42</v>
      </c>
      <c r="D135" s="1">
        <f>140000-45559</f>
        <v>94441</v>
      </c>
      <c r="E135" s="125">
        <v>140000</v>
      </c>
      <c r="F135" s="125">
        <f t="shared" si="35"/>
        <v>106265.58</v>
      </c>
      <c r="G135" s="125">
        <f t="shared" si="31"/>
        <v>-45559</v>
      </c>
      <c r="H135" s="209">
        <f t="shared" si="32"/>
        <v>-0.32542142857142858</v>
      </c>
      <c r="I135" s="125">
        <f>+$D135*$I$1</f>
        <v>15979.4172</v>
      </c>
      <c r="J135" s="125"/>
      <c r="K135" s="125"/>
      <c r="L135" s="125">
        <f>+$D135*$L$1</f>
        <v>1369.3945000000001</v>
      </c>
      <c r="M135" s="125">
        <f>+$D135*$M$1</f>
        <v>1161.6242999999999</v>
      </c>
      <c r="N135" s="125">
        <f>+$D135*$N$1</f>
        <v>1785.6904280000001</v>
      </c>
      <c r="O135" s="125">
        <f t="shared" ref="O135:O136" si="36">SUM(I135:N135)</f>
        <v>20296.126428</v>
      </c>
      <c r="P135" s="125">
        <f>+D135+O135</f>
        <v>114737.126428</v>
      </c>
    </row>
    <row r="136" spans="1:16" x14ac:dyDescent="0.25">
      <c r="A136" s="122" t="s">
        <v>7774</v>
      </c>
      <c r="B136" s="123">
        <f>SUM(B134:B135)</f>
        <v>140000</v>
      </c>
      <c r="C136" s="123">
        <f t="shared" ref="C136:D136" si="37">SUM(C134:C135)</f>
        <v>33734.42</v>
      </c>
      <c r="D136" s="123">
        <f t="shared" si="37"/>
        <v>94441</v>
      </c>
      <c r="E136" s="123">
        <v>140000</v>
      </c>
      <c r="F136" s="125">
        <f t="shared" si="35"/>
        <v>106265.58</v>
      </c>
      <c r="G136" s="125">
        <f t="shared" si="31"/>
        <v>-45559</v>
      </c>
      <c r="H136" s="209">
        <f t="shared" si="32"/>
        <v>-0.32542142857142858</v>
      </c>
      <c r="I136" s="123">
        <f>+$D136*$I$1</f>
        <v>15979.4172</v>
      </c>
      <c r="J136" s="123"/>
      <c r="K136" s="123"/>
      <c r="L136" s="123">
        <f>+$D136*$L$1</f>
        <v>1369.3945000000001</v>
      </c>
      <c r="M136" s="123">
        <f>+$D136*$M$1</f>
        <v>1161.6242999999999</v>
      </c>
      <c r="N136" s="123">
        <f>+$D136*$N$1</f>
        <v>1785.6904280000001</v>
      </c>
      <c r="O136" s="123">
        <f t="shared" si="36"/>
        <v>20296.126428</v>
      </c>
      <c r="P136" s="123">
        <f>+D136+O136</f>
        <v>114737.126428</v>
      </c>
    </row>
    <row r="137" spans="1:16" x14ac:dyDescent="0.25">
      <c r="A137" s="122">
        <v>51411</v>
      </c>
      <c r="B137" s="123"/>
      <c r="C137" s="123"/>
      <c r="D137" s="123"/>
      <c r="E137" s="123"/>
      <c r="F137" s="125">
        <f t="shared" si="35"/>
        <v>0</v>
      </c>
      <c r="G137" s="125">
        <f t="shared" si="31"/>
        <v>0</v>
      </c>
      <c r="H137" s="209" t="e">
        <f t="shared" si="32"/>
        <v>#DIV/0!</v>
      </c>
    </row>
    <row r="138" spans="1:16" x14ac:dyDescent="0.25">
      <c r="A138" s="124" t="s">
        <v>7775</v>
      </c>
      <c r="B138" s="125">
        <v>15324</v>
      </c>
      <c r="C138" s="125">
        <v>0</v>
      </c>
      <c r="D138" s="125">
        <v>30000</v>
      </c>
      <c r="E138" s="125">
        <v>30000</v>
      </c>
      <c r="F138" s="125">
        <f t="shared" si="35"/>
        <v>15324</v>
      </c>
      <c r="G138" s="125">
        <f t="shared" si="31"/>
        <v>14676</v>
      </c>
      <c r="H138" s="209">
        <f t="shared" si="32"/>
        <v>0.95771339075959283</v>
      </c>
      <c r="I138" s="125">
        <f t="shared" ref="I138:I143" si="38">+$D138*$I$1</f>
        <v>5076</v>
      </c>
      <c r="J138" s="125"/>
      <c r="K138" s="125"/>
      <c r="L138" s="125">
        <f t="shared" ref="L138:L143" si="39">+$D138*$L$1</f>
        <v>435</v>
      </c>
      <c r="M138" s="125">
        <f t="shared" ref="M138:M143" si="40">+$D138*$M$1</f>
        <v>369</v>
      </c>
      <c r="N138" s="125">
        <f t="shared" ref="N138:N143" si="41">+$D138*$N$1</f>
        <v>567.24</v>
      </c>
      <c r="O138" s="125">
        <f t="shared" ref="O138:O143" si="42">SUM(I138:N138)</f>
        <v>6447.24</v>
      </c>
      <c r="P138" s="125">
        <f t="shared" ref="P138:P143" si="43">+D138+O138</f>
        <v>36447.24</v>
      </c>
    </row>
    <row r="139" spans="1:16" x14ac:dyDescent="0.25">
      <c r="A139" s="124" t="s">
        <v>7776</v>
      </c>
      <c r="B139" s="125">
        <v>35769</v>
      </c>
      <c r="C139" s="125">
        <v>1930.6</v>
      </c>
      <c r="D139" s="125">
        <v>16769</v>
      </c>
      <c r="E139" s="125">
        <v>16769</v>
      </c>
      <c r="F139" s="125">
        <f t="shared" si="35"/>
        <v>33838.400000000001</v>
      </c>
      <c r="G139" s="125">
        <f t="shared" si="31"/>
        <v>-19000</v>
      </c>
      <c r="H139" s="209">
        <f t="shared" si="32"/>
        <v>-0.53118622270681315</v>
      </c>
      <c r="I139" s="125">
        <f t="shared" si="38"/>
        <v>2837.3147999999997</v>
      </c>
      <c r="J139" s="125"/>
      <c r="K139" s="125"/>
      <c r="L139" s="125">
        <f t="shared" si="39"/>
        <v>243.15050000000002</v>
      </c>
      <c r="M139" s="125">
        <f t="shared" si="40"/>
        <v>206.2587</v>
      </c>
      <c r="N139" s="125">
        <f t="shared" si="41"/>
        <v>317.06825200000003</v>
      </c>
      <c r="O139" s="125">
        <f t="shared" si="42"/>
        <v>3603.7922519999997</v>
      </c>
      <c r="P139" s="125">
        <f t="shared" si="43"/>
        <v>20372.792251999999</v>
      </c>
    </row>
    <row r="140" spans="1:16" x14ac:dyDescent="0.25">
      <c r="A140" s="124" t="s">
        <v>7777</v>
      </c>
      <c r="B140" s="125">
        <v>164000</v>
      </c>
      <c r="C140" s="125">
        <v>82894.94</v>
      </c>
      <c r="D140" s="125">
        <v>164000</v>
      </c>
      <c r="E140" s="125">
        <v>164000</v>
      </c>
      <c r="F140" s="125">
        <f t="shared" si="35"/>
        <v>81105.06</v>
      </c>
      <c r="G140" s="125">
        <f t="shared" si="31"/>
        <v>0</v>
      </c>
      <c r="H140" s="209">
        <f t="shared" si="32"/>
        <v>0</v>
      </c>
      <c r="I140" s="125">
        <f t="shared" si="38"/>
        <v>27748.799999999999</v>
      </c>
      <c r="J140" s="125"/>
      <c r="K140" s="125"/>
      <c r="L140" s="125">
        <f t="shared" si="39"/>
        <v>2378</v>
      </c>
      <c r="M140" s="125">
        <f t="shared" si="40"/>
        <v>2017.2</v>
      </c>
      <c r="N140" s="125">
        <f t="shared" si="41"/>
        <v>3100.9120000000003</v>
      </c>
      <c r="O140" s="125">
        <f t="shared" si="42"/>
        <v>35244.911999999997</v>
      </c>
      <c r="P140" s="125">
        <f t="shared" si="43"/>
        <v>199244.91200000001</v>
      </c>
    </row>
    <row r="141" spans="1:16" x14ac:dyDescent="0.25">
      <c r="A141" s="124" t="s">
        <v>7778</v>
      </c>
      <c r="B141" s="125">
        <v>110000</v>
      </c>
      <c r="C141" s="125">
        <v>60426.97</v>
      </c>
      <c r="D141" s="125">
        <v>110000</v>
      </c>
      <c r="E141" s="125">
        <v>110000</v>
      </c>
      <c r="F141" s="125">
        <f t="shared" si="35"/>
        <v>49573.03</v>
      </c>
      <c r="G141" s="125">
        <f t="shared" si="31"/>
        <v>0</v>
      </c>
      <c r="H141" s="209">
        <f t="shared" si="32"/>
        <v>0</v>
      </c>
      <c r="I141" s="125">
        <f t="shared" si="38"/>
        <v>18612</v>
      </c>
      <c r="J141" s="125"/>
      <c r="K141" s="125"/>
      <c r="L141" s="125">
        <f t="shared" si="39"/>
        <v>1595</v>
      </c>
      <c r="M141" s="125">
        <f t="shared" si="40"/>
        <v>1353</v>
      </c>
      <c r="N141" s="125">
        <f t="shared" si="41"/>
        <v>2079.88</v>
      </c>
      <c r="O141" s="125">
        <f t="shared" si="42"/>
        <v>23639.88</v>
      </c>
      <c r="P141" s="125">
        <f t="shared" si="43"/>
        <v>133639.88</v>
      </c>
    </row>
    <row r="142" spans="1:16" x14ac:dyDescent="0.25">
      <c r="A142" s="124" t="s">
        <v>7779</v>
      </c>
      <c r="B142" s="125">
        <v>3850</v>
      </c>
      <c r="C142" s="125">
        <v>0</v>
      </c>
      <c r="D142" s="125">
        <v>3850</v>
      </c>
      <c r="E142" s="125">
        <v>3850</v>
      </c>
      <c r="F142" s="125">
        <f t="shared" si="35"/>
        <v>3850</v>
      </c>
      <c r="G142" s="125">
        <f t="shared" si="31"/>
        <v>0</v>
      </c>
      <c r="H142" s="209">
        <f t="shared" si="32"/>
        <v>0</v>
      </c>
      <c r="I142" s="125">
        <f t="shared" si="38"/>
        <v>651.41999999999996</v>
      </c>
      <c r="J142" s="125"/>
      <c r="K142" s="125"/>
      <c r="L142" s="125">
        <f t="shared" si="39"/>
        <v>55.825000000000003</v>
      </c>
      <c r="M142" s="125">
        <f t="shared" si="40"/>
        <v>47.355000000000004</v>
      </c>
      <c r="N142" s="125">
        <f t="shared" si="41"/>
        <v>72.7958</v>
      </c>
      <c r="O142" s="125">
        <f t="shared" si="42"/>
        <v>827.39580000000001</v>
      </c>
      <c r="P142" s="125">
        <f t="shared" si="43"/>
        <v>4677.3958000000002</v>
      </c>
    </row>
    <row r="143" spans="1:16" x14ac:dyDescent="0.25">
      <c r="A143" s="122" t="s">
        <v>7780</v>
      </c>
      <c r="B143" s="123">
        <f>SUM(B137:B142)</f>
        <v>328943</v>
      </c>
      <c r="C143" s="123">
        <f t="shared" ref="C143:D143" si="44">SUM(C137:C142)</f>
        <v>145252.51</v>
      </c>
      <c r="D143" s="123">
        <f t="shared" si="44"/>
        <v>324619</v>
      </c>
      <c r="E143" s="123">
        <v>324619</v>
      </c>
      <c r="F143" s="125">
        <f t="shared" si="35"/>
        <v>183690.49</v>
      </c>
      <c r="G143" s="125">
        <f t="shared" si="31"/>
        <v>-4324</v>
      </c>
      <c r="H143" s="209">
        <f t="shared" si="32"/>
        <v>-1.3145134567387055E-2</v>
      </c>
      <c r="I143" s="123">
        <f t="shared" si="38"/>
        <v>54925.534799999994</v>
      </c>
      <c r="J143" s="123"/>
      <c r="K143" s="123"/>
      <c r="L143" s="123">
        <f t="shared" si="39"/>
        <v>4706.9755000000005</v>
      </c>
      <c r="M143" s="123">
        <f t="shared" si="40"/>
        <v>3992.8137000000002</v>
      </c>
      <c r="N143" s="123">
        <f t="shared" si="41"/>
        <v>6137.8960520000001</v>
      </c>
      <c r="O143" s="123">
        <f t="shared" si="42"/>
        <v>69763.22005199999</v>
      </c>
      <c r="P143" s="123">
        <f t="shared" si="43"/>
        <v>394382.22005200002</v>
      </c>
    </row>
    <row r="144" spans="1:16" x14ac:dyDescent="0.25">
      <c r="A144" s="122">
        <v>51412</v>
      </c>
      <c r="B144" s="123"/>
      <c r="C144" s="123"/>
      <c r="D144" s="123"/>
      <c r="E144" s="123"/>
      <c r="F144" s="125">
        <f t="shared" si="35"/>
        <v>0</v>
      </c>
      <c r="G144" s="125">
        <f t="shared" si="31"/>
        <v>0</v>
      </c>
      <c r="H144" s="209" t="e">
        <f t="shared" si="32"/>
        <v>#DIV/0!</v>
      </c>
    </row>
    <row r="145" spans="1:16" x14ac:dyDescent="0.25">
      <c r="A145" s="124" t="s">
        <v>7781</v>
      </c>
      <c r="B145" s="125">
        <v>7000</v>
      </c>
      <c r="C145" s="125">
        <v>0</v>
      </c>
      <c r="D145" s="125">
        <v>7000</v>
      </c>
      <c r="E145" s="125">
        <v>7000</v>
      </c>
      <c r="F145" s="125">
        <f t="shared" si="35"/>
        <v>7000</v>
      </c>
      <c r="G145" s="125">
        <f t="shared" si="31"/>
        <v>0</v>
      </c>
      <c r="H145" s="209">
        <f t="shared" si="32"/>
        <v>0</v>
      </c>
      <c r="I145" s="125">
        <f t="shared" ref="I145:I168" si="45">+$D145*$I$1</f>
        <v>1184.3999999999999</v>
      </c>
      <c r="J145" s="125"/>
      <c r="K145" s="125"/>
      <c r="L145" s="125">
        <f t="shared" ref="L145:L168" si="46">+$D145*$L$1</f>
        <v>101.5</v>
      </c>
      <c r="M145" s="125">
        <f t="shared" ref="M145:M168" si="47">+$D145*$M$1</f>
        <v>86.1</v>
      </c>
      <c r="N145" s="125">
        <f t="shared" ref="N145:N168" si="48">+$D145*$N$1</f>
        <v>132.35599999999999</v>
      </c>
      <c r="O145" s="125">
        <f t="shared" ref="O145:O168" si="49">SUM(I145:N145)</f>
        <v>1504.3559999999998</v>
      </c>
      <c r="P145" s="125">
        <f t="shared" ref="P145:P168" si="50">+D145+O145</f>
        <v>8504.3559999999998</v>
      </c>
    </row>
    <row r="146" spans="1:16" s="3" customFormat="1" x14ac:dyDescent="0.25">
      <c r="A146" s="127" t="s">
        <v>7782</v>
      </c>
      <c r="B146" s="1">
        <v>20000</v>
      </c>
      <c r="C146" s="1">
        <v>0</v>
      </c>
      <c r="D146" s="1"/>
      <c r="E146" s="1"/>
      <c r="F146" s="125">
        <f t="shared" si="35"/>
        <v>20000</v>
      </c>
      <c r="G146" s="125">
        <f t="shared" si="31"/>
        <v>-20000</v>
      </c>
      <c r="H146" s="209">
        <f t="shared" si="32"/>
        <v>-1</v>
      </c>
      <c r="I146" s="125">
        <f t="shared" si="45"/>
        <v>0</v>
      </c>
      <c r="J146" s="125"/>
      <c r="K146" s="125"/>
      <c r="L146" s="125">
        <f t="shared" si="46"/>
        <v>0</v>
      </c>
      <c r="M146" s="125">
        <f t="shared" si="47"/>
        <v>0</v>
      </c>
      <c r="N146" s="125">
        <f t="shared" si="48"/>
        <v>0</v>
      </c>
      <c r="O146" s="125">
        <f t="shared" si="49"/>
        <v>0</v>
      </c>
      <c r="P146" s="125">
        <f t="shared" si="50"/>
        <v>0</v>
      </c>
    </row>
    <row r="147" spans="1:16" x14ac:dyDescent="0.25">
      <c r="A147" s="124" t="s">
        <v>7783</v>
      </c>
      <c r="B147" s="125">
        <v>14000</v>
      </c>
      <c r="C147" s="125">
        <v>0</v>
      </c>
      <c r="F147" s="125">
        <f t="shared" si="35"/>
        <v>14000</v>
      </c>
      <c r="G147" s="125">
        <f t="shared" si="31"/>
        <v>-14000</v>
      </c>
      <c r="H147" s="209">
        <f t="shared" si="32"/>
        <v>-1</v>
      </c>
      <c r="I147" s="125">
        <f t="shared" si="45"/>
        <v>0</v>
      </c>
      <c r="J147" s="125"/>
      <c r="K147" s="125"/>
      <c r="L147" s="125">
        <f t="shared" si="46"/>
        <v>0</v>
      </c>
      <c r="M147" s="125">
        <f t="shared" si="47"/>
        <v>0</v>
      </c>
      <c r="N147" s="125">
        <f t="shared" si="48"/>
        <v>0</v>
      </c>
      <c r="O147" s="125">
        <f t="shared" si="49"/>
        <v>0</v>
      </c>
      <c r="P147" s="125">
        <f t="shared" si="50"/>
        <v>0</v>
      </c>
    </row>
    <row r="148" spans="1:16" x14ac:dyDescent="0.25">
      <c r="A148" s="124" t="s">
        <v>7784</v>
      </c>
      <c r="B148" s="125">
        <v>221600</v>
      </c>
      <c r="C148" s="125">
        <v>133341.46</v>
      </c>
      <c r="D148" s="125">
        <v>273600</v>
      </c>
      <c r="E148" s="125">
        <v>273600</v>
      </c>
      <c r="F148" s="125">
        <f t="shared" si="35"/>
        <v>88258.540000000008</v>
      </c>
      <c r="G148" s="125">
        <f t="shared" si="31"/>
        <v>52000</v>
      </c>
      <c r="H148" s="209">
        <f t="shared" si="32"/>
        <v>0.23465703971119134</v>
      </c>
      <c r="I148" s="125">
        <f t="shared" si="45"/>
        <v>46293.119999999995</v>
      </c>
      <c r="J148" s="125"/>
      <c r="K148" s="125"/>
      <c r="L148" s="125">
        <f t="shared" si="46"/>
        <v>3967.2000000000003</v>
      </c>
      <c r="M148" s="125">
        <f t="shared" si="47"/>
        <v>3365.28</v>
      </c>
      <c r="N148" s="125">
        <f t="shared" si="48"/>
        <v>5173.2288000000008</v>
      </c>
      <c r="O148" s="125">
        <f t="shared" si="49"/>
        <v>58798.828799999988</v>
      </c>
      <c r="P148" s="125">
        <f t="shared" si="50"/>
        <v>332398.82880000002</v>
      </c>
    </row>
    <row r="149" spans="1:16" x14ac:dyDescent="0.25">
      <c r="A149" s="124" t="s">
        <v>7785</v>
      </c>
      <c r="B149" s="125">
        <v>12000</v>
      </c>
      <c r="C149" s="125">
        <v>0</v>
      </c>
      <c r="D149" s="125">
        <v>40000</v>
      </c>
      <c r="E149" s="125">
        <v>40000</v>
      </c>
      <c r="F149" s="125">
        <f t="shared" si="35"/>
        <v>12000</v>
      </c>
      <c r="G149" s="125">
        <f t="shared" si="31"/>
        <v>28000</v>
      </c>
      <c r="H149" s="209">
        <f t="shared" si="32"/>
        <v>2.3333333333333335</v>
      </c>
      <c r="I149" s="125">
        <f t="shared" si="45"/>
        <v>6768</v>
      </c>
      <c r="J149" s="125"/>
      <c r="K149" s="125"/>
      <c r="L149" s="125">
        <f t="shared" si="46"/>
        <v>580</v>
      </c>
      <c r="M149" s="125">
        <f t="shared" si="47"/>
        <v>492</v>
      </c>
      <c r="N149" s="125">
        <f t="shared" si="48"/>
        <v>756.32</v>
      </c>
      <c r="O149" s="125">
        <f t="shared" si="49"/>
        <v>8596.32</v>
      </c>
      <c r="P149" s="125">
        <f t="shared" si="50"/>
        <v>48596.32</v>
      </c>
    </row>
    <row r="150" spans="1:16" x14ac:dyDescent="0.25">
      <c r="A150" s="124" t="s">
        <v>7786</v>
      </c>
      <c r="B150" s="125">
        <v>4000</v>
      </c>
      <c r="C150" s="125">
        <v>0</v>
      </c>
      <c r="D150" s="125">
        <v>4000</v>
      </c>
      <c r="E150" s="125">
        <v>4000</v>
      </c>
      <c r="F150" s="125">
        <f t="shared" si="35"/>
        <v>4000</v>
      </c>
      <c r="G150" s="125">
        <f t="shared" si="31"/>
        <v>0</v>
      </c>
      <c r="H150" s="209">
        <f t="shared" si="32"/>
        <v>0</v>
      </c>
      <c r="I150" s="125">
        <f t="shared" si="45"/>
        <v>676.8</v>
      </c>
      <c r="J150" s="125"/>
      <c r="K150" s="125"/>
      <c r="L150" s="125">
        <f t="shared" si="46"/>
        <v>58</v>
      </c>
      <c r="M150" s="125">
        <f t="shared" si="47"/>
        <v>49.2</v>
      </c>
      <c r="N150" s="125">
        <f t="shared" si="48"/>
        <v>75.632000000000005</v>
      </c>
      <c r="O150" s="125">
        <f t="shared" si="49"/>
        <v>859.63200000000006</v>
      </c>
      <c r="P150" s="125">
        <f t="shared" si="50"/>
        <v>4859.6319999999996</v>
      </c>
    </row>
    <row r="151" spans="1:16" x14ac:dyDescent="0.25">
      <c r="A151" s="124" t="s">
        <v>7787</v>
      </c>
      <c r="B151" s="125">
        <v>300</v>
      </c>
      <c r="C151" s="125">
        <v>0</v>
      </c>
      <c r="D151" s="125">
        <v>300</v>
      </c>
      <c r="E151" s="125">
        <v>300</v>
      </c>
      <c r="F151" s="125">
        <f t="shared" si="35"/>
        <v>300</v>
      </c>
      <c r="G151" s="125">
        <f t="shared" si="31"/>
        <v>0</v>
      </c>
      <c r="H151" s="209">
        <f t="shared" si="32"/>
        <v>0</v>
      </c>
      <c r="I151" s="125">
        <f t="shared" si="45"/>
        <v>50.76</v>
      </c>
      <c r="J151" s="125"/>
      <c r="K151" s="125"/>
      <c r="L151" s="125">
        <f t="shared" si="46"/>
        <v>4.3500000000000005</v>
      </c>
      <c r="M151" s="125">
        <f t="shared" si="47"/>
        <v>3.69</v>
      </c>
      <c r="N151" s="125">
        <f t="shared" si="48"/>
        <v>5.6724000000000006</v>
      </c>
      <c r="O151" s="125">
        <f t="shared" si="49"/>
        <v>64.472399999999993</v>
      </c>
      <c r="P151" s="125">
        <f t="shared" si="50"/>
        <v>364.47239999999999</v>
      </c>
    </row>
    <row r="152" spans="1:16" x14ac:dyDescent="0.25">
      <c r="A152" s="124" t="s">
        <v>7788</v>
      </c>
      <c r="B152" s="125">
        <v>500</v>
      </c>
      <c r="C152" s="125">
        <v>0</v>
      </c>
      <c r="D152" s="125">
        <v>500</v>
      </c>
      <c r="E152" s="125">
        <v>500</v>
      </c>
      <c r="F152" s="125">
        <f t="shared" si="35"/>
        <v>500</v>
      </c>
      <c r="G152" s="125">
        <f t="shared" si="31"/>
        <v>0</v>
      </c>
      <c r="H152" s="209">
        <f t="shared" si="32"/>
        <v>0</v>
      </c>
      <c r="I152" s="125">
        <f t="shared" si="45"/>
        <v>84.6</v>
      </c>
      <c r="J152" s="125"/>
      <c r="K152" s="125"/>
      <c r="L152" s="125">
        <f t="shared" si="46"/>
        <v>7.25</v>
      </c>
      <c r="M152" s="125">
        <f t="shared" si="47"/>
        <v>6.15</v>
      </c>
      <c r="N152" s="125">
        <f t="shared" si="48"/>
        <v>9.4540000000000006</v>
      </c>
      <c r="O152" s="125">
        <f t="shared" si="49"/>
        <v>107.45400000000001</v>
      </c>
      <c r="P152" s="125">
        <f t="shared" si="50"/>
        <v>607.45399999999995</v>
      </c>
    </row>
    <row r="153" spans="1:16" x14ac:dyDescent="0.25">
      <c r="A153" s="124" t="s">
        <v>7789</v>
      </c>
      <c r="B153" s="125">
        <v>500</v>
      </c>
      <c r="C153" s="125">
        <v>0</v>
      </c>
      <c r="D153" s="125">
        <v>500</v>
      </c>
      <c r="E153" s="125">
        <v>500</v>
      </c>
      <c r="F153" s="125">
        <f t="shared" si="35"/>
        <v>500</v>
      </c>
      <c r="G153" s="125">
        <f t="shared" si="31"/>
        <v>0</v>
      </c>
      <c r="H153" s="209">
        <f t="shared" si="32"/>
        <v>0</v>
      </c>
      <c r="I153" s="125">
        <f t="shared" si="45"/>
        <v>84.6</v>
      </c>
      <c r="J153" s="125"/>
      <c r="K153" s="125"/>
      <c r="L153" s="125">
        <f t="shared" si="46"/>
        <v>7.25</v>
      </c>
      <c r="M153" s="125">
        <f t="shared" si="47"/>
        <v>6.15</v>
      </c>
      <c r="N153" s="125">
        <f t="shared" si="48"/>
        <v>9.4540000000000006</v>
      </c>
      <c r="O153" s="125">
        <f t="shared" si="49"/>
        <v>107.45400000000001</v>
      </c>
      <c r="P153" s="125">
        <f t="shared" si="50"/>
        <v>607.45399999999995</v>
      </c>
    </row>
    <row r="154" spans="1:16" x14ac:dyDescent="0.25">
      <c r="A154" s="124" t="s">
        <v>7790</v>
      </c>
      <c r="B154" s="125">
        <v>141000</v>
      </c>
      <c r="C154" s="125">
        <v>68315.039999999994</v>
      </c>
      <c r="D154" s="1">
        <v>169000</v>
      </c>
      <c r="E154" s="1">
        <v>169000</v>
      </c>
      <c r="F154" s="125">
        <f t="shared" si="35"/>
        <v>72684.960000000006</v>
      </c>
      <c r="G154" s="125">
        <f t="shared" si="31"/>
        <v>28000</v>
      </c>
      <c r="H154" s="209">
        <f t="shared" si="32"/>
        <v>0.19858156028368795</v>
      </c>
      <c r="I154" s="125">
        <f t="shared" si="45"/>
        <v>28594.799999999999</v>
      </c>
      <c r="J154" s="125"/>
      <c r="K154" s="125"/>
      <c r="L154" s="125">
        <f t="shared" si="46"/>
        <v>2450.5</v>
      </c>
      <c r="M154" s="125">
        <f t="shared" si="47"/>
        <v>2078.6999999999998</v>
      </c>
      <c r="N154" s="125">
        <f t="shared" si="48"/>
        <v>3195.4520000000002</v>
      </c>
      <c r="O154" s="125">
        <f t="shared" si="49"/>
        <v>36319.451999999997</v>
      </c>
      <c r="P154" s="125">
        <f t="shared" si="50"/>
        <v>205319.45199999999</v>
      </c>
    </row>
    <row r="155" spans="1:16" x14ac:dyDescent="0.25">
      <c r="A155" s="124" t="s">
        <v>7791</v>
      </c>
      <c r="B155" s="125">
        <v>0</v>
      </c>
      <c r="C155" s="125">
        <v>300</v>
      </c>
      <c r="D155" s="125">
        <v>0</v>
      </c>
      <c r="E155" s="125">
        <v>0</v>
      </c>
      <c r="F155" s="125">
        <f t="shared" si="35"/>
        <v>-300</v>
      </c>
      <c r="G155" s="125">
        <f t="shared" si="31"/>
        <v>0</v>
      </c>
      <c r="H155" s="209" t="e">
        <f t="shared" si="32"/>
        <v>#DIV/0!</v>
      </c>
      <c r="I155" s="125">
        <f t="shared" si="45"/>
        <v>0</v>
      </c>
      <c r="J155" s="125"/>
      <c r="K155" s="125"/>
      <c r="L155" s="125">
        <f t="shared" si="46"/>
        <v>0</v>
      </c>
      <c r="M155" s="125">
        <f t="shared" si="47"/>
        <v>0</v>
      </c>
      <c r="N155" s="125">
        <f t="shared" si="48"/>
        <v>0</v>
      </c>
      <c r="O155" s="125">
        <f t="shared" si="49"/>
        <v>0</v>
      </c>
      <c r="P155" s="125">
        <f t="shared" si="50"/>
        <v>0</v>
      </c>
    </row>
    <row r="156" spans="1:16" x14ac:dyDescent="0.25">
      <c r="A156" s="124" t="s">
        <v>7792</v>
      </c>
      <c r="B156" s="125">
        <v>0</v>
      </c>
      <c r="C156" s="125">
        <v>300</v>
      </c>
      <c r="D156" s="125">
        <v>0</v>
      </c>
      <c r="E156" s="125">
        <v>0</v>
      </c>
      <c r="F156" s="125">
        <f t="shared" si="35"/>
        <v>-300</v>
      </c>
      <c r="G156" s="125">
        <f t="shared" si="31"/>
        <v>0</v>
      </c>
      <c r="H156" s="209" t="e">
        <f t="shared" si="32"/>
        <v>#DIV/0!</v>
      </c>
      <c r="I156" s="125">
        <f t="shared" si="45"/>
        <v>0</v>
      </c>
      <c r="J156" s="125"/>
      <c r="K156" s="125"/>
      <c r="L156" s="125">
        <f t="shared" si="46"/>
        <v>0</v>
      </c>
      <c r="M156" s="125">
        <f t="shared" si="47"/>
        <v>0</v>
      </c>
      <c r="N156" s="125">
        <f t="shared" si="48"/>
        <v>0</v>
      </c>
      <c r="O156" s="125">
        <f t="shared" si="49"/>
        <v>0</v>
      </c>
      <c r="P156" s="125">
        <f t="shared" si="50"/>
        <v>0</v>
      </c>
    </row>
    <row r="157" spans="1:16" x14ac:dyDescent="0.25">
      <c r="A157" s="124" t="s">
        <v>7793</v>
      </c>
      <c r="B157" s="125">
        <v>1800</v>
      </c>
      <c r="C157" s="125">
        <v>1800</v>
      </c>
      <c r="D157" s="125">
        <v>1800</v>
      </c>
      <c r="E157" s="125">
        <v>1800</v>
      </c>
      <c r="F157" s="125">
        <f t="shared" si="35"/>
        <v>0</v>
      </c>
      <c r="G157" s="125">
        <f t="shared" si="31"/>
        <v>0</v>
      </c>
      <c r="H157" s="209">
        <f t="shared" si="32"/>
        <v>0</v>
      </c>
      <c r="I157" s="125">
        <f t="shared" si="45"/>
        <v>304.56</v>
      </c>
      <c r="J157" s="125"/>
      <c r="K157" s="125"/>
      <c r="L157" s="125">
        <f t="shared" si="46"/>
        <v>26.1</v>
      </c>
      <c r="M157" s="125">
        <f t="shared" si="47"/>
        <v>22.14</v>
      </c>
      <c r="N157" s="125">
        <f t="shared" si="48"/>
        <v>34.034400000000005</v>
      </c>
      <c r="O157" s="125">
        <f t="shared" si="49"/>
        <v>386.83440000000002</v>
      </c>
      <c r="P157" s="125">
        <f t="shared" si="50"/>
        <v>2186.8344000000002</v>
      </c>
    </row>
    <row r="158" spans="1:16" x14ac:dyDescent="0.25">
      <c r="A158" s="124" t="s">
        <v>7794</v>
      </c>
      <c r="B158" s="125">
        <v>75</v>
      </c>
      <c r="C158" s="125">
        <v>0</v>
      </c>
      <c r="D158" s="125">
        <v>75</v>
      </c>
      <c r="E158" s="125">
        <v>75</v>
      </c>
      <c r="F158" s="125">
        <f t="shared" si="35"/>
        <v>75</v>
      </c>
      <c r="G158" s="125">
        <f t="shared" si="31"/>
        <v>0</v>
      </c>
      <c r="H158" s="209">
        <f t="shared" si="32"/>
        <v>0</v>
      </c>
      <c r="I158" s="125">
        <f t="shared" si="45"/>
        <v>12.69</v>
      </c>
      <c r="J158" s="125"/>
      <c r="K158" s="125"/>
      <c r="L158" s="125">
        <f t="shared" si="46"/>
        <v>1.0875000000000001</v>
      </c>
      <c r="M158" s="125">
        <f t="shared" si="47"/>
        <v>0.92249999999999999</v>
      </c>
      <c r="N158" s="125">
        <f t="shared" si="48"/>
        <v>1.4181000000000001</v>
      </c>
      <c r="O158" s="125">
        <f t="shared" si="49"/>
        <v>16.118099999999998</v>
      </c>
      <c r="P158" s="125">
        <f t="shared" si="50"/>
        <v>91.118099999999998</v>
      </c>
    </row>
    <row r="159" spans="1:16" x14ac:dyDescent="0.25">
      <c r="A159" s="124" t="s">
        <v>7795</v>
      </c>
      <c r="B159" s="125">
        <v>5350</v>
      </c>
      <c r="C159" s="125">
        <v>0</v>
      </c>
      <c r="D159" s="125">
        <v>5350</v>
      </c>
      <c r="E159" s="125">
        <v>5350</v>
      </c>
      <c r="F159" s="125">
        <f t="shared" si="35"/>
        <v>5350</v>
      </c>
      <c r="G159" s="125">
        <f t="shared" si="31"/>
        <v>0</v>
      </c>
      <c r="H159" s="209">
        <f t="shared" si="32"/>
        <v>0</v>
      </c>
      <c r="I159" s="125">
        <f t="shared" si="45"/>
        <v>905.21999999999991</v>
      </c>
      <c r="J159" s="125"/>
      <c r="K159" s="125"/>
      <c r="L159" s="125">
        <f t="shared" si="46"/>
        <v>77.575000000000003</v>
      </c>
      <c r="M159" s="125">
        <f t="shared" si="47"/>
        <v>65.805000000000007</v>
      </c>
      <c r="N159" s="125">
        <f t="shared" si="48"/>
        <v>101.15780000000001</v>
      </c>
      <c r="O159" s="125">
        <f t="shared" si="49"/>
        <v>1149.7577999999999</v>
      </c>
      <c r="P159" s="125">
        <f t="shared" si="50"/>
        <v>6499.7577999999994</v>
      </c>
    </row>
    <row r="160" spans="1:16" x14ac:dyDescent="0.25">
      <c r="A160" s="124" t="s">
        <v>7796</v>
      </c>
      <c r="B160" s="125">
        <v>0</v>
      </c>
      <c r="C160" s="125">
        <v>3500</v>
      </c>
      <c r="D160" s="125">
        <v>0</v>
      </c>
      <c r="E160" s="125">
        <v>0</v>
      </c>
      <c r="F160" s="125">
        <f t="shared" si="35"/>
        <v>-3500</v>
      </c>
      <c r="G160" s="125">
        <f t="shared" si="31"/>
        <v>0</v>
      </c>
      <c r="H160" s="209" t="e">
        <f t="shared" si="32"/>
        <v>#DIV/0!</v>
      </c>
      <c r="I160" s="125">
        <f t="shared" si="45"/>
        <v>0</v>
      </c>
      <c r="J160" s="125"/>
      <c r="K160" s="125"/>
      <c r="L160" s="125">
        <f t="shared" si="46"/>
        <v>0</v>
      </c>
      <c r="M160" s="125">
        <f t="shared" si="47"/>
        <v>0</v>
      </c>
      <c r="N160" s="125">
        <f t="shared" si="48"/>
        <v>0</v>
      </c>
      <c r="O160" s="125">
        <f t="shared" si="49"/>
        <v>0</v>
      </c>
      <c r="P160" s="125">
        <f t="shared" si="50"/>
        <v>0</v>
      </c>
    </row>
    <row r="161" spans="1:16" x14ac:dyDescent="0.25">
      <c r="A161" s="124" t="s">
        <v>7797</v>
      </c>
      <c r="B161" s="125">
        <v>100</v>
      </c>
      <c r="C161" s="125">
        <v>0</v>
      </c>
      <c r="D161" s="125">
        <v>100</v>
      </c>
      <c r="E161" s="125">
        <v>100</v>
      </c>
      <c r="F161" s="125">
        <f t="shared" si="35"/>
        <v>100</v>
      </c>
      <c r="G161" s="125">
        <f t="shared" si="31"/>
        <v>0</v>
      </c>
      <c r="H161" s="209">
        <f t="shared" si="32"/>
        <v>0</v>
      </c>
      <c r="I161" s="125">
        <f t="shared" si="45"/>
        <v>16.919999999999998</v>
      </c>
      <c r="J161" s="125"/>
      <c r="K161" s="125"/>
      <c r="L161" s="125">
        <f t="shared" si="46"/>
        <v>1.4500000000000002</v>
      </c>
      <c r="M161" s="125">
        <f t="shared" si="47"/>
        <v>1.23</v>
      </c>
      <c r="N161" s="125">
        <f t="shared" si="48"/>
        <v>1.8908</v>
      </c>
      <c r="O161" s="125">
        <f t="shared" si="49"/>
        <v>21.490799999999997</v>
      </c>
      <c r="P161" s="125">
        <f t="shared" si="50"/>
        <v>121.49079999999999</v>
      </c>
    </row>
    <row r="162" spans="1:16" x14ac:dyDescent="0.25">
      <c r="A162" s="124" t="s">
        <v>7798</v>
      </c>
      <c r="B162" s="125">
        <v>1350</v>
      </c>
      <c r="C162" s="125">
        <v>0</v>
      </c>
      <c r="D162" s="125">
        <v>250</v>
      </c>
      <c r="E162" s="125">
        <v>250</v>
      </c>
      <c r="F162" s="125">
        <f t="shared" si="35"/>
        <v>1350</v>
      </c>
      <c r="G162" s="125">
        <f t="shared" si="31"/>
        <v>-1100</v>
      </c>
      <c r="H162" s="209">
        <f t="shared" si="32"/>
        <v>-0.81481481481481477</v>
      </c>
      <c r="I162" s="125">
        <f t="shared" si="45"/>
        <v>42.3</v>
      </c>
      <c r="J162" s="125"/>
      <c r="K162" s="125"/>
      <c r="L162" s="125">
        <f t="shared" si="46"/>
        <v>3.625</v>
      </c>
      <c r="M162" s="125">
        <f t="shared" si="47"/>
        <v>3.0750000000000002</v>
      </c>
      <c r="N162" s="125">
        <f t="shared" si="48"/>
        <v>4.7270000000000003</v>
      </c>
      <c r="O162" s="125">
        <f t="shared" si="49"/>
        <v>53.727000000000004</v>
      </c>
      <c r="P162" s="125">
        <f t="shared" si="50"/>
        <v>303.72699999999998</v>
      </c>
    </row>
    <row r="163" spans="1:16" x14ac:dyDescent="0.25">
      <c r="A163" s="124" t="s">
        <v>7799</v>
      </c>
      <c r="B163" s="125">
        <v>0</v>
      </c>
      <c r="C163" s="125">
        <v>1417.4</v>
      </c>
      <c r="D163" s="125">
        <v>100</v>
      </c>
      <c r="E163" s="125">
        <v>100</v>
      </c>
      <c r="F163" s="125">
        <f t="shared" si="35"/>
        <v>-1417.4</v>
      </c>
      <c r="G163" s="125">
        <f t="shared" si="31"/>
        <v>100</v>
      </c>
      <c r="H163" s="209" t="e">
        <f t="shared" si="32"/>
        <v>#DIV/0!</v>
      </c>
      <c r="I163" s="125">
        <f t="shared" si="45"/>
        <v>16.919999999999998</v>
      </c>
      <c r="J163" s="125"/>
      <c r="K163" s="125"/>
      <c r="L163" s="125">
        <f t="shared" si="46"/>
        <v>1.4500000000000002</v>
      </c>
      <c r="M163" s="125">
        <f t="shared" si="47"/>
        <v>1.23</v>
      </c>
      <c r="N163" s="125">
        <f t="shared" si="48"/>
        <v>1.8908</v>
      </c>
      <c r="O163" s="125">
        <f t="shared" si="49"/>
        <v>21.490799999999997</v>
      </c>
      <c r="P163" s="125">
        <f t="shared" si="50"/>
        <v>121.49079999999999</v>
      </c>
    </row>
    <row r="164" spans="1:16" x14ac:dyDescent="0.25">
      <c r="A164" s="124" t="s">
        <v>7800</v>
      </c>
      <c r="B164" s="125">
        <v>3001</v>
      </c>
      <c r="C164" s="125">
        <v>0</v>
      </c>
      <c r="D164" s="125">
        <v>12000</v>
      </c>
      <c r="E164" s="125">
        <v>12000</v>
      </c>
      <c r="F164" s="125">
        <f t="shared" si="35"/>
        <v>3001</v>
      </c>
      <c r="G164" s="125">
        <f t="shared" si="31"/>
        <v>8999</v>
      </c>
      <c r="H164" s="209">
        <f t="shared" si="32"/>
        <v>2.9986671109630123</v>
      </c>
      <c r="I164" s="125">
        <f t="shared" si="45"/>
        <v>2030.3999999999999</v>
      </c>
      <c r="J164" s="125"/>
      <c r="K164" s="125"/>
      <c r="L164" s="125">
        <f t="shared" si="46"/>
        <v>174</v>
      </c>
      <c r="M164" s="125">
        <f t="shared" si="47"/>
        <v>147.6</v>
      </c>
      <c r="N164" s="125">
        <f t="shared" si="48"/>
        <v>226.89600000000002</v>
      </c>
      <c r="O164" s="125">
        <f t="shared" si="49"/>
        <v>2578.8959999999997</v>
      </c>
      <c r="P164" s="125">
        <f t="shared" si="50"/>
        <v>14578.896000000001</v>
      </c>
    </row>
    <row r="165" spans="1:16" x14ac:dyDescent="0.25">
      <c r="A165" s="124" t="s">
        <v>7801</v>
      </c>
      <c r="B165" s="125">
        <v>1663</v>
      </c>
      <c r="C165" s="125">
        <v>0</v>
      </c>
      <c r="D165" s="125">
        <v>7663</v>
      </c>
      <c r="E165" s="125">
        <v>7663</v>
      </c>
      <c r="F165" s="125">
        <f t="shared" si="35"/>
        <v>1663</v>
      </c>
      <c r="G165" s="125">
        <f t="shared" si="31"/>
        <v>6000</v>
      </c>
      <c r="H165" s="209">
        <f t="shared" si="32"/>
        <v>3.6079374624173179</v>
      </c>
      <c r="I165" s="125">
        <f t="shared" si="45"/>
        <v>1296.5796</v>
      </c>
      <c r="J165" s="125"/>
      <c r="K165" s="125"/>
      <c r="L165" s="125">
        <f t="shared" si="46"/>
        <v>111.1135</v>
      </c>
      <c r="M165" s="125">
        <f t="shared" si="47"/>
        <v>94.254900000000006</v>
      </c>
      <c r="N165" s="125">
        <f t="shared" si="48"/>
        <v>144.89200400000001</v>
      </c>
      <c r="O165" s="125">
        <f t="shared" si="49"/>
        <v>1646.8400039999999</v>
      </c>
      <c r="P165" s="125">
        <f t="shared" si="50"/>
        <v>9309.8400039999997</v>
      </c>
    </row>
    <row r="166" spans="1:16" x14ac:dyDescent="0.25">
      <c r="A166" s="124" t="s">
        <v>7802</v>
      </c>
      <c r="B166" s="125">
        <v>0</v>
      </c>
      <c r="C166" s="125">
        <v>63.35</v>
      </c>
      <c r="D166" s="125">
        <v>1200</v>
      </c>
      <c r="E166" s="125">
        <v>1200</v>
      </c>
      <c r="F166" s="125">
        <f t="shared" si="35"/>
        <v>-63.35</v>
      </c>
      <c r="G166" s="125">
        <f t="shared" si="31"/>
        <v>1200</v>
      </c>
      <c r="H166" s="209" t="e">
        <f t="shared" si="32"/>
        <v>#DIV/0!</v>
      </c>
      <c r="I166" s="125">
        <f t="shared" si="45"/>
        <v>203.04</v>
      </c>
      <c r="J166" s="125"/>
      <c r="K166" s="125"/>
      <c r="L166" s="125">
        <f t="shared" si="46"/>
        <v>17.400000000000002</v>
      </c>
      <c r="M166" s="125">
        <f t="shared" si="47"/>
        <v>14.76</v>
      </c>
      <c r="N166" s="125">
        <f t="shared" si="48"/>
        <v>22.689600000000002</v>
      </c>
      <c r="O166" s="125">
        <f t="shared" si="49"/>
        <v>257.88959999999997</v>
      </c>
      <c r="P166" s="125">
        <f t="shared" si="50"/>
        <v>1457.8896</v>
      </c>
    </row>
    <row r="167" spans="1:16" x14ac:dyDescent="0.25">
      <c r="A167" s="124" t="s">
        <v>7803</v>
      </c>
      <c r="B167" s="125">
        <v>2000</v>
      </c>
      <c r="C167" s="125">
        <v>2036.19</v>
      </c>
      <c r="D167" s="125">
        <v>2000</v>
      </c>
      <c r="E167" s="125">
        <v>2000</v>
      </c>
      <c r="F167" s="125">
        <f t="shared" si="35"/>
        <v>-36.190000000000055</v>
      </c>
      <c r="G167" s="125">
        <f t="shared" si="31"/>
        <v>0</v>
      </c>
      <c r="H167" s="209">
        <f t="shared" si="32"/>
        <v>0</v>
      </c>
      <c r="I167" s="125">
        <f t="shared" si="45"/>
        <v>338.4</v>
      </c>
      <c r="J167" s="125"/>
      <c r="K167" s="125"/>
      <c r="L167" s="125">
        <f t="shared" si="46"/>
        <v>29</v>
      </c>
      <c r="M167" s="125">
        <f t="shared" si="47"/>
        <v>24.6</v>
      </c>
      <c r="N167" s="125">
        <f t="shared" si="48"/>
        <v>37.816000000000003</v>
      </c>
      <c r="O167" s="125">
        <f t="shared" si="49"/>
        <v>429.81600000000003</v>
      </c>
      <c r="P167" s="125">
        <f t="shared" si="50"/>
        <v>2429.8159999999998</v>
      </c>
    </row>
    <row r="168" spans="1:16" x14ac:dyDescent="0.25">
      <c r="A168" s="122" t="s">
        <v>7804</v>
      </c>
      <c r="B168" s="123">
        <f>SUM(B145:B167)</f>
        <v>436239</v>
      </c>
      <c r="C168" s="123">
        <f t="shared" ref="C168:D168" si="51">SUM(C145:C167)</f>
        <v>211073.44</v>
      </c>
      <c r="D168" s="123">
        <f t="shared" si="51"/>
        <v>525438</v>
      </c>
      <c r="E168" s="123">
        <v>525438</v>
      </c>
      <c r="F168" s="125">
        <f t="shared" si="35"/>
        <v>225165.56</v>
      </c>
      <c r="G168" s="125">
        <f t="shared" si="31"/>
        <v>89199</v>
      </c>
      <c r="H168" s="209">
        <f t="shared" si="32"/>
        <v>0.20447277753708404</v>
      </c>
      <c r="I168" s="123">
        <f t="shared" si="45"/>
        <v>88904.109599999996</v>
      </c>
      <c r="J168" s="123"/>
      <c r="K168" s="123"/>
      <c r="L168" s="123">
        <f t="shared" si="46"/>
        <v>7618.8510000000006</v>
      </c>
      <c r="M168" s="123">
        <f t="shared" si="47"/>
        <v>6462.8874000000005</v>
      </c>
      <c r="N168" s="123">
        <f t="shared" si="48"/>
        <v>9934.9817039999998</v>
      </c>
      <c r="O168" s="123">
        <f t="shared" si="49"/>
        <v>112920.829704</v>
      </c>
      <c r="P168" s="123">
        <f t="shared" si="50"/>
        <v>638358.82970400003</v>
      </c>
    </row>
    <row r="169" spans="1:16" x14ac:dyDescent="0.25">
      <c r="A169" s="114" t="s">
        <v>7805</v>
      </c>
      <c r="B169" s="128">
        <f>+B168+B143+B136+B133+B52</f>
        <v>6522819</v>
      </c>
      <c r="C169" s="128">
        <f t="shared" ref="C169" si="52">+C168+C143+C136+C133+C52</f>
        <v>4105554.4300000011</v>
      </c>
      <c r="D169" s="128">
        <f>+D168+D143+D136+D133+D52</f>
        <v>6565842</v>
      </c>
      <c r="E169" s="213">
        <v>6994295.1710000001</v>
      </c>
      <c r="F169" s="125">
        <f t="shared" si="35"/>
        <v>2417264.5699999989</v>
      </c>
      <c r="G169" s="125">
        <f t="shared" si="31"/>
        <v>43023</v>
      </c>
      <c r="H169" s="209">
        <f t="shared" si="32"/>
        <v>6.5957678727556288E-3</v>
      </c>
      <c r="I169" s="128">
        <f t="shared" ref="I169:P169" si="53">+I168+I143+I136+I133+I52</f>
        <v>1110940.4663999998</v>
      </c>
      <c r="J169" s="128">
        <f t="shared" si="53"/>
        <v>0</v>
      </c>
      <c r="K169" s="128">
        <f t="shared" si="53"/>
        <v>0</v>
      </c>
      <c r="L169" s="128">
        <f t="shared" si="53"/>
        <v>95204.709000000003</v>
      </c>
      <c r="M169" s="128">
        <f t="shared" si="53"/>
        <v>80759.856599999999</v>
      </c>
      <c r="N169" s="128">
        <f t="shared" si="53"/>
        <v>124146.94053600001</v>
      </c>
      <c r="O169" s="128">
        <f t="shared" si="53"/>
        <v>1411051.9725359997</v>
      </c>
      <c r="P169" s="128">
        <f t="shared" si="53"/>
        <v>7976893.9725360004</v>
      </c>
    </row>
    <row r="170" spans="1:16" x14ac:dyDescent="0.25">
      <c r="A170" s="113" t="s">
        <v>7185</v>
      </c>
      <c r="B170" s="121"/>
      <c r="C170" s="121"/>
      <c r="D170" s="121"/>
      <c r="E170" s="213"/>
      <c r="F170" s="125">
        <f t="shared" si="35"/>
        <v>0</v>
      </c>
      <c r="G170" s="125">
        <f t="shared" si="31"/>
        <v>0</v>
      </c>
      <c r="H170" s="209" t="e">
        <f t="shared" si="32"/>
        <v>#DIV/0!</v>
      </c>
      <c r="I170" s="125"/>
      <c r="J170" s="125"/>
      <c r="K170" s="125"/>
      <c r="L170" s="125"/>
      <c r="M170" s="125"/>
      <c r="N170" s="125"/>
      <c r="O170" s="125"/>
      <c r="P170" s="125"/>
    </row>
    <row r="171" spans="1:16" x14ac:dyDescent="0.25">
      <c r="A171" s="122">
        <v>52300</v>
      </c>
      <c r="B171" s="123"/>
      <c r="C171" s="123"/>
      <c r="D171" s="123"/>
      <c r="E171" s="123"/>
      <c r="F171" s="125">
        <f t="shared" si="35"/>
        <v>0</v>
      </c>
      <c r="G171" s="125">
        <f t="shared" si="31"/>
        <v>0</v>
      </c>
      <c r="H171" s="209" t="e">
        <f t="shared" si="32"/>
        <v>#DIV/0!</v>
      </c>
    </row>
    <row r="172" spans="1:16" x14ac:dyDescent="0.25">
      <c r="A172" s="124" t="s">
        <v>7806</v>
      </c>
      <c r="B172" s="125">
        <v>3120</v>
      </c>
      <c r="C172" s="125">
        <v>1227.27</v>
      </c>
      <c r="D172" s="125">
        <v>3120</v>
      </c>
      <c r="E172" s="125">
        <v>3120</v>
      </c>
      <c r="F172" s="125">
        <f t="shared" si="35"/>
        <v>1892.73</v>
      </c>
      <c r="G172" s="125">
        <f t="shared" si="31"/>
        <v>0</v>
      </c>
      <c r="H172" s="209">
        <f t="shared" si="32"/>
        <v>0</v>
      </c>
      <c r="J172" s="125"/>
      <c r="K172" s="125">
        <f t="shared" ref="K172:K210" si="54">+$D172*$K$1</f>
        <v>193.44</v>
      </c>
      <c r="L172" s="125">
        <f t="shared" ref="L172:L210" si="55">+$D172*$L$1</f>
        <v>45.24</v>
      </c>
      <c r="M172" s="125">
        <f t="shared" ref="M172:M210" si="56">+$D172*$M$1</f>
        <v>38.375999999999998</v>
      </c>
      <c r="N172" s="125">
        <f t="shared" ref="N172:N210" si="57">+$D172*$N$1</f>
        <v>58.992960000000004</v>
      </c>
      <c r="O172" s="125">
        <f>SUM(I172:N172)</f>
        <v>336.04895999999997</v>
      </c>
      <c r="P172" s="125">
        <f t="shared" ref="P172:P210" si="58">+D172+O172</f>
        <v>3456.0489600000001</v>
      </c>
    </row>
    <row r="173" spans="1:16" x14ac:dyDescent="0.25">
      <c r="A173" s="124" t="s">
        <v>7807</v>
      </c>
      <c r="B173" s="125">
        <v>2340</v>
      </c>
      <c r="C173" s="125">
        <v>920.68</v>
      </c>
      <c r="D173" s="125">
        <v>2340</v>
      </c>
      <c r="E173" s="125">
        <v>2340</v>
      </c>
      <c r="F173" s="125">
        <f t="shared" si="35"/>
        <v>1419.3200000000002</v>
      </c>
      <c r="G173" s="125">
        <f t="shared" si="31"/>
        <v>0</v>
      </c>
      <c r="H173" s="209">
        <f t="shared" si="32"/>
        <v>0</v>
      </c>
      <c r="J173" s="125"/>
      <c r="K173" s="125">
        <f t="shared" si="54"/>
        <v>145.08000000000001</v>
      </c>
      <c r="L173" s="125">
        <f t="shared" si="55"/>
        <v>33.93</v>
      </c>
      <c r="M173" s="125">
        <f t="shared" si="56"/>
        <v>28.782</v>
      </c>
      <c r="N173" s="125">
        <f t="shared" si="57"/>
        <v>44.244720000000001</v>
      </c>
      <c r="O173" s="125">
        <f t="shared" ref="O173:O210" si="59">SUM(I173:N173)</f>
        <v>252.03672000000003</v>
      </c>
      <c r="P173" s="125">
        <f t="shared" si="58"/>
        <v>2592.0367200000001</v>
      </c>
    </row>
    <row r="174" spans="1:16" x14ac:dyDescent="0.25">
      <c r="A174" s="124" t="s">
        <v>7808</v>
      </c>
      <c r="B174" s="125">
        <v>0</v>
      </c>
      <c r="C174" s="125">
        <v>43.35</v>
      </c>
      <c r="F174" s="125">
        <f t="shared" si="35"/>
        <v>-43.35</v>
      </c>
      <c r="G174" s="125">
        <f t="shared" si="31"/>
        <v>0</v>
      </c>
      <c r="H174" s="209" t="e">
        <f t="shared" si="32"/>
        <v>#DIV/0!</v>
      </c>
      <c r="J174" s="125"/>
      <c r="K174" s="125">
        <f t="shared" si="54"/>
        <v>0</v>
      </c>
      <c r="L174" s="125">
        <f t="shared" si="55"/>
        <v>0</v>
      </c>
      <c r="M174" s="125">
        <f t="shared" si="56"/>
        <v>0</v>
      </c>
      <c r="N174" s="125">
        <f t="shared" si="57"/>
        <v>0</v>
      </c>
      <c r="O174" s="125">
        <f t="shared" si="59"/>
        <v>0</v>
      </c>
      <c r="P174" s="125">
        <f t="shared" si="58"/>
        <v>0</v>
      </c>
    </row>
    <row r="175" spans="1:16" x14ac:dyDescent="0.25">
      <c r="A175" s="124" t="s">
        <v>7809</v>
      </c>
      <c r="B175" s="125">
        <v>2340</v>
      </c>
      <c r="C175" s="125">
        <v>876.9</v>
      </c>
      <c r="D175" s="125">
        <v>2340</v>
      </c>
      <c r="E175" s="125">
        <v>2340</v>
      </c>
      <c r="F175" s="125">
        <f t="shared" si="35"/>
        <v>1463.1</v>
      </c>
      <c r="G175" s="125">
        <f t="shared" si="31"/>
        <v>0</v>
      </c>
      <c r="H175" s="209">
        <f t="shared" si="32"/>
        <v>0</v>
      </c>
      <c r="J175" s="125"/>
      <c r="K175" s="125">
        <f t="shared" si="54"/>
        <v>145.08000000000001</v>
      </c>
      <c r="L175" s="125">
        <f t="shared" si="55"/>
        <v>33.93</v>
      </c>
      <c r="M175" s="125">
        <f t="shared" si="56"/>
        <v>28.782</v>
      </c>
      <c r="N175" s="125">
        <f t="shared" si="57"/>
        <v>44.244720000000001</v>
      </c>
      <c r="O175" s="125">
        <f t="shared" si="59"/>
        <v>252.03672000000003</v>
      </c>
      <c r="P175" s="125">
        <f t="shared" si="58"/>
        <v>2592.0367200000001</v>
      </c>
    </row>
    <row r="176" spans="1:16" x14ac:dyDescent="0.25">
      <c r="A176" s="124" t="s">
        <v>7810</v>
      </c>
      <c r="B176" s="125">
        <v>0</v>
      </c>
      <c r="C176" s="125">
        <v>429.97</v>
      </c>
      <c r="D176" s="125">
        <v>1000</v>
      </c>
      <c r="E176" s="125">
        <v>1000</v>
      </c>
      <c r="F176" s="125">
        <f t="shared" si="35"/>
        <v>-429.97</v>
      </c>
      <c r="G176" s="125">
        <f t="shared" si="31"/>
        <v>1000</v>
      </c>
      <c r="H176" s="209" t="e">
        <f t="shared" si="32"/>
        <v>#DIV/0!</v>
      </c>
      <c r="J176" s="125"/>
      <c r="K176" s="125">
        <f t="shared" si="54"/>
        <v>62</v>
      </c>
      <c r="L176" s="125">
        <f t="shared" si="55"/>
        <v>14.5</v>
      </c>
      <c r="M176" s="125">
        <f t="shared" si="56"/>
        <v>12.3</v>
      </c>
      <c r="N176" s="125">
        <f t="shared" si="57"/>
        <v>18.908000000000001</v>
      </c>
      <c r="O176" s="125">
        <f t="shared" si="59"/>
        <v>107.708</v>
      </c>
      <c r="P176" s="125">
        <f t="shared" si="58"/>
        <v>1107.7080000000001</v>
      </c>
    </row>
    <row r="177" spans="1:16" x14ac:dyDescent="0.25">
      <c r="A177" s="124" t="s">
        <v>7811</v>
      </c>
      <c r="B177" s="125">
        <v>10000</v>
      </c>
      <c r="C177" s="125">
        <v>5818.8</v>
      </c>
      <c r="D177" s="1">
        <v>8000</v>
      </c>
      <c r="E177" s="1">
        <v>8000</v>
      </c>
      <c r="F177" s="125">
        <f t="shared" si="35"/>
        <v>4181.2</v>
      </c>
      <c r="G177" s="125">
        <f t="shared" si="31"/>
        <v>-2000</v>
      </c>
      <c r="H177" s="209">
        <f t="shared" si="32"/>
        <v>-0.2</v>
      </c>
      <c r="J177" s="125"/>
      <c r="K177" s="125">
        <f t="shared" si="54"/>
        <v>496</v>
      </c>
      <c r="L177" s="125">
        <f t="shared" si="55"/>
        <v>116</v>
      </c>
      <c r="M177" s="125">
        <f t="shared" si="56"/>
        <v>98.4</v>
      </c>
      <c r="N177" s="125">
        <f t="shared" si="57"/>
        <v>151.26400000000001</v>
      </c>
      <c r="O177" s="125">
        <f t="shared" si="59"/>
        <v>861.66399999999999</v>
      </c>
      <c r="P177" s="125">
        <f t="shared" si="58"/>
        <v>8861.6640000000007</v>
      </c>
    </row>
    <row r="178" spans="1:16" x14ac:dyDescent="0.25">
      <c r="A178" s="124" t="s">
        <v>7812</v>
      </c>
      <c r="B178" s="125">
        <v>0</v>
      </c>
      <c r="C178" s="125">
        <v>395.08</v>
      </c>
      <c r="F178" s="125">
        <f t="shared" si="35"/>
        <v>-395.08</v>
      </c>
      <c r="G178" s="125">
        <f t="shared" si="31"/>
        <v>0</v>
      </c>
      <c r="H178" s="209" t="e">
        <f t="shared" si="32"/>
        <v>#DIV/0!</v>
      </c>
      <c r="J178" s="125"/>
      <c r="K178" s="125">
        <f t="shared" si="54"/>
        <v>0</v>
      </c>
      <c r="L178" s="125">
        <f t="shared" si="55"/>
        <v>0</v>
      </c>
      <c r="M178" s="125">
        <f t="shared" si="56"/>
        <v>0</v>
      </c>
      <c r="N178" s="125">
        <f t="shared" si="57"/>
        <v>0</v>
      </c>
      <c r="O178" s="125">
        <f t="shared" si="59"/>
        <v>0</v>
      </c>
      <c r="P178" s="125">
        <f t="shared" si="58"/>
        <v>0</v>
      </c>
    </row>
    <row r="179" spans="1:16" x14ac:dyDescent="0.25">
      <c r="A179" s="124" t="s">
        <v>7813</v>
      </c>
      <c r="B179" s="125">
        <v>11500</v>
      </c>
      <c r="C179" s="125">
        <v>1533.45</v>
      </c>
      <c r="D179" s="125">
        <v>11500</v>
      </c>
      <c r="E179" s="125">
        <v>11500</v>
      </c>
      <c r="F179" s="125">
        <f t="shared" si="35"/>
        <v>9966.5499999999993</v>
      </c>
      <c r="G179" s="125">
        <f t="shared" si="31"/>
        <v>0</v>
      </c>
      <c r="H179" s="209">
        <f t="shared" si="32"/>
        <v>0</v>
      </c>
      <c r="J179" s="125"/>
      <c r="K179" s="125">
        <f t="shared" si="54"/>
        <v>713</v>
      </c>
      <c r="L179" s="125">
        <f t="shared" si="55"/>
        <v>166.75</v>
      </c>
      <c r="M179" s="125">
        <f t="shared" si="56"/>
        <v>141.44999999999999</v>
      </c>
      <c r="N179" s="125">
        <f t="shared" si="57"/>
        <v>217.44200000000001</v>
      </c>
      <c r="O179" s="125">
        <f t="shared" si="59"/>
        <v>1238.6420000000001</v>
      </c>
      <c r="P179" s="125">
        <f t="shared" si="58"/>
        <v>12738.642</v>
      </c>
    </row>
    <row r="180" spans="1:16" x14ac:dyDescent="0.25">
      <c r="A180" s="124" t="s">
        <v>7814</v>
      </c>
      <c r="B180" s="125">
        <v>0</v>
      </c>
      <c r="C180" s="125">
        <v>0</v>
      </c>
      <c r="D180" s="125">
        <v>0</v>
      </c>
      <c r="E180" s="125">
        <v>0</v>
      </c>
      <c r="F180" s="125">
        <f t="shared" si="35"/>
        <v>0</v>
      </c>
      <c r="G180" s="125">
        <f t="shared" si="31"/>
        <v>0</v>
      </c>
      <c r="H180" s="209" t="e">
        <f t="shared" si="32"/>
        <v>#DIV/0!</v>
      </c>
      <c r="J180" s="125"/>
      <c r="K180" s="125">
        <f t="shared" si="54"/>
        <v>0</v>
      </c>
      <c r="L180" s="125">
        <f t="shared" si="55"/>
        <v>0</v>
      </c>
      <c r="M180" s="125">
        <f t="shared" si="56"/>
        <v>0</v>
      </c>
      <c r="N180" s="125">
        <f t="shared" si="57"/>
        <v>0</v>
      </c>
      <c r="O180" s="125">
        <f t="shared" si="59"/>
        <v>0</v>
      </c>
      <c r="P180" s="125">
        <f t="shared" si="58"/>
        <v>0</v>
      </c>
    </row>
    <row r="181" spans="1:16" x14ac:dyDescent="0.25">
      <c r="A181" s="124" t="s">
        <v>7815</v>
      </c>
      <c r="B181" s="125">
        <v>1750</v>
      </c>
      <c r="C181" s="125">
        <v>0</v>
      </c>
      <c r="D181" s="125">
        <v>1750</v>
      </c>
      <c r="E181" s="125">
        <v>1750</v>
      </c>
      <c r="F181" s="125">
        <f t="shared" si="35"/>
        <v>1750</v>
      </c>
      <c r="G181" s="125">
        <f t="shared" si="31"/>
        <v>0</v>
      </c>
      <c r="H181" s="209">
        <f t="shared" si="32"/>
        <v>0</v>
      </c>
      <c r="J181" s="125"/>
      <c r="K181" s="125">
        <f t="shared" si="54"/>
        <v>108.5</v>
      </c>
      <c r="L181" s="125">
        <f t="shared" si="55"/>
        <v>25.375</v>
      </c>
      <c r="M181" s="125">
        <f t="shared" si="56"/>
        <v>21.524999999999999</v>
      </c>
      <c r="N181" s="125">
        <f t="shared" si="57"/>
        <v>33.088999999999999</v>
      </c>
      <c r="O181" s="125">
        <f t="shared" si="59"/>
        <v>188.489</v>
      </c>
      <c r="P181" s="125">
        <f t="shared" si="58"/>
        <v>1938.489</v>
      </c>
    </row>
    <row r="182" spans="1:16" x14ac:dyDescent="0.25">
      <c r="A182" s="124" t="s">
        <v>7816</v>
      </c>
      <c r="B182" s="125">
        <v>0</v>
      </c>
      <c r="C182" s="125">
        <v>60.15</v>
      </c>
      <c r="D182" s="125">
        <v>0</v>
      </c>
      <c r="E182" s="125">
        <v>0</v>
      </c>
      <c r="F182" s="125">
        <f t="shared" si="35"/>
        <v>-60.15</v>
      </c>
      <c r="G182" s="125">
        <f t="shared" si="31"/>
        <v>0</v>
      </c>
      <c r="H182" s="209" t="e">
        <f t="shared" si="32"/>
        <v>#DIV/0!</v>
      </c>
      <c r="J182" s="125"/>
      <c r="K182" s="125">
        <f t="shared" si="54"/>
        <v>0</v>
      </c>
      <c r="L182" s="125">
        <f t="shared" si="55"/>
        <v>0</v>
      </c>
      <c r="M182" s="125">
        <f t="shared" si="56"/>
        <v>0</v>
      </c>
      <c r="N182" s="125">
        <f t="shared" si="57"/>
        <v>0</v>
      </c>
      <c r="O182" s="125">
        <f t="shared" si="59"/>
        <v>0</v>
      </c>
      <c r="P182" s="125">
        <f t="shared" si="58"/>
        <v>0</v>
      </c>
    </row>
    <row r="183" spans="1:16" x14ac:dyDescent="0.25">
      <c r="A183" s="124" t="s">
        <v>7817</v>
      </c>
      <c r="B183" s="125">
        <v>1350</v>
      </c>
      <c r="C183" s="125">
        <v>8.68</v>
      </c>
      <c r="D183" s="125">
        <v>1350</v>
      </c>
      <c r="E183" s="125">
        <v>1350</v>
      </c>
      <c r="F183" s="125">
        <f t="shared" si="35"/>
        <v>1341.32</v>
      </c>
      <c r="G183" s="125">
        <f t="shared" si="31"/>
        <v>0</v>
      </c>
      <c r="H183" s="209">
        <f t="shared" si="32"/>
        <v>0</v>
      </c>
      <c r="J183" s="125"/>
      <c r="K183" s="125">
        <f t="shared" si="54"/>
        <v>83.7</v>
      </c>
      <c r="L183" s="125">
        <f t="shared" si="55"/>
        <v>19.574999999999999</v>
      </c>
      <c r="M183" s="125">
        <f t="shared" si="56"/>
        <v>16.605</v>
      </c>
      <c r="N183" s="125">
        <f t="shared" si="57"/>
        <v>25.5258</v>
      </c>
      <c r="O183" s="125">
        <f t="shared" si="59"/>
        <v>145.4058</v>
      </c>
      <c r="P183" s="125">
        <f t="shared" si="58"/>
        <v>1495.4058</v>
      </c>
    </row>
    <row r="184" spans="1:16" x14ac:dyDescent="0.25">
      <c r="A184" s="124" t="s">
        <v>7818</v>
      </c>
      <c r="B184" s="125">
        <v>0</v>
      </c>
      <c r="C184" s="125">
        <v>174.59</v>
      </c>
      <c r="D184" s="125">
        <v>0</v>
      </c>
      <c r="E184" s="125">
        <v>0</v>
      </c>
      <c r="F184" s="125">
        <f t="shared" si="35"/>
        <v>-174.59</v>
      </c>
      <c r="G184" s="125">
        <f t="shared" si="31"/>
        <v>0</v>
      </c>
      <c r="H184" s="209" t="e">
        <f t="shared" si="32"/>
        <v>#DIV/0!</v>
      </c>
      <c r="J184" s="125"/>
      <c r="K184" s="125">
        <f t="shared" si="54"/>
        <v>0</v>
      </c>
      <c r="L184" s="125">
        <f t="shared" si="55"/>
        <v>0</v>
      </c>
      <c r="M184" s="125">
        <f t="shared" si="56"/>
        <v>0</v>
      </c>
      <c r="N184" s="125">
        <f t="shared" si="57"/>
        <v>0</v>
      </c>
      <c r="O184" s="125">
        <f t="shared" si="59"/>
        <v>0</v>
      </c>
      <c r="P184" s="125">
        <f t="shared" si="58"/>
        <v>0</v>
      </c>
    </row>
    <row r="185" spans="1:16" x14ac:dyDescent="0.25">
      <c r="A185" s="124" t="s">
        <v>7819</v>
      </c>
      <c r="B185" s="125">
        <v>395</v>
      </c>
      <c r="C185" s="125">
        <v>0</v>
      </c>
      <c r="D185" s="125">
        <v>12000</v>
      </c>
      <c r="E185" s="125">
        <v>12000</v>
      </c>
      <c r="F185" s="125">
        <f t="shared" si="35"/>
        <v>395</v>
      </c>
      <c r="G185" s="125">
        <f t="shared" si="31"/>
        <v>11605</v>
      </c>
      <c r="H185" s="209">
        <f t="shared" si="32"/>
        <v>29.379746835443036</v>
      </c>
      <c r="J185" s="125"/>
      <c r="K185" s="125">
        <f t="shared" si="54"/>
        <v>744</v>
      </c>
      <c r="L185" s="125">
        <f t="shared" si="55"/>
        <v>174</v>
      </c>
      <c r="M185" s="125">
        <f t="shared" si="56"/>
        <v>147.6</v>
      </c>
      <c r="N185" s="125">
        <f t="shared" si="57"/>
        <v>226.89600000000002</v>
      </c>
      <c r="O185" s="125">
        <f t="shared" si="59"/>
        <v>1292.4959999999999</v>
      </c>
      <c r="P185" s="125">
        <f t="shared" si="58"/>
        <v>13292.495999999999</v>
      </c>
    </row>
    <row r="186" spans="1:16" x14ac:dyDescent="0.25">
      <c r="A186" s="124" t="s">
        <v>7820</v>
      </c>
      <c r="B186" s="125">
        <v>0</v>
      </c>
      <c r="C186" s="125">
        <v>377.76</v>
      </c>
      <c r="D186" s="125">
        <v>0</v>
      </c>
      <c r="E186" s="125">
        <v>0</v>
      </c>
      <c r="F186" s="125">
        <f t="shared" si="35"/>
        <v>-377.76</v>
      </c>
      <c r="G186" s="125">
        <f t="shared" si="31"/>
        <v>0</v>
      </c>
      <c r="H186" s="209" t="e">
        <f t="shared" si="32"/>
        <v>#DIV/0!</v>
      </c>
      <c r="J186" s="125"/>
      <c r="K186" s="125">
        <f t="shared" si="54"/>
        <v>0</v>
      </c>
      <c r="L186" s="125">
        <f t="shared" si="55"/>
        <v>0</v>
      </c>
      <c r="M186" s="125">
        <f t="shared" si="56"/>
        <v>0</v>
      </c>
      <c r="N186" s="125">
        <f t="shared" si="57"/>
        <v>0</v>
      </c>
      <c r="O186" s="125">
        <f t="shared" si="59"/>
        <v>0</v>
      </c>
      <c r="P186" s="125">
        <f t="shared" si="58"/>
        <v>0</v>
      </c>
    </row>
    <row r="187" spans="1:16" x14ac:dyDescent="0.25">
      <c r="A187" s="124" t="s">
        <v>7821</v>
      </c>
      <c r="B187" s="125">
        <v>0</v>
      </c>
      <c r="C187" s="125">
        <v>152.16</v>
      </c>
      <c r="D187" s="125">
        <v>0</v>
      </c>
      <c r="E187" s="125">
        <v>0</v>
      </c>
      <c r="F187" s="125">
        <f t="shared" si="35"/>
        <v>-152.16</v>
      </c>
      <c r="G187" s="125">
        <f t="shared" si="31"/>
        <v>0</v>
      </c>
      <c r="H187" s="209" t="e">
        <f t="shared" si="32"/>
        <v>#DIV/0!</v>
      </c>
      <c r="J187" s="125"/>
      <c r="K187" s="125">
        <f t="shared" si="54"/>
        <v>0</v>
      </c>
      <c r="L187" s="125">
        <f t="shared" si="55"/>
        <v>0</v>
      </c>
      <c r="M187" s="125">
        <f t="shared" si="56"/>
        <v>0</v>
      </c>
      <c r="N187" s="125">
        <f t="shared" si="57"/>
        <v>0</v>
      </c>
      <c r="O187" s="125">
        <f t="shared" si="59"/>
        <v>0</v>
      </c>
      <c r="P187" s="125">
        <f t="shared" si="58"/>
        <v>0</v>
      </c>
    </row>
    <row r="188" spans="1:16" x14ac:dyDescent="0.25">
      <c r="A188" s="124" t="s">
        <v>7822</v>
      </c>
      <c r="B188" s="125">
        <v>0</v>
      </c>
      <c r="C188" s="125">
        <v>17.899999999999999</v>
      </c>
      <c r="D188" s="125">
        <v>2682.8999999999996</v>
      </c>
      <c r="E188" s="125">
        <v>2682.8999999999996</v>
      </c>
      <c r="F188" s="125">
        <f t="shared" si="35"/>
        <v>-17.899999999999999</v>
      </c>
      <c r="G188" s="125">
        <f t="shared" si="31"/>
        <v>2682.8999999999996</v>
      </c>
      <c r="H188" s="209" t="e">
        <f t="shared" si="32"/>
        <v>#DIV/0!</v>
      </c>
      <c r="J188" s="125"/>
      <c r="K188" s="125">
        <f t="shared" si="54"/>
        <v>166.33979999999997</v>
      </c>
      <c r="L188" s="125">
        <f t="shared" si="55"/>
        <v>38.902049999999996</v>
      </c>
      <c r="M188" s="125">
        <f t="shared" si="56"/>
        <v>32.999669999999995</v>
      </c>
      <c r="N188" s="125">
        <f t="shared" si="57"/>
        <v>50.728273199999997</v>
      </c>
      <c r="O188" s="125">
        <f t="shared" si="59"/>
        <v>288.96979319999997</v>
      </c>
      <c r="P188" s="125">
        <f t="shared" si="58"/>
        <v>2971.8697931999995</v>
      </c>
    </row>
    <row r="189" spans="1:16" x14ac:dyDescent="0.25">
      <c r="A189" s="124" t="s">
        <v>7823</v>
      </c>
      <c r="B189" s="125">
        <v>0</v>
      </c>
      <c r="C189" s="125">
        <v>430.75</v>
      </c>
      <c r="D189" s="125">
        <v>1341.4499999999998</v>
      </c>
      <c r="E189" s="125">
        <v>1341.4499999999998</v>
      </c>
      <c r="F189" s="125">
        <f t="shared" si="35"/>
        <v>-430.75</v>
      </c>
      <c r="G189" s="125">
        <f t="shared" si="31"/>
        <v>1341.4499999999998</v>
      </c>
      <c r="H189" s="209" t="e">
        <f t="shared" si="32"/>
        <v>#DIV/0!</v>
      </c>
      <c r="J189" s="125"/>
      <c r="K189" s="125">
        <f t="shared" si="54"/>
        <v>83.169899999999984</v>
      </c>
      <c r="L189" s="125">
        <f t="shared" si="55"/>
        <v>19.451024999999998</v>
      </c>
      <c r="M189" s="125">
        <f t="shared" si="56"/>
        <v>16.499834999999997</v>
      </c>
      <c r="N189" s="125">
        <f t="shared" si="57"/>
        <v>25.364136599999998</v>
      </c>
      <c r="O189" s="125">
        <f t="shared" si="59"/>
        <v>144.48489659999998</v>
      </c>
      <c r="P189" s="125">
        <f t="shared" si="58"/>
        <v>1485.9348965999998</v>
      </c>
    </row>
    <row r="190" spans="1:16" x14ac:dyDescent="0.25">
      <c r="A190" s="124" t="s">
        <v>7824</v>
      </c>
      <c r="B190" s="125">
        <v>0</v>
      </c>
      <c r="C190" s="125">
        <v>1615.3</v>
      </c>
      <c r="D190" s="125">
        <v>2012.1749999999997</v>
      </c>
      <c r="E190" s="125">
        <v>2012.1749999999997</v>
      </c>
      <c r="F190" s="125">
        <f t="shared" si="35"/>
        <v>-1615.3</v>
      </c>
      <c r="G190" s="125">
        <f t="shared" si="31"/>
        <v>2012.1749999999997</v>
      </c>
      <c r="H190" s="209" t="e">
        <f t="shared" si="32"/>
        <v>#DIV/0!</v>
      </c>
      <c r="J190" s="125"/>
      <c r="K190" s="125">
        <f t="shared" si="54"/>
        <v>124.75484999999998</v>
      </c>
      <c r="L190" s="125">
        <f t="shared" si="55"/>
        <v>29.176537499999998</v>
      </c>
      <c r="M190" s="125">
        <f t="shared" si="56"/>
        <v>24.749752499999996</v>
      </c>
      <c r="N190" s="125">
        <f t="shared" si="57"/>
        <v>38.046204899999999</v>
      </c>
      <c r="O190" s="125">
        <f t="shared" si="59"/>
        <v>216.72734489999996</v>
      </c>
      <c r="P190" s="125">
        <f t="shared" si="58"/>
        <v>2228.9023448999997</v>
      </c>
    </row>
    <row r="191" spans="1:16" x14ac:dyDescent="0.25">
      <c r="A191" s="124" t="s">
        <v>7825</v>
      </c>
      <c r="B191" s="125">
        <v>0</v>
      </c>
      <c r="C191" s="125">
        <v>1466.27</v>
      </c>
      <c r="D191" s="125">
        <v>1341.4499999999998</v>
      </c>
      <c r="E191" s="125">
        <v>1341.4499999999998</v>
      </c>
      <c r="F191" s="125">
        <f t="shared" si="35"/>
        <v>-1466.27</v>
      </c>
      <c r="G191" s="125">
        <f t="shared" si="31"/>
        <v>1341.4499999999998</v>
      </c>
      <c r="H191" s="209" t="e">
        <f t="shared" si="32"/>
        <v>#DIV/0!</v>
      </c>
      <c r="J191" s="125"/>
      <c r="K191" s="125">
        <f t="shared" si="54"/>
        <v>83.169899999999984</v>
      </c>
      <c r="L191" s="125">
        <f t="shared" si="55"/>
        <v>19.451024999999998</v>
      </c>
      <c r="M191" s="125">
        <f t="shared" si="56"/>
        <v>16.499834999999997</v>
      </c>
      <c r="N191" s="125">
        <f t="shared" si="57"/>
        <v>25.364136599999998</v>
      </c>
      <c r="O191" s="125">
        <f t="shared" si="59"/>
        <v>144.48489659999998</v>
      </c>
      <c r="P191" s="125">
        <f t="shared" si="58"/>
        <v>1485.9348965999998</v>
      </c>
    </row>
    <row r="192" spans="1:16" x14ac:dyDescent="0.25">
      <c r="A192" s="124" t="s">
        <v>7826</v>
      </c>
      <c r="B192" s="125">
        <v>0</v>
      </c>
      <c r="C192" s="125">
        <v>107.69</v>
      </c>
      <c r="D192" s="125">
        <v>1404.6749999999997</v>
      </c>
      <c r="E192" s="125">
        <v>1404.6749999999997</v>
      </c>
      <c r="F192" s="125">
        <f t="shared" si="35"/>
        <v>-107.69</v>
      </c>
      <c r="G192" s="125">
        <f t="shared" si="31"/>
        <v>1404.6749999999997</v>
      </c>
      <c r="H192" s="209" t="e">
        <f t="shared" si="32"/>
        <v>#DIV/0!</v>
      </c>
      <c r="J192" s="125"/>
      <c r="K192" s="125">
        <f t="shared" si="54"/>
        <v>87.089849999999984</v>
      </c>
      <c r="L192" s="125">
        <f t="shared" si="55"/>
        <v>20.367787499999999</v>
      </c>
      <c r="M192" s="125">
        <f t="shared" si="56"/>
        <v>17.277502499999997</v>
      </c>
      <c r="N192" s="125">
        <f t="shared" si="57"/>
        <v>26.559594899999997</v>
      </c>
      <c r="O192" s="125">
        <f t="shared" si="59"/>
        <v>151.29473489999998</v>
      </c>
      <c r="P192" s="125">
        <f t="shared" si="58"/>
        <v>1555.9697348999998</v>
      </c>
    </row>
    <row r="193" spans="1:16" x14ac:dyDescent="0.25">
      <c r="A193" s="124" t="s">
        <v>7827</v>
      </c>
      <c r="B193" s="125">
        <v>0</v>
      </c>
      <c r="C193" s="125">
        <v>14.96</v>
      </c>
      <c r="D193" s="125">
        <v>0</v>
      </c>
      <c r="E193" s="125">
        <v>0</v>
      </c>
      <c r="F193" s="125">
        <f t="shared" si="35"/>
        <v>-14.96</v>
      </c>
      <c r="G193" s="125">
        <f t="shared" si="31"/>
        <v>0</v>
      </c>
      <c r="H193" s="209" t="e">
        <f t="shared" si="32"/>
        <v>#DIV/0!</v>
      </c>
      <c r="J193" s="125"/>
      <c r="K193" s="125">
        <f t="shared" si="54"/>
        <v>0</v>
      </c>
      <c r="L193" s="125">
        <f t="shared" si="55"/>
        <v>0</v>
      </c>
      <c r="M193" s="125">
        <f t="shared" si="56"/>
        <v>0</v>
      </c>
      <c r="N193" s="125">
        <f t="shared" si="57"/>
        <v>0</v>
      </c>
      <c r="O193" s="125">
        <f t="shared" si="59"/>
        <v>0</v>
      </c>
      <c r="P193" s="125">
        <f t="shared" si="58"/>
        <v>0</v>
      </c>
    </row>
    <row r="194" spans="1:16" x14ac:dyDescent="0.25">
      <c r="A194" s="124" t="s">
        <v>7828</v>
      </c>
      <c r="B194" s="125">
        <v>0</v>
      </c>
      <c r="C194" s="125">
        <v>0.56999999999999995</v>
      </c>
      <c r="D194" s="125">
        <v>0</v>
      </c>
      <c r="E194" s="125">
        <v>0</v>
      </c>
      <c r="F194" s="125">
        <f t="shared" si="35"/>
        <v>-0.56999999999999995</v>
      </c>
      <c r="G194" s="125">
        <f t="shared" si="31"/>
        <v>0</v>
      </c>
      <c r="H194" s="209" t="e">
        <f t="shared" si="32"/>
        <v>#DIV/0!</v>
      </c>
      <c r="J194" s="125"/>
      <c r="K194" s="125">
        <f t="shared" si="54"/>
        <v>0</v>
      </c>
      <c r="L194" s="125">
        <f t="shared" si="55"/>
        <v>0</v>
      </c>
      <c r="M194" s="125">
        <f t="shared" si="56"/>
        <v>0</v>
      </c>
      <c r="N194" s="125">
        <f t="shared" si="57"/>
        <v>0</v>
      </c>
      <c r="O194" s="125">
        <f t="shared" si="59"/>
        <v>0</v>
      </c>
      <c r="P194" s="125">
        <f t="shared" si="58"/>
        <v>0</v>
      </c>
    </row>
    <row r="195" spans="1:16" x14ac:dyDescent="0.25">
      <c r="A195" s="124" t="s">
        <v>7829</v>
      </c>
      <c r="B195" s="125">
        <v>0</v>
      </c>
      <c r="C195" s="125">
        <v>3.17</v>
      </c>
      <c r="D195" s="125">
        <v>1000</v>
      </c>
      <c r="E195" s="125">
        <v>1000</v>
      </c>
      <c r="F195" s="125">
        <f t="shared" si="35"/>
        <v>-3.17</v>
      </c>
      <c r="G195" s="125">
        <f t="shared" si="31"/>
        <v>1000</v>
      </c>
      <c r="H195" s="209" t="e">
        <f t="shared" si="32"/>
        <v>#DIV/0!</v>
      </c>
      <c r="J195" s="125"/>
      <c r="K195" s="125">
        <f t="shared" si="54"/>
        <v>62</v>
      </c>
      <c r="L195" s="125">
        <f t="shared" si="55"/>
        <v>14.5</v>
      </c>
      <c r="M195" s="125">
        <f t="shared" si="56"/>
        <v>12.3</v>
      </c>
      <c r="N195" s="125">
        <f t="shared" si="57"/>
        <v>18.908000000000001</v>
      </c>
      <c r="O195" s="125">
        <f t="shared" si="59"/>
        <v>107.708</v>
      </c>
      <c r="P195" s="125">
        <f t="shared" si="58"/>
        <v>1107.7080000000001</v>
      </c>
    </row>
    <row r="196" spans="1:16" x14ac:dyDescent="0.25">
      <c r="A196" s="124" t="s">
        <v>7830</v>
      </c>
      <c r="B196" s="125">
        <v>1800</v>
      </c>
      <c r="C196" s="125">
        <v>90.31</v>
      </c>
      <c r="D196" s="125">
        <v>1800</v>
      </c>
      <c r="E196" s="125">
        <v>1800</v>
      </c>
      <c r="F196" s="125">
        <f t="shared" si="35"/>
        <v>1709.69</v>
      </c>
      <c r="G196" s="125">
        <f t="shared" ref="G196:G259" si="60">+D196-B196</f>
        <v>0</v>
      </c>
      <c r="H196" s="209">
        <f t="shared" ref="H196:H259" si="61">+G196/B196</f>
        <v>0</v>
      </c>
      <c r="J196" s="125"/>
      <c r="K196" s="125">
        <f t="shared" si="54"/>
        <v>111.6</v>
      </c>
      <c r="L196" s="125">
        <f t="shared" si="55"/>
        <v>26.1</v>
      </c>
      <c r="M196" s="125">
        <f t="shared" si="56"/>
        <v>22.14</v>
      </c>
      <c r="N196" s="125">
        <f t="shared" si="57"/>
        <v>34.034400000000005</v>
      </c>
      <c r="O196" s="125">
        <f t="shared" si="59"/>
        <v>193.87439999999998</v>
      </c>
      <c r="P196" s="125">
        <f t="shared" si="58"/>
        <v>1993.8743999999999</v>
      </c>
    </row>
    <row r="197" spans="1:16" x14ac:dyDescent="0.25">
      <c r="A197" s="124" t="s">
        <v>7831</v>
      </c>
      <c r="B197" s="125">
        <v>700</v>
      </c>
      <c r="C197" s="125">
        <v>0</v>
      </c>
      <c r="D197" s="125">
        <v>700</v>
      </c>
      <c r="E197" s="125">
        <v>700</v>
      </c>
      <c r="F197" s="125">
        <f t="shared" ref="F197:F260" si="62">+B197-C197</f>
        <v>700</v>
      </c>
      <c r="G197" s="125">
        <f t="shared" si="60"/>
        <v>0</v>
      </c>
      <c r="H197" s="209">
        <f t="shared" si="61"/>
        <v>0</v>
      </c>
      <c r="J197" s="125"/>
      <c r="K197" s="125">
        <f t="shared" si="54"/>
        <v>43.4</v>
      </c>
      <c r="L197" s="125">
        <f t="shared" si="55"/>
        <v>10.15</v>
      </c>
      <c r="M197" s="125">
        <f t="shared" si="56"/>
        <v>8.61</v>
      </c>
      <c r="N197" s="125">
        <f t="shared" si="57"/>
        <v>13.235600000000002</v>
      </c>
      <c r="O197" s="125">
        <f t="shared" si="59"/>
        <v>75.395600000000002</v>
      </c>
      <c r="P197" s="125">
        <f t="shared" si="58"/>
        <v>775.39560000000006</v>
      </c>
    </row>
    <row r="198" spans="1:16" x14ac:dyDescent="0.25">
      <c r="A198" s="124" t="s">
        <v>7832</v>
      </c>
      <c r="B198" s="125">
        <v>0</v>
      </c>
      <c r="C198" s="125">
        <v>1.27</v>
      </c>
      <c r="F198" s="125">
        <f t="shared" si="62"/>
        <v>-1.27</v>
      </c>
      <c r="G198" s="125">
        <f t="shared" si="60"/>
        <v>0</v>
      </c>
      <c r="H198" s="209" t="e">
        <f t="shared" si="61"/>
        <v>#DIV/0!</v>
      </c>
      <c r="J198" s="125"/>
      <c r="K198" s="125">
        <f t="shared" si="54"/>
        <v>0</v>
      </c>
      <c r="L198" s="125">
        <f t="shared" si="55"/>
        <v>0</v>
      </c>
      <c r="M198" s="125">
        <f t="shared" si="56"/>
        <v>0</v>
      </c>
      <c r="N198" s="125">
        <f t="shared" si="57"/>
        <v>0</v>
      </c>
      <c r="O198" s="125">
        <f t="shared" si="59"/>
        <v>0</v>
      </c>
      <c r="P198" s="125">
        <f t="shared" si="58"/>
        <v>0</v>
      </c>
    </row>
    <row r="199" spans="1:16" x14ac:dyDescent="0.25">
      <c r="A199" s="124" t="s">
        <v>7833</v>
      </c>
      <c r="B199" s="125">
        <v>3000</v>
      </c>
      <c r="C199" s="125">
        <v>0</v>
      </c>
      <c r="D199" s="125">
        <v>3000</v>
      </c>
      <c r="E199" s="125">
        <v>3000</v>
      </c>
      <c r="F199" s="125">
        <f t="shared" si="62"/>
        <v>3000</v>
      </c>
      <c r="G199" s="125">
        <f t="shared" si="60"/>
        <v>0</v>
      </c>
      <c r="H199" s="209">
        <f t="shared" si="61"/>
        <v>0</v>
      </c>
      <c r="J199" s="125"/>
      <c r="K199" s="125">
        <f t="shared" si="54"/>
        <v>186</v>
      </c>
      <c r="L199" s="125">
        <f t="shared" si="55"/>
        <v>43.5</v>
      </c>
      <c r="M199" s="125">
        <f t="shared" si="56"/>
        <v>36.9</v>
      </c>
      <c r="N199" s="125">
        <f t="shared" si="57"/>
        <v>56.724000000000004</v>
      </c>
      <c r="O199" s="125">
        <f t="shared" si="59"/>
        <v>323.12399999999997</v>
      </c>
      <c r="P199" s="125">
        <f t="shared" si="58"/>
        <v>3323.1239999999998</v>
      </c>
    </row>
    <row r="200" spans="1:16" x14ac:dyDescent="0.25">
      <c r="A200" s="124" t="s">
        <v>7834</v>
      </c>
      <c r="B200" s="125">
        <v>726.23</v>
      </c>
      <c r="C200" s="125">
        <v>726.23</v>
      </c>
      <c r="D200" s="125">
        <v>726.23</v>
      </c>
      <c r="E200" s="125">
        <v>726.23</v>
      </c>
      <c r="F200" s="125">
        <f t="shared" si="62"/>
        <v>0</v>
      </c>
      <c r="G200" s="125">
        <f t="shared" si="60"/>
        <v>0</v>
      </c>
      <c r="H200" s="209">
        <f t="shared" si="61"/>
        <v>0</v>
      </c>
      <c r="J200" s="125"/>
      <c r="K200" s="125">
        <f t="shared" si="54"/>
        <v>45.026260000000001</v>
      </c>
      <c r="L200" s="125">
        <f t="shared" si="55"/>
        <v>10.530335000000001</v>
      </c>
      <c r="M200" s="125">
        <f t="shared" si="56"/>
        <v>8.9326290000000004</v>
      </c>
      <c r="N200" s="125">
        <f t="shared" si="57"/>
        <v>13.731556840000001</v>
      </c>
      <c r="O200" s="125">
        <f t="shared" si="59"/>
        <v>78.220780840000003</v>
      </c>
      <c r="P200" s="125">
        <f t="shared" si="58"/>
        <v>804.45078083999999</v>
      </c>
    </row>
    <row r="201" spans="1:16" x14ac:dyDescent="0.25">
      <c r="A201" s="124" t="s">
        <v>7835</v>
      </c>
      <c r="B201" s="125">
        <v>0</v>
      </c>
      <c r="C201" s="125">
        <v>20.88</v>
      </c>
      <c r="D201" s="125">
        <v>0</v>
      </c>
      <c r="E201" s="125">
        <v>0</v>
      </c>
      <c r="F201" s="125">
        <f t="shared" si="62"/>
        <v>-20.88</v>
      </c>
      <c r="G201" s="125">
        <f t="shared" si="60"/>
        <v>0</v>
      </c>
      <c r="H201" s="209" t="e">
        <f t="shared" si="61"/>
        <v>#DIV/0!</v>
      </c>
      <c r="J201" s="125"/>
      <c r="K201" s="125">
        <f t="shared" si="54"/>
        <v>0</v>
      </c>
      <c r="L201" s="125">
        <f t="shared" si="55"/>
        <v>0</v>
      </c>
      <c r="M201" s="125">
        <f t="shared" si="56"/>
        <v>0</v>
      </c>
      <c r="N201" s="125">
        <f t="shared" si="57"/>
        <v>0</v>
      </c>
      <c r="O201" s="125">
        <f t="shared" si="59"/>
        <v>0</v>
      </c>
      <c r="P201" s="125">
        <f t="shared" si="58"/>
        <v>0</v>
      </c>
    </row>
    <row r="202" spans="1:16" x14ac:dyDescent="0.25">
      <c r="A202" s="124" t="s">
        <v>7836</v>
      </c>
      <c r="B202" s="125">
        <v>0</v>
      </c>
      <c r="C202" s="125">
        <v>13.02</v>
      </c>
      <c r="D202" s="125">
        <v>0</v>
      </c>
      <c r="E202" s="125">
        <v>0</v>
      </c>
      <c r="F202" s="125">
        <f t="shared" si="62"/>
        <v>-13.02</v>
      </c>
      <c r="G202" s="125">
        <f t="shared" si="60"/>
        <v>0</v>
      </c>
      <c r="H202" s="209" t="e">
        <f t="shared" si="61"/>
        <v>#DIV/0!</v>
      </c>
      <c r="J202" s="125"/>
      <c r="K202" s="125">
        <f t="shared" si="54"/>
        <v>0</v>
      </c>
      <c r="L202" s="125">
        <f t="shared" si="55"/>
        <v>0</v>
      </c>
      <c r="M202" s="125">
        <f t="shared" si="56"/>
        <v>0</v>
      </c>
      <c r="N202" s="125">
        <f t="shared" si="57"/>
        <v>0</v>
      </c>
      <c r="O202" s="125">
        <f t="shared" si="59"/>
        <v>0</v>
      </c>
      <c r="P202" s="125">
        <f t="shared" si="58"/>
        <v>0</v>
      </c>
    </row>
    <row r="203" spans="1:16" x14ac:dyDescent="0.25">
      <c r="A203" s="124" t="s">
        <v>7837</v>
      </c>
      <c r="B203" s="125">
        <v>0</v>
      </c>
      <c r="C203" s="125">
        <v>33.76</v>
      </c>
      <c r="D203" s="125">
        <v>0</v>
      </c>
      <c r="E203" s="125">
        <v>0</v>
      </c>
      <c r="F203" s="125">
        <f t="shared" si="62"/>
        <v>-33.76</v>
      </c>
      <c r="G203" s="125">
        <f t="shared" si="60"/>
        <v>0</v>
      </c>
      <c r="H203" s="209" t="e">
        <f t="shared" si="61"/>
        <v>#DIV/0!</v>
      </c>
      <c r="J203" s="125"/>
      <c r="K203" s="125">
        <f t="shared" si="54"/>
        <v>0</v>
      </c>
      <c r="L203" s="125">
        <f t="shared" si="55"/>
        <v>0</v>
      </c>
      <c r="M203" s="125">
        <f t="shared" si="56"/>
        <v>0</v>
      </c>
      <c r="N203" s="125">
        <f t="shared" si="57"/>
        <v>0</v>
      </c>
      <c r="O203" s="125">
        <f t="shared" si="59"/>
        <v>0</v>
      </c>
      <c r="P203" s="125">
        <f t="shared" si="58"/>
        <v>0</v>
      </c>
    </row>
    <row r="204" spans="1:16" x14ac:dyDescent="0.25">
      <c r="A204" s="124" t="s">
        <v>7838</v>
      </c>
      <c r="B204" s="125">
        <v>500</v>
      </c>
      <c r="C204" s="125">
        <v>92.28</v>
      </c>
      <c r="D204" s="125">
        <v>500</v>
      </c>
      <c r="E204" s="125">
        <v>500</v>
      </c>
      <c r="F204" s="125">
        <f t="shared" si="62"/>
        <v>407.72</v>
      </c>
      <c r="G204" s="125">
        <f t="shared" si="60"/>
        <v>0</v>
      </c>
      <c r="H204" s="209">
        <f t="shared" si="61"/>
        <v>0</v>
      </c>
      <c r="J204" s="125"/>
      <c r="K204" s="125">
        <f t="shared" si="54"/>
        <v>31</v>
      </c>
      <c r="L204" s="125">
        <f t="shared" si="55"/>
        <v>7.25</v>
      </c>
      <c r="M204" s="125">
        <f t="shared" si="56"/>
        <v>6.15</v>
      </c>
      <c r="N204" s="125">
        <f t="shared" si="57"/>
        <v>9.4540000000000006</v>
      </c>
      <c r="O204" s="125">
        <f t="shared" si="59"/>
        <v>53.853999999999999</v>
      </c>
      <c r="P204" s="125">
        <f t="shared" si="58"/>
        <v>553.85400000000004</v>
      </c>
    </row>
    <row r="205" spans="1:16" x14ac:dyDescent="0.25">
      <c r="A205" s="124" t="s">
        <v>7839</v>
      </c>
      <c r="B205" s="125">
        <v>6000</v>
      </c>
      <c r="C205" s="125">
        <v>1347.36</v>
      </c>
      <c r="D205" s="125">
        <v>6000</v>
      </c>
      <c r="E205" s="125">
        <v>6000</v>
      </c>
      <c r="F205" s="125">
        <f t="shared" si="62"/>
        <v>4652.6400000000003</v>
      </c>
      <c r="G205" s="125">
        <f t="shared" si="60"/>
        <v>0</v>
      </c>
      <c r="H205" s="209">
        <f t="shared" si="61"/>
        <v>0</v>
      </c>
      <c r="J205" s="125"/>
      <c r="K205" s="125">
        <f t="shared" si="54"/>
        <v>372</v>
      </c>
      <c r="L205" s="125">
        <f t="shared" si="55"/>
        <v>87</v>
      </c>
      <c r="M205" s="125">
        <f t="shared" si="56"/>
        <v>73.8</v>
      </c>
      <c r="N205" s="125">
        <f t="shared" si="57"/>
        <v>113.44800000000001</v>
      </c>
      <c r="O205" s="125">
        <f t="shared" si="59"/>
        <v>646.24799999999993</v>
      </c>
      <c r="P205" s="125">
        <f t="shared" si="58"/>
        <v>6646.2479999999996</v>
      </c>
    </row>
    <row r="206" spans="1:16" x14ac:dyDescent="0.25">
      <c r="A206" s="124" t="s">
        <v>7840</v>
      </c>
      <c r="B206" s="125">
        <v>200</v>
      </c>
      <c r="C206" s="125">
        <v>2.67</v>
      </c>
      <c r="D206" s="125">
        <v>200</v>
      </c>
      <c r="E206" s="125">
        <v>200</v>
      </c>
      <c r="F206" s="125">
        <f t="shared" si="62"/>
        <v>197.33</v>
      </c>
      <c r="G206" s="125">
        <f t="shared" si="60"/>
        <v>0</v>
      </c>
      <c r="H206" s="209">
        <f t="shared" si="61"/>
        <v>0</v>
      </c>
      <c r="J206" s="125"/>
      <c r="K206" s="125">
        <f t="shared" si="54"/>
        <v>12.4</v>
      </c>
      <c r="L206" s="125">
        <f t="shared" si="55"/>
        <v>2.9000000000000004</v>
      </c>
      <c r="M206" s="125">
        <f t="shared" si="56"/>
        <v>2.46</v>
      </c>
      <c r="N206" s="125">
        <f t="shared" si="57"/>
        <v>3.7816000000000001</v>
      </c>
      <c r="O206" s="125">
        <f t="shared" si="59"/>
        <v>21.541600000000003</v>
      </c>
      <c r="P206" s="125">
        <f t="shared" si="58"/>
        <v>221.54160000000002</v>
      </c>
    </row>
    <row r="207" spans="1:16" x14ac:dyDescent="0.25">
      <c r="A207" s="124" t="s">
        <v>7841</v>
      </c>
      <c r="B207" s="125">
        <v>0</v>
      </c>
      <c r="C207" s="125">
        <v>6.18</v>
      </c>
      <c r="D207" s="125">
        <v>0</v>
      </c>
      <c r="E207" s="125">
        <v>0</v>
      </c>
      <c r="F207" s="125">
        <f t="shared" si="62"/>
        <v>-6.18</v>
      </c>
      <c r="G207" s="125">
        <f t="shared" si="60"/>
        <v>0</v>
      </c>
      <c r="H207" s="209" t="e">
        <f t="shared" si="61"/>
        <v>#DIV/0!</v>
      </c>
      <c r="J207" s="125"/>
      <c r="K207" s="125">
        <f t="shared" si="54"/>
        <v>0</v>
      </c>
      <c r="L207" s="125">
        <f t="shared" si="55"/>
        <v>0</v>
      </c>
      <c r="M207" s="125">
        <f t="shared" si="56"/>
        <v>0</v>
      </c>
      <c r="N207" s="125">
        <f t="shared" si="57"/>
        <v>0</v>
      </c>
      <c r="O207" s="125">
        <f t="shared" si="59"/>
        <v>0</v>
      </c>
      <c r="P207" s="125">
        <f t="shared" si="58"/>
        <v>0</v>
      </c>
    </row>
    <row r="208" spans="1:16" x14ac:dyDescent="0.25">
      <c r="A208" s="124" t="s">
        <v>7842</v>
      </c>
      <c r="B208" s="125">
        <v>3300</v>
      </c>
      <c r="C208" s="125">
        <v>35156.04</v>
      </c>
      <c r="D208" s="125">
        <v>3300</v>
      </c>
      <c r="E208" s="125">
        <v>3300</v>
      </c>
      <c r="F208" s="125">
        <f t="shared" si="62"/>
        <v>-31856.04</v>
      </c>
      <c r="G208" s="125">
        <f t="shared" si="60"/>
        <v>0</v>
      </c>
      <c r="H208" s="209">
        <f t="shared" si="61"/>
        <v>0</v>
      </c>
      <c r="J208" s="125"/>
      <c r="K208" s="125">
        <f t="shared" si="54"/>
        <v>204.6</v>
      </c>
      <c r="L208" s="125">
        <f t="shared" si="55"/>
        <v>47.85</v>
      </c>
      <c r="M208" s="125">
        <f t="shared" si="56"/>
        <v>40.590000000000003</v>
      </c>
      <c r="N208" s="125">
        <f t="shared" si="57"/>
        <v>62.396400000000007</v>
      </c>
      <c r="O208" s="125">
        <f t="shared" si="59"/>
        <v>355.43639999999999</v>
      </c>
      <c r="P208" s="125">
        <f t="shared" si="58"/>
        <v>3655.4364</v>
      </c>
    </row>
    <row r="209" spans="1:16" x14ac:dyDescent="0.25">
      <c r="A209" s="124" t="s">
        <v>7843</v>
      </c>
      <c r="B209" s="125">
        <v>20000</v>
      </c>
      <c r="C209" s="125">
        <v>4666.8500000000004</v>
      </c>
      <c r="D209" s="125">
        <v>20000</v>
      </c>
      <c r="E209" s="125">
        <v>20000</v>
      </c>
      <c r="F209" s="125">
        <f t="shared" si="62"/>
        <v>15333.15</v>
      </c>
      <c r="G209" s="125">
        <f t="shared" si="60"/>
        <v>0</v>
      </c>
      <c r="H209" s="209">
        <f t="shared" si="61"/>
        <v>0</v>
      </c>
      <c r="J209" s="125"/>
      <c r="K209" s="125">
        <f t="shared" si="54"/>
        <v>1240</v>
      </c>
      <c r="L209" s="125">
        <f t="shared" si="55"/>
        <v>290</v>
      </c>
      <c r="M209" s="125">
        <f t="shared" si="56"/>
        <v>246</v>
      </c>
      <c r="N209" s="125">
        <f t="shared" si="57"/>
        <v>378.16</v>
      </c>
      <c r="O209" s="125">
        <f t="shared" si="59"/>
        <v>2154.16</v>
      </c>
      <c r="P209" s="125">
        <f t="shared" si="58"/>
        <v>22154.16</v>
      </c>
    </row>
    <row r="210" spans="1:16" s="120" customFormat="1" x14ac:dyDescent="0.25">
      <c r="A210" s="122" t="s">
        <v>7844</v>
      </c>
      <c r="B210" s="123">
        <f>SUM(B172:B209)</f>
        <v>69021.23000000001</v>
      </c>
      <c r="C210" s="123">
        <f t="shared" ref="C210:D210" si="63">SUM(C172:C209)</f>
        <v>57832.299999999996</v>
      </c>
      <c r="D210" s="123">
        <f t="shared" si="63"/>
        <v>89408.88</v>
      </c>
      <c r="E210" s="123">
        <v>89408.88</v>
      </c>
      <c r="F210" s="125">
        <f t="shared" si="62"/>
        <v>11188.930000000015</v>
      </c>
      <c r="G210" s="125">
        <f t="shared" si="60"/>
        <v>20387.649999999994</v>
      </c>
      <c r="H210" s="209">
        <f t="shared" si="61"/>
        <v>0.29538230483577288</v>
      </c>
      <c r="J210" s="123"/>
      <c r="K210" s="123">
        <f t="shared" si="54"/>
        <v>5543.3505599999999</v>
      </c>
      <c r="L210" s="123">
        <f t="shared" si="55"/>
        <v>1296.4287600000002</v>
      </c>
      <c r="M210" s="123">
        <f t="shared" si="56"/>
        <v>1099.7292240000002</v>
      </c>
      <c r="N210" s="123">
        <f t="shared" si="57"/>
        <v>1690.5431030400002</v>
      </c>
      <c r="O210" s="123">
        <f t="shared" si="59"/>
        <v>9630.0516470399998</v>
      </c>
      <c r="P210" s="123">
        <f t="shared" si="58"/>
        <v>99038.931647040008</v>
      </c>
    </row>
    <row r="211" spans="1:16" x14ac:dyDescent="0.25">
      <c r="A211" s="122">
        <v>52310</v>
      </c>
      <c r="B211" s="123"/>
      <c r="C211" s="123"/>
      <c r="D211" s="123"/>
      <c r="E211" s="123"/>
      <c r="F211" s="125">
        <f t="shared" si="62"/>
        <v>0</v>
      </c>
      <c r="G211" s="125">
        <f t="shared" si="60"/>
        <v>0</v>
      </c>
      <c r="H211" s="209" t="e">
        <f t="shared" si="61"/>
        <v>#DIV/0!</v>
      </c>
    </row>
    <row r="212" spans="1:16" x14ac:dyDescent="0.25">
      <c r="A212" s="124" t="s">
        <v>7845</v>
      </c>
      <c r="B212" s="125">
        <v>1000</v>
      </c>
      <c r="C212" s="125">
        <v>0</v>
      </c>
      <c r="D212" s="125">
        <v>1000</v>
      </c>
      <c r="E212" s="125">
        <v>1000</v>
      </c>
      <c r="F212" s="125">
        <f t="shared" si="62"/>
        <v>1000</v>
      </c>
      <c r="G212" s="125">
        <f t="shared" si="60"/>
        <v>0</v>
      </c>
      <c r="H212" s="209">
        <f t="shared" si="61"/>
        <v>0</v>
      </c>
      <c r="N212" s="125">
        <f>+$D212*$N$1</f>
        <v>18.908000000000001</v>
      </c>
      <c r="O212" s="125">
        <f t="shared" ref="O212:O214" si="64">SUM(I212:N212)</f>
        <v>18.908000000000001</v>
      </c>
      <c r="P212" s="125">
        <f>+D212+O212</f>
        <v>1018.908</v>
      </c>
    </row>
    <row r="213" spans="1:16" x14ac:dyDescent="0.25">
      <c r="A213" s="124" t="s">
        <v>7846</v>
      </c>
      <c r="B213" s="125">
        <v>45000</v>
      </c>
      <c r="C213" s="125">
        <v>17628.43</v>
      </c>
      <c r="D213" s="125">
        <v>45000</v>
      </c>
      <c r="E213" s="125">
        <v>45000</v>
      </c>
      <c r="F213" s="125">
        <f t="shared" si="62"/>
        <v>27371.57</v>
      </c>
      <c r="G213" s="125">
        <f t="shared" si="60"/>
        <v>0</v>
      </c>
      <c r="H213" s="209">
        <f t="shared" si="61"/>
        <v>0</v>
      </c>
      <c r="N213" s="125">
        <f>+$D213*$N$1</f>
        <v>850.86</v>
      </c>
      <c r="O213" s="125">
        <f t="shared" si="64"/>
        <v>850.86</v>
      </c>
      <c r="P213" s="125">
        <f>+D213+O213</f>
        <v>45850.86</v>
      </c>
    </row>
    <row r="214" spans="1:16" x14ac:dyDescent="0.25">
      <c r="A214" s="122" t="s">
        <v>7847</v>
      </c>
      <c r="B214" s="123">
        <f>SUM(B212:B213)</f>
        <v>46000</v>
      </c>
      <c r="C214" s="123">
        <f t="shared" ref="C214:D214" si="65">SUM(C212:C213)</f>
        <v>17628.43</v>
      </c>
      <c r="D214" s="123">
        <f t="shared" si="65"/>
        <v>46000</v>
      </c>
      <c r="E214" s="123">
        <v>46000</v>
      </c>
      <c r="F214" s="125">
        <f t="shared" si="62"/>
        <v>28371.57</v>
      </c>
      <c r="G214" s="125">
        <f t="shared" si="60"/>
        <v>0</v>
      </c>
      <c r="H214" s="209">
        <f t="shared" si="61"/>
        <v>0</v>
      </c>
      <c r="N214" s="123">
        <f>+$D214*$N$1</f>
        <v>869.76800000000003</v>
      </c>
      <c r="O214" s="123">
        <f t="shared" si="64"/>
        <v>869.76800000000003</v>
      </c>
      <c r="P214" s="123">
        <f>+D214+O214</f>
        <v>46869.767999999996</v>
      </c>
    </row>
    <row r="215" spans="1:16" x14ac:dyDescent="0.25">
      <c r="A215" s="122">
        <v>52315</v>
      </c>
      <c r="B215" s="123"/>
      <c r="C215" s="123"/>
      <c r="D215" s="123"/>
      <c r="E215" s="123"/>
      <c r="F215" s="125">
        <f t="shared" si="62"/>
        <v>0</v>
      </c>
      <c r="G215" s="125">
        <f t="shared" si="60"/>
        <v>0</v>
      </c>
      <c r="H215" s="209" t="e">
        <f t="shared" si="61"/>
        <v>#DIV/0!</v>
      </c>
    </row>
    <row r="216" spans="1:16" x14ac:dyDescent="0.25">
      <c r="A216" s="124" t="s">
        <v>7848</v>
      </c>
      <c r="B216" s="125">
        <v>15000</v>
      </c>
      <c r="C216" s="125">
        <v>1571</v>
      </c>
      <c r="D216" s="125">
        <v>15000</v>
      </c>
      <c r="E216" s="125">
        <v>15000</v>
      </c>
      <c r="F216" s="125">
        <f t="shared" si="62"/>
        <v>13429</v>
      </c>
      <c r="G216" s="125">
        <f t="shared" si="60"/>
        <v>0</v>
      </c>
      <c r="H216" s="209">
        <f t="shared" si="61"/>
        <v>0</v>
      </c>
      <c r="N216" s="125">
        <f>+$D216*$N$1</f>
        <v>283.62</v>
      </c>
      <c r="O216" s="125">
        <f t="shared" ref="O216:O217" si="66">SUM(I216:N216)</f>
        <v>283.62</v>
      </c>
      <c r="P216" s="125">
        <f>+D216+O216</f>
        <v>15283.62</v>
      </c>
    </row>
    <row r="217" spans="1:16" x14ac:dyDescent="0.25">
      <c r="A217" s="122" t="s">
        <v>7849</v>
      </c>
      <c r="B217" s="123">
        <f>SUM(B216)</f>
        <v>15000</v>
      </c>
      <c r="C217" s="123">
        <f t="shared" ref="C217:D217" si="67">SUM(C216)</f>
        <v>1571</v>
      </c>
      <c r="D217" s="123">
        <f t="shared" si="67"/>
        <v>15000</v>
      </c>
      <c r="E217" s="123">
        <v>15000</v>
      </c>
      <c r="F217" s="125">
        <f t="shared" si="62"/>
        <v>13429</v>
      </c>
      <c r="G217" s="125">
        <f t="shared" si="60"/>
        <v>0</v>
      </c>
      <c r="H217" s="209">
        <f t="shared" si="61"/>
        <v>0</v>
      </c>
      <c r="N217" s="123">
        <f>+$D217*$N$1</f>
        <v>283.62</v>
      </c>
      <c r="O217" s="123">
        <f t="shared" si="66"/>
        <v>283.62</v>
      </c>
      <c r="P217" s="123">
        <f>+D217+O217</f>
        <v>15283.62</v>
      </c>
    </row>
    <row r="218" spans="1:16" x14ac:dyDescent="0.25">
      <c r="A218" s="122">
        <v>52350</v>
      </c>
      <c r="B218" s="123"/>
      <c r="C218" s="123"/>
      <c r="D218" s="123"/>
      <c r="E218" s="123"/>
      <c r="F218" s="125">
        <f t="shared" si="62"/>
        <v>0</v>
      </c>
      <c r="G218" s="125">
        <f t="shared" si="60"/>
        <v>0</v>
      </c>
      <c r="H218" s="209" t="e">
        <f t="shared" si="61"/>
        <v>#DIV/0!</v>
      </c>
    </row>
    <row r="219" spans="1:16" x14ac:dyDescent="0.25">
      <c r="A219" s="124" t="s">
        <v>7850</v>
      </c>
      <c r="B219" s="125">
        <v>7385</v>
      </c>
      <c r="C219" s="125">
        <v>0</v>
      </c>
      <c r="D219" s="125">
        <v>7385</v>
      </c>
      <c r="E219" s="125">
        <v>7385</v>
      </c>
      <c r="F219" s="125">
        <f t="shared" si="62"/>
        <v>7385</v>
      </c>
      <c r="G219" s="125">
        <f t="shared" si="60"/>
        <v>0</v>
      </c>
      <c r="H219" s="209">
        <f t="shared" si="61"/>
        <v>0</v>
      </c>
      <c r="N219" s="125">
        <f t="shared" ref="N219:N230" si="68">+$D219*$N$1</f>
        <v>139.63558</v>
      </c>
      <c r="O219" s="125">
        <f t="shared" ref="O219:O230" si="69">SUM(I219:N219)</f>
        <v>139.63558</v>
      </c>
      <c r="P219" s="125">
        <f t="shared" ref="P219:P230" si="70">+D219+O219</f>
        <v>7524.6355800000001</v>
      </c>
    </row>
    <row r="220" spans="1:16" x14ac:dyDescent="0.25">
      <c r="A220" s="124" t="s">
        <v>7851</v>
      </c>
      <c r="B220" s="125">
        <v>2500</v>
      </c>
      <c r="C220" s="125">
        <v>0</v>
      </c>
      <c r="D220" s="1">
        <v>2500</v>
      </c>
      <c r="E220" s="1">
        <v>2500</v>
      </c>
      <c r="F220" s="125">
        <f t="shared" si="62"/>
        <v>2500</v>
      </c>
      <c r="G220" s="125">
        <f t="shared" si="60"/>
        <v>0</v>
      </c>
      <c r="H220" s="209">
        <f t="shared" si="61"/>
        <v>0</v>
      </c>
      <c r="N220" s="125">
        <f t="shared" si="68"/>
        <v>47.27</v>
      </c>
      <c r="O220" s="125">
        <f t="shared" si="69"/>
        <v>47.27</v>
      </c>
      <c r="P220" s="125">
        <f t="shared" si="70"/>
        <v>2547.27</v>
      </c>
    </row>
    <row r="221" spans="1:16" x14ac:dyDescent="0.25">
      <c r="A221" s="124" t="s">
        <v>7852</v>
      </c>
      <c r="B221" s="125">
        <v>4000</v>
      </c>
      <c r="C221" s="125">
        <v>5040.5</v>
      </c>
      <c r="D221" s="125">
        <v>4000</v>
      </c>
      <c r="E221" s="125">
        <v>4000</v>
      </c>
      <c r="F221" s="125">
        <f t="shared" si="62"/>
        <v>-1040.5</v>
      </c>
      <c r="G221" s="125">
        <f t="shared" si="60"/>
        <v>0</v>
      </c>
      <c r="H221" s="209">
        <f t="shared" si="61"/>
        <v>0</v>
      </c>
      <c r="N221" s="125">
        <f t="shared" si="68"/>
        <v>75.632000000000005</v>
      </c>
      <c r="O221" s="125">
        <f t="shared" si="69"/>
        <v>75.632000000000005</v>
      </c>
      <c r="P221" s="125">
        <f t="shared" si="70"/>
        <v>4075.6320000000001</v>
      </c>
    </row>
    <row r="222" spans="1:16" x14ac:dyDescent="0.25">
      <c r="A222" s="124" t="s">
        <v>7853</v>
      </c>
      <c r="B222" s="125">
        <v>0</v>
      </c>
      <c r="C222" s="125">
        <v>1859.34</v>
      </c>
      <c r="D222" s="125">
        <v>0</v>
      </c>
      <c r="E222" s="125">
        <v>0</v>
      </c>
      <c r="F222" s="125">
        <f t="shared" si="62"/>
        <v>-1859.34</v>
      </c>
      <c r="G222" s="125">
        <f t="shared" si="60"/>
        <v>0</v>
      </c>
      <c r="H222" s="209" t="e">
        <f t="shared" si="61"/>
        <v>#DIV/0!</v>
      </c>
      <c r="N222" s="125">
        <f t="shared" si="68"/>
        <v>0</v>
      </c>
      <c r="O222" s="125">
        <f t="shared" si="69"/>
        <v>0</v>
      </c>
      <c r="P222" s="125">
        <f t="shared" si="70"/>
        <v>0</v>
      </c>
    </row>
    <row r="223" spans="1:16" x14ac:dyDescent="0.25">
      <c r="A223" s="124" t="s">
        <v>7854</v>
      </c>
      <c r="B223" s="125">
        <v>435</v>
      </c>
      <c r="C223" s="125">
        <v>0</v>
      </c>
      <c r="D223" s="125">
        <v>435</v>
      </c>
      <c r="E223" s="125">
        <v>435</v>
      </c>
      <c r="F223" s="125">
        <f t="shared" si="62"/>
        <v>435</v>
      </c>
      <c r="G223" s="125">
        <f t="shared" si="60"/>
        <v>0</v>
      </c>
      <c r="H223" s="209">
        <f t="shared" si="61"/>
        <v>0</v>
      </c>
      <c r="N223" s="125">
        <f t="shared" si="68"/>
        <v>8.2249800000000004</v>
      </c>
      <c r="O223" s="125">
        <f t="shared" si="69"/>
        <v>8.2249800000000004</v>
      </c>
      <c r="P223" s="125">
        <f t="shared" si="70"/>
        <v>443.22498000000002</v>
      </c>
    </row>
    <row r="224" spans="1:16" x14ac:dyDescent="0.25">
      <c r="A224" s="124" t="s">
        <v>7855</v>
      </c>
      <c r="B224" s="125">
        <v>3500</v>
      </c>
      <c r="C224" s="125">
        <v>8986</v>
      </c>
      <c r="D224" s="125">
        <v>6151</v>
      </c>
      <c r="E224" s="125">
        <v>6151</v>
      </c>
      <c r="F224" s="125">
        <f t="shared" si="62"/>
        <v>-5486</v>
      </c>
      <c r="G224" s="125">
        <f t="shared" si="60"/>
        <v>2651</v>
      </c>
      <c r="H224" s="209">
        <f t="shared" si="61"/>
        <v>0.75742857142857145</v>
      </c>
      <c r="N224" s="125">
        <f t="shared" si="68"/>
        <v>116.30310800000001</v>
      </c>
      <c r="O224" s="125">
        <f t="shared" si="69"/>
        <v>116.30310800000001</v>
      </c>
      <c r="P224" s="125">
        <f t="shared" si="70"/>
        <v>6267.3031080000001</v>
      </c>
    </row>
    <row r="225" spans="1:16" x14ac:dyDescent="0.25">
      <c r="A225" s="124" t="s">
        <v>7856</v>
      </c>
      <c r="B225" s="125">
        <v>9000</v>
      </c>
      <c r="C225" s="125">
        <v>0</v>
      </c>
      <c r="D225" s="125">
        <v>9000</v>
      </c>
      <c r="E225" s="125">
        <v>9000</v>
      </c>
      <c r="F225" s="125">
        <f t="shared" si="62"/>
        <v>9000</v>
      </c>
      <c r="G225" s="125">
        <f t="shared" si="60"/>
        <v>0</v>
      </c>
      <c r="H225" s="209">
        <f t="shared" si="61"/>
        <v>0</v>
      </c>
      <c r="N225" s="125">
        <f t="shared" si="68"/>
        <v>170.172</v>
      </c>
      <c r="O225" s="125">
        <f t="shared" si="69"/>
        <v>170.172</v>
      </c>
      <c r="P225" s="125">
        <f t="shared" si="70"/>
        <v>9170.1720000000005</v>
      </c>
    </row>
    <row r="226" spans="1:16" x14ac:dyDescent="0.25">
      <c r="A226" s="124" t="s">
        <v>7857</v>
      </c>
      <c r="B226" s="125">
        <v>23000</v>
      </c>
      <c r="C226" s="125">
        <v>10760.63</v>
      </c>
      <c r="D226" s="125">
        <v>23000</v>
      </c>
      <c r="E226" s="125">
        <v>23000</v>
      </c>
      <c r="F226" s="125">
        <f t="shared" si="62"/>
        <v>12239.37</v>
      </c>
      <c r="G226" s="125">
        <f t="shared" si="60"/>
        <v>0</v>
      </c>
      <c r="H226" s="209">
        <f t="shared" si="61"/>
        <v>0</v>
      </c>
      <c r="N226" s="125">
        <f t="shared" si="68"/>
        <v>434.88400000000001</v>
      </c>
      <c r="O226" s="125">
        <f t="shared" si="69"/>
        <v>434.88400000000001</v>
      </c>
      <c r="P226" s="125">
        <f t="shared" si="70"/>
        <v>23434.883999999998</v>
      </c>
    </row>
    <row r="227" spans="1:16" x14ac:dyDescent="0.25">
      <c r="A227" s="124" t="s">
        <v>7858</v>
      </c>
      <c r="B227" s="125">
        <v>3800</v>
      </c>
      <c r="C227" s="125">
        <v>3482</v>
      </c>
      <c r="D227" s="125">
        <v>3800</v>
      </c>
      <c r="E227" s="125">
        <v>3800</v>
      </c>
      <c r="F227" s="125">
        <f t="shared" si="62"/>
        <v>318</v>
      </c>
      <c r="G227" s="125">
        <f t="shared" si="60"/>
        <v>0</v>
      </c>
      <c r="H227" s="209">
        <f t="shared" si="61"/>
        <v>0</v>
      </c>
      <c r="N227" s="125">
        <f t="shared" si="68"/>
        <v>71.850400000000008</v>
      </c>
      <c r="O227" s="125">
        <f t="shared" si="69"/>
        <v>71.850400000000008</v>
      </c>
      <c r="P227" s="125">
        <f t="shared" si="70"/>
        <v>3871.8503999999998</v>
      </c>
    </row>
    <row r="228" spans="1:16" x14ac:dyDescent="0.25">
      <c r="A228" s="124" t="s">
        <v>7859</v>
      </c>
      <c r="B228" s="125">
        <v>14000</v>
      </c>
      <c r="C228" s="125">
        <v>17631.5</v>
      </c>
      <c r="D228" s="125">
        <v>14000</v>
      </c>
      <c r="E228" s="125">
        <v>14000</v>
      </c>
      <c r="F228" s="125">
        <f t="shared" si="62"/>
        <v>-3631.5</v>
      </c>
      <c r="G228" s="125">
        <f t="shared" si="60"/>
        <v>0</v>
      </c>
      <c r="H228" s="209">
        <f t="shared" si="61"/>
        <v>0</v>
      </c>
      <c r="N228" s="125">
        <f t="shared" si="68"/>
        <v>264.71199999999999</v>
      </c>
      <c r="O228" s="125">
        <f t="shared" si="69"/>
        <v>264.71199999999999</v>
      </c>
      <c r="P228" s="125">
        <f t="shared" si="70"/>
        <v>14264.712</v>
      </c>
    </row>
    <row r="229" spans="1:16" x14ac:dyDescent="0.25">
      <c r="A229" s="124" t="s">
        <v>7860</v>
      </c>
      <c r="B229" s="125">
        <v>30000</v>
      </c>
      <c r="C229" s="125">
        <v>986</v>
      </c>
      <c r="D229" s="125">
        <v>30000</v>
      </c>
      <c r="E229" s="125">
        <v>30000</v>
      </c>
      <c r="F229" s="125">
        <f t="shared" si="62"/>
        <v>29014</v>
      </c>
      <c r="G229" s="125">
        <f t="shared" si="60"/>
        <v>0</v>
      </c>
      <c r="H229" s="209">
        <f t="shared" si="61"/>
        <v>0</v>
      </c>
      <c r="N229" s="125">
        <f t="shared" si="68"/>
        <v>567.24</v>
      </c>
      <c r="O229" s="125">
        <f t="shared" si="69"/>
        <v>567.24</v>
      </c>
      <c r="P229" s="125">
        <f t="shared" si="70"/>
        <v>30567.24</v>
      </c>
    </row>
    <row r="230" spans="1:16" x14ac:dyDescent="0.25">
      <c r="A230" s="122" t="s">
        <v>7861</v>
      </c>
      <c r="B230" s="123">
        <f>SUM(B219:B229)</f>
        <v>97620</v>
      </c>
      <c r="C230" s="123">
        <f t="shared" ref="C230:D230" si="71">SUM(C219:C229)</f>
        <v>48745.97</v>
      </c>
      <c r="D230" s="123">
        <f t="shared" si="71"/>
        <v>100271</v>
      </c>
      <c r="E230" s="123">
        <v>100271</v>
      </c>
      <c r="F230" s="125">
        <f t="shared" si="62"/>
        <v>48874.03</v>
      </c>
      <c r="G230" s="125">
        <f t="shared" si="60"/>
        <v>2651</v>
      </c>
      <c r="H230" s="209">
        <f t="shared" si="61"/>
        <v>2.7156320426142185E-2</v>
      </c>
      <c r="N230" s="123">
        <f t="shared" si="68"/>
        <v>1895.924068</v>
      </c>
      <c r="O230" s="123">
        <f t="shared" si="69"/>
        <v>1895.924068</v>
      </c>
      <c r="P230" s="123">
        <f t="shared" si="70"/>
        <v>102166.92406799999</v>
      </c>
    </row>
    <row r="231" spans="1:16" x14ac:dyDescent="0.25">
      <c r="A231" s="122">
        <v>52360</v>
      </c>
      <c r="B231" s="123"/>
      <c r="C231" s="123"/>
      <c r="D231" s="123"/>
      <c r="E231" s="123"/>
      <c r="F231" s="125">
        <f t="shared" si="62"/>
        <v>0</v>
      </c>
      <c r="G231" s="125">
        <f t="shared" si="60"/>
        <v>0</v>
      </c>
      <c r="H231" s="209" t="e">
        <f t="shared" si="61"/>
        <v>#DIV/0!</v>
      </c>
    </row>
    <row r="232" spans="1:16" x14ac:dyDescent="0.25">
      <c r="A232" s="124" t="s">
        <v>7862</v>
      </c>
      <c r="B232" s="125">
        <v>0</v>
      </c>
      <c r="C232" s="125">
        <v>0</v>
      </c>
      <c r="F232" s="125">
        <f t="shared" si="62"/>
        <v>0</v>
      </c>
      <c r="G232" s="125">
        <f t="shared" si="60"/>
        <v>0</v>
      </c>
      <c r="H232" s="209" t="e">
        <f t="shared" si="61"/>
        <v>#DIV/0!</v>
      </c>
      <c r="K232" s="125">
        <f t="shared" ref="K232:K257" si="72">+$D232*$K$1</f>
        <v>0</v>
      </c>
      <c r="L232" s="125">
        <f t="shared" ref="L232:L257" si="73">+$D232*$L$1</f>
        <v>0</v>
      </c>
      <c r="M232" s="125">
        <f t="shared" ref="M232:M257" si="74">+$D232*$M$1</f>
        <v>0</v>
      </c>
      <c r="N232" s="125">
        <f t="shared" ref="N232:N257" si="75">+$D232*$N$1</f>
        <v>0</v>
      </c>
      <c r="O232" s="125">
        <f t="shared" ref="O232:O257" si="76">SUM(I232:N232)</f>
        <v>0</v>
      </c>
      <c r="P232" s="125">
        <f t="shared" ref="P232:P257" si="77">+D232+O232</f>
        <v>0</v>
      </c>
    </row>
    <row r="233" spans="1:16" x14ac:dyDescent="0.25">
      <c r="A233" s="124" t="s">
        <v>7863</v>
      </c>
      <c r="B233" s="125">
        <v>14000</v>
      </c>
      <c r="C233" s="125">
        <v>0</v>
      </c>
      <c r="D233" s="125">
        <v>14000</v>
      </c>
      <c r="E233" s="125">
        <v>14000</v>
      </c>
      <c r="F233" s="125">
        <f t="shared" si="62"/>
        <v>14000</v>
      </c>
      <c r="G233" s="125">
        <f t="shared" si="60"/>
        <v>0</v>
      </c>
      <c r="H233" s="209">
        <f t="shared" si="61"/>
        <v>0</v>
      </c>
      <c r="K233" s="125">
        <f t="shared" si="72"/>
        <v>868</v>
      </c>
      <c r="L233" s="125">
        <f t="shared" si="73"/>
        <v>203</v>
      </c>
      <c r="M233" s="125">
        <f t="shared" si="74"/>
        <v>172.2</v>
      </c>
      <c r="N233" s="125">
        <f t="shared" si="75"/>
        <v>264.71199999999999</v>
      </c>
      <c r="O233" s="125">
        <f t="shared" si="76"/>
        <v>1507.912</v>
      </c>
      <c r="P233" s="125">
        <f t="shared" si="77"/>
        <v>15507.912</v>
      </c>
    </row>
    <row r="234" spans="1:16" x14ac:dyDescent="0.25">
      <c r="A234" s="124" t="s">
        <v>7864</v>
      </c>
      <c r="B234" s="125">
        <v>0</v>
      </c>
      <c r="C234" s="125">
        <v>0</v>
      </c>
      <c r="D234" s="125">
        <v>20000</v>
      </c>
      <c r="E234" s="125">
        <v>20000</v>
      </c>
      <c r="F234" s="125">
        <f t="shared" si="62"/>
        <v>0</v>
      </c>
      <c r="G234" s="125">
        <f t="shared" si="60"/>
        <v>20000</v>
      </c>
      <c r="H234" s="209" t="e">
        <f t="shared" si="61"/>
        <v>#DIV/0!</v>
      </c>
      <c r="K234" s="125">
        <f t="shared" si="72"/>
        <v>1240</v>
      </c>
      <c r="L234" s="125">
        <f t="shared" si="73"/>
        <v>290</v>
      </c>
      <c r="M234" s="125">
        <f t="shared" si="74"/>
        <v>246</v>
      </c>
      <c r="N234" s="125">
        <f t="shared" si="75"/>
        <v>378.16</v>
      </c>
      <c r="O234" s="125">
        <f t="shared" si="76"/>
        <v>2154.16</v>
      </c>
      <c r="P234" s="125">
        <f t="shared" si="77"/>
        <v>22154.16</v>
      </c>
    </row>
    <row r="235" spans="1:16" x14ac:dyDescent="0.25">
      <c r="A235" s="124" t="s">
        <v>7865</v>
      </c>
      <c r="B235" s="125">
        <v>0</v>
      </c>
      <c r="C235" s="125">
        <v>3551.39</v>
      </c>
      <c r="D235" s="125">
        <v>0</v>
      </c>
      <c r="E235" s="125">
        <v>0</v>
      </c>
      <c r="F235" s="125">
        <f t="shared" si="62"/>
        <v>-3551.39</v>
      </c>
      <c r="G235" s="125">
        <f t="shared" si="60"/>
        <v>0</v>
      </c>
      <c r="H235" s="209" t="e">
        <f t="shared" si="61"/>
        <v>#DIV/0!</v>
      </c>
      <c r="K235" s="125">
        <f t="shared" si="72"/>
        <v>0</v>
      </c>
      <c r="L235" s="125">
        <f t="shared" si="73"/>
        <v>0</v>
      </c>
      <c r="M235" s="125">
        <f t="shared" si="74"/>
        <v>0</v>
      </c>
      <c r="N235" s="125">
        <f t="shared" si="75"/>
        <v>0</v>
      </c>
      <c r="O235" s="125">
        <f t="shared" si="76"/>
        <v>0</v>
      </c>
      <c r="P235" s="125">
        <f t="shared" si="77"/>
        <v>0</v>
      </c>
    </row>
    <row r="236" spans="1:16" x14ac:dyDescent="0.25">
      <c r="A236" s="124" t="s">
        <v>7866</v>
      </c>
      <c r="B236" s="125">
        <v>8500</v>
      </c>
      <c r="C236" s="125">
        <v>6550</v>
      </c>
      <c r="D236" s="125">
        <v>8500</v>
      </c>
      <c r="E236" s="125">
        <v>8500</v>
      </c>
      <c r="F236" s="125">
        <f t="shared" si="62"/>
        <v>1950</v>
      </c>
      <c r="G236" s="125">
        <f t="shared" si="60"/>
        <v>0</v>
      </c>
      <c r="H236" s="209">
        <f t="shared" si="61"/>
        <v>0</v>
      </c>
      <c r="K236" s="125">
        <f t="shared" si="72"/>
        <v>527</v>
      </c>
      <c r="L236" s="125">
        <f t="shared" si="73"/>
        <v>123.25</v>
      </c>
      <c r="M236" s="125">
        <f t="shared" si="74"/>
        <v>104.55</v>
      </c>
      <c r="N236" s="125">
        <f t="shared" si="75"/>
        <v>160.71800000000002</v>
      </c>
      <c r="O236" s="125">
        <f t="shared" si="76"/>
        <v>915.51800000000003</v>
      </c>
      <c r="P236" s="125">
        <f t="shared" si="77"/>
        <v>9415.518</v>
      </c>
    </row>
    <row r="237" spans="1:16" x14ac:dyDescent="0.25">
      <c r="A237" s="124" t="s">
        <v>7867</v>
      </c>
      <c r="B237" s="125">
        <v>1394</v>
      </c>
      <c r="C237" s="125">
        <v>0</v>
      </c>
      <c r="D237" s="125">
        <v>7700</v>
      </c>
      <c r="E237" s="125">
        <v>7700</v>
      </c>
      <c r="F237" s="125">
        <f t="shared" si="62"/>
        <v>1394</v>
      </c>
      <c r="G237" s="125">
        <f t="shared" si="60"/>
        <v>6306</v>
      </c>
      <c r="H237" s="209">
        <f t="shared" si="61"/>
        <v>4.5236728837876612</v>
      </c>
      <c r="K237" s="125">
        <f t="shared" si="72"/>
        <v>477.4</v>
      </c>
      <c r="L237" s="125">
        <f t="shared" si="73"/>
        <v>111.65</v>
      </c>
      <c r="M237" s="125">
        <f t="shared" si="74"/>
        <v>94.710000000000008</v>
      </c>
      <c r="N237" s="125">
        <f t="shared" si="75"/>
        <v>145.5916</v>
      </c>
      <c r="O237" s="125">
        <f t="shared" si="76"/>
        <v>829.35159999999996</v>
      </c>
      <c r="P237" s="125">
        <f t="shared" si="77"/>
        <v>8529.3516</v>
      </c>
    </row>
    <row r="238" spans="1:16" x14ac:dyDescent="0.25">
      <c r="A238" s="124" t="s">
        <v>7868</v>
      </c>
      <c r="B238" s="125">
        <v>1500</v>
      </c>
      <c r="C238" s="125">
        <v>0</v>
      </c>
      <c r="D238" s="125">
        <v>1500</v>
      </c>
      <c r="E238" s="125">
        <v>1500</v>
      </c>
      <c r="F238" s="125">
        <f t="shared" si="62"/>
        <v>1500</v>
      </c>
      <c r="G238" s="125">
        <f t="shared" si="60"/>
        <v>0</v>
      </c>
      <c r="H238" s="209">
        <f t="shared" si="61"/>
        <v>0</v>
      </c>
      <c r="K238" s="125">
        <f t="shared" si="72"/>
        <v>93</v>
      </c>
      <c r="L238" s="125">
        <f t="shared" si="73"/>
        <v>21.75</v>
      </c>
      <c r="M238" s="125">
        <f t="shared" si="74"/>
        <v>18.45</v>
      </c>
      <c r="N238" s="125">
        <f t="shared" si="75"/>
        <v>28.362000000000002</v>
      </c>
      <c r="O238" s="125">
        <f t="shared" si="76"/>
        <v>161.56199999999998</v>
      </c>
      <c r="P238" s="125">
        <f t="shared" si="77"/>
        <v>1661.5619999999999</v>
      </c>
    </row>
    <row r="239" spans="1:16" x14ac:dyDescent="0.25">
      <c r="A239" s="124" t="s">
        <v>7869</v>
      </c>
      <c r="B239" s="125">
        <v>13000</v>
      </c>
      <c r="C239" s="125">
        <v>0</v>
      </c>
      <c r="D239" s="125">
        <v>13000</v>
      </c>
      <c r="E239" s="125">
        <v>13000</v>
      </c>
      <c r="F239" s="125">
        <f t="shared" si="62"/>
        <v>13000</v>
      </c>
      <c r="G239" s="125">
        <f t="shared" si="60"/>
        <v>0</v>
      </c>
      <c r="H239" s="209">
        <f t="shared" si="61"/>
        <v>0</v>
      </c>
      <c r="K239" s="125">
        <f t="shared" si="72"/>
        <v>806</v>
      </c>
      <c r="L239" s="125">
        <f t="shared" si="73"/>
        <v>188.5</v>
      </c>
      <c r="M239" s="125">
        <f t="shared" si="74"/>
        <v>159.9</v>
      </c>
      <c r="N239" s="125">
        <f t="shared" si="75"/>
        <v>245.804</v>
      </c>
      <c r="O239" s="125">
        <f t="shared" si="76"/>
        <v>1400.2040000000002</v>
      </c>
      <c r="P239" s="125">
        <f t="shared" si="77"/>
        <v>14400.204</v>
      </c>
    </row>
    <row r="240" spans="1:16" x14ac:dyDescent="0.25">
      <c r="A240" s="124" t="s">
        <v>7870</v>
      </c>
      <c r="B240" s="125">
        <v>15000</v>
      </c>
      <c r="C240" s="125">
        <v>15666.8</v>
      </c>
      <c r="D240" s="125">
        <v>15000</v>
      </c>
      <c r="E240" s="125">
        <v>15000</v>
      </c>
      <c r="F240" s="125">
        <f t="shared" si="62"/>
        <v>-666.79999999999927</v>
      </c>
      <c r="G240" s="125">
        <f t="shared" si="60"/>
        <v>0</v>
      </c>
      <c r="H240" s="209">
        <f t="shared" si="61"/>
        <v>0</v>
      </c>
      <c r="K240" s="125">
        <f t="shared" si="72"/>
        <v>930</v>
      </c>
      <c r="L240" s="125">
        <f t="shared" si="73"/>
        <v>217.5</v>
      </c>
      <c r="M240" s="125">
        <f t="shared" si="74"/>
        <v>184.5</v>
      </c>
      <c r="N240" s="125">
        <f t="shared" si="75"/>
        <v>283.62</v>
      </c>
      <c r="O240" s="125">
        <f t="shared" si="76"/>
        <v>1615.62</v>
      </c>
      <c r="P240" s="125">
        <f t="shared" si="77"/>
        <v>16615.62</v>
      </c>
    </row>
    <row r="241" spans="1:16" x14ac:dyDescent="0.25">
      <c r="A241" s="124" t="s">
        <v>7871</v>
      </c>
      <c r="B241" s="125">
        <v>2687</v>
      </c>
      <c r="C241" s="125">
        <v>0</v>
      </c>
      <c r="D241" s="125">
        <v>2687</v>
      </c>
      <c r="E241" s="125">
        <v>2687</v>
      </c>
      <c r="F241" s="125">
        <f t="shared" si="62"/>
        <v>2687</v>
      </c>
      <c r="G241" s="125">
        <f t="shared" si="60"/>
        <v>0</v>
      </c>
      <c r="H241" s="209">
        <f t="shared" si="61"/>
        <v>0</v>
      </c>
      <c r="K241" s="125">
        <f t="shared" si="72"/>
        <v>166.59399999999999</v>
      </c>
      <c r="L241" s="125">
        <f t="shared" si="73"/>
        <v>38.961500000000001</v>
      </c>
      <c r="M241" s="125">
        <f t="shared" si="74"/>
        <v>33.0501</v>
      </c>
      <c r="N241" s="125">
        <f t="shared" si="75"/>
        <v>50.805796000000001</v>
      </c>
      <c r="O241" s="125">
        <f t="shared" si="76"/>
        <v>289.41139599999997</v>
      </c>
      <c r="P241" s="125">
        <f t="shared" si="77"/>
        <v>2976.411396</v>
      </c>
    </row>
    <row r="242" spans="1:16" x14ac:dyDescent="0.25">
      <c r="A242" s="124" t="s">
        <v>7872</v>
      </c>
      <c r="B242" s="125">
        <v>378500</v>
      </c>
      <c r="C242" s="125">
        <v>188188.5</v>
      </c>
      <c r="D242" s="125">
        <v>378500</v>
      </c>
      <c r="E242" s="125">
        <v>378500</v>
      </c>
      <c r="F242" s="125">
        <f t="shared" si="62"/>
        <v>190311.5</v>
      </c>
      <c r="G242" s="125">
        <f t="shared" si="60"/>
        <v>0</v>
      </c>
      <c r="H242" s="209">
        <f t="shared" si="61"/>
        <v>0</v>
      </c>
      <c r="K242" s="125">
        <f t="shared" si="72"/>
        <v>23467</v>
      </c>
      <c r="L242" s="125">
        <f t="shared" si="73"/>
        <v>5488.25</v>
      </c>
      <c r="M242" s="125">
        <f t="shared" si="74"/>
        <v>4655.55</v>
      </c>
      <c r="N242" s="125">
        <f t="shared" si="75"/>
        <v>7156.6780000000008</v>
      </c>
      <c r="O242" s="125">
        <f t="shared" si="76"/>
        <v>40767.478000000003</v>
      </c>
      <c r="P242" s="125">
        <f t="shared" si="77"/>
        <v>419267.478</v>
      </c>
    </row>
    <row r="243" spans="1:16" x14ac:dyDescent="0.25">
      <c r="A243" s="124" t="s">
        <v>7873</v>
      </c>
      <c r="B243" s="125">
        <v>100</v>
      </c>
      <c r="C243" s="125">
        <v>0</v>
      </c>
      <c r="D243" s="125">
        <v>100</v>
      </c>
      <c r="E243" s="125">
        <v>100</v>
      </c>
      <c r="F243" s="125">
        <f t="shared" si="62"/>
        <v>100</v>
      </c>
      <c r="G243" s="125">
        <f t="shared" si="60"/>
        <v>0</v>
      </c>
      <c r="H243" s="209">
        <f t="shared" si="61"/>
        <v>0</v>
      </c>
      <c r="K243" s="125">
        <f t="shared" si="72"/>
        <v>6.2</v>
      </c>
      <c r="L243" s="125">
        <f t="shared" si="73"/>
        <v>1.4500000000000002</v>
      </c>
      <c r="M243" s="125">
        <f t="shared" si="74"/>
        <v>1.23</v>
      </c>
      <c r="N243" s="125">
        <f t="shared" si="75"/>
        <v>1.8908</v>
      </c>
      <c r="O243" s="125">
        <f t="shared" si="76"/>
        <v>10.770800000000001</v>
      </c>
      <c r="P243" s="125">
        <f t="shared" si="77"/>
        <v>110.77080000000001</v>
      </c>
    </row>
    <row r="244" spans="1:16" x14ac:dyDescent="0.25">
      <c r="A244" s="124" t="s">
        <v>7874</v>
      </c>
      <c r="B244" s="125">
        <v>250</v>
      </c>
      <c r="C244" s="125">
        <v>0</v>
      </c>
      <c r="D244" s="125">
        <v>250</v>
      </c>
      <c r="E244" s="125">
        <v>250</v>
      </c>
      <c r="F244" s="125">
        <f t="shared" si="62"/>
        <v>250</v>
      </c>
      <c r="G244" s="125">
        <f t="shared" si="60"/>
        <v>0</v>
      </c>
      <c r="H244" s="209">
        <f t="shared" si="61"/>
        <v>0</v>
      </c>
      <c r="K244" s="125">
        <f t="shared" si="72"/>
        <v>15.5</v>
      </c>
      <c r="L244" s="125">
        <f t="shared" si="73"/>
        <v>3.625</v>
      </c>
      <c r="M244" s="125">
        <f t="shared" si="74"/>
        <v>3.0750000000000002</v>
      </c>
      <c r="N244" s="125">
        <f t="shared" si="75"/>
        <v>4.7270000000000003</v>
      </c>
      <c r="O244" s="125">
        <f t="shared" si="76"/>
        <v>26.927</v>
      </c>
      <c r="P244" s="125">
        <f t="shared" si="77"/>
        <v>276.92700000000002</v>
      </c>
    </row>
    <row r="245" spans="1:16" x14ac:dyDescent="0.25">
      <c r="A245" s="124" t="s">
        <v>7875</v>
      </c>
      <c r="B245" s="125">
        <v>50</v>
      </c>
      <c r="C245" s="125">
        <v>0</v>
      </c>
      <c r="D245" s="125">
        <v>50</v>
      </c>
      <c r="E245" s="125">
        <v>50</v>
      </c>
      <c r="F245" s="125">
        <f t="shared" si="62"/>
        <v>50</v>
      </c>
      <c r="G245" s="125">
        <f t="shared" si="60"/>
        <v>0</v>
      </c>
      <c r="H245" s="209">
        <f t="shared" si="61"/>
        <v>0</v>
      </c>
      <c r="K245" s="125">
        <f t="shared" si="72"/>
        <v>3.1</v>
      </c>
      <c r="L245" s="125">
        <f t="shared" si="73"/>
        <v>0.72500000000000009</v>
      </c>
      <c r="M245" s="125">
        <f t="shared" si="74"/>
        <v>0.61499999999999999</v>
      </c>
      <c r="N245" s="125">
        <f t="shared" si="75"/>
        <v>0.94540000000000002</v>
      </c>
      <c r="O245" s="125">
        <f t="shared" si="76"/>
        <v>5.3854000000000006</v>
      </c>
      <c r="P245" s="125">
        <f t="shared" si="77"/>
        <v>55.385400000000004</v>
      </c>
    </row>
    <row r="246" spans="1:16" x14ac:dyDescent="0.25">
      <c r="A246" s="124" t="s">
        <v>7876</v>
      </c>
      <c r="B246" s="125">
        <v>0</v>
      </c>
      <c r="C246" s="125">
        <v>282.88</v>
      </c>
      <c r="D246" s="125">
        <v>1000</v>
      </c>
      <c r="E246" s="125">
        <v>1000</v>
      </c>
      <c r="F246" s="125">
        <f t="shared" si="62"/>
        <v>-282.88</v>
      </c>
      <c r="G246" s="125">
        <f t="shared" si="60"/>
        <v>1000</v>
      </c>
      <c r="H246" s="209" t="e">
        <f t="shared" si="61"/>
        <v>#DIV/0!</v>
      </c>
      <c r="K246" s="125">
        <f t="shared" si="72"/>
        <v>62</v>
      </c>
      <c r="L246" s="125">
        <f t="shared" si="73"/>
        <v>14.5</v>
      </c>
      <c r="M246" s="125">
        <f t="shared" si="74"/>
        <v>12.3</v>
      </c>
      <c r="N246" s="125">
        <f t="shared" si="75"/>
        <v>18.908000000000001</v>
      </c>
      <c r="O246" s="125">
        <f t="shared" si="76"/>
        <v>107.708</v>
      </c>
      <c r="P246" s="125">
        <f t="shared" si="77"/>
        <v>1107.7080000000001</v>
      </c>
    </row>
    <row r="247" spans="1:16" x14ac:dyDescent="0.25">
      <c r="A247" s="124" t="s">
        <v>7877</v>
      </c>
      <c r="B247" s="125">
        <v>1000</v>
      </c>
      <c r="C247" s="125">
        <v>0</v>
      </c>
      <c r="D247" s="125">
        <v>1000</v>
      </c>
      <c r="E247" s="125">
        <v>1000</v>
      </c>
      <c r="F247" s="125">
        <f t="shared" si="62"/>
        <v>1000</v>
      </c>
      <c r="G247" s="125">
        <f t="shared" si="60"/>
        <v>0</v>
      </c>
      <c r="H247" s="209">
        <f t="shared" si="61"/>
        <v>0</v>
      </c>
      <c r="K247" s="125">
        <f t="shared" si="72"/>
        <v>62</v>
      </c>
      <c r="L247" s="125">
        <f t="shared" si="73"/>
        <v>14.5</v>
      </c>
      <c r="M247" s="125">
        <f t="shared" si="74"/>
        <v>12.3</v>
      </c>
      <c r="N247" s="125">
        <f t="shared" si="75"/>
        <v>18.908000000000001</v>
      </c>
      <c r="O247" s="125">
        <f t="shared" si="76"/>
        <v>107.708</v>
      </c>
      <c r="P247" s="125">
        <f t="shared" si="77"/>
        <v>1107.7080000000001</v>
      </c>
    </row>
    <row r="248" spans="1:16" x14ac:dyDescent="0.25">
      <c r="A248" s="124" t="s">
        <v>7878</v>
      </c>
      <c r="B248" s="125">
        <v>24000</v>
      </c>
      <c r="C248" s="125">
        <v>7109.49</v>
      </c>
      <c r="D248" s="125">
        <v>24000</v>
      </c>
      <c r="E248" s="125">
        <v>24000</v>
      </c>
      <c r="F248" s="125">
        <f t="shared" si="62"/>
        <v>16890.510000000002</v>
      </c>
      <c r="G248" s="125">
        <f t="shared" si="60"/>
        <v>0</v>
      </c>
      <c r="H248" s="209">
        <f t="shared" si="61"/>
        <v>0</v>
      </c>
      <c r="K248" s="125">
        <f t="shared" si="72"/>
        <v>1488</v>
      </c>
      <c r="L248" s="125">
        <f t="shared" si="73"/>
        <v>348</v>
      </c>
      <c r="M248" s="125">
        <f t="shared" si="74"/>
        <v>295.2</v>
      </c>
      <c r="N248" s="125">
        <f t="shared" si="75"/>
        <v>453.79200000000003</v>
      </c>
      <c r="O248" s="125">
        <f t="shared" si="76"/>
        <v>2584.9919999999997</v>
      </c>
      <c r="P248" s="125">
        <f t="shared" si="77"/>
        <v>26584.991999999998</v>
      </c>
    </row>
    <row r="249" spans="1:16" x14ac:dyDescent="0.25">
      <c r="A249" s="124" t="s">
        <v>7879</v>
      </c>
      <c r="B249" s="125">
        <v>0</v>
      </c>
      <c r="C249" s="125">
        <v>12188.16</v>
      </c>
      <c r="F249" s="125">
        <f t="shared" si="62"/>
        <v>-12188.16</v>
      </c>
      <c r="G249" s="125">
        <f t="shared" si="60"/>
        <v>0</v>
      </c>
      <c r="H249" s="209" t="e">
        <f t="shared" si="61"/>
        <v>#DIV/0!</v>
      </c>
      <c r="K249" s="125">
        <f t="shared" si="72"/>
        <v>0</v>
      </c>
      <c r="L249" s="125">
        <f t="shared" si="73"/>
        <v>0</v>
      </c>
      <c r="M249" s="125">
        <f t="shared" si="74"/>
        <v>0</v>
      </c>
      <c r="N249" s="125">
        <f t="shared" si="75"/>
        <v>0</v>
      </c>
      <c r="O249" s="125">
        <f t="shared" si="76"/>
        <v>0</v>
      </c>
      <c r="P249" s="125">
        <f t="shared" si="77"/>
        <v>0</v>
      </c>
    </row>
    <row r="250" spans="1:16" x14ac:dyDescent="0.25">
      <c r="A250" s="124" t="s">
        <v>7880</v>
      </c>
      <c r="B250" s="125">
        <v>3253.12</v>
      </c>
      <c r="C250" s="125">
        <v>3253.12</v>
      </c>
      <c r="D250" s="125">
        <v>3253.12</v>
      </c>
      <c r="E250" s="125">
        <v>3253.12</v>
      </c>
      <c r="F250" s="125">
        <f t="shared" si="62"/>
        <v>0</v>
      </c>
      <c r="G250" s="125">
        <f t="shared" si="60"/>
        <v>0</v>
      </c>
      <c r="H250" s="209">
        <f t="shared" si="61"/>
        <v>0</v>
      </c>
      <c r="K250" s="125">
        <f t="shared" si="72"/>
        <v>201.69343999999998</v>
      </c>
      <c r="L250" s="125">
        <f t="shared" si="73"/>
        <v>47.17024</v>
      </c>
      <c r="M250" s="125">
        <f t="shared" si="74"/>
        <v>40.013376000000001</v>
      </c>
      <c r="N250" s="125">
        <f t="shared" si="75"/>
        <v>61.509992960000005</v>
      </c>
      <c r="O250" s="125">
        <f t="shared" si="76"/>
        <v>350.38704896000002</v>
      </c>
      <c r="P250" s="125">
        <f t="shared" si="77"/>
        <v>3603.5070489599998</v>
      </c>
    </row>
    <row r="251" spans="1:16" x14ac:dyDescent="0.25">
      <c r="A251" s="124" t="s">
        <v>7881</v>
      </c>
      <c r="B251" s="125">
        <v>71000</v>
      </c>
      <c r="C251" s="125">
        <v>119337.5</v>
      </c>
      <c r="D251" s="125">
        <v>155075</v>
      </c>
      <c r="E251" s="125">
        <v>155075</v>
      </c>
      <c r="F251" s="125">
        <f t="shared" si="62"/>
        <v>-48337.5</v>
      </c>
      <c r="G251" s="125">
        <f t="shared" si="60"/>
        <v>84075</v>
      </c>
      <c r="H251" s="209">
        <f t="shared" si="61"/>
        <v>1.1841549295774647</v>
      </c>
      <c r="K251" s="125">
        <f t="shared" si="72"/>
        <v>9614.65</v>
      </c>
      <c r="L251" s="125">
        <f t="shared" si="73"/>
        <v>2248.5875000000001</v>
      </c>
      <c r="M251" s="125">
        <f t="shared" si="74"/>
        <v>1907.4225000000001</v>
      </c>
      <c r="N251" s="125">
        <f t="shared" si="75"/>
        <v>2932.1581000000001</v>
      </c>
      <c r="O251" s="125">
        <f t="shared" si="76"/>
        <v>16702.8181</v>
      </c>
      <c r="P251" s="125">
        <f t="shared" si="77"/>
        <v>171777.8181</v>
      </c>
    </row>
    <row r="252" spans="1:16" x14ac:dyDescent="0.25">
      <c r="A252" s="124" t="s">
        <v>7882</v>
      </c>
      <c r="B252" s="125">
        <v>49000</v>
      </c>
      <c r="C252" s="125">
        <v>32130</v>
      </c>
      <c r="D252" s="125">
        <v>49000</v>
      </c>
      <c r="E252" s="125">
        <v>49000</v>
      </c>
      <c r="F252" s="125">
        <f t="shared" si="62"/>
        <v>16870</v>
      </c>
      <c r="G252" s="125">
        <f t="shared" si="60"/>
        <v>0</v>
      </c>
      <c r="H252" s="209">
        <f t="shared" si="61"/>
        <v>0</v>
      </c>
      <c r="K252" s="125">
        <f t="shared" si="72"/>
        <v>3038</v>
      </c>
      <c r="L252" s="125">
        <f t="shared" si="73"/>
        <v>710.5</v>
      </c>
      <c r="M252" s="125">
        <f t="shared" si="74"/>
        <v>602.70000000000005</v>
      </c>
      <c r="N252" s="125">
        <f t="shared" si="75"/>
        <v>926.49200000000008</v>
      </c>
      <c r="O252" s="125">
        <f t="shared" si="76"/>
        <v>5277.692</v>
      </c>
      <c r="P252" s="125">
        <f t="shared" si="77"/>
        <v>54277.692000000003</v>
      </c>
    </row>
    <row r="253" spans="1:16" x14ac:dyDescent="0.25">
      <c r="A253" s="124" t="s">
        <v>7883</v>
      </c>
      <c r="B253" s="125">
        <v>18000</v>
      </c>
      <c r="C253" s="125">
        <v>12086.04</v>
      </c>
      <c r="D253" s="125">
        <v>18000</v>
      </c>
      <c r="E253" s="125">
        <v>18000</v>
      </c>
      <c r="F253" s="125">
        <f t="shared" si="62"/>
        <v>5913.9599999999991</v>
      </c>
      <c r="G253" s="125">
        <f t="shared" si="60"/>
        <v>0</v>
      </c>
      <c r="H253" s="209">
        <f t="shared" si="61"/>
        <v>0</v>
      </c>
      <c r="K253" s="125">
        <f t="shared" si="72"/>
        <v>1116</v>
      </c>
      <c r="L253" s="125">
        <f t="shared" si="73"/>
        <v>261</v>
      </c>
      <c r="M253" s="125">
        <f t="shared" si="74"/>
        <v>221.4</v>
      </c>
      <c r="N253" s="125">
        <f t="shared" si="75"/>
        <v>340.34399999999999</v>
      </c>
      <c r="O253" s="125">
        <f t="shared" si="76"/>
        <v>1938.7440000000001</v>
      </c>
      <c r="P253" s="125">
        <f t="shared" si="77"/>
        <v>19938.743999999999</v>
      </c>
    </row>
    <row r="254" spans="1:16" x14ac:dyDescent="0.25">
      <c r="A254" s="124" t="s">
        <v>7884</v>
      </c>
      <c r="B254" s="125">
        <v>200</v>
      </c>
      <c r="C254" s="125">
        <v>0</v>
      </c>
      <c r="D254" s="125">
        <v>200</v>
      </c>
      <c r="E254" s="125">
        <v>200</v>
      </c>
      <c r="F254" s="125">
        <f t="shared" si="62"/>
        <v>200</v>
      </c>
      <c r="G254" s="125">
        <f t="shared" si="60"/>
        <v>0</v>
      </c>
      <c r="H254" s="209">
        <f t="shared" si="61"/>
        <v>0</v>
      </c>
      <c r="K254" s="125">
        <f t="shared" si="72"/>
        <v>12.4</v>
      </c>
      <c r="L254" s="125">
        <f t="shared" si="73"/>
        <v>2.9000000000000004</v>
      </c>
      <c r="M254" s="125">
        <f t="shared" si="74"/>
        <v>2.46</v>
      </c>
      <c r="N254" s="125">
        <f t="shared" si="75"/>
        <v>3.7816000000000001</v>
      </c>
      <c r="O254" s="125">
        <f t="shared" si="76"/>
        <v>21.541600000000003</v>
      </c>
      <c r="P254" s="125">
        <f t="shared" si="77"/>
        <v>221.54160000000002</v>
      </c>
    </row>
    <row r="255" spans="1:16" x14ac:dyDescent="0.25">
      <c r="A255" s="124" t="s">
        <v>7885</v>
      </c>
      <c r="B255" s="125">
        <v>6500</v>
      </c>
      <c r="C255" s="125">
        <v>25605.56</v>
      </c>
      <c r="D255" s="125">
        <v>6500</v>
      </c>
      <c r="E255" s="125">
        <v>6500</v>
      </c>
      <c r="F255" s="125">
        <f t="shared" si="62"/>
        <v>-19105.560000000001</v>
      </c>
      <c r="G255" s="125">
        <f t="shared" si="60"/>
        <v>0</v>
      </c>
      <c r="H255" s="209">
        <f t="shared" si="61"/>
        <v>0</v>
      </c>
      <c r="K255" s="125">
        <f t="shared" si="72"/>
        <v>403</v>
      </c>
      <c r="L255" s="125">
        <f t="shared" si="73"/>
        <v>94.25</v>
      </c>
      <c r="M255" s="125">
        <f t="shared" si="74"/>
        <v>79.95</v>
      </c>
      <c r="N255" s="125">
        <f t="shared" si="75"/>
        <v>122.902</v>
      </c>
      <c r="O255" s="125">
        <f t="shared" si="76"/>
        <v>700.10200000000009</v>
      </c>
      <c r="P255" s="125">
        <f t="shared" si="77"/>
        <v>7200.1019999999999</v>
      </c>
    </row>
    <row r="256" spans="1:16" x14ac:dyDescent="0.25">
      <c r="A256" s="122" t="s">
        <v>7886</v>
      </c>
      <c r="B256" s="123">
        <f>SUM(B232:B255)</f>
        <v>607934.12</v>
      </c>
      <c r="C256" s="123">
        <f t="shared" ref="C256:D256" si="78">SUM(C232:C255)</f>
        <v>425949.43999999994</v>
      </c>
      <c r="D256" s="123">
        <f t="shared" si="78"/>
        <v>719315.12</v>
      </c>
      <c r="E256" s="123">
        <v>719315.12</v>
      </c>
      <c r="F256" s="125">
        <f t="shared" si="62"/>
        <v>181984.68000000005</v>
      </c>
      <c r="G256" s="125">
        <f t="shared" si="60"/>
        <v>111381</v>
      </c>
      <c r="H256" s="209">
        <f t="shared" si="61"/>
        <v>0.1832122862260141</v>
      </c>
      <c r="K256" s="123">
        <f t="shared" si="72"/>
        <v>44597.53744</v>
      </c>
      <c r="L256" s="123">
        <f t="shared" si="73"/>
        <v>10430.069240000001</v>
      </c>
      <c r="M256" s="123">
        <f t="shared" si="74"/>
        <v>8847.5759760000001</v>
      </c>
      <c r="N256" s="123">
        <f t="shared" si="75"/>
        <v>13600.810288960001</v>
      </c>
      <c r="O256" s="123">
        <f t="shared" si="76"/>
        <v>77475.992944960002</v>
      </c>
      <c r="P256" s="123">
        <f t="shared" si="77"/>
        <v>796791.11294496001</v>
      </c>
    </row>
    <row r="257" spans="1:17" x14ac:dyDescent="0.25">
      <c r="A257" s="122">
        <v>52400</v>
      </c>
      <c r="B257" s="123"/>
      <c r="C257" s="123"/>
      <c r="D257" s="123"/>
      <c r="E257" s="123"/>
      <c r="F257" s="125">
        <f t="shared" si="62"/>
        <v>0</v>
      </c>
      <c r="G257" s="125">
        <f t="shared" si="60"/>
        <v>0</v>
      </c>
      <c r="H257" s="209" t="e">
        <f t="shared" si="61"/>
        <v>#DIV/0!</v>
      </c>
      <c r="K257" s="125">
        <f t="shared" si="72"/>
        <v>0</v>
      </c>
      <c r="L257" s="125">
        <f t="shared" si="73"/>
        <v>0</v>
      </c>
      <c r="M257" s="125">
        <f t="shared" si="74"/>
        <v>0</v>
      </c>
      <c r="N257" s="125">
        <f t="shared" si="75"/>
        <v>0</v>
      </c>
      <c r="O257" s="125">
        <f t="shared" si="76"/>
        <v>0</v>
      </c>
      <c r="P257" s="125">
        <f t="shared" si="77"/>
        <v>0</v>
      </c>
    </row>
    <row r="258" spans="1:17" x14ac:dyDescent="0.25">
      <c r="A258" s="124" t="s">
        <v>7887</v>
      </c>
      <c r="B258" s="125">
        <v>5000</v>
      </c>
      <c r="C258" s="125">
        <v>5009.13</v>
      </c>
      <c r="D258" s="125">
        <v>10350</v>
      </c>
      <c r="E258" s="125">
        <v>10350</v>
      </c>
      <c r="F258" s="125">
        <f t="shared" si="62"/>
        <v>-9.1300000000001091</v>
      </c>
      <c r="G258" s="125">
        <f t="shared" si="60"/>
        <v>5350</v>
      </c>
      <c r="H258" s="209">
        <f t="shared" si="61"/>
        <v>1.07</v>
      </c>
      <c r="K258" s="125">
        <f t="shared" ref="K258:K264" si="79">+$D258*$K$1</f>
        <v>641.70000000000005</v>
      </c>
      <c r="L258" s="125">
        <f t="shared" ref="L258:L264" si="80">+$D258*$L$1</f>
        <v>150.07500000000002</v>
      </c>
      <c r="M258" s="125">
        <f t="shared" ref="M258:M264" si="81">+$D258*$M$1</f>
        <v>127.30500000000001</v>
      </c>
      <c r="N258" s="125">
        <f t="shared" ref="N258:N264" si="82">+$D258*$N$1</f>
        <v>195.6978</v>
      </c>
      <c r="O258" s="125">
        <f t="shared" ref="O258:O264" si="83">SUM(I258:N258)</f>
        <v>1114.7778000000001</v>
      </c>
      <c r="P258" s="125">
        <f t="shared" ref="P258:P264" si="84">+D258+O258</f>
        <v>11464.7778</v>
      </c>
    </row>
    <row r="259" spans="1:17" x14ac:dyDescent="0.25">
      <c r="A259" s="124" t="s">
        <v>7888</v>
      </c>
      <c r="B259" s="125">
        <v>4000</v>
      </c>
      <c r="C259" s="125">
        <v>0</v>
      </c>
      <c r="D259" s="125">
        <v>4000</v>
      </c>
      <c r="E259" s="125">
        <v>4000</v>
      </c>
      <c r="F259" s="125">
        <f t="shared" si="62"/>
        <v>4000</v>
      </c>
      <c r="G259" s="125">
        <f t="shared" si="60"/>
        <v>0</v>
      </c>
      <c r="H259" s="209">
        <f t="shared" si="61"/>
        <v>0</v>
      </c>
      <c r="K259" s="125">
        <f t="shared" si="79"/>
        <v>248</v>
      </c>
      <c r="L259" s="125">
        <f t="shared" si="80"/>
        <v>58</v>
      </c>
      <c r="M259" s="125">
        <f t="shared" si="81"/>
        <v>49.2</v>
      </c>
      <c r="N259" s="125">
        <f t="shared" si="82"/>
        <v>75.632000000000005</v>
      </c>
      <c r="O259" s="125">
        <f t="shared" si="83"/>
        <v>430.83199999999999</v>
      </c>
      <c r="P259" s="125">
        <f t="shared" si="84"/>
        <v>4430.8320000000003</v>
      </c>
    </row>
    <row r="260" spans="1:17" x14ac:dyDescent="0.25">
      <c r="A260" s="124" t="s">
        <v>7889</v>
      </c>
      <c r="B260" s="125">
        <v>8000</v>
      </c>
      <c r="C260" s="125">
        <v>2000</v>
      </c>
      <c r="D260" s="125">
        <v>8000</v>
      </c>
      <c r="E260" s="125">
        <v>8000</v>
      </c>
      <c r="F260" s="125">
        <f t="shared" si="62"/>
        <v>6000</v>
      </c>
      <c r="G260" s="125">
        <f t="shared" ref="G260:G270" si="85">+D260-B260</f>
        <v>0</v>
      </c>
      <c r="H260" s="209">
        <f t="shared" ref="H260:H270" si="86">+G260/B260</f>
        <v>0</v>
      </c>
      <c r="K260" s="125">
        <f t="shared" si="79"/>
        <v>496</v>
      </c>
      <c r="L260" s="125">
        <f t="shared" si="80"/>
        <v>116</v>
      </c>
      <c r="M260" s="125">
        <f t="shared" si="81"/>
        <v>98.4</v>
      </c>
      <c r="N260" s="125">
        <f t="shared" si="82"/>
        <v>151.26400000000001</v>
      </c>
      <c r="O260" s="125">
        <f t="shared" si="83"/>
        <v>861.66399999999999</v>
      </c>
      <c r="P260" s="125">
        <f t="shared" si="84"/>
        <v>8861.6640000000007</v>
      </c>
    </row>
    <row r="261" spans="1:17" x14ac:dyDescent="0.25">
      <c r="A261" s="124" t="s">
        <v>7890</v>
      </c>
      <c r="B261" s="125">
        <v>34500</v>
      </c>
      <c r="C261" s="125">
        <v>7050.3</v>
      </c>
      <c r="D261" s="125">
        <v>34500</v>
      </c>
      <c r="E261" s="125">
        <v>34500</v>
      </c>
      <c r="F261" s="125">
        <f t="shared" ref="F261:F270" si="87">+B261-C261</f>
        <v>27449.7</v>
      </c>
      <c r="G261" s="125">
        <f t="shared" si="85"/>
        <v>0</v>
      </c>
      <c r="H261" s="209">
        <f t="shared" si="86"/>
        <v>0</v>
      </c>
      <c r="K261" s="125">
        <f t="shared" si="79"/>
        <v>2139</v>
      </c>
      <c r="L261" s="125">
        <f t="shared" si="80"/>
        <v>500.25</v>
      </c>
      <c r="M261" s="125">
        <f t="shared" si="81"/>
        <v>424.35</v>
      </c>
      <c r="N261" s="125">
        <f t="shared" si="82"/>
        <v>652.32600000000002</v>
      </c>
      <c r="O261" s="125">
        <f t="shared" si="83"/>
        <v>3715.9259999999999</v>
      </c>
      <c r="P261" s="125">
        <f t="shared" si="84"/>
        <v>38215.925999999999</v>
      </c>
    </row>
    <row r="262" spans="1:17" x14ac:dyDescent="0.25">
      <c r="A262" s="124" t="s">
        <v>7891</v>
      </c>
      <c r="B262" s="125">
        <v>1000</v>
      </c>
      <c r="C262" s="125">
        <v>0</v>
      </c>
      <c r="D262" s="125">
        <v>1000</v>
      </c>
      <c r="E262" s="125">
        <v>1000</v>
      </c>
      <c r="F262" s="125">
        <f t="shared" si="87"/>
        <v>1000</v>
      </c>
      <c r="G262" s="125">
        <f t="shared" si="85"/>
        <v>0</v>
      </c>
      <c r="H262" s="209">
        <f t="shared" si="86"/>
        <v>0</v>
      </c>
      <c r="K262" s="125">
        <f t="shared" si="79"/>
        <v>62</v>
      </c>
      <c r="L262" s="125">
        <f t="shared" si="80"/>
        <v>14.5</v>
      </c>
      <c r="M262" s="125">
        <f t="shared" si="81"/>
        <v>12.3</v>
      </c>
      <c r="N262" s="125">
        <f t="shared" si="82"/>
        <v>18.908000000000001</v>
      </c>
      <c r="O262" s="125">
        <f t="shared" si="83"/>
        <v>107.708</v>
      </c>
      <c r="P262" s="125">
        <f t="shared" si="84"/>
        <v>1107.7080000000001</v>
      </c>
    </row>
    <row r="263" spans="1:17" x14ac:dyDescent="0.25">
      <c r="A263" s="124" t="s">
        <v>7892</v>
      </c>
      <c r="B263" s="125">
        <v>0</v>
      </c>
      <c r="C263" s="125">
        <v>629</v>
      </c>
      <c r="D263" s="125">
        <v>0</v>
      </c>
      <c r="E263" s="125">
        <v>0</v>
      </c>
      <c r="F263" s="125">
        <f t="shared" si="87"/>
        <v>-629</v>
      </c>
      <c r="G263" s="125">
        <f t="shared" si="85"/>
        <v>0</v>
      </c>
      <c r="H263" s="209" t="e">
        <f t="shared" si="86"/>
        <v>#DIV/0!</v>
      </c>
      <c r="K263" s="125">
        <f t="shared" si="79"/>
        <v>0</v>
      </c>
      <c r="L263" s="125">
        <f t="shared" si="80"/>
        <v>0</v>
      </c>
      <c r="M263" s="125">
        <f t="shared" si="81"/>
        <v>0</v>
      </c>
      <c r="N263" s="125">
        <f t="shared" si="82"/>
        <v>0</v>
      </c>
      <c r="O263" s="125">
        <f t="shared" si="83"/>
        <v>0</v>
      </c>
      <c r="P263" s="125">
        <f t="shared" si="84"/>
        <v>0</v>
      </c>
    </row>
    <row r="264" spans="1:17" x14ac:dyDescent="0.25">
      <c r="A264" s="122" t="s">
        <v>7893</v>
      </c>
      <c r="B264" s="123">
        <f>SUM(B258:B263)</f>
        <v>52500</v>
      </c>
      <c r="C264" s="123">
        <f t="shared" ref="C264:D264" si="88">SUM(C258:C263)</f>
        <v>14688.43</v>
      </c>
      <c r="D264" s="123">
        <f t="shared" si="88"/>
        <v>57850</v>
      </c>
      <c r="E264" s="123">
        <v>57850</v>
      </c>
      <c r="F264" s="125">
        <f t="shared" si="87"/>
        <v>37811.57</v>
      </c>
      <c r="G264" s="125">
        <f t="shared" si="85"/>
        <v>5350</v>
      </c>
      <c r="H264" s="209">
        <f t="shared" si="86"/>
        <v>0.1019047619047619</v>
      </c>
      <c r="K264" s="123">
        <f t="shared" si="79"/>
        <v>3586.7</v>
      </c>
      <c r="L264" s="123">
        <f t="shared" si="80"/>
        <v>838.82500000000005</v>
      </c>
      <c r="M264" s="123">
        <f t="shared" si="81"/>
        <v>711.55500000000006</v>
      </c>
      <c r="N264" s="123">
        <f t="shared" si="82"/>
        <v>1093.8278</v>
      </c>
      <c r="O264" s="123">
        <f t="shared" si="83"/>
        <v>6230.9078</v>
      </c>
      <c r="P264" s="123">
        <f t="shared" si="84"/>
        <v>64080.907800000001</v>
      </c>
    </row>
    <row r="265" spans="1:17" x14ac:dyDescent="0.25">
      <c r="A265" s="122">
        <v>52420</v>
      </c>
      <c r="B265" s="123"/>
      <c r="C265" s="123"/>
      <c r="D265" s="123"/>
      <c r="E265" s="123"/>
      <c r="F265" s="125">
        <f t="shared" si="87"/>
        <v>0</v>
      </c>
      <c r="G265" s="125">
        <f t="shared" si="85"/>
        <v>0</v>
      </c>
      <c r="H265" s="209" t="e">
        <f t="shared" si="86"/>
        <v>#DIV/0!</v>
      </c>
    </row>
    <row r="266" spans="1:17" x14ac:dyDescent="0.25">
      <c r="A266" s="124" t="s">
        <v>7894</v>
      </c>
      <c r="B266" s="125">
        <v>0</v>
      </c>
      <c r="C266" s="125">
        <v>0</v>
      </c>
      <c r="D266" s="125">
        <v>0</v>
      </c>
      <c r="E266" s="125">
        <v>0</v>
      </c>
      <c r="F266" s="125">
        <f t="shared" si="87"/>
        <v>0</v>
      </c>
      <c r="G266" s="125">
        <f t="shared" si="85"/>
        <v>0</v>
      </c>
      <c r="H266" s="209" t="e">
        <f t="shared" si="86"/>
        <v>#DIV/0!</v>
      </c>
      <c r="N266" s="125">
        <f>+$D266*$N$1</f>
        <v>0</v>
      </c>
      <c r="O266" s="125">
        <f t="shared" ref="O266:O268" si="89">SUM(I266:N266)</f>
        <v>0</v>
      </c>
      <c r="P266" s="125">
        <f>+D266+O266</f>
        <v>0</v>
      </c>
    </row>
    <row r="267" spans="1:17" x14ac:dyDescent="0.25">
      <c r="A267" s="124" t="s">
        <v>7895</v>
      </c>
      <c r="B267" s="125">
        <v>1500</v>
      </c>
      <c r="C267" s="125">
        <v>0</v>
      </c>
      <c r="D267" s="125">
        <v>1500</v>
      </c>
      <c r="E267" s="125">
        <v>1500</v>
      </c>
      <c r="F267" s="125">
        <f t="shared" si="87"/>
        <v>1500</v>
      </c>
      <c r="G267" s="125">
        <f t="shared" si="85"/>
        <v>0</v>
      </c>
      <c r="H267" s="209">
        <f t="shared" si="86"/>
        <v>0</v>
      </c>
      <c r="N267" s="125">
        <f>+$D267*$N$1</f>
        <v>28.362000000000002</v>
      </c>
      <c r="O267" s="125">
        <f t="shared" si="89"/>
        <v>28.362000000000002</v>
      </c>
      <c r="P267" s="125">
        <f>+D267+O267</f>
        <v>1528.3620000000001</v>
      </c>
    </row>
    <row r="268" spans="1:17" x14ac:dyDescent="0.25">
      <c r="A268" s="122" t="s">
        <v>7896</v>
      </c>
      <c r="B268" s="123">
        <f>SUM(B266:B267)</f>
        <v>1500</v>
      </c>
      <c r="C268" s="123">
        <f t="shared" ref="C268:D268" si="90">SUM(C266:C267)</f>
        <v>0</v>
      </c>
      <c r="D268" s="123">
        <f t="shared" si="90"/>
        <v>1500</v>
      </c>
      <c r="E268" s="123">
        <v>1500</v>
      </c>
      <c r="F268" s="125">
        <f t="shared" si="87"/>
        <v>1500</v>
      </c>
      <c r="G268" s="125">
        <f t="shared" si="85"/>
        <v>0</v>
      </c>
      <c r="H268" s="209">
        <f t="shared" si="86"/>
        <v>0</v>
      </c>
      <c r="N268" s="123">
        <f>+$D268*$N$1</f>
        <v>28.362000000000002</v>
      </c>
      <c r="O268" s="123">
        <f t="shared" si="89"/>
        <v>28.362000000000002</v>
      </c>
      <c r="P268" s="123">
        <f>+D268+O268</f>
        <v>1528.3620000000001</v>
      </c>
    </row>
    <row r="269" spans="1:17" x14ac:dyDescent="0.25">
      <c r="A269" s="114" t="s">
        <v>7608</v>
      </c>
      <c r="B269" s="128">
        <f>+B268+B264+B256+B230+B217+B214+B210</f>
        <v>889575.35</v>
      </c>
      <c r="C269" s="128">
        <f t="shared" ref="C269" si="91">+C268+C264+C256+C230+C217+C214+C210</f>
        <v>566415.56999999995</v>
      </c>
      <c r="D269" s="128">
        <f>+D268+D264+D256+D230+D217+D214+D210</f>
        <v>1029345</v>
      </c>
      <c r="E269" s="213">
        <v>1029345</v>
      </c>
      <c r="F269" s="125">
        <f t="shared" si="87"/>
        <v>323159.78000000003</v>
      </c>
      <c r="G269" s="125">
        <f t="shared" si="85"/>
        <v>139769.65000000002</v>
      </c>
      <c r="H269" s="209">
        <f t="shared" si="86"/>
        <v>0.15711951775642169</v>
      </c>
      <c r="I269" s="128">
        <f t="shared" ref="I269:P269" si="92">+I268+I264+I256+I230+I217+I214+I210</f>
        <v>0</v>
      </c>
      <c r="J269" s="128">
        <f t="shared" si="92"/>
        <v>0</v>
      </c>
      <c r="K269" s="128">
        <f>+K268+K264+K256+K230+K217+K214+K210</f>
        <v>53727.587999999996</v>
      </c>
      <c r="L269" s="128">
        <f t="shared" si="92"/>
        <v>12565.323000000002</v>
      </c>
      <c r="M269" s="128">
        <f t="shared" si="92"/>
        <v>10658.860200000001</v>
      </c>
      <c r="N269" s="128">
        <f t="shared" si="92"/>
        <v>19462.85526</v>
      </c>
      <c r="O269" s="128">
        <f t="shared" si="92"/>
        <v>96414.626459999985</v>
      </c>
      <c r="P269" s="128">
        <f t="shared" si="92"/>
        <v>1125759.6264599999</v>
      </c>
    </row>
    <row r="270" spans="1:17" x14ac:dyDescent="0.25">
      <c r="A270" s="115" t="s">
        <v>7604</v>
      </c>
      <c r="B270" s="129">
        <f>+B269+B169</f>
        <v>7412394.3499999996</v>
      </c>
      <c r="C270" s="129">
        <f t="shared" ref="C270" si="93">+C269+C169</f>
        <v>4671970.0000000009</v>
      </c>
      <c r="D270" s="188">
        <f>+D269+D169</f>
        <v>7595187</v>
      </c>
      <c r="E270" s="233">
        <v>8023640.1710000001</v>
      </c>
      <c r="F270" s="125">
        <f t="shared" si="87"/>
        <v>2740424.3499999987</v>
      </c>
      <c r="G270" s="125">
        <f t="shared" si="85"/>
        <v>182792.65000000037</v>
      </c>
      <c r="H270" s="209">
        <f t="shared" si="86"/>
        <v>2.4660405446453395E-2</v>
      </c>
      <c r="I270" s="129">
        <f t="shared" ref="I270:P270" si="94">+I269+I169</f>
        <v>1110940.4663999998</v>
      </c>
      <c r="J270" s="129">
        <f t="shared" si="94"/>
        <v>0</v>
      </c>
      <c r="K270" s="129">
        <f t="shared" si="94"/>
        <v>53727.587999999996</v>
      </c>
      <c r="L270" s="129">
        <f t="shared" si="94"/>
        <v>107770.03200000001</v>
      </c>
      <c r="M270" s="129">
        <f t="shared" si="94"/>
        <v>91418.716799999995</v>
      </c>
      <c r="N270" s="129">
        <f t="shared" si="94"/>
        <v>143609.79579600002</v>
      </c>
      <c r="O270" s="188">
        <f t="shared" si="94"/>
        <v>1507466.5989959997</v>
      </c>
      <c r="P270" s="188">
        <f t="shared" si="94"/>
        <v>9102653.5989960004</v>
      </c>
    </row>
    <row r="271" spans="1:17" s="3" customFormat="1" x14ac:dyDescent="0.25">
      <c r="A271" s="132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</row>
    <row r="272" spans="1:17" x14ac:dyDescent="0.25">
      <c r="B272"/>
      <c r="C272"/>
      <c r="D272" s="239"/>
      <c r="E272" s="92"/>
      <c r="F272" s="92"/>
      <c r="G272" s="92"/>
      <c r="H272" s="92"/>
      <c r="P272" s="125">
        <v>9036995.1789960004</v>
      </c>
      <c r="Q272" t="s">
        <v>9996</v>
      </c>
    </row>
    <row r="273" spans="2:17" x14ac:dyDescent="0.25">
      <c r="B273"/>
      <c r="C273" s="92"/>
      <c r="D273" s="92"/>
      <c r="E273" s="92"/>
      <c r="F273"/>
      <c r="G273"/>
      <c r="H273"/>
      <c r="K273" s="125"/>
      <c r="L273" s="125"/>
      <c r="P273" s="136">
        <f>+P270</f>
        <v>9102653.5989960004</v>
      </c>
      <c r="Q273" t="s">
        <v>9997</v>
      </c>
    </row>
    <row r="274" spans="2:17" x14ac:dyDescent="0.25">
      <c r="B274"/>
      <c r="C274" s="92"/>
      <c r="E274"/>
      <c r="F274"/>
      <c r="G274"/>
      <c r="H274"/>
      <c r="K274" s="125"/>
      <c r="L274" s="125"/>
      <c r="P274" s="125">
        <f>+P270-P272</f>
        <v>65658.419999999925</v>
      </c>
      <c r="Q274" t="s">
        <v>9970</v>
      </c>
    </row>
    <row r="275" spans="2:17" x14ac:dyDescent="0.25">
      <c r="B275"/>
      <c r="C275"/>
      <c r="D275"/>
      <c r="E275" s="92"/>
      <c r="F275"/>
      <c r="G275"/>
      <c r="H275"/>
      <c r="L275" s="92"/>
    </row>
    <row r="278" spans="2:17" x14ac:dyDescent="0.25">
      <c r="D278" s="235"/>
    </row>
  </sheetData>
  <autoFilter ref="A1:P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4"/>
  <sheetViews>
    <sheetView zoomScale="90" zoomScaleNormal="90" workbookViewId="0">
      <selection activeCell="B1" sqref="B1"/>
    </sheetView>
  </sheetViews>
  <sheetFormatPr defaultRowHeight="15" x14ac:dyDescent="0.25"/>
  <cols>
    <col min="1" max="1" width="92.5703125" bestFit="1" customWidth="1"/>
    <col min="2" max="2" width="13.85546875" style="125" bestFit="1" customWidth="1"/>
    <col min="3" max="3" width="30" style="125" bestFit="1" customWidth="1"/>
    <col min="4" max="4" width="23" style="125" bestFit="1" customWidth="1"/>
    <col min="5" max="5" width="23" style="125" customWidth="1"/>
    <col min="6" max="6" width="22.28515625" style="125" bestFit="1" customWidth="1"/>
    <col min="7" max="7" width="26.42578125" style="125" bestFit="1" customWidth="1"/>
    <col min="8" max="8" width="54.5703125" bestFit="1" customWidth="1"/>
    <col min="9" max="9" width="19.5703125" style="211" bestFit="1" customWidth="1"/>
    <col min="10" max="10" width="14" bestFit="1" customWidth="1"/>
    <col min="11" max="12" width="14.5703125" bestFit="1" customWidth="1"/>
    <col min="13" max="13" width="12.7109375" bestFit="1" customWidth="1"/>
    <col min="14" max="14" width="14.5703125" bestFit="1" customWidth="1"/>
  </cols>
  <sheetData>
    <row r="1" spans="1:9" ht="30" x14ac:dyDescent="0.25">
      <c r="A1" s="112" t="s">
        <v>7603</v>
      </c>
      <c r="B1" s="142" t="s">
        <v>7639</v>
      </c>
      <c r="C1" s="142" t="s">
        <v>7640</v>
      </c>
      <c r="D1" s="117" t="s">
        <v>9983</v>
      </c>
      <c r="E1" s="212" t="s">
        <v>9982</v>
      </c>
      <c r="F1" s="207" t="s">
        <v>9955</v>
      </c>
      <c r="G1" s="207" t="s">
        <v>9954</v>
      </c>
      <c r="H1" s="207" t="s">
        <v>9956</v>
      </c>
      <c r="I1" s="210" t="s">
        <v>9958</v>
      </c>
    </row>
    <row r="2" spans="1:9" x14ac:dyDescent="0.25">
      <c r="A2" s="143" t="s">
        <v>7908</v>
      </c>
      <c r="B2" s="144">
        <f>+B3+B10+B80+B82+B85+B87+B89+B91+B93</f>
        <v>566112.77</v>
      </c>
      <c r="C2" s="144">
        <f t="shared" ref="C2:D2" si="0">+C3+C10+C80+C82+C85+C87+C89+C91+C93</f>
        <v>329241.95000000007</v>
      </c>
      <c r="D2" s="144">
        <f t="shared" si="0"/>
        <v>769812.8</v>
      </c>
      <c r="E2" s="144">
        <f t="shared" ref="E2" si="1">+E3+E10+E80+E82+E85+E87+E89+E91+E93</f>
        <v>779812.8</v>
      </c>
      <c r="F2" s="155">
        <f>+B2-C2</f>
        <v>236870.81999999995</v>
      </c>
      <c r="G2" s="155">
        <f>+D2-B2</f>
        <v>203700.03000000003</v>
      </c>
      <c r="I2" s="211">
        <f>+G2/B2</f>
        <v>0.35982235482870317</v>
      </c>
    </row>
    <row r="3" spans="1:9" x14ac:dyDescent="0.25">
      <c r="A3" s="122">
        <v>54210</v>
      </c>
      <c r="B3" s="123">
        <f>SUM(B4:B9)</f>
        <v>4800</v>
      </c>
      <c r="C3" s="123">
        <f t="shared" ref="C3:D3" si="2">SUM(C4:C9)</f>
        <v>1785</v>
      </c>
      <c r="D3" s="123">
        <f t="shared" si="2"/>
        <v>9800</v>
      </c>
      <c r="E3" s="123">
        <f t="shared" ref="E3" si="3">SUM(E4:E9)</f>
        <v>9800</v>
      </c>
      <c r="F3" s="123">
        <f>+B3-C3</f>
        <v>3015</v>
      </c>
      <c r="G3" s="123">
        <f>+D3-B3</f>
        <v>5000</v>
      </c>
      <c r="I3" s="211">
        <f t="shared" ref="I3:I66" si="4">+G3/B3</f>
        <v>1.0416666666666667</v>
      </c>
    </row>
    <row r="4" spans="1:9" x14ac:dyDescent="0.25">
      <c r="A4" s="124" t="s">
        <v>7909</v>
      </c>
      <c r="B4" s="125">
        <v>0</v>
      </c>
      <c r="C4" s="125">
        <v>0</v>
      </c>
      <c r="D4" s="125">
        <v>5000</v>
      </c>
      <c r="E4" s="125">
        <v>5000</v>
      </c>
      <c r="F4" s="123">
        <f t="shared" ref="F4:F67" si="5">+B4-C4</f>
        <v>0</v>
      </c>
      <c r="G4" s="123">
        <f t="shared" ref="G4:G67" si="6">+D4-B4</f>
        <v>5000</v>
      </c>
      <c r="I4" s="211" t="e">
        <f t="shared" si="4"/>
        <v>#DIV/0!</v>
      </c>
    </row>
    <row r="5" spans="1:9" x14ac:dyDescent="0.25">
      <c r="A5" s="124" t="s">
        <v>7910</v>
      </c>
      <c r="B5" s="125">
        <v>4800</v>
      </c>
      <c r="C5" s="125">
        <v>1785</v>
      </c>
      <c r="D5" s="125">
        <v>4800</v>
      </c>
      <c r="E5" s="125">
        <v>4800</v>
      </c>
      <c r="F5" s="123">
        <f t="shared" si="5"/>
        <v>3015</v>
      </c>
      <c r="G5" s="123">
        <f t="shared" si="6"/>
        <v>0</v>
      </c>
      <c r="I5" s="211">
        <f t="shared" si="4"/>
        <v>0</v>
      </c>
    </row>
    <row r="6" spans="1:9" x14ac:dyDescent="0.25">
      <c r="A6" s="124" t="s">
        <v>7911</v>
      </c>
      <c r="B6" s="125">
        <v>0</v>
      </c>
      <c r="C6" s="125">
        <v>0</v>
      </c>
      <c r="D6" s="125">
        <v>0</v>
      </c>
      <c r="E6" s="125">
        <v>0</v>
      </c>
      <c r="F6" s="123">
        <f t="shared" si="5"/>
        <v>0</v>
      </c>
      <c r="G6" s="123">
        <f t="shared" si="6"/>
        <v>0</v>
      </c>
      <c r="I6" s="211" t="e">
        <f t="shared" si="4"/>
        <v>#DIV/0!</v>
      </c>
    </row>
    <row r="7" spans="1:9" x14ac:dyDescent="0.25">
      <c r="A7" s="124" t="s">
        <v>7912</v>
      </c>
      <c r="B7" s="125">
        <v>0</v>
      </c>
      <c r="C7" s="125">
        <v>0</v>
      </c>
      <c r="D7" s="125">
        <v>0</v>
      </c>
      <c r="E7" s="125">
        <v>0</v>
      </c>
      <c r="F7" s="123">
        <f t="shared" si="5"/>
        <v>0</v>
      </c>
      <c r="G7" s="123">
        <f t="shared" si="6"/>
        <v>0</v>
      </c>
      <c r="I7" s="211" t="e">
        <f t="shared" si="4"/>
        <v>#DIV/0!</v>
      </c>
    </row>
    <row r="8" spans="1:9" x14ac:dyDescent="0.25">
      <c r="A8" s="124" t="s">
        <v>7913</v>
      </c>
      <c r="B8" s="125">
        <v>0</v>
      </c>
      <c r="C8" s="125">
        <v>0</v>
      </c>
      <c r="F8" s="123">
        <f t="shared" si="5"/>
        <v>0</v>
      </c>
      <c r="G8" s="123">
        <f t="shared" si="6"/>
        <v>0</v>
      </c>
      <c r="I8" s="211" t="e">
        <f t="shared" si="4"/>
        <v>#DIV/0!</v>
      </c>
    </row>
    <row r="9" spans="1:9" x14ac:dyDescent="0.25">
      <c r="A9" s="124" t="s">
        <v>7914</v>
      </c>
      <c r="B9" s="125">
        <v>0</v>
      </c>
      <c r="C9" s="125">
        <v>0</v>
      </c>
      <c r="F9" s="123">
        <f t="shared" si="5"/>
        <v>0</v>
      </c>
      <c r="G9" s="123">
        <f t="shared" si="6"/>
        <v>0</v>
      </c>
      <c r="I9" s="211" t="e">
        <f t="shared" si="4"/>
        <v>#DIV/0!</v>
      </c>
    </row>
    <row r="10" spans="1:9" x14ac:dyDescent="0.25">
      <c r="A10" s="122">
        <v>54300</v>
      </c>
      <c r="B10" s="123">
        <f>SUM(B11:B79)</f>
        <v>462212.77</v>
      </c>
      <c r="C10" s="123">
        <f t="shared" ref="C10:D10" si="7">SUM(C11:C79)</f>
        <v>225281.18000000005</v>
      </c>
      <c r="D10" s="123">
        <f t="shared" si="7"/>
        <v>612912.80000000005</v>
      </c>
      <c r="E10" s="123">
        <f t="shared" ref="E10" si="8">SUM(E11:E79)</f>
        <v>622912.80000000005</v>
      </c>
      <c r="F10" s="123">
        <f t="shared" si="5"/>
        <v>236931.58999999997</v>
      </c>
      <c r="G10" s="123">
        <f t="shared" si="6"/>
        <v>150700.03000000003</v>
      </c>
      <c r="I10" s="211">
        <f t="shared" si="4"/>
        <v>0.32604038611914599</v>
      </c>
    </row>
    <row r="11" spans="1:9" x14ac:dyDescent="0.25">
      <c r="A11" s="124" t="s">
        <v>7915</v>
      </c>
      <c r="B11" s="125">
        <v>4000</v>
      </c>
      <c r="C11" s="125">
        <v>3441.92</v>
      </c>
      <c r="D11" s="125">
        <v>4000</v>
      </c>
      <c r="E11" s="125">
        <v>4000</v>
      </c>
      <c r="F11" s="123">
        <f t="shared" si="5"/>
        <v>558.07999999999993</v>
      </c>
      <c r="G11" s="123">
        <f t="shared" si="6"/>
        <v>0</v>
      </c>
      <c r="I11" s="211">
        <f t="shared" si="4"/>
        <v>0</v>
      </c>
    </row>
    <row r="12" spans="1:9" x14ac:dyDescent="0.25">
      <c r="A12" s="124" t="s">
        <v>7916</v>
      </c>
      <c r="B12" s="125">
        <v>610</v>
      </c>
      <c r="C12" s="125">
        <v>461.08</v>
      </c>
      <c r="D12" s="125">
        <v>610</v>
      </c>
      <c r="E12" s="125">
        <v>610</v>
      </c>
      <c r="F12" s="123">
        <f t="shared" si="5"/>
        <v>148.92000000000002</v>
      </c>
      <c r="G12" s="123">
        <f t="shared" si="6"/>
        <v>0</v>
      </c>
      <c r="I12" s="211">
        <f t="shared" si="4"/>
        <v>0</v>
      </c>
    </row>
    <row r="13" spans="1:9" x14ac:dyDescent="0.25">
      <c r="A13" s="124" t="s">
        <v>7917</v>
      </c>
      <c r="B13" s="125">
        <v>10000</v>
      </c>
      <c r="C13" s="125">
        <v>9762.58</v>
      </c>
      <c r="D13" s="1">
        <v>20000</v>
      </c>
      <c r="E13" s="125">
        <v>30000</v>
      </c>
      <c r="F13" s="123">
        <f t="shared" si="5"/>
        <v>237.42000000000007</v>
      </c>
      <c r="G13" s="123">
        <f t="shared" si="6"/>
        <v>10000</v>
      </c>
      <c r="I13" s="211">
        <f t="shared" si="4"/>
        <v>1</v>
      </c>
    </row>
    <row r="14" spans="1:9" x14ac:dyDescent="0.25">
      <c r="A14" s="124" t="s">
        <v>7918</v>
      </c>
      <c r="B14" s="125">
        <v>3000</v>
      </c>
      <c r="C14" s="125">
        <v>824.04000000000008</v>
      </c>
      <c r="D14" s="125">
        <v>3000</v>
      </c>
      <c r="E14" s="125">
        <v>3000</v>
      </c>
      <c r="F14" s="123">
        <f t="shared" si="5"/>
        <v>2175.96</v>
      </c>
      <c r="G14" s="123">
        <f t="shared" si="6"/>
        <v>0</v>
      </c>
      <c r="I14" s="211">
        <f t="shared" si="4"/>
        <v>0</v>
      </c>
    </row>
    <row r="15" spans="1:9" x14ac:dyDescent="0.25">
      <c r="A15" s="124" t="s">
        <v>7919</v>
      </c>
      <c r="B15" s="125">
        <v>1000</v>
      </c>
      <c r="C15" s="125">
        <v>0</v>
      </c>
      <c r="D15" s="125">
        <v>1000</v>
      </c>
      <c r="E15" s="125">
        <v>1000</v>
      </c>
      <c r="F15" s="123">
        <f t="shared" si="5"/>
        <v>1000</v>
      </c>
      <c r="G15" s="123">
        <f t="shared" si="6"/>
        <v>0</v>
      </c>
      <c r="I15" s="211">
        <f t="shared" si="4"/>
        <v>0</v>
      </c>
    </row>
    <row r="16" spans="1:9" x14ac:dyDescent="0.25">
      <c r="A16" s="124" t="s">
        <v>7920</v>
      </c>
      <c r="B16" s="125">
        <v>956</v>
      </c>
      <c r="C16" s="125">
        <v>0</v>
      </c>
      <c r="D16" s="8">
        <v>956</v>
      </c>
      <c r="E16" s="8">
        <v>956</v>
      </c>
      <c r="F16" s="123">
        <f t="shared" si="5"/>
        <v>956</v>
      </c>
      <c r="G16" s="123">
        <f t="shared" si="6"/>
        <v>0</v>
      </c>
      <c r="I16" s="211">
        <f t="shared" si="4"/>
        <v>0</v>
      </c>
    </row>
    <row r="17" spans="1:9" x14ac:dyDescent="0.25">
      <c r="A17" s="124" t="s">
        <v>7921</v>
      </c>
      <c r="B17" s="125">
        <v>8000</v>
      </c>
      <c r="C17" s="125">
        <v>6977.9</v>
      </c>
      <c r="D17" s="8">
        <v>8000</v>
      </c>
      <c r="E17" s="8">
        <v>8000</v>
      </c>
      <c r="F17" s="123">
        <f t="shared" si="5"/>
        <v>1022.1000000000004</v>
      </c>
      <c r="G17" s="123">
        <f t="shared" si="6"/>
        <v>0</v>
      </c>
      <c r="I17" s="211">
        <f t="shared" si="4"/>
        <v>0</v>
      </c>
    </row>
    <row r="18" spans="1:9" x14ac:dyDescent="0.25">
      <c r="A18" s="124" t="s">
        <v>7922</v>
      </c>
      <c r="B18" s="125">
        <v>2000</v>
      </c>
      <c r="C18" s="125">
        <v>124.53</v>
      </c>
      <c r="D18" s="8">
        <v>2000</v>
      </c>
      <c r="E18" s="8">
        <v>2000</v>
      </c>
      <c r="F18" s="123">
        <f t="shared" si="5"/>
        <v>1875.47</v>
      </c>
      <c r="G18" s="123">
        <f t="shared" si="6"/>
        <v>0</v>
      </c>
      <c r="I18" s="211">
        <f t="shared" si="4"/>
        <v>0</v>
      </c>
    </row>
    <row r="19" spans="1:9" x14ac:dyDescent="0.25">
      <c r="A19" s="124" t="s">
        <v>7923</v>
      </c>
      <c r="B19" s="125">
        <v>5000</v>
      </c>
      <c r="C19" s="125">
        <v>3404.27</v>
      </c>
      <c r="D19" s="8">
        <v>5000</v>
      </c>
      <c r="E19" s="8">
        <v>5000</v>
      </c>
      <c r="F19" s="123">
        <f t="shared" si="5"/>
        <v>1595.73</v>
      </c>
      <c r="G19" s="123">
        <f t="shared" si="6"/>
        <v>0</v>
      </c>
      <c r="I19" s="211">
        <f t="shared" si="4"/>
        <v>0</v>
      </c>
    </row>
    <row r="20" spans="1:9" x14ac:dyDescent="0.25">
      <c r="A20" s="124" t="s">
        <v>7924</v>
      </c>
      <c r="B20" s="125">
        <v>74190</v>
      </c>
      <c r="C20" s="125">
        <v>46583.649999999994</v>
      </c>
      <c r="D20" s="8">
        <v>84190</v>
      </c>
      <c r="E20" s="8">
        <v>84190</v>
      </c>
      <c r="F20" s="123">
        <f t="shared" si="5"/>
        <v>27606.350000000006</v>
      </c>
      <c r="G20" s="123">
        <f t="shared" si="6"/>
        <v>10000</v>
      </c>
      <c r="I20" s="211">
        <f t="shared" si="4"/>
        <v>0.13478905512872355</v>
      </c>
    </row>
    <row r="21" spans="1:9" x14ac:dyDescent="0.25">
      <c r="A21" s="124" t="s">
        <v>7925</v>
      </c>
      <c r="B21" s="125">
        <v>2500</v>
      </c>
      <c r="C21" s="125">
        <v>1527.98</v>
      </c>
      <c r="D21" s="125">
        <v>12500</v>
      </c>
      <c r="E21" s="125">
        <v>12500</v>
      </c>
      <c r="F21" s="123">
        <f t="shared" si="5"/>
        <v>972.02</v>
      </c>
      <c r="G21" s="123">
        <f t="shared" si="6"/>
        <v>10000</v>
      </c>
      <c r="I21" s="211">
        <f t="shared" si="4"/>
        <v>4</v>
      </c>
    </row>
    <row r="22" spans="1:9" x14ac:dyDescent="0.25">
      <c r="A22" s="124" t="s">
        <v>7926</v>
      </c>
      <c r="B22" s="125">
        <v>28000</v>
      </c>
      <c r="C22" s="125">
        <v>29075.22</v>
      </c>
      <c r="D22" s="125">
        <v>38000</v>
      </c>
      <c r="E22" s="125">
        <v>38000</v>
      </c>
      <c r="F22" s="123">
        <f t="shared" si="5"/>
        <v>-1075.2200000000012</v>
      </c>
      <c r="G22" s="123">
        <f t="shared" si="6"/>
        <v>10000</v>
      </c>
      <c r="I22" s="211">
        <f t="shared" si="4"/>
        <v>0.35714285714285715</v>
      </c>
    </row>
    <row r="23" spans="1:9" x14ac:dyDescent="0.25">
      <c r="A23" s="124" t="s">
        <v>7927</v>
      </c>
      <c r="B23" s="125">
        <v>500</v>
      </c>
      <c r="C23" s="125">
        <v>0</v>
      </c>
      <c r="D23" s="125">
        <v>500</v>
      </c>
      <c r="E23" s="125">
        <v>500</v>
      </c>
      <c r="F23" s="123">
        <f t="shared" si="5"/>
        <v>500</v>
      </c>
      <c r="G23" s="123">
        <f t="shared" si="6"/>
        <v>0</v>
      </c>
      <c r="I23" s="211">
        <f t="shared" si="4"/>
        <v>0</v>
      </c>
    </row>
    <row r="24" spans="1:9" x14ac:dyDescent="0.25">
      <c r="A24" s="124" t="s">
        <v>7928</v>
      </c>
      <c r="B24" s="125">
        <v>22000</v>
      </c>
      <c r="C24" s="125">
        <v>0</v>
      </c>
      <c r="F24" s="123">
        <f t="shared" si="5"/>
        <v>22000</v>
      </c>
      <c r="G24" s="123">
        <f t="shared" si="6"/>
        <v>-22000</v>
      </c>
      <c r="H24" t="s">
        <v>9957</v>
      </c>
      <c r="I24" s="211">
        <f t="shared" si="4"/>
        <v>-1</v>
      </c>
    </row>
    <row r="25" spans="1:9" x14ac:dyDescent="0.25">
      <c r="A25" s="124" t="s">
        <v>7929</v>
      </c>
      <c r="B25" s="125">
        <v>39400</v>
      </c>
      <c r="C25" s="125">
        <v>80.12</v>
      </c>
      <c r="D25" s="125">
        <v>39400</v>
      </c>
      <c r="E25" s="125">
        <v>39400</v>
      </c>
      <c r="F25" s="123">
        <f t="shared" si="5"/>
        <v>39319.879999999997</v>
      </c>
      <c r="G25" s="123">
        <f t="shared" si="6"/>
        <v>0</v>
      </c>
      <c r="I25" s="211">
        <f t="shared" si="4"/>
        <v>0</v>
      </c>
    </row>
    <row r="26" spans="1:9" x14ac:dyDescent="0.25">
      <c r="A26" s="124" t="s">
        <v>7930</v>
      </c>
      <c r="B26" s="125">
        <v>403</v>
      </c>
      <c r="C26" s="125">
        <v>60.08</v>
      </c>
      <c r="D26" s="125">
        <v>10000</v>
      </c>
      <c r="E26" s="125">
        <v>10000</v>
      </c>
      <c r="F26" s="123">
        <f t="shared" si="5"/>
        <v>342.92</v>
      </c>
      <c r="G26" s="123">
        <f t="shared" si="6"/>
        <v>9597</v>
      </c>
      <c r="I26" s="211">
        <f t="shared" si="4"/>
        <v>23.813895781637719</v>
      </c>
    </row>
    <row r="27" spans="1:9" x14ac:dyDescent="0.25">
      <c r="A27" s="124" t="s">
        <v>7931</v>
      </c>
      <c r="B27" s="125">
        <v>3204</v>
      </c>
      <c r="C27" s="125">
        <v>100.65</v>
      </c>
      <c r="D27" s="125">
        <v>3204</v>
      </c>
      <c r="E27" s="125">
        <v>3204</v>
      </c>
      <c r="F27" s="123">
        <f t="shared" si="5"/>
        <v>3103.35</v>
      </c>
      <c r="G27" s="123">
        <f t="shared" si="6"/>
        <v>0</v>
      </c>
      <c r="I27" s="211">
        <f t="shared" si="4"/>
        <v>0</v>
      </c>
    </row>
    <row r="28" spans="1:9" x14ac:dyDescent="0.25">
      <c r="A28" s="124" t="s">
        <v>7932</v>
      </c>
      <c r="B28" s="125">
        <v>282</v>
      </c>
      <c r="C28" s="125">
        <v>0</v>
      </c>
      <c r="D28" s="125">
        <v>282</v>
      </c>
      <c r="E28" s="125">
        <v>282</v>
      </c>
      <c r="F28" s="123">
        <f t="shared" si="5"/>
        <v>282</v>
      </c>
      <c r="G28" s="123">
        <f t="shared" si="6"/>
        <v>0</v>
      </c>
      <c r="I28" s="211">
        <f t="shared" si="4"/>
        <v>0</v>
      </c>
    </row>
    <row r="29" spans="1:9" x14ac:dyDescent="0.25">
      <c r="A29" s="124" t="s">
        <v>7933</v>
      </c>
      <c r="B29" s="125">
        <v>1775</v>
      </c>
      <c r="C29" s="125">
        <v>-1.49</v>
      </c>
      <c r="D29" s="125">
        <v>3975</v>
      </c>
      <c r="E29" s="125">
        <v>3975</v>
      </c>
      <c r="F29" s="123">
        <f t="shared" si="5"/>
        <v>1776.49</v>
      </c>
      <c r="G29" s="123">
        <f t="shared" si="6"/>
        <v>2200</v>
      </c>
      <c r="I29" s="211">
        <f t="shared" si="4"/>
        <v>1.2394366197183098</v>
      </c>
    </row>
    <row r="30" spans="1:9" x14ac:dyDescent="0.25">
      <c r="A30" s="124" t="s">
        <v>7934</v>
      </c>
      <c r="B30" s="125">
        <v>880</v>
      </c>
      <c r="C30" s="125">
        <v>1738.5900000000001</v>
      </c>
      <c r="D30" s="125">
        <v>3000</v>
      </c>
      <c r="E30" s="125">
        <v>3000</v>
      </c>
      <c r="F30" s="123">
        <f t="shared" si="5"/>
        <v>-858.59000000000015</v>
      </c>
      <c r="G30" s="123">
        <f t="shared" si="6"/>
        <v>2120</v>
      </c>
      <c r="I30" s="211">
        <f t="shared" si="4"/>
        <v>2.4090909090909092</v>
      </c>
    </row>
    <row r="31" spans="1:9" x14ac:dyDescent="0.25">
      <c r="A31" s="124" t="s">
        <v>7935</v>
      </c>
      <c r="B31" s="125">
        <v>684</v>
      </c>
      <c r="C31" s="125">
        <v>0</v>
      </c>
      <c r="D31" s="125">
        <v>2500</v>
      </c>
      <c r="E31" s="125">
        <v>2500</v>
      </c>
      <c r="F31" s="123">
        <f t="shared" si="5"/>
        <v>684</v>
      </c>
      <c r="G31" s="123">
        <f t="shared" si="6"/>
        <v>1816</v>
      </c>
      <c r="I31" s="211">
        <f t="shared" si="4"/>
        <v>2.6549707602339181</v>
      </c>
    </row>
    <row r="32" spans="1:9" x14ac:dyDescent="0.25">
      <c r="A32" s="124" t="s">
        <v>7936</v>
      </c>
      <c r="B32" s="125">
        <v>1300</v>
      </c>
      <c r="C32" s="125">
        <v>0</v>
      </c>
      <c r="D32" s="125">
        <v>1300</v>
      </c>
      <c r="E32" s="125">
        <v>1300</v>
      </c>
      <c r="F32" s="123">
        <f t="shared" si="5"/>
        <v>1300</v>
      </c>
      <c r="G32" s="123">
        <f t="shared" si="6"/>
        <v>0</v>
      </c>
      <c r="I32" s="211">
        <f t="shared" si="4"/>
        <v>0</v>
      </c>
    </row>
    <row r="33" spans="1:9" x14ac:dyDescent="0.25">
      <c r="A33" s="124" t="s">
        <v>7937</v>
      </c>
      <c r="B33" s="125">
        <v>112967.77</v>
      </c>
      <c r="C33" s="125">
        <v>59549.21</v>
      </c>
      <c r="D33" s="125">
        <v>112967.77</v>
      </c>
      <c r="E33" s="125">
        <v>112967.77</v>
      </c>
      <c r="F33" s="123">
        <f t="shared" si="5"/>
        <v>53418.560000000005</v>
      </c>
      <c r="G33" s="123">
        <f t="shared" si="6"/>
        <v>0</v>
      </c>
      <c r="I33" s="211">
        <f t="shared" si="4"/>
        <v>0</v>
      </c>
    </row>
    <row r="34" spans="1:9" x14ac:dyDescent="0.25">
      <c r="A34" s="124" t="s">
        <v>7938</v>
      </c>
      <c r="B34" s="125">
        <v>34660</v>
      </c>
      <c r="C34" s="125">
        <v>18474.169999999998</v>
      </c>
      <c r="D34" s="125">
        <v>41592</v>
      </c>
      <c r="E34" s="125">
        <v>41592</v>
      </c>
      <c r="F34" s="123">
        <f t="shared" si="5"/>
        <v>16185.830000000002</v>
      </c>
      <c r="G34" s="123">
        <f t="shared" si="6"/>
        <v>6932</v>
      </c>
      <c r="I34" s="211">
        <f t="shared" si="4"/>
        <v>0.2</v>
      </c>
    </row>
    <row r="35" spans="1:9" x14ac:dyDescent="0.25">
      <c r="A35" s="124" t="s">
        <v>7939</v>
      </c>
      <c r="B35" s="125">
        <v>470</v>
      </c>
      <c r="C35" s="125">
        <v>0</v>
      </c>
      <c r="D35" s="125">
        <v>564</v>
      </c>
      <c r="E35" s="125">
        <v>564</v>
      </c>
      <c r="F35" s="123">
        <f t="shared" si="5"/>
        <v>470</v>
      </c>
      <c r="G35" s="123">
        <f t="shared" si="6"/>
        <v>94</v>
      </c>
      <c r="I35" s="211">
        <f t="shared" si="4"/>
        <v>0.2</v>
      </c>
    </row>
    <row r="36" spans="1:9" x14ac:dyDescent="0.25">
      <c r="A36" s="124" t="s">
        <v>7940</v>
      </c>
      <c r="B36" s="125">
        <v>1674</v>
      </c>
      <c r="C36" s="125">
        <v>1072.99</v>
      </c>
      <c r="D36" s="125">
        <v>2008.8</v>
      </c>
      <c r="E36" s="125">
        <v>2008.8</v>
      </c>
      <c r="F36" s="123">
        <f t="shared" si="5"/>
        <v>601.01</v>
      </c>
      <c r="G36" s="123">
        <f t="shared" si="6"/>
        <v>334.79999999999995</v>
      </c>
      <c r="I36" s="211">
        <f t="shared" si="4"/>
        <v>0.19999999999999998</v>
      </c>
    </row>
    <row r="37" spans="1:9" x14ac:dyDescent="0.25">
      <c r="A37" s="124" t="s">
        <v>7941</v>
      </c>
      <c r="B37" s="125">
        <v>930</v>
      </c>
      <c r="C37" s="125">
        <v>0</v>
      </c>
      <c r="D37" s="125">
        <v>1116</v>
      </c>
      <c r="E37" s="125">
        <v>1116</v>
      </c>
      <c r="F37" s="123">
        <f t="shared" si="5"/>
        <v>930</v>
      </c>
      <c r="G37" s="123">
        <f t="shared" si="6"/>
        <v>186</v>
      </c>
      <c r="I37" s="211">
        <f t="shared" si="4"/>
        <v>0.2</v>
      </c>
    </row>
    <row r="38" spans="1:9" x14ac:dyDescent="0.25">
      <c r="A38" s="124" t="s">
        <v>7942</v>
      </c>
      <c r="B38" s="125">
        <v>1750</v>
      </c>
      <c r="C38" s="125">
        <v>1666.06</v>
      </c>
      <c r="D38" s="125">
        <v>2100</v>
      </c>
      <c r="E38" s="125">
        <v>2100</v>
      </c>
      <c r="F38" s="123">
        <f t="shared" si="5"/>
        <v>83.940000000000055</v>
      </c>
      <c r="G38" s="123">
        <f t="shared" si="6"/>
        <v>350</v>
      </c>
      <c r="I38" s="211">
        <f t="shared" si="4"/>
        <v>0.2</v>
      </c>
    </row>
    <row r="39" spans="1:9" x14ac:dyDescent="0.25">
      <c r="A39" s="124" t="s">
        <v>7943</v>
      </c>
      <c r="B39" s="125">
        <v>10500</v>
      </c>
      <c r="C39" s="125">
        <v>9957.26</v>
      </c>
      <c r="D39" s="125">
        <v>12600</v>
      </c>
      <c r="E39" s="125">
        <v>12600</v>
      </c>
      <c r="F39" s="123">
        <f t="shared" si="5"/>
        <v>542.73999999999978</v>
      </c>
      <c r="G39" s="123">
        <f t="shared" si="6"/>
        <v>2100</v>
      </c>
      <c r="I39" s="211">
        <f t="shared" si="4"/>
        <v>0.2</v>
      </c>
    </row>
    <row r="40" spans="1:9" x14ac:dyDescent="0.25">
      <c r="A40" s="124" t="s">
        <v>7944</v>
      </c>
      <c r="B40" s="125">
        <v>930</v>
      </c>
      <c r="C40" s="125">
        <v>1204.45</v>
      </c>
      <c r="D40" s="125">
        <v>1116</v>
      </c>
      <c r="E40" s="125">
        <v>1116</v>
      </c>
      <c r="F40" s="123">
        <f t="shared" si="5"/>
        <v>-274.45000000000005</v>
      </c>
      <c r="G40" s="123">
        <f t="shared" si="6"/>
        <v>186</v>
      </c>
      <c r="I40" s="211">
        <f t="shared" si="4"/>
        <v>0.2</v>
      </c>
    </row>
    <row r="41" spans="1:9" x14ac:dyDescent="0.25">
      <c r="A41" s="124" t="s">
        <v>7945</v>
      </c>
      <c r="B41" s="125">
        <v>1000</v>
      </c>
      <c r="C41" s="125">
        <v>537.79</v>
      </c>
      <c r="D41" s="125">
        <v>1200</v>
      </c>
      <c r="E41" s="125">
        <v>1200</v>
      </c>
      <c r="F41" s="123">
        <f t="shared" si="5"/>
        <v>462.21000000000004</v>
      </c>
      <c r="G41" s="123">
        <f t="shared" si="6"/>
        <v>200</v>
      </c>
      <c r="I41" s="211">
        <f t="shared" si="4"/>
        <v>0.2</v>
      </c>
    </row>
    <row r="42" spans="1:9" x14ac:dyDescent="0.25">
      <c r="A42" s="124" t="s">
        <v>7946</v>
      </c>
      <c r="B42" s="125">
        <v>744</v>
      </c>
      <c r="C42" s="125">
        <v>0</v>
      </c>
      <c r="D42" s="125">
        <v>892.8</v>
      </c>
      <c r="E42" s="125">
        <v>892.8</v>
      </c>
      <c r="F42" s="123">
        <f t="shared" si="5"/>
        <v>744</v>
      </c>
      <c r="G42" s="123">
        <f t="shared" si="6"/>
        <v>148.79999999999995</v>
      </c>
      <c r="I42" s="211">
        <f t="shared" si="4"/>
        <v>0.19999999999999993</v>
      </c>
    </row>
    <row r="43" spans="1:9" x14ac:dyDescent="0.25">
      <c r="A43" s="124" t="s">
        <v>7947</v>
      </c>
      <c r="B43" s="125">
        <v>2100</v>
      </c>
      <c r="C43" s="125">
        <v>2007.4499999999998</v>
      </c>
      <c r="D43" s="125">
        <v>5000</v>
      </c>
      <c r="E43" s="125">
        <v>5000</v>
      </c>
      <c r="F43" s="123">
        <f t="shared" si="5"/>
        <v>92.550000000000182</v>
      </c>
      <c r="G43" s="123">
        <f t="shared" si="6"/>
        <v>2900</v>
      </c>
      <c r="I43" s="211">
        <f t="shared" si="4"/>
        <v>1.3809523809523809</v>
      </c>
    </row>
    <row r="44" spans="1:9" x14ac:dyDescent="0.25">
      <c r="A44" s="124" t="s">
        <v>7948</v>
      </c>
      <c r="B44" s="125">
        <v>2600</v>
      </c>
      <c r="C44" s="125">
        <v>2599.92</v>
      </c>
      <c r="D44" s="125">
        <v>3000</v>
      </c>
      <c r="E44" s="125">
        <v>3000</v>
      </c>
      <c r="F44" s="123">
        <f t="shared" si="5"/>
        <v>7.999999999992724E-2</v>
      </c>
      <c r="G44" s="123">
        <f t="shared" si="6"/>
        <v>400</v>
      </c>
      <c r="I44" s="211">
        <f t="shared" si="4"/>
        <v>0.15384615384615385</v>
      </c>
    </row>
    <row r="45" spans="1:9" x14ac:dyDescent="0.25">
      <c r="A45" s="124" t="s">
        <v>7949</v>
      </c>
      <c r="B45" s="125">
        <v>3000</v>
      </c>
      <c r="C45" s="125">
        <v>2715.03</v>
      </c>
      <c r="D45" s="125">
        <v>4000</v>
      </c>
      <c r="E45" s="125">
        <v>4000</v>
      </c>
      <c r="F45" s="123">
        <f t="shared" si="5"/>
        <v>284.9699999999998</v>
      </c>
      <c r="G45" s="123">
        <f t="shared" si="6"/>
        <v>1000</v>
      </c>
      <c r="I45" s="211">
        <f t="shared" si="4"/>
        <v>0.33333333333333331</v>
      </c>
    </row>
    <row r="46" spans="1:9" x14ac:dyDescent="0.25">
      <c r="A46" s="124" t="s">
        <v>7950</v>
      </c>
      <c r="B46" s="125">
        <v>2000</v>
      </c>
      <c r="C46" s="125">
        <v>465.17</v>
      </c>
      <c r="D46" s="125">
        <v>2000</v>
      </c>
      <c r="E46" s="125">
        <v>2000</v>
      </c>
      <c r="F46" s="123">
        <f t="shared" si="5"/>
        <v>1534.83</v>
      </c>
      <c r="G46" s="123">
        <f t="shared" si="6"/>
        <v>0</v>
      </c>
      <c r="I46" s="211">
        <f t="shared" si="4"/>
        <v>0</v>
      </c>
    </row>
    <row r="47" spans="1:9" x14ac:dyDescent="0.25">
      <c r="A47" s="124" t="s">
        <v>7951</v>
      </c>
      <c r="B47" s="125">
        <v>0</v>
      </c>
      <c r="C47" s="125">
        <v>0</v>
      </c>
      <c r="D47" s="125">
        <v>46500</v>
      </c>
      <c r="E47" s="125">
        <v>46500</v>
      </c>
      <c r="F47" s="123">
        <f t="shared" si="5"/>
        <v>0</v>
      </c>
      <c r="G47" s="123">
        <f t="shared" si="6"/>
        <v>46500</v>
      </c>
      <c r="I47" s="211" t="e">
        <f t="shared" si="4"/>
        <v>#DIV/0!</v>
      </c>
    </row>
    <row r="48" spans="1:9" x14ac:dyDescent="0.25">
      <c r="A48" s="124" t="s">
        <v>7952</v>
      </c>
      <c r="B48" s="125">
        <v>250</v>
      </c>
      <c r="C48" s="125">
        <v>120.51</v>
      </c>
      <c r="D48" s="125">
        <v>535</v>
      </c>
      <c r="E48" s="125">
        <v>535</v>
      </c>
      <c r="F48" s="123">
        <f t="shared" si="5"/>
        <v>129.49</v>
      </c>
      <c r="G48" s="123">
        <f t="shared" si="6"/>
        <v>285</v>
      </c>
      <c r="I48" s="211">
        <f t="shared" si="4"/>
        <v>1.1399999999999999</v>
      </c>
    </row>
    <row r="49" spans="1:9" x14ac:dyDescent="0.25">
      <c r="A49" s="124" t="s">
        <v>7953</v>
      </c>
      <c r="B49" s="125">
        <v>1000</v>
      </c>
      <c r="C49" s="125">
        <v>0.01</v>
      </c>
      <c r="D49" s="125">
        <v>5350</v>
      </c>
      <c r="E49" s="125">
        <v>5350</v>
      </c>
      <c r="F49" s="123">
        <f t="shared" si="5"/>
        <v>999.99</v>
      </c>
      <c r="G49" s="123">
        <f t="shared" si="6"/>
        <v>4350</v>
      </c>
      <c r="I49" s="211">
        <f t="shared" si="4"/>
        <v>4.3499999999999996</v>
      </c>
    </row>
    <row r="50" spans="1:9" x14ac:dyDescent="0.25">
      <c r="A50" s="124" t="s">
        <v>7954</v>
      </c>
      <c r="B50" s="125">
        <v>1660</v>
      </c>
      <c r="C50" s="125">
        <v>1575.14</v>
      </c>
      <c r="D50" s="125">
        <v>8560</v>
      </c>
      <c r="E50" s="125">
        <v>8560</v>
      </c>
      <c r="F50" s="123">
        <f t="shared" si="5"/>
        <v>84.8599999999999</v>
      </c>
      <c r="G50" s="123">
        <f t="shared" si="6"/>
        <v>6900</v>
      </c>
      <c r="I50" s="211">
        <f t="shared" si="4"/>
        <v>4.1566265060240966</v>
      </c>
    </row>
    <row r="51" spans="1:9" x14ac:dyDescent="0.25">
      <c r="A51" s="124" t="s">
        <v>7955</v>
      </c>
      <c r="B51" s="125">
        <v>1500</v>
      </c>
      <c r="C51" s="125">
        <v>-492.54999999999995</v>
      </c>
      <c r="D51" s="125">
        <v>10165</v>
      </c>
      <c r="E51" s="125">
        <v>10165</v>
      </c>
      <c r="F51" s="123">
        <f t="shared" si="5"/>
        <v>1992.55</v>
      </c>
      <c r="G51" s="123">
        <f t="shared" si="6"/>
        <v>8665</v>
      </c>
      <c r="I51" s="211">
        <f t="shared" si="4"/>
        <v>5.7766666666666664</v>
      </c>
    </row>
    <row r="52" spans="1:9" x14ac:dyDescent="0.25">
      <c r="A52" s="124" t="s">
        <v>7956</v>
      </c>
      <c r="B52" s="125">
        <v>4500</v>
      </c>
      <c r="C52" s="125">
        <v>2956.28</v>
      </c>
      <c r="D52" s="125">
        <v>9630</v>
      </c>
      <c r="E52" s="125">
        <v>9630</v>
      </c>
      <c r="F52" s="123">
        <f t="shared" si="5"/>
        <v>1543.7199999999998</v>
      </c>
      <c r="G52" s="123">
        <f t="shared" si="6"/>
        <v>5130</v>
      </c>
      <c r="I52" s="211">
        <f t="shared" si="4"/>
        <v>1.1399999999999999</v>
      </c>
    </row>
    <row r="53" spans="1:9" x14ac:dyDescent="0.25">
      <c r="A53" s="124" t="s">
        <v>7957</v>
      </c>
      <c r="B53" s="125">
        <v>3000</v>
      </c>
      <c r="C53" s="125">
        <v>0</v>
      </c>
      <c r="D53" s="125">
        <v>3000</v>
      </c>
      <c r="E53" s="125">
        <v>3000</v>
      </c>
      <c r="F53" s="123">
        <f t="shared" si="5"/>
        <v>3000</v>
      </c>
      <c r="G53" s="123">
        <f t="shared" si="6"/>
        <v>0</v>
      </c>
      <c r="I53" s="211">
        <f t="shared" si="4"/>
        <v>0</v>
      </c>
    </row>
    <row r="54" spans="1:9" x14ac:dyDescent="0.25">
      <c r="A54" s="124" t="s">
        <v>7958</v>
      </c>
      <c r="B54" s="125">
        <v>107</v>
      </c>
      <c r="C54" s="125">
        <v>0</v>
      </c>
      <c r="D54" s="125">
        <v>107</v>
      </c>
      <c r="E54" s="125">
        <v>107</v>
      </c>
      <c r="F54" s="123">
        <f t="shared" si="5"/>
        <v>107</v>
      </c>
      <c r="G54" s="123">
        <f t="shared" si="6"/>
        <v>0</v>
      </c>
      <c r="I54" s="211">
        <f t="shared" si="4"/>
        <v>0</v>
      </c>
    </row>
    <row r="55" spans="1:9" x14ac:dyDescent="0.25">
      <c r="A55" s="124" t="s">
        <v>7959</v>
      </c>
      <c r="B55" s="125">
        <v>13735</v>
      </c>
      <c r="C55" s="125">
        <v>273.3</v>
      </c>
      <c r="D55" s="125">
        <v>33170</v>
      </c>
      <c r="E55" s="125">
        <v>33170</v>
      </c>
      <c r="F55" s="123">
        <f t="shared" si="5"/>
        <v>13461.7</v>
      </c>
      <c r="G55" s="123">
        <f t="shared" si="6"/>
        <v>19435</v>
      </c>
      <c r="I55" s="211">
        <f t="shared" si="4"/>
        <v>1.4149981798325446</v>
      </c>
    </row>
    <row r="56" spans="1:9" x14ac:dyDescent="0.25">
      <c r="A56" s="124" t="s">
        <v>7960</v>
      </c>
      <c r="B56" s="125">
        <v>3300</v>
      </c>
      <c r="C56" s="125">
        <v>68.150000000000006</v>
      </c>
      <c r="D56" s="125">
        <v>3300</v>
      </c>
      <c r="E56" s="125">
        <v>3300</v>
      </c>
      <c r="F56" s="123">
        <f t="shared" si="5"/>
        <v>3231.85</v>
      </c>
      <c r="G56" s="123">
        <f t="shared" si="6"/>
        <v>0</v>
      </c>
      <c r="I56" s="211">
        <f t="shared" si="4"/>
        <v>0</v>
      </c>
    </row>
    <row r="57" spans="1:9" x14ac:dyDescent="0.25">
      <c r="A57" s="124" t="s">
        <v>7961</v>
      </c>
      <c r="B57" s="125">
        <v>505</v>
      </c>
      <c r="C57" s="125">
        <v>-14</v>
      </c>
      <c r="D57" s="125">
        <v>505</v>
      </c>
      <c r="E57" s="125">
        <v>505</v>
      </c>
      <c r="F57" s="123">
        <f t="shared" si="5"/>
        <v>519</v>
      </c>
      <c r="G57" s="123">
        <f t="shared" si="6"/>
        <v>0</v>
      </c>
      <c r="I57" s="211">
        <f t="shared" si="4"/>
        <v>0</v>
      </c>
    </row>
    <row r="58" spans="1:9" x14ac:dyDescent="0.25">
      <c r="A58" s="124" t="s">
        <v>7962</v>
      </c>
      <c r="B58" s="125">
        <v>705</v>
      </c>
      <c r="C58" s="125">
        <v>0</v>
      </c>
      <c r="D58" s="125">
        <v>705</v>
      </c>
      <c r="E58" s="125">
        <v>705</v>
      </c>
      <c r="F58" s="123">
        <f t="shared" si="5"/>
        <v>705</v>
      </c>
      <c r="G58" s="123">
        <f t="shared" si="6"/>
        <v>0</v>
      </c>
      <c r="I58" s="211">
        <f t="shared" si="4"/>
        <v>0</v>
      </c>
    </row>
    <row r="59" spans="1:9" x14ac:dyDescent="0.25">
      <c r="A59" s="124" t="s">
        <v>7963</v>
      </c>
      <c r="B59" s="125">
        <v>500</v>
      </c>
      <c r="C59" s="125">
        <v>0</v>
      </c>
      <c r="D59" s="125">
        <v>500</v>
      </c>
      <c r="E59" s="125">
        <v>500</v>
      </c>
      <c r="F59" s="123">
        <f t="shared" si="5"/>
        <v>500</v>
      </c>
      <c r="G59" s="123">
        <f t="shared" si="6"/>
        <v>0</v>
      </c>
      <c r="I59" s="211">
        <f t="shared" si="4"/>
        <v>0</v>
      </c>
    </row>
    <row r="60" spans="1:9" x14ac:dyDescent="0.25">
      <c r="A60" s="124" t="s">
        <v>7964</v>
      </c>
      <c r="B60" s="125">
        <v>4551</v>
      </c>
      <c r="C60" s="125">
        <v>542.21</v>
      </c>
      <c r="D60" s="125">
        <v>4551</v>
      </c>
      <c r="E60" s="125">
        <v>4551</v>
      </c>
      <c r="F60" s="123">
        <f t="shared" si="5"/>
        <v>4008.79</v>
      </c>
      <c r="G60" s="123">
        <f t="shared" si="6"/>
        <v>0</v>
      </c>
      <c r="I60" s="211">
        <f t="shared" si="4"/>
        <v>0</v>
      </c>
    </row>
    <row r="61" spans="1:9" x14ac:dyDescent="0.25">
      <c r="A61" s="124" t="s">
        <v>7965</v>
      </c>
      <c r="B61" s="125">
        <v>4615</v>
      </c>
      <c r="C61" s="125">
        <v>0</v>
      </c>
      <c r="D61" s="125">
        <v>4615</v>
      </c>
      <c r="E61" s="125">
        <v>4615</v>
      </c>
      <c r="F61" s="123">
        <f t="shared" si="5"/>
        <v>4615</v>
      </c>
      <c r="G61" s="123">
        <f t="shared" si="6"/>
        <v>0</v>
      </c>
      <c r="I61" s="211">
        <f t="shared" si="4"/>
        <v>0</v>
      </c>
    </row>
    <row r="62" spans="1:9" x14ac:dyDescent="0.25">
      <c r="A62" s="124" t="s">
        <v>7966</v>
      </c>
      <c r="B62" s="125">
        <v>2500</v>
      </c>
      <c r="C62" s="125">
        <v>18.48</v>
      </c>
      <c r="D62" s="125">
        <v>2575</v>
      </c>
      <c r="E62" s="125">
        <v>2575</v>
      </c>
      <c r="F62" s="123">
        <f t="shared" si="5"/>
        <v>2481.52</v>
      </c>
      <c r="G62" s="123">
        <f t="shared" si="6"/>
        <v>75</v>
      </c>
      <c r="I62" s="211">
        <f t="shared" si="4"/>
        <v>0.03</v>
      </c>
    </row>
    <row r="63" spans="1:9" x14ac:dyDescent="0.25">
      <c r="A63" s="124" t="s">
        <v>7967</v>
      </c>
      <c r="B63" s="125">
        <v>3000</v>
      </c>
      <c r="C63" s="125">
        <v>2509.27</v>
      </c>
      <c r="D63" s="125">
        <v>5295.4299999999994</v>
      </c>
      <c r="E63" s="125">
        <v>5295.4299999999994</v>
      </c>
      <c r="F63" s="123">
        <f t="shared" si="5"/>
        <v>490.73</v>
      </c>
      <c r="G63" s="123">
        <f t="shared" si="6"/>
        <v>2295.4299999999994</v>
      </c>
      <c r="I63" s="211">
        <f t="shared" si="4"/>
        <v>0.76514333333333318</v>
      </c>
    </row>
    <row r="64" spans="1:9" x14ac:dyDescent="0.25">
      <c r="A64" s="124" t="s">
        <v>7968</v>
      </c>
      <c r="B64" s="125">
        <v>3150</v>
      </c>
      <c r="C64" s="125">
        <v>2387.29</v>
      </c>
      <c r="D64" s="125">
        <v>15650</v>
      </c>
      <c r="E64" s="125">
        <v>15650</v>
      </c>
      <c r="F64" s="123">
        <f t="shared" si="5"/>
        <v>762.71</v>
      </c>
      <c r="G64" s="123">
        <f t="shared" si="6"/>
        <v>12500</v>
      </c>
      <c r="I64" s="211">
        <f t="shared" si="4"/>
        <v>3.9682539682539684</v>
      </c>
    </row>
    <row r="65" spans="1:9" x14ac:dyDescent="0.25">
      <c r="A65" s="124" t="s">
        <v>7969</v>
      </c>
      <c r="B65" s="125">
        <v>303</v>
      </c>
      <c r="C65" s="125">
        <v>0</v>
      </c>
      <c r="D65" s="125">
        <v>303</v>
      </c>
      <c r="E65" s="125">
        <v>303</v>
      </c>
      <c r="F65" s="123">
        <f t="shared" si="5"/>
        <v>303</v>
      </c>
      <c r="G65" s="123">
        <f t="shared" si="6"/>
        <v>0</v>
      </c>
      <c r="I65" s="211">
        <f t="shared" si="4"/>
        <v>0</v>
      </c>
    </row>
    <row r="66" spans="1:9" x14ac:dyDescent="0.25">
      <c r="A66" s="124" t="s">
        <v>7970</v>
      </c>
      <c r="B66" s="125">
        <v>910</v>
      </c>
      <c r="C66" s="125">
        <v>0</v>
      </c>
      <c r="D66" s="125">
        <v>910</v>
      </c>
      <c r="E66" s="125">
        <v>910</v>
      </c>
      <c r="F66" s="123">
        <f t="shared" si="5"/>
        <v>910</v>
      </c>
      <c r="G66" s="123">
        <f t="shared" si="6"/>
        <v>0</v>
      </c>
      <c r="I66" s="211">
        <f t="shared" si="4"/>
        <v>0</v>
      </c>
    </row>
    <row r="67" spans="1:9" x14ac:dyDescent="0.25">
      <c r="A67" s="124" t="s">
        <v>7971</v>
      </c>
      <c r="B67" s="125">
        <v>303</v>
      </c>
      <c r="C67" s="125">
        <v>0</v>
      </c>
      <c r="D67" s="125">
        <v>303</v>
      </c>
      <c r="E67" s="125">
        <v>303</v>
      </c>
      <c r="F67" s="123">
        <f t="shared" si="5"/>
        <v>303</v>
      </c>
      <c r="G67" s="123">
        <f t="shared" si="6"/>
        <v>0</v>
      </c>
      <c r="I67" s="211">
        <f t="shared" ref="I67:I130" si="9">+G67/B67</f>
        <v>0</v>
      </c>
    </row>
    <row r="68" spans="1:9" x14ac:dyDescent="0.25">
      <c r="A68" s="124" t="s">
        <v>7972</v>
      </c>
      <c r="B68" s="125">
        <v>600</v>
      </c>
      <c r="C68" s="125">
        <v>0</v>
      </c>
      <c r="D68" s="125">
        <v>600</v>
      </c>
      <c r="E68" s="125">
        <v>600</v>
      </c>
      <c r="F68" s="123">
        <f t="shared" ref="F68:F131" si="10">+B68-C68</f>
        <v>600</v>
      </c>
      <c r="G68" s="123">
        <f t="shared" ref="G68:G131" si="11">+D68-B68</f>
        <v>0</v>
      </c>
      <c r="I68" s="211">
        <f t="shared" si="9"/>
        <v>0</v>
      </c>
    </row>
    <row r="69" spans="1:9" x14ac:dyDescent="0.25">
      <c r="A69" s="124" t="s">
        <v>7973</v>
      </c>
      <c r="B69" s="125">
        <v>3000</v>
      </c>
      <c r="C69" s="125">
        <v>2052.56</v>
      </c>
      <c r="D69" s="125">
        <v>3000</v>
      </c>
      <c r="E69" s="125">
        <v>3000</v>
      </c>
      <c r="F69" s="123">
        <f t="shared" si="10"/>
        <v>947.44</v>
      </c>
      <c r="G69" s="123">
        <f t="shared" si="11"/>
        <v>0</v>
      </c>
      <c r="I69" s="211">
        <f t="shared" si="9"/>
        <v>0</v>
      </c>
    </row>
    <row r="70" spans="1:9" x14ac:dyDescent="0.25">
      <c r="A70" s="124" t="s">
        <v>7974</v>
      </c>
      <c r="B70" s="125">
        <v>3000</v>
      </c>
      <c r="C70" s="125">
        <v>0</v>
      </c>
      <c r="D70" s="125">
        <v>3000</v>
      </c>
      <c r="E70" s="125">
        <v>3000</v>
      </c>
      <c r="F70" s="123">
        <f t="shared" si="10"/>
        <v>3000</v>
      </c>
      <c r="G70" s="123">
        <f t="shared" si="11"/>
        <v>0</v>
      </c>
      <c r="I70" s="211">
        <f t="shared" si="9"/>
        <v>0</v>
      </c>
    </row>
    <row r="71" spans="1:9" x14ac:dyDescent="0.25">
      <c r="A71" s="124" t="s">
        <v>7975</v>
      </c>
      <c r="B71" s="125">
        <v>40</v>
      </c>
      <c r="C71" s="125">
        <v>0</v>
      </c>
      <c r="D71" s="125">
        <v>40</v>
      </c>
      <c r="E71" s="125">
        <v>40</v>
      </c>
      <c r="F71" s="123">
        <f t="shared" si="10"/>
        <v>40</v>
      </c>
      <c r="G71" s="123">
        <f t="shared" si="11"/>
        <v>0</v>
      </c>
      <c r="I71" s="211">
        <f t="shared" si="9"/>
        <v>0</v>
      </c>
    </row>
    <row r="72" spans="1:9" x14ac:dyDescent="0.25">
      <c r="A72" s="124" t="s">
        <v>7976</v>
      </c>
      <c r="B72" s="125">
        <v>600</v>
      </c>
      <c r="C72" s="125">
        <v>0</v>
      </c>
      <c r="D72" s="125">
        <v>600</v>
      </c>
      <c r="E72" s="125">
        <v>600</v>
      </c>
      <c r="F72" s="123">
        <f t="shared" si="10"/>
        <v>600</v>
      </c>
      <c r="G72" s="123">
        <f t="shared" si="11"/>
        <v>0</v>
      </c>
      <c r="I72" s="211">
        <f t="shared" si="9"/>
        <v>0</v>
      </c>
    </row>
    <row r="73" spans="1:9" x14ac:dyDescent="0.25">
      <c r="A73" s="124" t="s">
        <v>7977</v>
      </c>
      <c r="B73" s="125">
        <v>1800</v>
      </c>
      <c r="C73" s="125">
        <v>0</v>
      </c>
      <c r="D73" s="125">
        <v>1800</v>
      </c>
      <c r="E73" s="125">
        <v>1800</v>
      </c>
      <c r="F73" s="123">
        <f t="shared" si="10"/>
        <v>1800</v>
      </c>
      <c r="G73" s="123">
        <f t="shared" si="11"/>
        <v>0</v>
      </c>
      <c r="I73" s="211">
        <f t="shared" si="9"/>
        <v>0</v>
      </c>
    </row>
    <row r="74" spans="1:9" x14ac:dyDescent="0.25">
      <c r="A74" s="124" t="s">
        <v>7978</v>
      </c>
      <c r="B74" s="125">
        <v>100</v>
      </c>
      <c r="C74" s="125">
        <v>0</v>
      </c>
      <c r="D74" s="125">
        <v>100</v>
      </c>
      <c r="E74" s="125">
        <v>100</v>
      </c>
      <c r="F74" s="123">
        <f t="shared" si="10"/>
        <v>100</v>
      </c>
      <c r="G74" s="123">
        <f t="shared" si="11"/>
        <v>0</v>
      </c>
      <c r="I74" s="211">
        <f t="shared" si="9"/>
        <v>0</v>
      </c>
    </row>
    <row r="75" spans="1:9" x14ac:dyDescent="0.25">
      <c r="A75" s="124" t="s">
        <v>7979</v>
      </c>
      <c r="B75" s="125">
        <v>1649</v>
      </c>
      <c r="C75" s="125">
        <v>1539.87</v>
      </c>
      <c r="D75" s="125">
        <v>1649</v>
      </c>
      <c r="E75" s="125">
        <v>1649</v>
      </c>
      <c r="F75" s="123">
        <f t="shared" si="10"/>
        <v>109.13000000000011</v>
      </c>
      <c r="G75" s="123">
        <f t="shared" si="11"/>
        <v>0</v>
      </c>
      <c r="I75" s="211">
        <f t="shared" si="9"/>
        <v>0</v>
      </c>
    </row>
    <row r="76" spans="1:9" x14ac:dyDescent="0.25">
      <c r="A76" s="124" t="s">
        <v>7980</v>
      </c>
      <c r="B76" s="125">
        <v>2820</v>
      </c>
      <c r="C76" s="125">
        <v>779.93000000000006</v>
      </c>
      <c r="D76" s="125">
        <v>2820</v>
      </c>
      <c r="E76" s="125">
        <v>2820</v>
      </c>
      <c r="F76" s="123">
        <f t="shared" si="10"/>
        <v>2040.07</v>
      </c>
      <c r="G76" s="123">
        <f t="shared" si="11"/>
        <v>0</v>
      </c>
      <c r="I76" s="211">
        <f t="shared" si="9"/>
        <v>0</v>
      </c>
    </row>
    <row r="77" spans="1:9" x14ac:dyDescent="0.25">
      <c r="A77" s="124" t="s">
        <v>7981</v>
      </c>
      <c r="B77" s="125">
        <v>1500</v>
      </c>
      <c r="C77" s="125">
        <v>0</v>
      </c>
      <c r="D77" s="125">
        <v>1500</v>
      </c>
      <c r="E77" s="125">
        <v>1500</v>
      </c>
      <c r="F77" s="123">
        <f t="shared" si="10"/>
        <v>1500</v>
      </c>
      <c r="G77" s="123">
        <f t="shared" si="11"/>
        <v>0</v>
      </c>
      <c r="I77" s="211">
        <f t="shared" si="9"/>
        <v>0</v>
      </c>
    </row>
    <row r="78" spans="1:9" x14ac:dyDescent="0.25">
      <c r="A78" s="124" t="s">
        <v>7982</v>
      </c>
      <c r="B78" s="125">
        <v>3500</v>
      </c>
      <c r="C78" s="125">
        <v>969.75</v>
      </c>
      <c r="D78" s="125">
        <v>3500</v>
      </c>
      <c r="E78" s="125">
        <v>3500</v>
      </c>
      <c r="F78" s="123">
        <f t="shared" si="10"/>
        <v>2530.25</v>
      </c>
      <c r="G78" s="123">
        <f t="shared" si="11"/>
        <v>0</v>
      </c>
      <c r="I78" s="211">
        <f t="shared" si="9"/>
        <v>0</v>
      </c>
    </row>
    <row r="79" spans="1:9" x14ac:dyDescent="0.25">
      <c r="A79" s="124" t="s">
        <v>7983</v>
      </c>
      <c r="B79" s="125">
        <v>8500</v>
      </c>
      <c r="C79" s="125">
        <v>5584.36</v>
      </c>
      <c r="D79" s="125">
        <v>4500</v>
      </c>
      <c r="E79" s="125">
        <v>4500</v>
      </c>
      <c r="F79" s="123">
        <f t="shared" si="10"/>
        <v>2915.6400000000003</v>
      </c>
      <c r="G79" s="123">
        <f t="shared" si="11"/>
        <v>-4000</v>
      </c>
      <c r="I79" s="211">
        <f t="shared" si="9"/>
        <v>-0.47058823529411764</v>
      </c>
    </row>
    <row r="80" spans="1:9" x14ac:dyDescent="0.25">
      <c r="A80" s="122">
        <v>54320</v>
      </c>
      <c r="B80" s="123">
        <f>SUM(B81)</f>
        <v>0</v>
      </c>
      <c r="C80" s="123">
        <f t="shared" ref="C80:E80" si="12">SUM(C81)</f>
        <v>0</v>
      </c>
      <c r="D80" s="123">
        <f t="shared" si="12"/>
        <v>2500</v>
      </c>
      <c r="E80" s="123">
        <f t="shared" si="12"/>
        <v>2500</v>
      </c>
      <c r="F80" s="123">
        <f t="shared" si="10"/>
        <v>0</v>
      </c>
      <c r="G80" s="123">
        <f t="shared" si="11"/>
        <v>2500</v>
      </c>
      <c r="I80" s="211" t="e">
        <f t="shared" si="9"/>
        <v>#DIV/0!</v>
      </c>
    </row>
    <row r="81" spans="1:9" x14ac:dyDescent="0.25">
      <c r="A81" s="124" t="s">
        <v>7984</v>
      </c>
      <c r="B81" s="125">
        <v>0</v>
      </c>
      <c r="C81" s="125">
        <v>0</v>
      </c>
      <c r="D81" s="125">
        <v>2500</v>
      </c>
      <c r="E81" s="125">
        <v>2500</v>
      </c>
      <c r="F81" s="123">
        <f t="shared" si="10"/>
        <v>0</v>
      </c>
      <c r="G81" s="123">
        <f t="shared" si="11"/>
        <v>2500</v>
      </c>
      <c r="I81" s="211" t="e">
        <f t="shared" si="9"/>
        <v>#DIV/0!</v>
      </c>
    </row>
    <row r="82" spans="1:9" x14ac:dyDescent="0.25">
      <c r="A82" s="122">
        <v>54330</v>
      </c>
      <c r="B82" s="123">
        <f>SUM(B83:B84)</f>
        <v>24000</v>
      </c>
      <c r="C82" s="123">
        <f t="shared" ref="C82:D82" si="13">SUM(C83:C84)</f>
        <v>40541.56</v>
      </c>
      <c r="D82" s="123">
        <f t="shared" si="13"/>
        <v>66500</v>
      </c>
      <c r="E82" s="123">
        <f t="shared" ref="E82" si="14">SUM(E83:E84)</f>
        <v>66500</v>
      </c>
      <c r="F82" s="123">
        <f t="shared" si="10"/>
        <v>-16541.559999999998</v>
      </c>
      <c r="G82" s="123">
        <f t="shared" si="11"/>
        <v>42500</v>
      </c>
      <c r="I82" s="211">
        <f t="shared" si="9"/>
        <v>1.7708333333333333</v>
      </c>
    </row>
    <row r="83" spans="1:9" x14ac:dyDescent="0.25">
      <c r="A83" s="124" t="s">
        <v>7985</v>
      </c>
      <c r="B83" s="125">
        <v>14000</v>
      </c>
      <c r="C83" s="125">
        <v>13934.5</v>
      </c>
      <c r="D83" s="125">
        <v>34000</v>
      </c>
      <c r="E83" s="125">
        <v>34000</v>
      </c>
      <c r="F83" s="123">
        <f t="shared" si="10"/>
        <v>65.5</v>
      </c>
      <c r="G83" s="123">
        <f t="shared" si="11"/>
        <v>20000</v>
      </c>
      <c r="I83" s="211">
        <f t="shared" si="9"/>
        <v>1.4285714285714286</v>
      </c>
    </row>
    <row r="84" spans="1:9" x14ac:dyDescent="0.25">
      <c r="A84" s="124" t="s">
        <v>7986</v>
      </c>
      <c r="B84" s="125">
        <v>10000</v>
      </c>
      <c r="C84" s="125">
        <v>26607.059999999998</v>
      </c>
      <c r="D84" s="125">
        <v>32500</v>
      </c>
      <c r="E84" s="125">
        <v>32500</v>
      </c>
      <c r="F84" s="123">
        <f t="shared" si="10"/>
        <v>-16607.059999999998</v>
      </c>
      <c r="G84" s="123">
        <f t="shared" si="11"/>
        <v>22500</v>
      </c>
      <c r="I84" s="211">
        <f t="shared" si="9"/>
        <v>2.25</v>
      </c>
    </row>
    <row r="85" spans="1:9" x14ac:dyDescent="0.25">
      <c r="A85" s="122">
        <v>54335</v>
      </c>
      <c r="B85" s="123">
        <f>SUM(B86)</f>
        <v>24800</v>
      </c>
      <c r="C85" s="123">
        <f t="shared" ref="C85:E85" si="15">SUM(C86)</f>
        <v>13774.19</v>
      </c>
      <c r="D85" s="123">
        <f t="shared" si="15"/>
        <v>18800</v>
      </c>
      <c r="E85" s="123">
        <f t="shared" si="15"/>
        <v>18800</v>
      </c>
      <c r="F85" s="123">
        <f t="shared" si="10"/>
        <v>11025.81</v>
      </c>
      <c r="G85" s="123">
        <f t="shared" si="11"/>
        <v>-6000</v>
      </c>
      <c r="I85" s="211">
        <f t="shared" si="9"/>
        <v>-0.24193548387096775</v>
      </c>
    </row>
    <row r="86" spans="1:9" x14ac:dyDescent="0.25">
      <c r="A86" s="124" t="s">
        <v>7987</v>
      </c>
      <c r="B86" s="125">
        <v>24800</v>
      </c>
      <c r="C86" s="125">
        <v>13774.19</v>
      </c>
      <c r="D86" s="125">
        <v>18800</v>
      </c>
      <c r="E86" s="125">
        <v>18800</v>
      </c>
      <c r="F86" s="123">
        <f t="shared" si="10"/>
        <v>11025.81</v>
      </c>
      <c r="G86" s="123">
        <f t="shared" si="11"/>
        <v>-6000</v>
      </c>
      <c r="I86" s="211">
        <f t="shared" si="9"/>
        <v>-0.24193548387096775</v>
      </c>
    </row>
    <row r="87" spans="1:9" x14ac:dyDescent="0.25">
      <c r="A87" s="122">
        <v>54337</v>
      </c>
      <c r="B87" s="123">
        <f>SUM(B88)</f>
        <v>14200</v>
      </c>
      <c r="C87" s="123">
        <f>SUM(C88)</f>
        <v>13187.84</v>
      </c>
      <c r="D87" s="123">
        <f>SUM(D88)</f>
        <v>14200</v>
      </c>
      <c r="E87" s="123">
        <f>SUM(E88)</f>
        <v>14200</v>
      </c>
      <c r="F87" s="123">
        <f t="shared" si="10"/>
        <v>1012.1599999999999</v>
      </c>
      <c r="G87" s="123">
        <f t="shared" si="11"/>
        <v>0</v>
      </c>
      <c r="I87" s="211">
        <f t="shared" si="9"/>
        <v>0</v>
      </c>
    </row>
    <row r="88" spans="1:9" x14ac:dyDescent="0.25">
      <c r="A88" s="124" t="s">
        <v>7988</v>
      </c>
      <c r="B88" s="125">
        <v>14200</v>
      </c>
      <c r="C88" s="125">
        <v>13187.84</v>
      </c>
      <c r="D88" s="125">
        <v>14200</v>
      </c>
      <c r="E88" s="125">
        <v>14200</v>
      </c>
      <c r="F88" s="123">
        <f t="shared" si="10"/>
        <v>1012.1599999999999</v>
      </c>
      <c r="G88" s="123">
        <f t="shared" si="11"/>
        <v>0</v>
      </c>
      <c r="I88" s="211">
        <f t="shared" si="9"/>
        <v>0</v>
      </c>
    </row>
    <row r="89" spans="1:9" x14ac:dyDescent="0.25">
      <c r="A89" s="122">
        <v>54338</v>
      </c>
      <c r="B89" s="123">
        <f>SUM(B90)</f>
        <v>4900</v>
      </c>
      <c r="C89" s="123">
        <f>SUM(C90)</f>
        <v>6320.86</v>
      </c>
      <c r="D89" s="123">
        <f>SUM(D90)</f>
        <v>13900</v>
      </c>
      <c r="E89" s="123">
        <f>SUM(E90)</f>
        <v>13900</v>
      </c>
      <c r="F89" s="123">
        <f t="shared" si="10"/>
        <v>-1420.8599999999997</v>
      </c>
      <c r="G89" s="123">
        <f t="shared" si="11"/>
        <v>9000</v>
      </c>
      <c r="I89" s="211">
        <f t="shared" si="9"/>
        <v>1.8367346938775511</v>
      </c>
    </row>
    <row r="90" spans="1:9" x14ac:dyDescent="0.25">
      <c r="A90" s="124" t="s">
        <v>7989</v>
      </c>
      <c r="B90" s="125">
        <v>4900</v>
      </c>
      <c r="C90" s="125">
        <v>6320.86</v>
      </c>
      <c r="D90" s="125">
        <v>13900</v>
      </c>
      <c r="E90" s="125">
        <v>13900</v>
      </c>
      <c r="F90" s="123">
        <f t="shared" si="10"/>
        <v>-1420.8599999999997</v>
      </c>
      <c r="G90" s="123">
        <f t="shared" si="11"/>
        <v>9000</v>
      </c>
      <c r="I90" s="211">
        <f t="shared" si="9"/>
        <v>1.8367346938775511</v>
      </c>
    </row>
    <row r="91" spans="1:9" x14ac:dyDescent="0.25">
      <c r="A91" s="122">
        <v>54340</v>
      </c>
      <c r="B91" s="123">
        <f>SUM(B92)</f>
        <v>18000</v>
      </c>
      <c r="C91" s="123">
        <f>SUM(C92)</f>
        <v>21890</v>
      </c>
      <c r="D91" s="123">
        <f>SUM(D92)</f>
        <v>18000</v>
      </c>
      <c r="E91" s="123">
        <f>SUM(E92)</f>
        <v>18000</v>
      </c>
      <c r="F91" s="123">
        <f t="shared" si="10"/>
        <v>-3890</v>
      </c>
      <c r="G91" s="123">
        <f t="shared" si="11"/>
        <v>0</v>
      </c>
      <c r="I91" s="211">
        <f t="shared" si="9"/>
        <v>0</v>
      </c>
    </row>
    <row r="92" spans="1:9" x14ac:dyDescent="0.25">
      <c r="A92" s="124" t="s">
        <v>7990</v>
      </c>
      <c r="B92" s="125">
        <v>18000</v>
      </c>
      <c r="C92" s="125">
        <v>21890</v>
      </c>
      <c r="D92" s="125">
        <v>18000</v>
      </c>
      <c r="E92" s="125">
        <v>18000</v>
      </c>
      <c r="F92" s="123">
        <f t="shared" si="10"/>
        <v>-3890</v>
      </c>
      <c r="G92" s="123">
        <f t="shared" si="11"/>
        <v>0</v>
      </c>
      <c r="I92" s="211">
        <f t="shared" si="9"/>
        <v>0</v>
      </c>
    </row>
    <row r="93" spans="1:9" x14ac:dyDescent="0.25">
      <c r="A93" s="122">
        <v>54349</v>
      </c>
      <c r="B93" s="123">
        <f>SUM(B94:B96)</f>
        <v>13200</v>
      </c>
      <c r="C93" s="123">
        <f t="shared" ref="C93:D93" si="16">SUM(C94:C96)</f>
        <v>6461.32</v>
      </c>
      <c r="D93" s="123">
        <f t="shared" si="16"/>
        <v>13200</v>
      </c>
      <c r="E93" s="123">
        <f t="shared" ref="E93" si="17">SUM(E94:E96)</f>
        <v>13200</v>
      </c>
      <c r="F93" s="123">
        <f t="shared" si="10"/>
        <v>6738.68</v>
      </c>
      <c r="G93" s="123">
        <f t="shared" si="11"/>
        <v>0</v>
      </c>
      <c r="I93" s="211">
        <f t="shared" si="9"/>
        <v>0</v>
      </c>
    </row>
    <row r="94" spans="1:9" x14ac:dyDescent="0.25">
      <c r="A94" s="124" t="s">
        <v>7991</v>
      </c>
      <c r="B94" s="125">
        <v>12000</v>
      </c>
      <c r="C94" s="125">
        <v>6461.32</v>
      </c>
      <c r="D94" s="125">
        <v>12000</v>
      </c>
      <c r="E94" s="125">
        <v>12000</v>
      </c>
      <c r="F94" s="123">
        <f t="shared" si="10"/>
        <v>5538.68</v>
      </c>
      <c r="G94" s="123">
        <f t="shared" si="11"/>
        <v>0</v>
      </c>
      <c r="I94" s="211">
        <f t="shared" si="9"/>
        <v>0</v>
      </c>
    </row>
    <row r="95" spans="1:9" x14ac:dyDescent="0.25">
      <c r="A95" s="124" t="s">
        <v>7992</v>
      </c>
      <c r="B95" s="125">
        <v>200</v>
      </c>
      <c r="C95" s="125">
        <v>0</v>
      </c>
      <c r="D95" s="125">
        <v>200</v>
      </c>
      <c r="E95" s="125">
        <v>200</v>
      </c>
      <c r="F95" s="123">
        <f t="shared" si="10"/>
        <v>200</v>
      </c>
      <c r="G95" s="123">
        <f t="shared" si="11"/>
        <v>0</v>
      </c>
      <c r="I95" s="211">
        <f t="shared" si="9"/>
        <v>0</v>
      </c>
    </row>
    <row r="96" spans="1:9" x14ac:dyDescent="0.25">
      <c r="A96" s="124" t="s">
        <v>7993</v>
      </c>
      <c r="B96" s="125">
        <v>1000</v>
      </c>
      <c r="C96" s="125">
        <v>0</v>
      </c>
      <c r="D96" s="125">
        <v>1000</v>
      </c>
      <c r="E96" s="125">
        <v>1000</v>
      </c>
      <c r="F96" s="123">
        <f t="shared" si="10"/>
        <v>1000</v>
      </c>
      <c r="G96" s="123">
        <f t="shared" si="11"/>
        <v>0</v>
      </c>
      <c r="I96" s="211">
        <f t="shared" si="9"/>
        <v>0</v>
      </c>
    </row>
    <row r="97" spans="1:9" x14ac:dyDescent="0.25">
      <c r="A97" s="143" t="s">
        <v>7994</v>
      </c>
      <c r="B97" s="144">
        <f>+B98+B105+B131+B133+B143+B181+B184+B186+B188+B215+B226+B230+B237+B242+B250+B252+B258+B261+B266+B270+B277+B281+B284+B401+B413+B440+B455+B457+B459+B462+B464+B472+B475+B480+B483+B485+B491+B493+B495</f>
        <v>7574907.7999999998</v>
      </c>
      <c r="C97" s="144">
        <f>+C98+C105+C131+C133+C143+C181+C184+C186+C188+C215+C226+C230+C237+C242+C250+C252+C258+C261+C266+C270+C277+C281+C284+C401+C413+C440+C455+C457+C459+C462+C464+C472+C475+C480+C483+C485+C491+C493+C495</f>
        <v>5359517.87</v>
      </c>
      <c r="D97" s="144">
        <f>+D98+D105+D131+D133+D143+D181+D184+D186+D188+D215+D226+D230+D237+D242+D250+D252+D258+D261+D266+D270+D277+D281+D284+D401+D413+D440+D455+D457+D459+D462+D464+D472+D475+D480+D483+D485+D491+D493+D495</f>
        <v>7135505.9299999997</v>
      </c>
      <c r="E97" s="144">
        <f>+E98+E105+E131+E133+E143+E181+E184+E186+E188+E215+E226+E230+E237+E242+E250+E252+E258+E261+E266+E270+E277+E281+E284+E401+E413+E440+E455+E457+E459+E462+E464+E472+E475+E480+E483+E485+E491+E493+E495</f>
        <v>7166401.5800000001</v>
      </c>
      <c r="F97" s="123">
        <f t="shared" si="10"/>
        <v>2215389.9299999997</v>
      </c>
      <c r="G97" s="123">
        <f t="shared" si="11"/>
        <v>-439401.87000000011</v>
      </c>
      <c r="I97" s="211">
        <f t="shared" si="9"/>
        <v>-5.8007553570487036E-2</v>
      </c>
    </row>
    <row r="98" spans="1:9" x14ac:dyDescent="0.25">
      <c r="A98" s="122">
        <v>55100</v>
      </c>
      <c r="B98" s="123">
        <f>SUM(B99:B104)</f>
        <v>19630</v>
      </c>
      <c r="C98" s="123">
        <f t="shared" ref="C98:D98" si="18">SUM(C99:C104)</f>
        <v>13380</v>
      </c>
      <c r="D98" s="123">
        <f t="shared" si="18"/>
        <v>27963</v>
      </c>
      <c r="E98" s="123">
        <f t="shared" ref="E98" si="19">SUM(E99:E104)</f>
        <v>27963</v>
      </c>
      <c r="F98" s="123">
        <f t="shared" si="10"/>
        <v>6250</v>
      </c>
      <c r="G98" s="123">
        <f t="shared" si="11"/>
        <v>8333</v>
      </c>
      <c r="I98" s="211">
        <f t="shared" si="9"/>
        <v>0.42450331125827817</v>
      </c>
    </row>
    <row r="99" spans="1:9" x14ac:dyDescent="0.25">
      <c r="A99" s="124" t="s">
        <v>7995</v>
      </c>
      <c r="B99" s="125">
        <v>12000</v>
      </c>
      <c r="C99" s="125">
        <v>12000</v>
      </c>
      <c r="D99" s="125">
        <v>12000</v>
      </c>
      <c r="E99" s="125">
        <v>12000</v>
      </c>
      <c r="F99" s="123">
        <f t="shared" si="10"/>
        <v>0</v>
      </c>
      <c r="G99" s="123">
        <f t="shared" si="11"/>
        <v>0</v>
      </c>
      <c r="I99" s="211">
        <f t="shared" si="9"/>
        <v>0</v>
      </c>
    </row>
    <row r="100" spans="1:9" x14ac:dyDescent="0.25">
      <c r="A100" s="124" t="s">
        <v>7996</v>
      </c>
      <c r="B100" s="125">
        <v>130</v>
      </c>
      <c r="C100" s="125">
        <v>130</v>
      </c>
      <c r="D100" s="125">
        <v>130</v>
      </c>
      <c r="E100" s="125">
        <v>130</v>
      </c>
      <c r="F100" s="123">
        <f t="shared" si="10"/>
        <v>0</v>
      </c>
      <c r="G100" s="123">
        <f t="shared" si="11"/>
        <v>0</v>
      </c>
      <c r="I100" s="211">
        <f t="shared" si="9"/>
        <v>0</v>
      </c>
    </row>
    <row r="101" spans="1:9" x14ac:dyDescent="0.25">
      <c r="A101" s="124" t="s">
        <v>7997</v>
      </c>
      <c r="B101" s="125">
        <v>0</v>
      </c>
      <c r="C101" s="125">
        <v>0</v>
      </c>
      <c r="D101" s="125">
        <v>8333</v>
      </c>
      <c r="E101" s="125">
        <v>8333</v>
      </c>
      <c r="F101" s="123">
        <f t="shared" si="10"/>
        <v>0</v>
      </c>
      <c r="G101" s="123">
        <f t="shared" si="11"/>
        <v>8333</v>
      </c>
      <c r="I101" s="211" t="e">
        <f t="shared" si="9"/>
        <v>#DIV/0!</v>
      </c>
    </row>
    <row r="102" spans="1:9" x14ac:dyDescent="0.25">
      <c r="A102" s="124" t="s">
        <v>7998</v>
      </c>
      <c r="B102" s="125">
        <v>2500</v>
      </c>
      <c r="C102" s="125">
        <v>1050</v>
      </c>
      <c r="D102" s="125">
        <v>2500</v>
      </c>
      <c r="E102" s="125">
        <v>2500</v>
      </c>
      <c r="F102" s="123">
        <f t="shared" si="10"/>
        <v>1450</v>
      </c>
      <c r="G102" s="123">
        <f t="shared" si="11"/>
        <v>0</v>
      </c>
      <c r="I102" s="211">
        <f t="shared" si="9"/>
        <v>0</v>
      </c>
    </row>
    <row r="103" spans="1:9" x14ac:dyDescent="0.25">
      <c r="A103" s="124" t="s">
        <v>7999</v>
      </c>
      <c r="B103" s="125">
        <v>5000</v>
      </c>
      <c r="C103" s="125">
        <v>0</v>
      </c>
      <c r="D103" s="125">
        <v>5000</v>
      </c>
      <c r="E103" s="125">
        <v>5000</v>
      </c>
      <c r="F103" s="123">
        <f t="shared" si="10"/>
        <v>5000</v>
      </c>
      <c r="G103" s="123">
        <f t="shared" si="11"/>
        <v>0</v>
      </c>
      <c r="I103" s="211">
        <f t="shared" si="9"/>
        <v>0</v>
      </c>
    </row>
    <row r="104" spans="1:9" x14ac:dyDescent="0.25">
      <c r="A104" s="124" t="s">
        <v>8000</v>
      </c>
      <c r="B104" s="125">
        <v>0</v>
      </c>
      <c r="C104" s="125">
        <v>200</v>
      </c>
      <c r="D104" s="125">
        <v>0</v>
      </c>
      <c r="E104" s="125">
        <v>0</v>
      </c>
      <c r="F104" s="123">
        <f t="shared" si="10"/>
        <v>-200</v>
      </c>
      <c r="G104" s="123">
        <f t="shared" si="11"/>
        <v>0</v>
      </c>
      <c r="I104" s="211" t="e">
        <f t="shared" si="9"/>
        <v>#DIV/0!</v>
      </c>
    </row>
    <row r="105" spans="1:9" x14ac:dyDescent="0.25">
      <c r="A105" s="122">
        <v>55105</v>
      </c>
      <c r="B105" s="123">
        <f>SUM(B106:B130)</f>
        <v>2204554</v>
      </c>
      <c r="C105" s="123">
        <f t="shared" ref="C105:D105" si="20">SUM(C106:C130)</f>
        <v>1118291.83</v>
      </c>
      <c r="D105" s="123">
        <f t="shared" si="20"/>
        <v>1636915</v>
      </c>
      <c r="E105" s="123">
        <f t="shared" ref="E105" si="21">SUM(E106:E130)</f>
        <v>1636915</v>
      </c>
      <c r="F105" s="123">
        <f t="shared" si="10"/>
        <v>1086262.17</v>
      </c>
      <c r="G105" s="123">
        <f t="shared" si="11"/>
        <v>-567639</v>
      </c>
      <c r="I105" s="211">
        <f t="shared" si="9"/>
        <v>-0.25748473387360893</v>
      </c>
    </row>
    <row r="106" spans="1:9" x14ac:dyDescent="0.25">
      <c r="A106" s="124" t="s">
        <v>8001</v>
      </c>
      <c r="B106" s="125">
        <v>48387</v>
      </c>
      <c r="C106" s="125">
        <v>8000</v>
      </c>
      <c r="D106" s="125">
        <v>75000</v>
      </c>
      <c r="E106" s="125">
        <v>75000</v>
      </c>
      <c r="F106" s="123">
        <f t="shared" si="10"/>
        <v>40387</v>
      </c>
      <c r="G106" s="123">
        <f t="shared" si="11"/>
        <v>26613</v>
      </c>
      <c r="I106" s="211">
        <f t="shared" si="9"/>
        <v>0.55000310000620001</v>
      </c>
    </row>
    <row r="107" spans="1:9" s="175" customFormat="1" x14ac:dyDescent="0.25">
      <c r="A107" s="172" t="s">
        <v>8002</v>
      </c>
      <c r="B107" s="173">
        <v>0</v>
      </c>
      <c r="C107" s="173">
        <v>22669.200000000001</v>
      </c>
      <c r="D107" s="173">
        <v>0</v>
      </c>
      <c r="E107" s="173">
        <v>0</v>
      </c>
      <c r="F107" s="123">
        <f t="shared" si="10"/>
        <v>-22669.200000000001</v>
      </c>
      <c r="G107" s="123">
        <f t="shared" si="11"/>
        <v>0</v>
      </c>
      <c r="H107" s="175" t="s">
        <v>9931</v>
      </c>
      <c r="I107" s="211" t="e">
        <f t="shared" si="9"/>
        <v>#DIV/0!</v>
      </c>
    </row>
    <row r="108" spans="1:9" x14ac:dyDescent="0.25">
      <c r="A108" s="124" t="s">
        <v>8003</v>
      </c>
      <c r="B108" s="125">
        <v>71792</v>
      </c>
      <c r="C108" s="125">
        <v>25839.1</v>
      </c>
      <c r="D108" s="125">
        <v>71792</v>
      </c>
      <c r="E108" s="125">
        <v>71792</v>
      </c>
      <c r="F108" s="123">
        <f t="shared" si="10"/>
        <v>45952.9</v>
      </c>
      <c r="G108" s="123">
        <f t="shared" si="11"/>
        <v>0</v>
      </c>
      <c r="I108" s="211">
        <f t="shared" si="9"/>
        <v>0</v>
      </c>
    </row>
    <row r="109" spans="1:9" x14ac:dyDescent="0.25">
      <c r="A109" s="124" t="s">
        <v>8004</v>
      </c>
      <c r="B109" s="125">
        <v>630185</v>
      </c>
      <c r="C109" s="125">
        <v>335178.78000000003</v>
      </c>
      <c r="D109" s="8">
        <f>698255-184765</f>
        <v>513490</v>
      </c>
      <c r="E109" s="8">
        <f>698255-184765</f>
        <v>513490</v>
      </c>
      <c r="F109" s="123">
        <f t="shared" si="10"/>
        <v>295006.21999999997</v>
      </c>
      <c r="G109" s="123">
        <f t="shared" si="11"/>
        <v>-116695</v>
      </c>
      <c r="H109" t="s">
        <v>9938</v>
      </c>
      <c r="I109" s="211">
        <f t="shared" si="9"/>
        <v>-0.18517578171489324</v>
      </c>
    </row>
    <row r="110" spans="1:9" x14ac:dyDescent="0.25">
      <c r="A110" s="124" t="s">
        <v>8005</v>
      </c>
      <c r="B110" s="125">
        <v>11000</v>
      </c>
      <c r="C110" s="125">
        <v>10774.6</v>
      </c>
      <c r="D110" s="8">
        <v>11000</v>
      </c>
      <c r="E110" s="8">
        <v>11000</v>
      </c>
      <c r="F110" s="123">
        <f t="shared" si="10"/>
        <v>225.39999999999964</v>
      </c>
      <c r="G110" s="123">
        <f t="shared" si="11"/>
        <v>0</v>
      </c>
      <c r="I110" s="211">
        <f t="shared" si="9"/>
        <v>0</v>
      </c>
    </row>
    <row r="111" spans="1:9" x14ac:dyDescent="0.25">
      <c r="A111" s="124" t="s">
        <v>8006</v>
      </c>
      <c r="B111" s="125">
        <v>45000</v>
      </c>
      <c r="C111" s="125">
        <v>4611</v>
      </c>
      <c r="D111" s="8">
        <v>10000</v>
      </c>
      <c r="E111" s="8">
        <v>10000</v>
      </c>
      <c r="F111" s="123">
        <f t="shared" si="10"/>
        <v>40389</v>
      </c>
      <c r="G111" s="123">
        <f t="shared" si="11"/>
        <v>-35000</v>
      </c>
      <c r="H111" t="s">
        <v>9922</v>
      </c>
      <c r="I111" s="211">
        <f t="shared" si="9"/>
        <v>-0.77777777777777779</v>
      </c>
    </row>
    <row r="112" spans="1:9" x14ac:dyDescent="0.25">
      <c r="A112" s="124" t="s">
        <v>8007</v>
      </c>
      <c r="B112" s="125">
        <v>0</v>
      </c>
      <c r="C112" s="125">
        <v>1994.5</v>
      </c>
      <c r="D112" s="8"/>
      <c r="E112" s="8"/>
      <c r="F112" s="123">
        <f t="shared" si="10"/>
        <v>-1994.5</v>
      </c>
      <c r="G112" s="123">
        <f t="shared" si="11"/>
        <v>0</v>
      </c>
      <c r="I112" s="211" t="e">
        <f t="shared" si="9"/>
        <v>#DIV/0!</v>
      </c>
    </row>
    <row r="113" spans="1:9" x14ac:dyDescent="0.25">
      <c r="A113" s="124" t="s">
        <v>8008</v>
      </c>
      <c r="B113" s="125">
        <v>20700</v>
      </c>
      <c r="C113" s="125">
        <v>9388.35</v>
      </c>
      <c r="D113" s="125">
        <v>20700</v>
      </c>
      <c r="E113" s="125">
        <v>20700</v>
      </c>
      <c r="F113" s="123">
        <f t="shared" si="10"/>
        <v>11311.65</v>
      </c>
      <c r="G113" s="123">
        <f t="shared" si="11"/>
        <v>0</v>
      </c>
      <c r="I113" s="211">
        <f t="shared" si="9"/>
        <v>0</v>
      </c>
    </row>
    <row r="114" spans="1:9" x14ac:dyDescent="0.25">
      <c r="A114" s="124" t="s">
        <v>8009</v>
      </c>
      <c r="B114" s="125">
        <v>500</v>
      </c>
      <c r="C114" s="125">
        <v>0</v>
      </c>
      <c r="D114" s="125">
        <v>500</v>
      </c>
      <c r="E114" s="125">
        <v>500</v>
      </c>
      <c r="F114" s="123">
        <f t="shared" si="10"/>
        <v>500</v>
      </c>
      <c r="G114" s="123">
        <f t="shared" si="11"/>
        <v>0</v>
      </c>
      <c r="I114" s="211">
        <f t="shared" si="9"/>
        <v>0</v>
      </c>
    </row>
    <row r="115" spans="1:9" x14ac:dyDescent="0.25">
      <c r="A115" s="124" t="s">
        <v>8010</v>
      </c>
      <c r="B115" s="125">
        <v>561260</v>
      </c>
      <c r="C115" s="125">
        <v>513152</v>
      </c>
      <c r="D115" s="125">
        <v>498453</v>
      </c>
      <c r="E115" s="125">
        <v>498453</v>
      </c>
      <c r="F115" s="123">
        <f t="shared" si="10"/>
        <v>48108</v>
      </c>
      <c r="G115" s="123">
        <f t="shared" si="11"/>
        <v>-62807</v>
      </c>
      <c r="I115" s="211">
        <f t="shared" si="9"/>
        <v>-0.1119035741011296</v>
      </c>
    </row>
    <row r="116" spans="1:9" x14ac:dyDescent="0.25">
      <c r="A116" s="124" t="s">
        <v>8011</v>
      </c>
      <c r="B116" s="125">
        <v>1420</v>
      </c>
      <c r="C116" s="125">
        <v>1420</v>
      </c>
      <c r="D116" s="125">
        <v>1420</v>
      </c>
      <c r="E116" s="125">
        <v>1420</v>
      </c>
      <c r="F116" s="123">
        <f t="shared" si="10"/>
        <v>0</v>
      </c>
      <c r="G116" s="123">
        <f t="shared" si="11"/>
        <v>0</v>
      </c>
      <c r="I116" s="211">
        <f t="shared" si="9"/>
        <v>0</v>
      </c>
    </row>
    <row r="117" spans="1:9" x14ac:dyDescent="0.25">
      <c r="A117" s="124" t="s">
        <v>8012</v>
      </c>
      <c r="B117" s="125">
        <v>41447</v>
      </c>
      <c r="C117" s="125">
        <v>10050</v>
      </c>
      <c r="D117" s="125">
        <v>96667</v>
      </c>
      <c r="E117" s="125">
        <v>96667</v>
      </c>
      <c r="F117" s="123">
        <f t="shared" si="10"/>
        <v>31397</v>
      </c>
      <c r="G117" s="123">
        <f t="shared" si="11"/>
        <v>55220</v>
      </c>
      <c r="I117" s="211">
        <f t="shared" si="9"/>
        <v>1.3323039061934518</v>
      </c>
    </row>
    <row r="118" spans="1:9" x14ac:dyDescent="0.25">
      <c r="A118" s="124" t="s">
        <v>8013</v>
      </c>
      <c r="B118" s="125">
        <v>28085</v>
      </c>
      <c r="C118" s="125">
        <v>5874.2300000000005</v>
      </c>
      <c r="D118" s="125">
        <v>28085</v>
      </c>
      <c r="E118" s="125">
        <v>28085</v>
      </c>
      <c r="F118" s="123">
        <f t="shared" si="10"/>
        <v>22210.77</v>
      </c>
      <c r="G118" s="123">
        <f t="shared" si="11"/>
        <v>0</v>
      </c>
      <c r="I118" s="211">
        <f t="shared" si="9"/>
        <v>0</v>
      </c>
    </row>
    <row r="119" spans="1:9" x14ac:dyDescent="0.25">
      <c r="A119" s="124" t="s">
        <v>8014</v>
      </c>
      <c r="B119" s="125">
        <v>67000</v>
      </c>
      <c r="C119" s="125">
        <v>0</v>
      </c>
      <c r="D119" s="125">
        <v>67000</v>
      </c>
      <c r="E119" s="125">
        <v>67000</v>
      </c>
      <c r="F119" s="123">
        <f t="shared" si="10"/>
        <v>67000</v>
      </c>
      <c r="G119" s="123">
        <f t="shared" si="11"/>
        <v>0</v>
      </c>
      <c r="I119" s="211">
        <f t="shared" si="9"/>
        <v>0</v>
      </c>
    </row>
    <row r="120" spans="1:9" x14ac:dyDescent="0.25">
      <c r="A120" s="124" t="s">
        <v>8015</v>
      </c>
      <c r="B120" s="125">
        <v>58658</v>
      </c>
      <c r="C120" s="125">
        <v>105451.07</v>
      </c>
      <c r="D120" s="125">
        <v>58658</v>
      </c>
      <c r="E120" s="125">
        <v>58658</v>
      </c>
      <c r="F120" s="123">
        <f t="shared" si="10"/>
        <v>-46793.070000000007</v>
      </c>
      <c r="G120" s="123">
        <f t="shared" si="11"/>
        <v>0</v>
      </c>
      <c r="I120" s="211">
        <f t="shared" si="9"/>
        <v>0</v>
      </c>
    </row>
    <row r="121" spans="1:9" x14ac:dyDescent="0.25">
      <c r="A121" s="124" t="s">
        <v>8016</v>
      </c>
      <c r="B121" s="125">
        <v>1800</v>
      </c>
      <c r="C121" s="125">
        <v>0</v>
      </c>
      <c r="D121" s="125">
        <v>2000</v>
      </c>
      <c r="E121" s="125">
        <v>2000</v>
      </c>
      <c r="F121" s="123">
        <f t="shared" si="10"/>
        <v>1800</v>
      </c>
      <c r="G121" s="123">
        <f t="shared" si="11"/>
        <v>200</v>
      </c>
      <c r="I121" s="211">
        <f t="shared" si="9"/>
        <v>0.1111111111111111</v>
      </c>
    </row>
    <row r="122" spans="1:9" x14ac:dyDescent="0.25">
      <c r="A122" s="124" t="s">
        <v>8017</v>
      </c>
      <c r="B122" s="125">
        <v>450</v>
      </c>
      <c r="C122" s="125">
        <v>0</v>
      </c>
      <c r="D122" s="125">
        <v>450</v>
      </c>
      <c r="E122" s="125">
        <v>450</v>
      </c>
      <c r="F122" s="123">
        <f t="shared" si="10"/>
        <v>450</v>
      </c>
      <c r="G122" s="123">
        <f t="shared" si="11"/>
        <v>0</v>
      </c>
      <c r="I122" s="211">
        <f t="shared" si="9"/>
        <v>0</v>
      </c>
    </row>
    <row r="123" spans="1:9" x14ac:dyDescent="0.25">
      <c r="A123" s="124" t="s">
        <v>8018</v>
      </c>
      <c r="B123" s="125">
        <v>90000</v>
      </c>
      <c r="C123" s="125">
        <v>0</v>
      </c>
      <c r="F123" s="123">
        <f t="shared" si="10"/>
        <v>90000</v>
      </c>
      <c r="G123" s="123">
        <f t="shared" si="11"/>
        <v>-90000</v>
      </c>
      <c r="H123" t="s">
        <v>9957</v>
      </c>
      <c r="I123" s="211">
        <f t="shared" si="9"/>
        <v>-1</v>
      </c>
    </row>
    <row r="124" spans="1:9" x14ac:dyDescent="0.25">
      <c r="A124" s="124" t="s">
        <v>8019</v>
      </c>
      <c r="B124" s="125">
        <v>200</v>
      </c>
      <c r="C124" s="125">
        <v>0</v>
      </c>
      <c r="D124" s="125">
        <v>200</v>
      </c>
      <c r="E124" s="125">
        <v>200</v>
      </c>
      <c r="F124" s="123">
        <f t="shared" si="10"/>
        <v>200</v>
      </c>
      <c r="G124" s="123">
        <f t="shared" si="11"/>
        <v>0</v>
      </c>
      <c r="I124" s="211">
        <f t="shared" si="9"/>
        <v>0</v>
      </c>
    </row>
    <row r="125" spans="1:9" x14ac:dyDescent="0.25">
      <c r="A125" s="124" t="s">
        <v>8020</v>
      </c>
      <c r="B125" s="125">
        <v>10000</v>
      </c>
      <c r="C125" s="125">
        <v>0</v>
      </c>
      <c r="F125" s="123">
        <f t="shared" si="10"/>
        <v>10000</v>
      </c>
      <c r="G125" s="123">
        <f t="shared" si="11"/>
        <v>-10000</v>
      </c>
      <c r="I125" s="211">
        <f t="shared" si="9"/>
        <v>-1</v>
      </c>
    </row>
    <row r="126" spans="1:9" x14ac:dyDescent="0.25">
      <c r="A126" s="124" t="s">
        <v>8021</v>
      </c>
      <c r="B126" s="125">
        <v>12000</v>
      </c>
      <c r="C126" s="125">
        <v>0</v>
      </c>
      <c r="D126" s="125">
        <v>12000</v>
      </c>
      <c r="E126" s="125">
        <v>12000</v>
      </c>
      <c r="F126" s="123">
        <f t="shared" si="10"/>
        <v>12000</v>
      </c>
      <c r="G126" s="123">
        <f t="shared" si="11"/>
        <v>0</v>
      </c>
      <c r="I126" s="211">
        <f t="shared" si="9"/>
        <v>0</v>
      </c>
    </row>
    <row r="127" spans="1:9" x14ac:dyDescent="0.25">
      <c r="A127" s="124" t="s">
        <v>8022</v>
      </c>
      <c r="B127" s="125">
        <v>47500</v>
      </c>
      <c r="C127" s="125">
        <v>15000</v>
      </c>
      <c r="D127" s="125">
        <v>47500</v>
      </c>
      <c r="E127" s="125">
        <v>47500</v>
      </c>
      <c r="F127" s="123">
        <f t="shared" si="10"/>
        <v>32500</v>
      </c>
      <c r="G127" s="123">
        <f t="shared" si="11"/>
        <v>0</v>
      </c>
      <c r="I127" s="211">
        <f t="shared" si="9"/>
        <v>0</v>
      </c>
    </row>
    <row r="128" spans="1:9" x14ac:dyDescent="0.25">
      <c r="A128" s="124" t="s">
        <v>8023</v>
      </c>
      <c r="B128" s="125">
        <v>2000</v>
      </c>
      <c r="C128" s="125">
        <v>384</v>
      </c>
      <c r="D128" s="125">
        <v>2000</v>
      </c>
      <c r="E128" s="125">
        <v>2000</v>
      </c>
      <c r="F128" s="123">
        <f t="shared" si="10"/>
        <v>1616</v>
      </c>
      <c r="G128" s="123">
        <f t="shared" si="11"/>
        <v>0</v>
      </c>
      <c r="I128" s="211">
        <f t="shared" si="9"/>
        <v>0</v>
      </c>
    </row>
    <row r="129" spans="1:9" x14ac:dyDescent="0.25">
      <c r="A129" s="124" t="s">
        <v>8024</v>
      </c>
      <c r="B129" s="125">
        <v>80170</v>
      </c>
      <c r="C129" s="125">
        <v>48505</v>
      </c>
      <c r="D129" s="125">
        <v>120000</v>
      </c>
      <c r="E129" s="125">
        <v>120000</v>
      </c>
      <c r="F129" s="123">
        <f t="shared" si="10"/>
        <v>31665</v>
      </c>
      <c r="G129" s="123">
        <f t="shared" si="11"/>
        <v>39830</v>
      </c>
      <c r="I129" s="211">
        <f t="shared" si="9"/>
        <v>0.49681925907446678</v>
      </c>
    </row>
    <row r="130" spans="1:9" x14ac:dyDescent="0.25">
      <c r="A130" s="124" t="s">
        <v>8025</v>
      </c>
      <c r="B130" s="125">
        <v>375000</v>
      </c>
      <c r="C130" s="125">
        <v>0</v>
      </c>
      <c r="F130" s="123">
        <f t="shared" si="10"/>
        <v>375000</v>
      </c>
      <c r="G130" s="123">
        <f t="shared" si="11"/>
        <v>-375000</v>
      </c>
      <c r="H130" t="s">
        <v>9957</v>
      </c>
      <c r="I130" s="211">
        <f t="shared" si="9"/>
        <v>-1</v>
      </c>
    </row>
    <row r="131" spans="1:9" x14ac:dyDescent="0.25">
      <c r="A131" s="122">
        <v>55110</v>
      </c>
      <c r="B131" s="123">
        <f>SUM(B132)</f>
        <v>0</v>
      </c>
      <c r="C131" s="123">
        <f t="shared" ref="C131:E131" si="22">SUM(C132)</f>
        <v>167.11</v>
      </c>
      <c r="D131" s="123">
        <f t="shared" si="22"/>
        <v>60000</v>
      </c>
      <c r="E131" s="123">
        <f t="shared" si="22"/>
        <v>60000</v>
      </c>
      <c r="F131" s="123">
        <f t="shared" si="10"/>
        <v>-167.11</v>
      </c>
      <c r="G131" s="123">
        <f t="shared" si="11"/>
        <v>60000</v>
      </c>
      <c r="I131" s="211" t="e">
        <f t="shared" ref="I131:I194" si="23">+G131/B131</f>
        <v>#DIV/0!</v>
      </c>
    </row>
    <row r="132" spans="1:9" x14ac:dyDescent="0.25">
      <c r="A132" s="205" t="s">
        <v>8026</v>
      </c>
      <c r="B132" s="206">
        <v>0</v>
      </c>
      <c r="C132" s="125">
        <v>167.11</v>
      </c>
      <c r="D132" s="1">
        <v>60000</v>
      </c>
      <c r="E132" s="1">
        <v>60000</v>
      </c>
      <c r="F132" s="123">
        <f t="shared" ref="F132:F195" si="24">+B132-C132</f>
        <v>-167.11</v>
      </c>
      <c r="G132" s="123">
        <f t="shared" ref="G132:G195" si="25">+D132-B132</f>
        <v>60000</v>
      </c>
      <c r="I132" s="211" t="e">
        <f t="shared" si="23"/>
        <v>#DIV/0!</v>
      </c>
    </row>
    <row r="133" spans="1:9" x14ac:dyDescent="0.25">
      <c r="A133" s="122">
        <v>55125</v>
      </c>
      <c r="B133" s="123">
        <f>SUM(B134:B142)</f>
        <v>92506</v>
      </c>
      <c r="C133" s="123">
        <f t="shared" ref="C133:D133" si="26">SUM(C134:C142)</f>
        <v>30207.29</v>
      </c>
      <c r="D133" s="123">
        <f t="shared" si="26"/>
        <v>62506</v>
      </c>
      <c r="E133" s="123">
        <f t="shared" ref="E133" si="27">SUM(E134:E142)</f>
        <v>62506</v>
      </c>
      <c r="F133" s="123">
        <f t="shared" si="24"/>
        <v>62298.71</v>
      </c>
      <c r="G133" s="123">
        <f t="shared" si="25"/>
        <v>-30000</v>
      </c>
      <c r="I133" s="211">
        <f t="shared" si="23"/>
        <v>-0.32430328843534473</v>
      </c>
    </row>
    <row r="134" spans="1:9" x14ac:dyDescent="0.25">
      <c r="A134" s="124" t="s">
        <v>8027</v>
      </c>
      <c r="B134" s="125">
        <v>500</v>
      </c>
      <c r="C134" s="125">
        <v>0</v>
      </c>
      <c r="D134" s="125">
        <v>500</v>
      </c>
      <c r="E134" s="125">
        <v>500</v>
      </c>
      <c r="F134" s="123">
        <f t="shared" si="24"/>
        <v>500</v>
      </c>
      <c r="G134" s="123">
        <f t="shared" si="25"/>
        <v>0</v>
      </c>
      <c r="I134" s="211">
        <f t="shared" si="23"/>
        <v>0</v>
      </c>
    </row>
    <row r="135" spans="1:9" x14ac:dyDescent="0.25">
      <c r="A135" s="124" t="s">
        <v>8028</v>
      </c>
      <c r="B135" s="125">
        <v>50000</v>
      </c>
      <c r="C135" s="125">
        <v>9747.2900000000009</v>
      </c>
      <c r="F135" s="123">
        <f t="shared" si="24"/>
        <v>40252.71</v>
      </c>
      <c r="G135" s="123">
        <f t="shared" si="25"/>
        <v>-50000</v>
      </c>
      <c r="I135" s="211">
        <f t="shared" si="23"/>
        <v>-1</v>
      </c>
    </row>
    <row r="136" spans="1:9" x14ac:dyDescent="0.25">
      <c r="A136" s="124" t="s">
        <v>8029</v>
      </c>
      <c r="B136" s="125">
        <v>0</v>
      </c>
      <c r="C136" s="125">
        <v>550</v>
      </c>
      <c r="D136" s="8">
        <v>0</v>
      </c>
      <c r="E136" s="8">
        <v>0</v>
      </c>
      <c r="F136" s="123">
        <f t="shared" si="24"/>
        <v>-550</v>
      </c>
      <c r="G136" s="123">
        <f t="shared" si="25"/>
        <v>0</v>
      </c>
      <c r="I136" s="211" t="e">
        <f t="shared" si="23"/>
        <v>#DIV/0!</v>
      </c>
    </row>
    <row r="137" spans="1:9" x14ac:dyDescent="0.25">
      <c r="A137" s="124" t="s">
        <v>8030</v>
      </c>
      <c r="B137" s="125">
        <v>0</v>
      </c>
      <c r="C137" s="125">
        <v>290</v>
      </c>
      <c r="F137" s="123">
        <f t="shared" si="24"/>
        <v>-290</v>
      </c>
      <c r="G137" s="123">
        <f t="shared" si="25"/>
        <v>0</v>
      </c>
      <c r="I137" s="211" t="e">
        <f t="shared" si="23"/>
        <v>#DIV/0!</v>
      </c>
    </row>
    <row r="138" spans="1:9" x14ac:dyDescent="0.25">
      <c r="A138" s="124" t="s">
        <v>8031</v>
      </c>
      <c r="B138" s="125">
        <v>656</v>
      </c>
      <c r="C138" s="125">
        <v>0</v>
      </c>
      <c r="D138" s="125">
        <v>656</v>
      </c>
      <c r="E138" s="125">
        <v>656</v>
      </c>
      <c r="F138" s="123">
        <f t="shared" si="24"/>
        <v>656</v>
      </c>
      <c r="G138" s="123">
        <f t="shared" si="25"/>
        <v>0</v>
      </c>
      <c r="I138" s="211">
        <f t="shared" si="23"/>
        <v>0</v>
      </c>
    </row>
    <row r="139" spans="1:9" x14ac:dyDescent="0.25">
      <c r="A139" s="124" t="s">
        <v>8032</v>
      </c>
      <c r="B139" s="125">
        <v>0</v>
      </c>
      <c r="C139" s="125">
        <v>0</v>
      </c>
      <c r="D139" s="125">
        <v>1000</v>
      </c>
      <c r="E139" s="125">
        <v>1000</v>
      </c>
      <c r="F139" s="123">
        <f t="shared" si="24"/>
        <v>0</v>
      </c>
      <c r="G139" s="123">
        <f t="shared" si="25"/>
        <v>1000</v>
      </c>
      <c r="I139" s="211" t="e">
        <f t="shared" si="23"/>
        <v>#DIV/0!</v>
      </c>
    </row>
    <row r="140" spans="1:9" x14ac:dyDescent="0.25">
      <c r="A140" s="124" t="s">
        <v>8033</v>
      </c>
      <c r="B140" s="125">
        <v>350</v>
      </c>
      <c r="C140" s="125">
        <v>0</v>
      </c>
      <c r="D140" s="125">
        <v>350</v>
      </c>
      <c r="E140" s="125">
        <v>350</v>
      </c>
      <c r="F140" s="123">
        <f t="shared" si="24"/>
        <v>350</v>
      </c>
      <c r="G140" s="123">
        <f t="shared" si="25"/>
        <v>0</v>
      </c>
      <c r="I140" s="211">
        <f t="shared" si="23"/>
        <v>0</v>
      </c>
    </row>
    <row r="141" spans="1:9" x14ac:dyDescent="0.25">
      <c r="A141" s="124" t="s">
        <v>8034</v>
      </c>
      <c r="B141" s="125">
        <v>35000</v>
      </c>
      <c r="C141" s="125">
        <v>19620</v>
      </c>
      <c r="D141" s="125">
        <v>35000</v>
      </c>
      <c r="E141" s="125">
        <v>35000</v>
      </c>
      <c r="F141" s="123">
        <f t="shared" si="24"/>
        <v>15380</v>
      </c>
      <c r="G141" s="123">
        <f t="shared" si="25"/>
        <v>0</v>
      </c>
      <c r="I141" s="211">
        <f t="shared" si="23"/>
        <v>0</v>
      </c>
    </row>
    <row r="142" spans="1:9" x14ac:dyDescent="0.25">
      <c r="A142" s="124" t="s">
        <v>8035</v>
      </c>
      <c r="B142" s="125">
        <v>6000</v>
      </c>
      <c r="C142" s="125">
        <v>0</v>
      </c>
      <c r="D142" s="125">
        <v>25000</v>
      </c>
      <c r="E142" s="125">
        <v>25000</v>
      </c>
      <c r="F142" s="123">
        <f t="shared" si="24"/>
        <v>6000</v>
      </c>
      <c r="G142" s="123">
        <f t="shared" si="25"/>
        <v>19000</v>
      </c>
      <c r="I142" s="211">
        <f t="shared" si="23"/>
        <v>3.1666666666666665</v>
      </c>
    </row>
    <row r="143" spans="1:9" x14ac:dyDescent="0.25">
      <c r="A143" s="122">
        <v>55200</v>
      </c>
      <c r="B143" s="123">
        <f>SUM(B144:B180)</f>
        <v>58556.06</v>
      </c>
      <c r="C143" s="123">
        <f t="shared" ref="C143:D143" si="28">SUM(C144:C180)</f>
        <v>16524.370000000003</v>
      </c>
      <c r="D143" s="123">
        <f t="shared" si="28"/>
        <v>60001</v>
      </c>
      <c r="E143" s="232"/>
      <c r="F143" s="123">
        <f t="shared" si="24"/>
        <v>42031.689999999995</v>
      </c>
      <c r="G143" s="123">
        <f t="shared" si="25"/>
        <v>1444.9400000000023</v>
      </c>
      <c r="I143" s="211">
        <f t="shared" si="23"/>
        <v>2.4676182106514722E-2</v>
      </c>
    </row>
    <row r="144" spans="1:9" x14ac:dyDescent="0.25">
      <c r="A144" s="124" t="s">
        <v>8036</v>
      </c>
      <c r="B144" s="125">
        <v>441.6</v>
      </c>
      <c r="C144" s="125">
        <v>441.6</v>
      </c>
      <c r="D144" s="125">
        <f>ROUND(E144*0.316846741231266,0)</f>
        <v>3485</v>
      </c>
      <c r="E144" s="125">
        <v>11000</v>
      </c>
      <c r="F144" s="123">
        <f t="shared" si="24"/>
        <v>0</v>
      </c>
      <c r="G144" s="123">
        <f t="shared" si="25"/>
        <v>3043.4</v>
      </c>
      <c r="I144" s="211">
        <f t="shared" si="23"/>
        <v>6.8917572463768115</v>
      </c>
    </row>
    <row r="145" spans="1:9" x14ac:dyDescent="0.25">
      <c r="A145" s="124" t="s">
        <v>8037</v>
      </c>
      <c r="B145" s="125">
        <v>17500</v>
      </c>
      <c r="C145" s="125">
        <v>2045.66</v>
      </c>
      <c r="D145" s="125">
        <f t="shared" ref="D145:D180" si="29">ROUND(E145*0.316846741231266,0)</f>
        <v>11090</v>
      </c>
      <c r="E145" s="125">
        <v>35000</v>
      </c>
      <c r="F145" s="123">
        <f t="shared" si="24"/>
        <v>15454.34</v>
      </c>
      <c r="G145" s="123">
        <f t="shared" si="25"/>
        <v>-6410</v>
      </c>
      <c r="I145" s="211">
        <f t="shared" si="23"/>
        <v>-0.36628571428571427</v>
      </c>
    </row>
    <row r="146" spans="1:9" x14ac:dyDescent="0.25">
      <c r="A146" s="124" t="s">
        <v>8038</v>
      </c>
      <c r="B146" s="125">
        <v>10000</v>
      </c>
      <c r="C146" s="125">
        <v>5125</v>
      </c>
      <c r="D146" s="125">
        <f t="shared" si="29"/>
        <v>4753</v>
      </c>
      <c r="E146" s="125">
        <v>15000</v>
      </c>
      <c r="F146" s="123">
        <f t="shared" si="24"/>
        <v>4875</v>
      </c>
      <c r="G146" s="123">
        <f t="shared" si="25"/>
        <v>-5247</v>
      </c>
      <c r="I146" s="211">
        <f t="shared" si="23"/>
        <v>-0.52470000000000006</v>
      </c>
    </row>
    <row r="147" spans="1:9" x14ac:dyDescent="0.25">
      <c r="A147" s="205" t="s">
        <v>8039</v>
      </c>
      <c r="B147" s="206">
        <v>0</v>
      </c>
      <c r="C147" s="125">
        <v>50</v>
      </c>
      <c r="D147" s="125">
        <f t="shared" si="29"/>
        <v>1426</v>
      </c>
      <c r="E147" s="125">
        <v>4500</v>
      </c>
      <c r="F147" s="123">
        <f t="shared" si="24"/>
        <v>-50</v>
      </c>
      <c r="G147" s="123">
        <f t="shared" si="25"/>
        <v>1426</v>
      </c>
      <c r="I147" s="211" t="e">
        <f t="shared" si="23"/>
        <v>#DIV/0!</v>
      </c>
    </row>
    <row r="148" spans="1:9" x14ac:dyDescent="0.25">
      <c r="A148" s="124" t="s">
        <v>8040</v>
      </c>
      <c r="B148" s="125">
        <v>15000</v>
      </c>
      <c r="C148" s="125">
        <v>0</v>
      </c>
      <c r="D148" s="125">
        <f t="shared" si="29"/>
        <v>0</v>
      </c>
      <c r="F148" s="123">
        <f t="shared" si="24"/>
        <v>15000</v>
      </c>
      <c r="G148" s="123">
        <f t="shared" si="25"/>
        <v>-15000</v>
      </c>
      <c r="H148" t="s">
        <v>9957</v>
      </c>
      <c r="I148" s="211">
        <f t="shared" si="23"/>
        <v>-1</v>
      </c>
    </row>
    <row r="149" spans="1:9" x14ac:dyDescent="0.25">
      <c r="A149" s="124" t="s">
        <v>8041</v>
      </c>
      <c r="B149" s="125">
        <v>1300</v>
      </c>
      <c r="C149" s="125">
        <v>421.55</v>
      </c>
      <c r="D149" s="125">
        <f t="shared" si="29"/>
        <v>2852</v>
      </c>
      <c r="E149" s="125">
        <v>9000</v>
      </c>
      <c r="F149" s="123">
        <f t="shared" si="24"/>
        <v>878.45</v>
      </c>
      <c r="G149" s="123">
        <f t="shared" si="25"/>
        <v>1552</v>
      </c>
      <c r="I149" s="211">
        <f t="shared" si="23"/>
        <v>1.1938461538461538</v>
      </c>
    </row>
    <row r="150" spans="1:9" x14ac:dyDescent="0.25">
      <c r="A150" s="124" t="s">
        <v>8042</v>
      </c>
      <c r="B150" s="125">
        <v>0</v>
      </c>
      <c r="C150" s="125">
        <v>0</v>
      </c>
      <c r="D150" s="125">
        <f t="shared" si="29"/>
        <v>2060</v>
      </c>
      <c r="E150" s="125">
        <v>6500</v>
      </c>
      <c r="F150" s="123">
        <f t="shared" si="24"/>
        <v>0</v>
      </c>
      <c r="G150" s="123">
        <f t="shared" si="25"/>
        <v>2060</v>
      </c>
      <c r="I150" s="211" t="e">
        <f t="shared" si="23"/>
        <v>#DIV/0!</v>
      </c>
    </row>
    <row r="151" spans="1:9" x14ac:dyDescent="0.25">
      <c r="A151" s="205" t="s">
        <v>8043</v>
      </c>
      <c r="B151" s="206">
        <v>0</v>
      </c>
      <c r="C151" s="125">
        <v>906.33</v>
      </c>
      <c r="D151" s="125">
        <f t="shared" si="29"/>
        <v>3168</v>
      </c>
      <c r="E151" s="125">
        <v>10000</v>
      </c>
      <c r="F151" s="123">
        <f t="shared" si="24"/>
        <v>-906.33</v>
      </c>
      <c r="G151" s="123">
        <f t="shared" si="25"/>
        <v>3168</v>
      </c>
      <c r="H151" t="s">
        <v>9924</v>
      </c>
      <c r="I151" s="211" t="e">
        <f t="shared" si="23"/>
        <v>#DIV/0!</v>
      </c>
    </row>
    <row r="152" spans="1:9" x14ac:dyDescent="0.25">
      <c r="A152" s="124" t="s">
        <v>8044</v>
      </c>
      <c r="B152" s="125">
        <v>1000</v>
      </c>
      <c r="C152" s="125">
        <v>269.5</v>
      </c>
      <c r="D152" s="125">
        <f t="shared" si="29"/>
        <v>317</v>
      </c>
      <c r="E152" s="125">
        <v>1000</v>
      </c>
      <c r="F152" s="123">
        <f t="shared" si="24"/>
        <v>730.5</v>
      </c>
      <c r="G152" s="123">
        <f t="shared" si="25"/>
        <v>-683</v>
      </c>
      <c r="I152" s="211">
        <f t="shared" si="23"/>
        <v>-0.68300000000000005</v>
      </c>
    </row>
    <row r="153" spans="1:9" x14ac:dyDescent="0.25">
      <c r="A153" s="124" t="s">
        <v>8045</v>
      </c>
      <c r="B153" s="125">
        <v>4000</v>
      </c>
      <c r="C153" s="125">
        <v>3250</v>
      </c>
      <c r="D153" s="125">
        <f t="shared" si="29"/>
        <v>1901</v>
      </c>
      <c r="E153" s="125">
        <v>6000</v>
      </c>
      <c r="F153" s="123">
        <f t="shared" si="24"/>
        <v>750</v>
      </c>
      <c r="G153" s="123">
        <f t="shared" si="25"/>
        <v>-2099</v>
      </c>
      <c r="I153" s="211">
        <f t="shared" si="23"/>
        <v>-0.52475000000000005</v>
      </c>
    </row>
    <row r="154" spans="1:9" x14ac:dyDescent="0.25">
      <c r="A154" s="124" t="s">
        <v>8046</v>
      </c>
      <c r="B154" s="125">
        <v>500</v>
      </c>
      <c r="C154" s="125">
        <v>950</v>
      </c>
      <c r="D154" s="125">
        <f t="shared" si="29"/>
        <v>1584</v>
      </c>
      <c r="E154" s="125">
        <v>5000</v>
      </c>
      <c r="F154" s="123">
        <f t="shared" si="24"/>
        <v>-450</v>
      </c>
      <c r="G154" s="123">
        <f t="shared" si="25"/>
        <v>1084</v>
      </c>
      <c r="I154" s="211">
        <f t="shared" si="23"/>
        <v>2.1680000000000001</v>
      </c>
    </row>
    <row r="155" spans="1:9" x14ac:dyDescent="0.25">
      <c r="A155" s="124" t="s">
        <v>8047</v>
      </c>
      <c r="B155" s="125">
        <v>0</v>
      </c>
      <c r="C155" s="125">
        <v>0</v>
      </c>
      <c r="D155" s="125">
        <f t="shared" si="29"/>
        <v>206</v>
      </c>
      <c r="E155" s="125">
        <v>651</v>
      </c>
      <c r="F155" s="123">
        <f t="shared" si="24"/>
        <v>0</v>
      </c>
      <c r="G155" s="123">
        <f t="shared" si="25"/>
        <v>206</v>
      </c>
      <c r="I155" s="211" t="e">
        <f t="shared" si="23"/>
        <v>#DIV/0!</v>
      </c>
    </row>
    <row r="156" spans="1:9" x14ac:dyDescent="0.25">
      <c r="A156" s="124" t="s">
        <v>8048</v>
      </c>
      <c r="B156" s="125">
        <v>0</v>
      </c>
      <c r="C156" s="125">
        <v>0</v>
      </c>
      <c r="D156" s="125">
        <f t="shared" si="29"/>
        <v>634</v>
      </c>
      <c r="E156" s="125">
        <v>2000</v>
      </c>
      <c r="F156" s="123">
        <f t="shared" si="24"/>
        <v>0</v>
      </c>
      <c r="G156" s="123">
        <f t="shared" si="25"/>
        <v>634</v>
      </c>
      <c r="I156" s="211" t="e">
        <f t="shared" si="23"/>
        <v>#DIV/0!</v>
      </c>
    </row>
    <row r="157" spans="1:9" x14ac:dyDescent="0.25">
      <c r="A157" s="124" t="s">
        <v>8049</v>
      </c>
      <c r="B157" s="125">
        <v>0</v>
      </c>
      <c r="C157" s="125">
        <v>0</v>
      </c>
      <c r="D157" s="125">
        <f t="shared" si="29"/>
        <v>792</v>
      </c>
      <c r="E157" s="125">
        <v>2500</v>
      </c>
      <c r="F157" s="123">
        <f t="shared" si="24"/>
        <v>0</v>
      </c>
      <c r="G157" s="123">
        <f t="shared" si="25"/>
        <v>792</v>
      </c>
      <c r="I157" s="211" t="e">
        <f t="shared" si="23"/>
        <v>#DIV/0!</v>
      </c>
    </row>
    <row r="158" spans="1:9" x14ac:dyDescent="0.25">
      <c r="A158" s="205" t="s">
        <v>8050</v>
      </c>
      <c r="B158" s="206">
        <v>0</v>
      </c>
      <c r="C158" s="125">
        <v>0</v>
      </c>
      <c r="D158" s="125">
        <f t="shared" si="29"/>
        <v>4753</v>
      </c>
      <c r="E158" s="125">
        <v>15000</v>
      </c>
      <c r="F158" s="123">
        <f t="shared" si="24"/>
        <v>0</v>
      </c>
      <c r="G158" s="123">
        <f t="shared" si="25"/>
        <v>4753</v>
      </c>
      <c r="I158" s="211" t="e">
        <f t="shared" si="23"/>
        <v>#DIV/0!</v>
      </c>
    </row>
    <row r="159" spans="1:9" x14ac:dyDescent="0.25">
      <c r="A159" s="124" t="s">
        <v>8051</v>
      </c>
      <c r="B159" s="125">
        <v>0</v>
      </c>
      <c r="C159" s="125">
        <v>0</v>
      </c>
      <c r="D159" s="125">
        <f t="shared" si="29"/>
        <v>317</v>
      </c>
      <c r="E159" s="125">
        <v>1000</v>
      </c>
      <c r="F159" s="123">
        <f t="shared" si="24"/>
        <v>0</v>
      </c>
      <c r="G159" s="123">
        <f t="shared" si="25"/>
        <v>317</v>
      </c>
      <c r="I159" s="211" t="e">
        <f t="shared" si="23"/>
        <v>#DIV/0!</v>
      </c>
    </row>
    <row r="160" spans="1:9" x14ac:dyDescent="0.25">
      <c r="A160" s="124" t="s">
        <v>8052</v>
      </c>
      <c r="B160" s="125">
        <v>0</v>
      </c>
      <c r="C160" s="125">
        <v>0</v>
      </c>
      <c r="D160" s="125">
        <f t="shared" si="29"/>
        <v>222</v>
      </c>
      <c r="E160" s="125">
        <v>700</v>
      </c>
      <c r="F160" s="123">
        <f t="shared" si="24"/>
        <v>0</v>
      </c>
      <c r="G160" s="123">
        <f t="shared" si="25"/>
        <v>222</v>
      </c>
      <c r="I160" s="211" t="e">
        <f t="shared" si="23"/>
        <v>#DIV/0!</v>
      </c>
    </row>
    <row r="161" spans="1:9" x14ac:dyDescent="0.25">
      <c r="A161" s="205" t="s">
        <v>8053</v>
      </c>
      <c r="B161" s="206">
        <v>0</v>
      </c>
      <c r="C161" s="125">
        <v>0</v>
      </c>
      <c r="D161" s="125">
        <f t="shared" si="29"/>
        <v>317</v>
      </c>
      <c r="E161" s="125">
        <v>1000</v>
      </c>
      <c r="F161" s="123">
        <f t="shared" si="24"/>
        <v>0</v>
      </c>
      <c r="G161" s="123">
        <f t="shared" si="25"/>
        <v>317</v>
      </c>
      <c r="I161" s="211" t="e">
        <f t="shared" si="23"/>
        <v>#DIV/0!</v>
      </c>
    </row>
    <row r="162" spans="1:9" x14ac:dyDescent="0.25">
      <c r="A162" s="124" t="s">
        <v>8054</v>
      </c>
      <c r="B162" s="125">
        <v>0</v>
      </c>
      <c r="C162" s="125">
        <v>0</v>
      </c>
      <c r="D162" s="125">
        <f t="shared" si="29"/>
        <v>339</v>
      </c>
      <c r="E162" s="125">
        <v>1070</v>
      </c>
      <c r="F162" s="123">
        <f t="shared" si="24"/>
        <v>0</v>
      </c>
      <c r="G162" s="123">
        <f t="shared" si="25"/>
        <v>339</v>
      </c>
      <c r="I162" s="211" t="e">
        <f t="shared" si="23"/>
        <v>#DIV/0!</v>
      </c>
    </row>
    <row r="163" spans="1:9" x14ac:dyDescent="0.25">
      <c r="A163" s="124" t="s">
        <v>8055</v>
      </c>
      <c r="B163" s="125">
        <v>390</v>
      </c>
      <c r="C163" s="125">
        <v>250</v>
      </c>
      <c r="D163" s="125">
        <f t="shared" si="29"/>
        <v>170</v>
      </c>
      <c r="E163" s="125">
        <v>535</v>
      </c>
      <c r="F163" s="123">
        <f t="shared" si="24"/>
        <v>140</v>
      </c>
      <c r="G163" s="123">
        <f t="shared" si="25"/>
        <v>-220</v>
      </c>
      <c r="I163" s="211">
        <f t="shared" si="23"/>
        <v>-0.5641025641025641</v>
      </c>
    </row>
    <row r="164" spans="1:9" x14ac:dyDescent="0.25">
      <c r="A164" s="124" t="s">
        <v>8056</v>
      </c>
      <c r="B164" s="125">
        <v>0</v>
      </c>
      <c r="C164" s="125">
        <v>0</v>
      </c>
      <c r="D164" s="125">
        <f t="shared" si="29"/>
        <v>760</v>
      </c>
      <c r="E164" s="125">
        <v>2400</v>
      </c>
      <c r="F164" s="123">
        <f t="shared" si="24"/>
        <v>0</v>
      </c>
      <c r="G164" s="123">
        <f t="shared" si="25"/>
        <v>760</v>
      </c>
      <c r="I164" s="211" t="e">
        <f t="shared" si="23"/>
        <v>#DIV/0!</v>
      </c>
    </row>
    <row r="165" spans="1:9" x14ac:dyDescent="0.25">
      <c r="A165" s="124" t="s">
        <v>8057</v>
      </c>
      <c r="B165" s="125">
        <v>0</v>
      </c>
      <c r="C165" s="125">
        <v>0</v>
      </c>
      <c r="D165" s="125">
        <f t="shared" si="29"/>
        <v>158</v>
      </c>
      <c r="E165" s="125">
        <v>500</v>
      </c>
      <c r="F165" s="123">
        <f t="shared" si="24"/>
        <v>0</v>
      </c>
      <c r="G165" s="123">
        <f t="shared" si="25"/>
        <v>158</v>
      </c>
      <c r="I165" s="211" t="e">
        <f t="shared" si="23"/>
        <v>#DIV/0!</v>
      </c>
    </row>
    <row r="166" spans="1:9" x14ac:dyDescent="0.25">
      <c r="A166" s="124" t="s">
        <v>8058</v>
      </c>
      <c r="B166" s="125">
        <v>0</v>
      </c>
      <c r="C166" s="125">
        <v>0</v>
      </c>
      <c r="D166" s="125">
        <f t="shared" si="29"/>
        <v>79</v>
      </c>
      <c r="E166" s="125">
        <v>250</v>
      </c>
      <c r="F166" s="123">
        <f t="shared" si="24"/>
        <v>0</v>
      </c>
      <c r="G166" s="123">
        <f t="shared" si="25"/>
        <v>79</v>
      </c>
      <c r="I166" s="211" t="e">
        <f t="shared" si="23"/>
        <v>#DIV/0!</v>
      </c>
    </row>
    <row r="167" spans="1:9" x14ac:dyDescent="0.25">
      <c r="A167" s="205" t="s">
        <v>8059</v>
      </c>
      <c r="B167" s="206">
        <v>0</v>
      </c>
      <c r="C167" s="125">
        <v>0</v>
      </c>
      <c r="D167" s="125">
        <f t="shared" si="29"/>
        <v>982</v>
      </c>
      <c r="E167" s="125">
        <v>3100</v>
      </c>
      <c r="F167" s="123">
        <f t="shared" si="24"/>
        <v>0</v>
      </c>
      <c r="G167" s="123">
        <f t="shared" si="25"/>
        <v>982</v>
      </c>
      <c r="I167" s="211" t="e">
        <f t="shared" si="23"/>
        <v>#DIV/0!</v>
      </c>
    </row>
    <row r="168" spans="1:9" x14ac:dyDescent="0.25">
      <c r="A168" s="124" t="s">
        <v>8060</v>
      </c>
      <c r="B168" s="125">
        <v>91.52</v>
      </c>
      <c r="C168" s="125">
        <v>185.79</v>
      </c>
      <c r="D168" s="125">
        <f t="shared" si="29"/>
        <v>570</v>
      </c>
      <c r="E168" s="125">
        <v>1800</v>
      </c>
      <c r="F168" s="123">
        <f t="shared" si="24"/>
        <v>-94.27</v>
      </c>
      <c r="G168" s="123">
        <f t="shared" si="25"/>
        <v>478.48</v>
      </c>
      <c r="I168" s="211">
        <f t="shared" si="23"/>
        <v>5.2281468531468533</v>
      </c>
    </row>
    <row r="169" spans="1:9" x14ac:dyDescent="0.25">
      <c r="A169" s="124" t="s">
        <v>8061</v>
      </c>
      <c r="B169" s="125">
        <v>2000</v>
      </c>
      <c r="C169" s="125">
        <v>1296</v>
      </c>
      <c r="D169" s="125">
        <f t="shared" si="29"/>
        <v>2060</v>
      </c>
      <c r="E169" s="125">
        <v>6500</v>
      </c>
      <c r="F169" s="123">
        <f t="shared" si="24"/>
        <v>704</v>
      </c>
      <c r="G169" s="123">
        <f t="shared" si="25"/>
        <v>60</v>
      </c>
      <c r="I169" s="211">
        <f t="shared" si="23"/>
        <v>0.03</v>
      </c>
    </row>
    <row r="170" spans="1:9" x14ac:dyDescent="0.25">
      <c r="A170" s="205" t="s">
        <v>8062</v>
      </c>
      <c r="B170" s="206">
        <v>0</v>
      </c>
      <c r="C170" s="125">
        <v>0</v>
      </c>
      <c r="D170" s="125">
        <f t="shared" si="29"/>
        <v>951</v>
      </c>
      <c r="E170" s="125">
        <v>3000</v>
      </c>
      <c r="F170" s="123">
        <f t="shared" si="24"/>
        <v>0</v>
      </c>
      <c r="G170" s="123">
        <f t="shared" si="25"/>
        <v>951</v>
      </c>
      <c r="I170" s="211" t="e">
        <f t="shared" si="23"/>
        <v>#DIV/0!</v>
      </c>
    </row>
    <row r="171" spans="1:9" x14ac:dyDescent="0.25">
      <c r="A171" s="124" t="s">
        <v>8063</v>
      </c>
      <c r="B171" s="125">
        <v>100</v>
      </c>
      <c r="C171" s="125">
        <v>100</v>
      </c>
      <c r="D171" s="125">
        <f t="shared" si="29"/>
        <v>507</v>
      </c>
      <c r="E171" s="125">
        <v>1600</v>
      </c>
      <c r="F171" s="123">
        <f t="shared" si="24"/>
        <v>0</v>
      </c>
      <c r="G171" s="123">
        <f t="shared" si="25"/>
        <v>407</v>
      </c>
      <c r="I171" s="211">
        <f t="shared" si="23"/>
        <v>4.07</v>
      </c>
    </row>
    <row r="172" spans="1:9" x14ac:dyDescent="0.25">
      <c r="A172" s="124" t="s">
        <v>8064</v>
      </c>
      <c r="B172" s="125">
        <v>0</v>
      </c>
      <c r="C172" s="125">
        <v>0</v>
      </c>
      <c r="D172" s="125">
        <f t="shared" si="29"/>
        <v>158</v>
      </c>
      <c r="E172" s="125">
        <v>500</v>
      </c>
      <c r="F172" s="123">
        <f t="shared" si="24"/>
        <v>0</v>
      </c>
      <c r="G172" s="123">
        <f t="shared" si="25"/>
        <v>158</v>
      </c>
      <c r="I172" s="211" t="e">
        <f t="shared" si="23"/>
        <v>#DIV/0!</v>
      </c>
    </row>
    <row r="173" spans="1:9" x14ac:dyDescent="0.25">
      <c r="A173" s="124" t="s">
        <v>8065</v>
      </c>
      <c r="B173" s="125">
        <v>5000</v>
      </c>
      <c r="C173" s="125">
        <v>0</v>
      </c>
      <c r="D173" s="125">
        <f t="shared" si="29"/>
        <v>0</v>
      </c>
      <c r="F173" s="123">
        <f t="shared" si="24"/>
        <v>5000</v>
      </c>
      <c r="G173" s="123">
        <f t="shared" si="25"/>
        <v>-5000</v>
      </c>
      <c r="H173" t="s">
        <v>9957</v>
      </c>
      <c r="I173" s="211">
        <f t="shared" si="23"/>
        <v>-1</v>
      </c>
    </row>
    <row r="174" spans="1:9" x14ac:dyDescent="0.25">
      <c r="A174" s="124" t="s">
        <v>8066</v>
      </c>
      <c r="B174" s="125">
        <v>565</v>
      </c>
      <c r="C174" s="125">
        <v>565</v>
      </c>
      <c r="D174" s="125">
        <f t="shared" si="29"/>
        <v>1901</v>
      </c>
      <c r="E174" s="125">
        <v>6000</v>
      </c>
      <c r="F174" s="123">
        <f t="shared" si="24"/>
        <v>0</v>
      </c>
      <c r="G174" s="123">
        <f t="shared" si="25"/>
        <v>1336</v>
      </c>
      <c r="I174" s="211">
        <f t="shared" si="23"/>
        <v>2.3646017699115043</v>
      </c>
    </row>
    <row r="175" spans="1:9" x14ac:dyDescent="0.25">
      <c r="A175" s="124" t="s">
        <v>8067</v>
      </c>
      <c r="B175" s="125">
        <v>50</v>
      </c>
      <c r="C175" s="125">
        <v>50</v>
      </c>
      <c r="D175" s="125">
        <f t="shared" si="29"/>
        <v>922</v>
      </c>
      <c r="E175" s="125">
        <v>2910</v>
      </c>
      <c r="F175" s="123">
        <f t="shared" si="24"/>
        <v>0</v>
      </c>
      <c r="G175" s="123">
        <f t="shared" si="25"/>
        <v>872</v>
      </c>
      <c r="I175" s="211">
        <f t="shared" si="23"/>
        <v>17.440000000000001</v>
      </c>
    </row>
    <row r="176" spans="1:9" x14ac:dyDescent="0.25">
      <c r="A176" s="124" t="s">
        <v>8068</v>
      </c>
      <c r="B176" s="125">
        <v>0</v>
      </c>
      <c r="C176" s="125">
        <v>0</v>
      </c>
      <c r="D176" s="125">
        <f t="shared" si="29"/>
        <v>1537</v>
      </c>
      <c r="E176" s="125">
        <v>4850</v>
      </c>
      <c r="F176" s="123">
        <f t="shared" si="24"/>
        <v>0</v>
      </c>
      <c r="G176" s="123">
        <f t="shared" si="25"/>
        <v>1537</v>
      </c>
      <c r="I176" s="211" t="e">
        <f t="shared" si="23"/>
        <v>#DIV/0!</v>
      </c>
    </row>
    <row r="177" spans="1:9" x14ac:dyDescent="0.25">
      <c r="A177" s="124" t="s">
        <v>8069</v>
      </c>
      <c r="B177" s="125">
        <v>0</v>
      </c>
      <c r="C177" s="125">
        <v>0</v>
      </c>
      <c r="D177" s="125">
        <f t="shared" si="29"/>
        <v>317</v>
      </c>
      <c r="E177" s="125">
        <v>1000</v>
      </c>
      <c r="F177" s="123">
        <f t="shared" si="24"/>
        <v>0</v>
      </c>
      <c r="G177" s="123">
        <f t="shared" si="25"/>
        <v>317</v>
      </c>
      <c r="I177" s="211" t="e">
        <f t="shared" si="23"/>
        <v>#DIV/0!</v>
      </c>
    </row>
    <row r="178" spans="1:9" x14ac:dyDescent="0.25">
      <c r="A178" s="124" t="s">
        <v>8070</v>
      </c>
      <c r="B178" s="125">
        <v>0</v>
      </c>
      <c r="C178" s="125">
        <v>0</v>
      </c>
      <c r="D178" s="125">
        <f t="shared" si="29"/>
        <v>158</v>
      </c>
      <c r="E178" s="125">
        <v>500</v>
      </c>
      <c r="F178" s="123">
        <f t="shared" si="24"/>
        <v>0</v>
      </c>
      <c r="G178" s="123">
        <f t="shared" si="25"/>
        <v>158</v>
      </c>
      <c r="I178" s="211" t="e">
        <f t="shared" si="23"/>
        <v>#DIV/0!</v>
      </c>
    </row>
    <row r="179" spans="1:9" x14ac:dyDescent="0.25">
      <c r="A179" s="124" t="s">
        <v>8071</v>
      </c>
      <c r="B179" s="125">
        <v>0</v>
      </c>
      <c r="C179" s="125">
        <v>0</v>
      </c>
      <c r="D179" s="125">
        <f t="shared" si="29"/>
        <v>634</v>
      </c>
      <c r="E179" s="125">
        <v>2000</v>
      </c>
      <c r="F179" s="123">
        <f t="shared" si="24"/>
        <v>0</v>
      </c>
      <c r="G179" s="123">
        <f t="shared" si="25"/>
        <v>634</v>
      </c>
      <c r="I179" s="211" t="e">
        <f t="shared" si="23"/>
        <v>#DIV/0!</v>
      </c>
    </row>
    <row r="180" spans="1:9" x14ac:dyDescent="0.25">
      <c r="A180" s="124" t="s">
        <v>8072</v>
      </c>
      <c r="B180" s="125">
        <v>617.94000000000005</v>
      </c>
      <c r="C180" s="125">
        <v>617.94000000000005</v>
      </c>
      <c r="D180" s="125">
        <f t="shared" si="29"/>
        <v>7921</v>
      </c>
      <c r="E180" s="125">
        <v>25000</v>
      </c>
      <c r="F180" s="123">
        <f t="shared" si="24"/>
        <v>0</v>
      </c>
      <c r="G180" s="123">
        <f t="shared" si="25"/>
        <v>7303.0599999999995</v>
      </c>
      <c r="I180" s="211">
        <f t="shared" si="23"/>
        <v>11.818396608084926</v>
      </c>
    </row>
    <row r="181" spans="1:9" x14ac:dyDescent="0.25">
      <c r="A181" s="122">
        <v>55210</v>
      </c>
      <c r="B181" s="123">
        <f>SUM(B182:B183)</f>
        <v>0</v>
      </c>
      <c r="C181" s="123">
        <f>SUM(C182:C183)</f>
        <v>0</v>
      </c>
      <c r="D181" s="123">
        <f>SUM(D182:D183)</f>
        <v>11500</v>
      </c>
      <c r="E181" s="123">
        <f>SUM(E182:E183)</f>
        <v>11500</v>
      </c>
      <c r="F181" s="123">
        <f t="shared" si="24"/>
        <v>0</v>
      </c>
      <c r="G181" s="123">
        <f t="shared" si="25"/>
        <v>11500</v>
      </c>
      <c r="I181" s="211" t="e">
        <f t="shared" si="23"/>
        <v>#DIV/0!</v>
      </c>
    </row>
    <row r="182" spans="1:9" x14ac:dyDescent="0.25">
      <c r="A182" s="124" t="s">
        <v>8073</v>
      </c>
      <c r="B182" s="125">
        <v>0</v>
      </c>
      <c r="C182" s="125">
        <v>0</v>
      </c>
      <c r="D182" s="125">
        <v>10000</v>
      </c>
      <c r="E182" s="125">
        <v>10000</v>
      </c>
      <c r="F182" s="123">
        <f t="shared" si="24"/>
        <v>0</v>
      </c>
      <c r="G182" s="123">
        <f t="shared" si="25"/>
        <v>10000</v>
      </c>
      <c r="I182" s="211" t="e">
        <f t="shared" si="23"/>
        <v>#DIV/0!</v>
      </c>
    </row>
    <row r="183" spans="1:9" x14ac:dyDescent="0.25">
      <c r="A183" s="124" t="s">
        <v>8074</v>
      </c>
      <c r="D183" s="125">
        <v>1500</v>
      </c>
      <c r="E183" s="125">
        <v>1500</v>
      </c>
      <c r="F183" s="123">
        <f t="shared" si="24"/>
        <v>0</v>
      </c>
      <c r="G183" s="123">
        <f t="shared" si="25"/>
        <v>1500</v>
      </c>
      <c r="I183" s="211" t="e">
        <f t="shared" si="23"/>
        <v>#DIV/0!</v>
      </c>
    </row>
    <row r="184" spans="1:9" x14ac:dyDescent="0.25">
      <c r="A184" s="122">
        <v>55240</v>
      </c>
      <c r="B184" s="123">
        <f>SUM(B185)</f>
        <v>125000</v>
      </c>
      <c r="C184" s="123">
        <f>SUM(C185)</f>
        <v>86500</v>
      </c>
      <c r="D184" s="123">
        <f>SUM(D185)</f>
        <v>125000</v>
      </c>
      <c r="E184" s="123">
        <f>SUM(E185)</f>
        <v>125000</v>
      </c>
      <c r="F184" s="123">
        <f t="shared" si="24"/>
        <v>38500</v>
      </c>
      <c r="G184" s="123">
        <f t="shared" si="25"/>
        <v>0</v>
      </c>
      <c r="I184" s="211">
        <f t="shared" si="23"/>
        <v>0</v>
      </c>
    </row>
    <row r="185" spans="1:9" x14ac:dyDescent="0.25">
      <c r="A185" s="124" t="s">
        <v>8075</v>
      </c>
      <c r="B185" s="125">
        <v>125000</v>
      </c>
      <c r="C185" s="125">
        <v>86500</v>
      </c>
      <c r="D185" s="125">
        <v>125000</v>
      </c>
      <c r="E185" s="125">
        <v>125000</v>
      </c>
      <c r="F185" s="123">
        <f t="shared" si="24"/>
        <v>38500</v>
      </c>
      <c r="G185" s="123">
        <f t="shared" si="25"/>
        <v>0</v>
      </c>
      <c r="I185" s="211">
        <f t="shared" si="23"/>
        <v>0</v>
      </c>
    </row>
    <row r="186" spans="1:9" x14ac:dyDescent="0.25">
      <c r="A186" s="122">
        <v>55264</v>
      </c>
      <c r="B186" s="123">
        <f>SUM(B187)</f>
        <v>0</v>
      </c>
      <c r="C186" s="123">
        <f>SUM(C187)</f>
        <v>0</v>
      </c>
      <c r="D186" s="123">
        <f>SUM(D187)</f>
        <v>10000</v>
      </c>
      <c r="E186" s="123">
        <f>SUM(E187)</f>
        <v>10000</v>
      </c>
      <c r="F186" s="123">
        <f t="shared" si="24"/>
        <v>0</v>
      </c>
      <c r="G186" s="123">
        <f t="shared" si="25"/>
        <v>10000</v>
      </c>
      <c r="I186" s="211" t="e">
        <f t="shared" si="23"/>
        <v>#DIV/0!</v>
      </c>
    </row>
    <row r="187" spans="1:9" x14ac:dyDescent="0.25">
      <c r="A187" s="124" t="s">
        <v>8076</v>
      </c>
      <c r="B187" s="125">
        <v>0</v>
      </c>
      <c r="C187" s="125">
        <v>0</v>
      </c>
      <c r="D187" s="125">
        <v>10000</v>
      </c>
      <c r="E187" s="125">
        <v>10000</v>
      </c>
      <c r="F187" s="123">
        <f t="shared" si="24"/>
        <v>0</v>
      </c>
      <c r="G187" s="123">
        <f t="shared" si="25"/>
        <v>10000</v>
      </c>
      <c r="I187" s="211" t="e">
        <f t="shared" si="23"/>
        <v>#DIV/0!</v>
      </c>
    </row>
    <row r="188" spans="1:9" x14ac:dyDescent="0.25">
      <c r="A188" s="122">
        <v>55300</v>
      </c>
      <c r="B188" s="123">
        <f>SUM(B189:B214)</f>
        <v>162302</v>
      </c>
      <c r="C188" s="123">
        <f t="shared" ref="C188:D188" si="30">SUM(C189:C214)</f>
        <v>127758.13</v>
      </c>
      <c r="D188" s="123">
        <f t="shared" si="30"/>
        <v>170036</v>
      </c>
      <c r="E188" s="123">
        <f t="shared" ref="E188" si="31">SUM(E189:E214)</f>
        <v>170036</v>
      </c>
      <c r="F188" s="123">
        <f t="shared" si="24"/>
        <v>34543.869999999995</v>
      </c>
      <c r="G188" s="123">
        <f t="shared" si="25"/>
        <v>7734</v>
      </c>
      <c r="I188" s="211">
        <f t="shared" si="23"/>
        <v>4.7651908171187043E-2</v>
      </c>
    </row>
    <row r="189" spans="1:9" x14ac:dyDescent="0.25">
      <c r="A189" s="124" t="s">
        <v>8077</v>
      </c>
      <c r="B189" s="125">
        <v>92000</v>
      </c>
      <c r="C189" s="125">
        <v>79168.5</v>
      </c>
      <c r="D189" s="125">
        <v>92000</v>
      </c>
      <c r="E189" s="125">
        <v>92000</v>
      </c>
      <c r="F189" s="123">
        <f t="shared" si="24"/>
        <v>12831.5</v>
      </c>
      <c r="G189" s="123">
        <f t="shared" si="25"/>
        <v>0</v>
      </c>
      <c r="I189" s="211">
        <f t="shared" si="23"/>
        <v>0</v>
      </c>
    </row>
    <row r="190" spans="1:9" x14ac:dyDescent="0.25">
      <c r="A190" s="124" t="s">
        <v>8078</v>
      </c>
      <c r="B190" s="125">
        <v>800</v>
      </c>
      <c r="C190" s="125">
        <v>0</v>
      </c>
      <c r="D190" s="125">
        <v>800</v>
      </c>
      <c r="E190" s="125">
        <v>800</v>
      </c>
      <c r="F190" s="123">
        <f t="shared" si="24"/>
        <v>800</v>
      </c>
      <c r="G190" s="123">
        <f t="shared" si="25"/>
        <v>0</v>
      </c>
      <c r="I190" s="211">
        <f t="shared" si="23"/>
        <v>0</v>
      </c>
    </row>
    <row r="191" spans="1:9" x14ac:dyDescent="0.25">
      <c r="A191" s="124" t="s">
        <v>8079</v>
      </c>
      <c r="B191" s="125">
        <v>600</v>
      </c>
      <c r="C191" s="125">
        <v>150</v>
      </c>
      <c r="D191" s="125">
        <v>600</v>
      </c>
      <c r="E191" s="125">
        <v>600</v>
      </c>
      <c r="F191" s="123">
        <f t="shared" si="24"/>
        <v>450</v>
      </c>
      <c r="G191" s="123">
        <f t="shared" si="25"/>
        <v>0</v>
      </c>
      <c r="I191" s="211">
        <f t="shared" si="23"/>
        <v>0</v>
      </c>
    </row>
    <row r="192" spans="1:9" x14ac:dyDescent="0.25">
      <c r="A192" s="124" t="s">
        <v>8080</v>
      </c>
      <c r="B192" s="125">
        <v>3000</v>
      </c>
      <c r="C192" s="125">
        <v>2865</v>
      </c>
      <c r="D192" s="125">
        <v>3000</v>
      </c>
      <c r="E192" s="125">
        <v>3000</v>
      </c>
      <c r="F192" s="123">
        <f t="shared" si="24"/>
        <v>135</v>
      </c>
      <c r="G192" s="123">
        <f t="shared" si="25"/>
        <v>0</v>
      </c>
      <c r="I192" s="211">
        <f t="shared" si="23"/>
        <v>0</v>
      </c>
    </row>
    <row r="193" spans="1:9" x14ac:dyDescent="0.25">
      <c r="A193" s="124" t="s">
        <v>8081</v>
      </c>
      <c r="B193" s="125">
        <v>500</v>
      </c>
      <c r="C193" s="125">
        <v>395</v>
      </c>
      <c r="D193" s="125">
        <v>2000</v>
      </c>
      <c r="E193" s="125">
        <v>2000</v>
      </c>
      <c r="F193" s="123">
        <f t="shared" si="24"/>
        <v>105</v>
      </c>
      <c r="G193" s="123">
        <f t="shared" si="25"/>
        <v>1500</v>
      </c>
      <c r="I193" s="211">
        <f t="shared" si="23"/>
        <v>3</v>
      </c>
    </row>
    <row r="194" spans="1:9" x14ac:dyDescent="0.25">
      <c r="A194" s="124" t="s">
        <v>8082</v>
      </c>
      <c r="B194" s="125">
        <v>700</v>
      </c>
      <c r="C194" s="125">
        <v>0</v>
      </c>
      <c r="D194" s="125">
        <v>700</v>
      </c>
      <c r="E194" s="125">
        <v>700</v>
      </c>
      <c r="F194" s="123">
        <f t="shared" si="24"/>
        <v>700</v>
      </c>
      <c r="G194" s="123">
        <f t="shared" si="25"/>
        <v>0</v>
      </c>
      <c r="I194" s="211">
        <f t="shared" si="23"/>
        <v>0</v>
      </c>
    </row>
    <row r="195" spans="1:9" x14ac:dyDescent="0.25">
      <c r="A195" s="124" t="s">
        <v>8083</v>
      </c>
      <c r="B195" s="125">
        <v>10500</v>
      </c>
      <c r="C195" s="125">
        <v>8542.67</v>
      </c>
      <c r="D195" s="8">
        <f>3576*4</f>
        <v>14304</v>
      </c>
      <c r="E195" s="8">
        <f>3576*4</f>
        <v>14304</v>
      </c>
      <c r="F195" s="123">
        <f t="shared" si="24"/>
        <v>1957.33</v>
      </c>
      <c r="G195" s="123">
        <f t="shared" si="25"/>
        <v>3804</v>
      </c>
      <c r="H195" t="s">
        <v>9923</v>
      </c>
      <c r="I195" s="211">
        <f t="shared" ref="I195:I258" si="32">+G195/B195</f>
        <v>0.36228571428571427</v>
      </c>
    </row>
    <row r="196" spans="1:9" x14ac:dyDescent="0.25">
      <c r="A196" s="124" t="s">
        <v>8084</v>
      </c>
      <c r="B196" s="125">
        <v>500</v>
      </c>
      <c r="C196" s="125">
        <v>245</v>
      </c>
      <c r="D196" s="125">
        <v>500</v>
      </c>
      <c r="E196" s="125">
        <v>500</v>
      </c>
      <c r="F196" s="123">
        <f t="shared" ref="F196:F259" si="33">+B196-C196</f>
        <v>255</v>
      </c>
      <c r="G196" s="123">
        <f t="shared" ref="G196:G259" si="34">+D196-B196</f>
        <v>0</v>
      </c>
      <c r="I196" s="211">
        <f t="shared" si="32"/>
        <v>0</v>
      </c>
    </row>
    <row r="197" spans="1:9" x14ac:dyDescent="0.25">
      <c r="A197" s="124" t="s">
        <v>8085</v>
      </c>
      <c r="B197" s="125">
        <v>400</v>
      </c>
      <c r="C197" s="125">
        <v>300</v>
      </c>
      <c r="D197" s="125">
        <v>400</v>
      </c>
      <c r="E197" s="125">
        <v>400</v>
      </c>
      <c r="F197" s="123">
        <f t="shared" si="33"/>
        <v>100</v>
      </c>
      <c r="G197" s="123">
        <f t="shared" si="34"/>
        <v>0</v>
      </c>
      <c r="I197" s="211">
        <f t="shared" si="32"/>
        <v>0</v>
      </c>
    </row>
    <row r="198" spans="1:9" x14ac:dyDescent="0.25">
      <c r="A198" s="124" t="s">
        <v>8086</v>
      </c>
      <c r="B198" s="125">
        <v>0</v>
      </c>
      <c r="C198" s="125">
        <v>0</v>
      </c>
      <c r="D198" s="125">
        <v>200</v>
      </c>
      <c r="E198" s="125">
        <v>200</v>
      </c>
      <c r="F198" s="123">
        <f t="shared" si="33"/>
        <v>0</v>
      </c>
      <c r="G198" s="123">
        <f t="shared" si="34"/>
        <v>200</v>
      </c>
      <c r="I198" s="211" t="e">
        <f t="shared" si="32"/>
        <v>#DIV/0!</v>
      </c>
    </row>
    <row r="199" spans="1:9" x14ac:dyDescent="0.25">
      <c r="A199" s="124" t="s">
        <v>8087</v>
      </c>
      <c r="B199" s="125">
        <v>5000</v>
      </c>
      <c r="C199" s="125">
        <v>0</v>
      </c>
      <c r="D199" s="125">
        <v>5000</v>
      </c>
      <c r="E199" s="125">
        <v>5000</v>
      </c>
      <c r="F199" s="123">
        <f t="shared" si="33"/>
        <v>5000</v>
      </c>
      <c r="G199" s="123">
        <f t="shared" si="34"/>
        <v>0</v>
      </c>
      <c r="I199" s="211">
        <f t="shared" si="32"/>
        <v>0</v>
      </c>
    </row>
    <row r="200" spans="1:9" x14ac:dyDescent="0.25">
      <c r="A200" s="124" t="s">
        <v>8088</v>
      </c>
      <c r="B200" s="125">
        <v>25000</v>
      </c>
      <c r="C200" s="125">
        <v>19170</v>
      </c>
      <c r="D200" s="125">
        <v>25000</v>
      </c>
      <c r="E200" s="125">
        <v>25000</v>
      </c>
      <c r="F200" s="123">
        <f t="shared" si="33"/>
        <v>5830</v>
      </c>
      <c r="G200" s="123">
        <f t="shared" si="34"/>
        <v>0</v>
      </c>
      <c r="I200" s="211">
        <f t="shared" si="32"/>
        <v>0</v>
      </c>
    </row>
    <row r="201" spans="1:9" x14ac:dyDescent="0.25">
      <c r="A201" s="124" t="s">
        <v>8089</v>
      </c>
      <c r="B201" s="125">
        <v>12143</v>
      </c>
      <c r="C201" s="125">
        <v>10591.96</v>
      </c>
      <c r="D201" s="125">
        <v>12143</v>
      </c>
      <c r="E201" s="125">
        <v>12143</v>
      </c>
      <c r="F201" s="123">
        <f t="shared" si="33"/>
        <v>1551.0400000000009</v>
      </c>
      <c r="G201" s="123">
        <f t="shared" si="34"/>
        <v>0</v>
      </c>
      <c r="I201" s="211">
        <f t="shared" si="32"/>
        <v>0</v>
      </c>
    </row>
    <row r="202" spans="1:9" x14ac:dyDescent="0.25">
      <c r="A202" s="124" t="s">
        <v>8090</v>
      </c>
      <c r="B202" s="125">
        <v>250</v>
      </c>
      <c r="C202" s="125">
        <v>0</v>
      </c>
      <c r="D202" s="125">
        <v>250</v>
      </c>
      <c r="E202" s="125">
        <v>250</v>
      </c>
      <c r="F202" s="123">
        <f t="shared" si="33"/>
        <v>250</v>
      </c>
      <c r="G202" s="123">
        <f t="shared" si="34"/>
        <v>0</v>
      </c>
      <c r="I202" s="211">
        <f t="shared" si="32"/>
        <v>0</v>
      </c>
    </row>
    <row r="203" spans="1:9" x14ac:dyDescent="0.25">
      <c r="A203" s="124" t="s">
        <v>8091</v>
      </c>
      <c r="B203" s="125">
        <v>0</v>
      </c>
      <c r="C203" s="125">
        <v>140</v>
      </c>
      <c r="F203" s="123">
        <f t="shared" si="33"/>
        <v>-140</v>
      </c>
      <c r="G203" s="123">
        <f t="shared" si="34"/>
        <v>0</v>
      </c>
      <c r="I203" s="211" t="e">
        <f t="shared" si="32"/>
        <v>#DIV/0!</v>
      </c>
    </row>
    <row r="204" spans="1:9" x14ac:dyDescent="0.25">
      <c r="A204" s="124" t="s">
        <v>8092</v>
      </c>
      <c r="B204" s="125">
        <v>150</v>
      </c>
      <c r="C204" s="125">
        <v>0</v>
      </c>
      <c r="D204" s="125">
        <v>150</v>
      </c>
      <c r="E204" s="125">
        <v>150</v>
      </c>
      <c r="F204" s="123">
        <f t="shared" si="33"/>
        <v>150</v>
      </c>
      <c r="G204" s="123">
        <f t="shared" si="34"/>
        <v>0</v>
      </c>
      <c r="I204" s="211">
        <f t="shared" si="32"/>
        <v>0</v>
      </c>
    </row>
    <row r="205" spans="1:9" x14ac:dyDescent="0.25">
      <c r="A205" s="124" t="s">
        <v>8093</v>
      </c>
      <c r="B205" s="125">
        <v>1500</v>
      </c>
      <c r="C205" s="125">
        <v>915</v>
      </c>
      <c r="D205" s="125">
        <v>3210</v>
      </c>
      <c r="E205" s="125">
        <v>3210</v>
      </c>
      <c r="F205" s="123">
        <f t="shared" si="33"/>
        <v>585</v>
      </c>
      <c r="G205" s="123">
        <f t="shared" si="34"/>
        <v>1710</v>
      </c>
      <c r="I205" s="211">
        <f t="shared" si="32"/>
        <v>1.1399999999999999</v>
      </c>
    </row>
    <row r="206" spans="1:9" x14ac:dyDescent="0.25">
      <c r="A206" s="124" t="s">
        <v>8094</v>
      </c>
      <c r="B206" s="125">
        <v>3000</v>
      </c>
      <c r="C206" s="125">
        <v>1650</v>
      </c>
      <c r="D206" s="125">
        <v>3000</v>
      </c>
      <c r="E206" s="125">
        <v>3000</v>
      </c>
      <c r="F206" s="123">
        <f t="shared" si="33"/>
        <v>1350</v>
      </c>
      <c r="G206" s="123">
        <f t="shared" si="34"/>
        <v>0</v>
      </c>
      <c r="I206" s="211">
        <f t="shared" si="32"/>
        <v>0</v>
      </c>
    </row>
    <row r="207" spans="1:9" x14ac:dyDescent="0.25">
      <c r="A207" s="124" t="s">
        <v>8095</v>
      </c>
      <c r="B207" s="125">
        <v>55</v>
      </c>
      <c r="C207" s="125">
        <v>75</v>
      </c>
      <c r="D207" s="125">
        <v>75</v>
      </c>
      <c r="E207" s="125">
        <v>75</v>
      </c>
      <c r="F207" s="123">
        <f t="shared" si="33"/>
        <v>-20</v>
      </c>
      <c r="G207" s="123">
        <f t="shared" si="34"/>
        <v>20</v>
      </c>
      <c r="I207" s="211">
        <f t="shared" si="32"/>
        <v>0.36363636363636365</v>
      </c>
    </row>
    <row r="208" spans="1:9" x14ac:dyDescent="0.25">
      <c r="A208" s="124" t="s">
        <v>8096</v>
      </c>
      <c r="B208" s="125">
        <v>100</v>
      </c>
      <c r="C208" s="125">
        <v>0</v>
      </c>
      <c r="D208" s="125">
        <v>100</v>
      </c>
      <c r="E208" s="125">
        <v>100</v>
      </c>
      <c r="F208" s="123">
        <f t="shared" si="33"/>
        <v>100</v>
      </c>
      <c r="G208" s="123">
        <f t="shared" si="34"/>
        <v>0</v>
      </c>
      <c r="I208" s="211">
        <f t="shared" si="32"/>
        <v>0</v>
      </c>
    </row>
    <row r="209" spans="1:9" x14ac:dyDescent="0.25">
      <c r="A209" s="124" t="s">
        <v>8097</v>
      </c>
      <c r="B209" s="125">
        <v>300</v>
      </c>
      <c r="C209" s="125">
        <v>300</v>
      </c>
      <c r="D209" s="125">
        <v>300</v>
      </c>
      <c r="E209" s="125">
        <v>300</v>
      </c>
      <c r="F209" s="123">
        <f t="shared" si="33"/>
        <v>0</v>
      </c>
      <c r="G209" s="123">
        <f t="shared" si="34"/>
        <v>0</v>
      </c>
      <c r="I209" s="211">
        <f t="shared" si="32"/>
        <v>0</v>
      </c>
    </row>
    <row r="210" spans="1:9" x14ac:dyDescent="0.25">
      <c r="A210" s="124" t="s">
        <v>8098</v>
      </c>
      <c r="B210" s="125">
        <v>0</v>
      </c>
      <c r="C210" s="125">
        <v>300</v>
      </c>
      <c r="D210" s="125">
        <v>0</v>
      </c>
      <c r="E210" s="125">
        <v>0</v>
      </c>
      <c r="F210" s="123">
        <f t="shared" si="33"/>
        <v>-300</v>
      </c>
      <c r="G210" s="123">
        <f t="shared" si="34"/>
        <v>0</v>
      </c>
      <c r="I210" s="211" t="e">
        <f t="shared" si="32"/>
        <v>#DIV/0!</v>
      </c>
    </row>
    <row r="211" spans="1:9" x14ac:dyDescent="0.25">
      <c r="A211" s="124" t="s">
        <v>8099</v>
      </c>
      <c r="B211" s="125">
        <v>1509</v>
      </c>
      <c r="C211" s="125">
        <v>1460</v>
      </c>
      <c r="D211" s="125">
        <v>1509</v>
      </c>
      <c r="E211" s="125">
        <v>1509</v>
      </c>
      <c r="F211" s="123">
        <f t="shared" si="33"/>
        <v>49</v>
      </c>
      <c r="G211" s="123">
        <f t="shared" si="34"/>
        <v>0</v>
      </c>
      <c r="I211" s="211">
        <f t="shared" si="32"/>
        <v>0</v>
      </c>
    </row>
    <row r="212" spans="1:9" x14ac:dyDescent="0.25">
      <c r="A212" s="124" t="s">
        <v>8100</v>
      </c>
      <c r="B212" s="125">
        <v>100</v>
      </c>
      <c r="C212" s="125">
        <v>0</v>
      </c>
      <c r="D212" s="125">
        <v>100</v>
      </c>
      <c r="E212" s="125">
        <v>100</v>
      </c>
      <c r="F212" s="123">
        <f t="shared" si="33"/>
        <v>100</v>
      </c>
      <c r="G212" s="123">
        <f t="shared" si="34"/>
        <v>0</v>
      </c>
      <c r="I212" s="211">
        <f t="shared" si="32"/>
        <v>0</v>
      </c>
    </row>
    <row r="213" spans="1:9" x14ac:dyDescent="0.25">
      <c r="A213" s="124" t="s">
        <v>8101</v>
      </c>
      <c r="B213" s="125">
        <v>2695</v>
      </c>
      <c r="C213" s="125">
        <v>0</v>
      </c>
      <c r="D213" s="125">
        <v>2695</v>
      </c>
      <c r="E213" s="125">
        <v>2695</v>
      </c>
      <c r="F213" s="123">
        <f t="shared" si="33"/>
        <v>2695</v>
      </c>
      <c r="G213" s="123">
        <f t="shared" si="34"/>
        <v>0</v>
      </c>
      <c r="I213" s="211">
        <f t="shared" si="32"/>
        <v>0</v>
      </c>
    </row>
    <row r="214" spans="1:9" x14ac:dyDescent="0.25">
      <c r="A214" s="124" t="s">
        <v>8102</v>
      </c>
      <c r="B214" s="125">
        <v>1500</v>
      </c>
      <c r="C214" s="125">
        <v>1490</v>
      </c>
      <c r="D214" s="125">
        <v>2000</v>
      </c>
      <c r="E214" s="125">
        <v>2000</v>
      </c>
      <c r="F214" s="123">
        <f t="shared" si="33"/>
        <v>10</v>
      </c>
      <c r="G214" s="123">
        <f t="shared" si="34"/>
        <v>500</v>
      </c>
      <c r="I214" s="211">
        <f t="shared" si="32"/>
        <v>0.33333333333333331</v>
      </c>
    </row>
    <row r="215" spans="1:9" x14ac:dyDescent="0.25">
      <c r="A215" s="122">
        <v>55309</v>
      </c>
      <c r="B215" s="123">
        <f>SUM(B216:B225)</f>
        <v>36009</v>
      </c>
      <c r="C215" s="123">
        <f t="shared" ref="C215:D215" si="35">SUM(C216:C225)</f>
        <v>29665.329999999998</v>
      </c>
      <c r="D215" s="123">
        <f t="shared" si="35"/>
        <v>40409</v>
      </c>
      <c r="E215" s="123">
        <f t="shared" ref="E215" si="36">SUM(E216:E225)</f>
        <v>40409</v>
      </c>
      <c r="F215" s="123">
        <f t="shared" si="33"/>
        <v>6343.6700000000019</v>
      </c>
      <c r="G215" s="123">
        <f t="shared" si="34"/>
        <v>4400</v>
      </c>
      <c r="I215" s="211">
        <f t="shared" si="32"/>
        <v>0.12219167430364632</v>
      </c>
    </row>
    <row r="216" spans="1:9" x14ac:dyDescent="0.25">
      <c r="A216" s="124" t="s">
        <v>8103</v>
      </c>
      <c r="B216" s="125">
        <v>11000</v>
      </c>
      <c r="C216" s="125">
        <v>10400</v>
      </c>
      <c r="D216" s="125">
        <v>11000</v>
      </c>
      <c r="E216" s="125">
        <v>11000</v>
      </c>
      <c r="F216" s="123">
        <f t="shared" si="33"/>
        <v>600</v>
      </c>
      <c r="G216" s="123">
        <f t="shared" si="34"/>
        <v>0</v>
      </c>
      <c r="I216" s="211">
        <f t="shared" si="32"/>
        <v>0</v>
      </c>
    </row>
    <row r="217" spans="1:9" x14ac:dyDescent="0.25">
      <c r="A217" s="124" t="s">
        <v>8104</v>
      </c>
      <c r="B217" s="125">
        <v>0</v>
      </c>
      <c r="C217" s="125">
        <v>199</v>
      </c>
      <c r="D217" s="8">
        <v>0</v>
      </c>
      <c r="E217" s="8">
        <v>0</v>
      </c>
      <c r="F217" s="123">
        <f t="shared" si="33"/>
        <v>-199</v>
      </c>
      <c r="G217" s="123">
        <f t="shared" si="34"/>
        <v>0</v>
      </c>
      <c r="I217" s="211" t="e">
        <f t="shared" si="32"/>
        <v>#DIV/0!</v>
      </c>
    </row>
    <row r="218" spans="1:9" x14ac:dyDescent="0.25">
      <c r="A218" s="124" t="s">
        <v>8105</v>
      </c>
      <c r="B218" s="125">
        <v>700</v>
      </c>
      <c r="C218" s="125">
        <v>528.23</v>
      </c>
      <c r="D218" s="125">
        <v>700</v>
      </c>
      <c r="E218" s="125">
        <v>700</v>
      </c>
      <c r="F218" s="123">
        <f t="shared" si="33"/>
        <v>171.76999999999998</v>
      </c>
      <c r="G218" s="123">
        <f t="shared" si="34"/>
        <v>0</v>
      </c>
      <c r="I218" s="211">
        <f t="shared" si="32"/>
        <v>0</v>
      </c>
    </row>
    <row r="219" spans="1:9" x14ac:dyDescent="0.25">
      <c r="A219" s="124" t="s">
        <v>8106</v>
      </c>
      <c r="B219" s="125">
        <v>800</v>
      </c>
      <c r="C219" s="125">
        <v>800</v>
      </c>
      <c r="D219" s="125">
        <v>800</v>
      </c>
      <c r="E219" s="125">
        <v>800</v>
      </c>
      <c r="F219" s="123">
        <f t="shared" si="33"/>
        <v>0</v>
      </c>
      <c r="G219" s="123">
        <f t="shared" si="34"/>
        <v>0</v>
      </c>
      <c r="I219" s="211">
        <f t="shared" si="32"/>
        <v>0</v>
      </c>
    </row>
    <row r="220" spans="1:9" x14ac:dyDescent="0.25">
      <c r="A220" s="124" t="s">
        <v>8107</v>
      </c>
      <c r="B220" s="125">
        <v>4952</v>
      </c>
      <c r="C220" s="125">
        <v>1275</v>
      </c>
      <c r="D220" s="125">
        <v>4952</v>
      </c>
      <c r="E220" s="125">
        <v>4952</v>
      </c>
      <c r="F220" s="123">
        <f t="shared" si="33"/>
        <v>3677</v>
      </c>
      <c r="G220" s="123">
        <f t="shared" si="34"/>
        <v>0</v>
      </c>
      <c r="I220" s="211">
        <f t="shared" si="32"/>
        <v>0</v>
      </c>
    </row>
    <row r="221" spans="1:9" x14ac:dyDescent="0.25">
      <c r="A221" s="124" t="s">
        <v>8108</v>
      </c>
      <c r="B221" s="125">
        <v>5700</v>
      </c>
      <c r="C221" s="125">
        <v>0</v>
      </c>
      <c r="D221" s="125">
        <v>5700</v>
      </c>
      <c r="E221" s="125">
        <v>5700</v>
      </c>
      <c r="F221" s="123">
        <f t="shared" si="33"/>
        <v>5700</v>
      </c>
      <c r="G221" s="123">
        <f t="shared" si="34"/>
        <v>0</v>
      </c>
      <c r="I221" s="211">
        <f t="shared" si="32"/>
        <v>0</v>
      </c>
    </row>
    <row r="222" spans="1:9" x14ac:dyDescent="0.25">
      <c r="A222" s="124" t="s">
        <v>8109</v>
      </c>
      <c r="B222" s="125">
        <v>150</v>
      </c>
      <c r="C222" s="125">
        <v>0</v>
      </c>
      <c r="D222" s="125">
        <v>150</v>
      </c>
      <c r="E222" s="125">
        <v>150</v>
      </c>
      <c r="F222" s="123">
        <f t="shared" si="33"/>
        <v>150</v>
      </c>
      <c r="G222" s="123">
        <f t="shared" si="34"/>
        <v>0</v>
      </c>
      <c r="I222" s="211">
        <f t="shared" si="32"/>
        <v>0</v>
      </c>
    </row>
    <row r="223" spans="1:9" x14ac:dyDescent="0.25">
      <c r="A223" s="124" t="s">
        <v>8110</v>
      </c>
      <c r="B223" s="125">
        <v>107</v>
      </c>
      <c r="C223" s="125">
        <v>0</v>
      </c>
      <c r="D223" s="125">
        <v>107</v>
      </c>
      <c r="E223" s="125">
        <v>107</v>
      </c>
      <c r="F223" s="123">
        <f t="shared" si="33"/>
        <v>107</v>
      </c>
      <c r="G223" s="123">
        <f t="shared" si="34"/>
        <v>0</v>
      </c>
      <c r="I223" s="211">
        <f t="shared" si="32"/>
        <v>0</v>
      </c>
    </row>
    <row r="224" spans="1:9" x14ac:dyDescent="0.25">
      <c r="A224" s="124" t="s">
        <v>8111</v>
      </c>
      <c r="B224" s="125">
        <v>12100</v>
      </c>
      <c r="C224" s="125">
        <v>16463.099999999999</v>
      </c>
      <c r="D224" s="125">
        <v>16500</v>
      </c>
      <c r="E224" s="125">
        <v>16500</v>
      </c>
      <c r="F224" s="123">
        <f t="shared" si="33"/>
        <v>-4363.0999999999985</v>
      </c>
      <c r="G224" s="123">
        <f t="shared" si="34"/>
        <v>4400</v>
      </c>
      <c r="I224" s="211">
        <f t="shared" si="32"/>
        <v>0.36363636363636365</v>
      </c>
    </row>
    <row r="225" spans="1:14" x14ac:dyDescent="0.25">
      <c r="A225" s="124" t="s">
        <v>8112</v>
      </c>
      <c r="B225" s="125">
        <v>500</v>
      </c>
      <c r="C225" s="125">
        <v>0</v>
      </c>
      <c r="D225" s="125">
        <v>500</v>
      </c>
      <c r="E225" s="125">
        <v>500</v>
      </c>
      <c r="F225" s="123">
        <f t="shared" si="33"/>
        <v>500</v>
      </c>
      <c r="G225" s="123">
        <f t="shared" si="34"/>
        <v>0</v>
      </c>
      <c r="I225" s="211">
        <f t="shared" si="32"/>
        <v>0</v>
      </c>
    </row>
    <row r="226" spans="1:14" x14ac:dyDescent="0.25">
      <c r="A226" s="122">
        <v>55400</v>
      </c>
      <c r="B226" s="123">
        <f>SUM(B227:B229)</f>
        <v>504651</v>
      </c>
      <c r="C226" s="123">
        <f t="shared" ref="C226:D226" si="37">SUM(C227:C229)</f>
        <v>458574.23</v>
      </c>
      <c r="D226" s="123">
        <f t="shared" si="37"/>
        <v>514221</v>
      </c>
      <c r="E226" s="123">
        <f t="shared" ref="E226" si="38">SUM(E227:E229)</f>
        <v>514221</v>
      </c>
      <c r="F226" s="123">
        <f t="shared" si="33"/>
        <v>46076.770000000019</v>
      </c>
      <c r="G226" s="123">
        <f t="shared" si="34"/>
        <v>9570</v>
      </c>
      <c r="I226" s="211">
        <f t="shared" si="32"/>
        <v>1.8963600587336597E-2</v>
      </c>
    </row>
    <row r="227" spans="1:14" x14ac:dyDescent="0.25">
      <c r="A227" s="127" t="s">
        <v>8113</v>
      </c>
      <c r="B227" s="125">
        <v>315430</v>
      </c>
      <c r="C227" s="125">
        <v>341507.23</v>
      </c>
      <c r="D227" s="2">
        <v>325000</v>
      </c>
      <c r="E227" s="2">
        <v>325000</v>
      </c>
      <c r="F227" s="123">
        <f t="shared" si="33"/>
        <v>-26077.229999999981</v>
      </c>
      <c r="G227" s="123">
        <f t="shared" si="34"/>
        <v>9570</v>
      </c>
      <c r="H227" t="s">
        <v>9921</v>
      </c>
      <c r="I227" s="211">
        <f t="shared" si="32"/>
        <v>3.0339536505722346E-2</v>
      </c>
    </row>
    <row r="228" spans="1:14" x14ac:dyDescent="0.25">
      <c r="A228" s="124" t="s">
        <v>8114</v>
      </c>
      <c r="B228" s="125">
        <v>69570</v>
      </c>
      <c r="C228" s="125">
        <v>0</v>
      </c>
      <c r="D228" s="125">
        <v>69570</v>
      </c>
      <c r="E228" s="125">
        <v>69570</v>
      </c>
      <c r="F228" s="123">
        <f t="shared" si="33"/>
        <v>69570</v>
      </c>
      <c r="G228" s="123">
        <f t="shared" si="34"/>
        <v>0</v>
      </c>
      <c r="I228" s="211">
        <f t="shared" si="32"/>
        <v>0</v>
      </c>
    </row>
    <row r="229" spans="1:14" x14ac:dyDescent="0.25">
      <c r="A229" s="124" t="s">
        <v>8115</v>
      </c>
      <c r="B229" s="125">
        <v>119651</v>
      </c>
      <c r="C229" s="125">
        <v>117067</v>
      </c>
      <c r="D229" s="125">
        <v>119651</v>
      </c>
      <c r="E229" s="125">
        <v>119651</v>
      </c>
      <c r="F229" s="123">
        <f t="shared" si="33"/>
        <v>2584</v>
      </c>
      <c r="G229" s="123">
        <f t="shared" si="34"/>
        <v>0</v>
      </c>
      <c r="I229" s="211">
        <f t="shared" si="32"/>
        <v>0</v>
      </c>
    </row>
    <row r="230" spans="1:14" x14ac:dyDescent="0.25">
      <c r="A230" s="122">
        <v>55530</v>
      </c>
      <c r="B230" s="123">
        <f>SUM(B231:B236)</f>
        <v>897086.82</v>
      </c>
      <c r="C230" s="123">
        <f t="shared" ref="C230:D230" si="39">SUM(C231:C236)</f>
        <v>331440.89</v>
      </c>
      <c r="D230" s="123">
        <f t="shared" si="39"/>
        <v>644580</v>
      </c>
      <c r="E230" s="123">
        <f t="shared" ref="E230" si="40">SUM(E231:E236)</f>
        <v>644580</v>
      </c>
      <c r="F230" s="123">
        <f t="shared" si="33"/>
        <v>565645.92999999993</v>
      </c>
      <c r="G230" s="123">
        <f t="shared" si="34"/>
        <v>-252506.81999999995</v>
      </c>
      <c r="I230" s="211">
        <f t="shared" si="32"/>
        <v>-0.28147422787908083</v>
      </c>
    </row>
    <row r="231" spans="1:14" x14ac:dyDescent="0.25">
      <c r="A231" s="124" t="s">
        <v>8116</v>
      </c>
      <c r="B231" s="125">
        <v>22290</v>
      </c>
      <c r="C231" s="125">
        <v>15322.51</v>
      </c>
      <c r="D231" s="125">
        <v>22290</v>
      </c>
      <c r="E231" s="125">
        <v>22290</v>
      </c>
      <c r="F231" s="123">
        <f t="shared" si="33"/>
        <v>6967.49</v>
      </c>
      <c r="G231" s="123">
        <f t="shared" si="34"/>
        <v>0</v>
      </c>
      <c r="I231" s="211">
        <f t="shared" si="32"/>
        <v>0</v>
      </c>
    </row>
    <row r="232" spans="1:14" x14ac:dyDescent="0.25">
      <c r="A232" s="124" t="s">
        <v>8117</v>
      </c>
      <c r="B232" s="125">
        <v>29796.82</v>
      </c>
      <c r="C232" s="125">
        <v>1444.98</v>
      </c>
      <c r="D232" s="125">
        <v>22290</v>
      </c>
      <c r="E232" s="125">
        <v>22290</v>
      </c>
      <c r="F232" s="123">
        <f t="shared" si="33"/>
        <v>28351.84</v>
      </c>
      <c r="G232" s="123">
        <f t="shared" si="34"/>
        <v>-7506.82</v>
      </c>
      <c r="H232" s="92"/>
      <c r="I232" s="211">
        <f t="shared" si="32"/>
        <v>-0.25193359559845646</v>
      </c>
    </row>
    <row r="233" spans="1:14" s="175" customFormat="1" x14ac:dyDescent="0.25">
      <c r="A233" s="172" t="s">
        <v>8118</v>
      </c>
      <c r="B233" s="173">
        <v>845000</v>
      </c>
      <c r="C233" s="173">
        <v>313341.62</v>
      </c>
      <c r="D233" s="173">
        <f>769170-169170</f>
        <v>600000</v>
      </c>
      <c r="E233" s="173">
        <f>769170-169170</f>
        <v>600000</v>
      </c>
      <c r="F233" s="123">
        <f t="shared" si="33"/>
        <v>531658.38</v>
      </c>
      <c r="G233" s="123">
        <f t="shared" si="34"/>
        <v>-245000</v>
      </c>
      <c r="H233" s="174" t="s">
        <v>9929</v>
      </c>
      <c r="I233" s="211">
        <f t="shared" si="32"/>
        <v>-0.28994082840236685</v>
      </c>
    </row>
    <row r="234" spans="1:14" x14ac:dyDescent="0.25">
      <c r="A234" s="124" t="s">
        <v>8119</v>
      </c>
      <c r="B234" s="125">
        <v>0</v>
      </c>
      <c r="C234" s="125">
        <v>0</v>
      </c>
      <c r="F234" s="123">
        <f t="shared" si="33"/>
        <v>0</v>
      </c>
      <c r="G234" s="123">
        <f t="shared" si="34"/>
        <v>0</v>
      </c>
      <c r="H234" s="92"/>
      <c r="I234" s="211" t="e">
        <f t="shared" si="32"/>
        <v>#DIV/0!</v>
      </c>
    </row>
    <row r="235" spans="1:14" x14ac:dyDescent="0.25">
      <c r="A235" s="124" t="s">
        <v>8120</v>
      </c>
      <c r="F235" s="123">
        <f t="shared" si="33"/>
        <v>0</v>
      </c>
      <c r="G235" s="123">
        <f t="shared" si="34"/>
        <v>0</v>
      </c>
      <c r="I235" s="211" t="e">
        <f t="shared" si="32"/>
        <v>#DIV/0!</v>
      </c>
    </row>
    <row r="236" spans="1:14" ht="15.75" x14ac:dyDescent="0.25">
      <c r="A236" s="124" t="s">
        <v>8121</v>
      </c>
      <c r="B236" s="125">
        <v>0</v>
      </c>
      <c r="C236" s="125">
        <v>1331.78</v>
      </c>
      <c r="F236" s="123">
        <f t="shared" si="33"/>
        <v>-1331.78</v>
      </c>
      <c r="G236" s="123">
        <f t="shared" si="34"/>
        <v>0</v>
      </c>
      <c r="I236" s="211" t="e">
        <f t="shared" si="32"/>
        <v>#DIV/0!</v>
      </c>
      <c r="J236" s="176" t="s">
        <v>8400</v>
      </c>
      <c r="K236" s="177"/>
      <c r="L236" s="177"/>
      <c r="M236" s="177"/>
      <c r="N236" s="177"/>
    </row>
    <row r="237" spans="1:14" ht="15.75" x14ac:dyDescent="0.25">
      <c r="A237" s="122">
        <v>55540</v>
      </c>
      <c r="B237" s="123">
        <f>SUM(B238:B241)</f>
        <v>157983</v>
      </c>
      <c r="C237" s="123">
        <f t="shared" ref="C237:D237" si="41">SUM(C238:C241)</f>
        <v>205700.94</v>
      </c>
      <c r="D237" s="123">
        <f t="shared" si="41"/>
        <v>273350</v>
      </c>
      <c r="E237" s="123">
        <f t="shared" ref="E237" si="42">SUM(E238:E241)</f>
        <v>273350</v>
      </c>
      <c r="F237" s="123">
        <f t="shared" si="33"/>
        <v>-47717.94</v>
      </c>
      <c r="G237" s="123">
        <f t="shared" si="34"/>
        <v>115367</v>
      </c>
      <c r="I237" s="211">
        <f t="shared" si="32"/>
        <v>0.73024945722008061</v>
      </c>
      <c r="J237" s="178">
        <v>2018</v>
      </c>
      <c r="K237" s="178">
        <v>2019</v>
      </c>
      <c r="L237" s="178">
        <v>2020</v>
      </c>
      <c r="M237" s="178">
        <v>2021</v>
      </c>
      <c r="N237" s="179" t="s">
        <v>7604</v>
      </c>
    </row>
    <row r="238" spans="1:14" ht="15.75" x14ac:dyDescent="0.25">
      <c r="A238" s="124" t="s">
        <v>8122</v>
      </c>
      <c r="B238" s="125">
        <v>1161</v>
      </c>
      <c r="C238" s="125">
        <v>1542.55</v>
      </c>
      <c r="D238" s="125">
        <v>1675</v>
      </c>
      <c r="E238" s="125">
        <v>1675</v>
      </c>
      <c r="F238" s="123">
        <f t="shared" si="33"/>
        <v>-381.54999999999995</v>
      </c>
      <c r="G238" s="123">
        <f t="shared" si="34"/>
        <v>514</v>
      </c>
      <c r="I238" s="211">
        <f t="shared" si="32"/>
        <v>0.44272179155900088</v>
      </c>
      <c r="J238" s="180">
        <v>1170673.7000000002</v>
      </c>
      <c r="K238" s="180">
        <v>1254813.9100000001</v>
      </c>
      <c r="L238" s="180">
        <v>1178342.5300000003</v>
      </c>
      <c r="M238" s="180">
        <v>637548.35000000009</v>
      </c>
      <c r="N238" s="180">
        <v>4241378.4900000012</v>
      </c>
    </row>
    <row r="239" spans="1:14" x14ac:dyDescent="0.25">
      <c r="A239" s="124" t="s">
        <v>8123</v>
      </c>
      <c r="B239" s="125">
        <v>1161</v>
      </c>
      <c r="C239" s="125">
        <v>0</v>
      </c>
      <c r="D239" s="125">
        <v>1675</v>
      </c>
      <c r="E239" s="125">
        <v>1675</v>
      </c>
      <c r="F239" s="123">
        <f t="shared" si="33"/>
        <v>1161</v>
      </c>
      <c r="G239" s="123">
        <f t="shared" si="34"/>
        <v>514</v>
      </c>
      <c r="I239" s="211">
        <f t="shared" si="32"/>
        <v>0.44272179155900088</v>
      </c>
      <c r="J239" s="181">
        <v>1170673.7000000002</v>
      </c>
      <c r="K239" s="181">
        <v>1254813.9100000001</v>
      </c>
      <c r="L239" s="181">
        <v>1178342.5300000003</v>
      </c>
      <c r="M239" s="181">
        <v>637548.35000000009</v>
      </c>
      <c r="N239" s="181">
        <v>4241378.4900000012</v>
      </c>
    </row>
    <row r="240" spans="1:14" x14ac:dyDescent="0.25">
      <c r="A240" s="124" t="s">
        <v>8124</v>
      </c>
      <c r="B240" s="125">
        <v>155661</v>
      </c>
      <c r="C240" s="125">
        <v>204158.39</v>
      </c>
      <c r="D240" s="125">
        <v>270000</v>
      </c>
      <c r="E240" s="125">
        <v>270000</v>
      </c>
      <c r="F240" s="123">
        <f t="shared" si="33"/>
        <v>-48497.390000000014</v>
      </c>
      <c r="G240" s="123">
        <f t="shared" si="34"/>
        <v>114339</v>
      </c>
      <c r="I240" s="211">
        <f t="shared" si="32"/>
        <v>0.73453851639138901</v>
      </c>
      <c r="J240" s="182">
        <v>1170066.0000000002</v>
      </c>
      <c r="K240" s="182">
        <v>784471.09000000008</v>
      </c>
      <c r="L240" s="182">
        <v>866967.41000000038</v>
      </c>
      <c r="M240" s="182">
        <v>331784.15000000008</v>
      </c>
      <c r="N240" s="182">
        <v>3153288.6500000008</v>
      </c>
    </row>
    <row r="241" spans="1:14" x14ac:dyDescent="0.25">
      <c r="A241" s="124" t="s">
        <v>8125</v>
      </c>
      <c r="F241" s="123">
        <f t="shared" si="33"/>
        <v>0</v>
      </c>
      <c r="G241" s="123">
        <f t="shared" si="34"/>
        <v>0</v>
      </c>
      <c r="I241" s="211" t="e">
        <f t="shared" si="32"/>
        <v>#DIV/0!</v>
      </c>
      <c r="J241" s="182">
        <v>85.510000000060245</v>
      </c>
      <c r="K241" s="182">
        <v>282702.25999999995</v>
      </c>
      <c r="L241" s="182">
        <v>156821.49000000002</v>
      </c>
      <c r="M241" s="182">
        <v>205893.32</v>
      </c>
      <c r="N241" s="182">
        <v>645502.58000000007</v>
      </c>
    </row>
    <row r="242" spans="1:14" x14ac:dyDescent="0.25">
      <c r="A242" s="122">
        <v>55550</v>
      </c>
      <c r="B242" s="123">
        <f>SUM(B243:B249)</f>
        <v>140713</v>
      </c>
      <c r="C242" s="123">
        <f t="shared" ref="C242:D242" si="43">SUM(C243:C249)</f>
        <v>137310.23000000001</v>
      </c>
      <c r="D242" s="123">
        <f t="shared" si="43"/>
        <v>145713</v>
      </c>
      <c r="E242" s="123">
        <f t="shared" ref="E242" si="44">SUM(E243:E249)</f>
        <v>145713</v>
      </c>
      <c r="F242" s="123">
        <f t="shared" si="33"/>
        <v>3402.7699999999895</v>
      </c>
      <c r="G242" s="123">
        <f t="shared" si="34"/>
        <v>5000</v>
      </c>
      <c r="I242" s="211">
        <f t="shared" si="32"/>
        <v>3.5533319593783093E-2</v>
      </c>
      <c r="J242" s="182">
        <v>296.12999999996828</v>
      </c>
      <c r="K242" s="182">
        <v>93214.910000000033</v>
      </c>
      <c r="L242" s="182">
        <v>66964.319999999978</v>
      </c>
      <c r="M242" s="182">
        <v>46411.119999999988</v>
      </c>
      <c r="N242" s="182">
        <v>206886.47999999998</v>
      </c>
    </row>
    <row r="243" spans="1:14" x14ac:dyDescent="0.25">
      <c r="A243" s="124" t="s">
        <v>8126</v>
      </c>
      <c r="B243" s="125">
        <v>600</v>
      </c>
      <c r="C243" s="125">
        <v>550</v>
      </c>
      <c r="D243" s="125">
        <v>600</v>
      </c>
      <c r="E243" s="125">
        <v>600</v>
      </c>
      <c r="F243" s="123">
        <f t="shared" si="33"/>
        <v>50</v>
      </c>
      <c r="G243" s="123">
        <f t="shared" si="34"/>
        <v>0</v>
      </c>
      <c r="I243" s="211">
        <f t="shared" si="32"/>
        <v>0</v>
      </c>
      <c r="J243" s="182">
        <v>-1.4551915228366852E-11</v>
      </c>
      <c r="K243" s="182">
        <v>28521.89</v>
      </c>
      <c r="L243" s="182">
        <v>31837.63</v>
      </c>
      <c r="M243" s="182">
        <v>26418.519999999997</v>
      </c>
      <c r="N243" s="182">
        <v>86778.039999999979</v>
      </c>
    </row>
    <row r="244" spans="1:14" x14ac:dyDescent="0.25">
      <c r="A244" s="124" t="s">
        <v>8127</v>
      </c>
      <c r="B244" s="125">
        <v>307</v>
      </c>
      <c r="C244" s="125">
        <v>192.5</v>
      </c>
      <c r="D244" s="125">
        <v>307</v>
      </c>
      <c r="E244" s="125">
        <v>307</v>
      </c>
      <c r="F244" s="123">
        <f t="shared" si="33"/>
        <v>114.5</v>
      </c>
      <c r="G244" s="123">
        <f t="shared" si="34"/>
        <v>0</v>
      </c>
      <c r="I244" s="211">
        <f t="shared" si="32"/>
        <v>0</v>
      </c>
      <c r="J244" s="182">
        <v>-2.2737367544323206E-13</v>
      </c>
      <c r="K244" s="182">
        <v>2159</v>
      </c>
      <c r="L244" s="182">
        <v>1763</v>
      </c>
      <c r="M244" s="182"/>
      <c r="N244" s="182">
        <v>3922</v>
      </c>
    </row>
    <row r="245" spans="1:14" ht="15.75" thickBot="1" x14ac:dyDescent="0.3">
      <c r="A245" s="124" t="s">
        <v>8128</v>
      </c>
      <c r="B245" s="125">
        <v>306</v>
      </c>
      <c r="C245" s="125">
        <v>192.5</v>
      </c>
      <c r="D245" s="125">
        <v>306</v>
      </c>
      <c r="E245" s="125">
        <v>306</v>
      </c>
      <c r="F245" s="123">
        <f t="shared" si="33"/>
        <v>113.5</v>
      </c>
      <c r="G245" s="123">
        <f t="shared" si="34"/>
        <v>0</v>
      </c>
      <c r="I245" s="211">
        <f t="shared" si="32"/>
        <v>0</v>
      </c>
      <c r="J245" s="182">
        <v>226.06000000001995</v>
      </c>
      <c r="K245" s="182">
        <v>63744.75999999998</v>
      </c>
      <c r="L245" s="182">
        <v>53988.68</v>
      </c>
      <c r="M245" s="182">
        <v>27041.239999999998</v>
      </c>
      <c r="N245" s="182">
        <v>145000.74</v>
      </c>
    </row>
    <row r="246" spans="1:14" ht="16.5" thickTop="1" x14ac:dyDescent="0.25">
      <c r="A246" s="127" t="s">
        <v>8129</v>
      </c>
      <c r="B246" s="125">
        <v>0</v>
      </c>
      <c r="C246" s="125">
        <v>138.38999999999999</v>
      </c>
      <c r="D246" s="8"/>
      <c r="E246" s="8"/>
      <c r="F246" s="123">
        <f t="shared" si="33"/>
        <v>-138.38999999999999</v>
      </c>
      <c r="G246" s="123">
        <f t="shared" si="34"/>
        <v>0</v>
      </c>
      <c r="I246" s="211" t="e">
        <f t="shared" si="32"/>
        <v>#DIV/0!</v>
      </c>
      <c r="J246" s="183">
        <v>1170673.7000000002</v>
      </c>
      <c r="K246" s="183">
        <v>1254813.9100000001</v>
      </c>
      <c r="L246" s="183">
        <v>1178342.5300000003</v>
      </c>
      <c r="M246" s="183">
        <v>637548.35000000009</v>
      </c>
      <c r="N246" s="183">
        <v>4241378.4900000012</v>
      </c>
    </row>
    <row r="247" spans="1:14" x14ac:dyDescent="0.25">
      <c r="A247" s="124" t="s">
        <v>8130</v>
      </c>
      <c r="B247" s="125">
        <v>500</v>
      </c>
      <c r="C247" s="125">
        <v>748.75</v>
      </c>
      <c r="D247" s="125">
        <v>500</v>
      </c>
      <c r="E247" s="125">
        <v>500</v>
      </c>
      <c r="F247" s="123">
        <f t="shared" si="33"/>
        <v>-248.75</v>
      </c>
      <c r="G247" s="123">
        <f t="shared" si="34"/>
        <v>0</v>
      </c>
      <c r="I247" s="211">
        <f t="shared" si="32"/>
        <v>0</v>
      </c>
    </row>
    <row r="248" spans="1:14" x14ac:dyDescent="0.25">
      <c r="A248" s="124" t="s">
        <v>8131</v>
      </c>
      <c r="B248" s="125">
        <v>0</v>
      </c>
      <c r="C248" s="125">
        <v>436.99</v>
      </c>
      <c r="D248" s="125">
        <v>0</v>
      </c>
      <c r="E248" s="125">
        <v>0</v>
      </c>
      <c r="F248" s="123">
        <f t="shared" si="33"/>
        <v>-436.99</v>
      </c>
      <c r="G248" s="123">
        <f t="shared" si="34"/>
        <v>0</v>
      </c>
      <c r="I248" s="211" t="e">
        <f t="shared" si="32"/>
        <v>#DIV/0!</v>
      </c>
    </row>
    <row r="249" spans="1:14" x14ac:dyDescent="0.25">
      <c r="A249" s="124" t="s">
        <v>8132</v>
      </c>
      <c r="B249" s="125">
        <v>139000</v>
      </c>
      <c r="C249" s="125">
        <v>135051.1</v>
      </c>
      <c r="D249" s="125">
        <v>144000</v>
      </c>
      <c r="E249" s="125">
        <v>144000</v>
      </c>
      <c r="F249" s="123">
        <f t="shared" si="33"/>
        <v>3948.8999999999942</v>
      </c>
      <c r="G249" s="123">
        <f t="shared" si="34"/>
        <v>5000</v>
      </c>
      <c r="I249" s="211">
        <f t="shared" si="32"/>
        <v>3.5971223021582732E-2</v>
      </c>
    </row>
    <row r="250" spans="1:14" x14ac:dyDescent="0.25">
      <c r="A250" s="122">
        <v>55555</v>
      </c>
      <c r="B250" s="123">
        <f>SUM(B251)</f>
        <v>0</v>
      </c>
      <c r="C250" s="123">
        <f>SUM(C251)</f>
        <v>55970.54</v>
      </c>
      <c r="D250" s="123">
        <f>SUM(D251)</f>
        <v>0</v>
      </c>
      <c r="E250" s="123">
        <f>SUM(E251)</f>
        <v>0</v>
      </c>
      <c r="F250" s="123">
        <f t="shared" si="33"/>
        <v>-55970.54</v>
      </c>
      <c r="G250" s="123">
        <f t="shared" si="34"/>
        <v>0</v>
      </c>
      <c r="I250" s="211" t="e">
        <f t="shared" si="32"/>
        <v>#DIV/0!</v>
      </c>
    </row>
    <row r="251" spans="1:14" x14ac:dyDescent="0.25">
      <c r="A251" s="124" t="s">
        <v>8133</v>
      </c>
      <c r="B251" s="125">
        <v>0</v>
      </c>
      <c r="C251" s="125">
        <v>55970.54</v>
      </c>
      <c r="F251" s="123">
        <f t="shared" si="33"/>
        <v>-55970.54</v>
      </c>
      <c r="G251" s="123">
        <f t="shared" si="34"/>
        <v>0</v>
      </c>
      <c r="I251" s="211" t="e">
        <f t="shared" si="32"/>
        <v>#DIV/0!</v>
      </c>
    </row>
    <row r="252" spans="1:14" x14ac:dyDescent="0.25">
      <c r="A252" s="122">
        <v>55560</v>
      </c>
      <c r="B252" s="123">
        <f>SUM(B253:B257)</f>
        <v>68419</v>
      </c>
      <c r="C252" s="123">
        <f>SUM(C253:C257)</f>
        <v>46755.040000000001</v>
      </c>
      <c r="D252" s="123">
        <f>SUM(D253:D257)</f>
        <v>68419</v>
      </c>
      <c r="E252" s="123">
        <f>SUM(E253:E257)</f>
        <v>68419</v>
      </c>
      <c r="F252" s="123">
        <f t="shared" si="33"/>
        <v>21663.96</v>
      </c>
      <c r="G252" s="123">
        <f t="shared" si="34"/>
        <v>0</v>
      </c>
      <c r="I252" s="211">
        <f t="shared" si="32"/>
        <v>0</v>
      </c>
    </row>
    <row r="253" spans="1:14" x14ac:dyDescent="0.25">
      <c r="A253" s="124" t="s">
        <v>8134</v>
      </c>
      <c r="B253" s="125">
        <v>450</v>
      </c>
      <c r="C253" s="125">
        <v>484.7</v>
      </c>
      <c r="D253" s="125">
        <v>450</v>
      </c>
      <c r="E253" s="125">
        <v>450</v>
      </c>
      <c r="F253" s="123">
        <f t="shared" si="33"/>
        <v>-34.699999999999989</v>
      </c>
      <c r="G253" s="123">
        <f t="shared" si="34"/>
        <v>0</v>
      </c>
      <c r="I253" s="211">
        <f t="shared" si="32"/>
        <v>0</v>
      </c>
    </row>
    <row r="254" spans="1:14" x14ac:dyDescent="0.25">
      <c r="A254" s="124" t="s">
        <v>8135</v>
      </c>
      <c r="B254" s="125">
        <v>7769</v>
      </c>
      <c r="C254" s="125">
        <v>6676.18</v>
      </c>
      <c r="D254" s="125">
        <v>7769</v>
      </c>
      <c r="E254" s="125">
        <v>7769</v>
      </c>
      <c r="F254" s="123">
        <f t="shared" si="33"/>
        <v>1092.8199999999997</v>
      </c>
      <c r="G254" s="123">
        <f t="shared" si="34"/>
        <v>0</v>
      </c>
      <c r="I254" s="211">
        <f t="shared" si="32"/>
        <v>0</v>
      </c>
    </row>
    <row r="255" spans="1:14" x14ac:dyDescent="0.25">
      <c r="A255" s="124" t="s">
        <v>8136</v>
      </c>
      <c r="B255" s="125">
        <v>59200</v>
      </c>
      <c r="C255" s="125">
        <v>39594.160000000003</v>
      </c>
      <c r="D255" s="125">
        <v>59200</v>
      </c>
      <c r="E255" s="125">
        <v>59200</v>
      </c>
      <c r="F255" s="123">
        <f t="shared" si="33"/>
        <v>19605.839999999997</v>
      </c>
      <c r="G255" s="123">
        <f t="shared" si="34"/>
        <v>0</v>
      </c>
      <c r="I255" s="211">
        <f t="shared" si="32"/>
        <v>0</v>
      </c>
    </row>
    <row r="256" spans="1:14" x14ac:dyDescent="0.25">
      <c r="A256" s="124" t="s">
        <v>8137</v>
      </c>
      <c r="F256" s="123">
        <f t="shared" si="33"/>
        <v>0</v>
      </c>
      <c r="G256" s="123">
        <f t="shared" si="34"/>
        <v>0</v>
      </c>
      <c r="I256" s="211" t="e">
        <f t="shared" si="32"/>
        <v>#DIV/0!</v>
      </c>
    </row>
    <row r="257" spans="1:9" x14ac:dyDescent="0.25">
      <c r="A257" s="124" t="s">
        <v>8138</v>
      </c>
      <c r="B257" s="125">
        <v>1000</v>
      </c>
      <c r="C257" s="125">
        <v>0</v>
      </c>
      <c r="D257" s="125">
        <v>1000</v>
      </c>
      <c r="E257" s="125">
        <v>1000</v>
      </c>
      <c r="F257" s="123">
        <f t="shared" si="33"/>
        <v>1000</v>
      </c>
      <c r="G257" s="123">
        <f t="shared" si="34"/>
        <v>0</v>
      </c>
      <c r="I257" s="211">
        <f t="shared" si="32"/>
        <v>0</v>
      </c>
    </row>
    <row r="258" spans="1:9" x14ac:dyDescent="0.25">
      <c r="A258" s="122">
        <v>55570</v>
      </c>
      <c r="B258" s="123">
        <f>SUM(B259:B260)</f>
        <v>31838</v>
      </c>
      <c r="C258" s="123">
        <f>SUM(C259:C260)</f>
        <v>26418.52</v>
      </c>
      <c r="D258" s="123">
        <f>SUM(D259:D260)</f>
        <v>31838</v>
      </c>
      <c r="E258" s="123">
        <f>SUM(E259:E260)</f>
        <v>31838</v>
      </c>
      <c r="F258" s="123">
        <f t="shared" si="33"/>
        <v>5419.48</v>
      </c>
      <c r="G258" s="123">
        <f t="shared" si="34"/>
        <v>0</v>
      </c>
      <c r="I258" s="211">
        <f t="shared" si="32"/>
        <v>0</v>
      </c>
    </row>
    <row r="259" spans="1:9" x14ac:dyDescent="0.25">
      <c r="A259" s="124" t="s">
        <v>8139</v>
      </c>
      <c r="B259" s="125">
        <v>31838</v>
      </c>
      <c r="C259" s="125">
        <v>26418.52</v>
      </c>
      <c r="D259" s="125">
        <v>31838</v>
      </c>
      <c r="E259" s="125">
        <v>31838</v>
      </c>
      <c r="F259" s="123">
        <f t="shared" si="33"/>
        <v>5419.48</v>
      </c>
      <c r="G259" s="123">
        <f t="shared" si="34"/>
        <v>0</v>
      </c>
      <c r="I259" s="211">
        <f t="shared" ref="I259:I322" si="45">+G259/B259</f>
        <v>0</v>
      </c>
    </row>
    <row r="260" spans="1:9" x14ac:dyDescent="0.25">
      <c r="A260" s="124" t="s">
        <v>8140</v>
      </c>
      <c r="F260" s="123">
        <f t="shared" ref="F260:F323" si="46">+B260-C260</f>
        <v>0</v>
      </c>
      <c r="G260" s="123">
        <f t="shared" ref="G260:G323" si="47">+D260-B260</f>
        <v>0</v>
      </c>
      <c r="I260" s="211" t="e">
        <f t="shared" si="45"/>
        <v>#DIV/0!</v>
      </c>
    </row>
    <row r="261" spans="1:9" x14ac:dyDescent="0.25">
      <c r="A261" s="122">
        <v>55575</v>
      </c>
      <c r="B261" s="123">
        <f>SUM(B262:B265)</f>
        <v>16639</v>
      </c>
      <c r="C261" s="123">
        <f>SUM(C262:C265)</f>
        <v>10659.9</v>
      </c>
      <c r="D261" s="123">
        <f>SUM(D262:D265)</f>
        <v>16639</v>
      </c>
      <c r="E261" s="123">
        <f>SUM(E262:E265)</f>
        <v>16639</v>
      </c>
      <c r="F261" s="123">
        <f t="shared" si="46"/>
        <v>5979.1</v>
      </c>
      <c r="G261" s="123">
        <f t="shared" si="47"/>
        <v>0</v>
      </c>
      <c r="I261" s="211">
        <f t="shared" si="45"/>
        <v>0</v>
      </c>
    </row>
    <row r="262" spans="1:9" x14ac:dyDescent="0.25">
      <c r="A262" s="124" t="s">
        <v>8141</v>
      </c>
      <c r="B262" s="125">
        <v>2000</v>
      </c>
      <c r="C262" s="125">
        <v>0</v>
      </c>
      <c r="F262" s="123">
        <f t="shared" si="46"/>
        <v>2000</v>
      </c>
      <c r="G262" s="123">
        <f t="shared" si="47"/>
        <v>-2000</v>
      </c>
      <c r="I262" s="211">
        <f t="shared" si="45"/>
        <v>-1</v>
      </c>
    </row>
    <row r="263" spans="1:9" x14ac:dyDescent="0.25">
      <c r="A263" s="124" t="s">
        <v>8142</v>
      </c>
      <c r="D263" s="125">
        <v>2000</v>
      </c>
      <c r="E263" s="125">
        <v>2000</v>
      </c>
      <c r="F263" s="123">
        <f t="shared" si="46"/>
        <v>0</v>
      </c>
      <c r="G263" s="123">
        <f t="shared" si="47"/>
        <v>2000</v>
      </c>
      <c r="I263" s="211" t="e">
        <f t="shared" si="45"/>
        <v>#DIV/0!</v>
      </c>
    </row>
    <row r="264" spans="1:9" x14ac:dyDescent="0.25">
      <c r="A264" s="124" t="s">
        <v>8143</v>
      </c>
      <c r="B264" s="125">
        <v>14500</v>
      </c>
      <c r="C264" s="125">
        <v>10659.9</v>
      </c>
      <c r="D264" s="125">
        <v>14500</v>
      </c>
      <c r="E264" s="125">
        <v>14500</v>
      </c>
      <c r="F264" s="123">
        <f t="shared" si="46"/>
        <v>3840.1000000000004</v>
      </c>
      <c r="G264" s="123">
        <f t="shared" si="47"/>
        <v>0</v>
      </c>
      <c r="I264" s="211">
        <f t="shared" si="45"/>
        <v>0</v>
      </c>
    </row>
    <row r="265" spans="1:9" x14ac:dyDescent="0.25">
      <c r="A265" s="124" t="s">
        <v>8144</v>
      </c>
      <c r="B265" s="125">
        <v>139</v>
      </c>
      <c r="C265" s="125">
        <v>0</v>
      </c>
      <c r="D265" s="125">
        <v>139</v>
      </c>
      <c r="E265" s="125">
        <v>139</v>
      </c>
      <c r="F265" s="123">
        <f t="shared" si="46"/>
        <v>139</v>
      </c>
      <c r="G265" s="123">
        <f t="shared" si="47"/>
        <v>0</v>
      </c>
      <c r="I265" s="211">
        <f t="shared" si="45"/>
        <v>0</v>
      </c>
    </row>
    <row r="266" spans="1:9" x14ac:dyDescent="0.25">
      <c r="A266" s="122">
        <v>55580</v>
      </c>
      <c r="B266" s="123">
        <f>SUM(B267:B269)</f>
        <v>54597</v>
      </c>
      <c r="C266" s="123">
        <f>SUM(C267:C269)</f>
        <v>27041.24</v>
      </c>
      <c r="D266" s="123">
        <f>SUM(D267:D269)</f>
        <v>54597</v>
      </c>
      <c r="E266" s="123">
        <f>SUM(E267:E269)</f>
        <v>54597</v>
      </c>
      <c r="F266" s="123">
        <f t="shared" si="46"/>
        <v>27555.759999999998</v>
      </c>
      <c r="G266" s="123">
        <f t="shared" si="47"/>
        <v>0</v>
      </c>
      <c r="I266" s="211">
        <f t="shared" si="45"/>
        <v>0</v>
      </c>
    </row>
    <row r="267" spans="1:9" x14ac:dyDescent="0.25">
      <c r="A267" s="124" t="s">
        <v>8145</v>
      </c>
      <c r="B267" s="125">
        <v>4597</v>
      </c>
      <c r="C267" s="125">
        <v>4562.04</v>
      </c>
      <c r="D267" s="125">
        <v>4597</v>
      </c>
      <c r="E267" s="125">
        <v>4597</v>
      </c>
      <c r="F267" s="123">
        <f t="shared" si="46"/>
        <v>34.960000000000036</v>
      </c>
      <c r="G267" s="123">
        <f t="shared" si="47"/>
        <v>0</v>
      </c>
      <c r="I267" s="211">
        <f t="shared" si="45"/>
        <v>0</v>
      </c>
    </row>
    <row r="268" spans="1:9" x14ac:dyDescent="0.25">
      <c r="A268" s="124" t="s">
        <v>8146</v>
      </c>
      <c r="B268" s="125">
        <v>50000</v>
      </c>
      <c r="C268" s="125">
        <v>22479.200000000001</v>
      </c>
      <c r="D268" s="125">
        <v>50000</v>
      </c>
      <c r="E268" s="125">
        <v>50000</v>
      </c>
      <c r="F268" s="123">
        <f t="shared" si="46"/>
        <v>27520.799999999999</v>
      </c>
      <c r="G268" s="123">
        <f t="shared" si="47"/>
        <v>0</v>
      </c>
      <c r="I268" s="211">
        <f t="shared" si="45"/>
        <v>0</v>
      </c>
    </row>
    <row r="269" spans="1:9" x14ac:dyDescent="0.25">
      <c r="A269" s="124" t="s">
        <v>8147</v>
      </c>
      <c r="F269" s="123">
        <f t="shared" si="46"/>
        <v>0</v>
      </c>
      <c r="G269" s="123">
        <f t="shared" si="47"/>
        <v>0</v>
      </c>
      <c r="I269" s="211" t="e">
        <f t="shared" si="45"/>
        <v>#DIV/0!</v>
      </c>
    </row>
    <row r="270" spans="1:9" x14ac:dyDescent="0.25">
      <c r="A270" s="122">
        <v>55600</v>
      </c>
      <c r="B270" s="123">
        <f>SUM(B271:B276)</f>
        <v>10740</v>
      </c>
      <c r="C270" s="123">
        <f>SUM(C271:C276)</f>
        <v>47876.41</v>
      </c>
      <c r="D270" s="123">
        <f>SUM(D271:D276)</f>
        <v>45740</v>
      </c>
      <c r="E270" s="123">
        <f>SUM(E271:E276)</f>
        <v>45740</v>
      </c>
      <c r="F270" s="123">
        <f t="shared" si="46"/>
        <v>-37136.410000000003</v>
      </c>
      <c r="G270" s="123">
        <f t="shared" si="47"/>
        <v>35000</v>
      </c>
      <c r="I270" s="211">
        <f t="shared" si="45"/>
        <v>3.2588454376163871</v>
      </c>
    </row>
    <row r="271" spans="1:9" x14ac:dyDescent="0.25">
      <c r="A271" s="124" t="s">
        <v>8148</v>
      </c>
      <c r="B271" s="125">
        <v>6940</v>
      </c>
      <c r="C271" s="125">
        <v>41396.97</v>
      </c>
      <c r="D271" s="8">
        <f>1735*4</f>
        <v>6940</v>
      </c>
      <c r="E271" s="8">
        <f>1735*4</f>
        <v>6940</v>
      </c>
      <c r="F271" s="123">
        <f t="shared" si="46"/>
        <v>-34456.97</v>
      </c>
      <c r="G271" s="123">
        <f t="shared" si="47"/>
        <v>0</v>
      </c>
      <c r="H271" t="s">
        <v>9914</v>
      </c>
      <c r="I271" s="211">
        <f t="shared" si="45"/>
        <v>0</v>
      </c>
    </row>
    <row r="272" spans="1:9" x14ac:dyDescent="0.25">
      <c r="A272" s="124" t="s">
        <v>8149</v>
      </c>
      <c r="B272" s="125">
        <v>800</v>
      </c>
      <c r="C272" s="125">
        <v>0</v>
      </c>
      <c r="D272" s="125">
        <v>800</v>
      </c>
      <c r="E272" s="125">
        <v>800</v>
      </c>
      <c r="F272" s="123">
        <f t="shared" si="46"/>
        <v>800</v>
      </c>
      <c r="G272" s="123">
        <f t="shared" si="47"/>
        <v>0</v>
      </c>
      <c r="I272" s="211">
        <f t="shared" si="45"/>
        <v>0</v>
      </c>
    </row>
    <row r="273" spans="1:9" x14ac:dyDescent="0.25">
      <c r="A273" s="124" t="s">
        <v>8150</v>
      </c>
      <c r="B273" s="125">
        <v>0</v>
      </c>
      <c r="C273" s="125">
        <v>0</v>
      </c>
      <c r="D273" s="125">
        <v>10000</v>
      </c>
      <c r="E273" s="125">
        <v>10000</v>
      </c>
      <c r="F273" s="123">
        <f t="shared" si="46"/>
        <v>0</v>
      </c>
      <c r="G273" s="123">
        <f t="shared" si="47"/>
        <v>10000</v>
      </c>
      <c r="I273" s="211" t="e">
        <f t="shared" si="45"/>
        <v>#DIV/0!</v>
      </c>
    </row>
    <row r="274" spans="1:9" x14ac:dyDescent="0.25">
      <c r="A274" s="205" t="s">
        <v>8151</v>
      </c>
      <c r="B274" s="206">
        <v>0</v>
      </c>
      <c r="C274" s="125">
        <v>1637.28</v>
      </c>
      <c r="D274" s="125">
        <v>25000</v>
      </c>
      <c r="E274" s="125">
        <v>25000</v>
      </c>
      <c r="F274" s="123">
        <f t="shared" si="46"/>
        <v>-1637.28</v>
      </c>
      <c r="G274" s="123">
        <f t="shared" si="47"/>
        <v>25000</v>
      </c>
      <c r="I274" s="211" t="e">
        <f t="shared" si="45"/>
        <v>#DIV/0!</v>
      </c>
    </row>
    <row r="275" spans="1:9" x14ac:dyDescent="0.25">
      <c r="A275" s="124" t="s">
        <v>8152</v>
      </c>
      <c r="B275" s="125">
        <v>0</v>
      </c>
      <c r="C275" s="125">
        <v>694.51</v>
      </c>
      <c r="D275" s="125">
        <v>0</v>
      </c>
      <c r="E275" s="125">
        <v>0</v>
      </c>
      <c r="F275" s="123">
        <f t="shared" si="46"/>
        <v>-694.51</v>
      </c>
      <c r="G275" s="123">
        <f t="shared" si="47"/>
        <v>0</v>
      </c>
      <c r="I275" s="211" t="e">
        <f t="shared" si="45"/>
        <v>#DIV/0!</v>
      </c>
    </row>
    <row r="276" spans="1:9" x14ac:dyDescent="0.25">
      <c r="A276" s="124" t="s">
        <v>8153</v>
      </c>
      <c r="B276" s="125">
        <v>3000</v>
      </c>
      <c r="C276" s="125">
        <v>4147.6499999999996</v>
      </c>
      <c r="D276" s="125">
        <v>3000</v>
      </c>
      <c r="E276" s="125">
        <v>3000</v>
      </c>
      <c r="F276" s="123">
        <f t="shared" si="46"/>
        <v>-1147.6499999999996</v>
      </c>
      <c r="G276" s="123">
        <f t="shared" si="47"/>
        <v>0</v>
      </c>
      <c r="I276" s="211">
        <f t="shared" si="45"/>
        <v>0</v>
      </c>
    </row>
    <row r="277" spans="1:9" x14ac:dyDescent="0.25">
      <c r="A277" s="122">
        <v>55610</v>
      </c>
      <c r="B277" s="123">
        <f>SUM(B278:B280)</f>
        <v>111300</v>
      </c>
      <c r="C277" s="123">
        <f>SUM(C278:C280)</f>
        <v>25159.67</v>
      </c>
      <c r="D277" s="123">
        <f>SUM(D278:D280)</f>
        <v>55000</v>
      </c>
      <c r="E277" s="123">
        <f>SUM(E278:E280)</f>
        <v>55000</v>
      </c>
      <c r="F277" s="123">
        <f t="shared" si="46"/>
        <v>86140.33</v>
      </c>
      <c r="G277" s="123">
        <f t="shared" si="47"/>
        <v>-56300</v>
      </c>
      <c r="I277" s="211">
        <f t="shared" si="45"/>
        <v>-0.50584007187780777</v>
      </c>
    </row>
    <row r="278" spans="1:9" x14ac:dyDescent="0.25">
      <c r="A278" s="124" t="s">
        <v>8154</v>
      </c>
      <c r="B278" s="125">
        <v>0</v>
      </c>
      <c r="C278" s="125">
        <v>6717.17</v>
      </c>
      <c r="D278" s="125">
        <v>5000</v>
      </c>
      <c r="E278" s="125">
        <v>5000</v>
      </c>
      <c r="F278" s="123">
        <f t="shared" si="46"/>
        <v>-6717.17</v>
      </c>
      <c r="G278" s="123">
        <f t="shared" si="47"/>
        <v>5000</v>
      </c>
      <c r="I278" s="211" t="e">
        <f t="shared" si="45"/>
        <v>#DIV/0!</v>
      </c>
    </row>
    <row r="279" spans="1:9" x14ac:dyDescent="0.25">
      <c r="A279" s="124" t="s">
        <v>8155</v>
      </c>
      <c r="B279" s="125">
        <v>61300</v>
      </c>
      <c r="C279" s="125">
        <v>0</v>
      </c>
      <c r="F279" s="123">
        <f t="shared" si="46"/>
        <v>61300</v>
      </c>
      <c r="G279" s="123">
        <f t="shared" si="47"/>
        <v>-61300</v>
      </c>
      <c r="H279" t="s">
        <v>9957</v>
      </c>
      <c r="I279" s="211">
        <f t="shared" si="45"/>
        <v>-1</v>
      </c>
    </row>
    <row r="280" spans="1:9" x14ac:dyDescent="0.25">
      <c r="A280" s="124" t="s">
        <v>8156</v>
      </c>
      <c r="B280" s="125">
        <v>50000</v>
      </c>
      <c r="C280" s="125">
        <v>18442.5</v>
      </c>
      <c r="D280" s="125">
        <v>50000</v>
      </c>
      <c r="E280" s="125">
        <v>50000</v>
      </c>
      <c r="F280" s="123">
        <f t="shared" si="46"/>
        <v>31557.5</v>
      </c>
      <c r="G280" s="123">
        <f t="shared" si="47"/>
        <v>0</v>
      </c>
      <c r="H280" t="s">
        <v>9930</v>
      </c>
      <c r="I280" s="211">
        <f t="shared" si="45"/>
        <v>0</v>
      </c>
    </row>
    <row r="281" spans="1:9" x14ac:dyDescent="0.25">
      <c r="A281" s="122">
        <v>55625</v>
      </c>
      <c r="B281" s="123">
        <f>SUM(B282:B283)</f>
        <v>15250</v>
      </c>
      <c r="C281" s="123">
        <f>SUM(C282:C283)</f>
        <v>12418.5</v>
      </c>
      <c r="D281" s="123">
        <f>SUM(D282:D283)</f>
        <v>15250</v>
      </c>
      <c r="E281" s="123">
        <f>SUM(E282:E283)</f>
        <v>15250</v>
      </c>
      <c r="F281" s="123">
        <f t="shared" si="46"/>
        <v>2831.5</v>
      </c>
      <c r="G281" s="123">
        <f t="shared" si="47"/>
        <v>0</v>
      </c>
      <c r="I281" s="211">
        <f t="shared" si="45"/>
        <v>0</v>
      </c>
    </row>
    <row r="282" spans="1:9" x14ac:dyDescent="0.25">
      <c r="A282" s="124" t="s">
        <v>8157</v>
      </c>
      <c r="B282" s="125">
        <v>250</v>
      </c>
      <c r="C282" s="125">
        <v>38.5</v>
      </c>
      <c r="D282" s="125">
        <v>250</v>
      </c>
      <c r="E282" s="125">
        <v>250</v>
      </c>
      <c r="F282" s="123">
        <f t="shared" si="46"/>
        <v>211.5</v>
      </c>
      <c r="G282" s="123">
        <f t="shared" si="47"/>
        <v>0</v>
      </c>
      <c r="I282" s="211">
        <f t="shared" si="45"/>
        <v>0</v>
      </c>
    </row>
    <row r="283" spans="1:9" x14ac:dyDescent="0.25">
      <c r="A283" s="124" t="s">
        <v>8158</v>
      </c>
      <c r="B283" s="125">
        <v>15000</v>
      </c>
      <c r="C283" s="125">
        <v>12380</v>
      </c>
      <c r="D283" s="125">
        <v>15000</v>
      </c>
      <c r="E283" s="125">
        <v>15000</v>
      </c>
      <c r="F283" s="123">
        <f t="shared" si="46"/>
        <v>2620</v>
      </c>
      <c r="G283" s="123">
        <f t="shared" si="47"/>
        <v>0</v>
      </c>
      <c r="I283" s="211">
        <f t="shared" si="45"/>
        <v>0</v>
      </c>
    </row>
    <row r="284" spans="1:9" x14ac:dyDescent="0.25">
      <c r="A284" s="122">
        <v>55630</v>
      </c>
      <c r="B284" s="123">
        <f>SUM(B285:B400)</f>
        <v>39661.159999999996</v>
      </c>
      <c r="C284" s="123">
        <f>SUM(C285:C400)</f>
        <v>17568.330000000002</v>
      </c>
      <c r="D284" s="123">
        <f>SUM(D285:D400)</f>
        <v>39992</v>
      </c>
      <c r="E284" s="123">
        <f>SUM(E285:E400)</f>
        <v>108548.65</v>
      </c>
      <c r="F284" s="123">
        <f t="shared" si="46"/>
        <v>22092.829999999994</v>
      </c>
      <c r="G284" s="123">
        <f t="shared" si="47"/>
        <v>330.84000000000378</v>
      </c>
      <c r="I284" s="211">
        <f t="shared" si="45"/>
        <v>8.3416622206714027E-3</v>
      </c>
    </row>
    <row r="285" spans="1:9" x14ac:dyDescent="0.25">
      <c r="A285" s="124" t="s">
        <v>8159</v>
      </c>
      <c r="B285" s="125">
        <v>2200</v>
      </c>
      <c r="C285" s="125">
        <v>258.39</v>
      </c>
      <c r="D285" s="125">
        <f>ROUND(E285*36.8498364558196%,0)</f>
        <v>811</v>
      </c>
      <c r="E285" s="125">
        <v>2200</v>
      </c>
      <c r="F285" s="123">
        <f t="shared" si="46"/>
        <v>1941.6100000000001</v>
      </c>
      <c r="G285" s="123">
        <f t="shared" si="47"/>
        <v>-1389</v>
      </c>
      <c r="I285" s="211">
        <f t="shared" si="45"/>
        <v>-0.63136363636363635</v>
      </c>
    </row>
    <row r="286" spans="1:9" x14ac:dyDescent="0.25">
      <c r="A286" s="124" t="s">
        <v>8160</v>
      </c>
      <c r="B286" s="125">
        <v>35</v>
      </c>
      <c r="C286" s="125">
        <v>0</v>
      </c>
      <c r="D286" s="125">
        <f t="shared" ref="D286:D349" si="48">ROUND(E286*36.8498364558196%,0)</f>
        <v>129</v>
      </c>
      <c r="E286" s="125">
        <v>350</v>
      </c>
      <c r="F286" s="123">
        <f t="shared" si="46"/>
        <v>35</v>
      </c>
      <c r="G286" s="123">
        <f t="shared" si="47"/>
        <v>94</v>
      </c>
      <c r="H286" s="92">
        <f>+E284-D284</f>
        <v>68556.649999999994</v>
      </c>
      <c r="I286" s="211">
        <f t="shared" si="45"/>
        <v>2.6857142857142855</v>
      </c>
    </row>
    <row r="287" spans="1:9" x14ac:dyDescent="0.25">
      <c r="A287" s="124" t="s">
        <v>8161</v>
      </c>
      <c r="B287" s="125">
        <v>700</v>
      </c>
      <c r="C287" s="125">
        <v>193.8</v>
      </c>
      <c r="D287" s="125">
        <f t="shared" si="48"/>
        <v>258</v>
      </c>
      <c r="E287" s="125">
        <v>700</v>
      </c>
      <c r="F287" s="123">
        <f t="shared" si="46"/>
        <v>506.2</v>
      </c>
      <c r="G287" s="123">
        <f t="shared" si="47"/>
        <v>-442</v>
      </c>
      <c r="I287" s="211">
        <f t="shared" si="45"/>
        <v>-0.63142857142857145</v>
      </c>
    </row>
    <row r="288" spans="1:9" x14ac:dyDescent="0.25">
      <c r="A288" s="124" t="s">
        <v>8162</v>
      </c>
      <c r="B288" s="125">
        <v>35.909999999999997</v>
      </c>
      <c r="C288" s="125">
        <v>15.23</v>
      </c>
      <c r="D288" s="125">
        <f t="shared" si="48"/>
        <v>82</v>
      </c>
      <c r="E288" s="125">
        <v>222</v>
      </c>
      <c r="F288" s="123">
        <f t="shared" si="46"/>
        <v>20.679999999999996</v>
      </c>
      <c r="G288" s="234">
        <v>0.36849836455819579</v>
      </c>
      <c r="I288" s="211">
        <f t="shared" si="45"/>
        <v>1.0261719982127425E-2</v>
      </c>
    </row>
    <row r="289" spans="1:9" x14ac:dyDescent="0.25">
      <c r="A289" s="124" t="s">
        <v>8163</v>
      </c>
      <c r="B289" s="125">
        <v>0</v>
      </c>
      <c r="C289" s="125">
        <v>178.57</v>
      </c>
      <c r="D289" s="125">
        <f t="shared" si="48"/>
        <v>0</v>
      </c>
      <c r="E289" s="125">
        <v>0</v>
      </c>
      <c r="F289" s="123">
        <f t="shared" si="46"/>
        <v>-178.57</v>
      </c>
      <c r="G289" s="123">
        <f t="shared" si="47"/>
        <v>0</v>
      </c>
      <c r="I289" s="211" t="e">
        <f t="shared" si="45"/>
        <v>#DIV/0!</v>
      </c>
    </row>
    <row r="290" spans="1:9" x14ac:dyDescent="0.25">
      <c r="A290" s="124" t="s">
        <v>8164</v>
      </c>
      <c r="B290" s="125">
        <v>12</v>
      </c>
      <c r="C290" s="125">
        <v>0</v>
      </c>
      <c r="D290" s="125">
        <f t="shared" si="48"/>
        <v>44</v>
      </c>
      <c r="E290" s="125">
        <v>120</v>
      </c>
      <c r="F290" s="123">
        <f t="shared" si="46"/>
        <v>12</v>
      </c>
      <c r="G290" s="123">
        <f t="shared" si="47"/>
        <v>32</v>
      </c>
      <c r="I290" s="211">
        <f t="shared" si="45"/>
        <v>2.6666666666666665</v>
      </c>
    </row>
    <row r="291" spans="1:9" x14ac:dyDescent="0.25">
      <c r="A291" s="124" t="s">
        <v>8165</v>
      </c>
      <c r="B291" s="125">
        <v>0.8</v>
      </c>
      <c r="C291" s="125">
        <v>0</v>
      </c>
      <c r="D291" s="125">
        <f t="shared" si="48"/>
        <v>3</v>
      </c>
      <c r="E291" s="125">
        <v>8</v>
      </c>
      <c r="F291" s="123">
        <f t="shared" si="46"/>
        <v>0.8</v>
      </c>
      <c r="G291" s="123">
        <f t="shared" si="47"/>
        <v>2.2000000000000002</v>
      </c>
      <c r="I291" s="211">
        <f t="shared" si="45"/>
        <v>2.75</v>
      </c>
    </row>
    <row r="292" spans="1:9" x14ac:dyDescent="0.25">
      <c r="A292" s="124" t="s">
        <v>8166</v>
      </c>
      <c r="B292" s="125">
        <v>8.8000000000000007</v>
      </c>
      <c r="C292" s="125">
        <v>0</v>
      </c>
      <c r="D292" s="125">
        <f t="shared" si="48"/>
        <v>32</v>
      </c>
      <c r="E292" s="125">
        <v>88</v>
      </c>
      <c r="F292" s="123">
        <f t="shared" si="46"/>
        <v>8.8000000000000007</v>
      </c>
      <c r="G292" s="123">
        <f t="shared" si="47"/>
        <v>23.2</v>
      </c>
      <c r="I292" s="211">
        <f t="shared" si="45"/>
        <v>2.6363636363636362</v>
      </c>
    </row>
    <row r="293" spans="1:9" x14ac:dyDescent="0.25">
      <c r="A293" s="124" t="s">
        <v>8167</v>
      </c>
      <c r="B293" s="125">
        <v>2.8</v>
      </c>
      <c r="C293" s="125">
        <v>0</v>
      </c>
      <c r="D293" s="125">
        <f t="shared" si="48"/>
        <v>10</v>
      </c>
      <c r="E293" s="125">
        <v>28</v>
      </c>
      <c r="F293" s="123">
        <f t="shared" si="46"/>
        <v>2.8</v>
      </c>
      <c r="G293" s="123">
        <f t="shared" si="47"/>
        <v>7.2</v>
      </c>
      <c r="I293" s="211">
        <f t="shared" si="45"/>
        <v>2.5714285714285716</v>
      </c>
    </row>
    <row r="294" spans="1:9" x14ac:dyDescent="0.25">
      <c r="A294" s="124" t="s">
        <v>8168</v>
      </c>
      <c r="B294" s="125">
        <v>1</v>
      </c>
      <c r="C294" s="125">
        <v>0</v>
      </c>
      <c r="D294" s="125">
        <f t="shared" si="48"/>
        <v>4</v>
      </c>
      <c r="E294" s="125">
        <v>10</v>
      </c>
      <c r="F294" s="123">
        <f t="shared" si="46"/>
        <v>1</v>
      </c>
      <c r="G294" s="123">
        <f t="shared" si="47"/>
        <v>3</v>
      </c>
      <c r="I294" s="211">
        <f t="shared" si="45"/>
        <v>3</v>
      </c>
    </row>
    <row r="295" spans="1:9" x14ac:dyDescent="0.25">
      <c r="A295" s="124" t="s">
        <v>8169</v>
      </c>
      <c r="B295" s="125">
        <v>4.2</v>
      </c>
      <c r="C295" s="125">
        <v>0</v>
      </c>
      <c r="D295" s="125">
        <f t="shared" si="48"/>
        <v>15</v>
      </c>
      <c r="E295" s="125">
        <v>42</v>
      </c>
      <c r="F295" s="123">
        <f t="shared" si="46"/>
        <v>4.2</v>
      </c>
      <c r="G295" s="123">
        <f t="shared" si="47"/>
        <v>10.8</v>
      </c>
      <c r="I295" s="211">
        <f t="shared" si="45"/>
        <v>2.5714285714285716</v>
      </c>
    </row>
    <row r="296" spans="1:9" x14ac:dyDescent="0.25">
      <c r="A296" s="124" t="s">
        <v>8170</v>
      </c>
      <c r="B296" s="125">
        <v>3.2</v>
      </c>
      <c r="C296" s="125">
        <v>0</v>
      </c>
      <c r="D296" s="125">
        <f t="shared" si="48"/>
        <v>12</v>
      </c>
      <c r="E296" s="125">
        <v>32</v>
      </c>
      <c r="F296" s="123">
        <f t="shared" si="46"/>
        <v>3.2</v>
      </c>
      <c r="G296" s="123">
        <f t="shared" si="47"/>
        <v>8.8000000000000007</v>
      </c>
      <c r="I296" s="211">
        <f t="shared" si="45"/>
        <v>2.75</v>
      </c>
    </row>
    <row r="297" spans="1:9" x14ac:dyDescent="0.25">
      <c r="A297" s="124" t="s">
        <v>8171</v>
      </c>
      <c r="B297" s="125">
        <v>12.2</v>
      </c>
      <c r="C297" s="125">
        <v>0</v>
      </c>
      <c r="D297" s="125">
        <f t="shared" si="48"/>
        <v>45</v>
      </c>
      <c r="E297" s="125">
        <v>122</v>
      </c>
      <c r="F297" s="123">
        <f t="shared" si="46"/>
        <v>12.2</v>
      </c>
      <c r="G297" s="123">
        <f t="shared" si="47"/>
        <v>32.799999999999997</v>
      </c>
      <c r="I297" s="211">
        <f t="shared" si="45"/>
        <v>2.6885245901639343</v>
      </c>
    </row>
    <row r="298" spans="1:9" x14ac:dyDescent="0.25">
      <c r="A298" s="124" t="s">
        <v>8172</v>
      </c>
      <c r="B298" s="125">
        <v>22.89</v>
      </c>
      <c r="C298" s="125">
        <v>4.09</v>
      </c>
      <c r="D298" s="125">
        <f t="shared" si="48"/>
        <v>71</v>
      </c>
      <c r="E298" s="125">
        <v>192</v>
      </c>
      <c r="F298" s="123">
        <f t="shared" si="46"/>
        <v>18.8</v>
      </c>
      <c r="G298" s="123">
        <f t="shared" si="47"/>
        <v>48.11</v>
      </c>
      <c r="I298" s="211">
        <f t="shared" si="45"/>
        <v>2.1017911751856704</v>
      </c>
    </row>
    <row r="299" spans="1:9" x14ac:dyDescent="0.25">
      <c r="A299" s="124" t="s">
        <v>8173</v>
      </c>
      <c r="B299" s="125">
        <v>1500</v>
      </c>
      <c r="C299" s="125">
        <v>271.44</v>
      </c>
      <c r="D299" s="125">
        <f t="shared" si="48"/>
        <v>553</v>
      </c>
      <c r="E299" s="125">
        <v>1500</v>
      </c>
      <c r="F299" s="123">
        <f t="shared" si="46"/>
        <v>1228.56</v>
      </c>
      <c r="G299" s="123">
        <f t="shared" si="47"/>
        <v>-947</v>
      </c>
      <c r="I299" s="211">
        <f t="shared" si="45"/>
        <v>-0.6313333333333333</v>
      </c>
    </row>
    <row r="300" spans="1:9" x14ac:dyDescent="0.25">
      <c r="A300" s="124" t="s">
        <v>8174</v>
      </c>
      <c r="B300" s="125">
        <v>8.1999999999999993</v>
      </c>
      <c r="C300" s="125">
        <v>0</v>
      </c>
      <c r="D300" s="125">
        <f t="shared" si="48"/>
        <v>30</v>
      </c>
      <c r="E300" s="125">
        <v>82</v>
      </c>
      <c r="F300" s="123">
        <f t="shared" si="46"/>
        <v>8.1999999999999993</v>
      </c>
      <c r="G300" s="123">
        <f t="shared" si="47"/>
        <v>21.8</v>
      </c>
      <c r="I300" s="211">
        <f t="shared" si="45"/>
        <v>2.6585365853658538</v>
      </c>
    </row>
    <row r="301" spans="1:9" x14ac:dyDescent="0.25">
      <c r="A301" s="124" t="s">
        <v>8175</v>
      </c>
      <c r="B301" s="125">
        <v>182</v>
      </c>
      <c r="C301" s="125">
        <v>159.51</v>
      </c>
      <c r="D301" s="125">
        <f t="shared" si="48"/>
        <v>67</v>
      </c>
      <c r="E301" s="125">
        <v>182</v>
      </c>
      <c r="F301" s="123">
        <f t="shared" si="46"/>
        <v>22.490000000000009</v>
      </c>
      <c r="G301" s="123">
        <f t="shared" si="47"/>
        <v>-115</v>
      </c>
      <c r="I301" s="211">
        <f t="shared" si="45"/>
        <v>-0.63186813186813184</v>
      </c>
    </row>
    <row r="302" spans="1:9" x14ac:dyDescent="0.25">
      <c r="A302" s="124" t="s">
        <v>8176</v>
      </c>
      <c r="B302" s="125">
        <v>0</v>
      </c>
      <c r="C302" s="125">
        <v>159.51</v>
      </c>
      <c r="D302" s="125">
        <f t="shared" si="48"/>
        <v>0</v>
      </c>
      <c r="E302" s="125">
        <v>0</v>
      </c>
      <c r="F302" s="123">
        <f t="shared" si="46"/>
        <v>-159.51</v>
      </c>
      <c r="G302" s="123">
        <f t="shared" si="47"/>
        <v>0</v>
      </c>
      <c r="I302" s="211" t="e">
        <f t="shared" si="45"/>
        <v>#DIV/0!</v>
      </c>
    </row>
    <row r="303" spans="1:9" x14ac:dyDescent="0.25">
      <c r="A303" s="124" t="s">
        <v>8177</v>
      </c>
      <c r="B303" s="125">
        <v>0</v>
      </c>
      <c r="C303" s="125">
        <v>18.78</v>
      </c>
      <c r="D303" s="125">
        <f t="shared" si="48"/>
        <v>0</v>
      </c>
      <c r="F303" s="123">
        <f t="shared" si="46"/>
        <v>-18.78</v>
      </c>
      <c r="G303" s="123">
        <f t="shared" si="47"/>
        <v>0</v>
      </c>
      <c r="I303" s="211" t="e">
        <f t="shared" si="45"/>
        <v>#DIV/0!</v>
      </c>
    </row>
    <row r="304" spans="1:9" x14ac:dyDescent="0.25">
      <c r="A304" s="124" t="s">
        <v>8178</v>
      </c>
      <c r="B304" s="125">
        <v>1000</v>
      </c>
      <c r="C304" s="125">
        <v>1058.31</v>
      </c>
      <c r="D304" s="125">
        <f t="shared" si="48"/>
        <v>368</v>
      </c>
      <c r="E304" s="125">
        <v>1000</v>
      </c>
      <c r="F304" s="123">
        <f t="shared" si="46"/>
        <v>-58.309999999999945</v>
      </c>
      <c r="G304" s="123">
        <f t="shared" si="47"/>
        <v>-632</v>
      </c>
      <c r="I304" s="211">
        <f t="shared" si="45"/>
        <v>-0.63200000000000001</v>
      </c>
    </row>
    <row r="305" spans="1:9" x14ac:dyDescent="0.25">
      <c r="A305" s="124" t="s">
        <v>8179</v>
      </c>
      <c r="B305" s="125">
        <v>65.099999999999994</v>
      </c>
      <c r="C305" s="125">
        <v>10.55</v>
      </c>
      <c r="D305" s="125">
        <f t="shared" si="48"/>
        <v>205</v>
      </c>
      <c r="E305" s="125">
        <v>556</v>
      </c>
      <c r="F305" s="123">
        <f t="shared" si="46"/>
        <v>54.55</v>
      </c>
      <c r="G305" s="123">
        <f t="shared" si="47"/>
        <v>139.9</v>
      </c>
      <c r="I305" s="211">
        <f t="shared" si="45"/>
        <v>2.1490015360983103</v>
      </c>
    </row>
    <row r="306" spans="1:9" x14ac:dyDescent="0.25">
      <c r="A306" s="124" t="s">
        <v>8180</v>
      </c>
      <c r="B306" s="125">
        <v>0.6</v>
      </c>
      <c r="C306" s="125">
        <v>0</v>
      </c>
      <c r="D306" s="125">
        <f t="shared" si="48"/>
        <v>2</v>
      </c>
      <c r="E306" s="125">
        <v>6</v>
      </c>
      <c r="F306" s="123">
        <f t="shared" si="46"/>
        <v>0.6</v>
      </c>
      <c r="G306" s="123">
        <f t="shared" si="47"/>
        <v>1.4</v>
      </c>
      <c r="I306" s="211">
        <f t="shared" si="45"/>
        <v>2.3333333333333335</v>
      </c>
    </row>
    <row r="307" spans="1:9" x14ac:dyDescent="0.25">
      <c r="A307" s="124" t="s">
        <v>8181</v>
      </c>
      <c r="B307" s="125">
        <v>8700</v>
      </c>
      <c r="C307" s="125">
        <v>4057.3</v>
      </c>
      <c r="D307" s="125">
        <f t="shared" si="48"/>
        <v>2948</v>
      </c>
      <c r="E307" s="8">
        <v>8000</v>
      </c>
      <c r="F307" s="123">
        <f t="shared" si="46"/>
        <v>4642.7</v>
      </c>
      <c r="G307" s="123">
        <f t="shared" si="47"/>
        <v>-5752</v>
      </c>
      <c r="I307" s="211">
        <f t="shared" si="45"/>
        <v>-0.66114942528735632</v>
      </c>
    </row>
    <row r="308" spans="1:9" x14ac:dyDescent="0.25">
      <c r="A308" s="124" t="s">
        <v>8182</v>
      </c>
      <c r="B308" s="125">
        <v>500</v>
      </c>
      <c r="C308" s="125">
        <v>305.66000000000003</v>
      </c>
      <c r="D308" s="125">
        <f t="shared" si="48"/>
        <v>0</v>
      </c>
      <c r="F308" s="123">
        <f t="shared" si="46"/>
        <v>194.33999999999997</v>
      </c>
      <c r="G308" s="123">
        <f t="shared" si="47"/>
        <v>-500</v>
      </c>
      <c r="I308" s="211">
        <f t="shared" si="45"/>
        <v>-1</v>
      </c>
    </row>
    <row r="309" spans="1:9" x14ac:dyDescent="0.25">
      <c r="A309" s="124" t="s">
        <v>8183</v>
      </c>
      <c r="B309" s="125">
        <v>0</v>
      </c>
      <c r="C309" s="125">
        <v>209.55</v>
      </c>
      <c r="D309" s="125">
        <f t="shared" si="48"/>
        <v>0</v>
      </c>
      <c r="F309" s="123">
        <f t="shared" si="46"/>
        <v>-209.55</v>
      </c>
      <c r="G309" s="123">
        <f t="shared" si="47"/>
        <v>0</v>
      </c>
      <c r="I309" s="211" t="e">
        <f t="shared" si="45"/>
        <v>#DIV/0!</v>
      </c>
    </row>
    <row r="310" spans="1:9" x14ac:dyDescent="0.25">
      <c r="A310" s="124" t="s">
        <v>8184</v>
      </c>
      <c r="B310" s="125">
        <v>28</v>
      </c>
      <c r="C310" s="125">
        <v>9.32</v>
      </c>
      <c r="D310" s="125">
        <f t="shared" si="48"/>
        <v>10</v>
      </c>
      <c r="E310" s="125">
        <v>28</v>
      </c>
      <c r="F310" s="123">
        <f t="shared" si="46"/>
        <v>18.68</v>
      </c>
      <c r="G310" s="123">
        <f t="shared" si="47"/>
        <v>-18</v>
      </c>
      <c r="I310" s="211">
        <f t="shared" si="45"/>
        <v>-0.6428571428571429</v>
      </c>
    </row>
    <row r="311" spans="1:9" x14ac:dyDescent="0.25">
      <c r="A311" s="124" t="s">
        <v>8185</v>
      </c>
      <c r="B311" s="125">
        <v>80</v>
      </c>
      <c r="C311" s="125">
        <v>335.86</v>
      </c>
      <c r="D311" s="125">
        <f t="shared" si="48"/>
        <v>29</v>
      </c>
      <c r="E311" s="125">
        <v>80</v>
      </c>
      <c r="F311" s="123">
        <f t="shared" si="46"/>
        <v>-255.86</v>
      </c>
      <c r="G311" s="123">
        <f t="shared" si="47"/>
        <v>-51</v>
      </c>
      <c r="I311" s="211">
        <f t="shared" si="45"/>
        <v>-0.63749999999999996</v>
      </c>
    </row>
    <row r="312" spans="1:9" x14ac:dyDescent="0.25">
      <c r="A312" s="124" t="s">
        <v>8186</v>
      </c>
      <c r="B312" s="125">
        <v>0.7</v>
      </c>
      <c r="C312" s="125">
        <v>0.01</v>
      </c>
      <c r="D312" s="125">
        <f t="shared" si="48"/>
        <v>2</v>
      </c>
      <c r="E312" s="125">
        <v>6</v>
      </c>
      <c r="F312" s="123">
        <f t="shared" si="46"/>
        <v>0.69</v>
      </c>
      <c r="G312" s="123">
        <f t="shared" si="47"/>
        <v>1.3</v>
      </c>
      <c r="I312" s="211">
        <f t="shared" si="45"/>
        <v>1.8571428571428574</v>
      </c>
    </row>
    <row r="313" spans="1:9" x14ac:dyDescent="0.25">
      <c r="A313" s="124" t="s">
        <v>8187</v>
      </c>
      <c r="B313" s="125">
        <v>500</v>
      </c>
      <c r="C313" s="125">
        <v>286.27999999999997</v>
      </c>
      <c r="D313" s="125">
        <f t="shared" si="48"/>
        <v>184</v>
      </c>
      <c r="E313" s="125">
        <v>500</v>
      </c>
      <c r="F313" s="123">
        <f t="shared" si="46"/>
        <v>213.72000000000003</v>
      </c>
      <c r="G313" s="123">
        <f t="shared" si="47"/>
        <v>-316</v>
      </c>
      <c r="I313" s="211">
        <f t="shared" si="45"/>
        <v>-0.63200000000000001</v>
      </c>
    </row>
    <row r="314" spans="1:9" x14ac:dyDescent="0.25">
      <c r="A314" s="124" t="s">
        <v>8188</v>
      </c>
      <c r="B314" s="125">
        <v>115.27</v>
      </c>
      <c r="C314" s="125">
        <v>55.85</v>
      </c>
      <c r="D314" s="125">
        <f t="shared" si="48"/>
        <v>55</v>
      </c>
      <c r="E314" s="125">
        <v>150</v>
      </c>
      <c r="F314" s="123">
        <f t="shared" si="46"/>
        <v>59.419999999999995</v>
      </c>
      <c r="G314" s="123">
        <f t="shared" si="47"/>
        <v>-60.269999999999996</v>
      </c>
      <c r="I314" s="211">
        <f t="shared" si="45"/>
        <v>-0.52285937364448687</v>
      </c>
    </row>
    <row r="315" spans="1:9" x14ac:dyDescent="0.25">
      <c r="A315" s="124" t="s">
        <v>8189</v>
      </c>
      <c r="B315" s="125">
        <v>700</v>
      </c>
      <c r="C315" s="125">
        <v>192.41</v>
      </c>
      <c r="D315" s="125">
        <f t="shared" si="48"/>
        <v>74</v>
      </c>
      <c r="E315" s="125">
        <v>200</v>
      </c>
      <c r="F315" s="123">
        <f t="shared" si="46"/>
        <v>507.59000000000003</v>
      </c>
      <c r="G315" s="123">
        <f t="shared" si="47"/>
        <v>-626</v>
      </c>
      <c r="I315" s="211">
        <f t="shared" si="45"/>
        <v>-0.89428571428571424</v>
      </c>
    </row>
    <row r="316" spans="1:9" x14ac:dyDescent="0.25">
      <c r="A316" s="124" t="s">
        <v>8190</v>
      </c>
      <c r="B316" s="125">
        <v>112.46</v>
      </c>
      <c r="C316" s="125">
        <v>5.4</v>
      </c>
      <c r="D316" s="125">
        <f t="shared" si="48"/>
        <v>397</v>
      </c>
      <c r="E316" s="125">
        <v>1076</v>
      </c>
      <c r="F316" s="123">
        <f t="shared" si="46"/>
        <v>107.05999999999999</v>
      </c>
      <c r="G316" s="123">
        <f t="shared" si="47"/>
        <v>284.54000000000002</v>
      </c>
      <c r="I316" s="211">
        <f t="shared" si="45"/>
        <v>2.5301440512182114</v>
      </c>
    </row>
    <row r="317" spans="1:9" x14ac:dyDescent="0.25">
      <c r="A317" s="124" t="s">
        <v>8191</v>
      </c>
      <c r="B317" s="125">
        <v>0</v>
      </c>
      <c r="C317" s="125">
        <v>1.63</v>
      </c>
      <c r="D317" s="125">
        <f t="shared" si="48"/>
        <v>0</v>
      </c>
      <c r="E317" s="125">
        <v>0</v>
      </c>
      <c r="F317" s="123">
        <f t="shared" si="46"/>
        <v>-1.63</v>
      </c>
      <c r="G317" s="123">
        <f t="shared" si="47"/>
        <v>0</v>
      </c>
      <c r="I317" s="211" t="e">
        <f t="shared" si="45"/>
        <v>#DIV/0!</v>
      </c>
    </row>
    <row r="318" spans="1:9" x14ac:dyDescent="0.25">
      <c r="A318" s="124" t="s">
        <v>8192</v>
      </c>
      <c r="B318" s="125">
        <v>167.76</v>
      </c>
      <c r="C318" s="125">
        <v>30.84</v>
      </c>
      <c r="D318" s="125">
        <f t="shared" si="48"/>
        <v>516</v>
      </c>
      <c r="E318" s="125">
        <v>1400</v>
      </c>
      <c r="F318" s="123">
        <f t="shared" si="46"/>
        <v>136.91999999999999</v>
      </c>
      <c r="G318" s="123">
        <f t="shared" si="47"/>
        <v>348.24</v>
      </c>
      <c r="I318" s="211">
        <f t="shared" si="45"/>
        <v>2.0758226037195997</v>
      </c>
    </row>
    <row r="319" spans="1:9" x14ac:dyDescent="0.25">
      <c r="A319" s="124" t="s">
        <v>8193</v>
      </c>
      <c r="B319" s="125">
        <v>27.9</v>
      </c>
      <c r="C319" s="125">
        <v>0</v>
      </c>
      <c r="D319" s="125">
        <f t="shared" si="48"/>
        <v>103</v>
      </c>
      <c r="E319" s="125">
        <v>279</v>
      </c>
      <c r="F319" s="123">
        <f t="shared" si="46"/>
        <v>27.9</v>
      </c>
      <c r="G319" s="123">
        <f t="shared" si="47"/>
        <v>75.099999999999994</v>
      </c>
      <c r="I319" s="211">
        <f t="shared" si="45"/>
        <v>2.6917562724014337</v>
      </c>
    </row>
    <row r="320" spans="1:9" x14ac:dyDescent="0.25">
      <c r="A320" s="124" t="s">
        <v>8194</v>
      </c>
      <c r="B320" s="125">
        <v>9.3000000000000007</v>
      </c>
      <c r="C320" s="125">
        <v>0</v>
      </c>
      <c r="D320" s="125">
        <f t="shared" si="48"/>
        <v>34</v>
      </c>
      <c r="E320" s="125">
        <v>93</v>
      </c>
      <c r="F320" s="123">
        <f t="shared" si="46"/>
        <v>9.3000000000000007</v>
      </c>
      <c r="G320" s="123">
        <f t="shared" si="47"/>
        <v>24.7</v>
      </c>
      <c r="I320" s="211">
        <f t="shared" si="45"/>
        <v>2.6559139784946235</v>
      </c>
    </row>
    <row r="321" spans="1:9" x14ac:dyDescent="0.25">
      <c r="A321" s="124" t="s">
        <v>8195</v>
      </c>
      <c r="B321" s="125">
        <v>23.3</v>
      </c>
      <c r="C321" s="125">
        <v>0</v>
      </c>
      <c r="D321" s="125">
        <f t="shared" si="48"/>
        <v>86</v>
      </c>
      <c r="E321" s="125">
        <v>233</v>
      </c>
      <c r="F321" s="123">
        <f t="shared" si="46"/>
        <v>23.3</v>
      </c>
      <c r="G321" s="123">
        <f t="shared" si="47"/>
        <v>62.7</v>
      </c>
      <c r="I321" s="211">
        <f t="shared" si="45"/>
        <v>2.6909871244635193</v>
      </c>
    </row>
    <row r="322" spans="1:9" x14ac:dyDescent="0.25">
      <c r="A322" s="124" t="s">
        <v>8196</v>
      </c>
      <c r="B322" s="125">
        <v>25</v>
      </c>
      <c r="C322" s="125">
        <v>0</v>
      </c>
      <c r="D322" s="125">
        <f t="shared" si="48"/>
        <v>221</v>
      </c>
      <c r="E322" s="125">
        <v>600</v>
      </c>
      <c r="F322" s="123">
        <f t="shared" si="46"/>
        <v>25</v>
      </c>
      <c r="G322" s="123">
        <f t="shared" si="47"/>
        <v>196</v>
      </c>
      <c r="I322" s="211">
        <f t="shared" si="45"/>
        <v>7.84</v>
      </c>
    </row>
    <row r="323" spans="1:9" x14ac:dyDescent="0.25">
      <c r="A323" s="124" t="s">
        <v>8197</v>
      </c>
      <c r="B323" s="125">
        <v>26.05</v>
      </c>
      <c r="C323" s="125">
        <v>1.1599999999999999</v>
      </c>
      <c r="D323" s="125">
        <f t="shared" si="48"/>
        <v>221</v>
      </c>
      <c r="E323" s="125">
        <v>600</v>
      </c>
      <c r="F323" s="123">
        <f t="shared" si="46"/>
        <v>24.89</v>
      </c>
      <c r="G323" s="123">
        <f t="shared" si="47"/>
        <v>194.95</v>
      </c>
      <c r="I323" s="211">
        <f t="shared" ref="I323:I386" si="49">+G323/B323</f>
        <v>7.4836852207293658</v>
      </c>
    </row>
    <row r="324" spans="1:9" x14ac:dyDescent="0.25">
      <c r="A324" s="124" t="s">
        <v>8198</v>
      </c>
      <c r="B324" s="125">
        <v>0</v>
      </c>
      <c r="C324" s="125">
        <v>0</v>
      </c>
      <c r="D324" s="125">
        <f t="shared" si="48"/>
        <v>221</v>
      </c>
      <c r="E324" s="125">
        <v>600</v>
      </c>
      <c r="F324" s="123">
        <f t="shared" ref="F324:F387" si="50">+B324-C324</f>
        <v>0</v>
      </c>
      <c r="G324" s="123">
        <f t="shared" ref="G324:G387" si="51">+D324-B324</f>
        <v>221</v>
      </c>
      <c r="I324" s="211" t="e">
        <f t="shared" si="49"/>
        <v>#DIV/0!</v>
      </c>
    </row>
    <row r="325" spans="1:9" x14ac:dyDescent="0.25">
      <c r="A325" s="124" t="s">
        <v>8199</v>
      </c>
      <c r="B325" s="125">
        <v>25</v>
      </c>
      <c r="C325" s="125">
        <v>0</v>
      </c>
      <c r="D325" s="125">
        <f t="shared" si="48"/>
        <v>221</v>
      </c>
      <c r="E325" s="125">
        <v>600</v>
      </c>
      <c r="F325" s="123">
        <f t="shared" si="50"/>
        <v>25</v>
      </c>
      <c r="G325" s="123">
        <f t="shared" si="51"/>
        <v>196</v>
      </c>
      <c r="I325" s="211">
        <f t="shared" si="49"/>
        <v>7.84</v>
      </c>
    </row>
    <row r="326" spans="1:9" x14ac:dyDescent="0.25">
      <c r="A326" s="124" t="s">
        <v>8200</v>
      </c>
      <c r="B326" s="125">
        <v>0</v>
      </c>
      <c r="C326" s="125">
        <v>62.74</v>
      </c>
      <c r="D326" s="125">
        <f t="shared" si="48"/>
        <v>221</v>
      </c>
      <c r="E326" s="125">
        <v>600</v>
      </c>
      <c r="F326" s="123">
        <f t="shared" si="50"/>
        <v>-62.74</v>
      </c>
      <c r="G326" s="123">
        <f t="shared" si="51"/>
        <v>221</v>
      </c>
      <c r="I326" s="211" t="e">
        <f t="shared" si="49"/>
        <v>#DIV/0!</v>
      </c>
    </row>
    <row r="327" spans="1:9" x14ac:dyDescent="0.25">
      <c r="A327" s="124" t="s">
        <v>8201</v>
      </c>
      <c r="B327" s="125">
        <v>25</v>
      </c>
      <c r="C327" s="125">
        <v>0</v>
      </c>
      <c r="D327" s="125">
        <f t="shared" si="48"/>
        <v>221</v>
      </c>
      <c r="E327" s="125">
        <v>600</v>
      </c>
      <c r="F327" s="123">
        <f t="shared" si="50"/>
        <v>25</v>
      </c>
      <c r="G327" s="123">
        <f t="shared" si="51"/>
        <v>196</v>
      </c>
      <c r="I327" s="211">
        <f t="shared" si="49"/>
        <v>7.84</v>
      </c>
    </row>
    <row r="328" spans="1:9" x14ac:dyDescent="0.25">
      <c r="A328" s="124" t="s">
        <v>8202</v>
      </c>
      <c r="B328" s="125">
        <v>250</v>
      </c>
      <c r="C328" s="125">
        <v>207.9</v>
      </c>
      <c r="D328" s="125">
        <f t="shared" si="48"/>
        <v>221</v>
      </c>
      <c r="E328" s="125">
        <v>600</v>
      </c>
      <c r="F328" s="123">
        <f t="shared" si="50"/>
        <v>42.099999999999994</v>
      </c>
      <c r="G328" s="123">
        <f t="shared" si="51"/>
        <v>-29</v>
      </c>
      <c r="I328" s="211">
        <f t="shared" si="49"/>
        <v>-0.11600000000000001</v>
      </c>
    </row>
    <row r="329" spans="1:9" x14ac:dyDescent="0.25">
      <c r="A329" s="124" t="s">
        <v>8203</v>
      </c>
      <c r="B329" s="125">
        <v>0</v>
      </c>
      <c r="C329" s="125">
        <v>1.23</v>
      </c>
      <c r="D329" s="125">
        <f t="shared" si="48"/>
        <v>0</v>
      </c>
      <c r="F329" s="123">
        <f t="shared" si="50"/>
        <v>-1.23</v>
      </c>
      <c r="G329" s="123">
        <f t="shared" si="51"/>
        <v>0</v>
      </c>
      <c r="I329" s="211" t="e">
        <f t="shared" si="49"/>
        <v>#DIV/0!</v>
      </c>
    </row>
    <row r="330" spans="1:9" x14ac:dyDescent="0.25">
      <c r="A330" s="124" t="s">
        <v>8204</v>
      </c>
      <c r="B330" s="125">
        <v>25</v>
      </c>
      <c r="C330" s="125">
        <v>0</v>
      </c>
      <c r="D330" s="125">
        <f t="shared" si="48"/>
        <v>221</v>
      </c>
      <c r="E330" s="125">
        <v>600</v>
      </c>
      <c r="F330" s="123">
        <f t="shared" si="50"/>
        <v>25</v>
      </c>
      <c r="G330" s="123">
        <f t="shared" si="51"/>
        <v>196</v>
      </c>
      <c r="I330" s="211">
        <f t="shared" si="49"/>
        <v>7.84</v>
      </c>
    </row>
    <row r="331" spans="1:9" x14ac:dyDescent="0.25">
      <c r="A331" s="124" t="s">
        <v>8205</v>
      </c>
      <c r="B331" s="125">
        <v>25</v>
      </c>
      <c r="C331" s="125">
        <v>0</v>
      </c>
      <c r="D331" s="125">
        <f t="shared" si="48"/>
        <v>221</v>
      </c>
      <c r="E331" s="125">
        <v>600</v>
      </c>
      <c r="F331" s="123">
        <f t="shared" si="50"/>
        <v>25</v>
      </c>
      <c r="G331" s="123">
        <f t="shared" si="51"/>
        <v>196</v>
      </c>
      <c r="I331" s="211">
        <f t="shared" si="49"/>
        <v>7.84</v>
      </c>
    </row>
    <row r="332" spans="1:9" x14ac:dyDescent="0.25">
      <c r="A332" s="124" t="s">
        <v>8206</v>
      </c>
      <c r="B332" s="125">
        <v>25</v>
      </c>
      <c r="C332" s="125">
        <v>0</v>
      </c>
      <c r="D332" s="125">
        <f t="shared" si="48"/>
        <v>221</v>
      </c>
      <c r="E332" s="125">
        <v>600</v>
      </c>
      <c r="F332" s="123">
        <f t="shared" si="50"/>
        <v>25</v>
      </c>
      <c r="G332" s="123">
        <f t="shared" si="51"/>
        <v>196</v>
      </c>
      <c r="I332" s="211">
        <f t="shared" si="49"/>
        <v>7.84</v>
      </c>
    </row>
    <row r="333" spans="1:9" x14ac:dyDescent="0.25">
      <c r="A333" s="124" t="s">
        <v>8207</v>
      </c>
      <c r="B333" s="125">
        <v>25</v>
      </c>
      <c r="C333" s="125">
        <v>0</v>
      </c>
      <c r="D333" s="125">
        <f t="shared" si="48"/>
        <v>221</v>
      </c>
      <c r="E333" s="125">
        <v>600</v>
      </c>
      <c r="F333" s="123">
        <f t="shared" si="50"/>
        <v>25</v>
      </c>
      <c r="G333" s="123">
        <f t="shared" si="51"/>
        <v>196</v>
      </c>
      <c r="I333" s="211">
        <f t="shared" si="49"/>
        <v>7.84</v>
      </c>
    </row>
    <row r="334" spans="1:9" x14ac:dyDescent="0.25">
      <c r="A334" s="124" t="s">
        <v>8208</v>
      </c>
      <c r="B334" s="125">
        <v>25</v>
      </c>
      <c r="C334" s="125">
        <v>0</v>
      </c>
      <c r="D334" s="125">
        <f t="shared" si="48"/>
        <v>221</v>
      </c>
      <c r="E334" s="125">
        <v>600</v>
      </c>
      <c r="F334" s="123">
        <f t="shared" si="50"/>
        <v>25</v>
      </c>
      <c r="G334" s="123">
        <f t="shared" si="51"/>
        <v>196</v>
      </c>
      <c r="I334" s="211">
        <f t="shared" si="49"/>
        <v>7.84</v>
      </c>
    </row>
    <row r="335" spans="1:9" x14ac:dyDescent="0.25">
      <c r="A335" s="124" t="s">
        <v>8209</v>
      </c>
      <c r="B335" s="125">
        <v>26.84</v>
      </c>
      <c r="C335" s="125">
        <v>2.04</v>
      </c>
      <c r="D335" s="125">
        <f t="shared" si="48"/>
        <v>221</v>
      </c>
      <c r="E335" s="125">
        <v>600</v>
      </c>
      <c r="F335" s="123">
        <f t="shared" si="50"/>
        <v>24.8</v>
      </c>
      <c r="G335" s="123">
        <f t="shared" si="51"/>
        <v>194.16</v>
      </c>
      <c r="I335" s="211">
        <f t="shared" si="49"/>
        <v>7.2339791356184797</v>
      </c>
    </row>
    <row r="336" spans="1:9" x14ac:dyDescent="0.25">
      <c r="A336" s="124" t="s">
        <v>8210</v>
      </c>
      <c r="B336" s="125">
        <v>483.23</v>
      </c>
      <c r="C336" s="125">
        <v>248.03</v>
      </c>
      <c r="D336" s="125">
        <f t="shared" si="48"/>
        <v>958</v>
      </c>
      <c r="E336" s="125">
        <v>2600</v>
      </c>
      <c r="F336" s="123">
        <f t="shared" si="50"/>
        <v>235.20000000000002</v>
      </c>
      <c r="G336" s="123">
        <f t="shared" si="51"/>
        <v>474.77</v>
      </c>
      <c r="I336" s="211">
        <f t="shared" si="49"/>
        <v>0.98249280880740009</v>
      </c>
    </row>
    <row r="337" spans="1:9" x14ac:dyDescent="0.25">
      <c r="A337" s="124" t="s">
        <v>8211</v>
      </c>
      <c r="B337" s="125">
        <v>50</v>
      </c>
      <c r="C337" s="125">
        <v>0</v>
      </c>
      <c r="D337" s="125">
        <f t="shared" si="48"/>
        <v>184</v>
      </c>
      <c r="E337" s="125">
        <v>500</v>
      </c>
      <c r="F337" s="123">
        <f t="shared" si="50"/>
        <v>50</v>
      </c>
      <c r="G337" s="123">
        <f t="shared" si="51"/>
        <v>134</v>
      </c>
      <c r="I337" s="211">
        <f t="shared" si="49"/>
        <v>2.68</v>
      </c>
    </row>
    <row r="338" spans="1:9" x14ac:dyDescent="0.25">
      <c r="A338" s="124" t="s">
        <v>8212</v>
      </c>
      <c r="B338" s="125">
        <v>168</v>
      </c>
      <c r="C338" s="125">
        <v>64.44</v>
      </c>
      <c r="D338" s="125">
        <f t="shared" si="48"/>
        <v>405</v>
      </c>
      <c r="E338" s="125">
        <v>1100</v>
      </c>
      <c r="F338" s="123">
        <f t="shared" si="50"/>
        <v>103.56</v>
      </c>
      <c r="G338" s="123">
        <f t="shared" si="51"/>
        <v>237</v>
      </c>
      <c r="I338" s="211">
        <f t="shared" si="49"/>
        <v>1.4107142857142858</v>
      </c>
    </row>
    <row r="339" spans="1:9" x14ac:dyDescent="0.25">
      <c r="A339" s="124" t="s">
        <v>8213</v>
      </c>
      <c r="B339" s="125">
        <v>5.47</v>
      </c>
      <c r="C339" s="125">
        <v>0.52</v>
      </c>
      <c r="D339" s="125">
        <f t="shared" si="48"/>
        <v>18</v>
      </c>
      <c r="E339" s="125">
        <v>50</v>
      </c>
      <c r="F339" s="123">
        <f t="shared" si="50"/>
        <v>4.9499999999999993</v>
      </c>
      <c r="G339" s="123">
        <f t="shared" si="51"/>
        <v>12.530000000000001</v>
      </c>
      <c r="I339" s="211">
        <f t="shared" si="49"/>
        <v>2.290676416819013</v>
      </c>
    </row>
    <row r="340" spans="1:9" x14ac:dyDescent="0.25">
      <c r="A340" s="124" t="s">
        <v>8214</v>
      </c>
      <c r="B340" s="125">
        <v>4.5</v>
      </c>
      <c r="C340" s="125">
        <v>0</v>
      </c>
      <c r="D340" s="125">
        <f t="shared" si="48"/>
        <v>17</v>
      </c>
      <c r="E340" s="125">
        <v>45</v>
      </c>
      <c r="F340" s="123">
        <f t="shared" si="50"/>
        <v>4.5</v>
      </c>
      <c r="G340" s="123">
        <f t="shared" si="51"/>
        <v>12.5</v>
      </c>
      <c r="I340" s="211">
        <f t="shared" si="49"/>
        <v>2.7777777777777777</v>
      </c>
    </row>
    <row r="341" spans="1:9" x14ac:dyDescent="0.25">
      <c r="A341" s="124" t="s">
        <v>8215</v>
      </c>
      <c r="B341" s="125">
        <v>1000</v>
      </c>
      <c r="C341" s="125">
        <v>664.83</v>
      </c>
      <c r="D341" s="125">
        <f t="shared" si="48"/>
        <v>368</v>
      </c>
      <c r="E341" s="125">
        <v>1000</v>
      </c>
      <c r="F341" s="123">
        <f t="shared" si="50"/>
        <v>335.16999999999996</v>
      </c>
      <c r="G341" s="123">
        <f t="shared" si="51"/>
        <v>-632</v>
      </c>
      <c r="I341" s="211">
        <f t="shared" si="49"/>
        <v>-0.63200000000000001</v>
      </c>
    </row>
    <row r="342" spans="1:9" x14ac:dyDescent="0.25">
      <c r="A342" s="124" t="s">
        <v>8216</v>
      </c>
      <c r="B342" s="125">
        <v>317.42</v>
      </c>
      <c r="C342" s="125">
        <v>163.79</v>
      </c>
      <c r="D342" s="125">
        <f t="shared" si="48"/>
        <v>626</v>
      </c>
      <c r="E342" s="125">
        <v>1700</v>
      </c>
      <c r="F342" s="123">
        <f t="shared" si="50"/>
        <v>153.63000000000002</v>
      </c>
      <c r="G342" s="123">
        <f t="shared" si="51"/>
        <v>308.58</v>
      </c>
      <c r="I342" s="211">
        <f t="shared" si="49"/>
        <v>0.9721504631088147</v>
      </c>
    </row>
    <row r="343" spans="1:9" x14ac:dyDescent="0.25">
      <c r="A343" s="124" t="s">
        <v>8217</v>
      </c>
      <c r="B343" s="125">
        <v>339.23</v>
      </c>
      <c r="C343" s="125">
        <v>35.92</v>
      </c>
      <c r="D343" s="125">
        <f t="shared" si="48"/>
        <v>1357</v>
      </c>
      <c r="E343" s="125">
        <v>3682.7999999999997</v>
      </c>
      <c r="F343" s="123">
        <f t="shared" si="50"/>
        <v>303.31</v>
      </c>
      <c r="G343" s="123">
        <f t="shared" si="51"/>
        <v>1017.77</v>
      </c>
      <c r="I343" s="211">
        <f t="shared" si="49"/>
        <v>3.0002358281991568</v>
      </c>
    </row>
    <row r="344" spans="1:9" x14ac:dyDescent="0.25">
      <c r="A344" s="124" t="s">
        <v>8218</v>
      </c>
      <c r="B344" s="125">
        <v>27.9</v>
      </c>
      <c r="C344" s="125">
        <v>0</v>
      </c>
      <c r="D344" s="125">
        <f t="shared" si="48"/>
        <v>123</v>
      </c>
      <c r="E344" s="125">
        <v>334.8</v>
      </c>
      <c r="F344" s="123">
        <f t="shared" si="50"/>
        <v>27.9</v>
      </c>
      <c r="G344" s="123">
        <f t="shared" si="51"/>
        <v>95.1</v>
      </c>
      <c r="I344" s="211">
        <f t="shared" si="49"/>
        <v>3.4086021505376345</v>
      </c>
    </row>
    <row r="345" spans="1:9" x14ac:dyDescent="0.25">
      <c r="A345" s="124" t="s">
        <v>8219</v>
      </c>
      <c r="B345" s="125">
        <v>27.9</v>
      </c>
      <c r="C345" s="125">
        <v>0</v>
      </c>
      <c r="D345" s="125">
        <f t="shared" si="48"/>
        <v>164</v>
      </c>
      <c r="E345" s="125">
        <v>446.4</v>
      </c>
      <c r="F345" s="123">
        <f t="shared" si="50"/>
        <v>27.9</v>
      </c>
      <c r="G345" s="123">
        <f t="shared" si="51"/>
        <v>136.1</v>
      </c>
      <c r="I345" s="211">
        <f t="shared" si="49"/>
        <v>4.8781362007168463</v>
      </c>
    </row>
    <row r="346" spans="1:9" x14ac:dyDescent="0.25">
      <c r="A346" s="124" t="s">
        <v>8220</v>
      </c>
      <c r="B346" s="125">
        <v>976.3</v>
      </c>
      <c r="C346" s="125">
        <v>0</v>
      </c>
      <c r="D346" s="125">
        <f t="shared" si="48"/>
        <v>4318</v>
      </c>
      <c r="E346" s="125">
        <v>11718</v>
      </c>
      <c r="F346" s="123">
        <f t="shared" si="50"/>
        <v>976.3</v>
      </c>
      <c r="G346" s="123">
        <f t="shared" si="51"/>
        <v>3341.7</v>
      </c>
      <c r="I346" s="211">
        <f t="shared" si="49"/>
        <v>3.4228208542456211</v>
      </c>
    </row>
    <row r="347" spans="1:9" x14ac:dyDescent="0.25">
      <c r="A347" s="124" t="s">
        <v>8221</v>
      </c>
      <c r="B347" s="125">
        <v>37.200000000000003</v>
      </c>
      <c r="C347" s="125">
        <v>0</v>
      </c>
      <c r="D347" s="125">
        <f t="shared" si="48"/>
        <v>164</v>
      </c>
      <c r="E347" s="125">
        <v>446.4</v>
      </c>
      <c r="F347" s="123">
        <f t="shared" si="50"/>
        <v>37.200000000000003</v>
      </c>
      <c r="G347" s="123">
        <f t="shared" si="51"/>
        <v>126.8</v>
      </c>
      <c r="I347" s="211">
        <f t="shared" si="49"/>
        <v>3.408602150537634</v>
      </c>
    </row>
    <row r="348" spans="1:9" x14ac:dyDescent="0.25">
      <c r="A348" s="124" t="s">
        <v>8222</v>
      </c>
      <c r="B348" s="125">
        <v>193.73</v>
      </c>
      <c r="C348" s="125">
        <v>99.81</v>
      </c>
      <c r="D348" s="125">
        <f t="shared" si="48"/>
        <v>459</v>
      </c>
      <c r="E348" s="125">
        <v>1246.8</v>
      </c>
      <c r="F348" s="123">
        <f t="shared" si="50"/>
        <v>93.919999999999987</v>
      </c>
      <c r="G348" s="123">
        <f t="shared" si="51"/>
        <v>265.27</v>
      </c>
      <c r="I348" s="211">
        <f t="shared" si="49"/>
        <v>1.369276828575853</v>
      </c>
    </row>
    <row r="349" spans="1:9" x14ac:dyDescent="0.25">
      <c r="A349" s="124" t="s">
        <v>8223</v>
      </c>
      <c r="B349" s="125">
        <v>51.75</v>
      </c>
      <c r="C349" s="125">
        <v>1.94</v>
      </c>
      <c r="D349" s="125">
        <f t="shared" si="48"/>
        <v>221</v>
      </c>
      <c r="E349" s="125">
        <v>600</v>
      </c>
      <c r="F349" s="123">
        <f t="shared" si="50"/>
        <v>49.81</v>
      </c>
      <c r="G349" s="123">
        <f t="shared" si="51"/>
        <v>169.25</v>
      </c>
      <c r="I349" s="211">
        <f t="shared" si="49"/>
        <v>3.2705314009661834</v>
      </c>
    </row>
    <row r="350" spans="1:9" x14ac:dyDescent="0.25">
      <c r="A350" s="124" t="s">
        <v>8224</v>
      </c>
      <c r="B350" s="125">
        <v>55.8</v>
      </c>
      <c r="C350" s="125">
        <v>0</v>
      </c>
      <c r="D350" s="125">
        <f t="shared" ref="D350:D400" si="52">ROUND(E350*36.8498364558196%,0)</f>
        <v>247</v>
      </c>
      <c r="E350" s="125">
        <v>669.6</v>
      </c>
      <c r="F350" s="123">
        <f t="shared" si="50"/>
        <v>55.8</v>
      </c>
      <c r="G350" s="123">
        <f t="shared" si="51"/>
        <v>191.2</v>
      </c>
      <c r="I350" s="211">
        <f t="shared" si="49"/>
        <v>3.4265232974910393</v>
      </c>
    </row>
    <row r="351" spans="1:9" x14ac:dyDescent="0.25">
      <c r="A351" s="124" t="s">
        <v>8225</v>
      </c>
      <c r="B351" s="125">
        <v>18.600000000000001</v>
      </c>
      <c r="C351" s="125">
        <v>0</v>
      </c>
      <c r="D351" s="125">
        <f t="shared" si="52"/>
        <v>82</v>
      </c>
      <c r="E351" s="125">
        <v>223.2</v>
      </c>
      <c r="F351" s="123">
        <f t="shared" si="50"/>
        <v>18.600000000000001</v>
      </c>
      <c r="G351" s="123">
        <f t="shared" si="51"/>
        <v>63.4</v>
      </c>
      <c r="I351" s="211">
        <f t="shared" si="49"/>
        <v>3.408602150537634</v>
      </c>
    </row>
    <row r="352" spans="1:9" x14ac:dyDescent="0.25">
      <c r="A352" s="124" t="s">
        <v>8226</v>
      </c>
      <c r="B352" s="125">
        <v>93</v>
      </c>
      <c r="C352" s="125">
        <v>0</v>
      </c>
      <c r="D352" s="125">
        <f t="shared" si="52"/>
        <v>411</v>
      </c>
      <c r="E352" s="125">
        <v>1116</v>
      </c>
      <c r="F352" s="123">
        <f t="shared" si="50"/>
        <v>93</v>
      </c>
      <c r="G352" s="123">
        <f t="shared" si="51"/>
        <v>318</v>
      </c>
      <c r="I352" s="211">
        <f t="shared" si="49"/>
        <v>3.4193548387096775</v>
      </c>
    </row>
    <row r="353" spans="1:9" x14ac:dyDescent="0.25">
      <c r="A353" s="124" t="s">
        <v>8227</v>
      </c>
      <c r="B353" s="125">
        <v>9.3000000000000007</v>
      </c>
      <c r="C353" s="125">
        <v>0</v>
      </c>
      <c r="D353" s="125">
        <f t="shared" si="52"/>
        <v>34</v>
      </c>
      <c r="E353" s="125">
        <v>93</v>
      </c>
      <c r="F353" s="123">
        <f t="shared" si="50"/>
        <v>9.3000000000000007</v>
      </c>
      <c r="G353" s="123">
        <f t="shared" si="51"/>
        <v>24.7</v>
      </c>
      <c r="I353" s="211">
        <f t="shared" si="49"/>
        <v>2.6559139784946235</v>
      </c>
    </row>
    <row r="354" spans="1:9" x14ac:dyDescent="0.25">
      <c r="A354" s="124" t="s">
        <v>8228</v>
      </c>
      <c r="B354" s="125">
        <v>32.5</v>
      </c>
      <c r="C354" s="125">
        <v>0</v>
      </c>
      <c r="D354" s="125">
        <f t="shared" si="52"/>
        <v>144</v>
      </c>
      <c r="E354" s="125">
        <v>390</v>
      </c>
      <c r="F354" s="123">
        <f t="shared" si="50"/>
        <v>32.5</v>
      </c>
      <c r="G354" s="123">
        <f t="shared" si="51"/>
        <v>111.5</v>
      </c>
      <c r="I354" s="211">
        <f t="shared" si="49"/>
        <v>3.4307692307692306</v>
      </c>
    </row>
    <row r="355" spans="1:9" x14ac:dyDescent="0.25">
      <c r="A355" s="124" t="s">
        <v>8229</v>
      </c>
      <c r="B355" s="125">
        <v>9.3000000000000007</v>
      </c>
      <c r="C355" s="125">
        <v>0</v>
      </c>
      <c r="D355" s="125">
        <f t="shared" si="52"/>
        <v>0</v>
      </c>
      <c r="F355" s="123">
        <f t="shared" si="50"/>
        <v>9.3000000000000007</v>
      </c>
      <c r="G355" s="123">
        <f t="shared" si="51"/>
        <v>-9.3000000000000007</v>
      </c>
      <c r="I355" s="211">
        <f t="shared" si="49"/>
        <v>-1</v>
      </c>
    </row>
    <row r="356" spans="1:9" x14ac:dyDescent="0.25">
      <c r="A356" s="124" t="s">
        <v>8230</v>
      </c>
      <c r="B356" s="125">
        <v>900</v>
      </c>
      <c r="C356" s="125">
        <v>123.59</v>
      </c>
      <c r="D356" s="125">
        <f t="shared" si="52"/>
        <v>332</v>
      </c>
      <c r="E356" s="125">
        <v>900</v>
      </c>
      <c r="F356" s="123">
        <f t="shared" si="50"/>
        <v>776.41</v>
      </c>
      <c r="G356" s="123">
        <f t="shared" si="51"/>
        <v>-568</v>
      </c>
      <c r="I356" s="211">
        <f t="shared" si="49"/>
        <v>-0.63111111111111107</v>
      </c>
    </row>
    <row r="357" spans="1:9" x14ac:dyDescent="0.25">
      <c r="A357" s="124" t="s">
        <v>8231</v>
      </c>
      <c r="B357" s="125">
        <v>40.700000000000003</v>
      </c>
      <c r="C357" s="125">
        <v>11.88</v>
      </c>
      <c r="D357" s="125">
        <f t="shared" si="52"/>
        <v>111</v>
      </c>
      <c r="E357" s="125">
        <v>300</v>
      </c>
      <c r="F357" s="123">
        <f t="shared" si="50"/>
        <v>28.82</v>
      </c>
      <c r="G357" s="123">
        <f t="shared" si="51"/>
        <v>70.3</v>
      </c>
      <c r="I357" s="211">
        <f t="shared" si="49"/>
        <v>1.7272727272727271</v>
      </c>
    </row>
    <row r="358" spans="1:9" x14ac:dyDescent="0.25">
      <c r="A358" s="124" t="s">
        <v>8232</v>
      </c>
      <c r="B358" s="125">
        <v>21.1</v>
      </c>
      <c r="C358" s="125">
        <v>0</v>
      </c>
      <c r="D358" s="125">
        <f t="shared" si="52"/>
        <v>78</v>
      </c>
      <c r="E358" s="125">
        <v>211</v>
      </c>
      <c r="F358" s="123">
        <f t="shared" si="50"/>
        <v>21.1</v>
      </c>
      <c r="G358" s="123">
        <f t="shared" si="51"/>
        <v>56.9</v>
      </c>
      <c r="I358" s="211">
        <f t="shared" si="49"/>
        <v>2.6966824644549758</v>
      </c>
    </row>
    <row r="359" spans="1:9" x14ac:dyDescent="0.25">
      <c r="A359" s="124" t="s">
        <v>8233</v>
      </c>
      <c r="B359" s="125">
        <v>84</v>
      </c>
      <c r="C359" s="125">
        <v>33.409999999999997</v>
      </c>
      <c r="D359" s="125">
        <f t="shared" si="52"/>
        <v>31</v>
      </c>
      <c r="E359" s="125">
        <v>84</v>
      </c>
      <c r="F359" s="123">
        <f t="shared" si="50"/>
        <v>50.59</v>
      </c>
      <c r="G359" s="123">
        <f t="shared" si="51"/>
        <v>-53</v>
      </c>
      <c r="I359" s="211">
        <f t="shared" si="49"/>
        <v>-0.63095238095238093</v>
      </c>
    </row>
    <row r="360" spans="1:9" x14ac:dyDescent="0.25">
      <c r="A360" s="124" t="s">
        <v>8234</v>
      </c>
      <c r="B360" s="125">
        <v>457.32</v>
      </c>
      <c r="C360" s="125">
        <v>147.91</v>
      </c>
      <c r="D360" s="125">
        <f t="shared" si="52"/>
        <v>1105</v>
      </c>
      <c r="E360" s="125">
        <v>3000</v>
      </c>
      <c r="F360" s="123">
        <f t="shared" si="50"/>
        <v>309.40999999999997</v>
      </c>
      <c r="G360" s="123">
        <f t="shared" si="51"/>
        <v>647.68000000000006</v>
      </c>
      <c r="I360" s="211">
        <f t="shared" si="49"/>
        <v>1.4162512026589698</v>
      </c>
    </row>
    <row r="361" spans="1:9" x14ac:dyDescent="0.25">
      <c r="A361" s="124" t="s">
        <v>8235</v>
      </c>
      <c r="B361" s="125">
        <v>57.5</v>
      </c>
      <c r="C361" s="125">
        <v>0</v>
      </c>
      <c r="D361" s="125">
        <f t="shared" si="52"/>
        <v>212</v>
      </c>
      <c r="E361" s="125">
        <v>575</v>
      </c>
      <c r="F361" s="123">
        <f t="shared" si="50"/>
        <v>57.5</v>
      </c>
      <c r="G361" s="123">
        <f t="shared" si="51"/>
        <v>154.5</v>
      </c>
      <c r="I361" s="211">
        <f t="shared" si="49"/>
        <v>2.6869565217391305</v>
      </c>
    </row>
    <row r="362" spans="1:9" x14ac:dyDescent="0.25">
      <c r="A362" s="124" t="s">
        <v>8236</v>
      </c>
      <c r="B362" s="125">
        <v>25</v>
      </c>
      <c r="C362" s="125">
        <v>0</v>
      </c>
      <c r="D362" s="125">
        <f t="shared" si="52"/>
        <v>92</v>
      </c>
      <c r="E362" s="125">
        <v>250</v>
      </c>
      <c r="F362" s="123">
        <f t="shared" si="50"/>
        <v>25</v>
      </c>
      <c r="G362" s="123">
        <f t="shared" si="51"/>
        <v>67</v>
      </c>
      <c r="I362" s="211">
        <f t="shared" si="49"/>
        <v>2.68</v>
      </c>
    </row>
    <row r="363" spans="1:9" x14ac:dyDescent="0.25">
      <c r="A363" s="124" t="s">
        <v>8237</v>
      </c>
      <c r="B363" s="125">
        <v>2.7</v>
      </c>
      <c r="C363" s="125">
        <v>0</v>
      </c>
      <c r="D363" s="125">
        <f t="shared" si="52"/>
        <v>0</v>
      </c>
      <c r="F363" s="123">
        <f t="shared" si="50"/>
        <v>2.7</v>
      </c>
      <c r="G363" s="123">
        <f t="shared" si="51"/>
        <v>-2.7</v>
      </c>
      <c r="I363" s="211">
        <f t="shared" si="49"/>
        <v>-1</v>
      </c>
    </row>
    <row r="364" spans="1:9" x14ac:dyDescent="0.25">
      <c r="A364" s="124" t="s">
        <v>8238</v>
      </c>
      <c r="B364" s="125">
        <v>25</v>
      </c>
      <c r="C364" s="125">
        <v>0</v>
      </c>
      <c r="D364" s="125">
        <f t="shared" si="52"/>
        <v>0</v>
      </c>
      <c r="F364" s="123">
        <f t="shared" si="50"/>
        <v>25</v>
      </c>
      <c r="G364" s="123">
        <f t="shared" si="51"/>
        <v>-25</v>
      </c>
      <c r="I364" s="211">
        <f t="shared" si="49"/>
        <v>-1</v>
      </c>
    </row>
    <row r="365" spans="1:9" x14ac:dyDescent="0.25">
      <c r="A365" s="124" t="s">
        <v>8239</v>
      </c>
      <c r="B365" s="125">
        <v>15</v>
      </c>
      <c r="C365" s="125">
        <v>0</v>
      </c>
      <c r="D365" s="125">
        <f t="shared" si="52"/>
        <v>55</v>
      </c>
      <c r="E365" s="125">
        <v>150</v>
      </c>
      <c r="F365" s="123">
        <f t="shared" si="50"/>
        <v>15</v>
      </c>
      <c r="G365" s="123">
        <f t="shared" si="51"/>
        <v>40</v>
      </c>
      <c r="I365" s="211">
        <f t="shared" si="49"/>
        <v>2.6666666666666665</v>
      </c>
    </row>
    <row r="366" spans="1:9" x14ac:dyDescent="0.25">
      <c r="A366" s="124" t="s">
        <v>8240</v>
      </c>
      <c r="B366" s="125">
        <v>25</v>
      </c>
      <c r="C366" s="125">
        <v>0</v>
      </c>
      <c r="D366" s="125">
        <f t="shared" si="52"/>
        <v>92</v>
      </c>
      <c r="E366" s="125">
        <v>250</v>
      </c>
      <c r="F366" s="123">
        <f t="shared" si="50"/>
        <v>25</v>
      </c>
      <c r="G366" s="123">
        <f t="shared" si="51"/>
        <v>67</v>
      </c>
      <c r="I366" s="211">
        <f t="shared" si="49"/>
        <v>2.68</v>
      </c>
    </row>
    <row r="367" spans="1:9" x14ac:dyDescent="0.25">
      <c r="A367" s="124" t="s">
        <v>8241</v>
      </c>
      <c r="B367" s="125">
        <v>10</v>
      </c>
      <c r="C367" s="125">
        <v>0</v>
      </c>
      <c r="D367" s="125">
        <f t="shared" si="52"/>
        <v>37</v>
      </c>
      <c r="E367" s="125">
        <v>100</v>
      </c>
      <c r="F367" s="123">
        <f t="shared" si="50"/>
        <v>10</v>
      </c>
      <c r="G367" s="123">
        <f t="shared" si="51"/>
        <v>27</v>
      </c>
      <c r="I367" s="211">
        <f t="shared" si="49"/>
        <v>2.7</v>
      </c>
    </row>
    <row r="368" spans="1:9" x14ac:dyDescent="0.25">
      <c r="A368" s="124" t="s">
        <v>8242</v>
      </c>
      <c r="B368" s="125">
        <v>35</v>
      </c>
      <c r="C368" s="125">
        <v>0</v>
      </c>
      <c r="D368" s="125">
        <f t="shared" si="52"/>
        <v>221</v>
      </c>
      <c r="E368" s="125">
        <v>600</v>
      </c>
      <c r="F368" s="123">
        <f t="shared" si="50"/>
        <v>35</v>
      </c>
      <c r="G368" s="123">
        <f t="shared" si="51"/>
        <v>186</v>
      </c>
      <c r="I368" s="211">
        <f t="shared" si="49"/>
        <v>5.3142857142857141</v>
      </c>
    </row>
    <row r="369" spans="1:9" x14ac:dyDescent="0.25">
      <c r="A369" s="124" t="s">
        <v>8243</v>
      </c>
      <c r="B369" s="125">
        <v>10</v>
      </c>
      <c r="C369" s="125">
        <v>0</v>
      </c>
      <c r="D369" s="125">
        <f t="shared" si="52"/>
        <v>92</v>
      </c>
      <c r="E369" s="125">
        <v>250</v>
      </c>
      <c r="F369" s="123">
        <f t="shared" si="50"/>
        <v>10</v>
      </c>
      <c r="G369" s="123">
        <f t="shared" si="51"/>
        <v>82</v>
      </c>
      <c r="I369" s="211">
        <f t="shared" si="49"/>
        <v>8.1999999999999993</v>
      </c>
    </row>
    <row r="370" spans="1:9" x14ac:dyDescent="0.25">
      <c r="A370" s="124" t="s">
        <v>8244</v>
      </c>
      <c r="B370" s="125">
        <v>20</v>
      </c>
      <c r="C370" s="125">
        <v>0</v>
      </c>
      <c r="D370" s="125">
        <f t="shared" si="52"/>
        <v>74</v>
      </c>
      <c r="E370" s="125">
        <v>200</v>
      </c>
      <c r="F370" s="123">
        <f t="shared" si="50"/>
        <v>20</v>
      </c>
      <c r="G370" s="123">
        <f t="shared" si="51"/>
        <v>54</v>
      </c>
      <c r="I370" s="211">
        <f t="shared" si="49"/>
        <v>2.7</v>
      </c>
    </row>
    <row r="371" spans="1:9" x14ac:dyDescent="0.25">
      <c r="A371" s="124" t="s">
        <v>8245</v>
      </c>
      <c r="B371" s="125">
        <v>4.5</v>
      </c>
      <c r="C371" s="125">
        <v>0</v>
      </c>
      <c r="D371" s="125">
        <f t="shared" si="52"/>
        <v>17</v>
      </c>
      <c r="E371" s="125">
        <v>45</v>
      </c>
      <c r="F371" s="123">
        <f t="shared" si="50"/>
        <v>4.5</v>
      </c>
      <c r="G371" s="123">
        <f t="shared" si="51"/>
        <v>12.5</v>
      </c>
      <c r="I371" s="211">
        <f t="shared" si="49"/>
        <v>2.7777777777777777</v>
      </c>
    </row>
    <row r="372" spans="1:9" x14ac:dyDescent="0.25">
      <c r="A372" s="124" t="s">
        <v>8246</v>
      </c>
      <c r="B372" s="125">
        <v>15</v>
      </c>
      <c r="C372" s="125">
        <v>0</v>
      </c>
      <c r="D372" s="125">
        <f t="shared" si="52"/>
        <v>55</v>
      </c>
      <c r="E372" s="125">
        <v>150</v>
      </c>
      <c r="F372" s="123">
        <f t="shared" si="50"/>
        <v>15</v>
      </c>
      <c r="G372" s="123">
        <f t="shared" si="51"/>
        <v>40</v>
      </c>
      <c r="I372" s="211">
        <f t="shared" si="49"/>
        <v>2.6666666666666665</v>
      </c>
    </row>
    <row r="373" spans="1:9" x14ac:dyDescent="0.25">
      <c r="A373" s="124" t="s">
        <v>8247</v>
      </c>
      <c r="B373" s="125">
        <v>15</v>
      </c>
      <c r="C373" s="125">
        <v>0</v>
      </c>
      <c r="D373" s="125">
        <f t="shared" si="52"/>
        <v>55</v>
      </c>
      <c r="E373" s="125">
        <v>150</v>
      </c>
      <c r="F373" s="123">
        <f t="shared" si="50"/>
        <v>15</v>
      </c>
      <c r="G373" s="123">
        <f t="shared" si="51"/>
        <v>40</v>
      </c>
      <c r="I373" s="211">
        <f t="shared" si="49"/>
        <v>2.6666666666666665</v>
      </c>
    </row>
    <row r="374" spans="1:9" x14ac:dyDescent="0.25">
      <c r="A374" s="124" t="s">
        <v>8248</v>
      </c>
      <c r="B374" s="125">
        <v>60</v>
      </c>
      <c r="C374" s="125">
        <v>0</v>
      </c>
      <c r="D374" s="125">
        <f t="shared" si="52"/>
        <v>221</v>
      </c>
      <c r="E374" s="125">
        <v>600</v>
      </c>
      <c r="F374" s="123">
        <f t="shared" si="50"/>
        <v>60</v>
      </c>
      <c r="G374" s="123">
        <f t="shared" si="51"/>
        <v>161</v>
      </c>
      <c r="I374" s="211">
        <f t="shared" si="49"/>
        <v>2.6833333333333331</v>
      </c>
    </row>
    <row r="375" spans="1:9" x14ac:dyDescent="0.25">
      <c r="A375" s="124" t="s">
        <v>8249</v>
      </c>
      <c r="B375" s="125">
        <v>32.1</v>
      </c>
      <c r="C375" s="125">
        <v>0</v>
      </c>
      <c r="D375" s="125">
        <f t="shared" si="52"/>
        <v>295</v>
      </c>
      <c r="E375" s="125">
        <v>800</v>
      </c>
      <c r="F375" s="123">
        <f t="shared" si="50"/>
        <v>32.1</v>
      </c>
      <c r="G375" s="123">
        <f t="shared" si="51"/>
        <v>262.89999999999998</v>
      </c>
      <c r="I375" s="211">
        <f t="shared" si="49"/>
        <v>8.1900311526479737</v>
      </c>
    </row>
    <row r="376" spans="1:9" x14ac:dyDescent="0.25">
      <c r="A376" s="124" t="s">
        <v>8250</v>
      </c>
      <c r="B376" s="125">
        <v>51</v>
      </c>
      <c r="C376" s="125">
        <v>0</v>
      </c>
      <c r="D376" s="125">
        <f t="shared" si="52"/>
        <v>188</v>
      </c>
      <c r="E376" s="125">
        <v>510</v>
      </c>
      <c r="F376" s="123">
        <f t="shared" si="50"/>
        <v>51</v>
      </c>
      <c r="G376" s="123">
        <f t="shared" si="51"/>
        <v>137</v>
      </c>
      <c r="I376" s="211">
        <f t="shared" si="49"/>
        <v>2.6862745098039214</v>
      </c>
    </row>
    <row r="377" spans="1:9" x14ac:dyDescent="0.25">
      <c r="A377" s="124" t="s">
        <v>8251</v>
      </c>
      <c r="B377" s="125">
        <v>0</v>
      </c>
      <c r="C377" s="125">
        <v>4.22</v>
      </c>
      <c r="D377" s="125">
        <f t="shared" si="52"/>
        <v>553</v>
      </c>
      <c r="E377" s="125">
        <v>1500</v>
      </c>
      <c r="F377" s="123">
        <f t="shared" si="50"/>
        <v>-4.22</v>
      </c>
      <c r="G377" s="123">
        <f t="shared" si="51"/>
        <v>553</v>
      </c>
      <c r="I377" s="211" t="e">
        <f t="shared" si="49"/>
        <v>#DIV/0!</v>
      </c>
    </row>
    <row r="378" spans="1:9" x14ac:dyDescent="0.25">
      <c r="A378" s="124" t="s">
        <v>8252</v>
      </c>
      <c r="B378" s="125">
        <v>184.43</v>
      </c>
      <c r="C378" s="125">
        <v>44.7</v>
      </c>
      <c r="D378" s="125">
        <f t="shared" si="52"/>
        <v>531</v>
      </c>
      <c r="E378" s="125">
        <v>1442</v>
      </c>
      <c r="F378" s="123">
        <f t="shared" si="50"/>
        <v>139.73000000000002</v>
      </c>
      <c r="G378" s="123">
        <f t="shared" si="51"/>
        <v>346.57</v>
      </c>
      <c r="I378" s="211">
        <f t="shared" si="49"/>
        <v>1.8791411375589653</v>
      </c>
    </row>
    <row r="379" spans="1:9" x14ac:dyDescent="0.25">
      <c r="A379" s="124" t="s">
        <v>8253</v>
      </c>
      <c r="B379" s="125">
        <v>60.75</v>
      </c>
      <c r="C379" s="125">
        <v>11.94</v>
      </c>
      <c r="D379" s="125">
        <f t="shared" si="52"/>
        <v>184</v>
      </c>
      <c r="E379" s="125">
        <v>500</v>
      </c>
      <c r="F379" s="123">
        <f t="shared" si="50"/>
        <v>48.81</v>
      </c>
      <c r="G379" s="123">
        <f t="shared" si="51"/>
        <v>123.25</v>
      </c>
      <c r="I379" s="211">
        <f t="shared" si="49"/>
        <v>2.0288065843621399</v>
      </c>
    </row>
    <row r="380" spans="1:9" x14ac:dyDescent="0.25">
      <c r="A380" s="124" t="s">
        <v>8254</v>
      </c>
      <c r="B380" s="125">
        <v>10</v>
      </c>
      <c r="C380" s="125">
        <v>0</v>
      </c>
      <c r="D380" s="125">
        <f t="shared" si="52"/>
        <v>553</v>
      </c>
      <c r="E380" s="125">
        <v>1500</v>
      </c>
      <c r="F380" s="123">
        <f t="shared" si="50"/>
        <v>10</v>
      </c>
      <c r="G380" s="123">
        <f t="shared" si="51"/>
        <v>543</v>
      </c>
      <c r="I380" s="211">
        <f t="shared" si="49"/>
        <v>54.3</v>
      </c>
    </row>
    <row r="381" spans="1:9" x14ac:dyDescent="0.25">
      <c r="A381" s="124" t="s">
        <v>8255</v>
      </c>
      <c r="B381" s="125">
        <v>100.3</v>
      </c>
      <c r="C381" s="125">
        <v>175.99</v>
      </c>
      <c r="D381" s="125">
        <f t="shared" si="52"/>
        <v>368</v>
      </c>
      <c r="E381" s="125">
        <v>1000</v>
      </c>
      <c r="F381" s="123">
        <f t="shared" si="50"/>
        <v>-75.690000000000012</v>
      </c>
      <c r="G381" s="123">
        <f t="shared" si="51"/>
        <v>267.7</v>
      </c>
      <c r="I381" s="211">
        <f t="shared" si="49"/>
        <v>2.6689930209371884</v>
      </c>
    </row>
    <row r="382" spans="1:9" x14ac:dyDescent="0.25">
      <c r="A382" s="124" t="s">
        <v>8256</v>
      </c>
      <c r="B382" s="125">
        <v>300</v>
      </c>
      <c r="C382" s="125">
        <v>0</v>
      </c>
      <c r="D382" s="125">
        <f t="shared" si="52"/>
        <v>1105</v>
      </c>
      <c r="E382" s="125">
        <v>3000</v>
      </c>
      <c r="F382" s="123">
        <f t="shared" si="50"/>
        <v>300</v>
      </c>
      <c r="G382" s="123">
        <f t="shared" si="51"/>
        <v>805</v>
      </c>
      <c r="I382" s="211">
        <f t="shared" si="49"/>
        <v>2.6833333333333331</v>
      </c>
    </row>
    <row r="383" spans="1:9" x14ac:dyDescent="0.25">
      <c r="A383" s="124" t="s">
        <v>8257</v>
      </c>
      <c r="B383" s="125">
        <v>1100</v>
      </c>
      <c r="C383" s="125">
        <v>0</v>
      </c>
      <c r="D383" s="125">
        <f t="shared" si="52"/>
        <v>4053</v>
      </c>
      <c r="E383" s="125">
        <v>11000</v>
      </c>
      <c r="F383" s="123">
        <f t="shared" si="50"/>
        <v>1100</v>
      </c>
      <c r="G383" s="123">
        <f t="shared" si="51"/>
        <v>2953</v>
      </c>
      <c r="I383" s="211">
        <f t="shared" si="49"/>
        <v>2.6845454545454546</v>
      </c>
    </row>
    <row r="384" spans="1:9" x14ac:dyDescent="0.25">
      <c r="A384" s="124" t="s">
        <v>8258</v>
      </c>
      <c r="B384" s="125">
        <v>162.19999999999999</v>
      </c>
      <c r="C384" s="125">
        <v>2.44</v>
      </c>
      <c r="D384" s="125">
        <f t="shared" si="52"/>
        <v>590</v>
      </c>
      <c r="E384" s="125">
        <v>1600</v>
      </c>
      <c r="F384" s="123">
        <f t="shared" si="50"/>
        <v>159.76</v>
      </c>
      <c r="G384" s="123">
        <f t="shared" si="51"/>
        <v>427.8</v>
      </c>
      <c r="I384" s="211">
        <f t="shared" si="49"/>
        <v>2.6374845869297165</v>
      </c>
    </row>
    <row r="385" spans="1:9" x14ac:dyDescent="0.25">
      <c r="A385" s="124" t="s">
        <v>8259</v>
      </c>
      <c r="B385" s="125">
        <v>220</v>
      </c>
      <c r="C385" s="125">
        <v>0</v>
      </c>
      <c r="D385" s="125">
        <f t="shared" si="52"/>
        <v>811</v>
      </c>
      <c r="E385" s="125">
        <v>2200</v>
      </c>
      <c r="F385" s="123">
        <f t="shared" si="50"/>
        <v>220</v>
      </c>
      <c r="G385" s="123">
        <f t="shared" si="51"/>
        <v>591</v>
      </c>
      <c r="I385" s="211">
        <f t="shared" si="49"/>
        <v>2.6863636363636365</v>
      </c>
    </row>
    <row r="386" spans="1:9" x14ac:dyDescent="0.25">
      <c r="A386" s="124" t="s">
        <v>8260</v>
      </c>
      <c r="B386" s="125">
        <v>62.7</v>
      </c>
      <c r="C386" s="125">
        <v>14.66</v>
      </c>
      <c r="D386" s="125">
        <f t="shared" si="52"/>
        <v>182</v>
      </c>
      <c r="E386" s="125">
        <v>495</v>
      </c>
      <c r="F386" s="123">
        <f t="shared" si="50"/>
        <v>48.040000000000006</v>
      </c>
      <c r="G386" s="123">
        <f t="shared" si="51"/>
        <v>119.3</v>
      </c>
      <c r="I386" s="211">
        <f t="shared" si="49"/>
        <v>1.9027113237639552</v>
      </c>
    </row>
    <row r="387" spans="1:9" x14ac:dyDescent="0.25">
      <c r="A387" s="124" t="s">
        <v>8261</v>
      </c>
      <c r="B387" s="125">
        <v>60</v>
      </c>
      <c r="C387" s="125">
        <v>0</v>
      </c>
      <c r="D387" s="125">
        <f t="shared" si="52"/>
        <v>221</v>
      </c>
      <c r="E387" s="125">
        <v>600</v>
      </c>
      <c r="F387" s="123">
        <f t="shared" si="50"/>
        <v>60</v>
      </c>
      <c r="G387" s="123">
        <f t="shared" si="51"/>
        <v>161</v>
      </c>
      <c r="I387" s="211">
        <f t="shared" ref="I387:I450" si="53">+G387/B387</f>
        <v>2.6833333333333331</v>
      </c>
    </row>
    <row r="388" spans="1:9" x14ac:dyDescent="0.25">
      <c r="A388" s="124" t="s">
        <v>8262</v>
      </c>
      <c r="B388" s="125">
        <v>20.65</v>
      </c>
      <c r="C388" s="125">
        <v>282.23</v>
      </c>
      <c r="D388" s="125">
        <f t="shared" si="52"/>
        <v>8</v>
      </c>
      <c r="E388" s="125">
        <v>20.65</v>
      </c>
      <c r="F388" s="123">
        <f t="shared" ref="F388:F451" si="54">+B388-C388</f>
        <v>-261.58000000000004</v>
      </c>
      <c r="G388" s="123">
        <f t="shared" ref="G388:G451" si="55">+D388-B388</f>
        <v>-12.649999999999999</v>
      </c>
      <c r="I388" s="211">
        <f t="shared" si="53"/>
        <v>-0.61259079903147695</v>
      </c>
    </row>
    <row r="389" spans="1:9" x14ac:dyDescent="0.25">
      <c r="A389" s="124" t="s">
        <v>8263</v>
      </c>
      <c r="B389" s="125">
        <v>200</v>
      </c>
      <c r="C389" s="125">
        <v>53.14</v>
      </c>
      <c r="D389" s="125">
        <f t="shared" si="52"/>
        <v>74</v>
      </c>
      <c r="E389" s="125">
        <v>200</v>
      </c>
      <c r="F389" s="123">
        <f t="shared" si="54"/>
        <v>146.86000000000001</v>
      </c>
      <c r="G389" s="123">
        <f t="shared" si="55"/>
        <v>-126</v>
      </c>
      <c r="I389" s="211">
        <f t="shared" si="53"/>
        <v>-0.63</v>
      </c>
    </row>
    <row r="390" spans="1:9" x14ac:dyDescent="0.25">
      <c r="A390" s="124" t="s">
        <v>8264</v>
      </c>
      <c r="B390" s="125">
        <v>387.69</v>
      </c>
      <c r="C390" s="125">
        <v>97.43</v>
      </c>
      <c r="D390" s="125">
        <f t="shared" si="52"/>
        <v>1105</v>
      </c>
      <c r="E390" s="125">
        <v>3000</v>
      </c>
      <c r="F390" s="123">
        <f t="shared" si="54"/>
        <v>290.26</v>
      </c>
      <c r="G390" s="123">
        <f t="shared" si="55"/>
        <v>717.31</v>
      </c>
      <c r="I390" s="211">
        <f t="shared" si="53"/>
        <v>1.8502153782661404</v>
      </c>
    </row>
    <row r="391" spans="1:9" x14ac:dyDescent="0.25">
      <c r="A391" s="124" t="s">
        <v>8265</v>
      </c>
      <c r="B391" s="125">
        <v>500</v>
      </c>
      <c r="C391" s="125">
        <v>71.19</v>
      </c>
      <c r="D391" s="125">
        <f t="shared" si="52"/>
        <v>184</v>
      </c>
      <c r="E391" s="125">
        <v>500</v>
      </c>
      <c r="F391" s="123">
        <f t="shared" si="54"/>
        <v>428.81</v>
      </c>
      <c r="G391" s="123">
        <f t="shared" si="55"/>
        <v>-316</v>
      </c>
      <c r="I391" s="211">
        <f t="shared" si="53"/>
        <v>-0.63200000000000001</v>
      </c>
    </row>
    <row r="392" spans="1:9" x14ac:dyDescent="0.25">
      <c r="A392" s="124" t="s">
        <v>8266</v>
      </c>
      <c r="B392" s="125">
        <v>150.72999999999999</v>
      </c>
      <c r="C392" s="125">
        <v>34.14</v>
      </c>
      <c r="D392" s="125">
        <f t="shared" si="52"/>
        <v>442</v>
      </c>
      <c r="E392" s="125">
        <v>1200</v>
      </c>
      <c r="F392" s="123">
        <f t="shared" si="54"/>
        <v>116.58999999999999</v>
      </c>
      <c r="G392" s="123">
        <f t="shared" si="55"/>
        <v>291.27</v>
      </c>
      <c r="I392" s="211">
        <f t="shared" si="53"/>
        <v>1.9323956743846613</v>
      </c>
    </row>
    <row r="393" spans="1:9" x14ac:dyDescent="0.25">
      <c r="A393" s="124" t="s">
        <v>8267</v>
      </c>
      <c r="B393" s="125">
        <v>3820</v>
      </c>
      <c r="C393" s="125">
        <v>3554.39</v>
      </c>
      <c r="D393" s="125">
        <f t="shared" si="52"/>
        <v>1408</v>
      </c>
      <c r="E393" s="125">
        <v>3820</v>
      </c>
      <c r="F393" s="123">
        <f t="shared" si="54"/>
        <v>265.61000000000013</v>
      </c>
      <c r="G393" s="123">
        <f t="shared" si="55"/>
        <v>-2412</v>
      </c>
      <c r="I393" s="211">
        <f t="shared" si="53"/>
        <v>-0.63141361256544504</v>
      </c>
    </row>
    <row r="394" spans="1:9" x14ac:dyDescent="0.25">
      <c r="A394" s="124" t="s">
        <v>8268</v>
      </c>
      <c r="B394" s="125">
        <v>5828</v>
      </c>
      <c r="C394" s="125">
        <v>1530.28</v>
      </c>
      <c r="D394" s="125">
        <f t="shared" si="52"/>
        <v>2148</v>
      </c>
      <c r="E394" s="125">
        <v>5828</v>
      </c>
      <c r="F394" s="123">
        <f t="shared" si="54"/>
        <v>4297.72</v>
      </c>
      <c r="G394" s="123">
        <f t="shared" si="55"/>
        <v>-3680</v>
      </c>
      <c r="I394" s="211">
        <f t="shared" si="53"/>
        <v>-0.63143445435827039</v>
      </c>
    </row>
    <row r="395" spans="1:9" x14ac:dyDescent="0.25">
      <c r="A395" s="124" t="s">
        <v>8269</v>
      </c>
      <c r="B395" s="125">
        <v>58.21</v>
      </c>
      <c r="C395" s="125">
        <v>21.56</v>
      </c>
      <c r="D395" s="125">
        <f t="shared" si="52"/>
        <v>143</v>
      </c>
      <c r="E395" s="125">
        <v>388</v>
      </c>
      <c r="F395" s="123">
        <f t="shared" si="54"/>
        <v>36.650000000000006</v>
      </c>
      <c r="G395" s="123">
        <f t="shared" si="55"/>
        <v>84.789999999999992</v>
      </c>
      <c r="I395" s="211">
        <f t="shared" si="53"/>
        <v>1.4566225734409894</v>
      </c>
    </row>
    <row r="396" spans="1:9" x14ac:dyDescent="0.25">
      <c r="A396" s="124" t="s">
        <v>8270</v>
      </c>
      <c r="B396" s="125">
        <v>8</v>
      </c>
      <c r="C396" s="125">
        <v>1.57</v>
      </c>
      <c r="D396" s="125">
        <f t="shared" si="52"/>
        <v>3</v>
      </c>
      <c r="E396" s="125">
        <v>8</v>
      </c>
      <c r="F396" s="123">
        <f t="shared" si="54"/>
        <v>6.43</v>
      </c>
      <c r="G396" s="123">
        <f t="shared" si="55"/>
        <v>-5</v>
      </c>
      <c r="I396" s="211">
        <f t="shared" si="53"/>
        <v>-0.625</v>
      </c>
    </row>
    <row r="397" spans="1:9" x14ac:dyDescent="0.25">
      <c r="A397" s="124" t="s">
        <v>8271</v>
      </c>
      <c r="B397" s="125">
        <v>0</v>
      </c>
      <c r="C397" s="125">
        <v>66.760000000000005</v>
      </c>
      <c r="D397" s="125">
        <f t="shared" si="52"/>
        <v>46</v>
      </c>
      <c r="E397" s="125">
        <v>125</v>
      </c>
      <c r="F397" s="123">
        <f t="shared" si="54"/>
        <v>-66.760000000000005</v>
      </c>
      <c r="G397" s="123">
        <f t="shared" si="55"/>
        <v>46</v>
      </c>
      <c r="I397" s="211" t="e">
        <f t="shared" si="53"/>
        <v>#DIV/0!</v>
      </c>
    </row>
    <row r="398" spans="1:9" x14ac:dyDescent="0.25">
      <c r="A398" s="124" t="s">
        <v>8272</v>
      </c>
      <c r="B398" s="125">
        <v>250</v>
      </c>
      <c r="C398" s="125">
        <v>277.11</v>
      </c>
      <c r="D398" s="125">
        <f t="shared" si="52"/>
        <v>92</v>
      </c>
      <c r="E398" s="125">
        <v>250</v>
      </c>
      <c r="F398" s="123">
        <f t="shared" si="54"/>
        <v>-27.110000000000014</v>
      </c>
      <c r="G398" s="123">
        <f t="shared" si="55"/>
        <v>-158</v>
      </c>
      <c r="I398" s="211">
        <f t="shared" si="53"/>
        <v>-0.63200000000000001</v>
      </c>
    </row>
    <row r="399" spans="1:9" x14ac:dyDescent="0.25">
      <c r="A399" s="124" t="s">
        <v>8273</v>
      </c>
      <c r="B399" s="125">
        <v>3000</v>
      </c>
      <c r="C399" s="125">
        <v>1626.08</v>
      </c>
      <c r="D399" s="125">
        <f t="shared" si="52"/>
        <v>1105</v>
      </c>
      <c r="E399" s="125">
        <v>3000</v>
      </c>
      <c r="F399" s="123">
        <f t="shared" si="54"/>
        <v>1373.92</v>
      </c>
      <c r="G399" s="123">
        <f t="shared" si="55"/>
        <v>-1895</v>
      </c>
      <c r="I399" s="211">
        <f t="shared" si="53"/>
        <v>-0.63166666666666671</v>
      </c>
    </row>
    <row r="400" spans="1:9" x14ac:dyDescent="0.25">
      <c r="A400" s="124" t="s">
        <v>8274</v>
      </c>
      <c r="B400" s="125">
        <v>108.17</v>
      </c>
      <c r="C400" s="125">
        <v>9.07</v>
      </c>
      <c r="D400" s="125">
        <f t="shared" si="52"/>
        <v>368</v>
      </c>
      <c r="E400" s="125">
        <v>1000</v>
      </c>
      <c r="F400" s="123">
        <f t="shared" si="54"/>
        <v>99.1</v>
      </c>
      <c r="G400" s="123">
        <f t="shared" si="55"/>
        <v>259.83</v>
      </c>
      <c r="I400" s="211">
        <f t="shared" si="53"/>
        <v>2.4020523250439121</v>
      </c>
    </row>
    <row r="401" spans="1:9" x14ac:dyDescent="0.25">
      <c r="A401" s="122">
        <v>55635</v>
      </c>
      <c r="B401" s="123">
        <f>SUM(B402:B412)</f>
        <v>41895</v>
      </c>
      <c r="C401" s="123">
        <f>SUM(C402:C412)</f>
        <v>34678.399999999994</v>
      </c>
      <c r="D401" s="123">
        <f>SUM(D402:D412)</f>
        <v>95845</v>
      </c>
      <c r="E401" s="123">
        <f>SUM(E402:E412)</f>
        <v>95845</v>
      </c>
      <c r="F401" s="123">
        <f t="shared" si="54"/>
        <v>7216.6000000000058</v>
      </c>
      <c r="G401" s="123">
        <f t="shared" si="55"/>
        <v>53950</v>
      </c>
      <c r="I401" s="211">
        <f t="shared" si="53"/>
        <v>1.2877431674424156</v>
      </c>
    </row>
    <row r="402" spans="1:9" x14ac:dyDescent="0.25">
      <c r="A402" s="124" t="s">
        <v>8275</v>
      </c>
      <c r="B402" s="125">
        <v>1500</v>
      </c>
      <c r="C402" s="125">
        <v>500</v>
      </c>
      <c r="D402" s="125">
        <v>1500</v>
      </c>
      <c r="E402" s="125">
        <v>1500</v>
      </c>
      <c r="F402" s="123">
        <f t="shared" si="54"/>
        <v>1000</v>
      </c>
      <c r="G402" s="123">
        <f t="shared" si="55"/>
        <v>0</v>
      </c>
      <c r="I402" s="211">
        <f t="shared" si="53"/>
        <v>0</v>
      </c>
    </row>
    <row r="403" spans="1:9" x14ac:dyDescent="0.25">
      <c r="A403" s="124" t="s">
        <v>8276</v>
      </c>
      <c r="B403" s="125">
        <v>800</v>
      </c>
      <c r="C403" s="125">
        <v>0</v>
      </c>
      <c r="D403" s="125">
        <v>800</v>
      </c>
      <c r="E403" s="125">
        <v>800</v>
      </c>
      <c r="F403" s="123">
        <f t="shared" si="54"/>
        <v>800</v>
      </c>
      <c r="G403" s="123">
        <f t="shared" si="55"/>
        <v>0</v>
      </c>
      <c r="I403" s="211">
        <f t="shared" si="53"/>
        <v>0</v>
      </c>
    </row>
    <row r="404" spans="1:9" x14ac:dyDescent="0.25">
      <c r="A404" s="124" t="s">
        <v>8277</v>
      </c>
      <c r="B404" s="125">
        <v>20000</v>
      </c>
      <c r="C404" s="125">
        <v>30839.98</v>
      </c>
      <c r="D404" s="2">
        <v>40000</v>
      </c>
      <c r="E404" s="2">
        <v>40000</v>
      </c>
      <c r="F404" s="123">
        <f t="shared" si="54"/>
        <v>-10839.98</v>
      </c>
      <c r="G404" s="123">
        <f t="shared" si="55"/>
        <v>20000</v>
      </c>
      <c r="H404" t="s">
        <v>9915</v>
      </c>
      <c r="I404" s="211">
        <f t="shared" si="53"/>
        <v>1</v>
      </c>
    </row>
    <row r="405" spans="1:9" x14ac:dyDescent="0.25">
      <c r="A405" s="124" t="s">
        <v>8278</v>
      </c>
      <c r="B405" s="125">
        <v>0</v>
      </c>
      <c r="C405" s="125">
        <v>0</v>
      </c>
      <c r="D405" s="125">
        <v>18450</v>
      </c>
      <c r="E405" s="125">
        <v>18450</v>
      </c>
      <c r="F405" s="123">
        <f t="shared" si="54"/>
        <v>0</v>
      </c>
      <c r="G405" s="123">
        <f t="shared" si="55"/>
        <v>18450</v>
      </c>
      <c r="I405" s="211" t="e">
        <f t="shared" si="53"/>
        <v>#DIV/0!</v>
      </c>
    </row>
    <row r="406" spans="1:9" x14ac:dyDescent="0.25">
      <c r="A406" s="124" t="s">
        <v>8279</v>
      </c>
      <c r="B406" s="125">
        <v>0</v>
      </c>
      <c r="C406" s="125">
        <v>0</v>
      </c>
      <c r="D406" s="125">
        <v>15500</v>
      </c>
      <c r="E406" s="125">
        <v>15500</v>
      </c>
      <c r="F406" s="123">
        <f t="shared" si="54"/>
        <v>0</v>
      </c>
      <c r="G406" s="123">
        <f t="shared" si="55"/>
        <v>15500</v>
      </c>
      <c r="I406" s="211" t="e">
        <f t="shared" si="53"/>
        <v>#DIV/0!</v>
      </c>
    </row>
    <row r="407" spans="1:9" x14ac:dyDescent="0.25">
      <c r="A407" s="124" t="s">
        <v>8280</v>
      </c>
      <c r="B407" s="125">
        <v>107</v>
      </c>
      <c r="C407" s="125">
        <v>0</v>
      </c>
      <c r="D407" s="125">
        <v>107</v>
      </c>
      <c r="E407" s="125">
        <v>107</v>
      </c>
      <c r="F407" s="123">
        <f t="shared" si="54"/>
        <v>107</v>
      </c>
      <c r="G407" s="123">
        <f t="shared" si="55"/>
        <v>0</v>
      </c>
      <c r="I407" s="211">
        <f t="shared" si="53"/>
        <v>0</v>
      </c>
    </row>
    <row r="408" spans="1:9" x14ac:dyDescent="0.25">
      <c r="A408" s="124" t="s">
        <v>8281</v>
      </c>
      <c r="B408" s="125">
        <v>214</v>
      </c>
      <c r="C408" s="125">
        <v>0</v>
      </c>
      <c r="D408" s="125">
        <v>214</v>
      </c>
      <c r="E408" s="125">
        <v>214</v>
      </c>
      <c r="F408" s="123">
        <f t="shared" si="54"/>
        <v>214</v>
      </c>
      <c r="G408" s="123">
        <f t="shared" si="55"/>
        <v>0</v>
      </c>
      <c r="I408" s="211">
        <f t="shared" si="53"/>
        <v>0</v>
      </c>
    </row>
    <row r="409" spans="1:9" x14ac:dyDescent="0.25">
      <c r="A409" s="124" t="s">
        <v>8282</v>
      </c>
      <c r="B409" s="125">
        <v>3000</v>
      </c>
      <c r="C409" s="125">
        <v>50.26</v>
      </c>
      <c r="D409" s="125">
        <v>3000</v>
      </c>
      <c r="E409" s="125">
        <v>3000</v>
      </c>
      <c r="F409" s="123">
        <f t="shared" si="54"/>
        <v>2949.74</v>
      </c>
      <c r="G409" s="123">
        <f t="shared" si="55"/>
        <v>0</v>
      </c>
      <c r="I409" s="211">
        <f t="shared" si="53"/>
        <v>0</v>
      </c>
    </row>
    <row r="410" spans="1:9" x14ac:dyDescent="0.25">
      <c r="A410" s="124" t="s">
        <v>8283</v>
      </c>
      <c r="B410" s="125">
        <v>12000</v>
      </c>
      <c r="C410" s="125">
        <v>0</v>
      </c>
      <c r="D410" s="125">
        <v>12000</v>
      </c>
      <c r="E410" s="125">
        <v>12000</v>
      </c>
      <c r="F410" s="123">
        <f t="shared" si="54"/>
        <v>12000</v>
      </c>
      <c r="G410" s="123">
        <f t="shared" si="55"/>
        <v>0</v>
      </c>
      <c r="I410" s="211">
        <f t="shared" si="53"/>
        <v>0</v>
      </c>
    </row>
    <row r="411" spans="1:9" x14ac:dyDescent="0.25">
      <c r="A411" s="124" t="s">
        <v>8284</v>
      </c>
      <c r="B411" s="125">
        <v>4074</v>
      </c>
      <c r="C411" s="125">
        <v>3288.16</v>
      </c>
      <c r="D411" s="125">
        <v>4074</v>
      </c>
      <c r="E411" s="125">
        <v>4074</v>
      </c>
      <c r="F411" s="123">
        <f t="shared" si="54"/>
        <v>785.84000000000015</v>
      </c>
      <c r="G411" s="123">
        <f t="shared" si="55"/>
        <v>0</v>
      </c>
      <c r="I411" s="211">
        <f t="shared" si="53"/>
        <v>0</v>
      </c>
    </row>
    <row r="412" spans="1:9" x14ac:dyDescent="0.25">
      <c r="A412" s="124" t="s">
        <v>8285</v>
      </c>
      <c r="B412" s="125">
        <v>200</v>
      </c>
      <c r="C412" s="125">
        <v>0</v>
      </c>
      <c r="D412" s="125">
        <v>200</v>
      </c>
      <c r="E412" s="125">
        <v>200</v>
      </c>
      <c r="F412" s="123">
        <f t="shared" si="54"/>
        <v>200</v>
      </c>
      <c r="G412" s="123">
        <f t="shared" si="55"/>
        <v>0</v>
      </c>
      <c r="I412" s="211">
        <f t="shared" si="53"/>
        <v>0</v>
      </c>
    </row>
    <row r="413" spans="1:9" x14ac:dyDescent="0.25">
      <c r="A413" s="122">
        <v>55650</v>
      </c>
      <c r="B413" s="123">
        <f>SUM(B414:B439)</f>
        <v>1414888</v>
      </c>
      <c r="C413" s="123">
        <f>SUM(C414:C439)</f>
        <v>1373098.32</v>
      </c>
      <c r="D413" s="123">
        <f>SUM(D414:D439)</f>
        <v>1748250.93</v>
      </c>
      <c r="E413" s="123">
        <f>SUM(E414:E439)</f>
        <v>1770590.93</v>
      </c>
      <c r="F413" s="123">
        <f t="shared" si="54"/>
        <v>41789.679999999935</v>
      </c>
      <c r="G413" s="123">
        <f t="shared" si="55"/>
        <v>333362.92999999993</v>
      </c>
      <c r="I413" s="211">
        <f t="shared" si="53"/>
        <v>0.23561082573320286</v>
      </c>
    </row>
    <row r="414" spans="1:9" x14ac:dyDescent="0.25">
      <c r="A414" s="124" t="s">
        <v>8286</v>
      </c>
      <c r="B414" s="125">
        <v>2340</v>
      </c>
      <c r="C414" s="125">
        <v>19903.080000000002</v>
      </c>
      <c r="D414" s="1">
        <v>20000</v>
      </c>
      <c r="E414" s="125">
        <v>42340</v>
      </c>
      <c r="F414" s="123">
        <f t="shared" si="54"/>
        <v>-17563.080000000002</v>
      </c>
      <c r="G414" s="123">
        <f t="shared" si="55"/>
        <v>17660</v>
      </c>
      <c r="I414" s="211">
        <f t="shared" si="53"/>
        <v>7.5470085470085468</v>
      </c>
    </row>
    <row r="415" spans="1:9" x14ac:dyDescent="0.25">
      <c r="A415" s="124" t="s">
        <v>8287</v>
      </c>
      <c r="B415" s="125">
        <v>12000</v>
      </c>
      <c r="C415" s="125">
        <v>2847.73</v>
      </c>
      <c r="D415" s="8">
        <v>5000</v>
      </c>
      <c r="E415" s="8">
        <v>5000</v>
      </c>
      <c r="F415" s="123">
        <f t="shared" si="54"/>
        <v>9152.27</v>
      </c>
      <c r="G415" s="123">
        <f t="shared" si="55"/>
        <v>-7000</v>
      </c>
      <c r="H415" t="s">
        <v>9916</v>
      </c>
      <c r="I415" s="211">
        <f t="shared" si="53"/>
        <v>-0.58333333333333337</v>
      </c>
    </row>
    <row r="416" spans="1:9" x14ac:dyDescent="0.25">
      <c r="A416" s="124" t="s">
        <v>8288</v>
      </c>
      <c r="B416" s="125">
        <v>35968</v>
      </c>
      <c r="C416" s="125">
        <v>36597.43</v>
      </c>
      <c r="D416" s="125">
        <v>37330</v>
      </c>
      <c r="E416" s="125">
        <v>37330</v>
      </c>
      <c r="F416" s="123">
        <f t="shared" si="54"/>
        <v>-629.43000000000029</v>
      </c>
      <c r="G416" s="123">
        <f t="shared" si="55"/>
        <v>1362</v>
      </c>
      <c r="H416" t="s">
        <v>9927</v>
      </c>
      <c r="I416" s="211">
        <f t="shared" si="53"/>
        <v>3.7866992882562275E-2</v>
      </c>
    </row>
    <row r="417" spans="1:9" x14ac:dyDescent="0.25">
      <c r="A417" s="124" t="s">
        <v>8289</v>
      </c>
      <c r="B417" s="125">
        <v>1700</v>
      </c>
      <c r="C417" s="125">
        <v>1337</v>
      </c>
      <c r="D417" s="125">
        <v>1700</v>
      </c>
      <c r="E417" s="125">
        <v>1700</v>
      </c>
      <c r="F417" s="123">
        <f t="shared" si="54"/>
        <v>363</v>
      </c>
      <c r="G417" s="123">
        <f t="shared" si="55"/>
        <v>0</v>
      </c>
      <c r="I417" s="211">
        <f t="shared" si="53"/>
        <v>0</v>
      </c>
    </row>
    <row r="418" spans="1:9" x14ac:dyDescent="0.25">
      <c r="A418" s="124" t="s">
        <v>8290</v>
      </c>
      <c r="B418" s="125">
        <v>91800</v>
      </c>
      <c r="C418" s="125">
        <v>62375.829999999994</v>
      </c>
      <c r="D418" s="125">
        <v>111800</v>
      </c>
      <c r="E418" s="125">
        <v>111800</v>
      </c>
      <c r="F418" s="123">
        <f t="shared" si="54"/>
        <v>29424.170000000006</v>
      </c>
      <c r="G418" s="123">
        <f t="shared" si="55"/>
        <v>20000</v>
      </c>
      <c r="H418" s="92"/>
      <c r="I418" s="211">
        <f t="shared" si="53"/>
        <v>0.2178649237472767</v>
      </c>
    </row>
    <row r="419" spans="1:9" x14ac:dyDescent="0.25">
      <c r="A419" s="124" t="s">
        <v>8291</v>
      </c>
      <c r="B419" s="125">
        <v>7500</v>
      </c>
      <c r="C419" s="125">
        <v>11232.2</v>
      </c>
      <c r="D419" s="125">
        <v>31500</v>
      </c>
      <c r="E419" s="125">
        <v>31500</v>
      </c>
      <c r="F419" s="123">
        <f t="shared" si="54"/>
        <v>-3732.2000000000007</v>
      </c>
      <c r="G419" s="123">
        <f t="shared" si="55"/>
        <v>24000</v>
      </c>
      <c r="H419" s="92"/>
      <c r="I419" s="211">
        <f t="shared" si="53"/>
        <v>3.2</v>
      </c>
    </row>
    <row r="420" spans="1:9" x14ac:dyDescent="0.25">
      <c r="A420" s="124" t="s">
        <v>8292</v>
      </c>
      <c r="B420" s="125">
        <v>7000</v>
      </c>
      <c r="C420" s="125">
        <v>4770.3999999999996</v>
      </c>
      <c r="D420" s="125">
        <v>17000</v>
      </c>
      <c r="E420" s="125">
        <v>17000</v>
      </c>
      <c r="F420" s="123">
        <f t="shared" si="54"/>
        <v>2229.6000000000004</v>
      </c>
      <c r="G420" s="123">
        <f t="shared" si="55"/>
        <v>10000</v>
      </c>
      <c r="I420" s="211">
        <f t="shared" si="53"/>
        <v>1.4285714285714286</v>
      </c>
    </row>
    <row r="421" spans="1:9" x14ac:dyDescent="0.25">
      <c r="A421" s="124" t="s">
        <v>8293</v>
      </c>
      <c r="B421" s="125">
        <v>18500</v>
      </c>
      <c r="C421" s="125">
        <v>19617.3</v>
      </c>
      <c r="D421" s="125">
        <v>28500</v>
      </c>
      <c r="E421" s="125">
        <v>28500</v>
      </c>
      <c r="F421" s="123">
        <f t="shared" si="54"/>
        <v>-1117.2999999999993</v>
      </c>
      <c r="G421" s="123">
        <f t="shared" si="55"/>
        <v>10000</v>
      </c>
      <c r="I421" s="211">
        <f t="shared" si="53"/>
        <v>0.54054054054054057</v>
      </c>
    </row>
    <row r="422" spans="1:9" x14ac:dyDescent="0.25">
      <c r="A422" s="124" t="s">
        <v>8294</v>
      </c>
      <c r="B422" s="125">
        <v>160</v>
      </c>
      <c r="C422" s="125">
        <v>0</v>
      </c>
      <c r="D422" s="125">
        <v>160</v>
      </c>
      <c r="E422" s="125">
        <v>160</v>
      </c>
      <c r="F422" s="123">
        <f t="shared" si="54"/>
        <v>160</v>
      </c>
      <c r="G422" s="123">
        <f t="shared" si="55"/>
        <v>0</v>
      </c>
      <c r="I422" s="211">
        <f t="shared" si="53"/>
        <v>0</v>
      </c>
    </row>
    <row r="423" spans="1:9" x14ac:dyDescent="0.25">
      <c r="A423" s="205" t="s">
        <v>8295</v>
      </c>
      <c r="B423" s="206">
        <v>0</v>
      </c>
      <c r="C423" s="125">
        <v>0</v>
      </c>
      <c r="D423" s="125">
        <v>23000</v>
      </c>
      <c r="E423" s="125">
        <v>23000</v>
      </c>
      <c r="F423" s="123">
        <f t="shared" si="54"/>
        <v>0</v>
      </c>
      <c r="G423" s="123">
        <f t="shared" si="55"/>
        <v>23000</v>
      </c>
      <c r="I423" s="211" t="e">
        <f t="shared" si="53"/>
        <v>#DIV/0!</v>
      </c>
    </row>
    <row r="424" spans="1:9" x14ac:dyDescent="0.25">
      <c r="A424" s="124" t="s">
        <v>8296</v>
      </c>
      <c r="B424" s="125">
        <v>3000</v>
      </c>
      <c r="C424" s="125">
        <v>684.15</v>
      </c>
      <c r="D424" s="125">
        <v>3000</v>
      </c>
      <c r="E424" s="125">
        <v>3000</v>
      </c>
      <c r="F424" s="123">
        <f t="shared" si="54"/>
        <v>2315.85</v>
      </c>
      <c r="G424" s="123">
        <f t="shared" si="55"/>
        <v>0</v>
      </c>
      <c r="I424" s="211">
        <f t="shared" si="53"/>
        <v>0</v>
      </c>
    </row>
    <row r="425" spans="1:9" x14ac:dyDescent="0.25">
      <c r="A425" s="205" t="s">
        <v>8297</v>
      </c>
      <c r="B425" s="206">
        <v>0</v>
      </c>
      <c r="C425" s="125">
        <v>4000</v>
      </c>
      <c r="D425" s="125">
        <v>14358</v>
      </c>
      <c r="E425" s="125">
        <v>14358</v>
      </c>
      <c r="F425" s="123">
        <f t="shared" si="54"/>
        <v>-4000</v>
      </c>
      <c r="G425" s="123">
        <f t="shared" si="55"/>
        <v>14358</v>
      </c>
      <c r="I425" s="211" t="e">
        <f t="shared" si="53"/>
        <v>#DIV/0!</v>
      </c>
    </row>
    <row r="426" spans="1:9" x14ac:dyDescent="0.25">
      <c r="A426" s="124" t="s">
        <v>8298</v>
      </c>
      <c r="B426" s="125">
        <v>470</v>
      </c>
      <c r="C426" s="125">
        <v>0</v>
      </c>
      <c r="D426" s="125">
        <v>564</v>
      </c>
      <c r="E426" s="125">
        <v>564</v>
      </c>
      <c r="F426" s="123">
        <f t="shared" si="54"/>
        <v>470</v>
      </c>
      <c r="G426" s="123">
        <f t="shared" si="55"/>
        <v>94</v>
      </c>
      <c r="I426" s="211">
        <f t="shared" si="53"/>
        <v>0.2</v>
      </c>
    </row>
    <row r="427" spans="1:9" x14ac:dyDescent="0.25">
      <c r="A427" s="124" t="s">
        <v>8299</v>
      </c>
      <c r="B427" s="125">
        <v>2400</v>
      </c>
      <c r="C427" s="125">
        <v>606.07000000000005</v>
      </c>
      <c r="D427" s="125">
        <v>2880</v>
      </c>
      <c r="E427" s="125">
        <v>2880</v>
      </c>
      <c r="F427" s="123">
        <f t="shared" si="54"/>
        <v>1793.9299999999998</v>
      </c>
      <c r="G427" s="123">
        <f t="shared" si="55"/>
        <v>480</v>
      </c>
      <c r="I427" s="211">
        <f t="shared" si="53"/>
        <v>0.2</v>
      </c>
    </row>
    <row r="428" spans="1:9" x14ac:dyDescent="0.25">
      <c r="A428" s="124" t="s">
        <v>8300</v>
      </c>
      <c r="B428" s="125">
        <v>300</v>
      </c>
      <c r="C428" s="125">
        <v>0</v>
      </c>
      <c r="D428" s="125">
        <v>360</v>
      </c>
      <c r="E428" s="125">
        <v>360</v>
      </c>
      <c r="F428" s="123">
        <f t="shared" si="54"/>
        <v>300</v>
      </c>
      <c r="G428" s="123">
        <f t="shared" si="55"/>
        <v>60</v>
      </c>
      <c r="I428" s="211">
        <f t="shared" si="53"/>
        <v>0.2</v>
      </c>
    </row>
    <row r="429" spans="1:9" x14ac:dyDescent="0.25">
      <c r="A429" s="124" t="s">
        <v>8301</v>
      </c>
      <c r="B429" s="125">
        <v>10635</v>
      </c>
      <c r="C429" s="125">
        <v>10299.99</v>
      </c>
      <c r="D429" s="125">
        <v>15000</v>
      </c>
      <c r="E429" s="125">
        <v>15000</v>
      </c>
      <c r="F429" s="123">
        <f t="shared" si="54"/>
        <v>335.01000000000022</v>
      </c>
      <c r="G429" s="123">
        <f t="shared" si="55"/>
        <v>4365</v>
      </c>
      <c r="I429" s="211">
        <f t="shared" si="53"/>
        <v>0.41043723554301831</v>
      </c>
    </row>
    <row r="430" spans="1:9" x14ac:dyDescent="0.25">
      <c r="A430" s="124" t="s">
        <v>8302</v>
      </c>
      <c r="B430" s="125">
        <v>5000</v>
      </c>
      <c r="C430" s="125">
        <v>2500.0100000000002</v>
      </c>
      <c r="D430" s="125">
        <v>5000</v>
      </c>
      <c r="E430" s="125">
        <v>5000</v>
      </c>
      <c r="F430" s="123">
        <f t="shared" si="54"/>
        <v>2499.9899999999998</v>
      </c>
      <c r="G430" s="123">
        <f t="shared" si="55"/>
        <v>0</v>
      </c>
      <c r="I430" s="211">
        <f t="shared" si="53"/>
        <v>0</v>
      </c>
    </row>
    <row r="431" spans="1:9" x14ac:dyDescent="0.25">
      <c r="A431" s="124" t="s">
        <v>8303</v>
      </c>
      <c r="B431" s="125">
        <v>0</v>
      </c>
      <c r="C431" s="125">
        <v>0</v>
      </c>
      <c r="D431" s="125">
        <v>1600</v>
      </c>
      <c r="E431" s="125">
        <v>1600</v>
      </c>
      <c r="F431" s="123">
        <f t="shared" si="54"/>
        <v>0</v>
      </c>
      <c r="G431" s="123">
        <f t="shared" si="55"/>
        <v>1600</v>
      </c>
      <c r="I431" s="211" t="e">
        <f t="shared" si="53"/>
        <v>#DIV/0!</v>
      </c>
    </row>
    <row r="432" spans="1:9" x14ac:dyDescent="0.25">
      <c r="A432" s="124" t="s">
        <v>8304</v>
      </c>
      <c r="B432" s="125">
        <v>1150</v>
      </c>
      <c r="C432" s="125">
        <v>0</v>
      </c>
      <c r="D432" s="125">
        <v>535</v>
      </c>
      <c r="E432" s="125">
        <v>535</v>
      </c>
      <c r="F432" s="123">
        <f t="shared" si="54"/>
        <v>1150</v>
      </c>
      <c r="G432" s="123">
        <f t="shared" si="55"/>
        <v>-615</v>
      </c>
      <c r="I432" s="211">
        <f t="shared" si="53"/>
        <v>-0.5347826086956522</v>
      </c>
    </row>
    <row r="433" spans="1:9" x14ac:dyDescent="0.25">
      <c r="A433" s="124" t="s">
        <v>8305</v>
      </c>
      <c r="B433" s="125">
        <v>4100</v>
      </c>
      <c r="C433" s="125">
        <v>3397.14</v>
      </c>
      <c r="D433" s="125">
        <v>4100</v>
      </c>
      <c r="E433" s="125">
        <v>4100</v>
      </c>
      <c r="F433" s="123">
        <f t="shared" si="54"/>
        <v>702.86000000000013</v>
      </c>
      <c r="G433" s="123">
        <f t="shared" si="55"/>
        <v>0</v>
      </c>
      <c r="I433" s="211">
        <f t="shared" si="53"/>
        <v>0</v>
      </c>
    </row>
    <row r="434" spans="1:9" x14ac:dyDescent="0.25">
      <c r="A434" s="124" t="s">
        <v>8306</v>
      </c>
      <c r="B434" s="125">
        <v>1800</v>
      </c>
      <c r="C434" s="125">
        <v>1800</v>
      </c>
      <c r="D434" s="125">
        <v>800</v>
      </c>
      <c r="E434" s="125">
        <v>800</v>
      </c>
      <c r="F434" s="123">
        <f t="shared" si="54"/>
        <v>0</v>
      </c>
      <c r="G434" s="123">
        <f t="shared" si="55"/>
        <v>-1000</v>
      </c>
      <c r="I434" s="211">
        <f t="shared" si="53"/>
        <v>-0.55555555555555558</v>
      </c>
    </row>
    <row r="435" spans="1:9" x14ac:dyDescent="0.25">
      <c r="A435" s="124" t="s">
        <v>8307</v>
      </c>
      <c r="B435" s="125">
        <v>9800</v>
      </c>
      <c r="C435" s="125">
        <v>0</v>
      </c>
      <c r="D435" s="125">
        <v>15083.93</v>
      </c>
      <c r="E435" s="125">
        <v>15083.93</v>
      </c>
      <c r="F435" s="123">
        <f t="shared" si="54"/>
        <v>9800</v>
      </c>
      <c r="G435" s="123">
        <f t="shared" si="55"/>
        <v>5283.93</v>
      </c>
      <c r="I435" s="211">
        <f t="shared" si="53"/>
        <v>0.53917653061224491</v>
      </c>
    </row>
    <row r="436" spans="1:9" x14ac:dyDescent="0.25">
      <c r="A436" s="124" t="s">
        <v>8308</v>
      </c>
      <c r="B436" s="125">
        <v>5000</v>
      </c>
      <c r="C436" s="125">
        <v>0</v>
      </c>
      <c r="D436" s="125">
        <v>5000</v>
      </c>
      <c r="E436" s="125">
        <v>5000</v>
      </c>
      <c r="F436" s="123">
        <f t="shared" si="54"/>
        <v>5000</v>
      </c>
      <c r="G436" s="123">
        <f t="shared" si="55"/>
        <v>0</v>
      </c>
      <c r="I436" s="211">
        <f t="shared" si="53"/>
        <v>0</v>
      </c>
    </row>
    <row r="437" spans="1:9" x14ac:dyDescent="0.25">
      <c r="A437" s="124" t="s">
        <v>8309</v>
      </c>
      <c r="B437" s="125">
        <v>160</v>
      </c>
      <c r="C437" s="125">
        <v>21.5</v>
      </c>
      <c r="D437" s="125">
        <v>160</v>
      </c>
      <c r="E437" s="125">
        <v>160</v>
      </c>
      <c r="F437" s="123">
        <f t="shared" si="54"/>
        <v>138.5</v>
      </c>
      <c r="G437" s="123">
        <f t="shared" si="55"/>
        <v>0</v>
      </c>
      <c r="I437" s="211">
        <f t="shared" si="53"/>
        <v>0</v>
      </c>
    </row>
    <row r="438" spans="1:9" x14ac:dyDescent="0.25">
      <c r="A438" s="124" t="s">
        <v>8310</v>
      </c>
      <c r="B438" s="125">
        <v>3820</v>
      </c>
      <c r="C438" s="125">
        <v>1250</v>
      </c>
      <c r="D438" s="125">
        <v>3820</v>
      </c>
      <c r="E438" s="125">
        <v>3820</v>
      </c>
      <c r="F438" s="123">
        <f t="shared" si="54"/>
        <v>2570</v>
      </c>
      <c r="G438" s="123">
        <f t="shared" si="55"/>
        <v>0</v>
      </c>
      <c r="I438" s="211">
        <f t="shared" si="53"/>
        <v>0</v>
      </c>
    </row>
    <row r="439" spans="1:9" x14ac:dyDescent="0.25">
      <c r="A439" s="124" t="s">
        <v>8311</v>
      </c>
      <c r="B439" s="125">
        <v>1190285</v>
      </c>
      <c r="C439" s="125">
        <v>1189858.49</v>
      </c>
      <c r="D439" s="125">
        <v>1400000</v>
      </c>
      <c r="E439" s="125">
        <v>1400000</v>
      </c>
      <c r="F439" s="123">
        <f t="shared" si="54"/>
        <v>426.51000000000931</v>
      </c>
      <c r="G439" s="123">
        <f t="shared" si="55"/>
        <v>209715</v>
      </c>
      <c r="H439" t="s">
        <v>9926</v>
      </c>
      <c r="I439" s="211">
        <f t="shared" si="53"/>
        <v>0.17618889593668743</v>
      </c>
    </row>
    <row r="440" spans="1:9" x14ac:dyDescent="0.25">
      <c r="A440" s="122">
        <v>55651</v>
      </c>
      <c r="B440" s="123">
        <f>SUM(B441:B454)</f>
        <v>122959</v>
      </c>
      <c r="C440" s="123">
        <f>SUM(C441:C454)</f>
        <v>93971.260000000009</v>
      </c>
      <c r="D440" s="123">
        <f>SUM(D441:D454)</f>
        <v>143359</v>
      </c>
      <c r="E440" s="123">
        <f>SUM(E441:E454)</f>
        <v>143359</v>
      </c>
      <c r="F440" s="123">
        <f t="shared" si="54"/>
        <v>28987.739999999991</v>
      </c>
      <c r="G440" s="123">
        <f t="shared" si="55"/>
        <v>20400</v>
      </c>
      <c r="I440" s="211">
        <f t="shared" si="53"/>
        <v>0.16590896152375995</v>
      </c>
    </row>
    <row r="441" spans="1:9" x14ac:dyDescent="0.25">
      <c r="A441" s="124" t="s">
        <v>8312</v>
      </c>
      <c r="B441" s="125">
        <v>82653</v>
      </c>
      <c r="C441" s="125">
        <v>70126.59</v>
      </c>
      <c r="D441" s="125">
        <v>85653</v>
      </c>
      <c r="E441" s="125">
        <v>85653</v>
      </c>
      <c r="F441" s="123">
        <f t="shared" si="54"/>
        <v>12526.410000000003</v>
      </c>
      <c r="G441" s="123">
        <f t="shared" si="55"/>
        <v>3000</v>
      </c>
      <c r="I441" s="211">
        <f t="shared" si="53"/>
        <v>3.6296323182461614E-2</v>
      </c>
    </row>
    <row r="442" spans="1:9" x14ac:dyDescent="0.25">
      <c r="A442" s="124" t="s">
        <v>8313</v>
      </c>
      <c r="B442" s="125">
        <v>13000</v>
      </c>
      <c r="C442" s="125">
        <v>12741.88</v>
      </c>
      <c r="D442" s="125">
        <v>23000</v>
      </c>
      <c r="E442" s="125">
        <v>23000</v>
      </c>
      <c r="F442" s="123">
        <f t="shared" si="54"/>
        <v>258.1200000000008</v>
      </c>
      <c r="G442" s="123">
        <f t="shared" si="55"/>
        <v>10000</v>
      </c>
      <c r="H442" s="92"/>
      <c r="I442" s="211">
        <f t="shared" si="53"/>
        <v>0.76923076923076927</v>
      </c>
    </row>
    <row r="443" spans="1:9" x14ac:dyDescent="0.25">
      <c r="A443" s="124" t="s">
        <v>8314</v>
      </c>
      <c r="B443" s="125">
        <v>2500</v>
      </c>
      <c r="C443" s="125">
        <v>0</v>
      </c>
      <c r="D443" s="125">
        <v>2500</v>
      </c>
      <c r="E443" s="125">
        <v>2500</v>
      </c>
      <c r="F443" s="123">
        <f t="shared" si="54"/>
        <v>2500</v>
      </c>
      <c r="G443" s="123">
        <f t="shared" si="55"/>
        <v>0</v>
      </c>
      <c r="I443" s="211">
        <f t="shared" si="53"/>
        <v>0</v>
      </c>
    </row>
    <row r="444" spans="1:9" x14ac:dyDescent="0.25">
      <c r="A444" s="124" t="s">
        <v>8315</v>
      </c>
      <c r="B444" s="125">
        <v>3300</v>
      </c>
      <c r="C444" s="125">
        <v>1755.6</v>
      </c>
      <c r="D444" s="125">
        <v>3300</v>
      </c>
      <c r="E444" s="125">
        <v>3300</v>
      </c>
      <c r="F444" s="123">
        <f t="shared" si="54"/>
        <v>1544.4</v>
      </c>
      <c r="G444" s="123">
        <f t="shared" si="55"/>
        <v>0</v>
      </c>
      <c r="H444" s="92"/>
      <c r="I444" s="211">
        <f t="shared" si="53"/>
        <v>0</v>
      </c>
    </row>
    <row r="445" spans="1:9" x14ac:dyDescent="0.25">
      <c r="A445" s="124" t="s">
        <v>8316</v>
      </c>
      <c r="B445" s="125">
        <v>10</v>
      </c>
      <c r="C445" s="125">
        <v>0</v>
      </c>
      <c r="D445" s="125">
        <v>10</v>
      </c>
      <c r="E445" s="125">
        <v>10</v>
      </c>
      <c r="F445" s="123">
        <f t="shared" si="54"/>
        <v>10</v>
      </c>
      <c r="G445" s="123">
        <f t="shared" si="55"/>
        <v>0</v>
      </c>
      <c r="I445" s="211">
        <f t="shared" si="53"/>
        <v>0</v>
      </c>
    </row>
    <row r="446" spans="1:9" x14ac:dyDescent="0.25">
      <c r="A446" s="124" t="s">
        <v>8317</v>
      </c>
      <c r="B446" s="125">
        <v>500</v>
      </c>
      <c r="C446" s="125">
        <v>0</v>
      </c>
      <c r="D446" s="125">
        <v>3000</v>
      </c>
      <c r="E446" s="125">
        <v>3000</v>
      </c>
      <c r="F446" s="123">
        <f t="shared" si="54"/>
        <v>500</v>
      </c>
      <c r="G446" s="123">
        <f t="shared" si="55"/>
        <v>2500</v>
      </c>
      <c r="I446" s="211">
        <f t="shared" si="53"/>
        <v>5</v>
      </c>
    </row>
    <row r="447" spans="1:9" x14ac:dyDescent="0.25">
      <c r="A447" s="124" t="s">
        <v>8318</v>
      </c>
      <c r="B447" s="125">
        <v>3500</v>
      </c>
      <c r="C447" s="125">
        <v>2500</v>
      </c>
      <c r="D447" s="1">
        <v>5000</v>
      </c>
      <c r="E447" s="1">
        <v>5000</v>
      </c>
      <c r="F447" s="123">
        <f t="shared" si="54"/>
        <v>1000</v>
      </c>
      <c r="G447" s="123">
        <f t="shared" si="55"/>
        <v>1500</v>
      </c>
      <c r="I447" s="211">
        <f t="shared" si="53"/>
        <v>0.42857142857142855</v>
      </c>
    </row>
    <row r="448" spans="1:9" x14ac:dyDescent="0.25">
      <c r="A448" s="124" t="s">
        <v>8319</v>
      </c>
      <c r="B448" s="125">
        <v>12000</v>
      </c>
      <c r="C448" s="125">
        <v>4047.19</v>
      </c>
      <c r="D448" s="125">
        <v>12000</v>
      </c>
      <c r="E448" s="125">
        <v>12000</v>
      </c>
      <c r="F448" s="123">
        <f t="shared" si="54"/>
        <v>7952.8099999999995</v>
      </c>
      <c r="G448" s="123">
        <f t="shared" si="55"/>
        <v>0</v>
      </c>
      <c r="I448" s="211">
        <f t="shared" si="53"/>
        <v>0</v>
      </c>
    </row>
    <row r="449" spans="1:9" x14ac:dyDescent="0.25">
      <c r="A449" s="124" t="s">
        <v>8320</v>
      </c>
      <c r="B449" s="125">
        <v>0</v>
      </c>
      <c r="C449" s="125">
        <v>0</v>
      </c>
      <c r="D449" s="125">
        <v>3500</v>
      </c>
      <c r="E449" s="125">
        <v>3500</v>
      </c>
      <c r="F449" s="123">
        <f t="shared" si="54"/>
        <v>0</v>
      </c>
      <c r="G449" s="123">
        <f t="shared" si="55"/>
        <v>3500</v>
      </c>
      <c r="I449" s="211" t="e">
        <f t="shared" si="53"/>
        <v>#DIV/0!</v>
      </c>
    </row>
    <row r="450" spans="1:9" x14ac:dyDescent="0.25">
      <c r="A450" s="124" t="s">
        <v>8321</v>
      </c>
      <c r="B450" s="125">
        <v>0</v>
      </c>
      <c r="C450" s="125">
        <v>0</v>
      </c>
      <c r="D450" s="125">
        <v>700</v>
      </c>
      <c r="E450" s="125">
        <v>700</v>
      </c>
      <c r="F450" s="123">
        <f t="shared" si="54"/>
        <v>0</v>
      </c>
      <c r="G450" s="123">
        <f t="shared" si="55"/>
        <v>700</v>
      </c>
      <c r="I450" s="211" t="e">
        <f t="shared" si="53"/>
        <v>#DIV/0!</v>
      </c>
    </row>
    <row r="451" spans="1:9" x14ac:dyDescent="0.25">
      <c r="A451" s="124" t="s">
        <v>8322</v>
      </c>
      <c r="B451" s="125">
        <v>642</v>
      </c>
      <c r="C451" s="125">
        <v>0</v>
      </c>
      <c r="D451" s="125">
        <v>642</v>
      </c>
      <c r="E451" s="125">
        <v>642</v>
      </c>
      <c r="F451" s="123">
        <f t="shared" si="54"/>
        <v>642</v>
      </c>
      <c r="G451" s="123">
        <f t="shared" si="55"/>
        <v>0</v>
      </c>
      <c r="I451" s="211">
        <f t="shared" ref="I451:I514" si="56">+G451/B451</f>
        <v>0</v>
      </c>
    </row>
    <row r="452" spans="1:9" x14ac:dyDescent="0.25">
      <c r="A452" s="124" t="s">
        <v>8323</v>
      </c>
      <c r="B452" s="125">
        <v>2000</v>
      </c>
      <c r="C452" s="125">
        <v>0</v>
      </c>
      <c r="D452" s="125">
        <v>2000</v>
      </c>
      <c r="E452" s="125">
        <v>2000</v>
      </c>
      <c r="F452" s="123">
        <f t="shared" ref="F452:F515" si="57">+B452-C452</f>
        <v>2000</v>
      </c>
      <c r="G452" s="123">
        <f t="shared" ref="G452:G515" si="58">+D452-B452</f>
        <v>0</v>
      </c>
      <c r="I452" s="211">
        <f t="shared" si="56"/>
        <v>0</v>
      </c>
    </row>
    <row r="453" spans="1:9" x14ac:dyDescent="0.25">
      <c r="A453" s="124" t="s">
        <v>8324</v>
      </c>
      <c r="B453" s="125">
        <v>54</v>
      </c>
      <c r="C453" s="125">
        <v>0</v>
      </c>
      <c r="D453" s="125">
        <v>54</v>
      </c>
      <c r="E453" s="125">
        <v>54</v>
      </c>
      <c r="F453" s="123">
        <f t="shared" si="57"/>
        <v>54</v>
      </c>
      <c r="G453" s="123">
        <f t="shared" si="58"/>
        <v>0</v>
      </c>
      <c r="I453" s="211">
        <f t="shared" si="56"/>
        <v>0</v>
      </c>
    </row>
    <row r="454" spans="1:9" x14ac:dyDescent="0.25">
      <c r="A454" s="124" t="s">
        <v>8325</v>
      </c>
      <c r="B454" s="125">
        <v>2800</v>
      </c>
      <c r="C454" s="125">
        <v>2800</v>
      </c>
      <c r="D454" s="125">
        <v>2000</v>
      </c>
      <c r="E454" s="125">
        <v>2000</v>
      </c>
      <c r="F454" s="123">
        <f t="shared" si="57"/>
        <v>0</v>
      </c>
      <c r="G454" s="123">
        <f t="shared" si="58"/>
        <v>-800</v>
      </c>
      <c r="I454" s="211">
        <f t="shared" si="56"/>
        <v>-0.2857142857142857</v>
      </c>
    </row>
    <row r="455" spans="1:9" x14ac:dyDescent="0.25">
      <c r="A455" s="122">
        <v>55653</v>
      </c>
      <c r="B455" s="123">
        <f>SUM(B456)</f>
        <v>1500</v>
      </c>
      <c r="C455" s="123">
        <f>SUM(C456)</f>
        <v>0</v>
      </c>
      <c r="D455" s="123">
        <f>SUM(D456)</f>
        <v>4500</v>
      </c>
      <c r="E455" s="123">
        <f>SUM(E456)</f>
        <v>4500</v>
      </c>
      <c r="F455" s="123">
        <f t="shared" si="57"/>
        <v>1500</v>
      </c>
      <c r="G455" s="123">
        <f t="shared" si="58"/>
        <v>3000</v>
      </c>
      <c r="I455" s="211">
        <f t="shared" si="56"/>
        <v>2</v>
      </c>
    </row>
    <row r="456" spans="1:9" x14ac:dyDescent="0.25">
      <c r="A456" s="124" t="s">
        <v>8326</v>
      </c>
      <c r="B456" s="125">
        <v>1500</v>
      </c>
      <c r="C456" s="125">
        <v>0</v>
      </c>
      <c r="D456" s="125">
        <v>4500</v>
      </c>
      <c r="E456" s="125">
        <v>4500</v>
      </c>
      <c r="F456" s="123">
        <f t="shared" si="57"/>
        <v>1500</v>
      </c>
      <c r="G456" s="123">
        <f t="shared" si="58"/>
        <v>3000</v>
      </c>
      <c r="I456" s="211">
        <f t="shared" si="56"/>
        <v>2</v>
      </c>
    </row>
    <row r="457" spans="1:9" x14ac:dyDescent="0.25">
      <c r="A457" s="122">
        <v>55663</v>
      </c>
      <c r="B457" s="123">
        <f>SUM(B458)</f>
        <v>15000</v>
      </c>
      <c r="C457" s="123">
        <f>SUM(C458)</f>
        <v>10249.82</v>
      </c>
      <c r="D457" s="123">
        <f>SUM(D458)</f>
        <v>15000</v>
      </c>
      <c r="E457" s="123">
        <f>SUM(E458)</f>
        <v>15000</v>
      </c>
      <c r="F457" s="123">
        <f t="shared" si="57"/>
        <v>4750.18</v>
      </c>
      <c r="G457" s="123">
        <f t="shared" si="58"/>
        <v>0</v>
      </c>
      <c r="I457" s="211">
        <f t="shared" si="56"/>
        <v>0</v>
      </c>
    </row>
    <row r="458" spans="1:9" x14ac:dyDescent="0.25">
      <c r="A458" s="124" t="s">
        <v>8327</v>
      </c>
      <c r="B458" s="125">
        <v>15000</v>
      </c>
      <c r="C458" s="125">
        <v>10249.82</v>
      </c>
      <c r="D458" s="8">
        <v>15000</v>
      </c>
      <c r="E458" s="8">
        <v>15000</v>
      </c>
      <c r="F458" s="123">
        <f t="shared" si="57"/>
        <v>4750.18</v>
      </c>
      <c r="G458" s="123">
        <f t="shared" si="58"/>
        <v>0</v>
      </c>
      <c r="I458" s="211">
        <f t="shared" si="56"/>
        <v>0</v>
      </c>
    </row>
    <row r="459" spans="1:9" x14ac:dyDescent="0.25">
      <c r="A459" s="122">
        <v>55700</v>
      </c>
      <c r="B459" s="123">
        <f>SUM(B460:B461)</f>
        <v>281665</v>
      </c>
      <c r="C459" s="123">
        <f>SUM(C460:C461)</f>
        <v>413331.55</v>
      </c>
      <c r="D459" s="123">
        <f>SUM(D460:D461)</f>
        <v>295000</v>
      </c>
      <c r="E459" s="123">
        <f>SUM(E460:E461)</f>
        <v>295000</v>
      </c>
      <c r="F459" s="123">
        <f t="shared" si="57"/>
        <v>-131666.54999999999</v>
      </c>
      <c r="G459" s="123">
        <f t="shared" si="58"/>
        <v>13335</v>
      </c>
      <c r="I459" s="211">
        <f t="shared" si="56"/>
        <v>4.7343475405179913E-2</v>
      </c>
    </row>
    <row r="460" spans="1:9" x14ac:dyDescent="0.25">
      <c r="A460" s="124" t="s">
        <v>8328</v>
      </c>
      <c r="B460" s="125">
        <v>206665</v>
      </c>
      <c r="C460" s="125">
        <v>212666.25</v>
      </c>
      <c r="D460" s="2">
        <v>220000</v>
      </c>
      <c r="E460" s="2">
        <v>220000</v>
      </c>
      <c r="F460" s="123">
        <f t="shared" si="57"/>
        <v>-6001.25</v>
      </c>
      <c r="G460" s="123">
        <f t="shared" si="58"/>
        <v>13335</v>
      </c>
      <c r="H460" s="171" t="s">
        <v>9917</v>
      </c>
      <c r="I460" s="211">
        <f t="shared" si="56"/>
        <v>6.4524713908983136E-2</v>
      </c>
    </row>
    <row r="461" spans="1:9" x14ac:dyDescent="0.25">
      <c r="A461" s="124" t="s">
        <v>8329</v>
      </c>
      <c r="B461" s="125">
        <v>75000</v>
      </c>
      <c r="C461" s="125">
        <v>200665.3</v>
      </c>
      <c r="D461" s="125">
        <v>75000</v>
      </c>
      <c r="E461" s="125">
        <v>75000</v>
      </c>
      <c r="F461" s="123">
        <f t="shared" si="57"/>
        <v>-125665.29999999999</v>
      </c>
      <c r="G461" s="123">
        <f t="shared" si="58"/>
        <v>0</v>
      </c>
      <c r="I461" s="211">
        <f t="shared" si="56"/>
        <v>0</v>
      </c>
    </row>
    <row r="462" spans="1:9" x14ac:dyDescent="0.25">
      <c r="A462" s="122">
        <v>55710</v>
      </c>
      <c r="B462" s="123">
        <f>SUM(B463)</f>
        <v>320114.25</v>
      </c>
      <c r="C462" s="123">
        <f>SUM(C463)</f>
        <v>320114.25</v>
      </c>
      <c r="D462" s="123">
        <f>SUM(D463)</f>
        <v>0</v>
      </c>
      <c r="E462" s="123">
        <f>SUM(E463)</f>
        <v>0</v>
      </c>
      <c r="F462" s="123">
        <f t="shared" si="57"/>
        <v>0</v>
      </c>
      <c r="G462" s="123">
        <f t="shared" si="58"/>
        <v>-320114.25</v>
      </c>
      <c r="I462" s="211">
        <f t="shared" si="56"/>
        <v>-1</v>
      </c>
    </row>
    <row r="463" spans="1:9" x14ac:dyDescent="0.25">
      <c r="A463" s="124" t="s">
        <v>8330</v>
      </c>
      <c r="B463" s="125">
        <v>320114.25</v>
      </c>
      <c r="C463" s="125">
        <v>320114.25</v>
      </c>
      <c r="D463" s="125">
        <v>0</v>
      </c>
      <c r="E463" s="125">
        <v>0</v>
      </c>
      <c r="F463" s="123">
        <f t="shared" si="57"/>
        <v>0</v>
      </c>
      <c r="G463" s="123">
        <f t="shared" si="58"/>
        <v>-320114.25</v>
      </c>
      <c r="I463" s="211">
        <f t="shared" si="56"/>
        <v>-1</v>
      </c>
    </row>
    <row r="464" spans="1:9" x14ac:dyDescent="0.25">
      <c r="A464" s="122">
        <v>55800</v>
      </c>
      <c r="B464" s="123">
        <f>SUM(B465:B471)</f>
        <v>242206.51</v>
      </c>
      <c r="C464" s="123">
        <f>SUM(C465:C471)</f>
        <v>3060.6800000000003</v>
      </c>
      <c r="D464" s="123">
        <f>SUM(D465:D471)</f>
        <v>291882</v>
      </c>
      <c r="E464" s="123">
        <f>SUM(E465:E471)</f>
        <v>291882</v>
      </c>
      <c r="F464" s="123">
        <f t="shared" si="57"/>
        <v>239145.83000000002</v>
      </c>
      <c r="G464" s="123">
        <f t="shared" si="58"/>
        <v>49675.489999999991</v>
      </c>
      <c r="I464" s="211">
        <f t="shared" si="56"/>
        <v>0.2050956020959139</v>
      </c>
    </row>
    <row r="465" spans="1:9" x14ac:dyDescent="0.25">
      <c r="A465" s="124" t="s">
        <v>8331</v>
      </c>
      <c r="B465" s="125">
        <v>10900</v>
      </c>
      <c r="C465" s="125">
        <v>994.95</v>
      </c>
      <c r="D465" s="125">
        <v>10900</v>
      </c>
      <c r="E465" s="125">
        <v>10900</v>
      </c>
      <c r="F465" s="123">
        <f t="shared" si="57"/>
        <v>9905.0499999999993</v>
      </c>
      <c r="G465" s="123">
        <f t="shared" si="58"/>
        <v>0</v>
      </c>
      <c r="I465" s="211">
        <f t="shared" si="56"/>
        <v>0</v>
      </c>
    </row>
    <row r="466" spans="1:9" x14ac:dyDescent="0.25">
      <c r="A466" s="124" t="s">
        <v>8332</v>
      </c>
      <c r="B466" s="125">
        <v>1000</v>
      </c>
      <c r="C466" s="125">
        <v>495.81</v>
      </c>
      <c r="D466" s="125">
        <v>1000</v>
      </c>
      <c r="E466" s="125">
        <v>1000</v>
      </c>
      <c r="F466" s="123">
        <f t="shared" si="57"/>
        <v>504.19</v>
      </c>
      <c r="G466" s="123">
        <f t="shared" si="58"/>
        <v>0</v>
      </c>
      <c r="I466" s="211">
        <f t="shared" si="56"/>
        <v>0</v>
      </c>
    </row>
    <row r="467" spans="1:9" x14ac:dyDescent="0.25">
      <c r="A467" s="124" t="s">
        <v>8333</v>
      </c>
      <c r="B467" s="125">
        <v>0</v>
      </c>
      <c r="C467" s="125">
        <v>0</v>
      </c>
      <c r="D467" s="125">
        <v>27455</v>
      </c>
      <c r="E467" s="125">
        <v>27455</v>
      </c>
      <c r="F467" s="123">
        <f t="shared" si="57"/>
        <v>0</v>
      </c>
      <c r="G467" s="123">
        <f t="shared" si="58"/>
        <v>27455</v>
      </c>
      <c r="I467" s="211" t="e">
        <f t="shared" si="56"/>
        <v>#DIV/0!</v>
      </c>
    </row>
    <row r="468" spans="1:9" x14ac:dyDescent="0.25">
      <c r="A468" s="124" t="s">
        <v>8334</v>
      </c>
      <c r="B468" s="125">
        <v>1500</v>
      </c>
      <c r="C468" s="125">
        <v>-5873.57</v>
      </c>
      <c r="D468" s="8">
        <v>1500</v>
      </c>
      <c r="E468" s="8">
        <v>1500</v>
      </c>
      <c r="F468" s="123">
        <f t="shared" si="57"/>
        <v>7373.57</v>
      </c>
      <c r="G468" s="123">
        <f t="shared" si="58"/>
        <v>0</v>
      </c>
      <c r="I468" s="211">
        <f t="shared" si="56"/>
        <v>0</v>
      </c>
    </row>
    <row r="469" spans="1:9" x14ac:dyDescent="0.25">
      <c r="A469" s="205" t="s">
        <v>8335</v>
      </c>
      <c r="B469" s="206">
        <f>359964.15-131684.64</f>
        <v>228279.51</v>
      </c>
      <c r="C469" s="125">
        <v>7443.49</v>
      </c>
      <c r="D469" s="2">
        <v>250000</v>
      </c>
      <c r="E469" s="2">
        <v>250000</v>
      </c>
      <c r="F469" s="123">
        <f t="shared" si="57"/>
        <v>220836.02000000002</v>
      </c>
      <c r="G469" s="123">
        <f t="shared" si="58"/>
        <v>21720.489999999991</v>
      </c>
      <c r="H469" t="s">
        <v>9918</v>
      </c>
      <c r="I469" s="211">
        <f t="shared" si="56"/>
        <v>9.5148662269338102E-2</v>
      </c>
    </row>
    <row r="470" spans="1:9" x14ac:dyDescent="0.25">
      <c r="A470" s="124" t="s">
        <v>8336</v>
      </c>
      <c r="B470" s="125">
        <v>27</v>
      </c>
      <c r="C470" s="125">
        <v>0</v>
      </c>
      <c r="D470" s="125">
        <v>27</v>
      </c>
      <c r="E470" s="125">
        <v>27</v>
      </c>
      <c r="F470" s="123">
        <f t="shared" si="57"/>
        <v>27</v>
      </c>
      <c r="G470" s="123">
        <f t="shared" si="58"/>
        <v>0</v>
      </c>
      <c r="I470" s="211">
        <f t="shared" si="56"/>
        <v>0</v>
      </c>
    </row>
    <row r="471" spans="1:9" x14ac:dyDescent="0.25">
      <c r="A471" s="124" t="s">
        <v>8337</v>
      </c>
      <c r="B471" s="125">
        <v>500</v>
      </c>
      <c r="C471" s="125">
        <v>0</v>
      </c>
      <c r="D471" s="125">
        <v>1000</v>
      </c>
      <c r="E471" s="125">
        <v>1000</v>
      </c>
      <c r="F471" s="123">
        <f t="shared" si="57"/>
        <v>500</v>
      </c>
      <c r="G471" s="123">
        <f t="shared" si="58"/>
        <v>500</v>
      </c>
      <c r="I471" s="211">
        <f t="shared" si="56"/>
        <v>1</v>
      </c>
    </row>
    <row r="472" spans="1:9" x14ac:dyDescent="0.25">
      <c r="A472" s="122">
        <v>55810</v>
      </c>
      <c r="B472" s="123">
        <f>SUM(B473:B474)</f>
        <v>500</v>
      </c>
      <c r="C472" s="123">
        <f>SUM(C473:C474)</f>
        <v>0</v>
      </c>
      <c r="D472" s="123">
        <f>SUM(D473:D474)</f>
        <v>4000</v>
      </c>
      <c r="E472" s="123">
        <f>SUM(E473:E474)</f>
        <v>4000</v>
      </c>
      <c r="F472" s="123">
        <f t="shared" si="57"/>
        <v>500</v>
      </c>
      <c r="G472" s="123">
        <f t="shared" si="58"/>
        <v>3500</v>
      </c>
      <c r="I472" s="211">
        <f t="shared" si="56"/>
        <v>7</v>
      </c>
    </row>
    <row r="473" spans="1:9" x14ac:dyDescent="0.25">
      <c r="A473" s="124" t="s">
        <v>8338</v>
      </c>
      <c r="B473" s="125">
        <v>500</v>
      </c>
      <c r="C473" s="125">
        <v>0</v>
      </c>
      <c r="D473" s="125">
        <v>500</v>
      </c>
      <c r="E473" s="125">
        <v>500</v>
      </c>
      <c r="F473" s="123">
        <f t="shared" si="57"/>
        <v>500</v>
      </c>
      <c r="G473" s="123">
        <f t="shared" si="58"/>
        <v>0</v>
      </c>
      <c r="I473" s="211">
        <f t="shared" si="56"/>
        <v>0</v>
      </c>
    </row>
    <row r="474" spans="1:9" x14ac:dyDescent="0.25">
      <c r="A474" s="124" t="s">
        <v>8339</v>
      </c>
      <c r="B474" s="125">
        <v>0</v>
      </c>
      <c r="C474" s="125">
        <v>0</v>
      </c>
      <c r="D474" s="125">
        <v>3500</v>
      </c>
      <c r="E474" s="125">
        <v>3500</v>
      </c>
      <c r="F474" s="123">
        <f t="shared" si="57"/>
        <v>0</v>
      </c>
      <c r="G474" s="123">
        <f t="shared" si="58"/>
        <v>3500</v>
      </c>
      <c r="I474" s="211" t="e">
        <f t="shared" si="56"/>
        <v>#DIV/0!</v>
      </c>
    </row>
    <row r="475" spans="1:9" x14ac:dyDescent="0.25">
      <c r="A475" s="122">
        <v>55820</v>
      </c>
      <c r="B475" s="123">
        <f>SUM(B476:B479)</f>
        <v>50000</v>
      </c>
      <c r="C475" s="123">
        <f>SUM(C476:C479)</f>
        <v>19627.47</v>
      </c>
      <c r="D475" s="123">
        <f>SUM(D476:D479)</f>
        <v>40500</v>
      </c>
      <c r="E475" s="123">
        <f>SUM(E476:E479)</f>
        <v>40500</v>
      </c>
      <c r="F475" s="123">
        <f t="shared" si="57"/>
        <v>30372.53</v>
      </c>
      <c r="G475" s="123">
        <f t="shared" si="58"/>
        <v>-9500</v>
      </c>
      <c r="I475" s="211">
        <f t="shared" si="56"/>
        <v>-0.19</v>
      </c>
    </row>
    <row r="476" spans="1:9" x14ac:dyDescent="0.25">
      <c r="A476" s="124" t="s">
        <v>8340</v>
      </c>
      <c r="B476" s="125">
        <v>0</v>
      </c>
      <c r="C476" s="125">
        <v>741.59</v>
      </c>
      <c r="F476" s="123">
        <f t="shared" si="57"/>
        <v>-741.59</v>
      </c>
      <c r="G476" s="123">
        <f t="shared" si="58"/>
        <v>0</v>
      </c>
      <c r="I476" s="211" t="e">
        <f t="shared" si="56"/>
        <v>#DIV/0!</v>
      </c>
    </row>
    <row r="477" spans="1:9" x14ac:dyDescent="0.25">
      <c r="A477" s="124" t="s">
        <v>8341</v>
      </c>
      <c r="B477" s="125">
        <v>50000</v>
      </c>
      <c r="C477" s="125">
        <v>18761.7</v>
      </c>
      <c r="D477" s="2">
        <v>40000</v>
      </c>
      <c r="E477" s="2">
        <v>40000</v>
      </c>
      <c r="F477" s="123">
        <f t="shared" si="57"/>
        <v>31238.3</v>
      </c>
      <c r="G477" s="123">
        <f t="shared" si="58"/>
        <v>-10000</v>
      </c>
      <c r="I477" s="211">
        <f t="shared" si="56"/>
        <v>-0.2</v>
      </c>
    </row>
    <row r="478" spans="1:9" x14ac:dyDescent="0.25">
      <c r="A478" s="124" t="s">
        <v>8342</v>
      </c>
      <c r="B478" s="125">
        <v>0</v>
      </c>
      <c r="C478" s="125">
        <v>0</v>
      </c>
      <c r="D478" s="125">
        <v>500</v>
      </c>
      <c r="E478" s="125">
        <v>500</v>
      </c>
      <c r="F478" s="123">
        <f t="shared" si="57"/>
        <v>0</v>
      </c>
      <c r="G478" s="123">
        <f t="shared" si="58"/>
        <v>500</v>
      </c>
      <c r="I478" s="211" t="e">
        <f t="shared" si="56"/>
        <v>#DIV/0!</v>
      </c>
    </row>
    <row r="479" spans="1:9" x14ac:dyDescent="0.25">
      <c r="A479" s="124" t="s">
        <v>8343</v>
      </c>
      <c r="B479" s="125">
        <v>0</v>
      </c>
      <c r="C479" s="125">
        <v>124.18</v>
      </c>
      <c r="F479" s="123">
        <f t="shared" si="57"/>
        <v>-124.18</v>
      </c>
      <c r="G479" s="123">
        <f t="shared" si="58"/>
        <v>0</v>
      </c>
      <c r="I479" s="211" t="e">
        <f t="shared" si="56"/>
        <v>#DIV/0!</v>
      </c>
    </row>
    <row r="480" spans="1:9" x14ac:dyDescent="0.25">
      <c r="A480" s="122">
        <v>55821</v>
      </c>
      <c r="B480" s="123">
        <f>SUM(B481:B482)</f>
        <v>4245</v>
      </c>
      <c r="C480" s="123">
        <f>SUM(C481:C482)</f>
        <v>5038.59</v>
      </c>
      <c r="D480" s="123">
        <f>SUM(D481:D482)</f>
        <v>1000</v>
      </c>
      <c r="E480" s="123">
        <f>SUM(E481:E482)</f>
        <v>1000</v>
      </c>
      <c r="F480" s="123">
        <f t="shared" si="57"/>
        <v>-793.59000000000015</v>
      </c>
      <c r="G480" s="123">
        <f t="shared" si="58"/>
        <v>-3245</v>
      </c>
      <c r="I480" s="211">
        <f t="shared" si="56"/>
        <v>-0.76442873969375735</v>
      </c>
    </row>
    <row r="481" spans="1:9" x14ac:dyDescent="0.25">
      <c r="A481" s="124" t="s">
        <v>8344</v>
      </c>
      <c r="B481" s="125">
        <v>3245</v>
      </c>
      <c r="C481" s="125">
        <v>4598.68</v>
      </c>
      <c r="F481" s="123">
        <f t="shared" si="57"/>
        <v>-1353.6800000000003</v>
      </c>
      <c r="G481" s="123">
        <f t="shared" si="58"/>
        <v>-3245</v>
      </c>
      <c r="I481" s="211">
        <f t="shared" si="56"/>
        <v>-1</v>
      </c>
    </row>
    <row r="482" spans="1:9" x14ac:dyDescent="0.25">
      <c r="A482" s="124" t="s">
        <v>8345</v>
      </c>
      <c r="B482" s="125">
        <v>1000</v>
      </c>
      <c r="C482" s="125">
        <v>439.91</v>
      </c>
      <c r="D482" s="125">
        <v>1000</v>
      </c>
      <c r="E482" s="125">
        <v>1000</v>
      </c>
      <c r="F482" s="123">
        <f t="shared" si="57"/>
        <v>560.08999999999992</v>
      </c>
      <c r="G482" s="123">
        <f t="shared" si="58"/>
        <v>0</v>
      </c>
      <c r="I482" s="211">
        <f t="shared" si="56"/>
        <v>0</v>
      </c>
    </row>
    <row r="483" spans="1:9" x14ac:dyDescent="0.25">
      <c r="A483" s="122">
        <v>55825</v>
      </c>
      <c r="B483" s="123">
        <f>SUM(B484)</f>
        <v>0</v>
      </c>
      <c r="C483" s="123">
        <f>SUM(C484)</f>
        <v>10000.200000000001</v>
      </c>
      <c r="D483" s="123">
        <f>SUM(D484)</f>
        <v>0</v>
      </c>
      <c r="E483" s="123">
        <f>SUM(E484)</f>
        <v>0</v>
      </c>
      <c r="F483" s="123">
        <f t="shared" si="57"/>
        <v>-10000.200000000001</v>
      </c>
      <c r="G483" s="123">
        <f t="shared" si="58"/>
        <v>0</v>
      </c>
      <c r="I483" s="211" t="e">
        <f t="shared" si="56"/>
        <v>#DIV/0!</v>
      </c>
    </row>
    <row r="484" spans="1:9" x14ac:dyDescent="0.25">
      <c r="A484" s="124" t="s">
        <v>8346</v>
      </c>
      <c r="B484" s="125">
        <v>0</v>
      </c>
      <c r="C484" s="125">
        <v>10000.200000000001</v>
      </c>
      <c r="D484" s="125">
        <v>0</v>
      </c>
      <c r="E484" s="125">
        <v>0</v>
      </c>
      <c r="F484" s="123">
        <f t="shared" si="57"/>
        <v>-10000.200000000001</v>
      </c>
      <c r="G484" s="123">
        <f t="shared" si="58"/>
        <v>0</v>
      </c>
      <c r="I484" s="211" t="e">
        <f t="shared" si="56"/>
        <v>#DIV/0!</v>
      </c>
    </row>
    <row r="485" spans="1:9" x14ac:dyDescent="0.25">
      <c r="A485" s="122">
        <v>55830</v>
      </c>
      <c r="B485" s="123">
        <f>SUM(B486:B490)</f>
        <v>282500</v>
      </c>
      <c r="C485" s="123">
        <f>SUM(C486:C490)</f>
        <v>212651.43</v>
      </c>
      <c r="D485" s="123">
        <f>SUM(D486:D490)</f>
        <v>331500</v>
      </c>
      <c r="E485" s="123">
        <f>SUM(E486:E490)</f>
        <v>331500</v>
      </c>
      <c r="F485" s="123">
        <f t="shared" si="57"/>
        <v>69848.570000000007</v>
      </c>
      <c r="G485" s="123">
        <f t="shared" si="58"/>
        <v>49000</v>
      </c>
      <c r="I485" s="211">
        <f t="shared" si="56"/>
        <v>0.17345132743362832</v>
      </c>
    </row>
    <row r="486" spans="1:9" x14ac:dyDescent="0.25">
      <c r="A486" s="205" t="s">
        <v>8347</v>
      </c>
      <c r="B486" s="206">
        <v>0</v>
      </c>
      <c r="C486" s="125">
        <v>0</v>
      </c>
      <c r="D486" s="125">
        <v>10000</v>
      </c>
      <c r="E486" s="125">
        <v>10000</v>
      </c>
      <c r="F486" s="123">
        <f t="shared" si="57"/>
        <v>0</v>
      </c>
      <c r="G486" s="123">
        <f t="shared" si="58"/>
        <v>10000</v>
      </c>
      <c r="I486" s="211" t="e">
        <f t="shared" si="56"/>
        <v>#DIV/0!</v>
      </c>
    </row>
    <row r="487" spans="1:9" x14ac:dyDescent="0.25">
      <c r="A487" s="124" t="s">
        <v>8348</v>
      </c>
      <c r="B487" s="125">
        <v>282000</v>
      </c>
      <c r="C487" s="125">
        <v>210717.68</v>
      </c>
      <c r="D487" s="125">
        <v>282000</v>
      </c>
      <c r="E487" s="125">
        <v>282000</v>
      </c>
      <c r="F487" s="123">
        <f t="shared" si="57"/>
        <v>71282.320000000007</v>
      </c>
      <c r="G487" s="123">
        <f t="shared" si="58"/>
        <v>0</v>
      </c>
      <c r="I487" s="211">
        <f t="shared" si="56"/>
        <v>0</v>
      </c>
    </row>
    <row r="488" spans="1:9" x14ac:dyDescent="0.25">
      <c r="A488" s="124" t="s">
        <v>8349</v>
      </c>
      <c r="B488" s="125">
        <v>500</v>
      </c>
      <c r="C488" s="125">
        <v>500</v>
      </c>
      <c r="D488" s="125">
        <v>500</v>
      </c>
      <c r="E488" s="125">
        <v>500</v>
      </c>
      <c r="F488" s="123">
        <f t="shared" si="57"/>
        <v>0</v>
      </c>
      <c r="G488" s="123">
        <f t="shared" si="58"/>
        <v>0</v>
      </c>
      <c r="I488" s="211">
        <f t="shared" si="56"/>
        <v>0</v>
      </c>
    </row>
    <row r="489" spans="1:9" x14ac:dyDescent="0.25">
      <c r="A489" s="205" t="s">
        <v>8350</v>
      </c>
      <c r="B489" s="206">
        <v>0</v>
      </c>
      <c r="C489" s="125">
        <v>0</v>
      </c>
      <c r="D489" s="125">
        <v>36500</v>
      </c>
      <c r="E489" s="125">
        <v>36500</v>
      </c>
      <c r="F489" s="123">
        <f t="shared" si="57"/>
        <v>0</v>
      </c>
      <c r="G489" s="123">
        <f t="shared" si="58"/>
        <v>36500</v>
      </c>
      <c r="I489" s="211" t="e">
        <f t="shared" si="56"/>
        <v>#DIV/0!</v>
      </c>
    </row>
    <row r="490" spans="1:9" x14ac:dyDescent="0.25">
      <c r="A490" s="124" t="s">
        <v>8351</v>
      </c>
      <c r="B490" s="125">
        <v>0</v>
      </c>
      <c r="C490" s="125">
        <v>1433.75</v>
      </c>
      <c r="D490" s="125">
        <v>2500</v>
      </c>
      <c r="E490" s="125">
        <v>2500</v>
      </c>
      <c r="F490" s="123">
        <f t="shared" si="57"/>
        <v>-1433.75</v>
      </c>
      <c r="G490" s="123">
        <f t="shared" si="58"/>
        <v>2500</v>
      </c>
      <c r="I490" s="211" t="e">
        <f t="shared" si="56"/>
        <v>#DIV/0!</v>
      </c>
    </row>
    <row r="491" spans="1:9" x14ac:dyDescent="0.25">
      <c r="A491" s="122">
        <v>55835</v>
      </c>
      <c r="B491" s="123">
        <f>SUM(B492)</f>
        <v>0</v>
      </c>
      <c r="C491" s="123">
        <f>SUM(C492)</f>
        <v>98.2</v>
      </c>
      <c r="D491" s="123">
        <f>SUM(D492)</f>
        <v>5000</v>
      </c>
      <c r="E491" s="123">
        <f>SUM(E492)</f>
        <v>5000</v>
      </c>
      <c r="F491" s="123">
        <f t="shared" si="57"/>
        <v>-98.2</v>
      </c>
      <c r="G491" s="123">
        <f t="shared" si="58"/>
        <v>5000</v>
      </c>
      <c r="I491" s="211" t="e">
        <f t="shared" si="56"/>
        <v>#DIV/0!</v>
      </c>
    </row>
    <row r="492" spans="1:9" x14ac:dyDescent="0.25">
      <c r="A492" s="124" t="s">
        <v>8352</v>
      </c>
      <c r="B492" s="125">
        <v>0</v>
      </c>
      <c r="C492" s="125">
        <v>98.2</v>
      </c>
      <c r="D492" s="2">
        <v>5000</v>
      </c>
      <c r="E492" s="2">
        <v>5000</v>
      </c>
      <c r="F492" s="123">
        <f t="shared" si="57"/>
        <v>-98.2</v>
      </c>
      <c r="G492" s="123">
        <f t="shared" si="58"/>
        <v>5000</v>
      </c>
      <c r="H492" t="s">
        <v>9919</v>
      </c>
      <c r="I492" s="211" t="e">
        <f t="shared" si="56"/>
        <v>#DIV/0!</v>
      </c>
    </row>
    <row r="493" spans="1:9" x14ac:dyDescent="0.25">
      <c r="A493" s="122">
        <v>55861</v>
      </c>
      <c r="B493" s="123">
        <f>SUM(B494)</f>
        <v>50000</v>
      </c>
      <c r="C493" s="123">
        <f>SUM(C494)</f>
        <v>38209.199999999997</v>
      </c>
      <c r="D493" s="123">
        <f>SUM(D494)</f>
        <v>50000</v>
      </c>
      <c r="E493" s="123">
        <f>SUM(E494)</f>
        <v>50000</v>
      </c>
      <c r="F493" s="123">
        <f t="shared" si="57"/>
        <v>11790.800000000003</v>
      </c>
      <c r="G493" s="123">
        <f t="shared" si="58"/>
        <v>0</v>
      </c>
      <c r="I493" s="211">
        <f t="shared" si="56"/>
        <v>0</v>
      </c>
    </row>
    <row r="494" spans="1:9" x14ac:dyDescent="0.25">
      <c r="A494" s="124" t="s">
        <v>8353</v>
      </c>
      <c r="B494" s="125">
        <v>50000</v>
      </c>
      <c r="C494" s="125">
        <v>38209.199999999997</v>
      </c>
      <c r="D494" s="8">
        <v>50000</v>
      </c>
      <c r="E494" s="8">
        <v>50000</v>
      </c>
      <c r="F494" s="123">
        <f t="shared" si="57"/>
        <v>11790.800000000003</v>
      </c>
      <c r="G494" s="123">
        <f t="shared" si="58"/>
        <v>0</v>
      </c>
      <c r="I494" s="211">
        <f t="shared" si="56"/>
        <v>0</v>
      </c>
    </row>
    <row r="495" spans="1:9" x14ac:dyDescent="0.25">
      <c r="A495" s="122">
        <v>55862</v>
      </c>
      <c r="B495" s="123">
        <f>SUM(B496)</f>
        <v>0</v>
      </c>
      <c r="C495" s="123">
        <f>SUM(C496)</f>
        <v>0</v>
      </c>
      <c r="D495" s="208">
        <f>SUM(D496)</f>
        <v>0</v>
      </c>
      <c r="E495" s="208">
        <f>SUM(E496)</f>
        <v>0</v>
      </c>
      <c r="F495" s="123">
        <f t="shared" si="57"/>
        <v>0</v>
      </c>
      <c r="G495" s="123">
        <f t="shared" si="58"/>
        <v>0</v>
      </c>
      <c r="I495" s="211" t="e">
        <f t="shared" si="56"/>
        <v>#DIV/0!</v>
      </c>
    </row>
    <row r="496" spans="1:9" x14ac:dyDescent="0.25">
      <c r="A496" s="124" t="s">
        <v>8354</v>
      </c>
      <c r="B496" s="125">
        <v>0</v>
      </c>
      <c r="C496" s="125">
        <v>0</v>
      </c>
      <c r="D496" s="8">
        <v>0</v>
      </c>
      <c r="E496" s="8">
        <v>0</v>
      </c>
      <c r="F496" s="123">
        <f t="shared" si="57"/>
        <v>0</v>
      </c>
      <c r="G496" s="123">
        <f t="shared" si="58"/>
        <v>0</v>
      </c>
      <c r="I496" s="211" t="e">
        <f t="shared" si="56"/>
        <v>#DIV/0!</v>
      </c>
    </row>
    <row r="497" spans="1:9" x14ac:dyDescent="0.25">
      <c r="A497" s="143" t="s">
        <v>8355</v>
      </c>
      <c r="B497" s="144">
        <f>+B498+B500+B502+B508+B511+B513+B516+B533+B535</f>
        <v>509858.2</v>
      </c>
      <c r="C497" s="144">
        <f>+C498+C500+C502+C508+C511+C513+C516+C533+C535</f>
        <v>77584.259999999995</v>
      </c>
      <c r="D497" s="144">
        <f>+D498+D500+D502+D508+D511+D513+D516+D533+D535</f>
        <v>122008.2</v>
      </c>
      <c r="E497" s="144">
        <f>+E498+E500+E502+E508+E511+E513+E516+E533+E535</f>
        <v>122008.2</v>
      </c>
      <c r="F497" s="123">
        <f t="shared" si="57"/>
        <v>432273.94</v>
      </c>
      <c r="G497" s="123">
        <f t="shared" si="58"/>
        <v>-387850</v>
      </c>
      <c r="I497" s="211">
        <f t="shared" si="56"/>
        <v>-0.76070170098274381</v>
      </c>
    </row>
    <row r="498" spans="1:9" x14ac:dyDescent="0.25">
      <c r="A498" s="122">
        <v>56216</v>
      </c>
      <c r="B498" s="123">
        <f>SUM(B499)</f>
        <v>425</v>
      </c>
      <c r="C498" s="123">
        <f t="shared" ref="C498:E498" si="59">SUM(C499)</f>
        <v>424.79</v>
      </c>
      <c r="D498" s="123">
        <f t="shared" si="59"/>
        <v>425</v>
      </c>
      <c r="E498" s="123">
        <f t="shared" si="59"/>
        <v>425</v>
      </c>
      <c r="F498" s="123">
        <f t="shared" si="57"/>
        <v>0.20999999999997954</v>
      </c>
      <c r="G498" s="123">
        <f t="shared" si="58"/>
        <v>0</v>
      </c>
      <c r="I498" s="211">
        <f t="shared" si="56"/>
        <v>0</v>
      </c>
    </row>
    <row r="499" spans="1:9" x14ac:dyDescent="0.25">
      <c r="A499" s="124" t="s">
        <v>8356</v>
      </c>
      <c r="B499" s="125">
        <v>425</v>
      </c>
      <c r="C499" s="125">
        <v>424.79</v>
      </c>
      <c r="D499" s="125">
        <v>425</v>
      </c>
      <c r="E499" s="125">
        <v>425</v>
      </c>
      <c r="F499" s="123">
        <f t="shared" si="57"/>
        <v>0.20999999999997954</v>
      </c>
      <c r="G499" s="123">
        <f t="shared" si="58"/>
        <v>0</v>
      </c>
      <c r="I499" s="211">
        <f t="shared" si="56"/>
        <v>0</v>
      </c>
    </row>
    <row r="500" spans="1:9" x14ac:dyDescent="0.25">
      <c r="A500" s="122">
        <v>56217</v>
      </c>
      <c r="B500" s="123">
        <f>SUM(B501)</f>
        <v>5500</v>
      </c>
      <c r="C500" s="123">
        <f t="shared" ref="C500:E500" si="60">SUM(C501)</f>
        <v>3059</v>
      </c>
      <c r="D500" s="123">
        <f t="shared" si="60"/>
        <v>5500</v>
      </c>
      <c r="E500" s="123">
        <f t="shared" si="60"/>
        <v>5500</v>
      </c>
      <c r="F500" s="123">
        <f t="shared" si="57"/>
        <v>2441</v>
      </c>
      <c r="G500" s="123">
        <f t="shared" si="58"/>
        <v>0</v>
      </c>
      <c r="I500" s="211">
        <f t="shared" si="56"/>
        <v>0</v>
      </c>
    </row>
    <row r="501" spans="1:9" x14ac:dyDescent="0.25">
      <c r="A501" s="124" t="s">
        <v>8357</v>
      </c>
      <c r="B501" s="125">
        <v>5500</v>
      </c>
      <c r="C501" s="125">
        <v>3059</v>
      </c>
      <c r="D501" s="125">
        <v>5500</v>
      </c>
      <c r="E501" s="125">
        <v>5500</v>
      </c>
      <c r="F501" s="123">
        <f t="shared" si="57"/>
        <v>2441</v>
      </c>
      <c r="G501" s="123">
        <f t="shared" si="58"/>
        <v>0</v>
      </c>
      <c r="I501" s="211">
        <f t="shared" si="56"/>
        <v>0</v>
      </c>
    </row>
    <row r="502" spans="1:9" x14ac:dyDescent="0.25">
      <c r="A502" s="122">
        <v>56300</v>
      </c>
      <c r="B502" s="123">
        <f>SUM(B503:B507)</f>
        <v>30760</v>
      </c>
      <c r="C502" s="123">
        <f>SUM(C503:C507)</f>
        <v>19840.289999999997</v>
      </c>
      <c r="D502" s="123">
        <f>SUM(D503:D507)</f>
        <v>36760</v>
      </c>
      <c r="E502" s="123">
        <f>SUM(E503:E507)</f>
        <v>36760</v>
      </c>
      <c r="F502" s="123">
        <f t="shared" si="57"/>
        <v>10919.710000000003</v>
      </c>
      <c r="G502" s="123">
        <f t="shared" si="58"/>
        <v>6000</v>
      </c>
      <c r="I502" s="211">
        <f t="shared" si="56"/>
        <v>0.19505851755526657</v>
      </c>
    </row>
    <row r="503" spans="1:9" x14ac:dyDescent="0.25">
      <c r="A503" s="124" t="s">
        <v>8358</v>
      </c>
      <c r="B503" s="125">
        <v>3000</v>
      </c>
      <c r="C503" s="125">
        <v>2000</v>
      </c>
      <c r="D503" s="125">
        <v>3000</v>
      </c>
      <c r="E503" s="125">
        <v>3000</v>
      </c>
      <c r="F503" s="123">
        <f t="shared" si="57"/>
        <v>1000</v>
      </c>
      <c r="G503" s="123">
        <f t="shared" si="58"/>
        <v>0</v>
      </c>
      <c r="I503" s="211">
        <f t="shared" si="56"/>
        <v>0</v>
      </c>
    </row>
    <row r="504" spans="1:9" x14ac:dyDescent="0.25">
      <c r="A504" s="124" t="s">
        <v>8359</v>
      </c>
      <c r="B504" s="125">
        <v>2660</v>
      </c>
      <c r="C504" s="125">
        <v>0</v>
      </c>
      <c r="D504" s="125">
        <v>2660</v>
      </c>
      <c r="E504" s="125">
        <v>2660</v>
      </c>
      <c r="F504" s="123">
        <f t="shared" si="57"/>
        <v>2660</v>
      </c>
      <c r="G504" s="123">
        <f t="shared" si="58"/>
        <v>0</v>
      </c>
      <c r="I504" s="211">
        <f t="shared" si="56"/>
        <v>0</v>
      </c>
    </row>
    <row r="505" spans="1:9" x14ac:dyDescent="0.25">
      <c r="A505" s="124" t="s">
        <v>8360</v>
      </c>
      <c r="B505" s="125">
        <v>500</v>
      </c>
      <c r="C505" s="125">
        <v>92.86</v>
      </c>
      <c r="D505" s="125">
        <v>500</v>
      </c>
      <c r="E505" s="125">
        <v>500</v>
      </c>
      <c r="F505" s="123">
        <f t="shared" si="57"/>
        <v>407.14</v>
      </c>
      <c r="G505" s="123">
        <f t="shared" si="58"/>
        <v>0</v>
      </c>
      <c r="I505" s="211">
        <f t="shared" si="56"/>
        <v>0</v>
      </c>
    </row>
    <row r="506" spans="1:9" x14ac:dyDescent="0.25">
      <c r="A506" s="124" t="s">
        <v>8361</v>
      </c>
      <c r="B506" s="125">
        <v>24000</v>
      </c>
      <c r="C506" s="125">
        <v>17747.429999999997</v>
      </c>
      <c r="D506" s="125">
        <v>30000</v>
      </c>
      <c r="E506" s="125">
        <v>30000</v>
      </c>
      <c r="F506" s="123">
        <f t="shared" si="57"/>
        <v>6252.5700000000033</v>
      </c>
      <c r="G506" s="123">
        <f t="shared" si="58"/>
        <v>6000</v>
      </c>
      <c r="I506" s="211">
        <f t="shared" si="56"/>
        <v>0.25</v>
      </c>
    </row>
    <row r="507" spans="1:9" x14ac:dyDescent="0.25">
      <c r="A507" s="124" t="s">
        <v>8362</v>
      </c>
      <c r="B507" s="125">
        <v>600</v>
      </c>
      <c r="C507" s="125">
        <v>0</v>
      </c>
      <c r="D507" s="125">
        <v>600</v>
      </c>
      <c r="E507" s="125">
        <v>600</v>
      </c>
      <c r="F507" s="123">
        <f t="shared" si="57"/>
        <v>600</v>
      </c>
      <c r="G507" s="123">
        <f t="shared" si="58"/>
        <v>0</v>
      </c>
      <c r="I507" s="211">
        <f t="shared" si="56"/>
        <v>0</v>
      </c>
    </row>
    <row r="508" spans="1:9" x14ac:dyDescent="0.25">
      <c r="A508" s="122">
        <v>56310</v>
      </c>
      <c r="B508" s="123">
        <f>SUM(B509:B510)</f>
        <v>21000</v>
      </c>
      <c r="C508" s="123">
        <f>SUM(C509:C510)</f>
        <v>17989.329999999998</v>
      </c>
      <c r="D508" s="123">
        <f>SUM(D509:D510)</f>
        <v>21000</v>
      </c>
      <c r="E508" s="123">
        <f>SUM(E509:E510)</f>
        <v>21000</v>
      </c>
      <c r="F508" s="123">
        <f t="shared" si="57"/>
        <v>3010.6700000000019</v>
      </c>
      <c r="G508" s="123">
        <f t="shared" si="58"/>
        <v>0</v>
      </c>
      <c r="I508" s="211">
        <f t="shared" si="56"/>
        <v>0</v>
      </c>
    </row>
    <row r="509" spans="1:9" x14ac:dyDescent="0.25">
      <c r="A509" s="124" t="s">
        <v>8363</v>
      </c>
      <c r="B509" s="125">
        <v>129</v>
      </c>
      <c r="C509" s="125">
        <v>129.47999999999999</v>
      </c>
      <c r="D509" s="125">
        <v>129</v>
      </c>
      <c r="E509" s="125">
        <v>129</v>
      </c>
      <c r="F509" s="123">
        <f t="shared" si="57"/>
        <v>-0.47999999999998977</v>
      </c>
      <c r="G509" s="123">
        <f t="shared" si="58"/>
        <v>0</v>
      </c>
      <c r="I509" s="211">
        <f t="shared" si="56"/>
        <v>0</v>
      </c>
    </row>
    <row r="510" spans="1:9" x14ac:dyDescent="0.25">
      <c r="A510" s="124" t="s">
        <v>8364</v>
      </c>
      <c r="B510" s="125">
        <v>20871</v>
      </c>
      <c r="C510" s="125">
        <v>17859.849999999999</v>
      </c>
      <c r="D510" s="125">
        <v>20871</v>
      </c>
      <c r="E510" s="125">
        <v>20871</v>
      </c>
      <c r="F510" s="123">
        <f t="shared" si="57"/>
        <v>3011.1500000000015</v>
      </c>
      <c r="G510" s="123">
        <f t="shared" si="58"/>
        <v>0</v>
      </c>
      <c r="I510" s="211">
        <f t="shared" si="56"/>
        <v>0</v>
      </c>
    </row>
    <row r="511" spans="1:9" x14ac:dyDescent="0.25">
      <c r="A511" s="122">
        <v>56340</v>
      </c>
      <c r="B511" s="123">
        <f>SUM(B512)</f>
        <v>7350</v>
      </c>
      <c r="C511" s="123">
        <f>SUM(C512)</f>
        <v>7350</v>
      </c>
      <c r="D511" s="123">
        <f>SUM(D512)</f>
        <v>7717</v>
      </c>
      <c r="E511" s="123">
        <f>SUM(E512)</f>
        <v>7717</v>
      </c>
      <c r="F511" s="123">
        <f t="shared" si="57"/>
        <v>0</v>
      </c>
      <c r="G511" s="123">
        <f t="shared" si="58"/>
        <v>367</v>
      </c>
      <c r="I511" s="211">
        <f t="shared" si="56"/>
        <v>4.9931972789115646E-2</v>
      </c>
    </row>
    <row r="512" spans="1:9" x14ac:dyDescent="0.25">
      <c r="A512" s="124" t="s">
        <v>8365</v>
      </c>
      <c r="B512" s="125">
        <v>7350</v>
      </c>
      <c r="C512" s="125">
        <v>7350</v>
      </c>
      <c r="D512" s="125">
        <v>7717</v>
      </c>
      <c r="E512" s="125">
        <v>7717</v>
      </c>
      <c r="F512" s="123">
        <f t="shared" si="57"/>
        <v>0</v>
      </c>
      <c r="G512" s="123">
        <f t="shared" si="58"/>
        <v>367</v>
      </c>
      <c r="I512" s="211">
        <f t="shared" si="56"/>
        <v>4.9931972789115646E-2</v>
      </c>
    </row>
    <row r="513" spans="1:9" x14ac:dyDescent="0.25">
      <c r="A513" s="122">
        <v>56341</v>
      </c>
      <c r="B513" s="123">
        <f>SUM(B514:B515)</f>
        <v>7870</v>
      </c>
      <c r="C513" s="123">
        <f>SUM(C514:C515)</f>
        <v>3214.98</v>
      </c>
      <c r="D513" s="123">
        <f>SUM(D514:D515)</f>
        <v>7870</v>
      </c>
      <c r="E513" s="123">
        <f>SUM(E514:E515)</f>
        <v>7870</v>
      </c>
      <c r="F513" s="123">
        <f t="shared" si="57"/>
        <v>4655.0200000000004</v>
      </c>
      <c r="G513" s="123">
        <f t="shared" si="58"/>
        <v>0</v>
      </c>
      <c r="I513" s="211">
        <f t="shared" si="56"/>
        <v>0</v>
      </c>
    </row>
    <row r="514" spans="1:9" x14ac:dyDescent="0.25">
      <c r="A514" s="124" t="s">
        <v>8366</v>
      </c>
      <c r="B514" s="125">
        <v>6720</v>
      </c>
      <c r="C514" s="125">
        <v>975</v>
      </c>
      <c r="D514" s="125">
        <v>6720</v>
      </c>
      <c r="E514" s="125">
        <v>6720</v>
      </c>
      <c r="F514" s="123">
        <f t="shared" si="57"/>
        <v>5745</v>
      </c>
      <c r="G514" s="123">
        <f t="shared" si="58"/>
        <v>0</v>
      </c>
      <c r="I514" s="211">
        <f t="shared" si="56"/>
        <v>0</v>
      </c>
    </row>
    <row r="515" spans="1:9" x14ac:dyDescent="0.25">
      <c r="A515" s="124" t="s">
        <v>8367</v>
      </c>
      <c r="B515" s="125">
        <v>1150</v>
      </c>
      <c r="C515" s="125">
        <v>2239.98</v>
      </c>
      <c r="D515" s="125">
        <v>1150</v>
      </c>
      <c r="E515" s="125">
        <v>1150</v>
      </c>
      <c r="F515" s="123">
        <f t="shared" si="57"/>
        <v>-1089.98</v>
      </c>
      <c r="G515" s="123">
        <f t="shared" si="58"/>
        <v>0</v>
      </c>
      <c r="I515" s="211">
        <f t="shared" ref="I515:I554" si="61">+G515/B515</f>
        <v>0</v>
      </c>
    </row>
    <row r="516" spans="1:9" x14ac:dyDescent="0.25">
      <c r="A516" s="122">
        <v>56400</v>
      </c>
      <c r="B516" s="123">
        <f>SUM(B517:B532)</f>
        <v>141143.20000000001</v>
      </c>
      <c r="C516" s="123">
        <f>SUM(C517:C532)</f>
        <v>19895.95</v>
      </c>
      <c r="D516" s="123">
        <f>SUM(D517:D532)</f>
        <v>36926.199999999997</v>
      </c>
      <c r="E516" s="123">
        <f>SUM(E517:E532)</f>
        <v>36926.199999999997</v>
      </c>
      <c r="F516" s="123">
        <f t="shared" ref="F516:F554" si="62">+B516-C516</f>
        <v>121247.25000000001</v>
      </c>
      <c r="G516" s="123">
        <f t="shared" ref="G516:G554" si="63">+D516-B516</f>
        <v>-104217.00000000001</v>
      </c>
      <c r="I516" s="211">
        <f t="shared" si="61"/>
        <v>-0.73837776102568176</v>
      </c>
    </row>
    <row r="517" spans="1:9" x14ac:dyDescent="0.25">
      <c r="A517" s="124" t="s">
        <v>8368</v>
      </c>
      <c r="B517" s="125">
        <v>6000</v>
      </c>
      <c r="C517" s="125">
        <v>2977.87</v>
      </c>
      <c r="D517" s="125">
        <v>6000</v>
      </c>
      <c r="E517" s="125">
        <v>6000</v>
      </c>
      <c r="F517" s="123">
        <f t="shared" si="62"/>
        <v>3022.13</v>
      </c>
      <c r="G517" s="123">
        <f t="shared" si="63"/>
        <v>0</v>
      </c>
      <c r="I517" s="211">
        <f t="shared" si="61"/>
        <v>0</v>
      </c>
    </row>
    <row r="518" spans="1:9" x14ac:dyDescent="0.25">
      <c r="A518" s="124" t="s">
        <v>8369</v>
      </c>
      <c r="B518" s="125">
        <v>2794</v>
      </c>
      <c r="C518" s="125">
        <v>0</v>
      </c>
      <c r="D518" s="125">
        <v>2794</v>
      </c>
      <c r="E518" s="125">
        <v>2794</v>
      </c>
      <c r="F518" s="123">
        <f t="shared" si="62"/>
        <v>2794</v>
      </c>
      <c r="G518" s="123">
        <f t="shared" si="63"/>
        <v>0</v>
      </c>
      <c r="I518" s="211">
        <f t="shared" si="61"/>
        <v>0</v>
      </c>
    </row>
    <row r="519" spans="1:9" x14ac:dyDescent="0.25">
      <c r="A519" s="124" t="s">
        <v>8370</v>
      </c>
      <c r="B519" s="125">
        <v>2500</v>
      </c>
      <c r="C519" s="125">
        <v>0</v>
      </c>
      <c r="D519" s="8">
        <v>2500</v>
      </c>
      <c r="E519" s="8">
        <v>2500</v>
      </c>
      <c r="F519" s="123">
        <f t="shared" si="62"/>
        <v>2500</v>
      </c>
      <c r="G519" s="123">
        <f t="shared" si="63"/>
        <v>0</v>
      </c>
      <c r="I519" s="211">
        <f t="shared" si="61"/>
        <v>0</v>
      </c>
    </row>
    <row r="520" spans="1:9" x14ac:dyDescent="0.25">
      <c r="A520" s="124" t="s">
        <v>8371</v>
      </c>
      <c r="B520" s="125">
        <v>1367</v>
      </c>
      <c r="C520" s="125">
        <v>0</v>
      </c>
      <c r="D520" s="125">
        <v>500</v>
      </c>
      <c r="E520" s="125">
        <v>500</v>
      </c>
      <c r="F520" s="123">
        <f t="shared" si="62"/>
        <v>1367</v>
      </c>
      <c r="G520" s="123">
        <f t="shared" si="63"/>
        <v>-867</v>
      </c>
      <c r="I520" s="211">
        <f t="shared" si="61"/>
        <v>-0.63423555230431605</v>
      </c>
    </row>
    <row r="521" spans="1:9" x14ac:dyDescent="0.25">
      <c r="A521" s="124" t="s">
        <v>8372</v>
      </c>
      <c r="B521" s="125">
        <v>105650</v>
      </c>
      <c r="C521" s="125">
        <v>1.1200000000000001</v>
      </c>
      <c r="F521" s="123">
        <f t="shared" si="62"/>
        <v>105648.88</v>
      </c>
      <c r="G521" s="123">
        <f t="shared" si="63"/>
        <v>-105650</v>
      </c>
      <c r="H521" t="s">
        <v>9957</v>
      </c>
      <c r="I521" s="211">
        <f t="shared" si="61"/>
        <v>-1</v>
      </c>
    </row>
    <row r="522" spans="1:9" x14ac:dyDescent="0.25">
      <c r="A522" s="124" t="s">
        <v>8373</v>
      </c>
      <c r="B522" s="125">
        <v>200</v>
      </c>
      <c r="C522" s="125">
        <v>0</v>
      </c>
      <c r="D522" s="125">
        <v>2500</v>
      </c>
      <c r="E522" s="125">
        <v>2500</v>
      </c>
      <c r="F522" s="123">
        <f t="shared" si="62"/>
        <v>200</v>
      </c>
      <c r="G522" s="123">
        <f t="shared" si="63"/>
        <v>2300</v>
      </c>
      <c r="I522" s="211">
        <f t="shared" si="61"/>
        <v>11.5</v>
      </c>
    </row>
    <row r="523" spans="1:9" x14ac:dyDescent="0.25">
      <c r="A523" s="124" t="s">
        <v>8374</v>
      </c>
      <c r="B523" s="125">
        <v>9158.2000000000007</v>
      </c>
      <c r="C523" s="125">
        <v>8917.3799999999992</v>
      </c>
      <c r="D523" s="125">
        <v>9158.2000000000007</v>
      </c>
      <c r="E523" s="125">
        <v>9158.2000000000007</v>
      </c>
      <c r="F523" s="123">
        <f t="shared" si="62"/>
        <v>240.82000000000153</v>
      </c>
      <c r="G523" s="123">
        <f t="shared" si="63"/>
        <v>0</v>
      </c>
      <c r="I523" s="211">
        <f t="shared" si="61"/>
        <v>0</v>
      </c>
    </row>
    <row r="524" spans="1:9" x14ac:dyDescent="0.25">
      <c r="A524" s="124" t="s">
        <v>8375</v>
      </c>
      <c r="B524" s="125">
        <v>0</v>
      </c>
      <c r="C524" s="125">
        <v>2359.98</v>
      </c>
      <c r="D524" s="125">
        <v>0</v>
      </c>
      <c r="E524" s="125">
        <v>0</v>
      </c>
      <c r="F524" s="123">
        <f t="shared" si="62"/>
        <v>-2359.98</v>
      </c>
      <c r="G524" s="123">
        <f t="shared" si="63"/>
        <v>0</v>
      </c>
      <c r="I524" s="211" t="e">
        <f t="shared" si="61"/>
        <v>#DIV/0!</v>
      </c>
    </row>
    <row r="525" spans="1:9" x14ac:dyDescent="0.25">
      <c r="A525" s="124" t="s">
        <v>8376</v>
      </c>
      <c r="B525" s="125">
        <v>300</v>
      </c>
      <c r="C525" s="125">
        <v>0</v>
      </c>
      <c r="D525" s="125">
        <v>300</v>
      </c>
      <c r="E525" s="125">
        <v>300</v>
      </c>
      <c r="F525" s="123">
        <f t="shared" si="62"/>
        <v>300</v>
      </c>
      <c r="G525" s="123">
        <f t="shared" si="63"/>
        <v>0</v>
      </c>
      <c r="I525" s="211">
        <f t="shared" si="61"/>
        <v>0</v>
      </c>
    </row>
    <row r="526" spans="1:9" x14ac:dyDescent="0.25">
      <c r="A526" s="124" t="s">
        <v>8377</v>
      </c>
      <c r="B526" s="125">
        <v>200</v>
      </c>
      <c r="C526" s="125">
        <v>0</v>
      </c>
      <c r="D526" s="125">
        <v>200</v>
      </c>
      <c r="E526" s="125">
        <v>200</v>
      </c>
      <c r="F526" s="123">
        <f t="shared" si="62"/>
        <v>200</v>
      </c>
      <c r="G526" s="123">
        <f t="shared" si="63"/>
        <v>0</v>
      </c>
      <c r="I526" s="211">
        <f t="shared" si="61"/>
        <v>0</v>
      </c>
    </row>
    <row r="527" spans="1:9" x14ac:dyDescent="0.25">
      <c r="A527" s="124" t="s">
        <v>8378</v>
      </c>
      <c r="B527" s="125">
        <v>600</v>
      </c>
      <c r="C527" s="125">
        <v>0</v>
      </c>
      <c r="D527" s="125">
        <v>600</v>
      </c>
      <c r="E527" s="125">
        <v>600</v>
      </c>
      <c r="F527" s="123">
        <f t="shared" si="62"/>
        <v>600</v>
      </c>
      <c r="G527" s="123">
        <f t="shared" si="63"/>
        <v>0</v>
      </c>
      <c r="I527" s="211">
        <f t="shared" si="61"/>
        <v>0</v>
      </c>
    </row>
    <row r="528" spans="1:9" x14ac:dyDescent="0.25">
      <c r="A528" s="124" t="s">
        <v>8379</v>
      </c>
      <c r="B528" s="125">
        <v>500</v>
      </c>
      <c r="C528" s="125">
        <v>0</v>
      </c>
      <c r="D528" s="125">
        <v>500</v>
      </c>
      <c r="E528" s="125">
        <v>500</v>
      </c>
      <c r="F528" s="123">
        <f t="shared" si="62"/>
        <v>500</v>
      </c>
      <c r="G528" s="123">
        <f t="shared" si="63"/>
        <v>0</v>
      </c>
      <c r="I528" s="211">
        <f t="shared" si="61"/>
        <v>0</v>
      </c>
    </row>
    <row r="529" spans="1:9" x14ac:dyDescent="0.25">
      <c r="A529" s="124" t="s">
        <v>8380</v>
      </c>
      <c r="B529" s="125">
        <v>350</v>
      </c>
      <c r="C529" s="125">
        <v>367.94</v>
      </c>
      <c r="D529" s="125">
        <v>350</v>
      </c>
      <c r="E529" s="125">
        <v>350</v>
      </c>
      <c r="F529" s="123">
        <f t="shared" si="62"/>
        <v>-17.939999999999998</v>
      </c>
      <c r="G529" s="123">
        <f t="shared" si="63"/>
        <v>0</v>
      </c>
      <c r="I529" s="211">
        <f t="shared" si="61"/>
        <v>0</v>
      </c>
    </row>
    <row r="530" spans="1:9" x14ac:dyDescent="0.25">
      <c r="A530" s="124" t="s">
        <v>8381</v>
      </c>
      <c r="B530" s="125">
        <v>2224</v>
      </c>
      <c r="C530" s="125">
        <v>2176.2600000000002</v>
      </c>
      <c r="D530" s="125">
        <v>2224</v>
      </c>
      <c r="E530" s="125">
        <v>2224</v>
      </c>
      <c r="F530" s="123">
        <f t="shared" si="62"/>
        <v>47.739999999999782</v>
      </c>
      <c r="G530" s="123">
        <f t="shared" si="63"/>
        <v>0</v>
      </c>
      <c r="I530" s="211">
        <f t="shared" si="61"/>
        <v>0</v>
      </c>
    </row>
    <row r="531" spans="1:9" x14ac:dyDescent="0.25">
      <c r="A531" s="124" t="s">
        <v>8382</v>
      </c>
      <c r="B531" s="125">
        <v>6000</v>
      </c>
      <c r="C531" s="125">
        <v>0</v>
      </c>
      <c r="D531" s="125">
        <v>6000</v>
      </c>
      <c r="E531" s="125">
        <v>6000</v>
      </c>
      <c r="F531" s="123">
        <f t="shared" si="62"/>
        <v>6000</v>
      </c>
      <c r="G531" s="123">
        <f t="shared" si="63"/>
        <v>0</v>
      </c>
      <c r="I531" s="211">
        <f t="shared" si="61"/>
        <v>0</v>
      </c>
    </row>
    <row r="532" spans="1:9" x14ac:dyDescent="0.25">
      <c r="A532" s="124" t="s">
        <v>8383</v>
      </c>
      <c r="B532" s="125">
        <v>3300</v>
      </c>
      <c r="C532" s="125">
        <v>3095.4</v>
      </c>
      <c r="D532" s="125">
        <v>3300</v>
      </c>
      <c r="E532" s="125">
        <v>3300</v>
      </c>
      <c r="F532" s="123">
        <f t="shared" si="62"/>
        <v>204.59999999999991</v>
      </c>
      <c r="G532" s="123">
        <f t="shared" si="63"/>
        <v>0</v>
      </c>
      <c r="I532" s="211">
        <f t="shared" si="61"/>
        <v>0</v>
      </c>
    </row>
    <row r="533" spans="1:9" x14ac:dyDescent="0.25">
      <c r="A533" s="122">
        <v>56402</v>
      </c>
      <c r="B533" s="123">
        <f>SUM(B534)</f>
        <v>90000</v>
      </c>
      <c r="C533" s="123">
        <f>SUM(C534)</f>
        <v>0</v>
      </c>
      <c r="D533" s="123">
        <f>SUM(D534)</f>
        <v>0</v>
      </c>
      <c r="E533" s="123">
        <f>SUM(E534)</f>
        <v>0</v>
      </c>
      <c r="F533" s="123">
        <f t="shared" si="62"/>
        <v>90000</v>
      </c>
      <c r="G533" s="123">
        <f t="shared" si="63"/>
        <v>-90000</v>
      </c>
      <c r="I533" s="211">
        <f t="shared" si="61"/>
        <v>-1</v>
      </c>
    </row>
    <row r="534" spans="1:9" x14ac:dyDescent="0.25">
      <c r="A534" s="124" t="s">
        <v>8384</v>
      </c>
      <c r="B534" s="125">
        <v>90000</v>
      </c>
      <c r="C534" s="125">
        <v>0</v>
      </c>
      <c r="F534" s="123">
        <f t="shared" si="62"/>
        <v>90000</v>
      </c>
      <c r="G534" s="123">
        <f t="shared" si="63"/>
        <v>-90000</v>
      </c>
      <c r="H534" t="s">
        <v>9957</v>
      </c>
      <c r="I534" s="211">
        <f t="shared" si="61"/>
        <v>-1</v>
      </c>
    </row>
    <row r="535" spans="1:9" x14ac:dyDescent="0.25">
      <c r="A535" s="122">
        <v>56405</v>
      </c>
      <c r="B535" s="123">
        <f>SUM(B536:B537)</f>
        <v>205810</v>
      </c>
      <c r="C535" s="123">
        <f>SUM(C536:C537)</f>
        <v>5809.92</v>
      </c>
      <c r="D535" s="123">
        <f>SUM(D536:D537)</f>
        <v>5810</v>
      </c>
      <c r="E535" s="123">
        <f>SUM(E536:E537)</f>
        <v>5810</v>
      </c>
      <c r="F535" s="123">
        <f t="shared" si="62"/>
        <v>200000.08</v>
      </c>
      <c r="G535" s="123">
        <f t="shared" si="63"/>
        <v>-200000</v>
      </c>
      <c r="I535" s="211">
        <f t="shared" si="61"/>
        <v>-0.97177007919926151</v>
      </c>
    </row>
    <row r="536" spans="1:9" x14ac:dyDescent="0.25">
      <c r="A536" s="124" t="s">
        <v>8385</v>
      </c>
      <c r="B536" s="125">
        <v>5810</v>
      </c>
      <c r="C536" s="125">
        <v>5809.92</v>
      </c>
      <c r="D536" s="125">
        <v>5810</v>
      </c>
      <c r="E536" s="125">
        <v>5810</v>
      </c>
      <c r="F536" s="123">
        <f t="shared" si="62"/>
        <v>7.999999999992724E-2</v>
      </c>
      <c r="G536" s="123">
        <f t="shared" si="63"/>
        <v>0</v>
      </c>
      <c r="I536" s="211">
        <f t="shared" si="61"/>
        <v>0</v>
      </c>
    </row>
    <row r="537" spans="1:9" x14ac:dyDescent="0.25">
      <c r="A537" s="124" t="s">
        <v>8386</v>
      </c>
      <c r="B537" s="125">
        <v>200000</v>
      </c>
      <c r="C537" s="125">
        <v>0</v>
      </c>
      <c r="F537" s="123">
        <f t="shared" si="62"/>
        <v>200000</v>
      </c>
      <c r="G537" s="123">
        <f t="shared" si="63"/>
        <v>-200000</v>
      </c>
      <c r="H537" t="s">
        <v>9957</v>
      </c>
      <c r="I537" s="211">
        <f t="shared" si="61"/>
        <v>-1</v>
      </c>
    </row>
    <row r="538" spans="1:9" x14ac:dyDescent="0.25">
      <c r="A538" s="143" t="s">
        <v>8387</v>
      </c>
      <c r="B538" s="144">
        <f>+B539+B541+B544+B546+B548</f>
        <v>-438552</v>
      </c>
      <c r="C538" s="144">
        <f>+C539+C541+C544+C546+C548</f>
        <v>-274622.57</v>
      </c>
      <c r="D538" s="144">
        <f>+D539+D541+D544+D546+D548</f>
        <v>-403868</v>
      </c>
      <c r="E538" s="144">
        <f>+E539+E541+E544+E546+E548</f>
        <v>-403868</v>
      </c>
      <c r="F538" s="123">
        <f t="shared" si="62"/>
        <v>-163929.43</v>
      </c>
      <c r="G538" s="123">
        <f t="shared" si="63"/>
        <v>34684</v>
      </c>
      <c r="I538" s="211">
        <f t="shared" si="61"/>
        <v>-7.9087542640325428E-2</v>
      </c>
    </row>
    <row r="539" spans="1:9" x14ac:dyDescent="0.25">
      <c r="A539" s="122">
        <v>57300</v>
      </c>
      <c r="B539" s="123">
        <f>SUM(B540)</f>
        <v>0</v>
      </c>
      <c r="C539" s="123">
        <f>SUM(C540)</f>
        <v>0</v>
      </c>
      <c r="D539" s="123">
        <f>SUM(D540)</f>
        <v>0</v>
      </c>
      <c r="E539" s="123">
        <f>SUM(E540)</f>
        <v>0</v>
      </c>
      <c r="F539" s="123">
        <f t="shared" si="62"/>
        <v>0</v>
      </c>
      <c r="G539" s="123">
        <f t="shared" si="63"/>
        <v>0</v>
      </c>
      <c r="I539" s="211" t="e">
        <f t="shared" si="61"/>
        <v>#DIV/0!</v>
      </c>
    </row>
    <row r="540" spans="1:9" x14ac:dyDescent="0.25">
      <c r="A540" s="124" t="s">
        <v>8388</v>
      </c>
      <c r="B540" s="125">
        <v>0</v>
      </c>
      <c r="C540" s="125">
        <v>0</v>
      </c>
      <c r="D540" s="8">
        <v>0</v>
      </c>
      <c r="E540" s="8">
        <v>0</v>
      </c>
      <c r="F540" s="123">
        <f t="shared" si="62"/>
        <v>0</v>
      </c>
      <c r="G540" s="123">
        <f t="shared" si="63"/>
        <v>0</v>
      </c>
      <c r="I540" s="211" t="e">
        <f t="shared" si="61"/>
        <v>#DIV/0!</v>
      </c>
    </row>
    <row r="541" spans="1:9" x14ac:dyDescent="0.25">
      <c r="A541" s="122">
        <v>57350</v>
      </c>
      <c r="B541" s="123">
        <f>SUM(B542:B543)</f>
        <v>-458552</v>
      </c>
      <c r="C541" s="123">
        <f>SUM(C542:C543)</f>
        <v>-282984.07</v>
      </c>
      <c r="D541" s="208">
        <f>SUM(D542:D543)</f>
        <v>-456868</v>
      </c>
      <c r="E541" s="208">
        <f>SUM(E542:E543)</f>
        <v>-456868</v>
      </c>
      <c r="F541" s="123">
        <f t="shared" si="62"/>
        <v>-175567.93</v>
      </c>
      <c r="G541" s="123">
        <f t="shared" si="63"/>
        <v>1684</v>
      </c>
      <c r="I541" s="211">
        <f t="shared" si="61"/>
        <v>-3.6724297353408117E-3</v>
      </c>
    </row>
    <row r="542" spans="1:9" x14ac:dyDescent="0.25">
      <c r="A542" s="124" t="s">
        <v>8389</v>
      </c>
      <c r="B542" s="125">
        <v>-500000</v>
      </c>
      <c r="C542" s="125">
        <v>-311367.73</v>
      </c>
      <c r="D542" s="8">
        <v>-500000</v>
      </c>
      <c r="E542" s="8">
        <v>-500000</v>
      </c>
      <c r="F542" s="123">
        <f t="shared" si="62"/>
        <v>-188632.27000000002</v>
      </c>
      <c r="G542" s="123">
        <f t="shared" si="63"/>
        <v>0</v>
      </c>
      <c r="I542" s="211">
        <f t="shared" si="61"/>
        <v>0</v>
      </c>
    </row>
    <row r="543" spans="1:9" x14ac:dyDescent="0.25">
      <c r="A543" s="124" t="s">
        <v>8390</v>
      </c>
      <c r="B543" s="125">
        <v>41448</v>
      </c>
      <c r="C543" s="125">
        <v>28383.66</v>
      </c>
      <c r="D543" s="8">
        <v>43132</v>
      </c>
      <c r="E543" s="8">
        <v>43132</v>
      </c>
      <c r="F543" s="123">
        <f t="shared" si="62"/>
        <v>13064.34</v>
      </c>
      <c r="G543" s="123">
        <f t="shared" si="63"/>
        <v>1684</v>
      </c>
      <c r="I543" s="211">
        <f t="shared" si="61"/>
        <v>4.062922215788458E-2</v>
      </c>
    </row>
    <row r="544" spans="1:9" x14ac:dyDescent="0.25">
      <c r="A544" s="122">
        <v>57351</v>
      </c>
      <c r="B544" s="123">
        <f>SUM(B545)</f>
        <v>0</v>
      </c>
      <c r="C544" s="123">
        <f>SUM(C545)</f>
        <v>-1765</v>
      </c>
      <c r="D544" s="208">
        <f>SUM(D545)</f>
        <v>-2000</v>
      </c>
      <c r="E544" s="208">
        <f>SUM(E545)</f>
        <v>-2000</v>
      </c>
      <c r="F544" s="123">
        <f t="shared" si="62"/>
        <v>1765</v>
      </c>
      <c r="G544" s="123">
        <f t="shared" si="63"/>
        <v>-2000</v>
      </c>
      <c r="I544" s="211" t="e">
        <f t="shared" si="61"/>
        <v>#DIV/0!</v>
      </c>
    </row>
    <row r="545" spans="1:9" x14ac:dyDescent="0.25">
      <c r="A545" s="124" t="s">
        <v>8391</v>
      </c>
      <c r="B545" s="125">
        <v>0</v>
      </c>
      <c r="C545" s="125">
        <v>-1765</v>
      </c>
      <c r="D545" s="8">
        <v>-2000</v>
      </c>
      <c r="E545" s="8">
        <v>-2000</v>
      </c>
      <c r="F545" s="123">
        <f t="shared" si="62"/>
        <v>1765</v>
      </c>
      <c r="G545" s="123">
        <f t="shared" si="63"/>
        <v>-2000</v>
      </c>
      <c r="H545" t="s">
        <v>9920</v>
      </c>
      <c r="I545" s="211" t="e">
        <f t="shared" si="61"/>
        <v>#DIV/0!</v>
      </c>
    </row>
    <row r="546" spans="1:9" x14ac:dyDescent="0.25">
      <c r="A546" s="122">
        <v>57510</v>
      </c>
      <c r="B546" s="123">
        <f>SUM(B547)</f>
        <v>1000</v>
      </c>
      <c r="C546" s="123">
        <f>SUM(C547)</f>
        <v>1000</v>
      </c>
      <c r="D546" s="123">
        <f>SUM(D547)</f>
        <v>10000</v>
      </c>
      <c r="E546" s="123">
        <f>SUM(E547)</f>
        <v>10000</v>
      </c>
      <c r="F546" s="123">
        <f t="shared" si="62"/>
        <v>0</v>
      </c>
      <c r="G546" s="123">
        <f t="shared" si="63"/>
        <v>9000</v>
      </c>
      <c r="I546" s="211">
        <f t="shared" si="61"/>
        <v>9</v>
      </c>
    </row>
    <row r="547" spans="1:9" x14ac:dyDescent="0.25">
      <c r="A547" s="124" t="s">
        <v>8392</v>
      </c>
      <c r="B547" s="125">
        <v>1000</v>
      </c>
      <c r="C547" s="125">
        <v>1000</v>
      </c>
      <c r="D547" s="230">
        <v>10000</v>
      </c>
      <c r="E547" s="230">
        <v>10000</v>
      </c>
      <c r="F547" s="123">
        <f t="shared" si="62"/>
        <v>0</v>
      </c>
      <c r="G547" s="123">
        <f t="shared" si="63"/>
        <v>9000</v>
      </c>
      <c r="H547" t="s">
        <v>9925</v>
      </c>
      <c r="I547" s="211">
        <f t="shared" si="61"/>
        <v>9</v>
      </c>
    </row>
    <row r="548" spans="1:9" x14ac:dyDescent="0.25">
      <c r="A548" s="122">
        <v>57552</v>
      </c>
      <c r="B548" s="123">
        <f>SUM(B549:B553)</f>
        <v>19000</v>
      </c>
      <c r="C548" s="123">
        <f>SUM(C549:C553)</f>
        <v>9126.5</v>
      </c>
      <c r="D548" s="123">
        <f>SUM(D549:D553)</f>
        <v>45000</v>
      </c>
      <c r="E548" s="123">
        <f>SUM(E549:E553)</f>
        <v>45000</v>
      </c>
      <c r="F548" s="123">
        <f t="shared" si="62"/>
        <v>9873.5</v>
      </c>
      <c r="G548" s="123">
        <f t="shared" si="63"/>
        <v>26000</v>
      </c>
      <c r="I548" s="211">
        <f t="shared" si="61"/>
        <v>1.368421052631579</v>
      </c>
    </row>
    <row r="549" spans="1:9" x14ac:dyDescent="0.25">
      <c r="A549" s="124" t="s">
        <v>8393</v>
      </c>
      <c r="D549" s="125">
        <v>5000</v>
      </c>
      <c r="E549" s="125">
        <v>5000</v>
      </c>
      <c r="F549" s="123">
        <f t="shared" si="62"/>
        <v>0</v>
      </c>
      <c r="G549" s="123">
        <f t="shared" si="63"/>
        <v>5000</v>
      </c>
      <c r="I549" s="211" t="e">
        <f>+G549/B549</f>
        <v>#DIV/0!</v>
      </c>
    </row>
    <row r="550" spans="1:9" x14ac:dyDescent="0.25">
      <c r="A550" s="124" t="s">
        <v>8394</v>
      </c>
      <c r="B550" s="125">
        <v>0</v>
      </c>
      <c r="C550" s="125">
        <v>0</v>
      </c>
      <c r="F550" s="123">
        <f t="shared" si="62"/>
        <v>0</v>
      </c>
      <c r="G550" s="123">
        <f t="shared" si="63"/>
        <v>0</v>
      </c>
      <c r="I550" s="211" t="e">
        <f t="shared" si="61"/>
        <v>#DIV/0!</v>
      </c>
    </row>
    <row r="551" spans="1:9" x14ac:dyDescent="0.25">
      <c r="A551" s="124" t="s">
        <v>8395</v>
      </c>
      <c r="D551" s="125">
        <v>2000</v>
      </c>
      <c r="E551" s="125">
        <v>2000</v>
      </c>
      <c r="F551" s="123">
        <f t="shared" si="62"/>
        <v>0</v>
      </c>
      <c r="G551" s="123">
        <f t="shared" si="63"/>
        <v>2000</v>
      </c>
      <c r="I551" s="211" t="e">
        <f t="shared" si="61"/>
        <v>#DIV/0!</v>
      </c>
    </row>
    <row r="552" spans="1:9" x14ac:dyDescent="0.25">
      <c r="A552" s="124" t="s">
        <v>8396</v>
      </c>
      <c r="B552" s="125">
        <v>0</v>
      </c>
      <c r="C552" s="125">
        <v>0</v>
      </c>
      <c r="F552" s="123">
        <f t="shared" si="62"/>
        <v>0</v>
      </c>
      <c r="G552" s="123">
        <f t="shared" si="63"/>
        <v>0</v>
      </c>
      <c r="I552" s="211" t="e">
        <f t="shared" si="61"/>
        <v>#DIV/0!</v>
      </c>
    </row>
    <row r="553" spans="1:9" x14ac:dyDescent="0.25">
      <c r="A553" s="124" t="s">
        <v>8397</v>
      </c>
      <c r="B553" s="125">
        <v>19000</v>
      </c>
      <c r="C553" s="125">
        <v>9126.5</v>
      </c>
      <c r="D553" s="125">
        <v>38000</v>
      </c>
      <c r="E553" s="125">
        <v>38000</v>
      </c>
      <c r="F553" s="123">
        <f t="shared" si="62"/>
        <v>9873.5</v>
      </c>
      <c r="G553" s="123">
        <f t="shared" si="63"/>
        <v>19000</v>
      </c>
      <c r="I553" s="211">
        <f t="shared" si="61"/>
        <v>1</v>
      </c>
    </row>
    <row r="554" spans="1:9" x14ac:dyDescent="0.25">
      <c r="A554" s="115" t="s">
        <v>7604</v>
      </c>
      <c r="B554" s="129">
        <f>+B538+B497+B97+B2</f>
        <v>8212326.7699999996</v>
      </c>
      <c r="C554" s="129">
        <f>+C538+C497+C97+C2</f>
        <v>5491721.5100000007</v>
      </c>
      <c r="D554" s="188">
        <f>+D538+D497+D97+D2</f>
        <v>7623458.9299999997</v>
      </c>
      <c r="E554" s="188">
        <f>+E538+E497+E97+E2</f>
        <v>7664354.5800000001</v>
      </c>
      <c r="F554" s="129">
        <f t="shared" si="62"/>
        <v>2720605.2599999988</v>
      </c>
      <c r="G554" s="129">
        <f t="shared" si="63"/>
        <v>-588867.83999999985</v>
      </c>
      <c r="I554" s="211">
        <f t="shared" si="61"/>
        <v>-7.1705359089114754E-2</v>
      </c>
    </row>
  </sheetData>
  <autoFilter ref="A1:N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/>
  </sheetPr>
  <dimension ref="A1:BA524"/>
  <sheetViews>
    <sheetView showOutlineSymbols="0" topLeftCell="AQ1" workbookViewId="0">
      <pane ySplit="1" topLeftCell="A495" activePane="bottomLeft" state="frozen"/>
      <selection pane="bottomLeft" activeCell="AW517" sqref="AW517"/>
    </sheetView>
  </sheetViews>
  <sheetFormatPr defaultColWidth="3.85546875" defaultRowHeight="12.75" customHeight="1" x14ac:dyDescent="0.25"/>
  <cols>
    <col min="1" max="1" width="7.85546875" style="20" hidden="1" customWidth="1"/>
    <col min="2" max="2" width="7.5703125" style="20" bestFit="1" customWidth="1"/>
    <col min="3" max="3" width="56" style="20" bestFit="1" customWidth="1"/>
    <col min="4" max="4" width="35.28515625" style="20" bestFit="1" customWidth="1"/>
    <col min="5" max="5" width="8.28515625" style="21" bestFit="1" customWidth="1"/>
    <col min="6" max="6" width="18.85546875" style="20" bestFit="1" customWidth="1"/>
    <col min="7" max="7" width="8.42578125" style="20" bestFit="1" customWidth="1"/>
    <col min="8" max="8" width="7" style="20" bestFit="1" customWidth="1"/>
    <col min="9" max="9" width="10.5703125" style="22" bestFit="1" customWidth="1"/>
    <col min="10" max="10" width="7.5703125" style="20" bestFit="1" customWidth="1"/>
    <col min="11" max="12" width="11.5703125" style="23" bestFit="1" customWidth="1"/>
    <col min="13" max="13" width="13.5703125" style="23" bestFit="1" customWidth="1"/>
    <col min="14" max="14" width="9.42578125" style="23" bestFit="1" customWidth="1"/>
    <col min="15" max="15" width="6.42578125" style="25" bestFit="1" customWidth="1"/>
    <col min="16" max="16" width="9.5703125" style="23" bestFit="1" customWidth="1"/>
    <col min="17" max="17" width="6.28515625" style="26" bestFit="1" customWidth="1"/>
    <col min="18" max="18" width="10.5703125" style="23" bestFit="1" customWidth="1"/>
    <col min="19" max="19" width="10.7109375" style="26" bestFit="1" customWidth="1"/>
    <col min="20" max="20" width="9" style="23" bestFit="1" customWidth="1"/>
    <col min="21" max="21" width="14.7109375" style="23" bestFit="1" customWidth="1"/>
    <col min="22" max="22" width="15.85546875" style="23" bestFit="1" customWidth="1"/>
    <col min="23" max="23" width="13.7109375" style="36" bestFit="1" customWidth="1"/>
    <col min="24" max="24" width="15.7109375" style="23" bestFit="1" customWidth="1"/>
    <col min="25" max="25" width="21.7109375" style="20" bestFit="1" customWidth="1"/>
    <col min="26" max="26" width="7.28515625" style="20" bestFit="1" customWidth="1"/>
    <col min="27" max="27" width="7" style="20" bestFit="1" customWidth="1"/>
    <col min="28" max="28" width="6.140625" style="20" bestFit="1" customWidth="1"/>
    <col min="29" max="29" width="7.140625" style="20" bestFit="1" customWidth="1"/>
    <col min="30" max="30" width="8.5703125" style="20" bestFit="1" customWidth="1"/>
    <col min="31" max="31" width="6.140625" style="20" bestFit="1" customWidth="1"/>
    <col min="32" max="33" width="13.28515625" style="20" bestFit="1" customWidth="1"/>
    <col min="34" max="37" width="11.5703125" style="20" bestFit="1" customWidth="1"/>
    <col min="38" max="38" width="12.85546875" style="23" bestFit="1" customWidth="1"/>
    <col min="39" max="39" width="11.140625" style="23" bestFit="1" customWidth="1"/>
    <col min="40" max="40" width="11.7109375" style="22" bestFit="1" customWidth="1"/>
    <col min="41" max="41" width="10.5703125" style="22" bestFit="1" customWidth="1"/>
    <col min="42" max="43" width="10.5703125" style="23" bestFit="1" customWidth="1"/>
    <col min="44" max="44" width="13.28515625" style="23" bestFit="1" customWidth="1"/>
    <col min="45" max="45" width="17.5703125" style="23" bestFit="1" customWidth="1"/>
    <col min="46" max="46" width="9.5703125" style="20" bestFit="1" customWidth="1"/>
    <col min="47" max="47" width="11.5703125" style="20" bestFit="1" customWidth="1"/>
    <col min="48" max="48" width="18.5703125" style="20" bestFit="1" customWidth="1"/>
    <col min="49" max="49" width="16.42578125" style="227" bestFit="1" customWidth="1"/>
    <col min="50" max="50" width="16.28515625" style="20" bestFit="1" customWidth="1"/>
    <col min="51" max="51" width="19.7109375" style="20" bestFit="1" customWidth="1"/>
    <col min="52" max="52" width="58.85546875" style="20" bestFit="1" customWidth="1"/>
    <col min="53" max="53" width="85.5703125" style="20" bestFit="1" customWidth="1"/>
    <col min="54" max="16384" width="3.85546875" style="20"/>
  </cols>
  <sheetData>
    <row r="1" spans="1:53" ht="15" x14ac:dyDescent="0.25">
      <c r="A1" s="20" t="s">
        <v>6687</v>
      </c>
      <c r="B1" s="20" t="s">
        <v>6688</v>
      </c>
      <c r="C1" s="20" t="s">
        <v>6689</v>
      </c>
      <c r="D1" s="20" t="s">
        <v>6690</v>
      </c>
      <c r="E1" s="21" t="s">
        <v>6691</v>
      </c>
      <c r="F1" s="20" t="s">
        <v>6692</v>
      </c>
      <c r="G1" s="20" t="s">
        <v>6693</v>
      </c>
      <c r="H1" s="20" t="s">
        <v>6694</v>
      </c>
      <c r="I1" s="22" t="s">
        <v>6695</v>
      </c>
      <c r="J1" s="20" t="s">
        <v>6696</v>
      </c>
      <c r="K1" s="23" t="s">
        <v>6695</v>
      </c>
      <c r="L1" s="23" t="s">
        <v>6697</v>
      </c>
      <c r="M1" s="24" t="s">
        <v>6698</v>
      </c>
      <c r="N1" s="23" t="s">
        <v>6699</v>
      </c>
      <c r="O1" s="25" t="s">
        <v>6700</v>
      </c>
      <c r="P1" s="23" t="s">
        <v>6695</v>
      </c>
      <c r="Q1" s="26" t="s">
        <v>6701</v>
      </c>
      <c r="R1" s="23" t="s">
        <v>6695</v>
      </c>
      <c r="S1" s="26" t="s">
        <v>6702</v>
      </c>
      <c r="T1" s="23" t="s">
        <v>6695</v>
      </c>
      <c r="U1" s="23" t="s">
        <v>6703</v>
      </c>
      <c r="V1" s="23" t="s">
        <v>6704</v>
      </c>
      <c r="W1" s="27" t="s">
        <v>6705</v>
      </c>
      <c r="X1" s="28" t="s">
        <v>6706</v>
      </c>
      <c r="Y1" s="20" t="s">
        <v>6707</v>
      </c>
      <c r="Z1" s="20" t="s">
        <v>6665</v>
      </c>
      <c r="AA1" s="20" t="s">
        <v>6667</v>
      </c>
      <c r="AB1" s="20" t="s">
        <v>6708</v>
      </c>
      <c r="AC1" s="20" t="s">
        <v>6709</v>
      </c>
      <c r="AD1" s="20" t="s">
        <v>6669</v>
      </c>
      <c r="AE1" s="20" t="s">
        <v>7605</v>
      </c>
      <c r="AF1" s="29">
        <v>0.16919999999999999</v>
      </c>
      <c r="AG1" s="29">
        <v>0.2291</v>
      </c>
      <c r="AH1" s="29">
        <v>6.2E-2</v>
      </c>
      <c r="AI1" s="29">
        <v>1.4500000000000001E-2</v>
      </c>
      <c r="AJ1" s="29">
        <v>1.23E-2</v>
      </c>
      <c r="AK1" s="30">
        <v>1.8908000000000001E-2</v>
      </c>
      <c r="AL1" s="23" t="s">
        <v>6710</v>
      </c>
      <c r="AM1" s="28" t="s">
        <v>6711</v>
      </c>
      <c r="AN1" s="22" t="s">
        <v>6712</v>
      </c>
      <c r="AO1" s="31" t="s">
        <v>6713</v>
      </c>
      <c r="AP1" s="23" t="s">
        <v>6714</v>
      </c>
      <c r="AQ1" s="32">
        <v>8.0299999999999996E-2</v>
      </c>
      <c r="AR1" s="28" t="s">
        <v>6715</v>
      </c>
      <c r="AS1" s="28" t="s">
        <v>6716</v>
      </c>
      <c r="AT1" s="20" t="s">
        <v>6717</v>
      </c>
      <c r="AU1" s="33" t="s">
        <v>6718</v>
      </c>
      <c r="AV1" s="33" t="s">
        <v>6719</v>
      </c>
      <c r="AW1" s="224" t="s">
        <v>6720</v>
      </c>
      <c r="AX1" s="20" t="s">
        <v>6721</v>
      </c>
      <c r="AY1" s="20" t="s">
        <v>6722</v>
      </c>
      <c r="AZ1" s="20" t="s">
        <v>6723</v>
      </c>
      <c r="BA1" s="20" t="s">
        <v>6724</v>
      </c>
    </row>
    <row r="2" spans="1:53" ht="12.75" hidden="1" customHeight="1" x14ac:dyDescent="0.25">
      <c r="A2" s="20">
        <v>2</v>
      </c>
      <c r="B2" s="20" t="s">
        <v>6725</v>
      </c>
      <c r="C2" s="20" t="s">
        <v>6726</v>
      </c>
      <c r="D2" s="20" t="s">
        <v>6727</v>
      </c>
      <c r="E2" s="21">
        <v>1</v>
      </c>
      <c r="F2" s="34">
        <v>44531</v>
      </c>
      <c r="G2" s="35" t="s">
        <v>6728</v>
      </c>
      <c r="H2" s="20" t="s">
        <v>6729</v>
      </c>
      <c r="I2" s="22">
        <f>5853*5</f>
        <v>29265</v>
      </c>
      <c r="J2" s="20" t="s">
        <v>6730</v>
      </c>
      <c r="K2" s="23">
        <f>6146*7</f>
        <v>43022</v>
      </c>
      <c r="L2" s="23">
        <f t="shared" ref="L2:L65" si="0">I2+K2</f>
        <v>72287</v>
      </c>
      <c r="U2" s="23">
        <v>600</v>
      </c>
      <c r="V2" s="23">
        <f t="shared" ref="V2:V65" si="1">L2+N2+P2+R2+T2+U2</f>
        <v>72887</v>
      </c>
      <c r="W2" s="36">
        <v>1</v>
      </c>
      <c r="X2" s="23">
        <f t="shared" ref="X2:X65" si="2">V2*W2</f>
        <v>72887</v>
      </c>
      <c r="Y2" s="20" t="s">
        <v>4946</v>
      </c>
      <c r="Z2" s="35" t="s">
        <v>6731</v>
      </c>
      <c r="AA2" s="35" t="s">
        <v>6732</v>
      </c>
      <c r="AB2" s="35" t="s">
        <v>6733</v>
      </c>
      <c r="AC2" s="35" t="s">
        <v>6734</v>
      </c>
      <c r="AD2" s="35" t="s">
        <v>6735</v>
      </c>
      <c r="AE2" s="37" t="str">
        <f>LEFT(AD2,2)</f>
        <v>52</v>
      </c>
      <c r="AG2" s="37">
        <f t="shared" ref="AG2:AG33" si="3">X2*$AG$1</f>
        <v>16698.411700000001</v>
      </c>
      <c r="AH2" s="37">
        <f t="shared" ref="AH2:AH65" si="4">X2*$AH$1</f>
        <v>4518.9939999999997</v>
      </c>
      <c r="AI2" s="37">
        <f t="shared" ref="AI2:AI65" si="5">X2*$AI$1</f>
        <v>1056.8615</v>
      </c>
      <c r="AJ2" s="37">
        <f t="shared" ref="AJ2:AJ65" si="6">X2*$AJ$1</f>
        <v>896.51009999999997</v>
      </c>
      <c r="AK2" s="37">
        <f t="shared" ref="AK2:AK65" si="7">X2*$AK$1</f>
        <v>1378.1473960000001</v>
      </c>
      <c r="AL2" s="23">
        <v>140.04</v>
      </c>
      <c r="AM2" s="23">
        <f>AL2*W2</f>
        <v>140.04</v>
      </c>
      <c r="AN2" s="22">
        <v>79.2</v>
      </c>
      <c r="AO2" s="22">
        <f t="shared" ref="AO2:AO65" si="8">AN2*W2</f>
        <v>79.2</v>
      </c>
      <c r="AP2" s="23">
        <v>13152</v>
      </c>
      <c r="AQ2" s="23">
        <f t="shared" ref="AQ2:AQ65" si="9">AP2/2+(((AP2/2)*$AQ$1)+AP2/2)</f>
        <v>13680.052799999999</v>
      </c>
      <c r="AR2" s="23">
        <f>AQ2*W2</f>
        <v>13680.052799999999</v>
      </c>
      <c r="AS2" s="23">
        <f>+AM2+AO2+AR2</f>
        <v>13899.292799999999</v>
      </c>
      <c r="AU2" s="20">
        <f>AT2*W2</f>
        <v>0</v>
      </c>
      <c r="AV2" s="37">
        <f t="shared" ref="AV2:AV65" si="10">+AF2+AG2+AH2+AI2+AJ2+AK2+AM2+AO2+AR2+AU2</f>
        <v>38448.217495999997</v>
      </c>
      <c r="AW2" s="37">
        <f>+X2+AV2</f>
        <v>111335.217496</v>
      </c>
      <c r="AX2" s="20" t="s">
        <v>6675</v>
      </c>
      <c r="AY2" s="20" t="s">
        <v>6736</v>
      </c>
      <c r="AZ2" s="20" t="s">
        <v>6737</v>
      </c>
      <c r="BA2" s="20" t="str">
        <f t="shared" ref="BA2:BA65" si="11">CONCATENATE(W2," - ",D2," - ",C2)</f>
        <v>1 - ASUPSP - Aguilar, Carlos</v>
      </c>
    </row>
    <row r="3" spans="1:53" ht="12.75" hidden="1" customHeight="1" x14ac:dyDescent="0.25">
      <c r="A3" s="20">
        <v>3</v>
      </c>
      <c r="B3" s="20" t="s">
        <v>6725</v>
      </c>
      <c r="C3" s="20" t="s">
        <v>6738</v>
      </c>
      <c r="D3" s="20" t="s">
        <v>6739</v>
      </c>
      <c r="E3" s="21">
        <v>1</v>
      </c>
      <c r="F3" s="34"/>
      <c r="G3" s="35" t="s">
        <v>6740</v>
      </c>
      <c r="H3" s="20" t="s">
        <v>6741</v>
      </c>
      <c r="K3" s="23">
        <v>71910</v>
      </c>
      <c r="L3" s="23">
        <f t="shared" si="0"/>
        <v>71910</v>
      </c>
      <c r="V3" s="23">
        <f t="shared" si="1"/>
        <v>71910</v>
      </c>
      <c r="W3" s="36">
        <v>0</v>
      </c>
      <c r="X3" s="23">
        <f t="shared" si="2"/>
        <v>0</v>
      </c>
      <c r="Y3" s="20" t="s">
        <v>4421</v>
      </c>
      <c r="Z3" s="35" t="s">
        <v>6731</v>
      </c>
      <c r="AA3" s="35" t="s">
        <v>6742</v>
      </c>
      <c r="AB3" s="35" t="s">
        <v>6733</v>
      </c>
      <c r="AC3" s="35" t="s">
        <v>6743</v>
      </c>
      <c r="AD3" s="35" t="s">
        <v>6744</v>
      </c>
      <c r="AE3" s="37" t="str">
        <f t="shared" ref="AE3:AE66" si="12">LEFT(AD3,2)</f>
        <v>52</v>
      </c>
      <c r="AG3" s="37">
        <f t="shared" si="3"/>
        <v>0</v>
      </c>
      <c r="AH3" s="37">
        <f t="shared" si="4"/>
        <v>0</v>
      </c>
      <c r="AI3" s="37">
        <f t="shared" si="5"/>
        <v>0</v>
      </c>
      <c r="AJ3" s="37">
        <f t="shared" si="6"/>
        <v>0</v>
      </c>
      <c r="AK3" s="37">
        <f t="shared" si="7"/>
        <v>0</v>
      </c>
      <c r="AL3" s="23">
        <v>140.04</v>
      </c>
      <c r="AM3" s="23">
        <f t="shared" ref="AM3:AM66" si="13">AL3*W3</f>
        <v>0</v>
      </c>
      <c r="AN3" s="22">
        <v>79.2</v>
      </c>
      <c r="AO3" s="22">
        <f t="shared" si="8"/>
        <v>0</v>
      </c>
      <c r="AP3" s="23">
        <v>17424</v>
      </c>
      <c r="AQ3" s="23">
        <f t="shared" si="9"/>
        <v>18123.5736</v>
      </c>
      <c r="AR3" s="23">
        <f t="shared" ref="AR3:AR66" si="14">AQ3*W3</f>
        <v>0</v>
      </c>
      <c r="AS3" s="23">
        <f t="shared" ref="AS3:AS66" si="15">+AM3+AO3+AR3</f>
        <v>0</v>
      </c>
      <c r="AT3" s="37">
        <v>2400</v>
      </c>
      <c r="AU3" s="20">
        <f t="shared" ref="AU3:AU66" si="16">AT3*W3</f>
        <v>0</v>
      </c>
      <c r="AV3" s="37">
        <f t="shared" si="10"/>
        <v>0</v>
      </c>
      <c r="AW3" s="37">
        <f t="shared" ref="AW3:AW66" si="17">+X3+AV3</f>
        <v>0</v>
      </c>
      <c r="AX3" s="20" t="s">
        <v>6675</v>
      </c>
      <c r="AY3" s="20" t="s">
        <v>6745</v>
      </c>
      <c r="AZ3" s="20" t="s">
        <v>6746</v>
      </c>
      <c r="BA3" s="20" t="str">
        <f t="shared" si="11"/>
        <v>0 - PRGASST_II - Anderson, Celia</v>
      </c>
    </row>
    <row r="4" spans="1:53" ht="12.75" hidden="1" customHeight="1" x14ac:dyDescent="0.25">
      <c r="A4" s="20">
        <v>4</v>
      </c>
      <c r="B4" s="20" t="s">
        <v>6725</v>
      </c>
      <c r="C4" s="20" t="s">
        <v>6738</v>
      </c>
      <c r="D4" s="20" t="s">
        <v>6739</v>
      </c>
      <c r="E4" s="21">
        <v>1</v>
      </c>
      <c r="F4" s="34"/>
      <c r="G4" s="35" t="s">
        <v>6740</v>
      </c>
      <c r="H4" s="20" t="s">
        <v>6741</v>
      </c>
      <c r="K4" s="23">
        <v>71910</v>
      </c>
      <c r="L4" s="23">
        <f t="shared" si="0"/>
        <v>71910</v>
      </c>
      <c r="V4" s="23">
        <f t="shared" si="1"/>
        <v>71910</v>
      </c>
      <c r="W4" s="36">
        <v>0.5</v>
      </c>
      <c r="X4" s="23">
        <f t="shared" si="2"/>
        <v>35955</v>
      </c>
      <c r="Y4" s="20" t="s">
        <v>4523</v>
      </c>
      <c r="Z4" s="35" t="s">
        <v>6731</v>
      </c>
      <c r="AA4" s="35" t="s">
        <v>6742</v>
      </c>
      <c r="AB4" s="35" t="s">
        <v>6733</v>
      </c>
      <c r="AC4" s="35" t="s">
        <v>6747</v>
      </c>
      <c r="AD4" s="35" t="s">
        <v>6744</v>
      </c>
      <c r="AE4" s="37" t="str">
        <f t="shared" si="12"/>
        <v>52</v>
      </c>
      <c r="AG4" s="37">
        <f t="shared" si="3"/>
        <v>8237.2904999999992</v>
      </c>
      <c r="AH4" s="37">
        <f t="shared" si="4"/>
        <v>2229.21</v>
      </c>
      <c r="AI4" s="37">
        <f t="shared" si="5"/>
        <v>521.34750000000008</v>
      </c>
      <c r="AJ4" s="37">
        <f t="shared" si="6"/>
        <v>442.24650000000003</v>
      </c>
      <c r="AK4" s="37">
        <f t="shared" si="7"/>
        <v>679.83714000000009</v>
      </c>
      <c r="AL4" s="23">
        <v>140.04</v>
      </c>
      <c r="AM4" s="23">
        <f t="shared" si="13"/>
        <v>70.02</v>
      </c>
      <c r="AN4" s="22">
        <v>79.2</v>
      </c>
      <c r="AO4" s="22">
        <f t="shared" si="8"/>
        <v>39.6</v>
      </c>
      <c r="AP4" s="23">
        <v>17424</v>
      </c>
      <c r="AQ4" s="23">
        <f t="shared" si="9"/>
        <v>18123.5736</v>
      </c>
      <c r="AR4" s="23">
        <f t="shared" si="14"/>
        <v>9061.7867999999999</v>
      </c>
      <c r="AS4" s="23">
        <f t="shared" si="15"/>
        <v>9171.4068000000007</v>
      </c>
      <c r="AT4" s="37">
        <v>2400</v>
      </c>
      <c r="AU4" s="20">
        <f t="shared" si="16"/>
        <v>1200</v>
      </c>
      <c r="AV4" s="37">
        <f t="shared" si="10"/>
        <v>22481.33844</v>
      </c>
      <c r="AW4" s="37">
        <f t="shared" si="17"/>
        <v>58436.33844</v>
      </c>
      <c r="AX4" s="20" t="s">
        <v>6675</v>
      </c>
      <c r="AY4" s="20" t="s">
        <v>6745</v>
      </c>
      <c r="AZ4" s="20" t="s">
        <v>6748</v>
      </c>
      <c r="BA4" s="20" t="str">
        <f t="shared" si="11"/>
        <v>0.5 - PRGASST_II - Anderson, Celia</v>
      </c>
    </row>
    <row r="5" spans="1:53" ht="12.75" hidden="1" customHeight="1" x14ac:dyDescent="0.25">
      <c r="A5" s="20">
        <v>5</v>
      </c>
      <c r="B5" s="20" t="s">
        <v>6725</v>
      </c>
      <c r="C5" s="20" t="s">
        <v>6738</v>
      </c>
      <c r="D5" s="20" t="s">
        <v>6739</v>
      </c>
      <c r="E5" s="21">
        <v>1</v>
      </c>
      <c r="F5" s="34"/>
      <c r="G5" s="35" t="s">
        <v>6740</v>
      </c>
      <c r="H5" s="20" t="s">
        <v>6741</v>
      </c>
      <c r="K5" s="23">
        <v>71910</v>
      </c>
      <c r="L5" s="23">
        <f t="shared" si="0"/>
        <v>71910</v>
      </c>
      <c r="V5" s="23">
        <f t="shared" si="1"/>
        <v>71910</v>
      </c>
      <c r="W5" s="36">
        <v>0.5</v>
      </c>
      <c r="X5" s="23">
        <f t="shared" si="2"/>
        <v>35955</v>
      </c>
      <c r="Y5" s="20" t="s">
        <v>4674</v>
      </c>
      <c r="Z5" s="35" t="s">
        <v>6731</v>
      </c>
      <c r="AA5" s="35" t="s">
        <v>6742</v>
      </c>
      <c r="AB5" s="35" t="s">
        <v>6733</v>
      </c>
      <c r="AC5" s="35" t="s">
        <v>6749</v>
      </c>
      <c r="AD5" s="35" t="s">
        <v>6744</v>
      </c>
      <c r="AE5" s="37" t="str">
        <f t="shared" si="12"/>
        <v>52</v>
      </c>
      <c r="AG5" s="37">
        <f t="shared" si="3"/>
        <v>8237.2904999999992</v>
      </c>
      <c r="AH5" s="37">
        <f t="shared" si="4"/>
        <v>2229.21</v>
      </c>
      <c r="AI5" s="37">
        <f t="shared" si="5"/>
        <v>521.34750000000008</v>
      </c>
      <c r="AJ5" s="37">
        <f t="shared" si="6"/>
        <v>442.24650000000003</v>
      </c>
      <c r="AK5" s="37">
        <f t="shared" si="7"/>
        <v>679.83714000000009</v>
      </c>
      <c r="AL5" s="23">
        <v>140.04</v>
      </c>
      <c r="AM5" s="23">
        <f t="shared" si="13"/>
        <v>70.02</v>
      </c>
      <c r="AN5" s="22">
        <v>79.2</v>
      </c>
      <c r="AO5" s="22">
        <f t="shared" si="8"/>
        <v>39.6</v>
      </c>
      <c r="AP5" s="23">
        <v>17424</v>
      </c>
      <c r="AQ5" s="23">
        <f t="shared" si="9"/>
        <v>18123.5736</v>
      </c>
      <c r="AR5" s="23">
        <f t="shared" si="14"/>
        <v>9061.7867999999999</v>
      </c>
      <c r="AS5" s="23">
        <f t="shared" si="15"/>
        <v>9171.4068000000007</v>
      </c>
      <c r="AT5" s="37">
        <v>2400</v>
      </c>
      <c r="AU5" s="20">
        <f t="shared" si="16"/>
        <v>1200</v>
      </c>
      <c r="AV5" s="37">
        <f t="shared" si="10"/>
        <v>22481.33844</v>
      </c>
      <c r="AW5" s="37">
        <f t="shared" si="17"/>
        <v>58436.33844</v>
      </c>
      <c r="AX5" s="20" t="s">
        <v>6675</v>
      </c>
      <c r="AY5" s="20" t="s">
        <v>6745</v>
      </c>
      <c r="AZ5" s="20" t="s">
        <v>6750</v>
      </c>
      <c r="BA5" s="20" t="str">
        <f t="shared" si="11"/>
        <v>0.5 - PRGASST_II - Anderson, Celia</v>
      </c>
    </row>
    <row r="6" spans="1:53" ht="12.75" hidden="1" customHeight="1" x14ac:dyDescent="0.25">
      <c r="A6" s="20">
        <v>6</v>
      </c>
      <c r="B6" s="20" t="s">
        <v>6725</v>
      </c>
      <c r="C6" s="20" t="s">
        <v>6751</v>
      </c>
      <c r="D6" s="20" t="s">
        <v>6739</v>
      </c>
      <c r="E6" s="21">
        <v>1</v>
      </c>
      <c r="F6" s="34">
        <v>44593</v>
      </c>
      <c r="G6" s="35" t="s">
        <v>6740</v>
      </c>
      <c r="H6" s="20" t="s">
        <v>6730</v>
      </c>
      <c r="I6" s="22">
        <f>5707*7</f>
        <v>39949</v>
      </c>
      <c r="J6" s="20" t="s">
        <v>6741</v>
      </c>
      <c r="K6" s="23">
        <f>5993*5</f>
        <v>29965</v>
      </c>
      <c r="L6" s="23">
        <f t="shared" si="0"/>
        <v>69914</v>
      </c>
      <c r="Q6" s="26">
        <v>2.5000000000000001E-2</v>
      </c>
      <c r="R6" s="23">
        <f>L6*Q6</f>
        <v>1747.8500000000001</v>
      </c>
      <c r="T6" s="23">
        <f>M6*S6/12*9</f>
        <v>0</v>
      </c>
      <c r="U6" s="23">
        <v>1800</v>
      </c>
      <c r="V6" s="23">
        <f t="shared" si="1"/>
        <v>73461.850000000006</v>
      </c>
      <c r="W6" s="36">
        <v>1</v>
      </c>
      <c r="X6" s="23">
        <f t="shared" si="2"/>
        <v>73461.850000000006</v>
      </c>
      <c r="Y6" s="20" t="s">
        <v>5404</v>
      </c>
      <c r="Z6" s="35" t="s">
        <v>6731</v>
      </c>
      <c r="AA6" s="35" t="s">
        <v>6752</v>
      </c>
      <c r="AB6" s="35" t="s">
        <v>6733</v>
      </c>
      <c r="AC6" s="35" t="s">
        <v>6753</v>
      </c>
      <c r="AD6" s="35" t="s">
        <v>6744</v>
      </c>
      <c r="AE6" s="37" t="str">
        <f t="shared" si="12"/>
        <v>52</v>
      </c>
      <c r="AG6" s="37">
        <f t="shared" si="3"/>
        <v>16830.109835000003</v>
      </c>
      <c r="AH6" s="37">
        <f t="shared" si="4"/>
        <v>4554.6347000000005</v>
      </c>
      <c r="AI6" s="37">
        <f t="shared" si="5"/>
        <v>1065.1968250000002</v>
      </c>
      <c r="AJ6" s="37">
        <f t="shared" si="6"/>
        <v>903.58075500000007</v>
      </c>
      <c r="AK6" s="37">
        <f t="shared" si="7"/>
        <v>1389.0166598000003</v>
      </c>
      <c r="AL6" s="23">
        <v>140.04</v>
      </c>
      <c r="AM6" s="23">
        <f t="shared" si="13"/>
        <v>140.04</v>
      </c>
      <c r="AN6" s="22">
        <v>79.2</v>
      </c>
      <c r="AO6" s="22">
        <f t="shared" si="8"/>
        <v>79.2</v>
      </c>
      <c r="AP6" s="23">
        <v>33444</v>
      </c>
      <c r="AQ6" s="23">
        <f t="shared" si="9"/>
        <v>34786.776599999997</v>
      </c>
      <c r="AR6" s="23">
        <f t="shared" si="14"/>
        <v>34786.776599999997</v>
      </c>
      <c r="AS6" s="23">
        <f t="shared" si="15"/>
        <v>35006.016599999995</v>
      </c>
      <c r="AU6" s="20">
        <f t="shared" si="16"/>
        <v>0</v>
      </c>
      <c r="AV6" s="37">
        <f t="shared" si="10"/>
        <v>59748.555374800002</v>
      </c>
      <c r="AW6" s="37">
        <f t="shared" si="17"/>
        <v>133210.4053748</v>
      </c>
      <c r="AX6" s="20" t="s">
        <v>6754</v>
      </c>
      <c r="AY6" s="20" t="s">
        <v>6680</v>
      </c>
      <c r="AZ6" s="20" t="s">
        <v>6755</v>
      </c>
      <c r="BA6" s="20" t="str">
        <f t="shared" si="11"/>
        <v>1 - PRGASST_II - Arreguin De Salinas, Rosa Isuara</v>
      </c>
    </row>
    <row r="7" spans="1:53" s="39" customFormat="1" ht="12.75" customHeight="1" x14ac:dyDescent="0.25">
      <c r="A7" s="39">
        <v>7</v>
      </c>
      <c r="B7" s="39" t="s">
        <v>6725</v>
      </c>
      <c r="C7" s="39" t="s">
        <v>7616</v>
      </c>
      <c r="D7" s="39" t="s">
        <v>6756</v>
      </c>
      <c r="E7" s="41">
        <v>1</v>
      </c>
      <c r="F7" s="42">
        <v>44621</v>
      </c>
      <c r="G7" s="43" t="s">
        <v>6757</v>
      </c>
      <c r="H7" s="39" t="s">
        <v>6730</v>
      </c>
      <c r="I7" s="44">
        <f>5044*8</f>
        <v>40352</v>
      </c>
      <c r="J7" s="39" t="s">
        <v>6741</v>
      </c>
      <c r="K7" s="45">
        <f>5296*4</f>
        <v>21184</v>
      </c>
      <c r="L7" s="45">
        <f t="shared" si="0"/>
        <v>61536</v>
      </c>
      <c r="M7" s="45"/>
      <c r="N7" s="45"/>
      <c r="O7" s="46"/>
      <c r="P7" s="45"/>
      <c r="Q7" s="47"/>
      <c r="R7" s="45"/>
      <c r="S7" s="47"/>
      <c r="T7" s="45"/>
      <c r="U7" s="45">
        <v>600</v>
      </c>
      <c r="V7" s="45">
        <f t="shared" si="1"/>
        <v>62136</v>
      </c>
      <c r="W7" s="48">
        <v>0.5</v>
      </c>
      <c r="X7" s="45">
        <f t="shared" si="2"/>
        <v>31068</v>
      </c>
      <c r="Y7" s="39" t="s">
        <v>3056</v>
      </c>
      <c r="Z7" s="43" t="s">
        <v>6758</v>
      </c>
      <c r="AA7" s="43" t="s">
        <v>6759</v>
      </c>
      <c r="AB7" s="43" t="s">
        <v>6733</v>
      </c>
      <c r="AC7" s="43" t="s">
        <v>6760</v>
      </c>
      <c r="AD7" s="43" t="s">
        <v>6744</v>
      </c>
      <c r="AE7" s="49" t="str">
        <f t="shared" si="12"/>
        <v>52</v>
      </c>
      <c r="AG7" s="49">
        <f t="shared" si="3"/>
        <v>7117.6787999999997</v>
      </c>
      <c r="AH7" s="49">
        <f t="shared" si="4"/>
        <v>1926.2159999999999</v>
      </c>
      <c r="AI7" s="49">
        <f t="shared" si="5"/>
        <v>450.48600000000005</v>
      </c>
      <c r="AJ7" s="49">
        <f t="shared" si="6"/>
        <v>382.13639999999998</v>
      </c>
      <c r="AK7" s="49">
        <f t="shared" si="7"/>
        <v>587.43374400000005</v>
      </c>
      <c r="AL7" s="45">
        <v>140.04</v>
      </c>
      <c r="AM7" s="45">
        <f t="shared" si="13"/>
        <v>70.02</v>
      </c>
      <c r="AN7" s="44">
        <v>79.2</v>
      </c>
      <c r="AO7" s="44">
        <f t="shared" si="8"/>
        <v>39.6</v>
      </c>
      <c r="AP7" s="45">
        <v>13152</v>
      </c>
      <c r="AQ7" s="45">
        <f t="shared" si="9"/>
        <v>13680.052799999999</v>
      </c>
      <c r="AR7" s="45">
        <f t="shared" si="14"/>
        <v>6840.0263999999997</v>
      </c>
      <c r="AS7" s="45">
        <f t="shared" si="15"/>
        <v>6949.6463999999996</v>
      </c>
      <c r="AU7" s="39">
        <f t="shared" si="16"/>
        <v>0</v>
      </c>
      <c r="AV7" s="49">
        <f t="shared" si="10"/>
        <v>17413.597344000002</v>
      </c>
      <c r="AW7" s="49">
        <f t="shared" si="17"/>
        <v>48481.597344000002</v>
      </c>
      <c r="BA7" s="39" t="str">
        <f t="shared" si="11"/>
        <v>0.5 - ESERV_SPEC - To be hired - VACANT (Barron, Fatima)</v>
      </c>
    </row>
    <row r="8" spans="1:53" s="39" customFormat="1" ht="12.75" customHeight="1" x14ac:dyDescent="0.25">
      <c r="A8" s="39">
        <v>8</v>
      </c>
      <c r="B8" s="39" t="s">
        <v>6725</v>
      </c>
      <c r="C8" s="39" t="s">
        <v>7616</v>
      </c>
      <c r="D8" s="39" t="s">
        <v>6756</v>
      </c>
      <c r="E8" s="41">
        <v>1</v>
      </c>
      <c r="F8" s="42">
        <v>44621</v>
      </c>
      <c r="G8" s="43" t="s">
        <v>6757</v>
      </c>
      <c r="H8" s="39" t="s">
        <v>6730</v>
      </c>
      <c r="I8" s="44">
        <f>5044*8</f>
        <v>40352</v>
      </c>
      <c r="J8" s="39" t="s">
        <v>6741</v>
      </c>
      <c r="K8" s="45">
        <f>5296*4</f>
        <v>21184</v>
      </c>
      <c r="L8" s="45">
        <f t="shared" si="0"/>
        <v>61536</v>
      </c>
      <c r="M8" s="45"/>
      <c r="N8" s="45"/>
      <c r="O8" s="46"/>
      <c r="P8" s="45"/>
      <c r="Q8" s="47"/>
      <c r="R8" s="45"/>
      <c r="S8" s="47"/>
      <c r="T8" s="45"/>
      <c r="U8" s="45">
        <v>600</v>
      </c>
      <c r="V8" s="45">
        <f t="shared" si="1"/>
        <v>62136</v>
      </c>
      <c r="W8" s="48">
        <v>0.5</v>
      </c>
      <c r="X8" s="45">
        <f t="shared" si="2"/>
        <v>31068</v>
      </c>
      <c r="Y8" s="39" t="s">
        <v>3090</v>
      </c>
      <c r="Z8" s="43" t="s">
        <v>6758</v>
      </c>
      <c r="AA8" s="43" t="s">
        <v>6761</v>
      </c>
      <c r="AB8" s="43" t="s">
        <v>6733</v>
      </c>
      <c r="AC8" s="43" t="s">
        <v>6762</v>
      </c>
      <c r="AD8" s="43" t="s">
        <v>6744</v>
      </c>
      <c r="AE8" s="49" t="str">
        <f t="shared" si="12"/>
        <v>52</v>
      </c>
      <c r="AG8" s="49">
        <f t="shared" si="3"/>
        <v>7117.6787999999997</v>
      </c>
      <c r="AH8" s="49">
        <f t="shared" si="4"/>
        <v>1926.2159999999999</v>
      </c>
      <c r="AI8" s="49">
        <f t="shared" si="5"/>
        <v>450.48600000000005</v>
      </c>
      <c r="AJ8" s="49">
        <f t="shared" si="6"/>
        <v>382.13639999999998</v>
      </c>
      <c r="AK8" s="49">
        <f t="shared" si="7"/>
        <v>587.43374400000005</v>
      </c>
      <c r="AL8" s="45">
        <v>140.04</v>
      </c>
      <c r="AM8" s="45">
        <f t="shared" si="13"/>
        <v>70.02</v>
      </c>
      <c r="AN8" s="44">
        <v>79.2</v>
      </c>
      <c r="AO8" s="44">
        <f t="shared" si="8"/>
        <v>39.6</v>
      </c>
      <c r="AP8" s="45">
        <v>13152</v>
      </c>
      <c r="AQ8" s="45">
        <f t="shared" si="9"/>
        <v>13680.052799999999</v>
      </c>
      <c r="AR8" s="45">
        <f t="shared" si="14"/>
        <v>6840.0263999999997</v>
      </c>
      <c r="AS8" s="45">
        <f t="shared" si="15"/>
        <v>6949.6463999999996</v>
      </c>
      <c r="AU8" s="39">
        <f t="shared" si="16"/>
        <v>0</v>
      </c>
      <c r="AV8" s="49">
        <f t="shared" si="10"/>
        <v>17413.597344000002</v>
      </c>
      <c r="AW8" s="49">
        <f t="shared" si="17"/>
        <v>48481.597344000002</v>
      </c>
      <c r="BA8" s="39" t="str">
        <f t="shared" si="11"/>
        <v>0.5 - ESERV_SPEC - To be hired - VACANT (Barron, Fatima)</v>
      </c>
    </row>
    <row r="9" spans="1:53" ht="12.75" hidden="1" customHeight="1" x14ac:dyDescent="0.25">
      <c r="A9" s="20">
        <v>9</v>
      </c>
      <c r="B9" s="20" t="s">
        <v>6725</v>
      </c>
      <c r="C9" s="20" t="s">
        <v>6763</v>
      </c>
      <c r="D9" s="20" t="s">
        <v>6764</v>
      </c>
      <c r="E9" s="21">
        <v>0.625</v>
      </c>
      <c r="F9" s="34">
        <v>44440</v>
      </c>
      <c r="G9" s="35" t="s">
        <v>6765</v>
      </c>
      <c r="H9" s="20" t="s">
        <v>6730</v>
      </c>
      <c r="I9" s="22">
        <f>3845*2*E9</f>
        <v>4806.25</v>
      </c>
      <c r="J9" s="20" t="s">
        <v>6741</v>
      </c>
      <c r="K9" s="23">
        <f>4037*10*E9</f>
        <v>25231.25</v>
      </c>
      <c r="L9" s="23">
        <f t="shared" si="0"/>
        <v>30037.5</v>
      </c>
      <c r="V9" s="23">
        <f t="shared" si="1"/>
        <v>30037.5</v>
      </c>
      <c r="W9" s="36">
        <v>1</v>
      </c>
      <c r="X9" s="23">
        <f t="shared" si="2"/>
        <v>30037.5</v>
      </c>
      <c r="Y9" s="20" t="s">
        <v>5404</v>
      </c>
      <c r="Z9" s="35" t="s">
        <v>6731</v>
      </c>
      <c r="AA9" s="35" t="s">
        <v>6752</v>
      </c>
      <c r="AB9" s="35" t="s">
        <v>6733</v>
      </c>
      <c r="AC9" s="35" t="s">
        <v>6753</v>
      </c>
      <c r="AD9" s="35" t="s">
        <v>6744</v>
      </c>
      <c r="AE9" s="37" t="str">
        <f t="shared" si="12"/>
        <v>52</v>
      </c>
      <c r="AG9" s="37">
        <f t="shared" si="3"/>
        <v>6881.5912499999995</v>
      </c>
      <c r="AH9" s="37">
        <f t="shared" si="4"/>
        <v>1862.325</v>
      </c>
      <c r="AI9" s="37">
        <f t="shared" si="5"/>
        <v>435.54375000000005</v>
      </c>
      <c r="AJ9" s="37">
        <f t="shared" si="6"/>
        <v>369.46125000000001</v>
      </c>
      <c r="AK9" s="37">
        <f t="shared" si="7"/>
        <v>567.94905000000006</v>
      </c>
      <c r="AL9" s="23">
        <v>140.04</v>
      </c>
      <c r="AM9" s="23">
        <f t="shared" si="13"/>
        <v>140.04</v>
      </c>
      <c r="AO9" s="22">
        <f t="shared" si="8"/>
        <v>0</v>
      </c>
      <c r="AP9" s="23">
        <v>0</v>
      </c>
      <c r="AQ9" s="23">
        <f t="shared" si="9"/>
        <v>0</v>
      </c>
      <c r="AR9" s="23">
        <f t="shared" si="14"/>
        <v>0</v>
      </c>
      <c r="AS9" s="23">
        <f t="shared" si="15"/>
        <v>140.04</v>
      </c>
      <c r="AU9" s="20">
        <f t="shared" si="16"/>
        <v>0</v>
      </c>
      <c r="AV9" s="37">
        <f t="shared" si="10"/>
        <v>10256.910300000001</v>
      </c>
      <c r="AW9" s="37">
        <f t="shared" si="17"/>
        <v>40294.410300000003</v>
      </c>
      <c r="AX9" s="20" t="s">
        <v>6754</v>
      </c>
      <c r="AY9" s="20" t="s">
        <v>6680</v>
      </c>
      <c r="AZ9" s="20" t="s">
        <v>6755</v>
      </c>
      <c r="BA9" s="20" t="str">
        <f t="shared" si="11"/>
        <v>1 - ASMNT_TEC - Benavides-Bartholomew, Victoria</v>
      </c>
    </row>
    <row r="10" spans="1:53" s="39" customFormat="1" ht="12.75" customHeight="1" x14ac:dyDescent="0.25">
      <c r="A10" s="39">
        <v>10</v>
      </c>
      <c r="B10" s="39" t="s">
        <v>6725</v>
      </c>
      <c r="C10" s="40" t="s">
        <v>6766</v>
      </c>
      <c r="D10" s="39" t="s">
        <v>6767</v>
      </c>
      <c r="E10" s="41">
        <v>1</v>
      </c>
      <c r="F10" s="42">
        <v>44593</v>
      </c>
      <c r="G10" s="43" t="s">
        <v>6757</v>
      </c>
      <c r="H10" s="39" t="s">
        <v>6730</v>
      </c>
      <c r="I10" s="44">
        <f>5044*8</f>
        <v>40352</v>
      </c>
      <c r="J10" s="39" t="s">
        <v>6741</v>
      </c>
      <c r="K10" s="45">
        <f>5296*4</f>
        <v>21184</v>
      </c>
      <c r="L10" s="45">
        <f t="shared" si="0"/>
        <v>61536</v>
      </c>
      <c r="M10" s="45"/>
      <c r="N10" s="45"/>
      <c r="O10" s="46"/>
      <c r="P10" s="45"/>
      <c r="Q10" s="47"/>
      <c r="R10" s="45"/>
      <c r="S10" s="47"/>
      <c r="T10" s="45"/>
      <c r="U10" s="45">
        <v>600</v>
      </c>
      <c r="V10" s="45">
        <f t="shared" si="1"/>
        <v>62136</v>
      </c>
      <c r="W10" s="48">
        <v>1</v>
      </c>
      <c r="X10" s="45">
        <f t="shared" si="2"/>
        <v>62136</v>
      </c>
      <c r="Y10" s="39" t="s">
        <v>2949</v>
      </c>
      <c r="Z10" s="43" t="s">
        <v>6758</v>
      </c>
      <c r="AA10" s="43" t="s">
        <v>6752</v>
      </c>
      <c r="AB10" s="43" t="s">
        <v>6733</v>
      </c>
      <c r="AC10" s="43" t="s">
        <v>6768</v>
      </c>
      <c r="AD10" s="43" t="s">
        <v>6744</v>
      </c>
      <c r="AE10" s="37" t="str">
        <f t="shared" si="12"/>
        <v>52</v>
      </c>
      <c r="AG10" s="49">
        <f t="shared" si="3"/>
        <v>14235.357599999999</v>
      </c>
      <c r="AH10" s="49">
        <f t="shared" si="4"/>
        <v>3852.4319999999998</v>
      </c>
      <c r="AI10" s="49">
        <f t="shared" si="5"/>
        <v>900.97200000000009</v>
      </c>
      <c r="AJ10" s="49">
        <f t="shared" si="6"/>
        <v>764.27279999999996</v>
      </c>
      <c r="AK10" s="49">
        <f t="shared" si="7"/>
        <v>1174.8674880000001</v>
      </c>
      <c r="AL10" s="45">
        <v>140.04</v>
      </c>
      <c r="AM10" s="23">
        <f t="shared" si="13"/>
        <v>140.04</v>
      </c>
      <c r="AN10" s="44">
        <v>79.2</v>
      </c>
      <c r="AO10" s="22">
        <f t="shared" si="8"/>
        <v>79.2</v>
      </c>
      <c r="AP10" s="45">
        <v>25452.6</v>
      </c>
      <c r="AQ10" s="23">
        <f t="shared" si="9"/>
        <v>26474.521889999996</v>
      </c>
      <c r="AR10" s="23">
        <f t="shared" si="14"/>
        <v>26474.521889999996</v>
      </c>
      <c r="AS10" s="45">
        <f t="shared" si="15"/>
        <v>26693.761889999998</v>
      </c>
      <c r="AT10" s="49"/>
      <c r="AU10" s="20">
        <f t="shared" si="16"/>
        <v>0</v>
      </c>
      <c r="AV10" s="37">
        <f t="shared" si="10"/>
        <v>47621.663778000002</v>
      </c>
      <c r="AW10" s="49">
        <f t="shared" si="17"/>
        <v>109757.663778</v>
      </c>
      <c r="BA10" s="39" t="str">
        <f t="shared" si="11"/>
        <v>1 - PROGASST_I - Barron Vargas, Fatima</v>
      </c>
    </row>
    <row r="11" spans="1:53" ht="12.75" customHeight="1" x14ac:dyDescent="0.25">
      <c r="A11" s="20">
        <v>11</v>
      </c>
      <c r="B11" s="20" t="s">
        <v>6725</v>
      </c>
      <c r="C11" s="20" t="s">
        <v>6769</v>
      </c>
      <c r="D11" s="20" t="s">
        <v>6770</v>
      </c>
      <c r="E11" s="21">
        <v>1</v>
      </c>
      <c r="G11" s="35" t="s">
        <v>6771</v>
      </c>
      <c r="H11" s="20" t="s">
        <v>6741</v>
      </c>
      <c r="K11" s="23">
        <v>62008</v>
      </c>
      <c r="L11" s="23">
        <f t="shared" si="0"/>
        <v>62008</v>
      </c>
      <c r="Q11" s="26">
        <v>0.1</v>
      </c>
      <c r="R11" s="23">
        <f>L11*Q11</f>
        <v>6200.8</v>
      </c>
      <c r="V11" s="23">
        <f t="shared" si="1"/>
        <v>68208.800000000003</v>
      </c>
      <c r="W11" s="36">
        <v>1</v>
      </c>
      <c r="X11" s="23">
        <f t="shared" si="2"/>
        <v>68208.800000000003</v>
      </c>
      <c r="Y11" s="20" t="s">
        <v>1624</v>
      </c>
      <c r="Z11" s="35" t="s">
        <v>6758</v>
      </c>
      <c r="AA11" s="35" t="s">
        <v>6772</v>
      </c>
      <c r="AB11" s="35" t="s">
        <v>6733</v>
      </c>
      <c r="AC11" s="35" t="s">
        <v>6773</v>
      </c>
      <c r="AD11" s="35" t="s">
        <v>6735</v>
      </c>
      <c r="AE11" s="37" t="str">
        <f t="shared" si="12"/>
        <v>52</v>
      </c>
      <c r="AG11" s="37">
        <f t="shared" si="3"/>
        <v>15626.63608</v>
      </c>
      <c r="AH11" s="37">
        <f t="shared" si="4"/>
        <v>4228.9456</v>
      </c>
      <c r="AI11" s="37">
        <f t="shared" si="5"/>
        <v>989.02760000000012</v>
      </c>
      <c r="AJ11" s="37">
        <f t="shared" si="6"/>
        <v>838.96824000000004</v>
      </c>
      <c r="AK11" s="37">
        <f t="shared" si="7"/>
        <v>1289.6919904000001</v>
      </c>
      <c r="AL11" s="23">
        <v>140.04</v>
      </c>
      <c r="AM11" s="23">
        <f t="shared" si="13"/>
        <v>140.04</v>
      </c>
      <c r="AN11" s="22">
        <v>79.2</v>
      </c>
      <c r="AO11" s="22">
        <f t="shared" si="8"/>
        <v>79.2</v>
      </c>
      <c r="AP11" s="23">
        <v>13152</v>
      </c>
      <c r="AQ11" s="23">
        <f t="shared" si="9"/>
        <v>13680.052799999999</v>
      </c>
      <c r="AR11" s="23">
        <f t="shared" si="14"/>
        <v>13680.052799999999</v>
      </c>
      <c r="AS11" s="23">
        <f t="shared" si="15"/>
        <v>13899.292799999999</v>
      </c>
      <c r="AU11" s="20">
        <f t="shared" si="16"/>
        <v>0</v>
      </c>
      <c r="AV11" s="37">
        <f t="shared" si="10"/>
        <v>36872.562310399997</v>
      </c>
      <c r="AW11" s="37">
        <f t="shared" si="17"/>
        <v>105081.3623104</v>
      </c>
      <c r="BA11" s="20" t="str">
        <f t="shared" si="11"/>
        <v>1 - SCILABTEC - Black, Joni J</v>
      </c>
    </row>
    <row r="12" spans="1:53" ht="12.75" customHeight="1" x14ac:dyDescent="0.25">
      <c r="A12" s="20">
        <v>12</v>
      </c>
      <c r="B12" s="20" t="s">
        <v>6725</v>
      </c>
      <c r="C12" s="20" t="s">
        <v>6774</v>
      </c>
      <c r="D12" s="20" t="s">
        <v>6775</v>
      </c>
      <c r="E12" s="21">
        <v>1</v>
      </c>
      <c r="G12" s="35" t="s">
        <v>6776</v>
      </c>
      <c r="H12" s="20" t="s">
        <v>6741</v>
      </c>
      <c r="K12" s="23">
        <v>79375</v>
      </c>
      <c r="L12" s="23">
        <f t="shared" si="0"/>
        <v>79375</v>
      </c>
      <c r="Q12" s="26">
        <v>0.05</v>
      </c>
      <c r="R12" s="23">
        <f>L12*Q12</f>
        <v>3968.75</v>
      </c>
      <c r="V12" s="23">
        <f t="shared" si="1"/>
        <v>83343.75</v>
      </c>
      <c r="W12" s="36">
        <v>1</v>
      </c>
      <c r="X12" s="23">
        <f t="shared" si="2"/>
        <v>83343.75</v>
      </c>
      <c r="Y12" s="20" t="s">
        <v>3290</v>
      </c>
      <c r="Z12" s="35" t="s">
        <v>6758</v>
      </c>
      <c r="AA12" s="35" t="s">
        <v>6777</v>
      </c>
      <c r="AB12" s="35" t="s">
        <v>6733</v>
      </c>
      <c r="AC12" s="35" t="s">
        <v>6778</v>
      </c>
      <c r="AD12" s="35" t="s">
        <v>6744</v>
      </c>
      <c r="AE12" s="37" t="str">
        <f t="shared" si="12"/>
        <v>52</v>
      </c>
      <c r="AG12" s="37">
        <f t="shared" si="3"/>
        <v>19094.053124999999</v>
      </c>
      <c r="AH12" s="37">
        <f t="shared" si="4"/>
        <v>5167.3125</v>
      </c>
      <c r="AI12" s="37">
        <f t="shared" si="5"/>
        <v>1208.484375</v>
      </c>
      <c r="AJ12" s="37">
        <f t="shared" si="6"/>
        <v>1025.128125</v>
      </c>
      <c r="AK12" s="37">
        <f t="shared" si="7"/>
        <v>1575.8636250000002</v>
      </c>
      <c r="AL12" s="23">
        <v>140.04</v>
      </c>
      <c r="AM12" s="23">
        <f t="shared" si="13"/>
        <v>140.04</v>
      </c>
      <c r="AN12" s="22">
        <v>79.2</v>
      </c>
      <c r="AO12" s="22">
        <f t="shared" si="8"/>
        <v>79.2</v>
      </c>
      <c r="AP12" s="23">
        <v>17424</v>
      </c>
      <c r="AQ12" s="23">
        <f t="shared" si="9"/>
        <v>18123.5736</v>
      </c>
      <c r="AR12" s="23">
        <f t="shared" si="14"/>
        <v>18123.5736</v>
      </c>
      <c r="AS12" s="23">
        <f t="shared" si="15"/>
        <v>18342.813600000001</v>
      </c>
      <c r="AT12" s="37">
        <v>2400</v>
      </c>
      <c r="AU12" s="20">
        <f t="shared" si="16"/>
        <v>2400</v>
      </c>
      <c r="AV12" s="37">
        <f t="shared" si="10"/>
        <v>48813.655350000001</v>
      </c>
      <c r="AW12" s="37">
        <f t="shared" si="17"/>
        <v>132157.40535000002</v>
      </c>
      <c r="BA12" s="20" t="str">
        <f t="shared" si="11"/>
        <v xml:space="preserve">1 - COMP_TECH - Brandt, Bruce </v>
      </c>
    </row>
    <row r="13" spans="1:53" ht="12.75" customHeight="1" x14ac:dyDescent="0.25">
      <c r="A13" s="20">
        <v>13</v>
      </c>
      <c r="B13" s="20" t="s">
        <v>6725</v>
      </c>
      <c r="C13" s="20" t="s">
        <v>6779</v>
      </c>
      <c r="D13" s="20" t="s">
        <v>6780</v>
      </c>
      <c r="E13" s="21">
        <v>1</v>
      </c>
      <c r="F13" s="34">
        <v>44470</v>
      </c>
      <c r="G13" s="35" t="s">
        <v>6781</v>
      </c>
      <c r="H13" s="20" t="s">
        <v>6782</v>
      </c>
      <c r="I13" s="22">
        <f>3757*3</f>
        <v>11271</v>
      </c>
      <c r="J13" s="20" t="s">
        <v>6783</v>
      </c>
      <c r="K13" s="23">
        <f>3945*9</f>
        <v>35505</v>
      </c>
      <c r="L13" s="23">
        <f t="shared" si="0"/>
        <v>46776</v>
      </c>
      <c r="V13" s="23">
        <f t="shared" si="1"/>
        <v>46776</v>
      </c>
      <c r="W13" s="36">
        <v>0.5</v>
      </c>
      <c r="X13" s="23">
        <f t="shared" si="2"/>
        <v>23388</v>
      </c>
      <c r="Y13" s="20" t="s">
        <v>3090</v>
      </c>
      <c r="Z13" s="35" t="s">
        <v>6758</v>
      </c>
      <c r="AA13" s="35" t="s">
        <v>6761</v>
      </c>
      <c r="AB13" s="35" t="s">
        <v>6733</v>
      </c>
      <c r="AC13" s="35" t="s">
        <v>6762</v>
      </c>
      <c r="AD13" s="35" t="s">
        <v>6744</v>
      </c>
      <c r="AE13" s="37" t="str">
        <f t="shared" si="12"/>
        <v>52</v>
      </c>
      <c r="AG13" s="37">
        <f t="shared" si="3"/>
        <v>5358.1908000000003</v>
      </c>
      <c r="AH13" s="37">
        <f t="shared" si="4"/>
        <v>1450.056</v>
      </c>
      <c r="AI13" s="37">
        <f t="shared" si="5"/>
        <v>339.12600000000003</v>
      </c>
      <c r="AJ13" s="37">
        <f t="shared" si="6"/>
        <v>287.67239999999998</v>
      </c>
      <c r="AK13" s="37">
        <f t="shared" si="7"/>
        <v>442.22030400000006</v>
      </c>
      <c r="AL13" s="23">
        <v>140.04</v>
      </c>
      <c r="AM13" s="23">
        <f t="shared" si="13"/>
        <v>70.02</v>
      </c>
      <c r="AN13" s="22">
        <v>79.2</v>
      </c>
      <c r="AO13" s="22">
        <f t="shared" si="8"/>
        <v>39.6</v>
      </c>
      <c r="AP13" s="23">
        <v>33444</v>
      </c>
      <c r="AQ13" s="23">
        <f t="shared" si="9"/>
        <v>34786.776599999997</v>
      </c>
      <c r="AR13" s="23">
        <f t="shared" si="14"/>
        <v>17393.388299999999</v>
      </c>
      <c r="AS13" s="23">
        <f t="shared" si="15"/>
        <v>17503.008299999998</v>
      </c>
      <c r="AT13" s="37"/>
      <c r="AU13" s="20">
        <f t="shared" si="16"/>
        <v>0</v>
      </c>
      <c r="AV13" s="37">
        <f t="shared" si="10"/>
        <v>25380.273804</v>
      </c>
      <c r="AW13" s="37">
        <f t="shared" si="17"/>
        <v>48768.273803999997</v>
      </c>
      <c r="BA13" s="20" t="str">
        <f t="shared" si="11"/>
        <v>0.5 - ADM_ASSTII - Bridges, Michaela</v>
      </c>
    </row>
    <row r="14" spans="1:53" ht="12.75" customHeight="1" x14ac:dyDescent="0.25">
      <c r="A14" s="20">
        <v>14</v>
      </c>
      <c r="B14" s="20" t="s">
        <v>6725</v>
      </c>
      <c r="C14" s="20" t="s">
        <v>6779</v>
      </c>
      <c r="D14" s="20" t="s">
        <v>6780</v>
      </c>
      <c r="E14" s="21">
        <v>1</v>
      </c>
      <c r="F14" s="34">
        <v>44470</v>
      </c>
      <c r="G14" s="35" t="s">
        <v>6781</v>
      </c>
      <c r="H14" s="20" t="s">
        <v>6782</v>
      </c>
      <c r="I14" s="22">
        <f>3757*3</f>
        <v>11271</v>
      </c>
      <c r="J14" s="20" t="s">
        <v>6783</v>
      </c>
      <c r="K14" s="23">
        <f>3945*9</f>
        <v>35505</v>
      </c>
      <c r="L14" s="23">
        <f t="shared" si="0"/>
        <v>46776</v>
      </c>
      <c r="V14" s="23">
        <f t="shared" si="1"/>
        <v>46776</v>
      </c>
      <c r="W14" s="36">
        <v>0.5</v>
      </c>
      <c r="X14" s="23">
        <f t="shared" si="2"/>
        <v>23388</v>
      </c>
      <c r="Y14" s="20" t="s">
        <v>3056</v>
      </c>
      <c r="Z14" s="35" t="s">
        <v>6758</v>
      </c>
      <c r="AA14" s="35" t="s">
        <v>6759</v>
      </c>
      <c r="AB14" s="35" t="s">
        <v>6733</v>
      </c>
      <c r="AC14" s="35" t="s">
        <v>6760</v>
      </c>
      <c r="AD14" s="35" t="s">
        <v>6744</v>
      </c>
      <c r="AE14" s="37" t="str">
        <f t="shared" si="12"/>
        <v>52</v>
      </c>
      <c r="AG14" s="37">
        <f t="shared" si="3"/>
        <v>5358.1908000000003</v>
      </c>
      <c r="AH14" s="37">
        <f t="shared" si="4"/>
        <v>1450.056</v>
      </c>
      <c r="AI14" s="37">
        <f t="shared" si="5"/>
        <v>339.12600000000003</v>
      </c>
      <c r="AJ14" s="37">
        <f t="shared" si="6"/>
        <v>287.67239999999998</v>
      </c>
      <c r="AK14" s="37">
        <f t="shared" si="7"/>
        <v>442.22030400000006</v>
      </c>
      <c r="AL14" s="23">
        <v>140.04</v>
      </c>
      <c r="AM14" s="23">
        <f t="shared" si="13"/>
        <v>70.02</v>
      </c>
      <c r="AN14" s="22">
        <v>79.2</v>
      </c>
      <c r="AO14" s="22">
        <f t="shared" si="8"/>
        <v>39.6</v>
      </c>
      <c r="AP14" s="23">
        <v>33444</v>
      </c>
      <c r="AQ14" s="23">
        <f t="shared" si="9"/>
        <v>34786.776599999997</v>
      </c>
      <c r="AR14" s="23">
        <f t="shared" si="14"/>
        <v>17393.388299999999</v>
      </c>
      <c r="AS14" s="23">
        <f t="shared" si="15"/>
        <v>17503.008299999998</v>
      </c>
      <c r="AT14" s="37"/>
      <c r="AU14" s="20">
        <f t="shared" si="16"/>
        <v>0</v>
      </c>
      <c r="AV14" s="37">
        <f t="shared" si="10"/>
        <v>25380.273804</v>
      </c>
      <c r="AW14" s="37">
        <f t="shared" si="17"/>
        <v>48768.273803999997</v>
      </c>
      <c r="BA14" s="20" t="str">
        <f t="shared" si="11"/>
        <v>0.5 - ADM_ASSTII - Bridges, Michaela</v>
      </c>
    </row>
    <row r="15" spans="1:53" ht="12.75" hidden="1" customHeight="1" x14ac:dyDescent="0.25">
      <c r="A15" s="20">
        <v>15</v>
      </c>
      <c r="B15" s="20" t="s">
        <v>6725</v>
      </c>
      <c r="C15" s="20" t="s">
        <v>6784</v>
      </c>
      <c r="D15" s="20" t="s">
        <v>6785</v>
      </c>
      <c r="E15" s="21">
        <v>1</v>
      </c>
      <c r="G15" s="35" t="s">
        <v>6786</v>
      </c>
      <c r="H15" s="20" t="s">
        <v>6741</v>
      </c>
      <c r="K15" s="23">
        <v>59019</v>
      </c>
      <c r="L15" s="23">
        <f t="shared" si="0"/>
        <v>59019</v>
      </c>
      <c r="Q15" s="26">
        <v>0.05</v>
      </c>
      <c r="R15" s="23">
        <f>L15*Q15</f>
        <v>2950.9500000000003</v>
      </c>
      <c r="U15" s="23">
        <v>1800</v>
      </c>
      <c r="V15" s="23">
        <f t="shared" si="1"/>
        <v>63769.95</v>
      </c>
      <c r="W15" s="36">
        <v>1</v>
      </c>
      <c r="X15" s="23">
        <f t="shared" si="2"/>
        <v>63769.95</v>
      </c>
      <c r="Y15" s="20" t="s">
        <v>5404</v>
      </c>
      <c r="Z15" s="35" t="s">
        <v>6731</v>
      </c>
      <c r="AA15" s="35" t="s">
        <v>6752</v>
      </c>
      <c r="AB15" s="35" t="s">
        <v>6733</v>
      </c>
      <c r="AC15" s="35" t="s">
        <v>6753</v>
      </c>
      <c r="AD15" s="35" t="s">
        <v>6744</v>
      </c>
      <c r="AE15" s="37" t="str">
        <f t="shared" si="12"/>
        <v>52</v>
      </c>
      <c r="AG15" s="37">
        <f t="shared" si="3"/>
        <v>14609.695544999999</v>
      </c>
      <c r="AH15" s="37">
        <f t="shared" si="4"/>
        <v>3953.7368999999999</v>
      </c>
      <c r="AI15" s="37">
        <f t="shared" si="5"/>
        <v>924.66427499999998</v>
      </c>
      <c r="AJ15" s="37">
        <f t="shared" si="6"/>
        <v>784.37038499999994</v>
      </c>
      <c r="AK15" s="37">
        <f t="shared" si="7"/>
        <v>1205.7622146000001</v>
      </c>
      <c r="AL15" s="23">
        <v>140.04</v>
      </c>
      <c r="AM15" s="23">
        <f t="shared" si="13"/>
        <v>140.04</v>
      </c>
      <c r="AN15" s="22">
        <v>79.2</v>
      </c>
      <c r="AO15" s="22">
        <f t="shared" si="8"/>
        <v>79.2</v>
      </c>
      <c r="AP15" s="23">
        <v>33444</v>
      </c>
      <c r="AQ15" s="23">
        <f t="shared" si="9"/>
        <v>34786.776599999997</v>
      </c>
      <c r="AR15" s="23">
        <f t="shared" si="14"/>
        <v>34786.776599999997</v>
      </c>
      <c r="AS15" s="23">
        <f t="shared" si="15"/>
        <v>35006.016599999995</v>
      </c>
      <c r="AU15" s="20">
        <f t="shared" si="16"/>
        <v>0</v>
      </c>
      <c r="AV15" s="37">
        <f t="shared" si="10"/>
        <v>56484.245919599998</v>
      </c>
      <c r="AW15" s="37">
        <f t="shared" si="17"/>
        <v>120254.1959196</v>
      </c>
      <c r="AX15" s="20" t="s">
        <v>6754</v>
      </c>
      <c r="AY15" s="20" t="s">
        <v>6680</v>
      </c>
      <c r="AZ15" s="20" t="s">
        <v>6755</v>
      </c>
      <c r="BA15" s="20" t="str">
        <f t="shared" si="11"/>
        <v xml:space="preserve">1 - ADMASSTIII - Cabrera, Rosa </v>
      </c>
    </row>
    <row r="16" spans="1:53" ht="12.75" hidden="1" customHeight="1" x14ac:dyDescent="0.25">
      <c r="A16" s="20">
        <v>16</v>
      </c>
      <c r="B16" s="20" t="s">
        <v>6725</v>
      </c>
      <c r="C16" s="20" t="s">
        <v>6787</v>
      </c>
      <c r="D16" s="20" t="s">
        <v>6767</v>
      </c>
      <c r="E16" s="21">
        <v>1</v>
      </c>
      <c r="F16" s="34">
        <v>44593</v>
      </c>
      <c r="G16" s="35" t="s">
        <v>6757</v>
      </c>
      <c r="H16" s="20" t="s">
        <v>6730</v>
      </c>
      <c r="I16" s="22">
        <f>5044*7</f>
        <v>35308</v>
      </c>
      <c r="J16" s="20" t="s">
        <v>6741</v>
      </c>
      <c r="K16" s="23">
        <f>5296*5</f>
        <v>26480</v>
      </c>
      <c r="L16" s="23">
        <f t="shared" si="0"/>
        <v>61788</v>
      </c>
      <c r="V16" s="23">
        <f t="shared" si="1"/>
        <v>61788</v>
      </c>
      <c r="W16" s="36">
        <v>0.5</v>
      </c>
      <c r="X16" s="23">
        <f t="shared" si="2"/>
        <v>30894</v>
      </c>
      <c r="Y16" s="20" t="s">
        <v>5938</v>
      </c>
      <c r="Z16" s="35" t="s">
        <v>6731</v>
      </c>
      <c r="AA16" s="35" t="s">
        <v>6788</v>
      </c>
      <c r="AB16" s="35" t="s">
        <v>6733</v>
      </c>
      <c r="AC16" s="35" t="s">
        <v>6789</v>
      </c>
      <c r="AD16" s="35" t="s">
        <v>6744</v>
      </c>
      <c r="AE16" s="37" t="str">
        <f t="shared" si="12"/>
        <v>52</v>
      </c>
      <c r="AG16" s="37">
        <f t="shared" si="3"/>
        <v>7077.8153999999995</v>
      </c>
      <c r="AH16" s="37">
        <f t="shared" si="4"/>
        <v>1915.4279999999999</v>
      </c>
      <c r="AI16" s="37">
        <f t="shared" si="5"/>
        <v>447.96300000000002</v>
      </c>
      <c r="AJ16" s="37">
        <f t="shared" si="6"/>
        <v>379.99619999999999</v>
      </c>
      <c r="AK16" s="37">
        <f t="shared" si="7"/>
        <v>584.14375200000006</v>
      </c>
      <c r="AL16" s="23">
        <v>140.04</v>
      </c>
      <c r="AM16" s="23">
        <f t="shared" si="13"/>
        <v>70.02</v>
      </c>
      <c r="AN16" s="22">
        <v>79.2</v>
      </c>
      <c r="AO16" s="22">
        <f t="shared" si="8"/>
        <v>39.6</v>
      </c>
      <c r="AP16" s="23">
        <v>17392.2</v>
      </c>
      <c r="AQ16" s="23">
        <f t="shared" si="9"/>
        <v>18090.49683</v>
      </c>
      <c r="AR16" s="23">
        <f t="shared" si="14"/>
        <v>9045.248415</v>
      </c>
      <c r="AS16" s="23">
        <f t="shared" si="15"/>
        <v>9154.8684150000008</v>
      </c>
      <c r="AU16" s="20">
        <f t="shared" si="16"/>
        <v>0</v>
      </c>
      <c r="AV16" s="37">
        <f t="shared" si="10"/>
        <v>19560.214766999998</v>
      </c>
      <c r="AW16" s="37">
        <f t="shared" si="17"/>
        <v>50454.214766999998</v>
      </c>
      <c r="AX16" s="20" t="s">
        <v>6754</v>
      </c>
      <c r="AY16" s="20" t="s">
        <v>6790</v>
      </c>
      <c r="AZ16" s="20" t="s">
        <v>6791</v>
      </c>
      <c r="BA16" s="20" t="str">
        <f t="shared" si="11"/>
        <v xml:space="preserve">0.5 - PROGASST_I - Canter, Sarah </v>
      </c>
    </row>
    <row r="17" spans="1:53" ht="12.75" hidden="1" customHeight="1" x14ac:dyDescent="0.25">
      <c r="A17" s="20">
        <v>17</v>
      </c>
      <c r="B17" s="20" t="s">
        <v>6725</v>
      </c>
      <c r="C17" s="20" t="s">
        <v>6787</v>
      </c>
      <c r="D17" s="20" t="s">
        <v>6767</v>
      </c>
      <c r="E17" s="21">
        <v>1</v>
      </c>
      <c r="F17" s="34">
        <v>44593</v>
      </c>
      <c r="G17" s="35" t="s">
        <v>6757</v>
      </c>
      <c r="H17" s="20" t="s">
        <v>6730</v>
      </c>
      <c r="I17" s="22">
        <f>5044*7</f>
        <v>35308</v>
      </c>
      <c r="J17" s="20" t="s">
        <v>6741</v>
      </c>
      <c r="K17" s="23">
        <f>5296*5</f>
        <v>26480</v>
      </c>
      <c r="L17" s="23">
        <f t="shared" si="0"/>
        <v>61788</v>
      </c>
      <c r="V17" s="23">
        <f t="shared" si="1"/>
        <v>61788</v>
      </c>
      <c r="W17" s="36">
        <v>0.5</v>
      </c>
      <c r="X17" s="23">
        <f t="shared" si="2"/>
        <v>30894</v>
      </c>
      <c r="Y17" s="20" t="s">
        <v>5977</v>
      </c>
      <c r="Z17" s="35" t="s">
        <v>6731</v>
      </c>
      <c r="AA17" s="35" t="s">
        <v>6788</v>
      </c>
      <c r="AB17" s="35" t="s">
        <v>6733</v>
      </c>
      <c r="AC17" s="35" t="s">
        <v>6792</v>
      </c>
      <c r="AD17" s="35" t="s">
        <v>6744</v>
      </c>
      <c r="AE17" s="37" t="str">
        <f t="shared" si="12"/>
        <v>52</v>
      </c>
      <c r="AG17" s="37">
        <f t="shared" si="3"/>
        <v>7077.8153999999995</v>
      </c>
      <c r="AH17" s="37">
        <f t="shared" si="4"/>
        <v>1915.4279999999999</v>
      </c>
      <c r="AI17" s="37">
        <f t="shared" si="5"/>
        <v>447.96300000000002</v>
      </c>
      <c r="AJ17" s="37">
        <f t="shared" si="6"/>
        <v>379.99619999999999</v>
      </c>
      <c r="AK17" s="37">
        <f t="shared" si="7"/>
        <v>584.14375200000006</v>
      </c>
      <c r="AL17" s="23">
        <v>140.04</v>
      </c>
      <c r="AM17" s="23">
        <f t="shared" si="13"/>
        <v>70.02</v>
      </c>
      <c r="AN17" s="22">
        <v>79.2</v>
      </c>
      <c r="AO17" s="22">
        <f t="shared" si="8"/>
        <v>39.6</v>
      </c>
      <c r="AP17" s="23">
        <v>17392.2</v>
      </c>
      <c r="AQ17" s="23">
        <f t="shared" si="9"/>
        <v>18090.49683</v>
      </c>
      <c r="AR17" s="23">
        <f t="shared" si="14"/>
        <v>9045.248415</v>
      </c>
      <c r="AS17" s="23">
        <f t="shared" si="15"/>
        <v>9154.8684150000008</v>
      </c>
      <c r="AU17" s="20">
        <f t="shared" si="16"/>
        <v>0</v>
      </c>
      <c r="AV17" s="37">
        <f t="shared" si="10"/>
        <v>19560.214766999998</v>
      </c>
      <c r="AW17" s="37">
        <f t="shared" si="17"/>
        <v>50454.214766999998</v>
      </c>
      <c r="AX17" s="20" t="s">
        <v>6754</v>
      </c>
      <c r="AY17" s="20" t="s">
        <v>6790</v>
      </c>
      <c r="AZ17" s="20" t="s">
        <v>6793</v>
      </c>
      <c r="BA17" s="20" t="str">
        <f t="shared" si="11"/>
        <v xml:space="preserve">0.5 - PROGASST_I - Canter, Sarah </v>
      </c>
    </row>
    <row r="18" spans="1:53" ht="12.75" customHeight="1" x14ac:dyDescent="0.25">
      <c r="A18" s="20">
        <v>18</v>
      </c>
      <c r="B18" s="20" t="s">
        <v>6725</v>
      </c>
      <c r="C18" s="50" t="s">
        <v>6794</v>
      </c>
      <c r="D18" s="20" t="s">
        <v>6795</v>
      </c>
      <c r="E18" s="21">
        <v>0.75</v>
      </c>
      <c r="G18" s="35" t="s">
        <v>6796</v>
      </c>
      <c r="H18" s="20" t="s">
        <v>6782</v>
      </c>
      <c r="K18" s="23">
        <f>ROUND(((3576*9)+(3755*3))*75%,0)</f>
        <v>32587</v>
      </c>
      <c r="L18" s="23">
        <f t="shared" si="0"/>
        <v>32587</v>
      </c>
      <c r="V18" s="23">
        <f t="shared" si="1"/>
        <v>32587</v>
      </c>
      <c r="W18" s="36">
        <v>1</v>
      </c>
      <c r="X18" s="23">
        <f t="shared" si="2"/>
        <v>32587</v>
      </c>
      <c r="Y18" s="20" t="s">
        <v>3056</v>
      </c>
      <c r="Z18" s="35" t="s">
        <v>6758</v>
      </c>
      <c r="AA18" s="35" t="s">
        <v>6759</v>
      </c>
      <c r="AB18" s="35" t="s">
        <v>6733</v>
      </c>
      <c r="AC18" s="35" t="s">
        <v>6760</v>
      </c>
      <c r="AD18" s="35" t="s">
        <v>6744</v>
      </c>
      <c r="AE18" s="37" t="str">
        <f t="shared" si="12"/>
        <v>52</v>
      </c>
      <c r="AG18" s="37">
        <f t="shared" si="3"/>
        <v>7465.6817000000001</v>
      </c>
      <c r="AH18" s="37">
        <f t="shared" si="4"/>
        <v>2020.394</v>
      </c>
      <c r="AI18" s="37">
        <f t="shared" si="5"/>
        <v>472.51150000000001</v>
      </c>
      <c r="AJ18" s="37">
        <f t="shared" si="6"/>
        <v>400.82010000000002</v>
      </c>
      <c r="AK18" s="37">
        <f t="shared" si="7"/>
        <v>616.15499599999998</v>
      </c>
      <c r="AL18" s="23">
        <v>140.04</v>
      </c>
      <c r="AM18" s="23">
        <f t="shared" si="13"/>
        <v>140.04</v>
      </c>
      <c r="AN18" s="22">
        <v>79.2</v>
      </c>
      <c r="AO18" s="22">
        <f t="shared" si="8"/>
        <v>79.2</v>
      </c>
      <c r="AP18" s="23">
        <v>25452.6</v>
      </c>
      <c r="AQ18" s="23">
        <f t="shared" si="9"/>
        <v>26474.521889999996</v>
      </c>
      <c r="AR18" s="23">
        <f t="shared" si="14"/>
        <v>26474.521889999996</v>
      </c>
      <c r="AS18" s="23">
        <f t="shared" si="15"/>
        <v>26693.761889999998</v>
      </c>
      <c r="AU18" s="20">
        <f t="shared" si="16"/>
        <v>0</v>
      </c>
      <c r="AV18" s="37">
        <f t="shared" si="10"/>
        <v>37669.324185999998</v>
      </c>
      <c r="AW18" s="37">
        <f t="shared" si="17"/>
        <v>70256.324185999998</v>
      </c>
      <c r="BA18" s="20" t="str">
        <f t="shared" si="11"/>
        <v>1 - AR_TECH - Ramirez, Erika</v>
      </c>
    </row>
    <row r="19" spans="1:53" ht="12.75" customHeight="1" x14ac:dyDescent="0.25">
      <c r="A19" s="20">
        <v>19</v>
      </c>
      <c r="B19" s="20" t="s">
        <v>6725</v>
      </c>
      <c r="C19" s="20" t="s">
        <v>6797</v>
      </c>
      <c r="D19" s="20" t="s">
        <v>6798</v>
      </c>
      <c r="E19" s="21">
        <v>1</v>
      </c>
      <c r="G19" s="35" t="s">
        <v>6799</v>
      </c>
      <c r="H19" s="20" t="s">
        <v>6741</v>
      </c>
      <c r="K19" s="23">
        <v>50892</v>
      </c>
      <c r="L19" s="23">
        <f t="shared" si="0"/>
        <v>50892</v>
      </c>
      <c r="Q19" s="26">
        <v>7.4999999999999997E-2</v>
      </c>
      <c r="R19" s="23">
        <f>L19*Q19</f>
        <v>3816.8999999999996</v>
      </c>
      <c r="U19" s="23">
        <v>1200</v>
      </c>
      <c r="V19" s="23">
        <f t="shared" si="1"/>
        <v>55908.9</v>
      </c>
      <c r="W19" s="36">
        <v>1</v>
      </c>
      <c r="X19" s="23">
        <f t="shared" si="2"/>
        <v>55908.9</v>
      </c>
      <c r="Y19" s="20" t="s">
        <v>2896</v>
      </c>
      <c r="Z19" s="35" t="s">
        <v>6758</v>
      </c>
      <c r="AA19" s="35" t="s">
        <v>6752</v>
      </c>
      <c r="AB19" s="35" t="s">
        <v>6733</v>
      </c>
      <c r="AC19" s="35" t="s">
        <v>6800</v>
      </c>
      <c r="AD19" s="35" t="s">
        <v>6744</v>
      </c>
      <c r="AE19" s="37" t="str">
        <f t="shared" si="12"/>
        <v>52</v>
      </c>
      <c r="AG19" s="37">
        <f>X19*$AG$1</f>
        <v>12808.72899</v>
      </c>
      <c r="AH19" s="37">
        <f t="shared" si="4"/>
        <v>3466.3517999999999</v>
      </c>
      <c r="AI19" s="37">
        <f t="shared" si="5"/>
        <v>810.67905000000007</v>
      </c>
      <c r="AJ19" s="37">
        <f t="shared" si="6"/>
        <v>687.67947000000004</v>
      </c>
      <c r="AK19" s="37">
        <f t="shared" si="7"/>
        <v>1057.1254812000002</v>
      </c>
      <c r="AL19" s="23">
        <v>140.04</v>
      </c>
      <c r="AM19" s="23">
        <f t="shared" si="13"/>
        <v>140.04</v>
      </c>
      <c r="AN19" s="22">
        <v>79.2</v>
      </c>
      <c r="AO19" s="22">
        <f t="shared" si="8"/>
        <v>79.2</v>
      </c>
      <c r="AP19" s="23">
        <v>33444</v>
      </c>
      <c r="AQ19" s="23">
        <f t="shared" si="9"/>
        <v>34786.776599999997</v>
      </c>
      <c r="AR19" s="23">
        <f t="shared" si="14"/>
        <v>34786.776599999997</v>
      </c>
      <c r="AS19" s="23">
        <f t="shared" si="15"/>
        <v>35006.016599999995</v>
      </c>
      <c r="AU19" s="20">
        <f t="shared" si="16"/>
        <v>0</v>
      </c>
      <c r="AV19" s="37">
        <f t="shared" si="10"/>
        <v>53836.581391200001</v>
      </c>
      <c r="AW19" s="37">
        <f t="shared" si="17"/>
        <v>109745.48139120001</v>
      </c>
      <c r="BA19" s="20" t="str">
        <f t="shared" si="11"/>
        <v>1 - ADM_ASST_I - Carranza, Xochtil</v>
      </c>
    </row>
    <row r="20" spans="1:53" ht="12.75" customHeight="1" x14ac:dyDescent="0.25">
      <c r="A20" s="20">
        <v>20</v>
      </c>
      <c r="B20" s="20" t="s">
        <v>6725</v>
      </c>
      <c r="C20" s="20" t="s">
        <v>6801</v>
      </c>
      <c r="D20" s="20" t="s">
        <v>6802</v>
      </c>
      <c r="E20" s="21">
        <v>1</v>
      </c>
      <c r="G20" s="35" t="s">
        <v>6740</v>
      </c>
      <c r="H20" s="20" t="s">
        <v>6741</v>
      </c>
      <c r="K20" s="23">
        <v>71910</v>
      </c>
      <c r="L20" s="23">
        <f t="shared" si="0"/>
        <v>71910</v>
      </c>
      <c r="Q20" s="26">
        <v>0.05</v>
      </c>
      <c r="R20" s="23">
        <f>L20*Q20</f>
        <v>3595.5</v>
      </c>
      <c r="U20" s="23">
        <v>1800</v>
      </c>
      <c r="V20" s="23">
        <f t="shared" si="1"/>
        <v>77305.5</v>
      </c>
      <c r="W20" s="36">
        <v>1</v>
      </c>
      <c r="X20" s="23">
        <f t="shared" si="2"/>
        <v>77305.5</v>
      </c>
      <c r="Y20" s="20" t="s">
        <v>3090</v>
      </c>
      <c r="Z20" s="35" t="s">
        <v>6758</v>
      </c>
      <c r="AA20" s="35" t="s">
        <v>6761</v>
      </c>
      <c r="AB20" s="35" t="s">
        <v>6733</v>
      </c>
      <c r="AC20" s="35" t="s">
        <v>6762</v>
      </c>
      <c r="AD20" s="35" t="s">
        <v>6744</v>
      </c>
      <c r="AE20" s="37" t="str">
        <f t="shared" si="12"/>
        <v>52</v>
      </c>
      <c r="AG20" s="37">
        <f t="shared" si="3"/>
        <v>17710.690050000001</v>
      </c>
      <c r="AH20" s="37">
        <f t="shared" si="4"/>
        <v>4792.9409999999998</v>
      </c>
      <c r="AI20" s="37">
        <f t="shared" si="5"/>
        <v>1120.92975</v>
      </c>
      <c r="AJ20" s="37">
        <f t="shared" si="6"/>
        <v>950.85765000000004</v>
      </c>
      <c r="AK20" s="37">
        <f t="shared" si="7"/>
        <v>1461.6923940000001</v>
      </c>
      <c r="AL20" s="23">
        <v>140.04</v>
      </c>
      <c r="AM20" s="23">
        <f t="shared" si="13"/>
        <v>140.04</v>
      </c>
      <c r="AN20" s="22">
        <v>79.2</v>
      </c>
      <c r="AO20" s="22">
        <f t="shared" si="8"/>
        <v>79.2</v>
      </c>
      <c r="AP20" s="23">
        <v>33444</v>
      </c>
      <c r="AQ20" s="23">
        <f t="shared" si="9"/>
        <v>34786.776599999997</v>
      </c>
      <c r="AR20" s="23">
        <f t="shared" si="14"/>
        <v>34786.776599999997</v>
      </c>
      <c r="AS20" s="23">
        <f t="shared" si="15"/>
        <v>35006.016599999995</v>
      </c>
      <c r="AU20" s="20">
        <f t="shared" si="16"/>
        <v>0</v>
      </c>
      <c r="AV20" s="37">
        <f t="shared" si="10"/>
        <v>61043.127443999998</v>
      </c>
      <c r="AW20" s="37">
        <f t="shared" si="17"/>
        <v>138348.62744399998</v>
      </c>
      <c r="BA20" s="20" t="str">
        <f t="shared" si="11"/>
        <v>1 - FA_SPEC - Carrasco, Monica</v>
      </c>
    </row>
    <row r="21" spans="1:53" ht="12.75" customHeight="1" x14ac:dyDescent="0.25">
      <c r="A21" s="20">
        <v>21</v>
      </c>
      <c r="B21" s="20" t="s">
        <v>6725</v>
      </c>
      <c r="C21" s="20" t="s">
        <v>6803</v>
      </c>
      <c r="D21" s="20" t="s">
        <v>6785</v>
      </c>
      <c r="E21" s="21">
        <v>1</v>
      </c>
      <c r="F21" s="34"/>
      <c r="G21" s="35" t="s">
        <v>6786</v>
      </c>
      <c r="H21" s="20" t="s">
        <v>6741</v>
      </c>
      <c r="K21" s="23">
        <v>59019</v>
      </c>
      <c r="L21" s="23">
        <f t="shared" si="0"/>
        <v>59019</v>
      </c>
      <c r="Q21" s="26">
        <v>7.4999999999999997E-2</v>
      </c>
      <c r="R21" s="23">
        <f>L21*Q21</f>
        <v>4426.4250000000002</v>
      </c>
      <c r="T21" s="23">
        <f>M21*S21/12*10</f>
        <v>0</v>
      </c>
      <c r="V21" s="23">
        <f t="shared" si="1"/>
        <v>63445.425000000003</v>
      </c>
      <c r="W21" s="36">
        <v>1</v>
      </c>
      <c r="X21" s="23">
        <f t="shared" si="2"/>
        <v>63445.425000000003</v>
      </c>
      <c r="Y21" s="20" t="s">
        <v>1057</v>
      </c>
      <c r="Z21" s="35" t="s">
        <v>6758</v>
      </c>
      <c r="AA21" s="35" t="s">
        <v>6804</v>
      </c>
      <c r="AB21" s="35" t="s">
        <v>6733</v>
      </c>
      <c r="AC21" s="35" t="s">
        <v>6805</v>
      </c>
      <c r="AD21" s="35" t="s">
        <v>6744</v>
      </c>
      <c r="AE21" s="37" t="str">
        <f t="shared" si="12"/>
        <v>52</v>
      </c>
      <c r="AG21" s="37">
        <f t="shared" si="3"/>
        <v>14535.3468675</v>
      </c>
      <c r="AH21" s="37">
        <f t="shared" si="4"/>
        <v>3933.6163500000002</v>
      </c>
      <c r="AI21" s="37">
        <f t="shared" si="5"/>
        <v>919.95866250000006</v>
      </c>
      <c r="AJ21" s="37">
        <f t="shared" si="6"/>
        <v>780.37872750000008</v>
      </c>
      <c r="AK21" s="37">
        <f t="shared" si="7"/>
        <v>1199.6260959000001</v>
      </c>
      <c r="AL21" s="23">
        <v>140.04</v>
      </c>
      <c r="AM21" s="23">
        <f t="shared" si="13"/>
        <v>140.04</v>
      </c>
      <c r="AN21" s="22">
        <v>79.2</v>
      </c>
      <c r="AO21" s="22">
        <f t="shared" si="8"/>
        <v>79.2</v>
      </c>
      <c r="AP21" s="23">
        <v>33444</v>
      </c>
      <c r="AQ21" s="23">
        <f t="shared" si="9"/>
        <v>34786.776599999997</v>
      </c>
      <c r="AR21" s="23">
        <f t="shared" si="14"/>
        <v>34786.776599999997</v>
      </c>
      <c r="AS21" s="23">
        <f t="shared" si="15"/>
        <v>35006.016599999995</v>
      </c>
      <c r="AU21" s="20">
        <f t="shared" si="16"/>
        <v>0</v>
      </c>
      <c r="AV21" s="37">
        <f t="shared" si="10"/>
        <v>56374.943303399996</v>
      </c>
      <c r="AW21" s="37">
        <f t="shared" si="17"/>
        <v>119820.3683034</v>
      </c>
      <c r="BA21" s="20" t="str">
        <f t="shared" si="11"/>
        <v>1 - ADMASSTIII - Carreon, Yvonne</v>
      </c>
    </row>
    <row r="22" spans="1:53" ht="12.75" hidden="1" customHeight="1" x14ac:dyDescent="0.25">
      <c r="A22" s="20">
        <v>22</v>
      </c>
      <c r="B22" s="20" t="s">
        <v>6725</v>
      </c>
      <c r="C22" s="20" t="s">
        <v>6806</v>
      </c>
      <c r="D22" s="20" t="s">
        <v>6739</v>
      </c>
      <c r="E22" s="21">
        <v>1</v>
      </c>
      <c r="F22" s="34">
        <v>44501</v>
      </c>
      <c r="G22" s="35" t="s">
        <v>6740</v>
      </c>
      <c r="H22" s="20" t="s">
        <v>6729</v>
      </c>
      <c r="I22" s="22">
        <f>5435*4</f>
        <v>21740</v>
      </c>
      <c r="J22" s="20" t="s">
        <v>6730</v>
      </c>
      <c r="K22" s="23">
        <f>5707*8</f>
        <v>45656</v>
      </c>
      <c r="L22" s="23">
        <f t="shared" si="0"/>
        <v>67396</v>
      </c>
      <c r="U22" s="23">
        <v>600</v>
      </c>
      <c r="V22" s="23">
        <f t="shared" si="1"/>
        <v>67996</v>
      </c>
      <c r="W22" s="36">
        <v>1</v>
      </c>
      <c r="X22" s="23">
        <f t="shared" si="2"/>
        <v>67996</v>
      </c>
      <c r="Y22" s="20" t="s">
        <v>5404</v>
      </c>
      <c r="Z22" s="35" t="s">
        <v>6731</v>
      </c>
      <c r="AA22" s="35" t="s">
        <v>6752</v>
      </c>
      <c r="AB22" s="35" t="s">
        <v>6733</v>
      </c>
      <c r="AC22" s="35" t="s">
        <v>6753</v>
      </c>
      <c r="AD22" s="35" t="s">
        <v>6744</v>
      </c>
      <c r="AE22" s="37" t="str">
        <f t="shared" si="12"/>
        <v>52</v>
      </c>
      <c r="AG22" s="37">
        <f t="shared" si="3"/>
        <v>15577.883599999999</v>
      </c>
      <c r="AH22" s="37">
        <f t="shared" si="4"/>
        <v>4215.7520000000004</v>
      </c>
      <c r="AI22" s="37">
        <f t="shared" si="5"/>
        <v>985.94200000000001</v>
      </c>
      <c r="AJ22" s="37">
        <f t="shared" si="6"/>
        <v>836.35080000000005</v>
      </c>
      <c r="AK22" s="37">
        <f t="shared" si="7"/>
        <v>1285.6683680000001</v>
      </c>
      <c r="AL22" s="23">
        <v>140.04</v>
      </c>
      <c r="AM22" s="23">
        <f t="shared" si="13"/>
        <v>140.04</v>
      </c>
      <c r="AN22" s="22">
        <v>79.2</v>
      </c>
      <c r="AO22" s="22">
        <f t="shared" si="8"/>
        <v>79.2</v>
      </c>
      <c r="AP22" s="23">
        <v>23232</v>
      </c>
      <c r="AQ22" s="23">
        <f t="shared" si="9"/>
        <v>24164.764800000001</v>
      </c>
      <c r="AR22" s="23">
        <f t="shared" si="14"/>
        <v>24164.764800000001</v>
      </c>
      <c r="AS22" s="23">
        <f t="shared" si="15"/>
        <v>24384.004800000002</v>
      </c>
      <c r="AT22" s="37">
        <v>2400</v>
      </c>
      <c r="AU22" s="20">
        <f t="shared" si="16"/>
        <v>2400</v>
      </c>
      <c r="AV22" s="37">
        <f t="shared" si="10"/>
        <v>49685.601567999998</v>
      </c>
      <c r="AW22" s="37">
        <f t="shared" si="17"/>
        <v>117681.601568</v>
      </c>
      <c r="AX22" s="20" t="s">
        <v>6754</v>
      </c>
      <c r="AY22" s="20" t="s">
        <v>6680</v>
      </c>
      <c r="AZ22" s="20" t="s">
        <v>6755</v>
      </c>
      <c r="BA22" s="20" t="str">
        <f t="shared" si="11"/>
        <v>1 - PRGASST_II - Carrillo, Alejandra</v>
      </c>
    </row>
    <row r="23" spans="1:53" ht="12.75" hidden="1" customHeight="1" x14ac:dyDescent="0.25">
      <c r="A23" s="20">
        <v>23</v>
      </c>
      <c r="B23" s="20" t="s">
        <v>6725</v>
      </c>
      <c r="C23" s="20" t="s">
        <v>6807</v>
      </c>
      <c r="D23" s="20" t="s">
        <v>6802</v>
      </c>
      <c r="E23" s="21">
        <v>1</v>
      </c>
      <c r="G23" s="35" t="s">
        <v>6740</v>
      </c>
      <c r="H23" s="20" t="s">
        <v>6741</v>
      </c>
      <c r="K23" s="23">
        <v>71910</v>
      </c>
      <c r="L23" s="23">
        <f t="shared" si="0"/>
        <v>71910</v>
      </c>
      <c r="Q23" s="26">
        <v>7.4999999999999997E-2</v>
      </c>
      <c r="R23" s="23">
        <f>L23*Q23</f>
        <v>5393.25</v>
      </c>
      <c r="U23" s="23">
        <v>600</v>
      </c>
      <c r="V23" s="23">
        <f t="shared" si="1"/>
        <v>77903.25</v>
      </c>
      <c r="W23" s="36">
        <v>1</v>
      </c>
      <c r="X23" s="23">
        <f t="shared" si="2"/>
        <v>77903.25</v>
      </c>
      <c r="Y23" s="20" t="s">
        <v>5876</v>
      </c>
      <c r="Z23" s="35" t="s">
        <v>6731</v>
      </c>
      <c r="AA23" s="35" t="s">
        <v>6761</v>
      </c>
      <c r="AB23" s="35" t="s">
        <v>6733</v>
      </c>
      <c r="AC23" s="35" t="s">
        <v>6808</v>
      </c>
      <c r="AD23" s="35" t="s">
        <v>6744</v>
      </c>
      <c r="AE23" s="37" t="str">
        <f t="shared" si="12"/>
        <v>52</v>
      </c>
      <c r="AG23" s="37">
        <f t="shared" si="3"/>
        <v>17847.634575</v>
      </c>
      <c r="AH23" s="37">
        <f t="shared" si="4"/>
        <v>4830.0015000000003</v>
      </c>
      <c r="AI23" s="37">
        <f t="shared" si="5"/>
        <v>1129.597125</v>
      </c>
      <c r="AJ23" s="37">
        <f t="shared" si="6"/>
        <v>958.20997499999999</v>
      </c>
      <c r="AK23" s="37">
        <f t="shared" si="7"/>
        <v>1472.9946510000002</v>
      </c>
      <c r="AL23" s="23">
        <v>140.04</v>
      </c>
      <c r="AM23" s="23">
        <f t="shared" si="13"/>
        <v>140.04</v>
      </c>
      <c r="AN23" s="22">
        <v>79.2</v>
      </c>
      <c r="AO23" s="22">
        <f t="shared" si="8"/>
        <v>79.2</v>
      </c>
      <c r="AP23" s="23">
        <v>33444</v>
      </c>
      <c r="AQ23" s="23">
        <f t="shared" si="9"/>
        <v>34786.776599999997</v>
      </c>
      <c r="AR23" s="23">
        <f t="shared" si="14"/>
        <v>34786.776599999997</v>
      </c>
      <c r="AS23" s="23">
        <f t="shared" si="15"/>
        <v>35006.016599999995</v>
      </c>
      <c r="AU23" s="20">
        <f t="shared" si="16"/>
        <v>0</v>
      </c>
      <c r="AV23" s="37">
        <f t="shared" si="10"/>
        <v>61244.454426000004</v>
      </c>
      <c r="AW23" s="37">
        <f t="shared" si="17"/>
        <v>139147.70442600001</v>
      </c>
      <c r="AX23" s="20" t="s">
        <v>6754</v>
      </c>
      <c r="AY23" s="20" t="s">
        <v>6809</v>
      </c>
      <c r="AZ23" s="20" t="s">
        <v>6810</v>
      </c>
      <c r="BA23" s="20" t="str">
        <f t="shared" si="11"/>
        <v xml:space="preserve">1 - FA_SPEC - Chavez, Lenni </v>
      </c>
    </row>
    <row r="24" spans="1:53" ht="12.75" customHeight="1" x14ac:dyDescent="0.25">
      <c r="A24" s="20">
        <v>24</v>
      </c>
      <c r="B24" s="20" t="s">
        <v>6725</v>
      </c>
      <c r="C24" s="20" t="s">
        <v>6811</v>
      </c>
      <c r="D24" s="20" t="s">
        <v>6812</v>
      </c>
      <c r="E24" s="21">
        <v>1</v>
      </c>
      <c r="G24" s="35" t="s">
        <v>6813</v>
      </c>
      <c r="H24" s="20" t="s">
        <v>6741</v>
      </c>
      <c r="K24" s="23">
        <v>87615</v>
      </c>
      <c r="L24" s="23">
        <f t="shared" si="0"/>
        <v>87615</v>
      </c>
      <c r="Q24" s="26">
        <v>7.4999999999999997E-2</v>
      </c>
      <c r="R24" s="23">
        <f>L24*Q24</f>
        <v>6571.125</v>
      </c>
      <c r="U24" s="23">
        <v>1200</v>
      </c>
      <c r="V24" s="23">
        <f t="shared" si="1"/>
        <v>95386.125</v>
      </c>
      <c r="W24" s="36">
        <v>1</v>
      </c>
      <c r="X24" s="23">
        <f t="shared" si="2"/>
        <v>95386.125</v>
      </c>
      <c r="Y24" s="20" t="s">
        <v>3290</v>
      </c>
      <c r="Z24" s="35" t="s">
        <v>6758</v>
      </c>
      <c r="AA24" s="35" t="s">
        <v>6777</v>
      </c>
      <c r="AB24" s="35" t="s">
        <v>6733</v>
      </c>
      <c r="AC24" s="35" t="s">
        <v>6778</v>
      </c>
      <c r="AD24" s="35" t="s">
        <v>6744</v>
      </c>
      <c r="AE24" s="37" t="str">
        <f t="shared" si="12"/>
        <v>52</v>
      </c>
      <c r="AG24" s="37">
        <f t="shared" si="3"/>
        <v>21852.9612375</v>
      </c>
      <c r="AH24" s="37">
        <f t="shared" si="4"/>
        <v>5913.9397499999995</v>
      </c>
      <c r="AI24" s="37">
        <f t="shared" si="5"/>
        <v>1383.0988125000001</v>
      </c>
      <c r="AJ24" s="37">
        <f t="shared" si="6"/>
        <v>1173.2493374999999</v>
      </c>
      <c r="AK24" s="37">
        <f t="shared" si="7"/>
        <v>1803.5608515000001</v>
      </c>
      <c r="AL24" s="23">
        <v>140.04</v>
      </c>
      <c r="AM24" s="23">
        <f t="shared" si="13"/>
        <v>140.04</v>
      </c>
      <c r="AN24" s="22">
        <v>79.2</v>
      </c>
      <c r="AO24" s="22">
        <f t="shared" si="8"/>
        <v>79.2</v>
      </c>
      <c r="AP24" s="23">
        <v>33444</v>
      </c>
      <c r="AQ24" s="23">
        <f t="shared" si="9"/>
        <v>34786.776599999997</v>
      </c>
      <c r="AR24" s="23">
        <f t="shared" si="14"/>
        <v>34786.776599999997</v>
      </c>
      <c r="AS24" s="23">
        <f t="shared" si="15"/>
        <v>35006.016599999995</v>
      </c>
      <c r="AU24" s="20">
        <f t="shared" si="16"/>
        <v>0</v>
      </c>
      <c r="AV24" s="37">
        <f t="shared" si="10"/>
        <v>67132.826589000004</v>
      </c>
      <c r="AW24" s="37">
        <f t="shared" si="17"/>
        <v>162518.951589</v>
      </c>
      <c r="BA24" s="20" t="str">
        <f t="shared" si="11"/>
        <v>1 - INFOTECHSP - Chen, Paul</v>
      </c>
    </row>
    <row r="25" spans="1:53" ht="12.75" customHeight="1" x14ac:dyDescent="0.25">
      <c r="A25" s="20">
        <v>25</v>
      </c>
      <c r="B25" s="20" t="s">
        <v>6725</v>
      </c>
      <c r="C25" s="20" t="s">
        <v>6814</v>
      </c>
      <c r="D25" s="20" t="s">
        <v>6770</v>
      </c>
      <c r="E25" s="21">
        <v>1</v>
      </c>
      <c r="G25" s="35" t="s">
        <v>6771</v>
      </c>
      <c r="H25" s="20" t="s">
        <v>6741</v>
      </c>
      <c r="K25" s="23">
        <v>62008</v>
      </c>
      <c r="L25" s="23">
        <f t="shared" si="0"/>
        <v>62008</v>
      </c>
      <c r="O25" s="25">
        <v>0.05</v>
      </c>
      <c r="P25" s="23">
        <f>L25*O25</f>
        <v>3100.4</v>
      </c>
      <c r="V25" s="23">
        <f t="shared" si="1"/>
        <v>65108.4</v>
      </c>
      <c r="W25" s="36">
        <v>0.25</v>
      </c>
      <c r="X25" s="23">
        <f t="shared" si="2"/>
        <v>16277.1</v>
      </c>
      <c r="Y25" s="20" t="s">
        <v>1624</v>
      </c>
      <c r="Z25" s="35" t="s">
        <v>6758</v>
      </c>
      <c r="AA25" s="35" t="s">
        <v>6772</v>
      </c>
      <c r="AB25" s="35" t="s">
        <v>6733</v>
      </c>
      <c r="AC25" s="35" t="s">
        <v>6773</v>
      </c>
      <c r="AD25" s="35" t="s">
        <v>6735</v>
      </c>
      <c r="AE25" s="37" t="str">
        <f t="shared" si="12"/>
        <v>52</v>
      </c>
      <c r="AG25" s="37">
        <f t="shared" si="3"/>
        <v>3729.0836100000001</v>
      </c>
      <c r="AH25" s="37">
        <f t="shared" si="4"/>
        <v>1009.1802</v>
      </c>
      <c r="AI25" s="37">
        <f t="shared" si="5"/>
        <v>236.01795000000001</v>
      </c>
      <c r="AJ25" s="37">
        <f t="shared" si="6"/>
        <v>200.20833000000002</v>
      </c>
      <c r="AK25" s="37">
        <f t="shared" si="7"/>
        <v>307.7674068</v>
      </c>
      <c r="AL25" s="23">
        <v>140.04</v>
      </c>
      <c r="AM25" s="23">
        <f t="shared" si="13"/>
        <v>35.01</v>
      </c>
      <c r="AN25" s="22">
        <v>79.2</v>
      </c>
      <c r="AO25" s="22">
        <f t="shared" si="8"/>
        <v>19.8</v>
      </c>
      <c r="AP25" s="23">
        <v>8820</v>
      </c>
      <c r="AQ25" s="23">
        <f t="shared" si="9"/>
        <v>9174.1229999999996</v>
      </c>
      <c r="AR25" s="23">
        <f t="shared" si="14"/>
        <v>2293.5307499999999</v>
      </c>
      <c r="AS25" s="23">
        <f t="shared" si="15"/>
        <v>2348.3407499999998</v>
      </c>
      <c r="AT25" s="37">
        <v>2400</v>
      </c>
      <c r="AU25" s="20">
        <f t="shared" si="16"/>
        <v>600</v>
      </c>
      <c r="AV25" s="37">
        <f t="shared" si="10"/>
        <v>8430.5982468000002</v>
      </c>
      <c r="AW25" s="37">
        <f t="shared" si="17"/>
        <v>24707.698246799999</v>
      </c>
      <c r="BA25" s="20" t="str">
        <f t="shared" si="11"/>
        <v>0.25 - SCILABTEC - Chhom, Tony</v>
      </c>
    </row>
    <row r="26" spans="1:53" ht="12.75" customHeight="1" x14ac:dyDescent="0.25">
      <c r="A26" s="20">
        <v>26</v>
      </c>
      <c r="B26" s="20" t="s">
        <v>6725</v>
      </c>
      <c r="C26" s="20" t="s">
        <v>6814</v>
      </c>
      <c r="D26" s="20" t="s">
        <v>6770</v>
      </c>
      <c r="E26" s="21">
        <v>1</v>
      </c>
      <c r="G26" s="35" t="s">
        <v>6771</v>
      </c>
      <c r="H26" s="20" t="s">
        <v>6741</v>
      </c>
      <c r="K26" s="23">
        <v>62008</v>
      </c>
      <c r="L26" s="23">
        <f t="shared" si="0"/>
        <v>62008</v>
      </c>
      <c r="O26" s="25">
        <v>0.05</v>
      </c>
      <c r="P26" s="23">
        <f>L26*O26</f>
        <v>3100.4</v>
      </c>
      <c r="V26" s="23">
        <f t="shared" si="1"/>
        <v>65108.4</v>
      </c>
      <c r="W26" s="36">
        <v>0.75</v>
      </c>
      <c r="X26" s="23">
        <f t="shared" si="2"/>
        <v>48831.3</v>
      </c>
      <c r="Y26" s="20" t="s">
        <v>1765</v>
      </c>
      <c r="Z26" s="35" t="s">
        <v>6758</v>
      </c>
      <c r="AA26" s="35" t="s">
        <v>6772</v>
      </c>
      <c r="AB26" s="35" t="s">
        <v>6733</v>
      </c>
      <c r="AC26" s="35" t="s">
        <v>6815</v>
      </c>
      <c r="AD26" s="35" t="s">
        <v>6735</v>
      </c>
      <c r="AE26" s="37" t="str">
        <f t="shared" si="12"/>
        <v>52</v>
      </c>
      <c r="AG26" s="37">
        <f t="shared" si="3"/>
        <v>11187.250830000001</v>
      </c>
      <c r="AH26" s="37">
        <f t="shared" si="4"/>
        <v>3027.5406000000003</v>
      </c>
      <c r="AI26" s="37">
        <f t="shared" si="5"/>
        <v>708.05385000000012</v>
      </c>
      <c r="AJ26" s="37">
        <f t="shared" si="6"/>
        <v>600.62499000000003</v>
      </c>
      <c r="AK26" s="37">
        <f t="shared" si="7"/>
        <v>923.30222040000012</v>
      </c>
      <c r="AL26" s="23">
        <v>140.04</v>
      </c>
      <c r="AM26" s="23">
        <f t="shared" si="13"/>
        <v>105.03</v>
      </c>
      <c r="AN26" s="22">
        <v>79.2</v>
      </c>
      <c r="AO26" s="22">
        <f t="shared" si="8"/>
        <v>59.400000000000006</v>
      </c>
      <c r="AP26" s="23">
        <v>8820</v>
      </c>
      <c r="AQ26" s="23">
        <f t="shared" si="9"/>
        <v>9174.1229999999996</v>
      </c>
      <c r="AR26" s="23">
        <f t="shared" si="14"/>
        <v>6880.5922499999997</v>
      </c>
      <c r="AS26" s="23">
        <f t="shared" si="15"/>
        <v>7045.02225</v>
      </c>
      <c r="AT26" s="37">
        <v>2400</v>
      </c>
      <c r="AU26" s="20">
        <f t="shared" si="16"/>
        <v>1800</v>
      </c>
      <c r="AV26" s="37">
        <f t="shared" si="10"/>
        <v>25291.794740400001</v>
      </c>
      <c r="AW26" s="37">
        <f t="shared" si="17"/>
        <v>74123.094740400004</v>
      </c>
      <c r="BA26" s="20" t="str">
        <f t="shared" si="11"/>
        <v>0.75 - SCILABTEC - Chhom, Tony</v>
      </c>
    </row>
    <row r="27" spans="1:53" ht="12.75" hidden="1" customHeight="1" x14ac:dyDescent="0.25">
      <c r="A27" s="20">
        <v>27</v>
      </c>
      <c r="B27" s="20" t="s">
        <v>6725</v>
      </c>
      <c r="C27" s="20" t="s">
        <v>6816</v>
      </c>
      <c r="D27" s="20" t="s">
        <v>6817</v>
      </c>
      <c r="E27" s="21">
        <v>1</v>
      </c>
      <c r="F27" s="34"/>
      <c r="G27" s="35" t="s">
        <v>6818</v>
      </c>
      <c r="H27" s="20" t="s">
        <v>6741</v>
      </c>
      <c r="K27" s="23">
        <v>81361</v>
      </c>
      <c r="L27" s="23">
        <f t="shared" si="0"/>
        <v>81361</v>
      </c>
      <c r="V27" s="23">
        <f t="shared" si="1"/>
        <v>81361</v>
      </c>
      <c r="W27" s="36">
        <v>0.32</v>
      </c>
      <c r="X27" s="23">
        <f t="shared" si="2"/>
        <v>26035.52</v>
      </c>
      <c r="Y27" s="20" t="s">
        <v>3708</v>
      </c>
      <c r="Z27" s="35" t="s">
        <v>6731</v>
      </c>
      <c r="AA27" s="35" t="s">
        <v>6804</v>
      </c>
      <c r="AB27" s="35" t="s">
        <v>6733</v>
      </c>
      <c r="AC27" s="35" t="s">
        <v>6819</v>
      </c>
      <c r="AD27" s="35" t="s">
        <v>6744</v>
      </c>
      <c r="AE27" s="37" t="str">
        <f t="shared" si="12"/>
        <v>52</v>
      </c>
      <c r="AG27" s="37">
        <f t="shared" si="3"/>
        <v>5964.7376320000003</v>
      </c>
      <c r="AH27" s="37">
        <f t="shared" si="4"/>
        <v>1614.2022400000001</v>
      </c>
      <c r="AI27" s="37">
        <f t="shared" si="5"/>
        <v>377.51504</v>
      </c>
      <c r="AJ27" s="37">
        <f t="shared" si="6"/>
        <v>320.236896</v>
      </c>
      <c r="AK27" s="37">
        <f t="shared" si="7"/>
        <v>492.27961216000006</v>
      </c>
      <c r="AL27" s="23">
        <v>140.04</v>
      </c>
      <c r="AM27" s="23">
        <f t="shared" si="13"/>
        <v>44.812799999999996</v>
      </c>
      <c r="AN27" s="22">
        <v>79.2</v>
      </c>
      <c r="AO27" s="22">
        <f t="shared" si="8"/>
        <v>25.344000000000001</v>
      </c>
      <c r="AP27" s="23">
        <v>25452.6</v>
      </c>
      <c r="AQ27" s="23">
        <f t="shared" si="9"/>
        <v>26474.521889999996</v>
      </c>
      <c r="AR27" s="23">
        <f t="shared" si="14"/>
        <v>8471.8470047999981</v>
      </c>
      <c r="AS27" s="23">
        <f t="shared" si="15"/>
        <v>8542.0038047999988</v>
      </c>
      <c r="AU27" s="20">
        <f t="shared" si="16"/>
        <v>0</v>
      </c>
      <c r="AV27" s="37">
        <f t="shared" si="10"/>
        <v>17310.975224959999</v>
      </c>
      <c r="AW27" s="37">
        <f t="shared" si="17"/>
        <v>43346.495224960003</v>
      </c>
      <c r="AX27" s="20" t="s">
        <v>6675</v>
      </c>
      <c r="AY27" s="20" t="s">
        <v>6820</v>
      </c>
      <c r="AZ27" s="20" t="s">
        <v>6821</v>
      </c>
      <c r="BA27" s="20" t="str">
        <f t="shared" si="11"/>
        <v>0.32 - TPP_COORD - Clemente Ruiz, Jesus</v>
      </c>
    </row>
    <row r="28" spans="1:53" ht="12.75" hidden="1" customHeight="1" x14ac:dyDescent="0.25">
      <c r="A28" s="20">
        <v>28</v>
      </c>
      <c r="B28" s="20" t="s">
        <v>6725</v>
      </c>
      <c r="C28" s="20" t="s">
        <v>6816</v>
      </c>
      <c r="D28" s="20" t="s">
        <v>6817</v>
      </c>
      <c r="E28" s="21">
        <v>1</v>
      </c>
      <c r="F28" s="34"/>
      <c r="G28" s="35" t="s">
        <v>6818</v>
      </c>
      <c r="H28" s="20" t="s">
        <v>6741</v>
      </c>
      <c r="K28" s="23">
        <v>81361</v>
      </c>
      <c r="L28" s="23">
        <f t="shared" si="0"/>
        <v>81361</v>
      </c>
      <c r="V28" s="23">
        <f t="shared" si="1"/>
        <v>81361</v>
      </c>
      <c r="W28" s="36">
        <v>0.68</v>
      </c>
      <c r="X28" s="23">
        <f t="shared" si="2"/>
        <v>55325.48</v>
      </c>
      <c r="Y28" s="20" t="s">
        <v>3754</v>
      </c>
      <c r="Z28" s="35" t="s">
        <v>6731</v>
      </c>
      <c r="AA28" s="35" t="s">
        <v>6804</v>
      </c>
      <c r="AB28" s="35" t="s">
        <v>6733</v>
      </c>
      <c r="AC28" s="35" t="s">
        <v>6822</v>
      </c>
      <c r="AD28" s="35" t="s">
        <v>6744</v>
      </c>
      <c r="AE28" s="37" t="str">
        <f t="shared" si="12"/>
        <v>52</v>
      </c>
      <c r="AG28" s="37">
        <f t="shared" si="3"/>
        <v>12675.067468000001</v>
      </c>
      <c r="AH28" s="37">
        <f t="shared" si="4"/>
        <v>3430.17976</v>
      </c>
      <c r="AI28" s="37">
        <f t="shared" si="5"/>
        <v>802.21946000000014</v>
      </c>
      <c r="AJ28" s="37">
        <f t="shared" si="6"/>
        <v>680.50340400000005</v>
      </c>
      <c r="AK28" s="37">
        <f t="shared" si="7"/>
        <v>1046.0941758400002</v>
      </c>
      <c r="AL28" s="23">
        <v>140.04</v>
      </c>
      <c r="AM28" s="23">
        <f t="shared" si="13"/>
        <v>95.227199999999996</v>
      </c>
      <c r="AN28" s="22">
        <v>79.2</v>
      </c>
      <c r="AO28" s="22">
        <f t="shared" si="8"/>
        <v>53.856000000000009</v>
      </c>
      <c r="AP28" s="23">
        <v>25452.6</v>
      </c>
      <c r="AQ28" s="23">
        <f t="shared" si="9"/>
        <v>26474.521889999996</v>
      </c>
      <c r="AR28" s="23">
        <f t="shared" si="14"/>
        <v>18002.674885199998</v>
      </c>
      <c r="AS28" s="23">
        <f t="shared" si="15"/>
        <v>18151.758085199999</v>
      </c>
      <c r="AU28" s="20">
        <f t="shared" si="16"/>
        <v>0</v>
      </c>
      <c r="AV28" s="37">
        <f t="shared" si="10"/>
        <v>36785.822353039999</v>
      </c>
      <c r="AW28" s="37">
        <f t="shared" si="17"/>
        <v>92111.302353039995</v>
      </c>
      <c r="AX28" s="20" t="s">
        <v>6675</v>
      </c>
      <c r="AY28" s="20" t="s">
        <v>6820</v>
      </c>
      <c r="AZ28" s="20" t="s">
        <v>6823</v>
      </c>
      <c r="BA28" s="20" t="str">
        <f t="shared" si="11"/>
        <v>0.68 - TPP_COORD - Clemente Ruiz, Jesus</v>
      </c>
    </row>
    <row r="29" spans="1:53" ht="12.75" customHeight="1" x14ac:dyDescent="0.25">
      <c r="A29" s="20">
        <v>29</v>
      </c>
      <c r="B29" s="20" t="s">
        <v>6725</v>
      </c>
      <c r="C29" s="20" t="s">
        <v>6824</v>
      </c>
      <c r="D29" s="20" t="s">
        <v>6825</v>
      </c>
      <c r="E29" s="21">
        <v>1</v>
      </c>
      <c r="G29" s="35" t="s">
        <v>6728</v>
      </c>
      <c r="H29" s="20" t="s">
        <v>6741</v>
      </c>
      <c r="K29" s="23">
        <v>77440</v>
      </c>
      <c r="L29" s="23">
        <f t="shared" si="0"/>
        <v>77440</v>
      </c>
      <c r="U29" s="23">
        <v>600</v>
      </c>
      <c r="V29" s="23">
        <f t="shared" si="1"/>
        <v>78040</v>
      </c>
      <c r="W29" s="36">
        <v>1</v>
      </c>
      <c r="X29" s="23">
        <f t="shared" si="2"/>
        <v>78040</v>
      </c>
      <c r="Y29" s="20" t="s">
        <v>1001</v>
      </c>
      <c r="Z29" s="35" t="s">
        <v>6758</v>
      </c>
      <c r="AA29" s="35" t="s">
        <v>6826</v>
      </c>
      <c r="AB29" s="35" t="s">
        <v>6733</v>
      </c>
      <c r="AC29" s="35" t="s">
        <v>6805</v>
      </c>
      <c r="AD29" s="35" t="s">
        <v>6744</v>
      </c>
      <c r="AE29" s="37" t="str">
        <f t="shared" si="12"/>
        <v>52</v>
      </c>
      <c r="AG29" s="37">
        <f t="shared" si="3"/>
        <v>17878.964</v>
      </c>
      <c r="AH29" s="37">
        <f t="shared" si="4"/>
        <v>4838.4799999999996</v>
      </c>
      <c r="AI29" s="37">
        <f t="shared" si="5"/>
        <v>1131.5800000000002</v>
      </c>
      <c r="AJ29" s="37">
        <f t="shared" si="6"/>
        <v>959.89200000000005</v>
      </c>
      <c r="AK29" s="37">
        <f t="shared" si="7"/>
        <v>1475.58032</v>
      </c>
      <c r="AL29" s="23">
        <v>140.04</v>
      </c>
      <c r="AM29" s="23">
        <f t="shared" si="13"/>
        <v>140.04</v>
      </c>
      <c r="AN29" s="22">
        <v>79.2</v>
      </c>
      <c r="AO29" s="22">
        <f t="shared" si="8"/>
        <v>79.2</v>
      </c>
      <c r="AP29" s="23">
        <v>33444</v>
      </c>
      <c r="AQ29" s="23">
        <f t="shared" si="9"/>
        <v>34786.776599999997</v>
      </c>
      <c r="AR29" s="23">
        <f t="shared" si="14"/>
        <v>34786.776599999997</v>
      </c>
      <c r="AS29" s="23">
        <f t="shared" si="15"/>
        <v>35006.016599999995</v>
      </c>
      <c r="AU29" s="20">
        <f t="shared" si="16"/>
        <v>0</v>
      </c>
      <c r="AV29" s="37">
        <f t="shared" si="10"/>
        <v>61290.512920000001</v>
      </c>
      <c r="AW29" s="37">
        <f t="shared" si="17"/>
        <v>139330.51292000001</v>
      </c>
      <c r="BA29" s="20" t="str">
        <f t="shared" si="11"/>
        <v>1 - CURR_SCH_L - Cortez, Herbert</v>
      </c>
    </row>
    <row r="30" spans="1:53" ht="12.75" hidden="1" customHeight="1" x14ac:dyDescent="0.25">
      <c r="A30" s="20">
        <v>30</v>
      </c>
      <c r="B30" s="20" t="s">
        <v>6725</v>
      </c>
      <c r="C30" s="20" t="s">
        <v>6827</v>
      </c>
      <c r="D30" s="20" t="s">
        <v>6767</v>
      </c>
      <c r="E30" s="21">
        <v>1</v>
      </c>
      <c r="F30" s="34">
        <v>44593</v>
      </c>
      <c r="G30" s="35" t="s">
        <v>6757</v>
      </c>
      <c r="H30" s="20" t="s">
        <v>6783</v>
      </c>
      <c r="I30" s="22">
        <f>4575*7</f>
        <v>32025</v>
      </c>
      <c r="J30" s="20" t="s">
        <v>6729</v>
      </c>
      <c r="K30" s="23">
        <f>4804*5</f>
        <v>24020</v>
      </c>
      <c r="L30" s="23">
        <f t="shared" si="0"/>
        <v>56045</v>
      </c>
      <c r="U30" s="23">
        <v>1200</v>
      </c>
      <c r="V30" s="23">
        <f t="shared" si="1"/>
        <v>57245</v>
      </c>
      <c r="W30" s="36">
        <v>0.7</v>
      </c>
      <c r="X30" s="23">
        <f t="shared" si="2"/>
        <v>40071.5</v>
      </c>
      <c r="Y30" s="20" t="s">
        <v>5078</v>
      </c>
      <c r="Z30" s="35" t="s">
        <v>6731</v>
      </c>
      <c r="AA30" s="35" t="s">
        <v>6732</v>
      </c>
      <c r="AB30" s="35" t="s">
        <v>6733</v>
      </c>
      <c r="AC30" s="35" t="s">
        <v>6828</v>
      </c>
      <c r="AD30" s="35" t="s">
        <v>6744</v>
      </c>
      <c r="AE30" s="37" t="str">
        <f t="shared" si="12"/>
        <v>52</v>
      </c>
      <c r="AG30" s="37">
        <f t="shared" si="3"/>
        <v>9180.3806499999992</v>
      </c>
      <c r="AH30" s="37">
        <f t="shared" si="4"/>
        <v>2484.433</v>
      </c>
      <c r="AI30" s="37">
        <f t="shared" si="5"/>
        <v>581.03674999999998</v>
      </c>
      <c r="AJ30" s="37">
        <f t="shared" si="6"/>
        <v>492.87945000000002</v>
      </c>
      <c r="AK30" s="37">
        <f t="shared" si="7"/>
        <v>757.671922</v>
      </c>
      <c r="AL30" s="23">
        <v>140.04</v>
      </c>
      <c r="AM30" s="23">
        <f t="shared" si="13"/>
        <v>98.027999999999992</v>
      </c>
      <c r="AN30" s="22">
        <v>79.2</v>
      </c>
      <c r="AO30" s="22">
        <f t="shared" si="8"/>
        <v>55.44</v>
      </c>
      <c r="AP30" s="23">
        <v>33444</v>
      </c>
      <c r="AQ30" s="23">
        <f t="shared" si="9"/>
        <v>34786.776599999997</v>
      </c>
      <c r="AR30" s="23">
        <f t="shared" si="14"/>
        <v>24350.743619999997</v>
      </c>
      <c r="AS30" s="23">
        <f t="shared" si="15"/>
        <v>24504.211619999998</v>
      </c>
      <c r="AU30" s="20">
        <f t="shared" si="16"/>
        <v>0</v>
      </c>
      <c r="AV30" s="37">
        <f t="shared" si="10"/>
        <v>38000.613391999999</v>
      </c>
      <c r="AW30" s="37">
        <f t="shared" si="17"/>
        <v>78072.113391999999</v>
      </c>
      <c r="AX30" s="20" t="s">
        <v>6675</v>
      </c>
      <c r="AY30" s="20" t="s">
        <v>6829</v>
      </c>
      <c r="AZ30" s="20" t="s">
        <v>6830</v>
      </c>
      <c r="BA30" s="20" t="str">
        <f t="shared" si="11"/>
        <v>0.7 - PROGASST_I - De Leon, Maria</v>
      </c>
    </row>
    <row r="31" spans="1:53" ht="12.75" customHeight="1" x14ac:dyDescent="0.25">
      <c r="A31" s="20">
        <v>31</v>
      </c>
      <c r="B31" s="20" t="s">
        <v>6725</v>
      </c>
      <c r="C31" s="20" t="s">
        <v>6831</v>
      </c>
      <c r="D31" s="20" t="s">
        <v>6770</v>
      </c>
      <c r="E31" s="21">
        <v>0.83329999999999993</v>
      </c>
      <c r="F31" s="34"/>
      <c r="G31" s="35" t="s">
        <v>6771</v>
      </c>
      <c r="H31" s="20" t="s">
        <v>6741</v>
      </c>
      <c r="K31" s="23">
        <f>62008*E31</f>
        <v>51671.266399999993</v>
      </c>
      <c r="L31" s="23">
        <f t="shared" si="0"/>
        <v>51671.266399999993</v>
      </c>
      <c r="V31" s="23">
        <f t="shared" si="1"/>
        <v>51671.266399999993</v>
      </c>
      <c r="W31" s="36">
        <v>1</v>
      </c>
      <c r="X31" s="23">
        <f t="shared" si="2"/>
        <v>51671.266399999993</v>
      </c>
      <c r="Y31" s="20" t="s">
        <v>1624</v>
      </c>
      <c r="Z31" s="35" t="s">
        <v>6758</v>
      </c>
      <c r="AA31" s="35" t="s">
        <v>6772</v>
      </c>
      <c r="AB31" s="35" t="s">
        <v>6733</v>
      </c>
      <c r="AC31" s="35" t="s">
        <v>6773</v>
      </c>
      <c r="AD31" s="35" t="s">
        <v>6735</v>
      </c>
      <c r="AE31" s="37" t="str">
        <f t="shared" si="12"/>
        <v>52</v>
      </c>
      <c r="AG31" s="37">
        <f t="shared" si="3"/>
        <v>11837.887132239999</v>
      </c>
      <c r="AH31" s="37">
        <f t="shared" si="4"/>
        <v>3203.6185167999997</v>
      </c>
      <c r="AI31" s="37">
        <f t="shared" si="5"/>
        <v>749.2333627999999</v>
      </c>
      <c r="AJ31" s="37">
        <f t="shared" si="6"/>
        <v>635.55657671999995</v>
      </c>
      <c r="AK31" s="37">
        <f t="shared" si="7"/>
        <v>977.00030509119995</v>
      </c>
      <c r="AL31" s="23">
        <v>140.04</v>
      </c>
      <c r="AM31" s="23">
        <f t="shared" si="13"/>
        <v>140.04</v>
      </c>
      <c r="AN31" s="22">
        <v>79.2</v>
      </c>
      <c r="AO31" s="22">
        <f t="shared" si="8"/>
        <v>79.2</v>
      </c>
      <c r="AP31" s="23">
        <v>17424</v>
      </c>
      <c r="AQ31" s="23">
        <f t="shared" si="9"/>
        <v>18123.5736</v>
      </c>
      <c r="AR31" s="23">
        <f t="shared" si="14"/>
        <v>18123.5736</v>
      </c>
      <c r="AS31" s="23">
        <f t="shared" si="15"/>
        <v>18342.813600000001</v>
      </c>
      <c r="AT31" s="37">
        <v>2400</v>
      </c>
      <c r="AU31" s="20">
        <f t="shared" si="16"/>
        <v>2400</v>
      </c>
      <c r="AV31" s="37">
        <f t="shared" si="10"/>
        <v>38146.109493651194</v>
      </c>
      <c r="AW31" s="37">
        <f t="shared" si="17"/>
        <v>89817.375893651188</v>
      </c>
      <c r="BA31" s="20" t="str">
        <f t="shared" si="11"/>
        <v>1 - SCILABTEC - Deiss, Melanie</v>
      </c>
    </row>
    <row r="32" spans="1:53" ht="12.75" hidden="1" customHeight="1" x14ac:dyDescent="0.25">
      <c r="A32" s="20">
        <v>32</v>
      </c>
      <c r="B32" s="20" t="s">
        <v>6725</v>
      </c>
      <c r="C32" s="20" t="s">
        <v>6832</v>
      </c>
      <c r="D32" s="20" t="s">
        <v>6785</v>
      </c>
      <c r="E32" s="21">
        <v>1</v>
      </c>
      <c r="F32" s="34"/>
      <c r="G32" s="35" t="s">
        <v>6786</v>
      </c>
      <c r="H32" s="20" t="s">
        <v>6741</v>
      </c>
      <c r="K32" s="23">
        <v>59019</v>
      </c>
      <c r="L32" s="23">
        <f t="shared" si="0"/>
        <v>59019</v>
      </c>
      <c r="U32" s="23">
        <v>600</v>
      </c>
      <c r="V32" s="23">
        <f t="shared" si="1"/>
        <v>59619</v>
      </c>
      <c r="W32" s="36">
        <v>1</v>
      </c>
      <c r="X32" s="23">
        <f t="shared" si="2"/>
        <v>59619</v>
      </c>
      <c r="Y32" s="20" t="s">
        <v>4523</v>
      </c>
      <c r="Z32" s="35" t="s">
        <v>6731</v>
      </c>
      <c r="AA32" s="35" t="s">
        <v>6742</v>
      </c>
      <c r="AB32" s="35" t="s">
        <v>6733</v>
      </c>
      <c r="AC32" s="35" t="s">
        <v>6747</v>
      </c>
      <c r="AD32" s="35" t="s">
        <v>6744</v>
      </c>
      <c r="AE32" s="37" t="str">
        <f t="shared" si="12"/>
        <v>52</v>
      </c>
      <c r="AG32" s="37">
        <f t="shared" si="3"/>
        <v>13658.7129</v>
      </c>
      <c r="AH32" s="37">
        <f t="shared" si="4"/>
        <v>3696.3780000000002</v>
      </c>
      <c r="AI32" s="37">
        <f t="shared" si="5"/>
        <v>864.47550000000001</v>
      </c>
      <c r="AJ32" s="37">
        <f t="shared" si="6"/>
        <v>733.31370000000004</v>
      </c>
      <c r="AK32" s="37">
        <f t="shared" si="7"/>
        <v>1127.2760520000002</v>
      </c>
      <c r="AL32" s="23">
        <v>140.04</v>
      </c>
      <c r="AM32" s="23">
        <f t="shared" si="13"/>
        <v>140.04</v>
      </c>
      <c r="AN32" s="22">
        <v>79.2</v>
      </c>
      <c r="AO32" s="22">
        <f t="shared" si="8"/>
        <v>79.2</v>
      </c>
      <c r="AP32" s="23">
        <v>17424</v>
      </c>
      <c r="AQ32" s="23">
        <f t="shared" si="9"/>
        <v>18123.5736</v>
      </c>
      <c r="AR32" s="23">
        <f t="shared" si="14"/>
        <v>18123.5736</v>
      </c>
      <c r="AS32" s="23">
        <f t="shared" si="15"/>
        <v>18342.813600000001</v>
      </c>
      <c r="AT32" s="37">
        <v>2400</v>
      </c>
      <c r="AU32" s="20">
        <f t="shared" si="16"/>
        <v>2400</v>
      </c>
      <c r="AV32" s="37">
        <f t="shared" si="10"/>
        <v>40822.969752000005</v>
      </c>
      <c r="AW32" s="37">
        <f t="shared" si="17"/>
        <v>100441.969752</v>
      </c>
      <c r="AX32" s="20" t="s">
        <v>6675</v>
      </c>
      <c r="AY32" s="20" t="s">
        <v>6745</v>
      </c>
      <c r="AZ32" s="20" t="s">
        <v>6748</v>
      </c>
      <c r="BA32" s="20" t="str">
        <f t="shared" si="11"/>
        <v>1 - ADMASSTIII - Del Rio, Lluvia</v>
      </c>
    </row>
    <row r="33" spans="1:53" ht="12.75" hidden="1" customHeight="1" x14ac:dyDescent="0.25">
      <c r="A33" s="20">
        <v>33</v>
      </c>
      <c r="B33" s="20" t="s">
        <v>6725</v>
      </c>
      <c r="C33" s="20" t="s">
        <v>6833</v>
      </c>
      <c r="D33" s="20" t="s">
        <v>6798</v>
      </c>
      <c r="E33" s="21">
        <v>0.6</v>
      </c>
      <c r="G33" s="35" t="s">
        <v>6799</v>
      </c>
      <c r="H33" s="20" t="s">
        <v>6741</v>
      </c>
      <c r="K33" s="23">
        <f>50892*E33</f>
        <v>30535.199999999997</v>
      </c>
      <c r="L33" s="23">
        <f t="shared" si="0"/>
        <v>30535.199999999997</v>
      </c>
      <c r="Q33" s="26">
        <v>2.5000000000000001E-2</v>
      </c>
      <c r="R33" s="23">
        <f>L33*Q33</f>
        <v>763.38</v>
      </c>
      <c r="T33" s="23">
        <f>M33*S33/12*9</f>
        <v>0</v>
      </c>
      <c r="U33" s="23">
        <v>600</v>
      </c>
      <c r="V33" s="23">
        <f t="shared" si="1"/>
        <v>31898.579999999998</v>
      </c>
      <c r="W33" s="36">
        <v>1</v>
      </c>
      <c r="X33" s="23">
        <f t="shared" si="2"/>
        <v>31898.579999999998</v>
      </c>
      <c r="Y33" s="20" t="s">
        <v>6031</v>
      </c>
      <c r="Z33" s="35" t="s">
        <v>6731</v>
      </c>
      <c r="AA33" s="35" t="s">
        <v>6834</v>
      </c>
      <c r="AB33" s="35" t="s">
        <v>6733</v>
      </c>
      <c r="AC33" s="35" t="s">
        <v>6835</v>
      </c>
      <c r="AD33" s="35" t="s">
        <v>6744</v>
      </c>
      <c r="AE33" s="37" t="str">
        <f t="shared" si="12"/>
        <v>52</v>
      </c>
      <c r="AG33" s="37">
        <f t="shared" si="3"/>
        <v>7307.9646779999994</v>
      </c>
      <c r="AH33" s="37">
        <f t="shared" si="4"/>
        <v>1977.7119599999999</v>
      </c>
      <c r="AI33" s="37">
        <f t="shared" si="5"/>
        <v>462.52940999999998</v>
      </c>
      <c r="AJ33" s="37">
        <f t="shared" si="6"/>
        <v>392.35253399999999</v>
      </c>
      <c r="AK33" s="37">
        <f t="shared" si="7"/>
        <v>603.13835064</v>
      </c>
      <c r="AL33" s="23">
        <v>140.04</v>
      </c>
      <c r="AM33" s="23">
        <f t="shared" si="13"/>
        <v>140.04</v>
      </c>
      <c r="AO33" s="22">
        <f t="shared" si="8"/>
        <v>0</v>
      </c>
      <c r="AP33" s="23">
        <v>0</v>
      </c>
      <c r="AQ33" s="23">
        <f t="shared" si="9"/>
        <v>0</v>
      </c>
      <c r="AR33" s="23">
        <f t="shared" si="14"/>
        <v>0</v>
      </c>
      <c r="AS33" s="23">
        <f t="shared" si="15"/>
        <v>140.04</v>
      </c>
      <c r="AU33" s="20">
        <f t="shared" si="16"/>
        <v>0</v>
      </c>
      <c r="AV33" s="37">
        <f t="shared" si="10"/>
        <v>10883.736932639998</v>
      </c>
      <c r="AW33" s="37">
        <f t="shared" si="17"/>
        <v>42782.316932639995</v>
      </c>
      <c r="AX33" s="20" t="s">
        <v>6754</v>
      </c>
      <c r="AY33" s="20" t="s">
        <v>6836</v>
      </c>
      <c r="AZ33" s="20" t="s">
        <v>6837</v>
      </c>
      <c r="BA33" s="20" t="str">
        <f t="shared" si="11"/>
        <v>1 - ADM_ASST_I - Diaz, Eva</v>
      </c>
    </row>
    <row r="34" spans="1:53" ht="12.75" hidden="1" customHeight="1" x14ac:dyDescent="0.25">
      <c r="A34" s="20">
        <v>34</v>
      </c>
      <c r="B34" s="20" t="s">
        <v>6725</v>
      </c>
      <c r="C34" s="20" t="s">
        <v>6838</v>
      </c>
      <c r="D34" s="20" t="s">
        <v>6780</v>
      </c>
      <c r="E34" s="21">
        <v>1</v>
      </c>
      <c r="G34" s="35" t="s">
        <v>6839</v>
      </c>
      <c r="H34" s="20" t="s">
        <v>6741</v>
      </c>
      <c r="K34" s="23">
        <v>54807</v>
      </c>
      <c r="L34" s="23">
        <f t="shared" si="0"/>
        <v>54807</v>
      </c>
      <c r="U34" s="23">
        <v>600</v>
      </c>
      <c r="V34" s="23">
        <f t="shared" si="1"/>
        <v>55407</v>
      </c>
      <c r="W34" s="36">
        <v>0.25</v>
      </c>
      <c r="X34" s="23">
        <f t="shared" si="2"/>
        <v>13851.75</v>
      </c>
      <c r="Y34" s="20" t="s">
        <v>5184</v>
      </c>
      <c r="Z34" s="35" t="s">
        <v>6731</v>
      </c>
      <c r="AA34" s="35" t="s">
        <v>6840</v>
      </c>
      <c r="AB34" s="35" t="s">
        <v>6733</v>
      </c>
      <c r="AC34" s="35" t="s">
        <v>6841</v>
      </c>
      <c r="AD34" s="35" t="s">
        <v>6744</v>
      </c>
      <c r="AE34" s="37" t="str">
        <f t="shared" si="12"/>
        <v>52</v>
      </c>
      <c r="AG34" s="37">
        <f t="shared" ref="AG34:AG65" si="18">X34*$AG$1</f>
        <v>3173.4359249999998</v>
      </c>
      <c r="AH34" s="37">
        <f t="shared" si="4"/>
        <v>858.80849999999998</v>
      </c>
      <c r="AI34" s="37">
        <f t="shared" si="5"/>
        <v>200.85037500000001</v>
      </c>
      <c r="AJ34" s="37">
        <f t="shared" si="6"/>
        <v>170.37652500000002</v>
      </c>
      <c r="AK34" s="37">
        <f t="shared" si="7"/>
        <v>261.90888900000004</v>
      </c>
      <c r="AL34" s="23">
        <v>140.04</v>
      </c>
      <c r="AM34" s="23">
        <f t="shared" si="13"/>
        <v>35.01</v>
      </c>
      <c r="AN34" s="22">
        <v>79.2</v>
      </c>
      <c r="AO34" s="22">
        <f t="shared" si="8"/>
        <v>19.8</v>
      </c>
      <c r="AP34" s="23">
        <v>25452.6</v>
      </c>
      <c r="AQ34" s="23">
        <f t="shared" si="9"/>
        <v>26474.521889999996</v>
      </c>
      <c r="AR34" s="23">
        <f t="shared" si="14"/>
        <v>6618.6304724999991</v>
      </c>
      <c r="AS34" s="23">
        <f t="shared" si="15"/>
        <v>6673.4404724999995</v>
      </c>
      <c r="AU34" s="20">
        <f t="shared" si="16"/>
        <v>0</v>
      </c>
      <c r="AV34" s="37">
        <f t="shared" si="10"/>
        <v>11338.820686499999</v>
      </c>
      <c r="AW34" s="37">
        <f t="shared" si="17"/>
        <v>25190.570686499999</v>
      </c>
      <c r="AX34" s="20" t="s">
        <v>6675</v>
      </c>
      <c r="AY34" s="20" t="s">
        <v>6842</v>
      </c>
      <c r="AZ34" s="20" t="s">
        <v>6843</v>
      </c>
      <c r="BA34" s="20" t="str">
        <f t="shared" si="11"/>
        <v>0.25 - ADM_ASSTII - Downie, Mariana</v>
      </c>
    </row>
    <row r="35" spans="1:53" ht="12.75" hidden="1" customHeight="1" x14ac:dyDescent="0.25">
      <c r="A35" s="20">
        <v>35</v>
      </c>
      <c r="B35" s="20" t="s">
        <v>6725</v>
      </c>
      <c r="C35" s="20" t="s">
        <v>6838</v>
      </c>
      <c r="D35" s="20" t="s">
        <v>6780</v>
      </c>
      <c r="E35" s="21">
        <v>1</v>
      </c>
      <c r="G35" s="35" t="s">
        <v>6839</v>
      </c>
      <c r="H35" s="20" t="s">
        <v>6741</v>
      </c>
      <c r="K35" s="23">
        <v>54807</v>
      </c>
      <c r="L35" s="23">
        <f t="shared" si="0"/>
        <v>54807</v>
      </c>
      <c r="U35" s="23">
        <v>600</v>
      </c>
      <c r="V35" s="23">
        <f t="shared" si="1"/>
        <v>55407</v>
      </c>
      <c r="W35" s="36">
        <v>0.75</v>
      </c>
      <c r="X35" s="23">
        <f t="shared" si="2"/>
        <v>41555.25</v>
      </c>
      <c r="Y35" s="20" t="s">
        <v>5270</v>
      </c>
      <c r="Z35" s="35" t="s">
        <v>6731</v>
      </c>
      <c r="AA35" s="35" t="s">
        <v>6840</v>
      </c>
      <c r="AB35" s="35" t="s">
        <v>6733</v>
      </c>
      <c r="AC35" s="35" t="s">
        <v>6844</v>
      </c>
      <c r="AD35" s="35" t="s">
        <v>6744</v>
      </c>
      <c r="AE35" s="37" t="str">
        <f t="shared" si="12"/>
        <v>52</v>
      </c>
      <c r="AG35" s="37">
        <f t="shared" si="18"/>
        <v>9520.3077749999993</v>
      </c>
      <c r="AH35" s="37">
        <f t="shared" si="4"/>
        <v>2576.4254999999998</v>
      </c>
      <c r="AI35" s="37">
        <f t="shared" si="5"/>
        <v>602.55112500000007</v>
      </c>
      <c r="AJ35" s="37">
        <f t="shared" si="6"/>
        <v>511.12957499999999</v>
      </c>
      <c r="AK35" s="37">
        <f t="shared" si="7"/>
        <v>785.72666700000002</v>
      </c>
      <c r="AL35" s="23">
        <v>140.04</v>
      </c>
      <c r="AM35" s="23">
        <f t="shared" si="13"/>
        <v>105.03</v>
      </c>
      <c r="AN35" s="22">
        <v>79.2</v>
      </c>
      <c r="AO35" s="22">
        <f t="shared" si="8"/>
        <v>59.400000000000006</v>
      </c>
      <c r="AP35" s="23">
        <v>25452.6</v>
      </c>
      <c r="AQ35" s="23">
        <f t="shared" si="9"/>
        <v>26474.521889999996</v>
      </c>
      <c r="AR35" s="23">
        <f t="shared" si="14"/>
        <v>19855.891417499995</v>
      </c>
      <c r="AS35" s="23">
        <f t="shared" si="15"/>
        <v>20020.321417499996</v>
      </c>
      <c r="AU35" s="20">
        <f t="shared" si="16"/>
        <v>0</v>
      </c>
      <c r="AV35" s="37">
        <f t="shared" si="10"/>
        <v>34016.462059499994</v>
      </c>
      <c r="AW35" s="37">
        <f t="shared" si="17"/>
        <v>75571.712059499987</v>
      </c>
      <c r="AX35" s="20" t="s">
        <v>6675</v>
      </c>
      <c r="AY35" s="20" t="s">
        <v>6842</v>
      </c>
      <c r="AZ35" s="20" t="s">
        <v>6845</v>
      </c>
      <c r="BA35" s="20" t="str">
        <f t="shared" si="11"/>
        <v>0.75 - ADM_ASSTII - Downie, Mariana</v>
      </c>
    </row>
    <row r="36" spans="1:53" ht="12.75" customHeight="1" x14ac:dyDescent="0.25">
      <c r="A36" s="20">
        <v>36</v>
      </c>
      <c r="B36" s="20" t="s">
        <v>6725</v>
      </c>
      <c r="C36" s="20" t="s">
        <v>6846</v>
      </c>
      <c r="D36" s="20" t="s">
        <v>6785</v>
      </c>
      <c r="E36" s="21">
        <v>1</v>
      </c>
      <c r="G36" s="35" t="s">
        <v>6786</v>
      </c>
      <c r="H36" s="20" t="s">
        <v>6741</v>
      </c>
      <c r="K36" s="23">
        <v>59019</v>
      </c>
      <c r="L36" s="23">
        <f t="shared" si="0"/>
        <v>59019</v>
      </c>
      <c r="Q36" s="26">
        <v>0.05</v>
      </c>
      <c r="R36" s="23">
        <f>L36*Q36</f>
        <v>2950.9500000000003</v>
      </c>
      <c r="U36" s="23">
        <v>1800</v>
      </c>
      <c r="V36" s="23">
        <f t="shared" si="1"/>
        <v>63769.95</v>
      </c>
      <c r="W36" s="36">
        <v>1</v>
      </c>
      <c r="X36" s="23">
        <f t="shared" si="2"/>
        <v>63769.95</v>
      </c>
      <c r="Y36" s="20" t="s">
        <v>2542</v>
      </c>
      <c r="Z36" s="35" t="s">
        <v>6758</v>
      </c>
      <c r="AA36" s="35" t="s">
        <v>6847</v>
      </c>
      <c r="AB36" s="35" t="s">
        <v>6733</v>
      </c>
      <c r="AC36" s="35" t="s">
        <v>6805</v>
      </c>
      <c r="AD36" s="35" t="s">
        <v>6744</v>
      </c>
      <c r="AE36" s="37" t="str">
        <f t="shared" si="12"/>
        <v>52</v>
      </c>
      <c r="AG36" s="37">
        <f t="shared" si="18"/>
        <v>14609.695544999999</v>
      </c>
      <c r="AH36" s="37">
        <f t="shared" si="4"/>
        <v>3953.7368999999999</v>
      </c>
      <c r="AI36" s="37">
        <f t="shared" si="5"/>
        <v>924.66427499999998</v>
      </c>
      <c r="AJ36" s="37">
        <f t="shared" si="6"/>
        <v>784.37038499999994</v>
      </c>
      <c r="AK36" s="37">
        <f t="shared" si="7"/>
        <v>1205.7622146000001</v>
      </c>
      <c r="AL36" s="23">
        <v>140.04</v>
      </c>
      <c r="AM36" s="23">
        <f t="shared" si="13"/>
        <v>140.04</v>
      </c>
      <c r="AN36" s="22">
        <v>79.2</v>
      </c>
      <c r="AO36" s="22">
        <f t="shared" si="8"/>
        <v>79.2</v>
      </c>
      <c r="AP36" s="23">
        <v>33444</v>
      </c>
      <c r="AQ36" s="23">
        <f t="shared" si="9"/>
        <v>34786.776599999997</v>
      </c>
      <c r="AR36" s="23">
        <f t="shared" si="14"/>
        <v>34786.776599999997</v>
      </c>
      <c r="AS36" s="23">
        <f t="shared" si="15"/>
        <v>35006.016599999995</v>
      </c>
      <c r="AU36" s="20">
        <f t="shared" si="16"/>
        <v>0</v>
      </c>
      <c r="AV36" s="37">
        <f t="shared" si="10"/>
        <v>56484.245919599998</v>
      </c>
      <c r="AW36" s="37">
        <f t="shared" si="17"/>
        <v>120254.1959196</v>
      </c>
      <c r="BA36" s="20" t="str">
        <f t="shared" si="11"/>
        <v>1 - ADMASSTIII - Edeza, Delia S</v>
      </c>
    </row>
    <row r="37" spans="1:53" ht="12.75" hidden="1" customHeight="1" x14ac:dyDescent="0.25">
      <c r="A37" s="20">
        <v>37</v>
      </c>
      <c r="B37" s="20" t="s">
        <v>6725</v>
      </c>
      <c r="C37" s="20" t="s">
        <v>6848</v>
      </c>
      <c r="D37" s="20" t="s">
        <v>6727</v>
      </c>
      <c r="E37" s="21">
        <v>1</v>
      </c>
      <c r="G37" s="35" t="s">
        <v>6728</v>
      </c>
      <c r="H37" s="20" t="s">
        <v>6741</v>
      </c>
      <c r="K37" s="23">
        <v>77440</v>
      </c>
      <c r="L37" s="23">
        <f t="shared" si="0"/>
        <v>77440</v>
      </c>
      <c r="V37" s="23">
        <f t="shared" si="1"/>
        <v>77440</v>
      </c>
      <c r="W37" s="36">
        <v>0.5</v>
      </c>
      <c r="X37" s="23">
        <f t="shared" si="2"/>
        <v>38720</v>
      </c>
      <c r="Y37" s="20" t="s">
        <v>4144</v>
      </c>
      <c r="Z37" s="35" t="s">
        <v>6731</v>
      </c>
      <c r="AA37" s="35" t="s">
        <v>6772</v>
      </c>
      <c r="AB37" s="35" t="s">
        <v>6733</v>
      </c>
      <c r="AC37" s="35" t="s">
        <v>6849</v>
      </c>
      <c r="AD37" s="35" t="s">
        <v>6735</v>
      </c>
      <c r="AE37" s="37" t="str">
        <f t="shared" si="12"/>
        <v>52</v>
      </c>
      <c r="AG37" s="37">
        <f t="shared" si="18"/>
        <v>8870.7520000000004</v>
      </c>
      <c r="AH37" s="37">
        <f t="shared" si="4"/>
        <v>2400.64</v>
      </c>
      <c r="AI37" s="37">
        <f t="shared" si="5"/>
        <v>561.44000000000005</v>
      </c>
      <c r="AJ37" s="37">
        <f t="shared" si="6"/>
        <v>476.25600000000003</v>
      </c>
      <c r="AK37" s="37">
        <f t="shared" si="7"/>
        <v>732.11776000000009</v>
      </c>
      <c r="AL37" s="23">
        <v>140.04</v>
      </c>
      <c r="AM37" s="23">
        <f t="shared" si="13"/>
        <v>70.02</v>
      </c>
      <c r="AN37" s="22">
        <v>79.2</v>
      </c>
      <c r="AO37" s="22">
        <f t="shared" si="8"/>
        <v>39.6</v>
      </c>
      <c r="AP37" s="23">
        <v>13152</v>
      </c>
      <c r="AQ37" s="23">
        <f t="shared" si="9"/>
        <v>13680.052799999999</v>
      </c>
      <c r="AR37" s="23">
        <f t="shared" si="14"/>
        <v>6840.0263999999997</v>
      </c>
      <c r="AS37" s="23">
        <f t="shared" si="15"/>
        <v>6949.6463999999996</v>
      </c>
      <c r="AU37" s="20">
        <f t="shared" si="16"/>
        <v>0</v>
      </c>
      <c r="AV37" s="37">
        <f t="shared" si="10"/>
        <v>19990.852160000002</v>
      </c>
      <c r="AW37" s="37">
        <f t="shared" si="17"/>
        <v>58710.852160000002</v>
      </c>
      <c r="AX37" s="20" t="s">
        <v>6850</v>
      </c>
      <c r="AY37" s="20" t="s">
        <v>6851</v>
      </c>
      <c r="AZ37" s="20" t="s">
        <v>6852</v>
      </c>
      <c r="BA37" s="20" t="str">
        <f t="shared" si="11"/>
        <v>0.5 - ASUPSP - Fischler, Lisa</v>
      </c>
    </row>
    <row r="38" spans="1:53" ht="12.75" hidden="1" customHeight="1" x14ac:dyDescent="0.25">
      <c r="A38" s="20">
        <v>38</v>
      </c>
      <c r="B38" s="20" t="s">
        <v>6725</v>
      </c>
      <c r="C38" s="20" t="s">
        <v>6848</v>
      </c>
      <c r="D38" s="20" t="s">
        <v>6727</v>
      </c>
      <c r="E38" s="21">
        <v>1</v>
      </c>
      <c r="G38" s="35" t="s">
        <v>6728</v>
      </c>
      <c r="H38" s="20" t="s">
        <v>6741</v>
      </c>
      <c r="K38" s="23">
        <v>77440</v>
      </c>
      <c r="L38" s="23">
        <f t="shared" si="0"/>
        <v>77440</v>
      </c>
      <c r="V38" s="23">
        <f t="shared" si="1"/>
        <v>77440</v>
      </c>
      <c r="W38" s="36">
        <v>0.5</v>
      </c>
      <c r="X38" s="23">
        <f t="shared" si="2"/>
        <v>38720</v>
      </c>
      <c r="Y38" s="20" t="s">
        <v>5128</v>
      </c>
      <c r="Z38" s="35" t="s">
        <v>6731</v>
      </c>
      <c r="AA38" s="35" t="s">
        <v>6732</v>
      </c>
      <c r="AB38" s="35" t="s">
        <v>6733</v>
      </c>
      <c r="AC38" s="35" t="s">
        <v>6853</v>
      </c>
      <c r="AD38" s="35" t="s">
        <v>6735</v>
      </c>
      <c r="AE38" s="37" t="str">
        <f t="shared" si="12"/>
        <v>52</v>
      </c>
      <c r="AG38" s="37">
        <f t="shared" si="18"/>
        <v>8870.7520000000004</v>
      </c>
      <c r="AH38" s="37">
        <f t="shared" si="4"/>
        <v>2400.64</v>
      </c>
      <c r="AI38" s="37">
        <f t="shared" si="5"/>
        <v>561.44000000000005</v>
      </c>
      <c r="AJ38" s="37">
        <f t="shared" si="6"/>
        <v>476.25600000000003</v>
      </c>
      <c r="AK38" s="37">
        <f t="shared" si="7"/>
        <v>732.11776000000009</v>
      </c>
      <c r="AL38" s="23">
        <v>140.04</v>
      </c>
      <c r="AM38" s="23">
        <f t="shared" si="13"/>
        <v>70.02</v>
      </c>
      <c r="AN38" s="22">
        <v>79.2</v>
      </c>
      <c r="AO38" s="22">
        <f t="shared" si="8"/>
        <v>39.6</v>
      </c>
      <c r="AP38" s="23">
        <v>13152</v>
      </c>
      <c r="AQ38" s="23">
        <f t="shared" si="9"/>
        <v>13680.052799999999</v>
      </c>
      <c r="AR38" s="23">
        <f t="shared" si="14"/>
        <v>6840.0263999999997</v>
      </c>
      <c r="AS38" s="23">
        <f t="shared" si="15"/>
        <v>6949.6463999999996</v>
      </c>
      <c r="AU38" s="20">
        <f t="shared" si="16"/>
        <v>0</v>
      </c>
      <c r="AV38" s="37">
        <f t="shared" si="10"/>
        <v>19990.852160000002</v>
      </c>
      <c r="AW38" s="37">
        <f t="shared" si="17"/>
        <v>58710.852160000002</v>
      </c>
      <c r="AX38" s="20" t="s">
        <v>6675</v>
      </c>
      <c r="AY38" s="20" t="s">
        <v>6854</v>
      </c>
      <c r="AZ38" s="20" t="s">
        <v>6855</v>
      </c>
      <c r="BA38" s="20" t="str">
        <f t="shared" si="11"/>
        <v>0.5 - ASUPSP - Fischler, Lisa</v>
      </c>
    </row>
    <row r="39" spans="1:53" ht="12.75" customHeight="1" x14ac:dyDescent="0.25">
      <c r="A39" s="20">
        <v>39</v>
      </c>
      <c r="B39" s="20" t="s">
        <v>6725</v>
      </c>
      <c r="C39" s="20" t="s">
        <v>6856</v>
      </c>
      <c r="D39" s="20" t="s">
        <v>6857</v>
      </c>
      <c r="E39" s="21">
        <v>1</v>
      </c>
      <c r="G39" s="35" t="s">
        <v>6858</v>
      </c>
      <c r="H39" s="20" t="s">
        <v>6741</v>
      </c>
      <c r="K39" s="23">
        <v>109420</v>
      </c>
      <c r="L39" s="23">
        <f t="shared" si="0"/>
        <v>109420</v>
      </c>
      <c r="Q39" s="26">
        <v>0.05</v>
      </c>
      <c r="R39" s="23">
        <f>L39*Q39</f>
        <v>5471</v>
      </c>
      <c r="U39" s="23">
        <v>1200</v>
      </c>
      <c r="V39" s="23">
        <f t="shared" si="1"/>
        <v>116091</v>
      </c>
      <c r="W39" s="36">
        <v>1</v>
      </c>
      <c r="X39" s="23">
        <f t="shared" si="2"/>
        <v>116091</v>
      </c>
      <c r="Y39" s="20" t="s">
        <v>3290</v>
      </c>
      <c r="Z39" s="35" t="s">
        <v>6758</v>
      </c>
      <c r="AA39" s="35" t="s">
        <v>6777</v>
      </c>
      <c r="AB39" s="35" t="s">
        <v>6733</v>
      </c>
      <c r="AC39" s="35" t="s">
        <v>6778</v>
      </c>
      <c r="AD39" s="35" t="s">
        <v>6744</v>
      </c>
      <c r="AE39" s="37" t="str">
        <f t="shared" si="12"/>
        <v>52</v>
      </c>
      <c r="AG39" s="37">
        <f t="shared" si="18"/>
        <v>26596.448100000001</v>
      </c>
      <c r="AH39" s="37">
        <f t="shared" si="4"/>
        <v>7197.6419999999998</v>
      </c>
      <c r="AI39" s="37">
        <f t="shared" si="5"/>
        <v>1683.3195000000001</v>
      </c>
      <c r="AJ39" s="37">
        <f t="shared" si="6"/>
        <v>1427.9193</v>
      </c>
      <c r="AK39" s="37">
        <f t="shared" si="7"/>
        <v>2195.048628</v>
      </c>
      <c r="AL39" s="23">
        <v>140.04</v>
      </c>
      <c r="AM39" s="23">
        <f t="shared" si="13"/>
        <v>140.04</v>
      </c>
      <c r="AN39" s="22">
        <v>79.2</v>
      </c>
      <c r="AO39" s="22">
        <f t="shared" si="8"/>
        <v>79.2</v>
      </c>
      <c r="AP39" s="23">
        <v>23232</v>
      </c>
      <c r="AQ39" s="23">
        <f t="shared" si="9"/>
        <v>24164.764800000001</v>
      </c>
      <c r="AR39" s="23">
        <f t="shared" si="14"/>
        <v>24164.764800000001</v>
      </c>
      <c r="AS39" s="23">
        <f t="shared" si="15"/>
        <v>24384.004800000002</v>
      </c>
      <c r="AT39" s="37">
        <v>2400</v>
      </c>
      <c r="AU39" s="20">
        <f t="shared" si="16"/>
        <v>2400</v>
      </c>
      <c r="AV39" s="37">
        <f t="shared" si="10"/>
        <v>65884.382327999992</v>
      </c>
      <c r="AW39" s="37">
        <f t="shared" si="17"/>
        <v>181975.38232799998</v>
      </c>
      <c r="BA39" s="20" t="str">
        <f t="shared" si="11"/>
        <v>1 - WEBADMIN - Fitch, James D</v>
      </c>
    </row>
    <row r="40" spans="1:53" ht="12.75" customHeight="1" x14ac:dyDescent="0.25">
      <c r="A40" s="20">
        <v>40</v>
      </c>
      <c r="B40" s="20" t="s">
        <v>6725</v>
      </c>
      <c r="C40" s="20" t="s">
        <v>6859</v>
      </c>
      <c r="D40" s="20" t="s">
        <v>6860</v>
      </c>
      <c r="E40" s="21">
        <v>1</v>
      </c>
      <c r="G40" s="35" t="s">
        <v>6818</v>
      </c>
      <c r="H40" s="20" t="s">
        <v>6741</v>
      </c>
      <c r="K40" s="23">
        <v>81361</v>
      </c>
      <c r="L40" s="23">
        <f t="shared" si="0"/>
        <v>81361</v>
      </c>
      <c r="V40" s="23">
        <f t="shared" si="1"/>
        <v>81361</v>
      </c>
      <c r="W40" s="36">
        <v>0.2</v>
      </c>
      <c r="X40" s="23">
        <f t="shared" si="2"/>
        <v>16272.2</v>
      </c>
      <c r="Y40" s="20" t="s">
        <v>661</v>
      </c>
      <c r="Z40" s="35" t="s">
        <v>6758</v>
      </c>
      <c r="AA40" s="35" t="s">
        <v>6861</v>
      </c>
      <c r="AB40" s="35" t="s">
        <v>6733</v>
      </c>
      <c r="AC40" s="35" t="s">
        <v>6862</v>
      </c>
      <c r="AD40" s="35" t="s">
        <v>6744</v>
      </c>
      <c r="AE40" s="37" t="str">
        <f t="shared" si="12"/>
        <v>52</v>
      </c>
      <c r="AG40" s="37">
        <f t="shared" si="18"/>
        <v>3727.9610200000002</v>
      </c>
      <c r="AH40" s="37">
        <f t="shared" si="4"/>
        <v>1008.8764</v>
      </c>
      <c r="AI40" s="37">
        <f t="shared" si="5"/>
        <v>235.94690000000003</v>
      </c>
      <c r="AJ40" s="37">
        <f t="shared" si="6"/>
        <v>200.14806000000002</v>
      </c>
      <c r="AK40" s="37">
        <f t="shared" si="7"/>
        <v>307.67475760000002</v>
      </c>
      <c r="AL40" s="23">
        <v>140.04</v>
      </c>
      <c r="AM40" s="23">
        <f t="shared" si="13"/>
        <v>28.007999999999999</v>
      </c>
      <c r="AN40" s="22">
        <v>79.2</v>
      </c>
      <c r="AO40" s="22">
        <f t="shared" si="8"/>
        <v>15.840000000000002</v>
      </c>
      <c r="AP40" s="23">
        <v>25452.6</v>
      </c>
      <c r="AQ40" s="23">
        <f t="shared" si="9"/>
        <v>26474.521889999996</v>
      </c>
      <c r="AR40" s="23">
        <f t="shared" si="14"/>
        <v>5294.9043779999993</v>
      </c>
      <c r="AS40" s="23">
        <f t="shared" si="15"/>
        <v>5338.7523779999992</v>
      </c>
      <c r="AU40" s="20">
        <f t="shared" si="16"/>
        <v>0</v>
      </c>
      <c r="AV40" s="37">
        <f t="shared" si="10"/>
        <v>10819.359515599999</v>
      </c>
      <c r="AW40" s="37">
        <f t="shared" si="17"/>
        <v>27091.559515599998</v>
      </c>
      <c r="BA40" s="20" t="str">
        <f t="shared" si="11"/>
        <v>0.2 - BG_ACCT - Flores, Elizabeth</v>
      </c>
    </row>
    <row r="41" spans="1:53" ht="12.75" customHeight="1" x14ac:dyDescent="0.25">
      <c r="A41" s="20">
        <v>41</v>
      </c>
      <c r="B41" s="20" t="s">
        <v>6725</v>
      </c>
      <c r="C41" s="20" t="s">
        <v>6859</v>
      </c>
      <c r="D41" s="20" t="s">
        <v>6860</v>
      </c>
      <c r="E41" s="21">
        <v>1</v>
      </c>
      <c r="G41" s="35" t="s">
        <v>6818</v>
      </c>
      <c r="H41" s="20" t="s">
        <v>6741</v>
      </c>
      <c r="K41" s="23">
        <v>81361</v>
      </c>
      <c r="L41" s="23">
        <f t="shared" si="0"/>
        <v>81361</v>
      </c>
      <c r="V41" s="23">
        <f t="shared" si="1"/>
        <v>81361</v>
      </c>
      <c r="W41" s="36">
        <v>0.8</v>
      </c>
      <c r="X41" s="23">
        <f t="shared" si="2"/>
        <v>65088.800000000003</v>
      </c>
      <c r="Y41" s="20" t="s">
        <v>762</v>
      </c>
      <c r="Z41" s="35" t="s">
        <v>6758</v>
      </c>
      <c r="AA41" s="35" t="s">
        <v>6861</v>
      </c>
      <c r="AB41" s="35" t="s">
        <v>6733</v>
      </c>
      <c r="AC41" s="35" t="s">
        <v>6863</v>
      </c>
      <c r="AD41" s="35" t="s">
        <v>6744</v>
      </c>
      <c r="AE41" s="37" t="str">
        <f t="shared" si="12"/>
        <v>52</v>
      </c>
      <c r="AG41" s="37">
        <f t="shared" si="18"/>
        <v>14911.844080000001</v>
      </c>
      <c r="AH41" s="37">
        <f t="shared" si="4"/>
        <v>4035.5056</v>
      </c>
      <c r="AI41" s="37">
        <f t="shared" si="5"/>
        <v>943.78760000000011</v>
      </c>
      <c r="AJ41" s="37">
        <f t="shared" si="6"/>
        <v>800.59224000000006</v>
      </c>
      <c r="AK41" s="37">
        <f t="shared" si="7"/>
        <v>1230.6990304000001</v>
      </c>
      <c r="AL41" s="23">
        <v>140.04</v>
      </c>
      <c r="AM41" s="23">
        <f t="shared" si="13"/>
        <v>112.032</v>
      </c>
      <c r="AN41" s="22">
        <v>79.2</v>
      </c>
      <c r="AO41" s="22">
        <f t="shared" si="8"/>
        <v>63.360000000000007</v>
      </c>
      <c r="AP41" s="23">
        <v>25452.6</v>
      </c>
      <c r="AQ41" s="23">
        <f t="shared" si="9"/>
        <v>26474.521889999996</v>
      </c>
      <c r="AR41" s="23">
        <f t="shared" si="14"/>
        <v>21179.617511999997</v>
      </c>
      <c r="AS41" s="23">
        <f t="shared" si="15"/>
        <v>21355.009511999997</v>
      </c>
      <c r="AU41" s="20">
        <f t="shared" si="16"/>
        <v>0</v>
      </c>
      <c r="AV41" s="37">
        <f t="shared" si="10"/>
        <v>43277.438062399997</v>
      </c>
      <c r="AW41" s="37">
        <f t="shared" si="17"/>
        <v>108366.23806239999</v>
      </c>
      <c r="BA41" s="20" t="str">
        <f t="shared" si="11"/>
        <v>0.8 - BG_ACCT - Flores, Elizabeth</v>
      </c>
    </row>
    <row r="42" spans="1:53" ht="12.75" hidden="1" customHeight="1" x14ac:dyDescent="0.25">
      <c r="A42" s="20">
        <v>42</v>
      </c>
      <c r="B42" s="20" t="s">
        <v>6725</v>
      </c>
      <c r="C42" s="20" t="s">
        <v>6864</v>
      </c>
      <c r="D42" s="20" t="s">
        <v>6780</v>
      </c>
      <c r="E42" s="21">
        <v>1</v>
      </c>
      <c r="G42" s="35" t="s">
        <v>6839</v>
      </c>
      <c r="H42" s="20" t="s">
        <v>6741</v>
      </c>
      <c r="K42" s="23">
        <v>54807</v>
      </c>
      <c r="L42" s="23">
        <f t="shared" si="0"/>
        <v>54807</v>
      </c>
      <c r="U42" s="23">
        <v>600</v>
      </c>
      <c r="V42" s="23">
        <f t="shared" si="1"/>
        <v>55407</v>
      </c>
      <c r="W42" s="36">
        <v>1</v>
      </c>
      <c r="X42" s="23">
        <f t="shared" si="2"/>
        <v>55407</v>
      </c>
      <c r="Y42" s="20" t="s">
        <v>4762</v>
      </c>
      <c r="Z42" s="35" t="s">
        <v>6731</v>
      </c>
      <c r="AA42" s="35" t="s">
        <v>6742</v>
      </c>
      <c r="AB42" s="35" t="s">
        <v>6733</v>
      </c>
      <c r="AC42" s="35" t="s">
        <v>6865</v>
      </c>
      <c r="AD42" s="35" t="s">
        <v>6744</v>
      </c>
      <c r="AE42" s="37" t="str">
        <f t="shared" si="12"/>
        <v>52</v>
      </c>
      <c r="AG42" s="37">
        <f t="shared" si="18"/>
        <v>12693.743699999999</v>
      </c>
      <c r="AH42" s="37">
        <f t="shared" si="4"/>
        <v>3435.2339999999999</v>
      </c>
      <c r="AI42" s="37">
        <f t="shared" si="5"/>
        <v>803.40150000000006</v>
      </c>
      <c r="AJ42" s="37">
        <f t="shared" si="6"/>
        <v>681.50610000000006</v>
      </c>
      <c r="AK42" s="37">
        <f t="shared" si="7"/>
        <v>1047.6355560000002</v>
      </c>
      <c r="AL42" s="23">
        <v>140.04</v>
      </c>
      <c r="AM42" s="23">
        <f t="shared" si="13"/>
        <v>140.04</v>
      </c>
      <c r="AN42" s="22">
        <v>79.2</v>
      </c>
      <c r="AO42" s="22">
        <f t="shared" si="8"/>
        <v>79.2</v>
      </c>
      <c r="AP42" s="23">
        <v>7584</v>
      </c>
      <c r="AQ42" s="23">
        <f t="shared" si="9"/>
        <v>7888.4975999999997</v>
      </c>
      <c r="AR42" s="23">
        <f t="shared" si="14"/>
        <v>7888.4975999999997</v>
      </c>
      <c r="AS42" s="23">
        <f t="shared" si="15"/>
        <v>8107.7375999999995</v>
      </c>
      <c r="AT42" s="37">
        <v>2400</v>
      </c>
      <c r="AU42" s="20">
        <f t="shared" si="16"/>
        <v>2400</v>
      </c>
      <c r="AV42" s="37">
        <f t="shared" si="10"/>
        <v>29169.258456</v>
      </c>
      <c r="AW42" s="37">
        <f t="shared" si="17"/>
        <v>84576.258455999996</v>
      </c>
      <c r="AX42" s="20" t="s">
        <v>6866</v>
      </c>
      <c r="AY42" s="20" t="s">
        <v>6866</v>
      </c>
      <c r="AZ42" s="20" t="s">
        <v>6867</v>
      </c>
      <c r="BA42" s="20" t="str">
        <f t="shared" si="11"/>
        <v>1 - ADM_ASSTII - Fortman, Nonita</v>
      </c>
    </row>
    <row r="43" spans="1:53" ht="12.75" customHeight="1" x14ac:dyDescent="0.25">
      <c r="A43" s="20">
        <v>44</v>
      </c>
      <c r="B43" s="20" t="s">
        <v>6725</v>
      </c>
      <c r="C43" s="20" t="s">
        <v>6868</v>
      </c>
      <c r="D43" s="20" t="s">
        <v>6756</v>
      </c>
      <c r="E43" s="21">
        <v>1</v>
      </c>
      <c r="G43" s="35" t="s">
        <v>6757</v>
      </c>
      <c r="H43" s="20" t="s">
        <v>6741</v>
      </c>
      <c r="K43" s="23">
        <v>63557</v>
      </c>
      <c r="L43" s="23">
        <f t="shared" si="0"/>
        <v>63557</v>
      </c>
      <c r="Q43" s="26">
        <v>7.4999999999999997E-2</v>
      </c>
      <c r="R43" s="23">
        <f>L43*Q43</f>
        <v>4766.7749999999996</v>
      </c>
      <c r="U43" s="23">
        <v>1200</v>
      </c>
      <c r="V43" s="23">
        <f t="shared" si="1"/>
        <v>69523.774999999994</v>
      </c>
      <c r="W43" s="36">
        <v>1</v>
      </c>
      <c r="X43" s="23">
        <f t="shared" si="2"/>
        <v>69523.774999999994</v>
      </c>
      <c r="Y43" s="20" t="s">
        <v>480</v>
      </c>
      <c r="Z43" s="35" t="s">
        <v>6758</v>
      </c>
      <c r="AA43" s="35" t="s">
        <v>6869</v>
      </c>
      <c r="AB43" s="35" t="s">
        <v>6870</v>
      </c>
      <c r="AC43" s="35" t="s">
        <v>6805</v>
      </c>
      <c r="AD43" s="35" t="s">
        <v>6744</v>
      </c>
      <c r="AE43" s="37" t="str">
        <f t="shared" si="12"/>
        <v>52</v>
      </c>
      <c r="AG43" s="37">
        <f t="shared" si="18"/>
        <v>15927.896852499998</v>
      </c>
      <c r="AH43" s="37">
        <f t="shared" si="4"/>
        <v>4310.4740499999998</v>
      </c>
      <c r="AI43" s="37">
        <f t="shared" si="5"/>
        <v>1008.0947375</v>
      </c>
      <c r="AJ43" s="37">
        <f t="shared" si="6"/>
        <v>855.14243249999993</v>
      </c>
      <c r="AK43" s="37">
        <f t="shared" si="7"/>
        <v>1314.5555377000001</v>
      </c>
      <c r="AL43" s="23">
        <v>140.04</v>
      </c>
      <c r="AM43" s="23">
        <f t="shared" si="13"/>
        <v>140.04</v>
      </c>
      <c r="AN43" s="22">
        <v>79.2</v>
      </c>
      <c r="AO43" s="22">
        <f t="shared" si="8"/>
        <v>79.2</v>
      </c>
      <c r="AP43" s="23">
        <v>25452.6</v>
      </c>
      <c r="AQ43" s="23">
        <f t="shared" si="9"/>
        <v>26474.521889999996</v>
      </c>
      <c r="AR43" s="23">
        <f t="shared" si="14"/>
        <v>26474.521889999996</v>
      </c>
      <c r="AS43" s="23">
        <f t="shared" si="15"/>
        <v>26693.761889999998</v>
      </c>
      <c r="AU43" s="20">
        <f t="shared" si="16"/>
        <v>0</v>
      </c>
      <c r="AV43" s="37">
        <f t="shared" si="10"/>
        <v>50109.925500199999</v>
      </c>
      <c r="AW43" s="37">
        <f t="shared" si="17"/>
        <v>119633.70050019999</v>
      </c>
      <c r="BA43" s="20" t="str">
        <f t="shared" si="11"/>
        <v>1 - ESERV_SPEC - Galvan, Olga L</v>
      </c>
    </row>
    <row r="44" spans="1:53" ht="12.75" customHeight="1" x14ac:dyDescent="0.25">
      <c r="A44" s="20">
        <v>45</v>
      </c>
      <c r="B44" s="20" t="s">
        <v>6725</v>
      </c>
      <c r="C44" s="20" t="s">
        <v>6871</v>
      </c>
      <c r="D44" s="20" t="s">
        <v>6872</v>
      </c>
      <c r="E44" s="21">
        <v>1</v>
      </c>
      <c r="G44" s="35" t="s">
        <v>6873</v>
      </c>
      <c r="H44" s="20" t="s">
        <v>6741</v>
      </c>
      <c r="K44" s="23">
        <v>56176</v>
      </c>
      <c r="L44" s="23">
        <f t="shared" si="0"/>
        <v>56176</v>
      </c>
      <c r="U44" s="23">
        <v>1200</v>
      </c>
      <c r="V44" s="23">
        <f t="shared" si="1"/>
        <v>57376</v>
      </c>
      <c r="W44" s="36">
        <v>1</v>
      </c>
      <c r="X44" s="23">
        <f t="shared" si="2"/>
        <v>57376</v>
      </c>
      <c r="Y44" s="20" t="s">
        <v>661</v>
      </c>
      <c r="Z44" s="35" t="s">
        <v>6758</v>
      </c>
      <c r="AA44" s="35" t="s">
        <v>6861</v>
      </c>
      <c r="AB44" s="35" t="s">
        <v>6733</v>
      </c>
      <c r="AC44" s="35" t="s">
        <v>6862</v>
      </c>
      <c r="AD44" s="35" t="s">
        <v>6744</v>
      </c>
      <c r="AE44" s="37" t="str">
        <f t="shared" si="12"/>
        <v>52</v>
      </c>
      <c r="AG44" s="37">
        <f t="shared" si="18"/>
        <v>13144.8416</v>
      </c>
      <c r="AH44" s="37">
        <f t="shared" si="4"/>
        <v>3557.3119999999999</v>
      </c>
      <c r="AI44" s="37">
        <f t="shared" si="5"/>
        <v>831.952</v>
      </c>
      <c r="AJ44" s="37">
        <f t="shared" si="6"/>
        <v>705.72479999999996</v>
      </c>
      <c r="AK44" s="37">
        <f t="shared" si="7"/>
        <v>1084.8654080000001</v>
      </c>
      <c r="AL44" s="23">
        <v>140.04</v>
      </c>
      <c r="AM44" s="23">
        <f t="shared" si="13"/>
        <v>140.04</v>
      </c>
      <c r="AN44" s="22">
        <v>79.2</v>
      </c>
      <c r="AO44" s="22">
        <f t="shared" si="8"/>
        <v>79.2</v>
      </c>
      <c r="AP44" s="23">
        <v>23232</v>
      </c>
      <c r="AQ44" s="23">
        <f t="shared" si="9"/>
        <v>24164.764800000001</v>
      </c>
      <c r="AR44" s="23">
        <f t="shared" si="14"/>
        <v>24164.764800000001</v>
      </c>
      <c r="AS44" s="23">
        <f t="shared" si="15"/>
        <v>24384.004800000002</v>
      </c>
      <c r="AT44" s="37">
        <v>2400</v>
      </c>
      <c r="AU44" s="20">
        <f t="shared" si="16"/>
        <v>2400</v>
      </c>
      <c r="AV44" s="37">
        <f t="shared" si="10"/>
        <v>46108.700607999999</v>
      </c>
      <c r="AW44" s="37">
        <f t="shared" si="17"/>
        <v>103484.700608</v>
      </c>
      <c r="BA44" s="20" t="str">
        <f t="shared" si="11"/>
        <v>1 - ACCT_ASST - Amezola Garcia, Blanca</v>
      </c>
    </row>
    <row r="45" spans="1:53" ht="12.75" hidden="1" customHeight="1" x14ac:dyDescent="0.25">
      <c r="A45" s="20">
        <v>46</v>
      </c>
      <c r="B45" s="20" t="s">
        <v>6725</v>
      </c>
      <c r="C45" s="20" t="s">
        <v>6874</v>
      </c>
      <c r="D45" s="20" t="s">
        <v>6798</v>
      </c>
      <c r="E45" s="21">
        <v>1</v>
      </c>
      <c r="F45" s="34">
        <v>44440</v>
      </c>
      <c r="G45" s="35" t="s">
        <v>6799</v>
      </c>
      <c r="H45" s="20" t="s">
        <v>6729</v>
      </c>
      <c r="I45" s="22">
        <f>3847*2</f>
        <v>7694</v>
      </c>
      <c r="J45" s="20" t="s">
        <v>6730</v>
      </c>
      <c r="K45" s="23">
        <f>4039*10</f>
        <v>40390</v>
      </c>
      <c r="L45" s="23">
        <f t="shared" si="0"/>
        <v>48084</v>
      </c>
      <c r="U45" s="23">
        <v>1200</v>
      </c>
      <c r="V45" s="23">
        <f t="shared" si="1"/>
        <v>49284</v>
      </c>
      <c r="W45" s="36">
        <v>0.5</v>
      </c>
      <c r="X45" s="23">
        <f t="shared" si="2"/>
        <v>24642</v>
      </c>
      <c r="Y45" s="20" t="s">
        <v>5512</v>
      </c>
      <c r="Z45" s="35" t="s">
        <v>6731</v>
      </c>
      <c r="AA45" s="35" t="s">
        <v>6752</v>
      </c>
      <c r="AB45" s="35" t="s">
        <v>6733</v>
      </c>
      <c r="AC45" s="35" t="s">
        <v>6875</v>
      </c>
      <c r="AD45" s="35" t="s">
        <v>6744</v>
      </c>
      <c r="AE45" s="37" t="str">
        <f t="shared" si="12"/>
        <v>52</v>
      </c>
      <c r="AG45" s="37">
        <f t="shared" si="18"/>
        <v>5645.4822000000004</v>
      </c>
      <c r="AH45" s="37">
        <f t="shared" si="4"/>
        <v>1527.8040000000001</v>
      </c>
      <c r="AI45" s="37">
        <f t="shared" si="5"/>
        <v>357.30900000000003</v>
      </c>
      <c r="AJ45" s="37">
        <f t="shared" si="6"/>
        <v>303.09660000000002</v>
      </c>
      <c r="AK45" s="37">
        <f t="shared" si="7"/>
        <v>465.93093600000003</v>
      </c>
      <c r="AL45" s="23">
        <v>140.04</v>
      </c>
      <c r="AM45" s="23">
        <f t="shared" si="13"/>
        <v>70.02</v>
      </c>
      <c r="AN45" s="22">
        <v>79.2</v>
      </c>
      <c r="AO45" s="22">
        <f t="shared" si="8"/>
        <v>39.6</v>
      </c>
      <c r="AP45" s="23">
        <v>8820</v>
      </c>
      <c r="AQ45" s="23">
        <f t="shared" si="9"/>
        <v>9174.1229999999996</v>
      </c>
      <c r="AR45" s="23">
        <f t="shared" si="14"/>
        <v>4587.0614999999998</v>
      </c>
      <c r="AS45" s="23">
        <f t="shared" si="15"/>
        <v>4696.6814999999997</v>
      </c>
      <c r="AT45" s="23">
        <v>2400</v>
      </c>
      <c r="AU45" s="20">
        <f t="shared" si="16"/>
        <v>1200</v>
      </c>
      <c r="AV45" s="37">
        <f t="shared" si="10"/>
        <v>14196.304236000002</v>
      </c>
      <c r="AW45" s="37">
        <f t="shared" si="17"/>
        <v>38838.304236000004</v>
      </c>
      <c r="AX45" s="20" t="s">
        <v>6754</v>
      </c>
      <c r="AY45" s="20" t="s">
        <v>6876</v>
      </c>
      <c r="AZ45" s="20" t="s">
        <v>6877</v>
      </c>
      <c r="BA45" s="20" t="str">
        <f t="shared" si="11"/>
        <v>0.5 - ADM_ASST_I - Garcia, Claudia</v>
      </c>
    </row>
    <row r="46" spans="1:53" ht="12.75" hidden="1" customHeight="1" x14ac:dyDescent="0.25">
      <c r="A46" s="20" t="s">
        <v>6878</v>
      </c>
      <c r="B46" s="20" t="s">
        <v>6725</v>
      </c>
      <c r="C46" s="20" t="s">
        <v>6874</v>
      </c>
      <c r="D46" s="20" t="s">
        <v>6798</v>
      </c>
      <c r="E46" s="21">
        <v>1</v>
      </c>
      <c r="F46" s="34">
        <v>44440</v>
      </c>
      <c r="G46" s="35" t="s">
        <v>6799</v>
      </c>
      <c r="H46" s="20" t="s">
        <v>6729</v>
      </c>
      <c r="I46" s="22">
        <f>3847*2</f>
        <v>7694</v>
      </c>
      <c r="J46" s="20" t="s">
        <v>6730</v>
      </c>
      <c r="K46" s="23">
        <f>4039*10</f>
        <v>40390</v>
      </c>
      <c r="L46" s="23">
        <f t="shared" si="0"/>
        <v>48084</v>
      </c>
      <c r="U46" s="23">
        <v>1200</v>
      </c>
      <c r="V46" s="23">
        <f t="shared" si="1"/>
        <v>49284</v>
      </c>
      <c r="W46" s="36">
        <v>0.5</v>
      </c>
      <c r="X46" s="23">
        <f t="shared" si="2"/>
        <v>24642</v>
      </c>
      <c r="Y46" s="20" t="s">
        <v>5560</v>
      </c>
      <c r="Z46" s="35" t="s">
        <v>6731</v>
      </c>
      <c r="AA46" s="35" t="s">
        <v>6752</v>
      </c>
      <c r="AB46" s="35" t="s">
        <v>6733</v>
      </c>
      <c r="AC46" s="35" t="s">
        <v>6879</v>
      </c>
      <c r="AD46" s="35" t="s">
        <v>6744</v>
      </c>
      <c r="AE46" s="37" t="str">
        <f t="shared" si="12"/>
        <v>52</v>
      </c>
      <c r="AG46" s="37">
        <f t="shared" si="18"/>
        <v>5645.4822000000004</v>
      </c>
      <c r="AH46" s="37">
        <f t="shared" si="4"/>
        <v>1527.8040000000001</v>
      </c>
      <c r="AI46" s="37">
        <f t="shared" si="5"/>
        <v>357.30900000000003</v>
      </c>
      <c r="AJ46" s="37">
        <f t="shared" si="6"/>
        <v>303.09660000000002</v>
      </c>
      <c r="AK46" s="37">
        <f t="shared" si="7"/>
        <v>465.93093600000003</v>
      </c>
      <c r="AL46" s="23">
        <v>140.04</v>
      </c>
      <c r="AM46" s="23">
        <f t="shared" si="13"/>
        <v>70.02</v>
      </c>
      <c r="AN46" s="22">
        <v>79.2</v>
      </c>
      <c r="AO46" s="22">
        <f t="shared" si="8"/>
        <v>39.6</v>
      </c>
      <c r="AP46" s="23">
        <v>8820</v>
      </c>
      <c r="AQ46" s="23">
        <f t="shared" si="9"/>
        <v>9174.1229999999996</v>
      </c>
      <c r="AR46" s="23">
        <f t="shared" si="14"/>
        <v>4587.0614999999998</v>
      </c>
      <c r="AS46" s="23">
        <f t="shared" si="15"/>
        <v>4696.6814999999997</v>
      </c>
      <c r="AT46" s="23">
        <v>2400</v>
      </c>
      <c r="AU46" s="20">
        <f t="shared" si="16"/>
        <v>1200</v>
      </c>
      <c r="AV46" s="37">
        <f t="shared" si="10"/>
        <v>14196.304236000002</v>
      </c>
      <c r="AW46" s="37">
        <f t="shared" si="17"/>
        <v>38838.304236000004</v>
      </c>
      <c r="AX46" s="20" t="s">
        <v>6754</v>
      </c>
      <c r="AY46" s="20" t="s">
        <v>6876</v>
      </c>
      <c r="AZ46" s="20" t="s">
        <v>6880</v>
      </c>
      <c r="BA46" s="20" t="str">
        <f t="shared" si="11"/>
        <v>0.5 - ADM_ASST_I - Garcia, Claudia</v>
      </c>
    </row>
    <row r="47" spans="1:53" ht="12.75" customHeight="1" x14ac:dyDescent="0.25">
      <c r="A47" s="20">
        <v>47</v>
      </c>
      <c r="B47" s="20" t="s">
        <v>6725</v>
      </c>
      <c r="C47" s="20" t="s">
        <v>6881</v>
      </c>
      <c r="D47" s="20" t="s">
        <v>6882</v>
      </c>
      <c r="E47" s="21">
        <v>1</v>
      </c>
      <c r="G47" s="35" t="s">
        <v>6883</v>
      </c>
      <c r="H47" s="20" t="s">
        <v>6741</v>
      </c>
      <c r="K47" s="23">
        <v>66776</v>
      </c>
      <c r="L47" s="23">
        <f t="shared" si="0"/>
        <v>66776</v>
      </c>
      <c r="Q47" s="26">
        <v>0.05</v>
      </c>
      <c r="R47" s="23">
        <f>L47*Q47</f>
        <v>3338.8</v>
      </c>
      <c r="T47" s="23">
        <f>M47*S47/12*3</f>
        <v>0</v>
      </c>
      <c r="U47" s="23">
        <v>600</v>
      </c>
      <c r="V47" s="23">
        <f t="shared" si="1"/>
        <v>70714.8</v>
      </c>
      <c r="W47" s="36">
        <v>1</v>
      </c>
      <c r="X47" s="23">
        <f t="shared" si="2"/>
        <v>70714.8</v>
      </c>
      <c r="Y47" s="20" t="s">
        <v>1001</v>
      </c>
      <c r="Z47" s="35" t="s">
        <v>6758</v>
      </c>
      <c r="AA47" s="35" t="s">
        <v>6826</v>
      </c>
      <c r="AB47" s="35" t="s">
        <v>6733</v>
      </c>
      <c r="AC47" s="35" t="s">
        <v>6805</v>
      </c>
      <c r="AD47" s="35" t="s">
        <v>6744</v>
      </c>
      <c r="AE47" s="37" t="str">
        <f t="shared" si="12"/>
        <v>52</v>
      </c>
      <c r="AG47" s="37">
        <f t="shared" si="18"/>
        <v>16200.760680000001</v>
      </c>
      <c r="AH47" s="37">
        <f t="shared" si="4"/>
        <v>4384.3176000000003</v>
      </c>
      <c r="AI47" s="37">
        <f t="shared" si="5"/>
        <v>1025.3646000000001</v>
      </c>
      <c r="AJ47" s="37">
        <f t="shared" si="6"/>
        <v>869.79204000000004</v>
      </c>
      <c r="AK47" s="37">
        <f t="shared" si="7"/>
        <v>1337.0754384000002</v>
      </c>
      <c r="AL47" s="23">
        <v>140.04</v>
      </c>
      <c r="AM47" s="23">
        <f t="shared" si="13"/>
        <v>140.04</v>
      </c>
      <c r="AN47" s="22">
        <v>79.2</v>
      </c>
      <c r="AO47" s="22">
        <f t="shared" si="8"/>
        <v>79.2</v>
      </c>
      <c r="AP47" s="23">
        <v>33444</v>
      </c>
      <c r="AQ47" s="23">
        <f t="shared" si="9"/>
        <v>34786.776599999997</v>
      </c>
      <c r="AR47" s="23">
        <f t="shared" si="14"/>
        <v>34786.776599999997</v>
      </c>
      <c r="AS47" s="23">
        <f t="shared" si="15"/>
        <v>35006.016599999995</v>
      </c>
      <c r="AU47" s="20">
        <f t="shared" si="16"/>
        <v>0</v>
      </c>
      <c r="AV47" s="37">
        <f t="shared" si="10"/>
        <v>58823.326958400001</v>
      </c>
      <c r="AW47" s="37">
        <f t="shared" si="17"/>
        <v>129538.12695840001</v>
      </c>
      <c r="BA47" s="20" t="str">
        <f t="shared" si="11"/>
        <v>1 - CURR_SCH - Garcia, Ruby Y</v>
      </c>
    </row>
    <row r="48" spans="1:53" ht="12.75" hidden="1" customHeight="1" x14ac:dyDescent="0.25">
      <c r="A48" s="20">
        <v>48</v>
      </c>
      <c r="B48" s="20" t="s">
        <v>6725</v>
      </c>
      <c r="C48" s="20" t="s">
        <v>6884</v>
      </c>
      <c r="D48" s="20" t="s">
        <v>6885</v>
      </c>
      <c r="E48" s="21">
        <v>1</v>
      </c>
      <c r="G48" s="35" t="s">
        <v>6728</v>
      </c>
      <c r="H48" s="20" t="s">
        <v>6741</v>
      </c>
      <c r="K48" s="23">
        <v>77440</v>
      </c>
      <c r="L48" s="23">
        <f t="shared" si="0"/>
        <v>77440</v>
      </c>
      <c r="V48" s="23">
        <f t="shared" si="1"/>
        <v>77440</v>
      </c>
      <c r="W48" s="36">
        <v>1</v>
      </c>
      <c r="X48" s="23">
        <f t="shared" si="2"/>
        <v>77440</v>
      </c>
      <c r="Y48" s="20" t="s">
        <v>6031</v>
      </c>
      <c r="Z48" s="35" t="s">
        <v>6731</v>
      </c>
      <c r="AA48" s="35" t="s">
        <v>6834</v>
      </c>
      <c r="AB48" s="35" t="s">
        <v>6733</v>
      </c>
      <c r="AC48" s="35" t="s">
        <v>6835</v>
      </c>
      <c r="AD48" s="35" t="s">
        <v>6744</v>
      </c>
      <c r="AE48" s="37" t="str">
        <f t="shared" si="12"/>
        <v>52</v>
      </c>
      <c r="AG48" s="37">
        <f t="shared" si="18"/>
        <v>17741.504000000001</v>
      </c>
      <c r="AH48" s="37">
        <f t="shared" si="4"/>
        <v>4801.28</v>
      </c>
      <c r="AI48" s="37">
        <f t="shared" si="5"/>
        <v>1122.8800000000001</v>
      </c>
      <c r="AJ48" s="37">
        <f t="shared" si="6"/>
        <v>952.51200000000006</v>
      </c>
      <c r="AK48" s="37">
        <f t="shared" si="7"/>
        <v>1464.2355200000002</v>
      </c>
      <c r="AL48" s="23">
        <v>140.04</v>
      </c>
      <c r="AM48" s="23">
        <f t="shared" si="13"/>
        <v>140.04</v>
      </c>
      <c r="AN48" s="22">
        <v>79.2</v>
      </c>
      <c r="AO48" s="22">
        <f t="shared" si="8"/>
        <v>79.2</v>
      </c>
      <c r="AP48" s="23">
        <v>8820</v>
      </c>
      <c r="AQ48" s="23">
        <f t="shared" si="9"/>
        <v>9174.1229999999996</v>
      </c>
      <c r="AR48" s="23">
        <f t="shared" si="14"/>
        <v>9174.1229999999996</v>
      </c>
      <c r="AS48" s="23">
        <f t="shared" si="15"/>
        <v>9393.3629999999994</v>
      </c>
      <c r="AT48" s="37">
        <v>2400</v>
      </c>
      <c r="AU48" s="20">
        <f t="shared" si="16"/>
        <v>2400</v>
      </c>
      <c r="AV48" s="37">
        <f t="shared" si="10"/>
        <v>37875.774520000006</v>
      </c>
      <c r="AW48" s="37">
        <f t="shared" si="17"/>
        <v>115315.77452000001</v>
      </c>
      <c r="AX48" s="20" t="s">
        <v>6754</v>
      </c>
      <c r="AY48" s="20" t="s">
        <v>6836</v>
      </c>
      <c r="AZ48" s="20" t="s">
        <v>6837</v>
      </c>
      <c r="BA48" s="20" t="str">
        <f t="shared" si="11"/>
        <v xml:space="preserve">1 - DSPS_LEAD - Gentry, Heidi </v>
      </c>
    </row>
    <row r="49" spans="1:53" ht="12.75" customHeight="1" x14ac:dyDescent="0.25">
      <c r="A49" s="20">
        <v>49</v>
      </c>
      <c r="B49" s="20" t="s">
        <v>6725</v>
      </c>
      <c r="C49" s="20" t="s">
        <v>6886</v>
      </c>
      <c r="D49" s="20" t="s">
        <v>6887</v>
      </c>
      <c r="E49" s="21">
        <v>0.58299999999999996</v>
      </c>
      <c r="G49" s="35" t="s">
        <v>6888</v>
      </c>
      <c r="H49" s="20" t="s">
        <v>6741</v>
      </c>
      <c r="K49" s="23">
        <f>57581*E49</f>
        <v>33569.722999999998</v>
      </c>
      <c r="L49" s="23">
        <f t="shared" si="0"/>
        <v>33569.722999999998</v>
      </c>
      <c r="V49" s="23">
        <f t="shared" si="1"/>
        <v>33569.722999999998</v>
      </c>
      <c r="W49" s="36">
        <v>1</v>
      </c>
      <c r="X49" s="23">
        <f t="shared" si="2"/>
        <v>33569.722999999998</v>
      </c>
      <c r="Y49" s="20" t="s">
        <v>2592</v>
      </c>
      <c r="Z49" s="35" t="s">
        <v>6758</v>
      </c>
      <c r="AA49" s="35" t="s">
        <v>6847</v>
      </c>
      <c r="AB49" s="35" t="s">
        <v>6733</v>
      </c>
      <c r="AC49" s="35" t="s">
        <v>6889</v>
      </c>
      <c r="AD49" s="35" t="s">
        <v>6744</v>
      </c>
      <c r="AE49" s="37" t="str">
        <f t="shared" si="12"/>
        <v>52</v>
      </c>
      <c r="AG49" s="37">
        <f t="shared" si="18"/>
        <v>7690.8235392999995</v>
      </c>
      <c r="AH49" s="37">
        <f t="shared" si="4"/>
        <v>2081.3228260000001</v>
      </c>
      <c r="AI49" s="37">
        <f t="shared" si="5"/>
        <v>486.76098350000001</v>
      </c>
      <c r="AJ49" s="37">
        <f t="shared" si="6"/>
        <v>412.9075929</v>
      </c>
      <c r="AK49" s="37">
        <f t="shared" si="7"/>
        <v>634.73632248399997</v>
      </c>
      <c r="AL49" s="23">
        <v>140.04</v>
      </c>
      <c r="AM49" s="23">
        <f t="shared" si="13"/>
        <v>140.04</v>
      </c>
      <c r="AO49" s="22">
        <f t="shared" si="8"/>
        <v>0</v>
      </c>
      <c r="AP49" s="23">
        <v>0</v>
      </c>
      <c r="AQ49" s="23">
        <f t="shared" si="9"/>
        <v>0</v>
      </c>
      <c r="AR49" s="23">
        <f t="shared" si="14"/>
        <v>0</v>
      </c>
      <c r="AS49" s="23">
        <f t="shared" si="15"/>
        <v>140.04</v>
      </c>
      <c r="AU49" s="20">
        <f t="shared" si="16"/>
        <v>0</v>
      </c>
      <c r="AV49" s="37">
        <f t="shared" si="10"/>
        <v>11446.591264183999</v>
      </c>
      <c r="AW49" s="37">
        <f t="shared" si="17"/>
        <v>45016.314264183995</v>
      </c>
      <c r="BA49" s="20" t="str">
        <f t="shared" si="11"/>
        <v>1 - LIBTECH_I - Ghavamian, Babak</v>
      </c>
    </row>
    <row r="50" spans="1:53" ht="12.75" hidden="1" customHeight="1" x14ac:dyDescent="0.25">
      <c r="A50" s="20">
        <v>50</v>
      </c>
      <c r="B50" s="20" t="s">
        <v>6725</v>
      </c>
      <c r="C50" s="20" t="s">
        <v>6890</v>
      </c>
      <c r="D50" s="20" t="s">
        <v>6891</v>
      </c>
      <c r="E50" s="21">
        <v>1</v>
      </c>
      <c r="G50" s="35" t="s">
        <v>6728</v>
      </c>
      <c r="H50" s="20" t="s">
        <v>6741</v>
      </c>
      <c r="K50" s="23">
        <v>77440</v>
      </c>
      <c r="L50" s="23">
        <f t="shared" si="0"/>
        <v>77440</v>
      </c>
      <c r="Q50" s="26">
        <v>0.05</v>
      </c>
      <c r="R50" s="23">
        <f>L50*Q50</f>
        <v>3872</v>
      </c>
      <c r="T50" s="23">
        <f>M50*S50</f>
        <v>0</v>
      </c>
      <c r="V50" s="23">
        <f t="shared" si="1"/>
        <v>81312</v>
      </c>
      <c r="W50" s="36">
        <v>1</v>
      </c>
      <c r="X50" s="23">
        <f t="shared" si="2"/>
        <v>81312</v>
      </c>
      <c r="Y50" s="20" t="s">
        <v>4523</v>
      </c>
      <c r="Z50" s="35" t="s">
        <v>6731</v>
      </c>
      <c r="AA50" s="35" t="s">
        <v>6742</v>
      </c>
      <c r="AB50" s="35" t="s">
        <v>6733</v>
      </c>
      <c r="AC50" s="35" t="s">
        <v>6747</v>
      </c>
      <c r="AD50" s="35" t="s">
        <v>6744</v>
      </c>
      <c r="AE50" s="37" t="str">
        <f t="shared" si="12"/>
        <v>52</v>
      </c>
      <c r="AG50" s="37">
        <f t="shared" si="18"/>
        <v>18628.5792</v>
      </c>
      <c r="AH50" s="37">
        <f t="shared" si="4"/>
        <v>5041.3440000000001</v>
      </c>
      <c r="AI50" s="37">
        <f t="shared" si="5"/>
        <v>1179.0240000000001</v>
      </c>
      <c r="AJ50" s="37">
        <f t="shared" si="6"/>
        <v>1000.1376</v>
      </c>
      <c r="AK50" s="37">
        <f t="shared" si="7"/>
        <v>1537.4472960000001</v>
      </c>
      <c r="AL50" s="23">
        <v>140.04</v>
      </c>
      <c r="AM50" s="23">
        <f t="shared" si="13"/>
        <v>140.04</v>
      </c>
      <c r="AN50" s="22">
        <v>79.2</v>
      </c>
      <c r="AO50" s="22">
        <f t="shared" si="8"/>
        <v>79.2</v>
      </c>
      <c r="AP50" s="23">
        <v>23232</v>
      </c>
      <c r="AQ50" s="23">
        <f t="shared" si="9"/>
        <v>24164.764800000001</v>
      </c>
      <c r="AR50" s="23">
        <f t="shared" si="14"/>
        <v>24164.764800000001</v>
      </c>
      <c r="AS50" s="23">
        <f t="shared" si="15"/>
        <v>24384.004800000002</v>
      </c>
      <c r="AT50" s="37">
        <v>2400</v>
      </c>
      <c r="AU50" s="20">
        <f t="shared" si="16"/>
        <v>2400</v>
      </c>
      <c r="AV50" s="37">
        <f t="shared" si="10"/>
        <v>54170.536896000005</v>
      </c>
      <c r="AW50" s="37">
        <f t="shared" si="17"/>
        <v>135482.53689600001</v>
      </c>
      <c r="AX50" s="20" t="s">
        <v>6675</v>
      </c>
      <c r="AY50" s="20" t="s">
        <v>6745</v>
      </c>
      <c r="AZ50" s="20" t="s">
        <v>6748</v>
      </c>
      <c r="BA50" s="20" t="str">
        <f t="shared" si="11"/>
        <v>1 - COORD_JIP - Gonzales, Belen</v>
      </c>
    </row>
    <row r="51" spans="1:53" ht="12.75" hidden="1" customHeight="1" x14ac:dyDescent="0.25">
      <c r="A51" s="20">
        <v>51</v>
      </c>
      <c r="B51" s="20" t="s">
        <v>6725</v>
      </c>
      <c r="C51" s="20" t="s">
        <v>6892</v>
      </c>
      <c r="D51" s="20" t="s">
        <v>6727</v>
      </c>
      <c r="E51" s="21">
        <v>1</v>
      </c>
      <c r="F51" s="34"/>
      <c r="G51" s="35" t="s">
        <v>6728</v>
      </c>
      <c r="H51" s="20" t="s">
        <v>6741</v>
      </c>
      <c r="K51" s="23">
        <v>77440</v>
      </c>
      <c r="L51" s="23">
        <f t="shared" si="0"/>
        <v>77440</v>
      </c>
      <c r="U51" s="23">
        <v>600</v>
      </c>
      <c r="V51" s="23">
        <f t="shared" si="1"/>
        <v>78040</v>
      </c>
      <c r="W51" s="36">
        <v>1</v>
      </c>
      <c r="X51" s="23">
        <f t="shared" si="2"/>
        <v>78040</v>
      </c>
      <c r="Y51" s="20" t="s">
        <v>5128</v>
      </c>
      <c r="Z51" s="35" t="s">
        <v>6731</v>
      </c>
      <c r="AA51" s="35" t="s">
        <v>6732</v>
      </c>
      <c r="AB51" s="35" t="s">
        <v>6733</v>
      </c>
      <c r="AC51" s="35" t="s">
        <v>6853</v>
      </c>
      <c r="AD51" s="35" t="s">
        <v>6735</v>
      </c>
      <c r="AE51" s="37" t="str">
        <f t="shared" si="12"/>
        <v>52</v>
      </c>
      <c r="AG51" s="37">
        <f t="shared" si="18"/>
        <v>17878.964</v>
      </c>
      <c r="AH51" s="37">
        <f t="shared" si="4"/>
        <v>4838.4799999999996</v>
      </c>
      <c r="AI51" s="37">
        <f t="shared" si="5"/>
        <v>1131.5800000000002</v>
      </c>
      <c r="AJ51" s="37">
        <f t="shared" si="6"/>
        <v>959.89200000000005</v>
      </c>
      <c r="AK51" s="37">
        <f t="shared" si="7"/>
        <v>1475.58032</v>
      </c>
      <c r="AL51" s="23">
        <v>140.04</v>
      </c>
      <c r="AM51" s="23">
        <f t="shared" si="13"/>
        <v>140.04</v>
      </c>
      <c r="AN51" s="22">
        <v>79.2</v>
      </c>
      <c r="AO51" s="22">
        <f t="shared" si="8"/>
        <v>79.2</v>
      </c>
      <c r="AP51" s="23">
        <v>33444</v>
      </c>
      <c r="AQ51" s="23">
        <f t="shared" si="9"/>
        <v>34786.776599999997</v>
      </c>
      <c r="AR51" s="23">
        <f t="shared" si="14"/>
        <v>34786.776599999997</v>
      </c>
      <c r="AS51" s="23">
        <f t="shared" si="15"/>
        <v>35006.016599999995</v>
      </c>
      <c r="AU51" s="20">
        <f t="shared" si="16"/>
        <v>0</v>
      </c>
      <c r="AV51" s="37">
        <f t="shared" si="10"/>
        <v>61290.512920000001</v>
      </c>
      <c r="AW51" s="37">
        <f t="shared" si="17"/>
        <v>139330.51292000001</v>
      </c>
      <c r="AX51" s="20" t="s">
        <v>6675</v>
      </c>
      <c r="AY51" s="20" t="s">
        <v>6854</v>
      </c>
      <c r="AZ51" s="20" t="s">
        <v>6855</v>
      </c>
      <c r="BA51" s="20" t="str">
        <f t="shared" si="11"/>
        <v>1 - ASUPSP - Gonzalez, Carla</v>
      </c>
    </row>
    <row r="52" spans="1:53" ht="12.75" hidden="1" customHeight="1" x14ac:dyDescent="0.25">
      <c r="A52" s="20">
        <v>52</v>
      </c>
      <c r="B52" s="20" t="s">
        <v>6725</v>
      </c>
      <c r="C52" s="20" t="s">
        <v>6893</v>
      </c>
      <c r="D52" s="20" t="s">
        <v>6894</v>
      </c>
      <c r="E52" s="21">
        <v>0.83330000000000004</v>
      </c>
      <c r="G52" s="35" t="s">
        <v>6895</v>
      </c>
      <c r="H52" s="20" t="s">
        <v>6741</v>
      </c>
      <c r="K52" s="23">
        <f>96712*E52</f>
        <v>80590.109600000011</v>
      </c>
      <c r="L52" s="23">
        <f t="shared" si="0"/>
        <v>80590.109600000011</v>
      </c>
      <c r="U52" s="23">
        <v>600</v>
      </c>
      <c r="V52" s="23">
        <f t="shared" si="1"/>
        <v>81190.109600000011</v>
      </c>
      <c r="W52" s="36">
        <v>0.75</v>
      </c>
      <c r="X52" s="23">
        <f t="shared" si="2"/>
        <v>60892.582200000004</v>
      </c>
      <c r="Y52" s="20" t="s">
        <v>6150</v>
      </c>
      <c r="Z52" s="35" t="s">
        <v>6896</v>
      </c>
      <c r="AA52" s="35" t="s">
        <v>6826</v>
      </c>
      <c r="AB52" s="35" t="s">
        <v>6733</v>
      </c>
      <c r="AC52" s="35" t="s">
        <v>6897</v>
      </c>
      <c r="AD52" s="35" t="s">
        <v>6744</v>
      </c>
      <c r="AE52" s="37" t="str">
        <f t="shared" si="12"/>
        <v>52</v>
      </c>
      <c r="AG52" s="37">
        <f t="shared" si="18"/>
        <v>13950.49058202</v>
      </c>
      <c r="AH52" s="37">
        <f t="shared" si="4"/>
        <v>3775.3400964000002</v>
      </c>
      <c r="AI52" s="37">
        <f t="shared" si="5"/>
        <v>882.94244190000006</v>
      </c>
      <c r="AJ52" s="37">
        <f t="shared" si="6"/>
        <v>748.97876106000001</v>
      </c>
      <c r="AK52" s="37">
        <f t="shared" si="7"/>
        <v>1151.3569442376001</v>
      </c>
      <c r="AL52" s="23">
        <v>140.04</v>
      </c>
      <c r="AM52" s="23">
        <f t="shared" si="13"/>
        <v>105.03</v>
      </c>
      <c r="AN52" s="22">
        <v>79.2</v>
      </c>
      <c r="AO52" s="22">
        <f t="shared" si="8"/>
        <v>59.400000000000006</v>
      </c>
      <c r="AP52" s="23">
        <v>25452.6</v>
      </c>
      <c r="AQ52" s="23">
        <f t="shared" si="9"/>
        <v>26474.521889999996</v>
      </c>
      <c r="AR52" s="23">
        <f t="shared" si="14"/>
        <v>19855.891417499995</v>
      </c>
      <c r="AS52" s="23">
        <f t="shared" si="15"/>
        <v>20020.321417499996</v>
      </c>
      <c r="AU52" s="20">
        <f t="shared" si="16"/>
        <v>0</v>
      </c>
      <c r="AV52" s="37">
        <f t="shared" si="10"/>
        <v>40529.430243117589</v>
      </c>
      <c r="AW52" s="37">
        <f t="shared" si="17"/>
        <v>101422.01244311759</v>
      </c>
      <c r="BA52" s="20" t="str">
        <f t="shared" si="11"/>
        <v>0.75 - CDTCHR - Gonzalez, Maria</v>
      </c>
    </row>
    <row r="53" spans="1:53" ht="12.75" customHeight="1" x14ac:dyDescent="0.25">
      <c r="A53" s="20">
        <v>53</v>
      </c>
      <c r="B53" s="20" t="s">
        <v>6725</v>
      </c>
      <c r="C53" s="20" t="s">
        <v>6893</v>
      </c>
      <c r="D53" s="20" t="s">
        <v>6894</v>
      </c>
      <c r="E53" s="21">
        <v>0.83330000000000004</v>
      </c>
      <c r="G53" s="35" t="s">
        <v>6895</v>
      </c>
      <c r="H53" s="20" t="s">
        <v>6741</v>
      </c>
      <c r="K53" s="23">
        <f>96712*E53</f>
        <v>80590.109600000011</v>
      </c>
      <c r="L53" s="23">
        <f t="shared" si="0"/>
        <v>80590.109600000011</v>
      </c>
      <c r="U53" s="23">
        <v>600</v>
      </c>
      <c r="V53" s="23">
        <f t="shared" si="1"/>
        <v>81190.109600000011</v>
      </c>
      <c r="W53" s="36">
        <v>0.25</v>
      </c>
      <c r="X53" s="23">
        <f t="shared" si="2"/>
        <v>20297.527400000003</v>
      </c>
      <c r="Y53" s="20" t="s">
        <v>2138</v>
      </c>
      <c r="Z53" s="35" t="s">
        <v>6758</v>
      </c>
      <c r="AA53" s="35" t="s">
        <v>6742</v>
      </c>
      <c r="AB53" s="35" t="s">
        <v>6733</v>
      </c>
      <c r="AC53" s="35" t="s">
        <v>6898</v>
      </c>
      <c r="AD53" s="35" t="s">
        <v>6735</v>
      </c>
      <c r="AE53" s="37" t="str">
        <f t="shared" si="12"/>
        <v>52</v>
      </c>
      <c r="AG53" s="37">
        <f t="shared" si="18"/>
        <v>4650.1635273400007</v>
      </c>
      <c r="AH53" s="37">
        <f t="shared" si="4"/>
        <v>1258.4466988000001</v>
      </c>
      <c r="AI53" s="37">
        <f t="shared" si="5"/>
        <v>294.31414730000006</v>
      </c>
      <c r="AJ53" s="37">
        <f t="shared" si="6"/>
        <v>249.65958702000003</v>
      </c>
      <c r="AK53" s="37">
        <f t="shared" si="7"/>
        <v>383.78564807920009</v>
      </c>
      <c r="AL53" s="23">
        <v>140.04</v>
      </c>
      <c r="AM53" s="23">
        <f t="shared" si="13"/>
        <v>35.01</v>
      </c>
      <c r="AN53" s="22">
        <v>79.2</v>
      </c>
      <c r="AO53" s="22">
        <f t="shared" si="8"/>
        <v>19.8</v>
      </c>
      <c r="AP53" s="23">
        <v>25452.6</v>
      </c>
      <c r="AQ53" s="23">
        <f t="shared" si="9"/>
        <v>26474.521889999996</v>
      </c>
      <c r="AR53" s="23">
        <f t="shared" si="14"/>
        <v>6618.6304724999991</v>
      </c>
      <c r="AS53" s="23">
        <f t="shared" si="15"/>
        <v>6673.4404724999995</v>
      </c>
      <c r="AU53" s="20">
        <f t="shared" si="16"/>
        <v>0</v>
      </c>
      <c r="AV53" s="37">
        <f t="shared" si="10"/>
        <v>13509.810081039199</v>
      </c>
      <c r="AW53" s="37">
        <f t="shared" si="17"/>
        <v>33807.337481039198</v>
      </c>
      <c r="BA53" s="20" t="str">
        <f t="shared" si="11"/>
        <v>0.25 - CDTCHR - Gonzalez, Maria</v>
      </c>
    </row>
    <row r="54" spans="1:53" ht="12.75" customHeight="1" x14ac:dyDescent="0.25">
      <c r="A54" s="20">
        <v>54</v>
      </c>
      <c r="B54" s="20" t="s">
        <v>6725</v>
      </c>
      <c r="C54" s="20" t="s">
        <v>6899</v>
      </c>
      <c r="D54" s="20" t="s">
        <v>6802</v>
      </c>
      <c r="E54" s="21">
        <v>1</v>
      </c>
      <c r="G54" s="35" t="s">
        <v>6740</v>
      </c>
      <c r="H54" s="20" t="s">
        <v>6741</v>
      </c>
      <c r="K54" s="23">
        <v>71910</v>
      </c>
      <c r="L54" s="23">
        <f t="shared" si="0"/>
        <v>71910</v>
      </c>
      <c r="U54" s="23">
        <v>1800</v>
      </c>
      <c r="V54" s="23">
        <f t="shared" si="1"/>
        <v>73710</v>
      </c>
      <c r="W54" s="36">
        <v>1</v>
      </c>
      <c r="X54" s="23">
        <f t="shared" si="2"/>
        <v>73710</v>
      </c>
      <c r="Y54" s="20" t="s">
        <v>3090</v>
      </c>
      <c r="Z54" s="35" t="s">
        <v>6758</v>
      </c>
      <c r="AA54" s="35" t="s">
        <v>6761</v>
      </c>
      <c r="AB54" s="35" t="s">
        <v>6733</v>
      </c>
      <c r="AC54" s="35" t="s">
        <v>6762</v>
      </c>
      <c r="AD54" s="35" t="s">
        <v>6744</v>
      </c>
      <c r="AE54" s="37" t="str">
        <f t="shared" si="12"/>
        <v>52</v>
      </c>
      <c r="AG54" s="37">
        <f t="shared" si="18"/>
        <v>16886.960999999999</v>
      </c>
      <c r="AH54" s="37">
        <f t="shared" si="4"/>
        <v>4570.0199999999995</v>
      </c>
      <c r="AI54" s="37">
        <f t="shared" si="5"/>
        <v>1068.7950000000001</v>
      </c>
      <c r="AJ54" s="37">
        <f t="shared" si="6"/>
        <v>906.63300000000004</v>
      </c>
      <c r="AK54" s="37">
        <f t="shared" si="7"/>
        <v>1393.7086800000002</v>
      </c>
      <c r="AL54" s="23">
        <v>140.04</v>
      </c>
      <c r="AM54" s="23">
        <f t="shared" si="13"/>
        <v>140.04</v>
      </c>
      <c r="AN54" s="22">
        <v>79.2</v>
      </c>
      <c r="AO54" s="22">
        <f t="shared" si="8"/>
        <v>79.2</v>
      </c>
      <c r="AP54" s="23">
        <v>33444</v>
      </c>
      <c r="AQ54" s="23">
        <f t="shared" si="9"/>
        <v>34786.776599999997</v>
      </c>
      <c r="AR54" s="23">
        <f t="shared" si="14"/>
        <v>34786.776599999997</v>
      </c>
      <c r="AS54" s="23">
        <f t="shared" si="15"/>
        <v>35006.016599999995</v>
      </c>
      <c r="AU54" s="20">
        <f t="shared" si="16"/>
        <v>0</v>
      </c>
      <c r="AV54" s="37">
        <f t="shared" si="10"/>
        <v>59832.134279999998</v>
      </c>
      <c r="AW54" s="37">
        <f t="shared" si="17"/>
        <v>133542.13428</v>
      </c>
      <c r="BA54" s="20" t="str">
        <f t="shared" si="11"/>
        <v>1 - FA_SPEC - Gonzalez, Sandra</v>
      </c>
    </row>
    <row r="55" spans="1:53" ht="12.75" customHeight="1" x14ac:dyDescent="0.25">
      <c r="A55" s="20">
        <v>55</v>
      </c>
      <c r="B55" s="20" t="s">
        <v>6725</v>
      </c>
      <c r="C55" s="20" t="s">
        <v>6900</v>
      </c>
      <c r="D55" s="20" t="s">
        <v>6798</v>
      </c>
      <c r="E55" s="21">
        <v>1</v>
      </c>
      <c r="G55" s="35" t="s">
        <v>6799</v>
      </c>
      <c r="H55" s="20" t="s">
        <v>6741</v>
      </c>
      <c r="K55" s="23">
        <v>50892</v>
      </c>
      <c r="L55" s="23">
        <f t="shared" si="0"/>
        <v>50892</v>
      </c>
      <c r="Q55" s="26">
        <v>0.05</v>
      </c>
      <c r="R55" s="23">
        <f>L55*Q55</f>
        <v>2544.6000000000004</v>
      </c>
      <c r="T55" s="23">
        <f>M55*S55/12*9</f>
        <v>0</v>
      </c>
      <c r="U55" s="23">
        <v>600</v>
      </c>
      <c r="V55" s="23">
        <f t="shared" si="1"/>
        <v>54036.6</v>
      </c>
      <c r="W55" s="36">
        <v>1</v>
      </c>
      <c r="X55" s="23">
        <f t="shared" si="2"/>
        <v>54036.6</v>
      </c>
      <c r="Y55" s="20" t="s">
        <v>2059</v>
      </c>
      <c r="Z55" s="35" t="s">
        <v>6758</v>
      </c>
      <c r="AA55" s="35" t="s">
        <v>6901</v>
      </c>
      <c r="AB55" s="35" t="s">
        <v>6733</v>
      </c>
      <c r="AC55" s="35" t="s">
        <v>6805</v>
      </c>
      <c r="AD55" s="35" t="s">
        <v>6744</v>
      </c>
      <c r="AE55" s="37" t="str">
        <f t="shared" si="12"/>
        <v>52</v>
      </c>
      <c r="AG55" s="37">
        <f t="shared" si="18"/>
        <v>12379.78506</v>
      </c>
      <c r="AH55" s="37">
        <f t="shared" si="4"/>
        <v>3350.2691999999997</v>
      </c>
      <c r="AI55" s="37">
        <f t="shared" si="5"/>
        <v>783.53070000000002</v>
      </c>
      <c r="AJ55" s="37">
        <f t="shared" si="6"/>
        <v>664.65017999999998</v>
      </c>
      <c r="AK55" s="37">
        <f t="shared" si="7"/>
        <v>1021.7240328</v>
      </c>
      <c r="AL55" s="23">
        <v>140.04</v>
      </c>
      <c r="AM55" s="23">
        <f t="shared" si="13"/>
        <v>140.04</v>
      </c>
      <c r="AN55" s="22">
        <v>79.2</v>
      </c>
      <c r="AO55" s="22">
        <f t="shared" si="8"/>
        <v>79.2</v>
      </c>
      <c r="AP55" s="23">
        <v>25452.6</v>
      </c>
      <c r="AQ55" s="23">
        <f t="shared" si="9"/>
        <v>26474.521889999996</v>
      </c>
      <c r="AR55" s="23">
        <f t="shared" si="14"/>
        <v>26474.521889999996</v>
      </c>
      <c r="AS55" s="23">
        <f t="shared" si="15"/>
        <v>26693.761889999998</v>
      </c>
      <c r="AU55" s="20">
        <f t="shared" si="16"/>
        <v>0</v>
      </c>
      <c r="AV55" s="37">
        <f t="shared" si="10"/>
        <v>44893.721062800003</v>
      </c>
      <c r="AW55" s="37">
        <f t="shared" si="17"/>
        <v>98930.321062800009</v>
      </c>
      <c r="BA55" s="20" t="str">
        <f t="shared" si="11"/>
        <v>1 - ADM_ASST_I - Gonzalez-C, Catalina</v>
      </c>
    </row>
    <row r="56" spans="1:53" ht="12.75" customHeight="1" x14ac:dyDescent="0.25">
      <c r="A56" s="20">
        <v>56</v>
      </c>
      <c r="B56" s="20" t="s">
        <v>6725</v>
      </c>
      <c r="C56" s="20" t="s">
        <v>6902</v>
      </c>
      <c r="D56" s="20" t="s">
        <v>6767</v>
      </c>
      <c r="E56" s="21">
        <v>1</v>
      </c>
      <c r="F56" s="34">
        <v>44470</v>
      </c>
      <c r="G56" s="35" t="s">
        <v>6903</v>
      </c>
      <c r="H56" s="20" t="s">
        <v>6783</v>
      </c>
      <c r="I56" s="22">
        <f>4575*3</f>
        <v>13725</v>
      </c>
      <c r="J56" s="20" t="s">
        <v>6729</v>
      </c>
      <c r="K56" s="23">
        <f>4804*9</f>
        <v>43236</v>
      </c>
      <c r="L56" s="23">
        <f t="shared" si="0"/>
        <v>56961</v>
      </c>
      <c r="U56" s="23">
        <v>1200</v>
      </c>
      <c r="V56" s="23">
        <f t="shared" si="1"/>
        <v>58161</v>
      </c>
      <c r="W56" s="36">
        <v>1</v>
      </c>
      <c r="X56" s="23">
        <f t="shared" si="2"/>
        <v>58161</v>
      </c>
      <c r="Y56" s="20" t="s">
        <v>2807</v>
      </c>
      <c r="Z56" s="35" t="s">
        <v>6758</v>
      </c>
      <c r="AA56" s="35" t="s">
        <v>6904</v>
      </c>
      <c r="AB56" s="35" t="s">
        <v>6733</v>
      </c>
      <c r="AC56" s="35" t="s">
        <v>6905</v>
      </c>
      <c r="AD56" s="35" t="s">
        <v>6744</v>
      </c>
      <c r="AE56" s="37" t="str">
        <f t="shared" si="12"/>
        <v>52</v>
      </c>
      <c r="AG56" s="37">
        <f t="shared" si="18"/>
        <v>13324.685100000001</v>
      </c>
      <c r="AH56" s="37">
        <f t="shared" si="4"/>
        <v>3605.982</v>
      </c>
      <c r="AI56" s="37">
        <f t="shared" si="5"/>
        <v>843.33450000000005</v>
      </c>
      <c r="AJ56" s="37">
        <f t="shared" si="6"/>
        <v>715.38030000000003</v>
      </c>
      <c r="AK56" s="37">
        <f t="shared" si="7"/>
        <v>1099.7081880000001</v>
      </c>
      <c r="AL56" s="23">
        <v>140.04</v>
      </c>
      <c r="AM56" s="23">
        <f t="shared" si="13"/>
        <v>140.04</v>
      </c>
      <c r="AN56" s="22">
        <v>79.2</v>
      </c>
      <c r="AO56" s="22">
        <f t="shared" si="8"/>
        <v>79.2</v>
      </c>
      <c r="AP56" s="23">
        <v>13152</v>
      </c>
      <c r="AQ56" s="23">
        <f t="shared" si="9"/>
        <v>13680.052799999999</v>
      </c>
      <c r="AR56" s="23">
        <f t="shared" si="14"/>
        <v>13680.052799999999</v>
      </c>
      <c r="AS56" s="23">
        <f t="shared" si="15"/>
        <v>13899.292799999999</v>
      </c>
      <c r="AU56" s="20">
        <f t="shared" si="16"/>
        <v>0</v>
      </c>
      <c r="AV56" s="37">
        <f t="shared" si="10"/>
        <v>33488.382888</v>
      </c>
      <c r="AW56" s="37">
        <f t="shared" si="17"/>
        <v>91649.382887999993</v>
      </c>
      <c r="BA56" s="20" t="str">
        <f t="shared" si="11"/>
        <v>1 - PROGASST_I - Gonzalez-Sebastian, Adriana</v>
      </c>
    </row>
    <row r="57" spans="1:53" ht="12.75" customHeight="1" x14ac:dyDescent="0.25">
      <c r="A57" s="20">
        <v>57</v>
      </c>
      <c r="B57" s="51" t="s">
        <v>6725</v>
      </c>
      <c r="C57" s="52" t="s">
        <v>6906</v>
      </c>
      <c r="D57" s="53" t="s">
        <v>6907</v>
      </c>
      <c r="E57" s="54">
        <v>1</v>
      </c>
      <c r="F57" s="34"/>
      <c r="G57" s="55" t="s">
        <v>6908</v>
      </c>
      <c r="H57" s="51" t="s">
        <v>6782</v>
      </c>
      <c r="K57" s="23">
        <v>70324</v>
      </c>
      <c r="L57" s="23">
        <f t="shared" si="0"/>
        <v>70324</v>
      </c>
      <c r="V57" s="23">
        <f t="shared" si="1"/>
        <v>70324</v>
      </c>
      <c r="W57" s="36">
        <v>1</v>
      </c>
      <c r="X57" s="23">
        <f t="shared" si="2"/>
        <v>70324</v>
      </c>
      <c r="Y57" s="20" t="s">
        <v>595</v>
      </c>
      <c r="Z57" s="55" t="s">
        <v>6758</v>
      </c>
      <c r="AA57" s="55" t="s">
        <v>6909</v>
      </c>
      <c r="AB57" s="55" t="s">
        <v>6733</v>
      </c>
      <c r="AC57" s="55" t="s">
        <v>6910</v>
      </c>
      <c r="AD57" s="55" t="s">
        <v>6744</v>
      </c>
      <c r="AE57" s="37" t="str">
        <f t="shared" si="12"/>
        <v>52</v>
      </c>
      <c r="AG57" s="37">
        <f t="shared" si="18"/>
        <v>16111.2284</v>
      </c>
      <c r="AH57" s="37">
        <f t="shared" si="4"/>
        <v>4360.0879999999997</v>
      </c>
      <c r="AI57" s="37">
        <f t="shared" si="5"/>
        <v>1019.6980000000001</v>
      </c>
      <c r="AJ57" s="37">
        <f t="shared" si="6"/>
        <v>864.98519999999996</v>
      </c>
      <c r="AK57" s="37">
        <f t="shared" si="7"/>
        <v>1329.6861920000001</v>
      </c>
      <c r="AL57" s="23">
        <v>140.04</v>
      </c>
      <c r="AM57" s="23">
        <f t="shared" si="13"/>
        <v>140.04</v>
      </c>
      <c r="AN57" s="22">
        <v>79.2</v>
      </c>
      <c r="AO57" s="22">
        <f t="shared" si="8"/>
        <v>79.2</v>
      </c>
      <c r="AP57" s="23">
        <v>25452.6</v>
      </c>
      <c r="AQ57" s="23">
        <f t="shared" si="9"/>
        <v>26474.521889999996</v>
      </c>
      <c r="AR57" s="23">
        <f t="shared" si="14"/>
        <v>26474.521889999996</v>
      </c>
      <c r="AS57" s="23">
        <f t="shared" si="15"/>
        <v>26693.761889999998</v>
      </c>
      <c r="AU57" s="20">
        <f t="shared" si="16"/>
        <v>0</v>
      </c>
      <c r="AV57" s="37">
        <f t="shared" si="10"/>
        <v>50379.447681999998</v>
      </c>
      <c r="AW57" s="225">
        <f t="shared" si="17"/>
        <v>120703.447682</v>
      </c>
      <c r="BA57" s="20" t="str">
        <f t="shared" si="11"/>
        <v>1 - INSTIT_DATAANLYT - VACANT (Grant)</v>
      </c>
    </row>
    <row r="58" spans="1:53" ht="12.75" customHeight="1" x14ac:dyDescent="0.25">
      <c r="A58" s="20">
        <v>58</v>
      </c>
      <c r="B58" s="20" t="s">
        <v>6725</v>
      </c>
      <c r="C58" s="20" t="s">
        <v>6911</v>
      </c>
      <c r="D58" s="20" t="s">
        <v>6912</v>
      </c>
      <c r="E58" s="21">
        <v>1</v>
      </c>
      <c r="G58" s="35" t="s">
        <v>6858</v>
      </c>
      <c r="H58" s="20" t="s">
        <v>6741</v>
      </c>
      <c r="K58" s="23">
        <v>109420</v>
      </c>
      <c r="L58" s="23">
        <f t="shared" si="0"/>
        <v>109420</v>
      </c>
      <c r="Q58" s="26">
        <v>0.1</v>
      </c>
      <c r="R58" s="23">
        <f>L58*Q58</f>
        <v>10942</v>
      </c>
      <c r="T58" s="23">
        <f>M58*S58/12*8</f>
        <v>0</v>
      </c>
      <c r="V58" s="23">
        <f t="shared" si="1"/>
        <v>120362</v>
      </c>
      <c r="W58" s="36">
        <v>1</v>
      </c>
      <c r="X58" s="23">
        <f t="shared" si="2"/>
        <v>120362</v>
      </c>
      <c r="Y58" s="20" t="s">
        <v>3290</v>
      </c>
      <c r="Z58" s="35" t="s">
        <v>6758</v>
      </c>
      <c r="AA58" s="35" t="s">
        <v>6777</v>
      </c>
      <c r="AB58" s="35" t="s">
        <v>6733</v>
      </c>
      <c r="AC58" s="35" t="s">
        <v>6778</v>
      </c>
      <c r="AD58" s="35" t="s">
        <v>6744</v>
      </c>
      <c r="AE58" s="37" t="str">
        <f t="shared" si="12"/>
        <v>52</v>
      </c>
      <c r="AG58" s="37">
        <f t="shared" si="18"/>
        <v>27574.9342</v>
      </c>
      <c r="AH58" s="37">
        <f t="shared" si="4"/>
        <v>7462.4439999999995</v>
      </c>
      <c r="AI58" s="37">
        <f t="shared" si="5"/>
        <v>1745.249</v>
      </c>
      <c r="AJ58" s="37">
        <f t="shared" si="6"/>
        <v>1480.4526000000001</v>
      </c>
      <c r="AK58" s="37">
        <f t="shared" si="7"/>
        <v>2275.8046960000001</v>
      </c>
      <c r="AL58" s="23">
        <v>140.04</v>
      </c>
      <c r="AM58" s="23">
        <f t="shared" si="13"/>
        <v>140.04</v>
      </c>
      <c r="AN58" s="22">
        <v>79.2</v>
      </c>
      <c r="AO58" s="22">
        <f t="shared" si="8"/>
        <v>79.2</v>
      </c>
      <c r="AP58" s="23">
        <v>13152</v>
      </c>
      <c r="AQ58" s="23">
        <f t="shared" si="9"/>
        <v>13680.052799999999</v>
      </c>
      <c r="AR58" s="23">
        <f t="shared" si="14"/>
        <v>13680.052799999999</v>
      </c>
      <c r="AS58" s="23">
        <f t="shared" si="15"/>
        <v>13899.292799999999</v>
      </c>
      <c r="AU58" s="20">
        <f t="shared" si="16"/>
        <v>0</v>
      </c>
      <c r="AV58" s="37">
        <f t="shared" si="10"/>
        <v>54438.177295999994</v>
      </c>
      <c r="AW58" s="37">
        <f t="shared" si="17"/>
        <v>174800.17729600001</v>
      </c>
      <c r="BA58" s="20" t="str">
        <f t="shared" si="11"/>
        <v>1 - NETADMIN - Gray, Kerry M</v>
      </c>
    </row>
    <row r="59" spans="1:53" ht="12.75" customHeight="1" x14ac:dyDescent="0.25">
      <c r="A59" s="20">
        <v>59</v>
      </c>
      <c r="B59" s="20" t="s">
        <v>6725</v>
      </c>
      <c r="C59" s="20" t="s">
        <v>6913</v>
      </c>
      <c r="D59" s="20" t="s">
        <v>6882</v>
      </c>
      <c r="E59" s="21">
        <v>1</v>
      </c>
      <c r="F59" s="34"/>
      <c r="G59" s="35" t="s">
        <v>6883</v>
      </c>
      <c r="H59" s="20" t="s">
        <v>6741</v>
      </c>
      <c r="K59" s="23">
        <v>66776</v>
      </c>
      <c r="L59" s="23">
        <f t="shared" si="0"/>
        <v>66776</v>
      </c>
      <c r="V59" s="23">
        <f t="shared" si="1"/>
        <v>66776</v>
      </c>
      <c r="W59" s="36">
        <v>1</v>
      </c>
      <c r="X59" s="23">
        <f t="shared" si="2"/>
        <v>66776</v>
      </c>
      <c r="Y59" s="20" t="s">
        <v>1001</v>
      </c>
      <c r="Z59" s="35" t="s">
        <v>6758</v>
      </c>
      <c r="AA59" s="35" t="s">
        <v>6826</v>
      </c>
      <c r="AB59" s="35" t="s">
        <v>6733</v>
      </c>
      <c r="AC59" s="35" t="s">
        <v>6805</v>
      </c>
      <c r="AD59" s="35" t="s">
        <v>6744</v>
      </c>
      <c r="AE59" s="37" t="str">
        <f t="shared" si="12"/>
        <v>52</v>
      </c>
      <c r="AG59" s="37">
        <f t="shared" si="18"/>
        <v>15298.381600000001</v>
      </c>
      <c r="AH59" s="37">
        <f t="shared" si="4"/>
        <v>4140.1120000000001</v>
      </c>
      <c r="AI59" s="37">
        <f t="shared" si="5"/>
        <v>968.25200000000007</v>
      </c>
      <c r="AJ59" s="37">
        <f t="shared" si="6"/>
        <v>821.34479999999996</v>
      </c>
      <c r="AK59" s="37">
        <f t="shared" si="7"/>
        <v>1262.6006080000002</v>
      </c>
      <c r="AL59" s="23">
        <v>140.04</v>
      </c>
      <c r="AM59" s="23">
        <f t="shared" si="13"/>
        <v>140.04</v>
      </c>
      <c r="AN59" s="22">
        <v>79.2</v>
      </c>
      <c r="AO59" s="22">
        <f t="shared" si="8"/>
        <v>79.2</v>
      </c>
      <c r="AP59" s="23">
        <v>13152</v>
      </c>
      <c r="AQ59" s="23">
        <f t="shared" si="9"/>
        <v>13680.052799999999</v>
      </c>
      <c r="AR59" s="23">
        <f t="shared" si="14"/>
        <v>13680.052799999999</v>
      </c>
      <c r="AS59" s="23">
        <f t="shared" si="15"/>
        <v>13899.292799999999</v>
      </c>
      <c r="AU59" s="20">
        <f t="shared" si="16"/>
        <v>0</v>
      </c>
      <c r="AV59" s="37">
        <f t="shared" si="10"/>
        <v>36389.983808000005</v>
      </c>
      <c r="AW59" s="37">
        <f t="shared" si="17"/>
        <v>103165.983808</v>
      </c>
      <c r="BA59" s="20" t="str">
        <f t="shared" si="11"/>
        <v>1 - CURR_SCH - Green, Jessica</v>
      </c>
    </row>
    <row r="60" spans="1:53" ht="12.75" hidden="1" customHeight="1" x14ac:dyDescent="0.25">
      <c r="A60" s="20">
        <v>60</v>
      </c>
      <c r="B60" s="20" t="s">
        <v>6725</v>
      </c>
      <c r="C60" s="20" t="s">
        <v>6914</v>
      </c>
      <c r="D60" s="20" t="s">
        <v>6798</v>
      </c>
      <c r="E60" s="21">
        <v>0.75</v>
      </c>
      <c r="G60" s="35" t="s">
        <v>6799</v>
      </c>
      <c r="H60" s="20" t="s">
        <v>6741</v>
      </c>
      <c r="K60" s="23">
        <f>50892*E60</f>
        <v>38169</v>
      </c>
      <c r="L60" s="23">
        <f t="shared" si="0"/>
        <v>38169</v>
      </c>
      <c r="U60" s="23">
        <v>1200</v>
      </c>
      <c r="V60" s="23">
        <f t="shared" si="1"/>
        <v>39369</v>
      </c>
      <c r="W60" s="36">
        <v>1</v>
      </c>
      <c r="X60" s="23">
        <f t="shared" si="2"/>
        <v>39369</v>
      </c>
      <c r="Y60" s="20" t="s">
        <v>5598</v>
      </c>
      <c r="Z60" s="35" t="s">
        <v>6731</v>
      </c>
      <c r="AA60" s="35" t="s">
        <v>6752</v>
      </c>
      <c r="AB60" s="35" t="s">
        <v>6733</v>
      </c>
      <c r="AC60" s="35" t="s">
        <v>6915</v>
      </c>
      <c r="AD60" s="35" t="s">
        <v>6744</v>
      </c>
      <c r="AE60" s="37" t="str">
        <f t="shared" si="12"/>
        <v>52</v>
      </c>
      <c r="AG60" s="37">
        <f t="shared" si="18"/>
        <v>9019.4379000000008</v>
      </c>
      <c r="AH60" s="37">
        <f t="shared" si="4"/>
        <v>2440.8780000000002</v>
      </c>
      <c r="AI60" s="37">
        <f t="shared" si="5"/>
        <v>570.85050000000001</v>
      </c>
      <c r="AJ60" s="37">
        <f t="shared" si="6"/>
        <v>484.23869999999999</v>
      </c>
      <c r="AK60" s="37">
        <f t="shared" si="7"/>
        <v>744.38905199999999</v>
      </c>
      <c r="AL60" s="23">
        <v>140.04</v>
      </c>
      <c r="AM60" s="23">
        <f t="shared" si="13"/>
        <v>140.04</v>
      </c>
      <c r="AN60" s="22">
        <v>79.2</v>
      </c>
      <c r="AO60" s="22">
        <f t="shared" si="8"/>
        <v>79.2</v>
      </c>
      <c r="AP60" s="23">
        <v>25452.6</v>
      </c>
      <c r="AQ60" s="23">
        <f t="shared" si="9"/>
        <v>26474.521889999996</v>
      </c>
      <c r="AR60" s="23">
        <f t="shared" si="14"/>
        <v>26474.521889999996</v>
      </c>
      <c r="AS60" s="23">
        <f t="shared" si="15"/>
        <v>26693.761889999998</v>
      </c>
      <c r="AU60" s="20">
        <f t="shared" si="16"/>
        <v>0</v>
      </c>
      <c r="AV60" s="37">
        <f t="shared" si="10"/>
        <v>39953.556041999997</v>
      </c>
      <c r="AW60" s="37">
        <f t="shared" si="17"/>
        <v>79322.556041999997</v>
      </c>
      <c r="AX60" s="20" t="s">
        <v>6754</v>
      </c>
      <c r="AY60" s="20" t="s">
        <v>6916</v>
      </c>
      <c r="AZ60" s="20" t="s">
        <v>6917</v>
      </c>
      <c r="BA60" s="20" t="str">
        <f t="shared" si="11"/>
        <v>1 - ADM_ASST_I - Guerrero Perez, Maria</v>
      </c>
    </row>
    <row r="61" spans="1:53" ht="12.75" hidden="1" customHeight="1" x14ac:dyDescent="0.25">
      <c r="A61" s="20">
        <v>61</v>
      </c>
      <c r="B61" s="20" t="s">
        <v>6725</v>
      </c>
      <c r="C61" s="20" t="s">
        <v>6918</v>
      </c>
      <c r="D61" s="20" t="s">
        <v>6767</v>
      </c>
      <c r="E61" s="21">
        <v>1</v>
      </c>
      <c r="G61" s="35" t="s">
        <v>6757</v>
      </c>
      <c r="H61" s="20" t="s">
        <v>6741</v>
      </c>
      <c r="K61" s="23">
        <v>63557</v>
      </c>
      <c r="L61" s="23">
        <f t="shared" si="0"/>
        <v>63557</v>
      </c>
      <c r="U61" s="23">
        <v>600</v>
      </c>
      <c r="V61" s="23">
        <f t="shared" si="1"/>
        <v>64157</v>
      </c>
      <c r="W61" s="36">
        <v>0.4</v>
      </c>
      <c r="X61" s="23">
        <f t="shared" si="2"/>
        <v>25662.800000000003</v>
      </c>
      <c r="Y61" s="20" t="s">
        <v>5184</v>
      </c>
      <c r="Z61" s="35" t="s">
        <v>6731</v>
      </c>
      <c r="AA61" s="35" t="s">
        <v>6840</v>
      </c>
      <c r="AB61" s="35" t="s">
        <v>6733</v>
      </c>
      <c r="AC61" s="35" t="s">
        <v>6841</v>
      </c>
      <c r="AD61" s="35" t="s">
        <v>6744</v>
      </c>
      <c r="AE61" s="37" t="str">
        <f t="shared" si="12"/>
        <v>52</v>
      </c>
      <c r="AG61" s="37">
        <f t="shared" si="18"/>
        <v>5879.3474800000004</v>
      </c>
      <c r="AH61" s="37">
        <f t="shared" si="4"/>
        <v>1591.0936000000002</v>
      </c>
      <c r="AI61" s="37">
        <f t="shared" si="5"/>
        <v>372.11060000000003</v>
      </c>
      <c r="AJ61" s="37">
        <f t="shared" si="6"/>
        <v>315.65244000000001</v>
      </c>
      <c r="AK61" s="37">
        <f t="shared" si="7"/>
        <v>485.23222240000007</v>
      </c>
      <c r="AL61" s="23">
        <v>140.04</v>
      </c>
      <c r="AM61" s="23">
        <f t="shared" si="13"/>
        <v>56.015999999999998</v>
      </c>
      <c r="AN61" s="22">
        <v>79.2</v>
      </c>
      <c r="AO61" s="22">
        <f t="shared" si="8"/>
        <v>31.680000000000003</v>
      </c>
      <c r="AP61" s="23">
        <v>25452.6</v>
      </c>
      <c r="AQ61" s="23">
        <f t="shared" si="9"/>
        <v>26474.521889999996</v>
      </c>
      <c r="AR61" s="23">
        <f t="shared" si="14"/>
        <v>10589.808755999999</v>
      </c>
      <c r="AS61" s="23">
        <f t="shared" si="15"/>
        <v>10677.504755999998</v>
      </c>
      <c r="AU61" s="20">
        <f t="shared" si="16"/>
        <v>0</v>
      </c>
      <c r="AV61" s="37">
        <f t="shared" si="10"/>
        <v>19320.941098399999</v>
      </c>
      <c r="AW61" s="37">
        <f t="shared" si="17"/>
        <v>44983.741098400002</v>
      </c>
      <c r="AX61" s="20" t="s">
        <v>6675</v>
      </c>
      <c r="AY61" s="20" t="s">
        <v>6842</v>
      </c>
      <c r="AZ61" s="20" t="s">
        <v>6843</v>
      </c>
      <c r="BA61" s="20" t="str">
        <f t="shared" si="11"/>
        <v>0.4 - PROGASST_I - Gutierrez, Frances</v>
      </c>
    </row>
    <row r="62" spans="1:53" ht="12.75" customHeight="1" x14ac:dyDescent="0.25">
      <c r="A62" s="20">
        <v>62</v>
      </c>
      <c r="B62" s="20" t="s">
        <v>6725</v>
      </c>
      <c r="C62" s="20" t="s">
        <v>6918</v>
      </c>
      <c r="D62" s="20" t="s">
        <v>6767</v>
      </c>
      <c r="E62" s="21">
        <v>1</v>
      </c>
      <c r="G62" s="35" t="s">
        <v>6757</v>
      </c>
      <c r="H62" s="20" t="s">
        <v>6741</v>
      </c>
      <c r="K62" s="23">
        <v>63557</v>
      </c>
      <c r="L62" s="23">
        <f t="shared" si="0"/>
        <v>63557</v>
      </c>
      <c r="U62" s="23">
        <v>600</v>
      </c>
      <c r="V62" s="23">
        <f t="shared" si="1"/>
        <v>64157</v>
      </c>
      <c r="W62" s="36">
        <v>0.15</v>
      </c>
      <c r="X62" s="23">
        <f t="shared" si="2"/>
        <v>9623.5499999999993</v>
      </c>
      <c r="Y62" s="20" t="s">
        <v>2658</v>
      </c>
      <c r="Z62" s="35" t="s">
        <v>6758</v>
      </c>
      <c r="AA62" s="35" t="s">
        <v>6840</v>
      </c>
      <c r="AB62" s="35" t="s">
        <v>6733</v>
      </c>
      <c r="AC62" s="35" t="s">
        <v>6844</v>
      </c>
      <c r="AD62" s="35" t="s">
        <v>6744</v>
      </c>
      <c r="AE62" s="37" t="str">
        <f t="shared" si="12"/>
        <v>52</v>
      </c>
      <c r="AG62" s="37">
        <f t="shared" si="18"/>
        <v>2204.7553049999997</v>
      </c>
      <c r="AH62" s="37">
        <f t="shared" si="4"/>
        <v>596.66009999999994</v>
      </c>
      <c r="AI62" s="37">
        <f t="shared" si="5"/>
        <v>139.54147499999999</v>
      </c>
      <c r="AJ62" s="37">
        <f t="shared" si="6"/>
        <v>118.369665</v>
      </c>
      <c r="AK62" s="37">
        <f t="shared" si="7"/>
        <v>181.96208340000001</v>
      </c>
      <c r="AL62" s="23">
        <v>140.04</v>
      </c>
      <c r="AM62" s="23">
        <f t="shared" si="13"/>
        <v>21.005999999999997</v>
      </c>
      <c r="AN62" s="22">
        <v>79.2</v>
      </c>
      <c r="AO62" s="22">
        <f t="shared" si="8"/>
        <v>11.88</v>
      </c>
      <c r="AP62" s="23">
        <v>25452.6</v>
      </c>
      <c r="AQ62" s="23">
        <f t="shared" si="9"/>
        <v>26474.521889999996</v>
      </c>
      <c r="AR62" s="23">
        <f t="shared" si="14"/>
        <v>3971.1782834999995</v>
      </c>
      <c r="AS62" s="23">
        <f t="shared" si="15"/>
        <v>4004.0642834999994</v>
      </c>
      <c r="AU62" s="20">
        <f t="shared" si="16"/>
        <v>0</v>
      </c>
      <c r="AV62" s="37">
        <f t="shared" si="10"/>
        <v>7245.3529118999995</v>
      </c>
      <c r="AW62" s="37">
        <f t="shared" si="17"/>
        <v>16868.902911899997</v>
      </c>
      <c r="BA62" s="20" t="str">
        <f t="shared" si="11"/>
        <v>0.15 - PROGASST_I - Gutierrez, Frances</v>
      </c>
    </row>
    <row r="63" spans="1:53" ht="12.75" hidden="1" customHeight="1" x14ac:dyDescent="0.25">
      <c r="A63" s="20">
        <v>63</v>
      </c>
      <c r="B63" s="20" t="s">
        <v>6725</v>
      </c>
      <c r="C63" s="20" t="s">
        <v>6918</v>
      </c>
      <c r="D63" s="20" t="s">
        <v>6767</v>
      </c>
      <c r="E63" s="21">
        <v>1</v>
      </c>
      <c r="G63" s="35" t="s">
        <v>6757</v>
      </c>
      <c r="H63" s="20" t="s">
        <v>6741</v>
      </c>
      <c r="K63" s="23">
        <v>63557</v>
      </c>
      <c r="L63" s="23">
        <f t="shared" si="0"/>
        <v>63557</v>
      </c>
      <c r="V63" s="23">
        <f t="shared" si="1"/>
        <v>63557</v>
      </c>
      <c r="W63" s="36">
        <v>0.45</v>
      </c>
      <c r="X63" s="23">
        <f t="shared" si="2"/>
        <v>28600.65</v>
      </c>
      <c r="Y63" s="20" t="s">
        <v>5270</v>
      </c>
      <c r="Z63" s="35" t="s">
        <v>6731</v>
      </c>
      <c r="AA63" s="35" t="s">
        <v>6840</v>
      </c>
      <c r="AB63" s="35" t="s">
        <v>6733</v>
      </c>
      <c r="AC63" s="35" t="s">
        <v>6844</v>
      </c>
      <c r="AD63" s="35" t="s">
        <v>6744</v>
      </c>
      <c r="AE63" s="37" t="str">
        <f t="shared" si="12"/>
        <v>52</v>
      </c>
      <c r="AG63" s="37">
        <f t="shared" si="18"/>
        <v>6552.408915</v>
      </c>
      <c r="AH63" s="37">
        <f t="shared" si="4"/>
        <v>1773.2403000000002</v>
      </c>
      <c r="AI63" s="37">
        <f t="shared" si="5"/>
        <v>414.70942500000007</v>
      </c>
      <c r="AJ63" s="37">
        <f t="shared" si="6"/>
        <v>351.78799500000002</v>
      </c>
      <c r="AK63" s="37">
        <f t="shared" si="7"/>
        <v>540.78109020000011</v>
      </c>
      <c r="AL63" s="23">
        <v>140.04</v>
      </c>
      <c r="AM63" s="23">
        <f t="shared" si="13"/>
        <v>63.018000000000001</v>
      </c>
      <c r="AN63" s="22">
        <v>79.2</v>
      </c>
      <c r="AO63" s="22">
        <f t="shared" si="8"/>
        <v>35.64</v>
      </c>
      <c r="AP63" s="23">
        <v>25452.6</v>
      </c>
      <c r="AQ63" s="23">
        <f t="shared" si="9"/>
        <v>26474.521889999996</v>
      </c>
      <c r="AR63" s="23">
        <f t="shared" si="14"/>
        <v>11913.534850499998</v>
      </c>
      <c r="AS63" s="23">
        <f t="shared" si="15"/>
        <v>12012.192850499998</v>
      </c>
      <c r="AU63" s="20">
        <f t="shared" si="16"/>
        <v>0</v>
      </c>
      <c r="AV63" s="37">
        <f t="shared" si="10"/>
        <v>21645.120575699999</v>
      </c>
      <c r="AW63" s="37">
        <f t="shared" si="17"/>
        <v>50245.7705757</v>
      </c>
      <c r="AX63" s="20" t="s">
        <v>6675</v>
      </c>
      <c r="AY63" s="20" t="s">
        <v>6842</v>
      </c>
      <c r="AZ63" s="20" t="s">
        <v>6845</v>
      </c>
      <c r="BA63" s="20" t="str">
        <f t="shared" si="11"/>
        <v>0.45 - PROGASST_I - Gutierrez, Frances</v>
      </c>
    </row>
    <row r="64" spans="1:53" ht="12.75" customHeight="1" x14ac:dyDescent="0.25">
      <c r="A64" s="20">
        <v>64</v>
      </c>
      <c r="B64" s="20" t="s">
        <v>6725</v>
      </c>
      <c r="C64" s="20" t="s">
        <v>6919</v>
      </c>
      <c r="D64" s="20" t="s">
        <v>6920</v>
      </c>
      <c r="E64" s="21">
        <v>1</v>
      </c>
      <c r="G64" s="35" t="s">
        <v>6728</v>
      </c>
      <c r="H64" s="20" t="s">
        <v>6741</v>
      </c>
      <c r="K64" s="23">
        <v>77440</v>
      </c>
      <c r="L64" s="23">
        <f t="shared" si="0"/>
        <v>77440</v>
      </c>
      <c r="V64" s="23">
        <f t="shared" si="1"/>
        <v>77440</v>
      </c>
      <c r="W64" s="36">
        <v>1</v>
      </c>
      <c r="X64" s="23">
        <f t="shared" si="2"/>
        <v>77440</v>
      </c>
      <c r="Y64" s="20" t="s">
        <v>3056</v>
      </c>
      <c r="Z64" s="35" t="s">
        <v>6758</v>
      </c>
      <c r="AA64" s="35" t="s">
        <v>6759</v>
      </c>
      <c r="AB64" s="35" t="s">
        <v>6733</v>
      </c>
      <c r="AC64" s="35" t="s">
        <v>6760</v>
      </c>
      <c r="AD64" s="35" t="s">
        <v>6744</v>
      </c>
      <c r="AE64" s="37" t="str">
        <f t="shared" si="12"/>
        <v>52</v>
      </c>
      <c r="AG64" s="37">
        <f t="shared" si="18"/>
        <v>17741.504000000001</v>
      </c>
      <c r="AH64" s="37">
        <f t="shared" si="4"/>
        <v>4801.28</v>
      </c>
      <c r="AI64" s="37">
        <f t="shared" si="5"/>
        <v>1122.8800000000001</v>
      </c>
      <c r="AJ64" s="37">
        <f t="shared" si="6"/>
        <v>952.51200000000006</v>
      </c>
      <c r="AK64" s="37">
        <f t="shared" si="7"/>
        <v>1464.2355200000002</v>
      </c>
      <c r="AL64" s="23">
        <v>140.04</v>
      </c>
      <c r="AM64" s="23">
        <f t="shared" si="13"/>
        <v>140.04</v>
      </c>
      <c r="AN64" s="22">
        <v>79.2</v>
      </c>
      <c r="AO64" s="22">
        <f t="shared" si="8"/>
        <v>79.2</v>
      </c>
      <c r="AP64" s="23">
        <v>33444</v>
      </c>
      <c r="AQ64" s="23">
        <f t="shared" si="9"/>
        <v>34786.776599999997</v>
      </c>
      <c r="AR64" s="23">
        <f t="shared" si="14"/>
        <v>34786.776599999997</v>
      </c>
      <c r="AS64" s="23">
        <f t="shared" si="15"/>
        <v>35006.016599999995</v>
      </c>
      <c r="AU64" s="20">
        <f t="shared" si="16"/>
        <v>0</v>
      </c>
      <c r="AV64" s="37">
        <f t="shared" si="10"/>
        <v>61088.428119999997</v>
      </c>
      <c r="AW64" s="37">
        <f t="shared" si="17"/>
        <v>138528.42812</v>
      </c>
      <c r="BA64" s="20" t="str">
        <f t="shared" si="11"/>
        <v xml:space="preserve">1 - ES_LEAD - Haneta, Irene </v>
      </c>
    </row>
    <row r="65" spans="1:53" ht="12.75" customHeight="1" x14ac:dyDescent="0.25">
      <c r="A65" s="20">
        <v>65</v>
      </c>
      <c r="B65" s="20" t="s">
        <v>6725</v>
      </c>
      <c r="C65" s="20" t="s">
        <v>6921</v>
      </c>
      <c r="D65" s="20" t="s">
        <v>6922</v>
      </c>
      <c r="E65" s="21">
        <v>1</v>
      </c>
      <c r="G65" s="35" t="s">
        <v>6883</v>
      </c>
      <c r="H65" s="20" t="s">
        <v>6741</v>
      </c>
      <c r="K65" s="23">
        <v>66776</v>
      </c>
      <c r="L65" s="23">
        <f t="shared" si="0"/>
        <v>66776</v>
      </c>
      <c r="V65" s="23">
        <f t="shared" si="1"/>
        <v>66776</v>
      </c>
      <c r="W65" s="36">
        <v>1</v>
      </c>
      <c r="X65" s="23">
        <f t="shared" si="2"/>
        <v>66776</v>
      </c>
      <c r="Y65" s="20" t="s">
        <v>2542</v>
      </c>
      <c r="Z65" s="35" t="s">
        <v>6758</v>
      </c>
      <c r="AA65" s="35" t="s">
        <v>6847</v>
      </c>
      <c r="AB65" s="35" t="s">
        <v>6733</v>
      </c>
      <c r="AC65" s="35" t="s">
        <v>6805</v>
      </c>
      <c r="AD65" s="35" t="s">
        <v>6744</v>
      </c>
      <c r="AE65" s="37" t="str">
        <f t="shared" si="12"/>
        <v>52</v>
      </c>
      <c r="AG65" s="37">
        <f t="shared" si="18"/>
        <v>15298.381600000001</v>
      </c>
      <c r="AH65" s="37">
        <f t="shared" si="4"/>
        <v>4140.1120000000001</v>
      </c>
      <c r="AI65" s="37">
        <f t="shared" si="5"/>
        <v>968.25200000000007</v>
      </c>
      <c r="AJ65" s="37">
        <f t="shared" si="6"/>
        <v>821.34479999999996</v>
      </c>
      <c r="AK65" s="37">
        <f t="shared" si="7"/>
        <v>1262.6006080000002</v>
      </c>
      <c r="AL65" s="23">
        <v>140.04</v>
      </c>
      <c r="AM65" s="23">
        <f t="shared" si="13"/>
        <v>140.04</v>
      </c>
      <c r="AN65" s="22">
        <v>79.2</v>
      </c>
      <c r="AO65" s="22">
        <f t="shared" si="8"/>
        <v>79.2</v>
      </c>
      <c r="AP65" s="23">
        <v>25452.6</v>
      </c>
      <c r="AQ65" s="23">
        <f t="shared" si="9"/>
        <v>26474.521889999996</v>
      </c>
      <c r="AR65" s="23">
        <f t="shared" si="14"/>
        <v>26474.521889999996</v>
      </c>
      <c r="AS65" s="23">
        <f t="shared" si="15"/>
        <v>26693.761889999998</v>
      </c>
      <c r="AU65" s="20">
        <f t="shared" si="16"/>
        <v>0</v>
      </c>
      <c r="AV65" s="37">
        <f t="shared" si="10"/>
        <v>49184.452898000003</v>
      </c>
      <c r="AW65" s="37">
        <f t="shared" si="17"/>
        <v>115960.452898</v>
      </c>
      <c r="BA65" s="20" t="str">
        <f t="shared" si="11"/>
        <v>1 - O&amp;A_SPC - Hanna, S. G</v>
      </c>
    </row>
    <row r="66" spans="1:53" ht="12.75" customHeight="1" x14ac:dyDescent="0.25">
      <c r="A66" s="20">
        <v>66</v>
      </c>
      <c r="B66" s="20" t="s">
        <v>6725</v>
      </c>
      <c r="C66" s="20" t="s">
        <v>6923</v>
      </c>
      <c r="D66" s="20" t="s">
        <v>6924</v>
      </c>
      <c r="E66" s="21">
        <v>1</v>
      </c>
      <c r="G66" s="35" t="s">
        <v>6883</v>
      </c>
      <c r="H66" s="20" t="s">
        <v>6741</v>
      </c>
      <c r="K66" s="23">
        <v>66776</v>
      </c>
      <c r="L66" s="23">
        <f t="shared" ref="L66:L129" si="19">I66+K66</f>
        <v>66776</v>
      </c>
      <c r="U66" s="23">
        <v>1200</v>
      </c>
      <c r="V66" s="23">
        <f t="shared" ref="V66:V129" si="20">L66+N66+P66+R66+T66+U66</f>
        <v>67976</v>
      </c>
      <c r="W66" s="36">
        <v>1</v>
      </c>
      <c r="X66" s="23">
        <f t="shared" ref="X66:X129" si="21">V66*W66</f>
        <v>67976</v>
      </c>
      <c r="Y66" s="20" t="s">
        <v>2636</v>
      </c>
      <c r="Z66" s="35" t="s">
        <v>6758</v>
      </c>
      <c r="AA66" s="35" t="s">
        <v>6732</v>
      </c>
      <c r="AB66" s="35" t="s">
        <v>6733</v>
      </c>
      <c r="AC66" s="35" t="s">
        <v>6925</v>
      </c>
      <c r="AD66" s="35" t="s">
        <v>6744</v>
      </c>
      <c r="AE66" s="37" t="str">
        <f t="shared" si="12"/>
        <v>52</v>
      </c>
      <c r="AG66" s="37">
        <f t="shared" ref="AG66:AG129" si="22">X66*$AG$1</f>
        <v>15573.301600000001</v>
      </c>
      <c r="AH66" s="37">
        <f t="shared" ref="AH66:AH129" si="23">X66*$AH$1</f>
        <v>4214.5119999999997</v>
      </c>
      <c r="AI66" s="37">
        <f t="shared" ref="AI66:AI129" si="24">X66*$AI$1</f>
        <v>985.65200000000004</v>
      </c>
      <c r="AJ66" s="37">
        <f t="shared" ref="AJ66:AJ129" si="25">X66*$AJ$1</f>
        <v>836.10479999999995</v>
      </c>
      <c r="AK66" s="37">
        <f t="shared" ref="AK66:AK129" si="26">X66*$AK$1</f>
        <v>1285.2902080000001</v>
      </c>
      <c r="AL66" s="23">
        <v>140.04</v>
      </c>
      <c r="AM66" s="23">
        <f t="shared" si="13"/>
        <v>140.04</v>
      </c>
      <c r="AN66" s="22">
        <v>79.2</v>
      </c>
      <c r="AO66" s="22">
        <f t="shared" ref="AO66:AO129" si="27">AN66*W66</f>
        <v>79.2</v>
      </c>
      <c r="AP66" s="23">
        <v>25452.6</v>
      </c>
      <c r="AQ66" s="23">
        <f t="shared" ref="AQ66:AQ129" si="28">AP66/2+(((AP66/2)*$AQ$1)+AP66/2)</f>
        <v>26474.521889999996</v>
      </c>
      <c r="AR66" s="23">
        <f t="shared" si="14"/>
        <v>26474.521889999996</v>
      </c>
      <c r="AS66" s="23">
        <f t="shared" si="15"/>
        <v>26693.761889999998</v>
      </c>
      <c r="AU66" s="20">
        <f t="shared" si="16"/>
        <v>0</v>
      </c>
      <c r="AV66" s="37">
        <f t="shared" ref="AV66:AV129" si="29">+AF66+AG66+AH66+AI66+AJ66+AK66+AM66+AO66+AR66+AU66</f>
        <v>49588.622497999997</v>
      </c>
      <c r="AW66" s="37">
        <f t="shared" si="17"/>
        <v>117564.622498</v>
      </c>
      <c r="BA66" s="20" t="str">
        <f t="shared" ref="BA66:BA130" si="30">CONCATENATE(W66," - ",D66," - ",C66)</f>
        <v>1 - TUTCENCOOR - Henderson, Frank</v>
      </c>
    </row>
    <row r="67" spans="1:53" ht="12.75" hidden="1" customHeight="1" x14ac:dyDescent="0.25">
      <c r="A67" s="20">
        <v>67</v>
      </c>
      <c r="B67" s="20" t="s">
        <v>6725</v>
      </c>
      <c r="C67" s="20" t="s">
        <v>6926</v>
      </c>
      <c r="D67" s="20" t="s">
        <v>6927</v>
      </c>
      <c r="E67" s="21">
        <v>1</v>
      </c>
      <c r="F67" s="34">
        <v>44713</v>
      </c>
      <c r="G67" s="35" t="s">
        <v>6728</v>
      </c>
      <c r="H67" s="20" t="s">
        <v>6730</v>
      </c>
      <c r="I67" s="22">
        <f>6146*11</f>
        <v>67606</v>
      </c>
      <c r="J67" s="20" t="s">
        <v>6741</v>
      </c>
      <c r="K67" s="23">
        <v>6453</v>
      </c>
      <c r="L67" s="23">
        <f t="shared" si="19"/>
        <v>74059</v>
      </c>
      <c r="Q67" s="26">
        <v>2.5000000000000001E-2</v>
      </c>
      <c r="R67" s="23">
        <f>L67*Q67</f>
        <v>1851.4750000000001</v>
      </c>
      <c r="T67" s="23">
        <f>M67*S67/12*9</f>
        <v>0</v>
      </c>
      <c r="V67" s="23">
        <f t="shared" si="20"/>
        <v>75910.475000000006</v>
      </c>
      <c r="W67" s="36">
        <v>1</v>
      </c>
      <c r="X67" s="23">
        <f t="shared" si="21"/>
        <v>75910.475000000006</v>
      </c>
      <c r="Y67" s="20" t="s">
        <v>6288</v>
      </c>
      <c r="Z67" s="35" t="s">
        <v>6928</v>
      </c>
      <c r="AA67" s="35" t="s">
        <v>6929</v>
      </c>
      <c r="AB67" s="35" t="s">
        <v>6733</v>
      </c>
      <c r="AC67" s="35" t="s">
        <v>6930</v>
      </c>
      <c r="AD67" s="35" t="s">
        <v>6744</v>
      </c>
      <c r="AE67" s="37" t="str">
        <f t="shared" ref="AE67:AE130" si="31">LEFT(AD67,2)</f>
        <v>52</v>
      </c>
      <c r="AG67" s="37">
        <f t="shared" si="22"/>
        <v>17391.089822500002</v>
      </c>
      <c r="AH67" s="37">
        <f t="shared" si="23"/>
        <v>4706.4494500000001</v>
      </c>
      <c r="AI67" s="37">
        <f t="shared" si="24"/>
        <v>1100.7018875000001</v>
      </c>
      <c r="AJ67" s="37">
        <f t="shared" si="25"/>
        <v>933.69884250000007</v>
      </c>
      <c r="AK67" s="37">
        <f t="shared" si="26"/>
        <v>1435.3152613000002</v>
      </c>
      <c r="AL67" s="23">
        <v>140.04</v>
      </c>
      <c r="AM67" s="23">
        <f t="shared" ref="AM67:AM130" si="32">AL67*W67</f>
        <v>140.04</v>
      </c>
      <c r="AN67" s="22">
        <v>79.2</v>
      </c>
      <c r="AO67" s="22">
        <f t="shared" si="27"/>
        <v>79.2</v>
      </c>
      <c r="AP67" s="23">
        <v>25452.6</v>
      </c>
      <c r="AQ67" s="23">
        <f t="shared" si="28"/>
        <v>26474.521889999996</v>
      </c>
      <c r="AR67" s="23">
        <f t="shared" ref="AR67:AR130" si="33">AQ67*W67</f>
        <v>26474.521889999996</v>
      </c>
      <c r="AS67" s="23">
        <f t="shared" ref="AS67:AS131" si="34">+AM67+AO67+AR67</f>
        <v>26693.761889999998</v>
      </c>
      <c r="AU67" s="20">
        <f t="shared" ref="AU67:AU130" si="35">AT67*W67</f>
        <v>0</v>
      </c>
      <c r="AV67" s="37">
        <f t="shared" si="29"/>
        <v>52261.0171538</v>
      </c>
      <c r="AW67" s="37">
        <f t="shared" ref="AW67:AW131" si="36">+X67+AV67</f>
        <v>128171.49215380001</v>
      </c>
      <c r="BA67" s="20" t="str">
        <f t="shared" si="30"/>
        <v>1 - LDPROGCOOR - Henry, Dawn D</v>
      </c>
    </row>
    <row r="68" spans="1:53" ht="12.75" customHeight="1" x14ac:dyDescent="0.25">
      <c r="A68" s="20">
        <v>68</v>
      </c>
      <c r="B68" s="20" t="s">
        <v>6725</v>
      </c>
      <c r="C68" s="20" t="s">
        <v>6931</v>
      </c>
      <c r="D68" s="20" t="s">
        <v>6887</v>
      </c>
      <c r="E68" s="21">
        <v>0.91669999999999996</v>
      </c>
      <c r="F68" s="34"/>
      <c r="G68" s="35" t="s">
        <v>6839</v>
      </c>
      <c r="H68" s="20" t="s">
        <v>6741</v>
      </c>
      <c r="K68" s="23">
        <f>54807*E68</f>
        <v>50241.5769</v>
      </c>
      <c r="L68" s="23">
        <f t="shared" si="19"/>
        <v>50241.5769</v>
      </c>
      <c r="V68" s="23">
        <f t="shared" si="20"/>
        <v>50241.5769</v>
      </c>
      <c r="W68" s="36">
        <v>1</v>
      </c>
      <c r="X68" s="23">
        <f t="shared" si="21"/>
        <v>50241.5769</v>
      </c>
      <c r="Y68" s="20" t="s">
        <v>2592</v>
      </c>
      <c r="Z68" s="35" t="s">
        <v>6758</v>
      </c>
      <c r="AA68" s="35" t="s">
        <v>6847</v>
      </c>
      <c r="AB68" s="35" t="s">
        <v>6733</v>
      </c>
      <c r="AC68" s="35" t="s">
        <v>6889</v>
      </c>
      <c r="AD68" s="35" t="s">
        <v>6744</v>
      </c>
      <c r="AE68" s="37" t="str">
        <f t="shared" si="31"/>
        <v>52</v>
      </c>
      <c r="AG68" s="37">
        <f t="shared" si="22"/>
        <v>11510.34526779</v>
      </c>
      <c r="AH68" s="37">
        <f t="shared" si="23"/>
        <v>3114.9777678</v>
      </c>
      <c r="AI68" s="37">
        <f t="shared" si="24"/>
        <v>728.50286505000008</v>
      </c>
      <c r="AJ68" s="37">
        <f t="shared" si="25"/>
        <v>617.97139587000004</v>
      </c>
      <c r="AK68" s="37">
        <f t="shared" si="26"/>
        <v>949.96773602520011</v>
      </c>
      <c r="AL68" s="23">
        <v>140.04</v>
      </c>
      <c r="AM68" s="23">
        <f t="shared" si="32"/>
        <v>140.04</v>
      </c>
      <c r="AN68" s="22">
        <v>79.2</v>
      </c>
      <c r="AO68" s="22">
        <f t="shared" si="27"/>
        <v>79.2</v>
      </c>
      <c r="AP68" s="23">
        <v>13152</v>
      </c>
      <c r="AQ68" s="23">
        <f t="shared" si="28"/>
        <v>13680.052799999999</v>
      </c>
      <c r="AR68" s="23">
        <f t="shared" si="33"/>
        <v>13680.052799999999</v>
      </c>
      <c r="AS68" s="23">
        <f t="shared" si="34"/>
        <v>13899.292799999999</v>
      </c>
      <c r="AU68" s="20">
        <f t="shared" si="35"/>
        <v>0</v>
      </c>
      <c r="AV68" s="37">
        <f t="shared" si="29"/>
        <v>30821.057832535203</v>
      </c>
      <c r="AW68" s="37">
        <f t="shared" si="36"/>
        <v>81062.634732535196</v>
      </c>
      <c r="BA68" s="20" t="str">
        <f t="shared" si="30"/>
        <v>1 - LIBTECH_I - Hernandez, Gabriel</v>
      </c>
    </row>
    <row r="69" spans="1:53" s="39" customFormat="1" ht="12.75" customHeight="1" x14ac:dyDescent="0.25">
      <c r="A69" s="39" t="s">
        <v>6932</v>
      </c>
      <c r="B69" s="39" t="s">
        <v>6725</v>
      </c>
      <c r="C69" s="39" t="s">
        <v>6933</v>
      </c>
      <c r="D69" s="39" t="s">
        <v>6934</v>
      </c>
      <c r="E69" s="41">
        <v>1</v>
      </c>
      <c r="G69" s="43" t="s">
        <v>6935</v>
      </c>
      <c r="H69" s="39" t="s">
        <v>6741</v>
      </c>
      <c r="I69" s="44"/>
      <c r="K69" s="45">
        <v>89806</v>
      </c>
      <c r="L69" s="45">
        <f t="shared" si="19"/>
        <v>89806</v>
      </c>
      <c r="M69" s="45"/>
      <c r="N69" s="45"/>
      <c r="O69" s="46"/>
      <c r="P69" s="45"/>
      <c r="Q69" s="47">
        <v>0.05</v>
      </c>
      <c r="R69" s="45">
        <f>L69*Q69</f>
        <v>4490.3</v>
      </c>
      <c r="S69" s="47"/>
      <c r="T69" s="45"/>
      <c r="U69" s="45"/>
      <c r="V69" s="45">
        <f t="shared" si="20"/>
        <v>94296.3</v>
      </c>
      <c r="W69" s="48">
        <v>1</v>
      </c>
      <c r="X69" s="45">
        <f t="shared" si="21"/>
        <v>94296.3</v>
      </c>
      <c r="Y69" s="39" t="s">
        <v>3290</v>
      </c>
      <c r="Z69" s="43" t="s">
        <v>6758</v>
      </c>
      <c r="AA69" s="43" t="s">
        <v>6777</v>
      </c>
      <c r="AB69" s="43" t="s">
        <v>6733</v>
      </c>
      <c r="AC69" s="43" t="s">
        <v>6778</v>
      </c>
      <c r="AD69" s="43" t="s">
        <v>6744</v>
      </c>
      <c r="AE69" s="37" t="str">
        <f t="shared" si="31"/>
        <v>52</v>
      </c>
      <c r="AG69" s="49">
        <f t="shared" si="22"/>
        <v>21603.282330000002</v>
      </c>
      <c r="AH69" s="49">
        <f t="shared" si="23"/>
        <v>5846.3706000000002</v>
      </c>
      <c r="AI69" s="49">
        <f t="shared" si="24"/>
        <v>1367.2963500000001</v>
      </c>
      <c r="AJ69" s="49">
        <f t="shared" si="25"/>
        <v>1159.84449</v>
      </c>
      <c r="AK69" s="49">
        <f t="shared" si="26"/>
        <v>1782.9544404000001</v>
      </c>
      <c r="AL69" s="45">
        <v>140.04</v>
      </c>
      <c r="AM69" s="23">
        <f t="shared" si="32"/>
        <v>140.04</v>
      </c>
      <c r="AN69" s="44">
        <v>79.2</v>
      </c>
      <c r="AO69" s="22">
        <f t="shared" si="27"/>
        <v>79.2</v>
      </c>
      <c r="AP69" s="45">
        <v>33444</v>
      </c>
      <c r="AQ69" s="23">
        <f t="shared" si="28"/>
        <v>34786.776599999997</v>
      </c>
      <c r="AR69" s="23">
        <f t="shared" si="33"/>
        <v>34786.776599999997</v>
      </c>
      <c r="AS69" s="45">
        <f t="shared" si="34"/>
        <v>35006.016599999995</v>
      </c>
      <c r="AU69" s="20">
        <f t="shared" si="35"/>
        <v>0</v>
      </c>
      <c r="AV69" s="37">
        <f t="shared" si="29"/>
        <v>66765.764810399996</v>
      </c>
      <c r="AW69" s="225">
        <f t="shared" si="36"/>
        <v>161062.06481040001</v>
      </c>
      <c r="BA69" s="39" t="str">
        <f t="shared" si="30"/>
        <v>1 - PROG_ANLYT - VACANT (Programmer)</v>
      </c>
    </row>
    <row r="70" spans="1:53" ht="12.75" customHeight="1" x14ac:dyDescent="0.25">
      <c r="A70" s="20">
        <v>69</v>
      </c>
      <c r="B70" s="20" t="s">
        <v>6725</v>
      </c>
      <c r="C70" s="20" t="s">
        <v>6936</v>
      </c>
      <c r="D70" s="20" t="s">
        <v>6934</v>
      </c>
      <c r="E70" s="21">
        <v>1</v>
      </c>
      <c r="G70" s="35" t="s">
        <v>6935</v>
      </c>
      <c r="H70" s="20" t="s">
        <v>6741</v>
      </c>
      <c r="K70" s="23">
        <v>89806</v>
      </c>
      <c r="L70" s="23">
        <f t="shared" si="19"/>
        <v>89806</v>
      </c>
      <c r="Q70" s="26">
        <v>0.05</v>
      </c>
      <c r="R70" s="23">
        <f>L70*Q70</f>
        <v>4490.3</v>
      </c>
      <c r="V70" s="23">
        <f t="shared" si="20"/>
        <v>94296.3</v>
      </c>
      <c r="W70" s="36">
        <v>1</v>
      </c>
      <c r="X70" s="23">
        <f t="shared" si="21"/>
        <v>94296.3</v>
      </c>
      <c r="Y70" s="20" t="s">
        <v>3290</v>
      </c>
      <c r="Z70" s="35" t="s">
        <v>6758</v>
      </c>
      <c r="AA70" s="35" t="s">
        <v>6777</v>
      </c>
      <c r="AB70" s="35" t="s">
        <v>6733</v>
      </c>
      <c r="AC70" s="35" t="s">
        <v>6778</v>
      </c>
      <c r="AD70" s="35" t="s">
        <v>6744</v>
      </c>
      <c r="AE70" s="37" t="str">
        <f t="shared" si="31"/>
        <v>52</v>
      </c>
      <c r="AG70" s="37">
        <f t="shared" si="22"/>
        <v>21603.282330000002</v>
      </c>
      <c r="AH70" s="37">
        <f t="shared" si="23"/>
        <v>5846.3706000000002</v>
      </c>
      <c r="AI70" s="37">
        <f t="shared" si="24"/>
        <v>1367.2963500000001</v>
      </c>
      <c r="AJ70" s="37">
        <f t="shared" si="25"/>
        <v>1159.84449</v>
      </c>
      <c r="AK70" s="37">
        <f t="shared" si="26"/>
        <v>1782.9544404000001</v>
      </c>
      <c r="AL70" s="23">
        <v>140.04</v>
      </c>
      <c r="AM70" s="23">
        <f t="shared" si="32"/>
        <v>140.04</v>
      </c>
      <c r="AN70" s="22">
        <v>79.2</v>
      </c>
      <c r="AO70" s="22">
        <f t="shared" si="27"/>
        <v>79.2</v>
      </c>
      <c r="AP70" s="23">
        <v>33444</v>
      </c>
      <c r="AQ70" s="23">
        <f t="shared" si="28"/>
        <v>34786.776599999997</v>
      </c>
      <c r="AR70" s="23">
        <f t="shared" si="33"/>
        <v>34786.776599999997</v>
      </c>
      <c r="AS70" s="23">
        <f t="shared" si="34"/>
        <v>35006.016599999995</v>
      </c>
      <c r="AU70" s="20">
        <f t="shared" si="35"/>
        <v>0</v>
      </c>
      <c r="AV70" s="37">
        <f t="shared" si="29"/>
        <v>66765.764810399996</v>
      </c>
      <c r="AW70" s="37">
        <f t="shared" si="36"/>
        <v>161062.06481040001</v>
      </c>
      <c r="BA70" s="20" t="str">
        <f t="shared" si="30"/>
        <v>1 - PROG_ANLYT - Hu, Min</v>
      </c>
    </row>
    <row r="71" spans="1:53" ht="2.25" customHeight="1" x14ac:dyDescent="0.25">
      <c r="A71" s="20">
        <v>70</v>
      </c>
      <c r="B71" s="20" t="s">
        <v>6725</v>
      </c>
      <c r="C71" s="20" t="s">
        <v>6937</v>
      </c>
      <c r="D71" s="20" t="s">
        <v>6770</v>
      </c>
      <c r="E71" s="21">
        <v>1</v>
      </c>
      <c r="G71" s="35" t="s">
        <v>6771</v>
      </c>
      <c r="H71" s="20" t="s">
        <v>6741</v>
      </c>
      <c r="K71" s="23">
        <v>62008</v>
      </c>
      <c r="L71" s="23">
        <f t="shared" si="19"/>
        <v>62008</v>
      </c>
      <c r="Q71" s="26">
        <v>0.1</v>
      </c>
      <c r="R71" s="23">
        <f>L71*Q71</f>
        <v>6200.8</v>
      </c>
      <c r="U71" s="23">
        <v>1200</v>
      </c>
      <c r="V71" s="23">
        <f t="shared" si="20"/>
        <v>69408.800000000003</v>
      </c>
      <c r="W71" s="36">
        <v>1</v>
      </c>
      <c r="X71" s="23">
        <f t="shared" si="21"/>
        <v>69408.800000000003</v>
      </c>
      <c r="Y71" s="20" t="s">
        <v>1765</v>
      </c>
      <c r="Z71" s="35" t="s">
        <v>6758</v>
      </c>
      <c r="AA71" s="35" t="s">
        <v>6772</v>
      </c>
      <c r="AB71" s="35" t="s">
        <v>6733</v>
      </c>
      <c r="AC71" s="35" t="s">
        <v>6815</v>
      </c>
      <c r="AD71" s="35" t="s">
        <v>6735</v>
      </c>
      <c r="AE71" s="37" t="str">
        <f t="shared" si="31"/>
        <v>52</v>
      </c>
      <c r="AG71" s="37">
        <f t="shared" si="22"/>
        <v>15901.55608</v>
      </c>
      <c r="AH71" s="37">
        <f t="shared" si="23"/>
        <v>4303.3456000000006</v>
      </c>
      <c r="AI71" s="37">
        <f t="shared" si="24"/>
        <v>1006.4276000000001</v>
      </c>
      <c r="AJ71" s="37">
        <f t="shared" si="25"/>
        <v>853.72824000000003</v>
      </c>
      <c r="AK71" s="37">
        <f t="shared" si="26"/>
        <v>1312.3815904000001</v>
      </c>
      <c r="AL71" s="23">
        <v>140.04</v>
      </c>
      <c r="AM71" s="23">
        <f t="shared" si="32"/>
        <v>140.04</v>
      </c>
      <c r="AN71" s="22">
        <v>79.2</v>
      </c>
      <c r="AO71" s="22">
        <f t="shared" si="27"/>
        <v>79.2</v>
      </c>
      <c r="AP71" s="23">
        <v>33444</v>
      </c>
      <c r="AQ71" s="23">
        <f t="shared" si="28"/>
        <v>34786.776599999997</v>
      </c>
      <c r="AR71" s="23">
        <f t="shared" si="33"/>
        <v>34786.776599999997</v>
      </c>
      <c r="AS71" s="23">
        <f t="shared" si="34"/>
        <v>35006.016599999995</v>
      </c>
      <c r="AU71" s="20">
        <f t="shared" si="35"/>
        <v>0</v>
      </c>
      <c r="AV71" s="37">
        <f t="shared" si="29"/>
        <v>58383.455710399998</v>
      </c>
      <c r="AW71" s="37">
        <f t="shared" si="36"/>
        <v>127792.2557104</v>
      </c>
      <c r="BA71" s="20" t="str">
        <f t="shared" si="30"/>
        <v>1 - SCILABTEC - Hutchins, Elizbeth</v>
      </c>
    </row>
    <row r="72" spans="1:53" ht="12.75" customHeight="1" x14ac:dyDescent="0.25">
      <c r="A72" s="20">
        <v>71</v>
      </c>
      <c r="B72" s="20" t="s">
        <v>6725</v>
      </c>
      <c r="C72" s="52" t="s">
        <v>6938</v>
      </c>
      <c r="D72" s="20" t="s">
        <v>6770</v>
      </c>
      <c r="E72" s="21">
        <v>1</v>
      </c>
      <c r="G72" s="35" t="s">
        <v>6771</v>
      </c>
      <c r="H72" s="20" t="s">
        <v>6782</v>
      </c>
      <c r="K72" s="23">
        <v>51014</v>
      </c>
      <c r="L72" s="23">
        <f t="shared" si="19"/>
        <v>51014</v>
      </c>
      <c r="R72" s="23">
        <f>M72*Q72</f>
        <v>0</v>
      </c>
      <c r="V72" s="23">
        <f t="shared" si="20"/>
        <v>51014</v>
      </c>
      <c r="W72" s="36">
        <v>1</v>
      </c>
      <c r="X72" s="23">
        <f t="shared" si="21"/>
        <v>51014</v>
      </c>
      <c r="Y72" s="20" t="s">
        <v>1624</v>
      </c>
      <c r="Z72" s="35" t="s">
        <v>6758</v>
      </c>
      <c r="AA72" s="35" t="s">
        <v>6772</v>
      </c>
      <c r="AB72" s="35" t="s">
        <v>6733</v>
      </c>
      <c r="AC72" s="35" t="s">
        <v>6773</v>
      </c>
      <c r="AD72" s="35" t="s">
        <v>6735</v>
      </c>
      <c r="AE72" s="37" t="str">
        <f t="shared" si="31"/>
        <v>52</v>
      </c>
      <c r="AG72" s="37">
        <f t="shared" si="22"/>
        <v>11687.3074</v>
      </c>
      <c r="AH72" s="37">
        <f t="shared" si="23"/>
        <v>3162.8679999999999</v>
      </c>
      <c r="AI72" s="37">
        <f t="shared" si="24"/>
        <v>739.70300000000009</v>
      </c>
      <c r="AJ72" s="37">
        <f t="shared" si="25"/>
        <v>627.47220000000004</v>
      </c>
      <c r="AK72" s="37">
        <f t="shared" si="26"/>
        <v>964.57271200000002</v>
      </c>
      <c r="AL72" s="23">
        <v>140.04</v>
      </c>
      <c r="AM72" s="23">
        <f t="shared" si="32"/>
        <v>140.04</v>
      </c>
      <c r="AN72" s="22">
        <v>79.2</v>
      </c>
      <c r="AO72" s="22">
        <f t="shared" si="27"/>
        <v>79.2</v>
      </c>
      <c r="AP72" s="23">
        <v>25452.6</v>
      </c>
      <c r="AQ72" s="23">
        <f t="shared" si="28"/>
        <v>26474.521889999996</v>
      </c>
      <c r="AR72" s="23">
        <f t="shared" si="33"/>
        <v>26474.521889999996</v>
      </c>
      <c r="AS72" s="23">
        <f t="shared" si="34"/>
        <v>26693.761889999998</v>
      </c>
      <c r="AU72" s="20">
        <f t="shared" si="35"/>
        <v>0</v>
      </c>
      <c r="AV72" s="37">
        <f t="shared" si="29"/>
        <v>43875.685201999993</v>
      </c>
      <c r="AW72" s="225">
        <f t="shared" si="36"/>
        <v>94889.685201999993</v>
      </c>
      <c r="BA72" s="20" t="str">
        <f t="shared" si="30"/>
        <v>1 - SCILABTEC - VACANT (Hutchins V)</v>
      </c>
    </row>
    <row r="73" spans="1:53" ht="12.75" customHeight="1" x14ac:dyDescent="0.25">
      <c r="A73" s="20">
        <v>72</v>
      </c>
      <c r="B73" s="20" t="s">
        <v>6725</v>
      </c>
      <c r="C73" s="20" t="s">
        <v>6939</v>
      </c>
      <c r="D73" s="20" t="s">
        <v>6940</v>
      </c>
      <c r="E73" s="21">
        <v>0.83330000000000004</v>
      </c>
      <c r="G73" s="35" t="s">
        <v>6873</v>
      </c>
      <c r="H73" s="20" t="s">
        <v>6741</v>
      </c>
      <c r="K73" s="23">
        <f>56176*E73</f>
        <v>46811.460800000001</v>
      </c>
      <c r="L73" s="23">
        <f t="shared" si="19"/>
        <v>46811.460800000001</v>
      </c>
      <c r="R73" s="23">
        <f>M73*Q73</f>
        <v>0</v>
      </c>
      <c r="V73" s="23">
        <f t="shared" si="20"/>
        <v>46811.460800000001</v>
      </c>
      <c r="W73" s="36">
        <v>1</v>
      </c>
      <c r="X73" s="23">
        <f t="shared" si="21"/>
        <v>46811.460800000001</v>
      </c>
      <c r="Y73" s="20" t="s">
        <v>1567</v>
      </c>
      <c r="Z73" s="35" t="s">
        <v>6758</v>
      </c>
      <c r="AA73" s="35" t="s">
        <v>6941</v>
      </c>
      <c r="AB73" s="35" t="s">
        <v>6733</v>
      </c>
      <c r="AC73" s="35" t="s">
        <v>6942</v>
      </c>
      <c r="AD73" s="35" t="s">
        <v>6744</v>
      </c>
      <c r="AE73" s="37" t="str">
        <f t="shared" si="31"/>
        <v>52</v>
      </c>
      <c r="AG73" s="37">
        <f t="shared" si="22"/>
        <v>10724.505669280001</v>
      </c>
      <c r="AH73" s="37">
        <f t="shared" si="23"/>
        <v>2902.3105696000002</v>
      </c>
      <c r="AI73" s="37">
        <f t="shared" si="24"/>
        <v>678.7661816000001</v>
      </c>
      <c r="AJ73" s="37">
        <f t="shared" si="25"/>
        <v>575.78096784000002</v>
      </c>
      <c r="AK73" s="37">
        <f t="shared" si="26"/>
        <v>885.11110080640003</v>
      </c>
      <c r="AL73" s="23">
        <v>140.04</v>
      </c>
      <c r="AM73" s="23">
        <f t="shared" si="32"/>
        <v>140.04</v>
      </c>
      <c r="AN73" s="22">
        <v>79.2</v>
      </c>
      <c r="AO73" s="22">
        <f t="shared" si="27"/>
        <v>79.2</v>
      </c>
      <c r="AP73" s="23">
        <v>13152</v>
      </c>
      <c r="AQ73" s="23">
        <f t="shared" si="28"/>
        <v>13680.052799999999</v>
      </c>
      <c r="AR73" s="23">
        <f t="shared" si="33"/>
        <v>13680.052799999999</v>
      </c>
      <c r="AS73" s="23">
        <f t="shared" si="34"/>
        <v>13899.292799999999</v>
      </c>
      <c r="AU73" s="20">
        <f t="shared" si="35"/>
        <v>0</v>
      </c>
      <c r="AV73" s="37">
        <f t="shared" si="29"/>
        <v>29665.767289126401</v>
      </c>
      <c r="AW73" s="37">
        <f t="shared" si="36"/>
        <v>76477.228089126409</v>
      </c>
      <c r="BA73" s="20" t="str">
        <f t="shared" si="30"/>
        <v>1 - ATH_EQATTD - Ichikawa, Rodney</v>
      </c>
    </row>
    <row r="74" spans="1:53" ht="12.75" customHeight="1" x14ac:dyDescent="0.25">
      <c r="A74" s="20">
        <v>73</v>
      </c>
      <c r="B74" s="20" t="s">
        <v>6725</v>
      </c>
      <c r="C74" s="20" t="s">
        <v>6943</v>
      </c>
      <c r="D74" s="20" t="s">
        <v>6944</v>
      </c>
      <c r="E74" s="21">
        <v>1</v>
      </c>
      <c r="G74" s="35" t="s">
        <v>6883</v>
      </c>
      <c r="H74" s="20" t="s">
        <v>6741</v>
      </c>
      <c r="K74" s="23">
        <v>66776</v>
      </c>
      <c r="L74" s="23">
        <f t="shared" si="19"/>
        <v>66776</v>
      </c>
      <c r="Q74" s="26">
        <v>7.4999999999999997E-2</v>
      </c>
      <c r="R74" s="23">
        <f>L74*Q74</f>
        <v>5008.2</v>
      </c>
      <c r="U74" s="23">
        <v>600</v>
      </c>
      <c r="V74" s="23">
        <f t="shared" si="20"/>
        <v>72384.2</v>
      </c>
      <c r="W74" s="36">
        <v>1</v>
      </c>
      <c r="X74" s="23">
        <f t="shared" si="21"/>
        <v>72384.2</v>
      </c>
      <c r="Y74" s="20" t="s">
        <v>3290</v>
      </c>
      <c r="Z74" s="35" t="s">
        <v>6758</v>
      </c>
      <c r="AA74" s="35" t="s">
        <v>6777</v>
      </c>
      <c r="AB74" s="35" t="s">
        <v>6733</v>
      </c>
      <c r="AC74" s="35" t="s">
        <v>6778</v>
      </c>
      <c r="AD74" s="35" t="s">
        <v>6744</v>
      </c>
      <c r="AE74" s="37" t="str">
        <f t="shared" si="31"/>
        <v>52</v>
      </c>
      <c r="AG74" s="37">
        <f t="shared" si="22"/>
        <v>16583.220219999999</v>
      </c>
      <c r="AH74" s="37">
        <f t="shared" si="23"/>
        <v>4487.8203999999996</v>
      </c>
      <c r="AI74" s="37">
        <f t="shared" si="24"/>
        <v>1049.5708999999999</v>
      </c>
      <c r="AJ74" s="37">
        <f t="shared" si="25"/>
        <v>890.32565999999997</v>
      </c>
      <c r="AK74" s="37">
        <f t="shared" si="26"/>
        <v>1368.6404536</v>
      </c>
      <c r="AL74" s="23">
        <v>140.04</v>
      </c>
      <c r="AM74" s="23">
        <f t="shared" si="32"/>
        <v>140.04</v>
      </c>
      <c r="AN74" s="22">
        <v>79.2</v>
      </c>
      <c r="AO74" s="22">
        <f t="shared" si="27"/>
        <v>79.2</v>
      </c>
      <c r="AP74" s="23">
        <v>33444</v>
      </c>
      <c r="AQ74" s="23">
        <f t="shared" si="28"/>
        <v>34786.776599999997</v>
      </c>
      <c r="AR74" s="23">
        <f t="shared" si="33"/>
        <v>34786.776599999997</v>
      </c>
      <c r="AS74" s="23">
        <f t="shared" si="34"/>
        <v>35006.016599999995</v>
      </c>
      <c r="AU74" s="20">
        <f t="shared" si="35"/>
        <v>0</v>
      </c>
      <c r="AV74" s="37">
        <f t="shared" si="29"/>
        <v>59385.594233600001</v>
      </c>
      <c r="AW74" s="37">
        <f t="shared" si="36"/>
        <v>131769.7942336</v>
      </c>
      <c r="BA74" s="20" t="str">
        <f t="shared" si="30"/>
        <v xml:space="preserve">1 - COMPLABCOR - Isaias, Jorge </v>
      </c>
    </row>
    <row r="75" spans="1:53" ht="12.75" hidden="1" customHeight="1" x14ac:dyDescent="0.25">
      <c r="A75" s="20">
        <v>74</v>
      </c>
      <c r="B75" s="20" t="s">
        <v>6725</v>
      </c>
      <c r="C75" s="20" t="s">
        <v>6945</v>
      </c>
      <c r="D75" s="20" t="s">
        <v>6946</v>
      </c>
      <c r="E75" s="21">
        <v>1</v>
      </c>
      <c r="G75" s="35" t="s">
        <v>6728</v>
      </c>
      <c r="H75" s="20" t="s">
        <v>6741</v>
      </c>
      <c r="K75" s="23">
        <v>77440</v>
      </c>
      <c r="L75" s="23">
        <f t="shared" si="19"/>
        <v>77440</v>
      </c>
      <c r="Q75" s="26">
        <v>0.1</v>
      </c>
      <c r="R75" s="23">
        <f>L75*Q75</f>
        <v>7744</v>
      </c>
      <c r="U75" s="23">
        <v>1800</v>
      </c>
      <c r="V75" s="23">
        <f t="shared" si="20"/>
        <v>86984</v>
      </c>
      <c r="W75" s="36">
        <v>1</v>
      </c>
      <c r="X75" s="23">
        <f t="shared" si="21"/>
        <v>86984</v>
      </c>
      <c r="Y75" s="20" t="s">
        <v>5938</v>
      </c>
      <c r="Z75" s="35" t="s">
        <v>6731</v>
      </c>
      <c r="AA75" s="35" t="s">
        <v>6788</v>
      </c>
      <c r="AB75" s="35" t="s">
        <v>6733</v>
      </c>
      <c r="AC75" s="35" t="s">
        <v>6789</v>
      </c>
      <c r="AD75" s="35" t="s">
        <v>6744</v>
      </c>
      <c r="AE75" s="37" t="str">
        <f t="shared" si="31"/>
        <v>52</v>
      </c>
      <c r="AG75" s="37">
        <f t="shared" si="22"/>
        <v>19928.0344</v>
      </c>
      <c r="AH75" s="37">
        <f t="shared" si="23"/>
        <v>5393.0079999999998</v>
      </c>
      <c r="AI75" s="37">
        <f t="shared" si="24"/>
        <v>1261.268</v>
      </c>
      <c r="AJ75" s="37">
        <f t="shared" si="25"/>
        <v>1069.9032</v>
      </c>
      <c r="AK75" s="37">
        <f t="shared" si="26"/>
        <v>1644.6934720000002</v>
      </c>
      <c r="AL75" s="23">
        <v>140.04</v>
      </c>
      <c r="AM75" s="23">
        <f t="shared" si="32"/>
        <v>140.04</v>
      </c>
      <c r="AN75" s="22">
        <v>79.2</v>
      </c>
      <c r="AO75" s="22">
        <f t="shared" si="27"/>
        <v>79.2</v>
      </c>
      <c r="AP75" s="23">
        <v>33444</v>
      </c>
      <c r="AQ75" s="23">
        <f t="shared" si="28"/>
        <v>34786.776599999997</v>
      </c>
      <c r="AR75" s="23">
        <f t="shared" si="33"/>
        <v>34786.776599999997</v>
      </c>
      <c r="AS75" s="23">
        <f t="shared" si="34"/>
        <v>35006.016599999995</v>
      </c>
      <c r="AU75" s="20">
        <f t="shared" si="35"/>
        <v>0</v>
      </c>
      <c r="AV75" s="37">
        <f t="shared" si="29"/>
        <v>64302.923671999997</v>
      </c>
      <c r="AW75" s="37">
        <f t="shared" si="36"/>
        <v>151286.923672</v>
      </c>
      <c r="AX75" s="20" t="s">
        <v>6754</v>
      </c>
      <c r="AY75" s="20" t="s">
        <v>6790</v>
      </c>
      <c r="AZ75" s="20" t="s">
        <v>6791</v>
      </c>
      <c r="BA75" s="20" t="str">
        <f t="shared" si="30"/>
        <v>1 - EOPS_LEAD - Jaime, Antonia</v>
      </c>
    </row>
    <row r="76" spans="1:53" ht="12.75" hidden="1" customHeight="1" x14ac:dyDescent="0.25">
      <c r="A76" s="20">
        <v>75</v>
      </c>
      <c r="B76" s="20" t="s">
        <v>6725</v>
      </c>
      <c r="C76" s="20" t="s">
        <v>6947</v>
      </c>
      <c r="D76" s="20" t="s">
        <v>6739</v>
      </c>
      <c r="E76" s="21">
        <v>1</v>
      </c>
      <c r="F76" s="34">
        <v>44501</v>
      </c>
      <c r="G76" s="35" t="s">
        <v>6740</v>
      </c>
      <c r="H76" s="20" t="s">
        <v>6729</v>
      </c>
      <c r="I76" s="22">
        <f>5435*4</f>
        <v>21740</v>
      </c>
      <c r="J76" s="20" t="s">
        <v>6730</v>
      </c>
      <c r="K76" s="23">
        <f>5707*8</f>
        <v>45656</v>
      </c>
      <c r="L76" s="23">
        <f t="shared" si="19"/>
        <v>67396</v>
      </c>
      <c r="U76" s="23">
        <v>600</v>
      </c>
      <c r="V76" s="23">
        <f t="shared" si="20"/>
        <v>67996</v>
      </c>
      <c r="W76" s="36">
        <v>1</v>
      </c>
      <c r="X76" s="23">
        <f t="shared" si="21"/>
        <v>67996</v>
      </c>
      <c r="Y76" s="20" t="s">
        <v>5404</v>
      </c>
      <c r="Z76" s="35" t="s">
        <v>6731</v>
      </c>
      <c r="AA76" s="35" t="s">
        <v>6752</v>
      </c>
      <c r="AB76" s="35" t="s">
        <v>6733</v>
      </c>
      <c r="AC76" s="35" t="s">
        <v>6753</v>
      </c>
      <c r="AD76" s="35" t="s">
        <v>6744</v>
      </c>
      <c r="AE76" s="37" t="str">
        <f t="shared" si="31"/>
        <v>52</v>
      </c>
      <c r="AG76" s="37">
        <f t="shared" si="22"/>
        <v>15577.883599999999</v>
      </c>
      <c r="AH76" s="37">
        <f t="shared" si="23"/>
        <v>4215.7520000000004</v>
      </c>
      <c r="AI76" s="37">
        <f t="shared" si="24"/>
        <v>985.94200000000001</v>
      </c>
      <c r="AJ76" s="37">
        <f t="shared" si="25"/>
        <v>836.35080000000005</v>
      </c>
      <c r="AK76" s="37">
        <f t="shared" si="26"/>
        <v>1285.6683680000001</v>
      </c>
      <c r="AL76" s="23">
        <v>140.04</v>
      </c>
      <c r="AM76" s="23">
        <f t="shared" si="32"/>
        <v>140.04</v>
      </c>
      <c r="AN76" s="22">
        <v>79.2</v>
      </c>
      <c r="AO76" s="22">
        <f t="shared" si="27"/>
        <v>79.2</v>
      </c>
      <c r="AP76" s="23">
        <v>13152</v>
      </c>
      <c r="AQ76" s="23">
        <f t="shared" si="28"/>
        <v>13680.052799999999</v>
      </c>
      <c r="AR76" s="23">
        <f t="shared" si="33"/>
        <v>13680.052799999999</v>
      </c>
      <c r="AS76" s="23">
        <f t="shared" si="34"/>
        <v>13899.292799999999</v>
      </c>
      <c r="AU76" s="20">
        <f t="shared" si="35"/>
        <v>0</v>
      </c>
      <c r="AV76" s="37">
        <f t="shared" si="29"/>
        <v>36800.889567999999</v>
      </c>
      <c r="AW76" s="37">
        <f t="shared" si="36"/>
        <v>104796.889568</v>
      </c>
      <c r="AX76" s="20" t="s">
        <v>6754</v>
      </c>
      <c r="AY76" s="20" t="s">
        <v>6680</v>
      </c>
      <c r="AZ76" s="20" t="s">
        <v>6755</v>
      </c>
      <c r="BA76" s="20" t="str">
        <f t="shared" si="30"/>
        <v>1 - PRGASST_II - Jerezano, Maria</v>
      </c>
    </row>
    <row r="77" spans="1:53" ht="12.75" customHeight="1" x14ac:dyDescent="0.25">
      <c r="A77" s="20">
        <v>76</v>
      </c>
      <c r="B77" s="20" t="s">
        <v>6725</v>
      </c>
      <c r="C77" s="20" t="s">
        <v>6948</v>
      </c>
      <c r="D77" s="20" t="s">
        <v>6949</v>
      </c>
      <c r="E77" s="21">
        <v>1</v>
      </c>
      <c r="G77" s="35" t="s">
        <v>6950</v>
      </c>
      <c r="H77" s="20" t="s">
        <v>6741</v>
      </c>
      <c r="K77" s="23">
        <v>75551</v>
      </c>
      <c r="L77" s="23">
        <f t="shared" si="19"/>
        <v>75551</v>
      </c>
      <c r="U77" s="23">
        <v>600</v>
      </c>
      <c r="V77" s="23">
        <f t="shared" si="20"/>
        <v>76151</v>
      </c>
      <c r="W77" s="36">
        <v>1</v>
      </c>
      <c r="X77" s="23">
        <f t="shared" si="21"/>
        <v>76151</v>
      </c>
      <c r="Y77" s="20" t="s">
        <v>3290</v>
      </c>
      <c r="Z77" s="35" t="s">
        <v>6758</v>
      </c>
      <c r="AA77" s="35" t="s">
        <v>6777</v>
      </c>
      <c r="AB77" s="35" t="s">
        <v>6733</v>
      </c>
      <c r="AC77" s="35" t="s">
        <v>6778</v>
      </c>
      <c r="AD77" s="35" t="s">
        <v>6744</v>
      </c>
      <c r="AE77" s="37" t="str">
        <f t="shared" si="31"/>
        <v>52</v>
      </c>
      <c r="AG77" s="37">
        <f t="shared" si="22"/>
        <v>17446.194100000001</v>
      </c>
      <c r="AH77" s="37">
        <f t="shared" si="23"/>
        <v>4721.3620000000001</v>
      </c>
      <c r="AI77" s="37">
        <f t="shared" si="24"/>
        <v>1104.1895</v>
      </c>
      <c r="AJ77" s="37">
        <f t="shared" si="25"/>
        <v>936.65729999999996</v>
      </c>
      <c r="AK77" s="37">
        <f t="shared" si="26"/>
        <v>1439.863108</v>
      </c>
      <c r="AL77" s="23">
        <v>140.04</v>
      </c>
      <c r="AM77" s="23">
        <f t="shared" si="32"/>
        <v>140.04</v>
      </c>
      <c r="AN77" s="22">
        <v>79.2</v>
      </c>
      <c r="AO77" s="22">
        <f t="shared" si="27"/>
        <v>79.2</v>
      </c>
      <c r="AP77" s="23">
        <v>33444</v>
      </c>
      <c r="AQ77" s="23">
        <f t="shared" si="28"/>
        <v>34786.776599999997</v>
      </c>
      <c r="AR77" s="23">
        <f t="shared" si="33"/>
        <v>34786.776599999997</v>
      </c>
      <c r="AS77" s="23">
        <f t="shared" si="34"/>
        <v>35006.016599999995</v>
      </c>
      <c r="AU77" s="20">
        <f t="shared" si="35"/>
        <v>0</v>
      </c>
      <c r="AV77" s="37">
        <f t="shared" si="29"/>
        <v>60654.282608000001</v>
      </c>
      <c r="AW77" s="37">
        <f t="shared" si="36"/>
        <v>136805.28260800001</v>
      </c>
      <c r="BA77" s="20" t="str">
        <f t="shared" si="30"/>
        <v>1 - MULTMEDSPC - Jimmeye, Daniel</v>
      </c>
    </row>
    <row r="78" spans="1:53" s="39" customFormat="1" ht="12.75" customHeight="1" x14ac:dyDescent="0.25">
      <c r="A78" s="39">
        <v>77</v>
      </c>
      <c r="B78" s="39" t="s">
        <v>6725</v>
      </c>
      <c r="C78" s="39" t="s">
        <v>6951</v>
      </c>
      <c r="D78" s="39" t="s">
        <v>6952</v>
      </c>
      <c r="E78" s="41">
        <v>1</v>
      </c>
      <c r="G78" s="43" t="s">
        <v>6818</v>
      </c>
      <c r="H78" s="39" t="s">
        <v>6741</v>
      </c>
      <c r="I78" s="44"/>
      <c r="K78" s="45">
        <v>81361</v>
      </c>
      <c r="L78" s="45">
        <f t="shared" si="19"/>
        <v>81361</v>
      </c>
      <c r="M78" s="45"/>
      <c r="N78" s="45"/>
      <c r="O78" s="46"/>
      <c r="P78" s="45"/>
      <c r="Q78" s="47">
        <v>2.5000000000000001E-2</v>
      </c>
      <c r="R78" s="45">
        <f>L78*Q78</f>
        <v>2034.0250000000001</v>
      </c>
      <c r="S78" s="47"/>
      <c r="T78" s="45">
        <f>M78*S78/12*8</f>
        <v>0</v>
      </c>
      <c r="U78" s="45"/>
      <c r="V78" s="45">
        <f t="shared" si="20"/>
        <v>83395.024999999994</v>
      </c>
      <c r="W78" s="48">
        <v>0.5</v>
      </c>
      <c r="X78" s="45">
        <f t="shared" si="21"/>
        <v>41697.512499999997</v>
      </c>
      <c r="Y78" s="39" t="s">
        <v>2705</v>
      </c>
      <c r="Z78" s="43" t="s">
        <v>6758</v>
      </c>
      <c r="AA78" s="43" t="s">
        <v>7638</v>
      </c>
      <c r="AB78" s="43" t="s">
        <v>6733</v>
      </c>
      <c r="AC78" s="43" t="s">
        <v>6805</v>
      </c>
      <c r="AD78" s="43" t="s">
        <v>6744</v>
      </c>
      <c r="AE78" s="49" t="str">
        <f t="shared" si="31"/>
        <v>52</v>
      </c>
      <c r="AG78" s="49">
        <f t="shared" si="22"/>
        <v>9552.9001137499999</v>
      </c>
      <c r="AH78" s="49">
        <f t="shared" si="23"/>
        <v>2585.2457749999999</v>
      </c>
      <c r="AI78" s="49">
        <f t="shared" si="24"/>
        <v>604.61393124999995</v>
      </c>
      <c r="AJ78" s="49">
        <f t="shared" si="25"/>
        <v>512.87940374999994</v>
      </c>
      <c r="AK78" s="49">
        <f t="shared" si="26"/>
        <v>788.41656635000004</v>
      </c>
      <c r="AL78" s="45">
        <v>140.04</v>
      </c>
      <c r="AM78" s="45">
        <f t="shared" si="32"/>
        <v>70.02</v>
      </c>
      <c r="AN78" s="44">
        <v>79.2</v>
      </c>
      <c r="AO78" s="44">
        <f t="shared" si="27"/>
        <v>39.6</v>
      </c>
      <c r="AP78" s="45">
        <v>7584</v>
      </c>
      <c r="AQ78" s="45">
        <f t="shared" si="28"/>
        <v>7888.4975999999997</v>
      </c>
      <c r="AR78" s="45">
        <f t="shared" si="33"/>
        <v>3944.2487999999998</v>
      </c>
      <c r="AS78" s="45">
        <f t="shared" si="34"/>
        <v>4053.8687999999997</v>
      </c>
      <c r="AT78" s="49">
        <v>2400</v>
      </c>
      <c r="AU78" s="39">
        <f t="shared" si="35"/>
        <v>1200</v>
      </c>
      <c r="AV78" s="49">
        <f t="shared" si="29"/>
        <v>19297.924590099999</v>
      </c>
      <c r="AW78" s="49">
        <f t="shared" si="36"/>
        <v>60995.437090099993</v>
      </c>
      <c r="BA78" s="39" t="str">
        <f t="shared" si="30"/>
        <v xml:space="preserve">0.5 - CP_COORD - Jones, Brenda </v>
      </c>
    </row>
    <row r="79" spans="1:53" ht="12.75" hidden="1" customHeight="1" x14ac:dyDescent="0.25">
      <c r="A79" s="20">
        <v>78</v>
      </c>
      <c r="B79" s="20" t="s">
        <v>6725</v>
      </c>
      <c r="C79" s="20" t="s">
        <v>6951</v>
      </c>
      <c r="D79" s="20" t="s">
        <v>6952</v>
      </c>
      <c r="E79" s="21">
        <v>1</v>
      </c>
      <c r="G79" s="35" t="s">
        <v>6818</v>
      </c>
      <c r="H79" s="20" t="s">
        <v>6741</v>
      </c>
      <c r="K79" s="23">
        <v>81361</v>
      </c>
      <c r="L79" s="23">
        <f t="shared" si="19"/>
        <v>81361</v>
      </c>
      <c r="Q79" s="26">
        <v>2.5000000000000001E-2</v>
      </c>
      <c r="R79" s="23">
        <f>L79*Q79</f>
        <v>2034.0250000000001</v>
      </c>
      <c r="T79" s="23">
        <f>M79*S79/12*8</f>
        <v>0</v>
      </c>
      <c r="V79" s="23">
        <f t="shared" si="20"/>
        <v>83395.024999999994</v>
      </c>
      <c r="W79" s="36">
        <v>0.25</v>
      </c>
      <c r="X79" s="23">
        <f t="shared" si="21"/>
        <v>20848.756249999999</v>
      </c>
      <c r="Y79" s="20" t="s">
        <v>5404</v>
      </c>
      <c r="Z79" s="35" t="s">
        <v>6731</v>
      </c>
      <c r="AA79" s="35" t="s">
        <v>6752</v>
      </c>
      <c r="AB79" s="35" t="s">
        <v>6733</v>
      </c>
      <c r="AC79" s="35" t="s">
        <v>6753</v>
      </c>
      <c r="AD79" s="35" t="s">
        <v>6744</v>
      </c>
      <c r="AE79" s="37" t="str">
        <f t="shared" si="31"/>
        <v>52</v>
      </c>
      <c r="AG79" s="37">
        <f t="shared" si="22"/>
        <v>4776.450056875</v>
      </c>
      <c r="AH79" s="37">
        <f t="shared" si="23"/>
        <v>1292.6228874999999</v>
      </c>
      <c r="AI79" s="37">
        <f t="shared" si="24"/>
        <v>302.30696562499998</v>
      </c>
      <c r="AJ79" s="37">
        <f t="shared" si="25"/>
        <v>256.43970187499997</v>
      </c>
      <c r="AK79" s="37">
        <f t="shared" si="26"/>
        <v>394.20828317500002</v>
      </c>
      <c r="AL79" s="23">
        <v>140.04</v>
      </c>
      <c r="AM79" s="23">
        <f t="shared" si="32"/>
        <v>35.01</v>
      </c>
      <c r="AN79" s="22">
        <v>79.2</v>
      </c>
      <c r="AO79" s="22">
        <f t="shared" si="27"/>
        <v>19.8</v>
      </c>
      <c r="AP79" s="23">
        <v>7584</v>
      </c>
      <c r="AQ79" s="23">
        <f t="shared" si="28"/>
        <v>7888.4975999999997</v>
      </c>
      <c r="AR79" s="23">
        <f t="shared" si="33"/>
        <v>1972.1243999999999</v>
      </c>
      <c r="AS79" s="23">
        <f t="shared" si="34"/>
        <v>2026.9343999999999</v>
      </c>
      <c r="AT79" s="37">
        <v>2400</v>
      </c>
      <c r="AU79" s="20">
        <f t="shared" si="35"/>
        <v>600</v>
      </c>
      <c r="AV79" s="37">
        <f t="shared" si="29"/>
        <v>9648.9622950499997</v>
      </c>
      <c r="AW79" s="37">
        <f t="shared" si="36"/>
        <v>30497.718545049996</v>
      </c>
      <c r="AX79" s="20" t="s">
        <v>6754</v>
      </c>
      <c r="AY79" s="20" t="s">
        <v>6680</v>
      </c>
      <c r="AZ79" s="20" t="s">
        <v>6755</v>
      </c>
      <c r="BA79" s="20" t="str">
        <f t="shared" si="30"/>
        <v xml:space="preserve">0.25 - CP_COORD - Jones, Brenda </v>
      </c>
    </row>
    <row r="80" spans="1:53" ht="12.75" hidden="1" customHeight="1" x14ac:dyDescent="0.25">
      <c r="A80" s="20">
        <v>79</v>
      </c>
      <c r="B80" s="20" t="s">
        <v>6725</v>
      </c>
      <c r="C80" s="20" t="s">
        <v>6951</v>
      </c>
      <c r="D80" s="20" t="s">
        <v>6952</v>
      </c>
      <c r="E80" s="21">
        <v>1</v>
      </c>
      <c r="G80" s="35" t="s">
        <v>6818</v>
      </c>
      <c r="H80" s="20" t="s">
        <v>6741</v>
      </c>
      <c r="K80" s="23">
        <v>81361</v>
      </c>
      <c r="L80" s="23">
        <f t="shared" si="19"/>
        <v>81361</v>
      </c>
      <c r="V80" s="23">
        <f t="shared" si="20"/>
        <v>81361</v>
      </c>
      <c r="W80" s="36">
        <v>0.25</v>
      </c>
      <c r="X80" s="23">
        <f t="shared" si="21"/>
        <v>20340.25</v>
      </c>
      <c r="Y80" s="20" t="s">
        <v>4944</v>
      </c>
      <c r="Z80" s="35" t="s">
        <v>6731</v>
      </c>
      <c r="AA80" s="35" t="s">
        <v>6732</v>
      </c>
      <c r="AB80" s="35" t="s">
        <v>6733</v>
      </c>
      <c r="AC80" s="35" t="s">
        <v>6734</v>
      </c>
      <c r="AD80" s="35" t="s">
        <v>6744</v>
      </c>
      <c r="AE80" s="37" t="str">
        <f t="shared" si="31"/>
        <v>52</v>
      </c>
      <c r="AG80" s="37">
        <f t="shared" si="22"/>
        <v>4659.9512750000004</v>
      </c>
      <c r="AH80" s="37">
        <f t="shared" si="23"/>
        <v>1261.0954999999999</v>
      </c>
      <c r="AI80" s="37">
        <f t="shared" si="24"/>
        <v>294.93362500000001</v>
      </c>
      <c r="AJ80" s="37">
        <f t="shared" si="25"/>
        <v>250.18507500000001</v>
      </c>
      <c r="AK80" s="37">
        <f t="shared" si="26"/>
        <v>384.59344700000003</v>
      </c>
      <c r="AL80" s="23">
        <v>140.04</v>
      </c>
      <c r="AM80" s="23">
        <f t="shared" si="32"/>
        <v>35.01</v>
      </c>
      <c r="AN80" s="22">
        <v>79.2</v>
      </c>
      <c r="AO80" s="22">
        <f t="shared" si="27"/>
        <v>19.8</v>
      </c>
      <c r="AP80" s="23">
        <v>7584</v>
      </c>
      <c r="AQ80" s="23">
        <f t="shared" si="28"/>
        <v>7888.4975999999997</v>
      </c>
      <c r="AR80" s="23">
        <f t="shared" si="33"/>
        <v>1972.1243999999999</v>
      </c>
      <c r="AS80" s="23">
        <f t="shared" si="34"/>
        <v>2026.9343999999999</v>
      </c>
      <c r="AT80" s="37">
        <v>2400</v>
      </c>
      <c r="AU80" s="20">
        <f t="shared" si="35"/>
        <v>600</v>
      </c>
      <c r="AV80" s="37">
        <f t="shared" si="29"/>
        <v>9477.693322000001</v>
      </c>
      <c r="AW80" s="37">
        <f t="shared" si="36"/>
        <v>29817.943321999999</v>
      </c>
      <c r="AX80" s="20" t="s">
        <v>6675</v>
      </c>
      <c r="AY80" s="20" t="s">
        <v>6736</v>
      </c>
      <c r="AZ80" s="20" t="s">
        <v>6737</v>
      </c>
      <c r="BA80" s="20" t="str">
        <f t="shared" si="30"/>
        <v xml:space="preserve">0.25 - CP_COORD - Jones, Brenda </v>
      </c>
    </row>
    <row r="81" spans="1:53" ht="12.75" hidden="1" customHeight="1" x14ac:dyDescent="0.25">
      <c r="A81" s="20">
        <v>80</v>
      </c>
      <c r="B81" s="20" t="s">
        <v>6725</v>
      </c>
      <c r="C81" s="20" t="s">
        <v>6953</v>
      </c>
      <c r="D81" s="20" t="s">
        <v>6767</v>
      </c>
      <c r="E81" s="21">
        <v>1</v>
      </c>
      <c r="F81" s="34">
        <v>44621</v>
      </c>
      <c r="G81" s="35" t="s">
        <v>6757</v>
      </c>
      <c r="H81" s="20" t="s">
        <v>6730</v>
      </c>
      <c r="I81" s="22">
        <f>5044*8</f>
        <v>40352</v>
      </c>
      <c r="J81" s="20" t="s">
        <v>6741</v>
      </c>
      <c r="K81" s="23">
        <f>5296*4</f>
        <v>21184</v>
      </c>
      <c r="L81" s="23">
        <f t="shared" si="19"/>
        <v>61536</v>
      </c>
      <c r="U81" s="23">
        <v>600</v>
      </c>
      <c r="V81" s="23">
        <f t="shared" si="20"/>
        <v>62136</v>
      </c>
      <c r="W81" s="36">
        <v>1</v>
      </c>
      <c r="X81" s="23">
        <f t="shared" si="21"/>
        <v>62136</v>
      </c>
      <c r="Y81" s="20" t="s">
        <v>3343</v>
      </c>
      <c r="Z81" s="35" t="s">
        <v>6731</v>
      </c>
      <c r="AA81" s="35" t="s">
        <v>6954</v>
      </c>
      <c r="AB81" s="35" t="s">
        <v>6733</v>
      </c>
      <c r="AC81" s="35" t="s">
        <v>6955</v>
      </c>
      <c r="AD81" s="35" t="s">
        <v>6744</v>
      </c>
      <c r="AE81" s="37" t="str">
        <f t="shared" si="31"/>
        <v>52</v>
      </c>
      <c r="AG81" s="37">
        <f t="shared" si="22"/>
        <v>14235.357599999999</v>
      </c>
      <c r="AH81" s="37">
        <f t="shared" si="23"/>
        <v>3852.4319999999998</v>
      </c>
      <c r="AI81" s="37">
        <f t="shared" si="24"/>
        <v>900.97200000000009</v>
      </c>
      <c r="AJ81" s="37">
        <f t="shared" si="25"/>
        <v>764.27279999999996</v>
      </c>
      <c r="AK81" s="37">
        <f t="shared" si="26"/>
        <v>1174.8674880000001</v>
      </c>
      <c r="AL81" s="23">
        <v>140.04</v>
      </c>
      <c r="AM81" s="23">
        <f t="shared" si="32"/>
        <v>140.04</v>
      </c>
      <c r="AN81" s="22">
        <v>79.2</v>
      </c>
      <c r="AO81" s="22">
        <f t="shared" si="27"/>
        <v>79.2</v>
      </c>
      <c r="AP81" s="23">
        <v>8820</v>
      </c>
      <c r="AQ81" s="23">
        <f t="shared" si="28"/>
        <v>9174.1229999999996</v>
      </c>
      <c r="AR81" s="23">
        <f t="shared" si="33"/>
        <v>9174.1229999999996</v>
      </c>
      <c r="AS81" s="23">
        <f t="shared" si="34"/>
        <v>9393.3629999999994</v>
      </c>
      <c r="AT81" s="37">
        <v>2400</v>
      </c>
      <c r="AU81" s="20">
        <f t="shared" si="35"/>
        <v>2400</v>
      </c>
      <c r="AV81" s="37">
        <f t="shared" si="29"/>
        <v>32721.264888000002</v>
      </c>
      <c r="AW81" s="37">
        <f t="shared" si="36"/>
        <v>94857.264888000005</v>
      </c>
      <c r="AX81" s="20" t="s">
        <v>6850</v>
      </c>
      <c r="AY81" s="20" t="s">
        <v>6851</v>
      </c>
      <c r="AZ81" s="20" t="s">
        <v>6956</v>
      </c>
      <c r="BA81" s="20" t="str">
        <f t="shared" si="30"/>
        <v>1 - PROGASST_I - Jose Alonzo, Yerdaliney</v>
      </c>
    </row>
    <row r="82" spans="1:53" ht="12.75" customHeight="1" x14ac:dyDescent="0.25">
      <c r="A82" s="20">
        <v>81</v>
      </c>
      <c r="B82" s="20" t="s">
        <v>6725</v>
      </c>
      <c r="C82" s="20" t="s">
        <v>6957</v>
      </c>
      <c r="D82" s="20" t="s">
        <v>6958</v>
      </c>
      <c r="E82" s="21">
        <v>1</v>
      </c>
      <c r="F82" s="34">
        <v>44378</v>
      </c>
      <c r="G82" s="35" t="s">
        <v>6959</v>
      </c>
      <c r="H82" s="20" t="s">
        <v>6730</v>
      </c>
      <c r="I82" s="22">
        <v>79422</v>
      </c>
      <c r="K82" s="23">
        <v>0</v>
      </c>
      <c r="L82" s="23">
        <f t="shared" si="19"/>
        <v>79422</v>
      </c>
      <c r="V82" s="23">
        <f t="shared" si="20"/>
        <v>79422</v>
      </c>
      <c r="W82" s="36">
        <v>1</v>
      </c>
      <c r="X82" s="23">
        <f t="shared" si="21"/>
        <v>79422</v>
      </c>
      <c r="Y82" s="20" t="s">
        <v>3290</v>
      </c>
      <c r="Z82" s="35" t="s">
        <v>6758</v>
      </c>
      <c r="AA82" s="35" t="s">
        <v>6777</v>
      </c>
      <c r="AB82" s="35" t="s">
        <v>6733</v>
      </c>
      <c r="AC82" s="35" t="s">
        <v>6778</v>
      </c>
      <c r="AD82" s="35" t="s">
        <v>6744</v>
      </c>
      <c r="AE82" s="37" t="str">
        <f t="shared" si="31"/>
        <v>52</v>
      </c>
      <c r="AG82" s="37">
        <f t="shared" si="22"/>
        <v>18195.5802</v>
      </c>
      <c r="AH82" s="37">
        <f t="shared" si="23"/>
        <v>4924.1639999999998</v>
      </c>
      <c r="AI82" s="37">
        <f t="shared" si="24"/>
        <v>1151.6190000000001</v>
      </c>
      <c r="AJ82" s="37">
        <f t="shared" si="25"/>
        <v>976.89060000000006</v>
      </c>
      <c r="AK82" s="37">
        <f t="shared" si="26"/>
        <v>1501.711176</v>
      </c>
      <c r="AL82" s="23">
        <v>140.04</v>
      </c>
      <c r="AM82" s="23">
        <f t="shared" si="32"/>
        <v>140.04</v>
      </c>
      <c r="AN82" s="22">
        <v>79.2</v>
      </c>
      <c r="AO82" s="22">
        <f t="shared" si="27"/>
        <v>79.2</v>
      </c>
      <c r="AP82" s="23">
        <v>13152</v>
      </c>
      <c r="AQ82" s="23">
        <f t="shared" si="28"/>
        <v>13680.052799999999</v>
      </c>
      <c r="AR82" s="23">
        <f t="shared" si="33"/>
        <v>13680.052799999999</v>
      </c>
      <c r="AS82" s="23">
        <f t="shared" si="34"/>
        <v>13899.292799999999</v>
      </c>
      <c r="AU82" s="20">
        <f t="shared" si="35"/>
        <v>0</v>
      </c>
      <c r="AV82" s="37">
        <f t="shared" si="29"/>
        <v>40649.257775999999</v>
      </c>
      <c r="AW82" s="37">
        <f t="shared" si="36"/>
        <v>120071.257776</v>
      </c>
      <c r="BA82" s="20" t="str">
        <f t="shared" si="30"/>
        <v>1 - SS_SPEC - Kimm, Maj-Brit</v>
      </c>
    </row>
    <row r="83" spans="1:53" ht="12.75" hidden="1" customHeight="1" x14ac:dyDescent="0.25">
      <c r="A83" s="20">
        <v>82</v>
      </c>
      <c r="B83" s="20" t="s">
        <v>6725</v>
      </c>
      <c r="C83" s="20" t="s">
        <v>6960</v>
      </c>
      <c r="D83" s="20" t="s">
        <v>6727</v>
      </c>
      <c r="E83" s="21">
        <v>0.7</v>
      </c>
      <c r="F83" s="34"/>
      <c r="G83" s="35" t="s">
        <v>6728</v>
      </c>
      <c r="H83" s="20" t="s">
        <v>6741</v>
      </c>
      <c r="K83" s="23">
        <f>77440*E83</f>
        <v>54208</v>
      </c>
      <c r="L83" s="23">
        <f t="shared" si="19"/>
        <v>54208</v>
      </c>
      <c r="V83" s="23">
        <f t="shared" si="20"/>
        <v>54208</v>
      </c>
      <c r="W83" s="36">
        <v>1</v>
      </c>
      <c r="X83" s="23">
        <f t="shared" si="21"/>
        <v>54208</v>
      </c>
      <c r="Y83" s="20" t="s">
        <v>5128</v>
      </c>
      <c r="Z83" s="35" t="s">
        <v>6731</v>
      </c>
      <c r="AA83" s="35" t="s">
        <v>6732</v>
      </c>
      <c r="AB83" s="35" t="s">
        <v>6733</v>
      </c>
      <c r="AC83" s="35" t="s">
        <v>6853</v>
      </c>
      <c r="AD83" s="35" t="s">
        <v>6735</v>
      </c>
      <c r="AE83" s="37" t="str">
        <f t="shared" si="31"/>
        <v>52</v>
      </c>
      <c r="AG83" s="37">
        <f t="shared" si="22"/>
        <v>12419.052799999999</v>
      </c>
      <c r="AH83" s="37">
        <f t="shared" si="23"/>
        <v>3360.8960000000002</v>
      </c>
      <c r="AI83" s="37">
        <f t="shared" si="24"/>
        <v>786.01600000000008</v>
      </c>
      <c r="AJ83" s="37">
        <f t="shared" si="25"/>
        <v>666.75840000000005</v>
      </c>
      <c r="AK83" s="37">
        <f t="shared" si="26"/>
        <v>1024.964864</v>
      </c>
      <c r="AL83" s="23">
        <v>140.04</v>
      </c>
      <c r="AM83" s="23">
        <f t="shared" si="32"/>
        <v>140.04</v>
      </c>
      <c r="AO83" s="22">
        <f t="shared" si="27"/>
        <v>0</v>
      </c>
      <c r="AP83" s="23">
        <v>0</v>
      </c>
      <c r="AQ83" s="23">
        <f t="shared" si="28"/>
        <v>0</v>
      </c>
      <c r="AR83" s="23">
        <f t="shared" si="33"/>
        <v>0</v>
      </c>
      <c r="AS83" s="23">
        <f t="shared" si="34"/>
        <v>140.04</v>
      </c>
      <c r="AU83" s="20">
        <f t="shared" si="35"/>
        <v>0</v>
      </c>
      <c r="AV83" s="37">
        <f t="shared" si="29"/>
        <v>18397.728064000003</v>
      </c>
      <c r="AW83" s="37">
        <f t="shared" si="36"/>
        <v>72605.728063999995</v>
      </c>
      <c r="AX83" s="20" t="s">
        <v>6675</v>
      </c>
      <c r="AY83" s="20" t="s">
        <v>6854</v>
      </c>
      <c r="AZ83" s="20" t="s">
        <v>6855</v>
      </c>
      <c r="BA83" s="20" t="str">
        <f t="shared" si="30"/>
        <v>1 - ASUPSP - Kirkland, Samuel</v>
      </c>
    </row>
    <row r="84" spans="1:53" ht="12.75" hidden="1" customHeight="1" x14ac:dyDescent="0.25">
      <c r="A84" s="20">
        <v>83</v>
      </c>
      <c r="B84" s="20" t="s">
        <v>6725</v>
      </c>
      <c r="C84" s="20" t="s">
        <v>6961</v>
      </c>
      <c r="D84" s="20" t="s">
        <v>6727</v>
      </c>
      <c r="E84" s="21">
        <v>1</v>
      </c>
      <c r="F84" s="34"/>
      <c r="G84" s="35" t="s">
        <v>6728</v>
      </c>
      <c r="H84" s="20" t="s">
        <v>6741</v>
      </c>
      <c r="K84" s="23">
        <v>77440</v>
      </c>
      <c r="L84" s="23">
        <f t="shared" si="19"/>
        <v>77440</v>
      </c>
      <c r="U84" s="23">
        <v>600</v>
      </c>
      <c r="V84" s="23">
        <f t="shared" si="20"/>
        <v>78040</v>
      </c>
      <c r="W84" s="36">
        <v>1</v>
      </c>
      <c r="X84" s="23">
        <f t="shared" si="21"/>
        <v>78040</v>
      </c>
      <c r="Y84" s="20" t="s">
        <v>4946</v>
      </c>
      <c r="Z84" s="35" t="s">
        <v>6731</v>
      </c>
      <c r="AA84" s="35" t="s">
        <v>6732</v>
      </c>
      <c r="AB84" s="35" t="s">
        <v>6733</v>
      </c>
      <c r="AC84" s="35" t="s">
        <v>6734</v>
      </c>
      <c r="AD84" s="35" t="s">
        <v>6735</v>
      </c>
      <c r="AE84" s="37" t="str">
        <f t="shared" si="31"/>
        <v>52</v>
      </c>
      <c r="AG84" s="37">
        <f t="shared" si="22"/>
        <v>17878.964</v>
      </c>
      <c r="AH84" s="37">
        <f t="shared" si="23"/>
        <v>4838.4799999999996</v>
      </c>
      <c r="AI84" s="37">
        <f t="shared" si="24"/>
        <v>1131.5800000000002</v>
      </c>
      <c r="AJ84" s="37">
        <f t="shared" si="25"/>
        <v>959.89200000000005</v>
      </c>
      <c r="AK84" s="37">
        <f t="shared" si="26"/>
        <v>1475.58032</v>
      </c>
      <c r="AL84" s="23">
        <v>140.04</v>
      </c>
      <c r="AM84" s="23">
        <f t="shared" si="32"/>
        <v>140.04</v>
      </c>
      <c r="AN84" s="22">
        <v>79.2</v>
      </c>
      <c r="AO84" s="22">
        <f t="shared" si="27"/>
        <v>79.2</v>
      </c>
      <c r="AP84" s="23">
        <v>33444</v>
      </c>
      <c r="AQ84" s="23">
        <f t="shared" si="28"/>
        <v>34786.776599999997</v>
      </c>
      <c r="AR84" s="23">
        <f t="shared" si="33"/>
        <v>34786.776599999997</v>
      </c>
      <c r="AS84" s="23">
        <f t="shared" si="34"/>
        <v>35006.016599999995</v>
      </c>
      <c r="AU84" s="20">
        <f t="shared" si="35"/>
        <v>0</v>
      </c>
      <c r="AV84" s="37">
        <f t="shared" si="29"/>
        <v>61290.512920000001</v>
      </c>
      <c r="AW84" s="37">
        <f t="shared" si="36"/>
        <v>139330.51292000001</v>
      </c>
      <c r="AX84" s="20" t="s">
        <v>6675</v>
      </c>
      <c r="AY84" s="20" t="s">
        <v>6736</v>
      </c>
      <c r="AZ84" s="20" t="s">
        <v>6737</v>
      </c>
      <c r="BA84" s="20" t="str">
        <f t="shared" si="30"/>
        <v>1 - ASUPSP - Ledesma, Joanna</v>
      </c>
    </row>
    <row r="85" spans="1:53" ht="12.75" customHeight="1" x14ac:dyDescent="0.25">
      <c r="A85" s="20">
        <v>84</v>
      </c>
      <c r="B85" s="20" t="s">
        <v>6725</v>
      </c>
      <c r="C85" s="20" t="s">
        <v>6962</v>
      </c>
      <c r="D85" s="20" t="s">
        <v>6963</v>
      </c>
      <c r="E85" s="21">
        <v>1</v>
      </c>
      <c r="F85" s="34">
        <v>44378</v>
      </c>
      <c r="G85" s="35" t="s">
        <v>6839</v>
      </c>
      <c r="H85" s="20" t="s">
        <v>6730</v>
      </c>
      <c r="I85" s="22">
        <f>52197</f>
        <v>52197</v>
      </c>
      <c r="K85" s="23">
        <v>0</v>
      </c>
      <c r="L85" s="23">
        <f t="shared" si="19"/>
        <v>52197</v>
      </c>
      <c r="U85" s="23">
        <v>600</v>
      </c>
      <c r="V85" s="23">
        <f t="shared" si="20"/>
        <v>52797</v>
      </c>
      <c r="W85" s="36">
        <v>1</v>
      </c>
      <c r="X85" s="23">
        <f t="shared" si="21"/>
        <v>52797</v>
      </c>
      <c r="Y85" s="20" t="s">
        <v>954</v>
      </c>
      <c r="Z85" s="35" t="s">
        <v>6758</v>
      </c>
      <c r="AA85" s="35" t="s">
        <v>6964</v>
      </c>
      <c r="AB85" s="35" t="s">
        <v>6733</v>
      </c>
      <c r="AC85" s="35" t="s">
        <v>6965</v>
      </c>
      <c r="AD85" s="35" t="s">
        <v>6744</v>
      </c>
      <c r="AE85" s="37" t="str">
        <f t="shared" si="31"/>
        <v>52</v>
      </c>
      <c r="AG85" s="37">
        <f t="shared" si="22"/>
        <v>12095.7927</v>
      </c>
      <c r="AH85" s="37">
        <f t="shared" si="23"/>
        <v>3273.4139999999998</v>
      </c>
      <c r="AI85" s="37">
        <f t="shared" si="24"/>
        <v>765.55650000000003</v>
      </c>
      <c r="AJ85" s="37">
        <f t="shared" si="25"/>
        <v>649.40309999999999</v>
      </c>
      <c r="AK85" s="37">
        <f t="shared" si="26"/>
        <v>998.28567600000008</v>
      </c>
      <c r="AL85" s="23">
        <v>140.04</v>
      </c>
      <c r="AM85" s="23">
        <f t="shared" si="32"/>
        <v>140.04</v>
      </c>
      <c r="AN85" s="22">
        <v>79.2</v>
      </c>
      <c r="AO85" s="22">
        <f t="shared" si="27"/>
        <v>79.2</v>
      </c>
      <c r="AP85" s="23">
        <v>33444</v>
      </c>
      <c r="AQ85" s="23">
        <f t="shared" si="28"/>
        <v>34786.776599999997</v>
      </c>
      <c r="AR85" s="23">
        <f t="shared" si="33"/>
        <v>34786.776599999997</v>
      </c>
      <c r="AS85" s="23">
        <f t="shared" si="34"/>
        <v>35006.016599999995</v>
      </c>
      <c r="AU85" s="20">
        <f t="shared" si="35"/>
        <v>0</v>
      </c>
      <c r="AV85" s="37">
        <f t="shared" si="29"/>
        <v>52788.468575999999</v>
      </c>
      <c r="AW85" s="37">
        <f t="shared" si="36"/>
        <v>105585.468576</v>
      </c>
      <c r="BA85" s="20" t="str">
        <f t="shared" si="30"/>
        <v>1 - WARETECH - Ledesma-Calderon, Joel</v>
      </c>
    </row>
    <row r="86" spans="1:53" ht="12.75" hidden="1" customHeight="1" x14ac:dyDescent="0.25">
      <c r="A86" s="20">
        <v>85</v>
      </c>
      <c r="B86" s="20" t="s">
        <v>6725</v>
      </c>
      <c r="C86" s="52" t="s">
        <v>6966</v>
      </c>
      <c r="D86" s="20" t="s">
        <v>6798</v>
      </c>
      <c r="E86" s="21">
        <v>1</v>
      </c>
      <c r="F86" s="34"/>
      <c r="G86" s="35" t="s">
        <v>6799</v>
      </c>
      <c r="H86" s="20" t="s">
        <v>6782</v>
      </c>
      <c r="K86" s="23">
        <v>41870</v>
      </c>
      <c r="L86" s="23">
        <f t="shared" si="19"/>
        <v>41870</v>
      </c>
      <c r="V86" s="23">
        <f t="shared" si="20"/>
        <v>41870</v>
      </c>
      <c r="W86" s="36">
        <v>0.25</v>
      </c>
      <c r="X86" s="23">
        <f t="shared" si="21"/>
        <v>10467.5</v>
      </c>
      <c r="Y86" s="20" t="s">
        <v>5230</v>
      </c>
      <c r="Z86" s="35" t="s">
        <v>6731</v>
      </c>
      <c r="AA86" s="35" t="s">
        <v>6840</v>
      </c>
      <c r="AB86" s="35" t="s">
        <v>6733</v>
      </c>
      <c r="AC86" s="35" t="s">
        <v>6967</v>
      </c>
      <c r="AD86" s="35" t="s">
        <v>6744</v>
      </c>
      <c r="AE86" s="37" t="str">
        <f t="shared" si="31"/>
        <v>52</v>
      </c>
      <c r="AG86" s="37">
        <f t="shared" si="22"/>
        <v>2398.1042499999999</v>
      </c>
      <c r="AH86" s="37">
        <f t="shared" si="23"/>
        <v>648.98500000000001</v>
      </c>
      <c r="AI86" s="37">
        <f t="shared" si="24"/>
        <v>151.77875</v>
      </c>
      <c r="AJ86" s="37">
        <f t="shared" si="25"/>
        <v>128.75024999999999</v>
      </c>
      <c r="AK86" s="37">
        <f t="shared" si="26"/>
        <v>197.91949000000002</v>
      </c>
      <c r="AL86" s="23">
        <v>140.04</v>
      </c>
      <c r="AM86" s="23">
        <f t="shared" si="32"/>
        <v>35.01</v>
      </c>
      <c r="AN86" s="22">
        <v>79.2</v>
      </c>
      <c r="AO86" s="22">
        <f t="shared" si="27"/>
        <v>19.8</v>
      </c>
      <c r="AP86" s="23">
        <v>25452.6</v>
      </c>
      <c r="AQ86" s="23">
        <f t="shared" si="28"/>
        <v>26474.521889999996</v>
      </c>
      <c r="AR86" s="23">
        <f t="shared" si="33"/>
        <v>6618.6304724999991</v>
      </c>
      <c r="AS86" s="23">
        <f t="shared" si="34"/>
        <v>6673.4404724999995</v>
      </c>
      <c r="AU86" s="20">
        <f t="shared" si="35"/>
        <v>0</v>
      </c>
      <c r="AV86" s="37">
        <f t="shared" si="29"/>
        <v>10198.9782125</v>
      </c>
      <c r="AW86" s="37">
        <f t="shared" si="36"/>
        <v>20666.478212499998</v>
      </c>
      <c r="AX86" s="20" t="s">
        <v>6675</v>
      </c>
      <c r="AY86" s="20" t="s">
        <v>6842</v>
      </c>
      <c r="AZ86" s="20" t="s">
        <v>6968</v>
      </c>
      <c r="BA86" s="20" t="str">
        <f t="shared" si="30"/>
        <v>0.25 - ADM_ASST_I - VACANT (Lemus)</v>
      </c>
    </row>
    <row r="87" spans="1:53" ht="12.75" hidden="1" customHeight="1" x14ac:dyDescent="0.25">
      <c r="A87" s="20">
        <v>86</v>
      </c>
      <c r="B87" s="20" t="s">
        <v>6725</v>
      </c>
      <c r="C87" s="52" t="s">
        <v>6966</v>
      </c>
      <c r="D87" s="20" t="s">
        <v>6798</v>
      </c>
      <c r="E87" s="21">
        <v>1</v>
      </c>
      <c r="F87" s="34"/>
      <c r="G87" s="35" t="s">
        <v>6799</v>
      </c>
      <c r="H87" s="20" t="s">
        <v>6782</v>
      </c>
      <c r="K87" s="23">
        <v>41870</v>
      </c>
      <c r="L87" s="23">
        <f t="shared" si="19"/>
        <v>41870</v>
      </c>
      <c r="V87" s="23">
        <f t="shared" si="20"/>
        <v>41870</v>
      </c>
      <c r="W87" s="36">
        <v>0.75</v>
      </c>
      <c r="X87" s="23">
        <f t="shared" si="21"/>
        <v>31402.5</v>
      </c>
      <c r="Y87" s="20" t="s">
        <v>5270</v>
      </c>
      <c r="Z87" s="35" t="s">
        <v>6731</v>
      </c>
      <c r="AA87" s="35" t="s">
        <v>6840</v>
      </c>
      <c r="AB87" s="35" t="s">
        <v>6733</v>
      </c>
      <c r="AC87" s="35" t="s">
        <v>6844</v>
      </c>
      <c r="AD87" s="35" t="s">
        <v>6744</v>
      </c>
      <c r="AE87" s="37" t="str">
        <f t="shared" si="31"/>
        <v>52</v>
      </c>
      <c r="AG87" s="37">
        <f t="shared" si="22"/>
        <v>7194.3127500000001</v>
      </c>
      <c r="AH87" s="37">
        <f t="shared" si="23"/>
        <v>1946.9549999999999</v>
      </c>
      <c r="AI87" s="37">
        <f t="shared" si="24"/>
        <v>455.33625000000001</v>
      </c>
      <c r="AJ87" s="37">
        <f t="shared" si="25"/>
        <v>386.25074999999998</v>
      </c>
      <c r="AK87" s="37">
        <f t="shared" si="26"/>
        <v>593.75846999999999</v>
      </c>
      <c r="AL87" s="23">
        <v>140.04</v>
      </c>
      <c r="AM87" s="23">
        <f t="shared" si="32"/>
        <v>105.03</v>
      </c>
      <c r="AN87" s="22">
        <v>79.2</v>
      </c>
      <c r="AO87" s="22">
        <f t="shared" si="27"/>
        <v>59.400000000000006</v>
      </c>
      <c r="AP87" s="23">
        <v>25452.6</v>
      </c>
      <c r="AQ87" s="23">
        <f t="shared" si="28"/>
        <v>26474.521889999996</v>
      </c>
      <c r="AR87" s="23">
        <f t="shared" si="33"/>
        <v>19855.891417499995</v>
      </c>
      <c r="AS87" s="23">
        <f t="shared" si="34"/>
        <v>20020.321417499996</v>
      </c>
      <c r="AU87" s="20">
        <f t="shared" si="35"/>
        <v>0</v>
      </c>
      <c r="AV87" s="37">
        <f t="shared" si="29"/>
        <v>30596.934637499995</v>
      </c>
      <c r="AW87" s="37">
        <f t="shared" si="36"/>
        <v>61999.434637499995</v>
      </c>
      <c r="AX87" s="20" t="s">
        <v>6675</v>
      </c>
      <c r="AY87" s="20" t="s">
        <v>6842</v>
      </c>
      <c r="AZ87" s="20" t="s">
        <v>6845</v>
      </c>
      <c r="BA87" s="20" t="str">
        <f t="shared" si="30"/>
        <v>0.75 - ADM_ASST_I - VACANT (Lemus)</v>
      </c>
    </row>
    <row r="88" spans="1:53" ht="12.75" hidden="1" customHeight="1" x14ac:dyDescent="0.25">
      <c r="A88" s="20">
        <v>87</v>
      </c>
      <c r="B88" s="20" t="s">
        <v>6725</v>
      </c>
      <c r="C88" s="56" t="s">
        <v>6969</v>
      </c>
      <c r="D88" s="20" t="s">
        <v>6970</v>
      </c>
      <c r="E88" s="21">
        <v>1</v>
      </c>
      <c r="F88" s="34">
        <v>44713</v>
      </c>
      <c r="G88" s="35" t="s">
        <v>6971</v>
      </c>
      <c r="H88" s="20" t="s">
        <v>6783</v>
      </c>
      <c r="I88" s="22">
        <f>5177*11</f>
        <v>56947</v>
      </c>
      <c r="J88" s="20" t="s">
        <v>6729</v>
      </c>
      <c r="K88" s="23">
        <v>5435</v>
      </c>
      <c r="L88" s="23">
        <f t="shared" si="19"/>
        <v>62382</v>
      </c>
      <c r="U88" s="23">
        <v>600</v>
      </c>
      <c r="V88" s="23">
        <f t="shared" si="20"/>
        <v>62982</v>
      </c>
      <c r="W88" s="36">
        <v>0.3</v>
      </c>
      <c r="X88" s="23">
        <f t="shared" si="21"/>
        <v>18894.599999999999</v>
      </c>
      <c r="Y88" s="20" t="s">
        <v>4944</v>
      </c>
      <c r="Z88" s="35" t="s">
        <v>6731</v>
      </c>
      <c r="AA88" s="35" t="s">
        <v>6732</v>
      </c>
      <c r="AB88" s="35" t="s">
        <v>6733</v>
      </c>
      <c r="AC88" s="35" t="s">
        <v>6734</v>
      </c>
      <c r="AD88" s="35" t="s">
        <v>6744</v>
      </c>
      <c r="AE88" s="37" t="str">
        <f t="shared" si="31"/>
        <v>52</v>
      </c>
      <c r="AG88" s="37">
        <f t="shared" si="22"/>
        <v>4328.7528599999996</v>
      </c>
      <c r="AH88" s="37">
        <f t="shared" si="23"/>
        <v>1171.4651999999999</v>
      </c>
      <c r="AI88" s="37">
        <f t="shared" si="24"/>
        <v>273.9717</v>
      </c>
      <c r="AJ88" s="37">
        <f t="shared" si="25"/>
        <v>232.40357999999998</v>
      </c>
      <c r="AK88" s="37">
        <f t="shared" si="26"/>
        <v>357.25909680000001</v>
      </c>
      <c r="AL88" s="23">
        <v>140.04</v>
      </c>
      <c r="AM88" s="23">
        <f t="shared" si="32"/>
        <v>42.011999999999993</v>
      </c>
      <c r="AN88" s="22">
        <v>79.2</v>
      </c>
      <c r="AO88" s="22">
        <f t="shared" si="27"/>
        <v>23.76</v>
      </c>
      <c r="AP88" s="23">
        <v>13152</v>
      </c>
      <c r="AQ88" s="23">
        <f t="shared" si="28"/>
        <v>13680.052799999999</v>
      </c>
      <c r="AR88" s="23">
        <f t="shared" si="33"/>
        <v>4104.01584</v>
      </c>
      <c r="AS88" s="23">
        <f t="shared" si="34"/>
        <v>4169.78784</v>
      </c>
      <c r="AU88" s="20">
        <f t="shared" si="35"/>
        <v>0</v>
      </c>
      <c r="AV88" s="37">
        <f t="shared" si="29"/>
        <v>10533.640276800001</v>
      </c>
      <c r="AW88" s="37">
        <f t="shared" si="36"/>
        <v>29428.240276799999</v>
      </c>
      <c r="AX88" s="20" t="s">
        <v>6675</v>
      </c>
      <c r="AY88" s="20" t="s">
        <v>6736</v>
      </c>
      <c r="AZ88" s="20" t="s">
        <v>6737</v>
      </c>
      <c r="BA88" s="20" t="str">
        <f t="shared" si="30"/>
        <v>0.3 - PAII_GS - LEMUS, MARISELA</v>
      </c>
    </row>
    <row r="89" spans="1:53" ht="12.75" hidden="1" customHeight="1" x14ac:dyDescent="0.25">
      <c r="A89" s="20">
        <v>88</v>
      </c>
      <c r="B89" s="20" t="s">
        <v>6725</v>
      </c>
      <c r="C89" s="56" t="s">
        <v>6969</v>
      </c>
      <c r="D89" s="20" t="s">
        <v>6970</v>
      </c>
      <c r="E89" s="21">
        <v>1</v>
      </c>
      <c r="F89" s="34">
        <v>44713</v>
      </c>
      <c r="G89" s="35" t="s">
        <v>6971</v>
      </c>
      <c r="H89" s="20" t="s">
        <v>6783</v>
      </c>
      <c r="I89" s="22">
        <f>5177*11</f>
        <v>56947</v>
      </c>
      <c r="J89" s="20" t="s">
        <v>6729</v>
      </c>
      <c r="K89" s="23">
        <v>5435</v>
      </c>
      <c r="L89" s="23">
        <f t="shared" si="19"/>
        <v>62382</v>
      </c>
      <c r="U89" s="23">
        <v>600</v>
      </c>
      <c r="V89" s="23">
        <f t="shared" si="20"/>
        <v>62982</v>
      </c>
      <c r="W89" s="36">
        <v>0.7</v>
      </c>
      <c r="X89" s="23">
        <f t="shared" si="21"/>
        <v>44087.399999999994</v>
      </c>
      <c r="Y89" s="20" t="s">
        <v>5230</v>
      </c>
      <c r="Z89" s="35" t="s">
        <v>6731</v>
      </c>
      <c r="AA89" s="35" t="s">
        <v>6840</v>
      </c>
      <c r="AB89" s="35" t="s">
        <v>6733</v>
      </c>
      <c r="AC89" s="35" t="s">
        <v>6967</v>
      </c>
      <c r="AD89" s="35" t="s">
        <v>6744</v>
      </c>
      <c r="AE89" s="37" t="str">
        <f t="shared" si="31"/>
        <v>52</v>
      </c>
      <c r="AG89" s="37">
        <f t="shared" si="22"/>
        <v>10100.423339999999</v>
      </c>
      <c r="AH89" s="37">
        <f t="shared" si="23"/>
        <v>2733.4187999999995</v>
      </c>
      <c r="AI89" s="37">
        <f t="shared" si="24"/>
        <v>639.26729999999998</v>
      </c>
      <c r="AJ89" s="37">
        <f t="shared" si="25"/>
        <v>542.27501999999993</v>
      </c>
      <c r="AK89" s="37">
        <f t="shared" si="26"/>
        <v>833.60455919999993</v>
      </c>
      <c r="AL89" s="23">
        <v>140.04</v>
      </c>
      <c r="AM89" s="23">
        <f t="shared" si="32"/>
        <v>98.027999999999992</v>
      </c>
      <c r="AN89" s="22">
        <v>79.2</v>
      </c>
      <c r="AO89" s="22">
        <f t="shared" si="27"/>
        <v>55.44</v>
      </c>
      <c r="AP89" s="23">
        <v>13152</v>
      </c>
      <c r="AQ89" s="23">
        <f t="shared" si="28"/>
        <v>13680.052799999999</v>
      </c>
      <c r="AR89" s="23">
        <f t="shared" si="33"/>
        <v>9576.0369599999995</v>
      </c>
      <c r="AS89" s="23">
        <f t="shared" si="34"/>
        <v>9729.5049600000002</v>
      </c>
      <c r="AU89" s="20">
        <f t="shared" si="35"/>
        <v>0</v>
      </c>
      <c r="AV89" s="37">
        <f t="shared" si="29"/>
        <v>24578.493979199997</v>
      </c>
      <c r="AW89" s="37">
        <f t="shared" si="36"/>
        <v>68665.893979199987</v>
      </c>
      <c r="AX89" s="20" t="s">
        <v>6675</v>
      </c>
      <c r="AY89" s="20" t="s">
        <v>6842</v>
      </c>
      <c r="AZ89" s="20" t="s">
        <v>6968</v>
      </c>
      <c r="BA89" s="20" t="str">
        <f t="shared" si="30"/>
        <v>0.7 - PAII_GS - LEMUS, MARISELA</v>
      </c>
    </row>
    <row r="90" spans="1:53" ht="12.75" customHeight="1" x14ac:dyDescent="0.25">
      <c r="A90" s="20">
        <v>89</v>
      </c>
      <c r="B90" s="20" t="s">
        <v>6725</v>
      </c>
      <c r="C90" s="20" t="s">
        <v>6972</v>
      </c>
      <c r="D90" s="20" t="s">
        <v>6973</v>
      </c>
      <c r="E90" s="21">
        <v>1</v>
      </c>
      <c r="G90" s="35" t="s">
        <v>6873</v>
      </c>
      <c r="H90" s="20" t="s">
        <v>6741</v>
      </c>
      <c r="K90" s="23">
        <v>56176</v>
      </c>
      <c r="L90" s="23">
        <f t="shared" si="19"/>
        <v>56176</v>
      </c>
      <c r="O90" s="25">
        <v>0.05</v>
      </c>
      <c r="P90" s="23">
        <f>L90*O90</f>
        <v>2808.8</v>
      </c>
      <c r="Q90" s="26">
        <v>2.5000000000000001E-2</v>
      </c>
      <c r="R90" s="23">
        <f>L90*Q90</f>
        <v>1404.4</v>
      </c>
      <c r="V90" s="23">
        <f t="shared" si="20"/>
        <v>60389.200000000004</v>
      </c>
      <c r="W90" s="36">
        <v>0.5</v>
      </c>
      <c r="X90" s="23">
        <f t="shared" si="21"/>
        <v>30194.600000000002</v>
      </c>
      <c r="Y90" s="20" t="s">
        <v>2291</v>
      </c>
      <c r="Z90" s="35" t="s">
        <v>6758</v>
      </c>
      <c r="AA90" s="35" t="s">
        <v>6742</v>
      </c>
      <c r="AB90" s="35" t="s">
        <v>6974</v>
      </c>
      <c r="AC90" s="35" t="s">
        <v>6975</v>
      </c>
      <c r="AD90" s="35" t="s">
        <v>6735</v>
      </c>
      <c r="AE90" s="37" t="str">
        <f t="shared" si="31"/>
        <v>52</v>
      </c>
      <c r="AG90" s="37">
        <f t="shared" si="22"/>
        <v>6917.5828600000004</v>
      </c>
      <c r="AH90" s="37">
        <f t="shared" si="23"/>
        <v>1872.0652000000002</v>
      </c>
      <c r="AI90" s="37">
        <f t="shared" si="24"/>
        <v>437.82170000000008</v>
      </c>
      <c r="AJ90" s="37">
        <f t="shared" si="25"/>
        <v>371.39358000000004</v>
      </c>
      <c r="AK90" s="37">
        <f t="shared" si="26"/>
        <v>570.91949680000005</v>
      </c>
      <c r="AL90" s="23">
        <v>140.04</v>
      </c>
      <c r="AM90" s="23">
        <f t="shared" si="32"/>
        <v>70.02</v>
      </c>
      <c r="AN90" s="22">
        <v>79.2</v>
      </c>
      <c r="AO90" s="22">
        <f t="shared" si="27"/>
        <v>39.6</v>
      </c>
      <c r="AP90" s="23">
        <v>13152</v>
      </c>
      <c r="AQ90" s="23">
        <f t="shared" si="28"/>
        <v>13680.052799999999</v>
      </c>
      <c r="AR90" s="23">
        <f t="shared" si="33"/>
        <v>6840.0263999999997</v>
      </c>
      <c r="AS90" s="23">
        <f t="shared" si="34"/>
        <v>6949.6463999999996</v>
      </c>
      <c r="AU90" s="20">
        <f t="shared" si="35"/>
        <v>0</v>
      </c>
      <c r="AV90" s="37">
        <f t="shared" si="29"/>
        <v>17119.429236800002</v>
      </c>
      <c r="AW90" s="37">
        <f t="shared" si="36"/>
        <v>47314.029236800008</v>
      </c>
      <c r="BA90" s="20" t="str">
        <f t="shared" si="30"/>
        <v>0.5 - INSASSOCI - Lipowski, Marek</v>
      </c>
    </row>
    <row r="91" spans="1:53" ht="12.75" customHeight="1" x14ac:dyDescent="0.25">
      <c r="A91" s="20">
        <v>90</v>
      </c>
      <c r="B91" s="20" t="s">
        <v>6725</v>
      </c>
      <c r="C91" s="20" t="s">
        <v>6972</v>
      </c>
      <c r="D91" s="20" t="s">
        <v>6973</v>
      </c>
      <c r="E91" s="21">
        <v>1</v>
      </c>
      <c r="G91" s="35" t="s">
        <v>6873</v>
      </c>
      <c r="H91" s="20" t="s">
        <v>6741</v>
      </c>
      <c r="K91" s="23">
        <v>56176</v>
      </c>
      <c r="L91" s="23">
        <f t="shared" si="19"/>
        <v>56176</v>
      </c>
      <c r="V91" s="23">
        <f t="shared" si="20"/>
        <v>56176</v>
      </c>
      <c r="W91" s="36">
        <v>0.5</v>
      </c>
      <c r="X91" s="23">
        <f t="shared" si="21"/>
        <v>28088</v>
      </c>
      <c r="Y91" s="20" t="s">
        <v>2456</v>
      </c>
      <c r="Z91" s="35" t="s">
        <v>6758</v>
      </c>
      <c r="AA91" s="35" t="s">
        <v>6742</v>
      </c>
      <c r="AB91" s="35" t="s">
        <v>6974</v>
      </c>
      <c r="AC91" s="35" t="s">
        <v>6976</v>
      </c>
      <c r="AD91" s="35" t="s">
        <v>6735</v>
      </c>
      <c r="AE91" s="37" t="str">
        <f t="shared" si="31"/>
        <v>52</v>
      </c>
      <c r="AG91" s="37">
        <f t="shared" si="22"/>
        <v>6434.9607999999998</v>
      </c>
      <c r="AH91" s="37">
        <f t="shared" si="23"/>
        <v>1741.4559999999999</v>
      </c>
      <c r="AI91" s="37">
        <f t="shared" si="24"/>
        <v>407.27600000000001</v>
      </c>
      <c r="AJ91" s="37">
        <f t="shared" si="25"/>
        <v>345.48239999999998</v>
      </c>
      <c r="AK91" s="37">
        <f t="shared" si="26"/>
        <v>531.08790399999998</v>
      </c>
      <c r="AL91" s="23">
        <v>140.04</v>
      </c>
      <c r="AM91" s="23">
        <f t="shared" si="32"/>
        <v>70.02</v>
      </c>
      <c r="AN91" s="22">
        <v>79.2</v>
      </c>
      <c r="AO91" s="22">
        <f t="shared" si="27"/>
        <v>39.6</v>
      </c>
      <c r="AP91" s="23">
        <v>13152</v>
      </c>
      <c r="AQ91" s="23">
        <f t="shared" si="28"/>
        <v>13680.052799999999</v>
      </c>
      <c r="AR91" s="23">
        <f t="shared" si="33"/>
        <v>6840.0263999999997</v>
      </c>
      <c r="AS91" s="23">
        <f t="shared" si="34"/>
        <v>6949.6463999999996</v>
      </c>
      <c r="AU91" s="20">
        <f t="shared" si="35"/>
        <v>0</v>
      </c>
      <c r="AV91" s="37">
        <f t="shared" si="29"/>
        <v>16409.909504000003</v>
      </c>
      <c r="AW91" s="37">
        <f t="shared" si="36"/>
        <v>44497.909504000003</v>
      </c>
      <c r="BA91" s="20" t="str">
        <f t="shared" si="30"/>
        <v>0.5 - INSASSOCI - Lipowski, Marek</v>
      </c>
    </row>
    <row r="92" spans="1:53" ht="12.75" customHeight="1" x14ac:dyDescent="0.25">
      <c r="A92" s="20">
        <v>91</v>
      </c>
      <c r="B92" s="20" t="s">
        <v>6725</v>
      </c>
      <c r="C92" s="20" t="s">
        <v>6977</v>
      </c>
      <c r="D92" s="20" t="s">
        <v>6780</v>
      </c>
      <c r="E92" s="21">
        <v>1</v>
      </c>
      <c r="F92" s="34">
        <v>44593</v>
      </c>
      <c r="G92" s="35" t="s">
        <v>6839</v>
      </c>
      <c r="H92" s="20" t="s">
        <v>6730</v>
      </c>
      <c r="I92" s="22">
        <f>4350*7</f>
        <v>30450</v>
      </c>
      <c r="J92" s="20" t="s">
        <v>6741</v>
      </c>
      <c r="K92" s="23">
        <f>4567*5</f>
        <v>22835</v>
      </c>
      <c r="L92" s="23">
        <f t="shared" si="19"/>
        <v>53285</v>
      </c>
      <c r="V92" s="23">
        <f t="shared" si="20"/>
        <v>53285</v>
      </c>
      <c r="W92" s="36">
        <v>0.8</v>
      </c>
      <c r="X92" s="23">
        <f t="shared" si="21"/>
        <v>42628</v>
      </c>
      <c r="Y92" s="20" t="s">
        <v>906</v>
      </c>
      <c r="Z92" s="35" t="s">
        <v>6758</v>
      </c>
      <c r="AA92" s="35" t="s">
        <v>6964</v>
      </c>
      <c r="AB92" s="35" t="s">
        <v>6733</v>
      </c>
      <c r="AC92" s="35" t="s">
        <v>6978</v>
      </c>
      <c r="AD92" s="35" t="s">
        <v>6744</v>
      </c>
      <c r="AE92" s="37" t="str">
        <f t="shared" si="31"/>
        <v>52</v>
      </c>
      <c r="AG92" s="37">
        <f t="shared" si="22"/>
        <v>9766.0748000000003</v>
      </c>
      <c r="AH92" s="37">
        <f t="shared" si="23"/>
        <v>2642.9360000000001</v>
      </c>
      <c r="AI92" s="37">
        <f t="shared" si="24"/>
        <v>618.10599999999999</v>
      </c>
      <c r="AJ92" s="37">
        <f t="shared" si="25"/>
        <v>524.32439999999997</v>
      </c>
      <c r="AK92" s="37">
        <f t="shared" si="26"/>
        <v>806.01022400000011</v>
      </c>
      <c r="AL92" s="23">
        <v>140.04</v>
      </c>
      <c r="AM92" s="23">
        <f t="shared" si="32"/>
        <v>112.032</v>
      </c>
      <c r="AN92" s="22">
        <v>79.2</v>
      </c>
      <c r="AO92" s="22">
        <f t="shared" si="27"/>
        <v>63.360000000000007</v>
      </c>
      <c r="AP92" s="23">
        <v>6552</v>
      </c>
      <c r="AQ92" s="23">
        <f t="shared" si="28"/>
        <v>6815.0627999999997</v>
      </c>
      <c r="AR92" s="23">
        <f t="shared" si="33"/>
        <v>5452.0502400000005</v>
      </c>
      <c r="AS92" s="23">
        <f t="shared" si="34"/>
        <v>5627.4422400000003</v>
      </c>
      <c r="AT92" s="37">
        <v>2400</v>
      </c>
      <c r="AU92" s="20">
        <f t="shared" si="35"/>
        <v>1920</v>
      </c>
      <c r="AV92" s="37">
        <f t="shared" si="29"/>
        <v>21904.893663999999</v>
      </c>
      <c r="AW92" s="37">
        <f t="shared" si="36"/>
        <v>64532.893664000003</v>
      </c>
      <c r="BA92" s="20" t="str">
        <f t="shared" si="30"/>
        <v>0.8 - ADM_ASSTII - Lo, Aimee L</v>
      </c>
    </row>
    <row r="93" spans="1:53" ht="12.75" customHeight="1" x14ac:dyDescent="0.25">
      <c r="A93" s="20">
        <v>92</v>
      </c>
      <c r="B93" s="20" t="s">
        <v>6725</v>
      </c>
      <c r="C93" s="20" t="s">
        <v>6977</v>
      </c>
      <c r="D93" s="20" t="s">
        <v>6780</v>
      </c>
      <c r="E93" s="21">
        <v>1</v>
      </c>
      <c r="F93" s="34">
        <v>44593</v>
      </c>
      <c r="G93" s="35" t="s">
        <v>6839</v>
      </c>
      <c r="H93" s="20" t="s">
        <v>6730</v>
      </c>
      <c r="I93" s="22">
        <f>4350*7</f>
        <v>30450</v>
      </c>
      <c r="J93" s="20" t="s">
        <v>6741</v>
      </c>
      <c r="K93" s="23">
        <f>4567*5</f>
        <v>22835</v>
      </c>
      <c r="L93" s="23">
        <f t="shared" si="19"/>
        <v>53285</v>
      </c>
      <c r="V93" s="23">
        <f t="shared" si="20"/>
        <v>53285</v>
      </c>
      <c r="W93" s="36">
        <v>0.2</v>
      </c>
      <c r="X93" s="23">
        <f t="shared" si="21"/>
        <v>10657</v>
      </c>
      <c r="Y93" s="20" t="s">
        <v>968</v>
      </c>
      <c r="Z93" s="35" t="s">
        <v>6758</v>
      </c>
      <c r="AA93" s="35" t="s">
        <v>6964</v>
      </c>
      <c r="AB93" s="35" t="s">
        <v>6733</v>
      </c>
      <c r="AC93" s="35" t="s">
        <v>6979</v>
      </c>
      <c r="AD93" s="35" t="s">
        <v>6744</v>
      </c>
      <c r="AE93" s="37" t="str">
        <f t="shared" si="31"/>
        <v>52</v>
      </c>
      <c r="AG93" s="37">
        <f t="shared" si="22"/>
        <v>2441.5187000000001</v>
      </c>
      <c r="AH93" s="37">
        <f t="shared" si="23"/>
        <v>660.73400000000004</v>
      </c>
      <c r="AI93" s="37">
        <f t="shared" si="24"/>
        <v>154.5265</v>
      </c>
      <c r="AJ93" s="37">
        <f t="shared" si="25"/>
        <v>131.08109999999999</v>
      </c>
      <c r="AK93" s="37">
        <f t="shared" si="26"/>
        <v>201.50255600000003</v>
      </c>
      <c r="AL93" s="23">
        <v>140.04</v>
      </c>
      <c r="AM93" s="23">
        <f t="shared" si="32"/>
        <v>28.007999999999999</v>
      </c>
      <c r="AN93" s="22">
        <v>79.2</v>
      </c>
      <c r="AO93" s="22">
        <f t="shared" si="27"/>
        <v>15.840000000000002</v>
      </c>
      <c r="AP93" s="23">
        <v>6552</v>
      </c>
      <c r="AQ93" s="23">
        <f t="shared" si="28"/>
        <v>6815.0627999999997</v>
      </c>
      <c r="AR93" s="23">
        <f t="shared" si="33"/>
        <v>1363.0125600000001</v>
      </c>
      <c r="AS93" s="23">
        <f t="shared" si="34"/>
        <v>1406.8605600000001</v>
      </c>
      <c r="AT93" s="37">
        <v>2400</v>
      </c>
      <c r="AU93" s="20">
        <f t="shared" si="35"/>
        <v>480</v>
      </c>
      <c r="AV93" s="37">
        <f t="shared" si="29"/>
        <v>5476.2234159999998</v>
      </c>
      <c r="AW93" s="37">
        <f t="shared" si="36"/>
        <v>16133.223416000001</v>
      </c>
      <c r="BA93" s="20" t="str">
        <f t="shared" si="30"/>
        <v>0.2 - ADM_ASSTII - Lo, Aimee L</v>
      </c>
    </row>
    <row r="94" spans="1:53" ht="12.75" customHeight="1" x14ac:dyDescent="0.25">
      <c r="A94" s="20">
        <v>93</v>
      </c>
      <c r="B94" s="51" t="s">
        <v>6725</v>
      </c>
      <c r="C94" s="52" t="s">
        <v>6980</v>
      </c>
      <c r="D94" s="20" t="s">
        <v>6780</v>
      </c>
      <c r="E94" s="21">
        <v>1</v>
      </c>
      <c r="F94" s="34"/>
      <c r="G94" s="55" t="s">
        <v>6781</v>
      </c>
      <c r="H94" s="51" t="s">
        <v>6782</v>
      </c>
      <c r="K94" s="23">
        <v>45088</v>
      </c>
      <c r="L94" s="23">
        <f t="shared" si="19"/>
        <v>45088</v>
      </c>
      <c r="V94" s="23">
        <f t="shared" si="20"/>
        <v>45088</v>
      </c>
      <c r="W94" s="36">
        <v>1</v>
      </c>
      <c r="X94" s="23">
        <f t="shared" si="21"/>
        <v>45088</v>
      </c>
      <c r="Y94" s="20" t="s">
        <v>595</v>
      </c>
      <c r="Z94" s="55" t="s">
        <v>6758</v>
      </c>
      <c r="AA94" s="55" t="s">
        <v>6909</v>
      </c>
      <c r="AB94" s="55" t="s">
        <v>6733</v>
      </c>
      <c r="AC94" s="55" t="s">
        <v>6910</v>
      </c>
      <c r="AD94" s="55" t="s">
        <v>6744</v>
      </c>
      <c r="AE94" s="37" t="str">
        <f t="shared" si="31"/>
        <v>52</v>
      </c>
      <c r="AG94" s="37">
        <f t="shared" si="22"/>
        <v>10329.6608</v>
      </c>
      <c r="AH94" s="37">
        <f t="shared" si="23"/>
        <v>2795.4560000000001</v>
      </c>
      <c r="AI94" s="37">
        <f t="shared" si="24"/>
        <v>653.77600000000007</v>
      </c>
      <c r="AJ94" s="37">
        <f t="shared" si="25"/>
        <v>554.58240000000001</v>
      </c>
      <c r="AK94" s="37">
        <f t="shared" si="26"/>
        <v>852.52390400000002</v>
      </c>
      <c r="AL94" s="23">
        <v>140.04</v>
      </c>
      <c r="AM94" s="23">
        <f t="shared" si="32"/>
        <v>140.04</v>
      </c>
      <c r="AN94" s="22">
        <v>79.2</v>
      </c>
      <c r="AO94" s="22">
        <f t="shared" si="27"/>
        <v>79.2</v>
      </c>
      <c r="AP94" s="23">
        <v>25452.6</v>
      </c>
      <c r="AQ94" s="23">
        <f t="shared" si="28"/>
        <v>26474.521889999996</v>
      </c>
      <c r="AR94" s="23">
        <f t="shared" si="33"/>
        <v>26474.521889999996</v>
      </c>
      <c r="AS94" s="23">
        <f t="shared" si="34"/>
        <v>26693.761889999998</v>
      </c>
      <c r="AT94" s="37"/>
      <c r="AU94" s="20">
        <f t="shared" si="35"/>
        <v>0</v>
      </c>
      <c r="AV94" s="37">
        <f t="shared" si="29"/>
        <v>41879.760993999997</v>
      </c>
      <c r="AW94" s="225">
        <f t="shared" si="36"/>
        <v>86967.760993999997</v>
      </c>
      <c r="BA94" s="20" t="str">
        <f t="shared" si="30"/>
        <v>1 - ADM_ASSTII - VACANT (Lo)</v>
      </c>
    </row>
    <row r="95" spans="1:53" ht="12.75" hidden="1" customHeight="1" x14ac:dyDescent="0.25">
      <c r="A95" s="20">
        <v>94</v>
      </c>
      <c r="B95" s="20" t="s">
        <v>6725</v>
      </c>
      <c r="C95" s="20" t="s">
        <v>6981</v>
      </c>
      <c r="D95" s="20" t="s">
        <v>6798</v>
      </c>
      <c r="E95" s="21">
        <v>0.625</v>
      </c>
      <c r="G95" s="35" t="s">
        <v>6799</v>
      </c>
      <c r="H95" s="20" t="s">
        <v>6741</v>
      </c>
      <c r="K95" s="23">
        <f>50892*E95</f>
        <v>31807.5</v>
      </c>
      <c r="L95" s="23">
        <f t="shared" si="19"/>
        <v>31807.5</v>
      </c>
      <c r="U95" s="23">
        <v>600</v>
      </c>
      <c r="V95" s="23">
        <f t="shared" si="20"/>
        <v>32407.5</v>
      </c>
      <c r="W95" s="36">
        <v>0.5</v>
      </c>
      <c r="X95" s="23">
        <f t="shared" si="21"/>
        <v>16203.75</v>
      </c>
      <c r="Y95" s="20" t="s">
        <v>5938</v>
      </c>
      <c r="Z95" s="35" t="s">
        <v>6731</v>
      </c>
      <c r="AA95" s="35" t="s">
        <v>6788</v>
      </c>
      <c r="AB95" s="35" t="s">
        <v>6733</v>
      </c>
      <c r="AC95" s="35" t="s">
        <v>6789</v>
      </c>
      <c r="AD95" s="35" t="s">
        <v>6744</v>
      </c>
      <c r="AE95" s="37" t="str">
        <f t="shared" si="31"/>
        <v>52</v>
      </c>
      <c r="AG95" s="37">
        <f t="shared" si="22"/>
        <v>3712.279125</v>
      </c>
      <c r="AH95" s="37">
        <f t="shared" si="23"/>
        <v>1004.6324999999999</v>
      </c>
      <c r="AI95" s="37">
        <f t="shared" si="24"/>
        <v>234.954375</v>
      </c>
      <c r="AJ95" s="37">
        <f t="shared" si="25"/>
        <v>199.30612500000001</v>
      </c>
      <c r="AK95" s="37">
        <f t="shared" si="26"/>
        <v>306.38050500000003</v>
      </c>
      <c r="AL95" s="23">
        <v>140.04</v>
      </c>
      <c r="AM95" s="23">
        <f t="shared" si="32"/>
        <v>70.02</v>
      </c>
      <c r="AO95" s="22">
        <f t="shared" si="27"/>
        <v>0</v>
      </c>
      <c r="AP95" s="23">
        <v>0</v>
      </c>
      <c r="AQ95" s="23">
        <f t="shared" si="28"/>
        <v>0</v>
      </c>
      <c r="AR95" s="23">
        <f t="shared" si="33"/>
        <v>0</v>
      </c>
      <c r="AS95" s="23">
        <f t="shared" si="34"/>
        <v>70.02</v>
      </c>
      <c r="AU95" s="20">
        <f t="shared" si="35"/>
        <v>0</v>
      </c>
      <c r="AV95" s="37">
        <f t="shared" si="29"/>
        <v>5527.5726300000006</v>
      </c>
      <c r="AW95" s="37">
        <f t="shared" si="36"/>
        <v>21731.322630000002</v>
      </c>
      <c r="AX95" s="20" t="s">
        <v>6754</v>
      </c>
      <c r="AY95" s="20" t="s">
        <v>6790</v>
      </c>
      <c r="AZ95" s="20" t="s">
        <v>6791</v>
      </c>
      <c r="BA95" s="20" t="str">
        <f t="shared" si="30"/>
        <v>0.5 - ADM_ASST_I - Lopez, Angelita</v>
      </c>
    </row>
    <row r="96" spans="1:53" ht="12.75" hidden="1" customHeight="1" x14ac:dyDescent="0.25">
      <c r="A96" s="20">
        <v>95</v>
      </c>
      <c r="B96" s="20" t="s">
        <v>6725</v>
      </c>
      <c r="C96" s="20" t="s">
        <v>6981</v>
      </c>
      <c r="D96" s="20" t="s">
        <v>6798</v>
      </c>
      <c r="E96" s="21">
        <v>0.625</v>
      </c>
      <c r="G96" s="35" t="s">
        <v>6799</v>
      </c>
      <c r="H96" s="20" t="s">
        <v>6741</v>
      </c>
      <c r="K96" s="23">
        <f>50892*E96</f>
        <v>31807.5</v>
      </c>
      <c r="L96" s="23">
        <f t="shared" si="19"/>
        <v>31807.5</v>
      </c>
      <c r="U96" s="23">
        <v>600</v>
      </c>
      <c r="V96" s="23">
        <f t="shared" si="20"/>
        <v>32407.5</v>
      </c>
      <c r="W96" s="36">
        <v>0.5</v>
      </c>
      <c r="X96" s="23">
        <f t="shared" si="21"/>
        <v>16203.75</v>
      </c>
      <c r="Y96" s="20" t="s">
        <v>5977</v>
      </c>
      <c r="Z96" s="35" t="s">
        <v>6731</v>
      </c>
      <c r="AA96" s="35" t="s">
        <v>6788</v>
      </c>
      <c r="AB96" s="35" t="s">
        <v>6733</v>
      </c>
      <c r="AC96" s="35" t="s">
        <v>6792</v>
      </c>
      <c r="AD96" s="35" t="s">
        <v>6744</v>
      </c>
      <c r="AE96" s="37" t="str">
        <f t="shared" si="31"/>
        <v>52</v>
      </c>
      <c r="AG96" s="37">
        <f t="shared" si="22"/>
        <v>3712.279125</v>
      </c>
      <c r="AH96" s="37">
        <f t="shared" si="23"/>
        <v>1004.6324999999999</v>
      </c>
      <c r="AI96" s="37">
        <f t="shared" si="24"/>
        <v>234.954375</v>
      </c>
      <c r="AJ96" s="37">
        <f t="shared" si="25"/>
        <v>199.30612500000001</v>
      </c>
      <c r="AK96" s="37">
        <f t="shared" si="26"/>
        <v>306.38050500000003</v>
      </c>
      <c r="AL96" s="23">
        <v>140.04</v>
      </c>
      <c r="AM96" s="23">
        <f t="shared" si="32"/>
        <v>70.02</v>
      </c>
      <c r="AO96" s="22">
        <f t="shared" si="27"/>
        <v>0</v>
      </c>
      <c r="AP96" s="23">
        <v>0</v>
      </c>
      <c r="AQ96" s="23">
        <f t="shared" si="28"/>
        <v>0</v>
      </c>
      <c r="AR96" s="23">
        <f t="shared" si="33"/>
        <v>0</v>
      </c>
      <c r="AS96" s="23">
        <f t="shared" si="34"/>
        <v>70.02</v>
      </c>
      <c r="AU96" s="20">
        <f t="shared" si="35"/>
        <v>0</v>
      </c>
      <c r="AV96" s="37">
        <f t="shared" si="29"/>
        <v>5527.5726300000006</v>
      </c>
      <c r="AW96" s="37">
        <f t="shared" si="36"/>
        <v>21731.322630000002</v>
      </c>
      <c r="AX96" s="20" t="s">
        <v>6754</v>
      </c>
      <c r="AY96" s="20" t="s">
        <v>6790</v>
      </c>
      <c r="AZ96" s="20" t="s">
        <v>6793</v>
      </c>
      <c r="BA96" s="20" t="str">
        <f t="shared" si="30"/>
        <v>0.5 - ADM_ASST_I - Lopez, Angelita</v>
      </c>
    </row>
    <row r="97" spans="1:53" ht="12.75" customHeight="1" x14ac:dyDescent="0.25">
      <c r="A97" s="20">
        <v>96</v>
      </c>
      <c r="B97" s="20" t="s">
        <v>6725</v>
      </c>
      <c r="C97" s="20" t="s">
        <v>6982</v>
      </c>
      <c r="D97" s="20" t="s">
        <v>6756</v>
      </c>
      <c r="E97" s="21">
        <v>1</v>
      </c>
      <c r="G97" s="35" t="s">
        <v>6757</v>
      </c>
      <c r="H97" s="20" t="s">
        <v>6741</v>
      </c>
      <c r="K97" s="23">
        <v>63557</v>
      </c>
      <c r="L97" s="23">
        <f t="shared" si="19"/>
        <v>63557</v>
      </c>
      <c r="U97" s="23">
        <v>600</v>
      </c>
      <c r="V97" s="23">
        <f t="shared" si="20"/>
        <v>64157</v>
      </c>
      <c r="W97" s="36">
        <v>0.5</v>
      </c>
      <c r="X97" s="23">
        <f t="shared" si="21"/>
        <v>32078.5</v>
      </c>
      <c r="Y97" s="20" t="s">
        <v>3056</v>
      </c>
      <c r="Z97" s="35" t="s">
        <v>6758</v>
      </c>
      <c r="AA97" s="35" t="s">
        <v>6759</v>
      </c>
      <c r="AB97" s="35" t="s">
        <v>6733</v>
      </c>
      <c r="AC97" s="35" t="s">
        <v>6760</v>
      </c>
      <c r="AD97" s="35" t="s">
        <v>6744</v>
      </c>
      <c r="AE97" s="37" t="str">
        <f t="shared" si="31"/>
        <v>52</v>
      </c>
      <c r="AG97" s="37">
        <f t="shared" si="22"/>
        <v>7349.1843499999995</v>
      </c>
      <c r="AH97" s="37">
        <f t="shared" si="23"/>
        <v>1988.867</v>
      </c>
      <c r="AI97" s="37">
        <f t="shared" si="24"/>
        <v>465.13825000000003</v>
      </c>
      <c r="AJ97" s="37">
        <f t="shared" si="25"/>
        <v>394.56555000000003</v>
      </c>
      <c r="AK97" s="37">
        <f t="shared" si="26"/>
        <v>606.54027800000006</v>
      </c>
      <c r="AL97" s="23">
        <v>140.04</v>
      </c>
      <c r="AM97" s="23">
        <f t="shared" si="32"/>
        <v>70.02</v>
      </c>
      <c r="AN97" s="22">
        <v>79.2</v>
      </c>
      <c r="AO97" s="22">
        <f t="shared" si="27"/>
        <v>39.6</v>
      </c>
      <c r="AP97" s="23">
        <v>33444</v>
      </c>
      <c r="AQ97" s="23">
        <f t="shared" si="28"/>
        <v>34786.776599999997</v>
      </c>
      <c r="AR97" s="23">
        <f t="shared" si="33"/>
        <v>17393.388299999999</v>
      </c>
      <c r="AS97" s="23">
        <f t="shared" si="34"/>
        <v>17503.008299999998</v>
      </c>
      <c r="AU97" s="20">
        <f t="shared" si="35"/>
        <v>0</v>
      </c>
      <c r="AV97" s="37">
        <f t="shared" si="29"/>
        <v>28307.303727999999</v>
      </c>
      <c r="AW97" s="37">
        <f t="shared" si="36"/>
        <v>60385.803727999999</v>
      </c>
      <c r="BA97" s="20" t="str">
        <f t="shared" si="30"/>
        <v>0.5 - ESERV_SPEC - Lopez, Elizabeth</v>
      </c>
    </row>
    <row r="98" spans="1:53" ht="12.75" customHeight="1" x14ac:dyDescent="0.25">
      <c r="A98" s="20">
        <v>97</v>
      </c>
      <c r="B98" s="20" t="s">
        <v>6725</v>
      </c>
      <c r="C98" s="20" t="s">
        <v>6982</v>
      </c>
      <c r="D98" s="20" t="s">
        <v>6756</v>
      </c>
      <c r="E98" s="21">
        <v>1</v>
      </c>
      <c r="G98" s="35" t="s">
        <v>6757</v>
      </c>
      <c r="H98" s="20" t="s">
        <v>6741</v>
      </c>
      <c r="K98" s="23">
        <v>63557</v>
      </c>
      <c r="L98" s="23">
        <f t="shared" si="19"/>
        <v>63557</v>
      </c>
      <c r="U98" s="23">
        <v>600</v>
      </c>
      <c r="V98" s="23">
        <f t="shared" si="20"/>
        <v>64157</v>
      </c>
      <c r="W98" s="36">
        <v>0.5</v>
      </c>
      <c r="X98" s="23">
        <f t="shared" si="21"/>
        <v>32078.5</v>
      </c>
      <c r="Y98" s="20" t="s">
        <v>3090</v>
      </c>
      <c r="Z98" s="35" t="s">
        <v>6758</v>
      </c>
      <c r="AA98" s="35" t="s">
        <v>6761</v>
      </c>
      <c r="AB98" s="35" t="s">
        <v>6733</v>
      </c>
      <c r="AC98" s="35" t="s">
        <v>6762</v>
      </c>
      <c r="AD98" s="35" t="s">
        <v>6744</v>
      </c>
      <c r="AE98" s="37" t="str">
        <f t="shared" si="31"/>
        <v>52</v>
      </c>
      <c r="AG98" s="37">
        <f t="shared" si="22"/>
        <v>7349.1843499999995</v>
      </c>
      <c r="AH98" s="37">
        <f t="shared" si="23"/>
        <v>1988.867</v>
      </c>
      <c r="AI98" s="37">
        <f t="shared" si="24"/>
        <v>465.13825000000003</v>
      </c>
      <c r="AJ98" s="37">
        <f t="shared" si="25"/>
        <v>394.56555000000003</v>
      </c>
      <c r="AK98" s="37">
        <f t="shared" si="26"/>
        <v>606.54027800000006</v>
      </c>
      <c r="AL98" s="23">
        <v>140.04</v>
      </c>
      <c r="AM98" s="23">
        <f t="shared" si="32"/>
        <v>70.02</v>
      </c>
      <c r="AN98" s="22">
        <v>79.2</v>
      </c>
      <c r="AO98" s="22">
        <f t="shared" si="27"/>
        <v>39.6</v>
      </c>
      <c r="AP98" s="23">
        <v>33444</v>
      </c>
      <c r="AQ98" s="23">
        <f t="shared" si="28"/>
        <v>34786.776599999997</v>
      </c>
      <c r="AR98" s="23">
        <f t="shared" si="33"/>
        <v>17393.388299999999</v>
      </c>
      <c r="AS98" s="23">
        <f t="shared" si="34"/>
        <v>17503.008299999998</v>
      </c>
      <c r="AU98" s="20">
        <f t="shared" si="35"/>
        <v>0</v>
      </c>
      <c r="AV98" s="37">
        <f t="shared" si="29"/>
        <v>28307.303727999999</v>
      </c>
      <c r="AW98" s="37">
        <f t="shared" si="36"/>
        <v>60385.803727999999</v>
      </c>
      <c r="BA98" s="20" t="str">
        <f t="shared" si="30"/>
        <v>0.5 - ESERV_SPEC - Lopez, Elizabeth</v>
      </c>
    </row>
    <row r="99" spans="1:53" ht="12.75" customHeight="1" x14ac:dyDescent="0.25">
      <c r="B99" s="20" t="s">
        <v>6725</v>
      </c>
      <c r="C99" s="20" t="s">
        <v>6983</v>
      </c>
      <c r="D99" s="20" t="s">
        <v>6984</v>
      </c>
      <c r="E99" s="21">
        <v>1</v>
      </c>
      <c r="F99" s="34">
        <v>44409</v>
      </c>
      <c r="G99" s="35" t="s">
        <v>6985</v>
      </c>
      <c r="H99" s="20" t="s">
        <v>6729</v>
      </c>
      <c r="I99" s="22">
        <f>7680*1</f>
        <v>7680</v>
      </c>
      <c r="J99" s="20" t="s">
        <v>6730</v>
      </c>
      <c r="K99" s="23">
        <f>8064*11</f>
        <v>88704</v>
      </c>
      <c r="L99" s="23">
        <f t="shared" si="19"/>
        <v>96384</v>
      </c>
      <c r="V99" s="23">
        <f t="shared" si="20"/>
        <v>96384</v>
      </c>
      <c r="W99" s="36">
        <v>1</v>
      </c>
      <c r="X99" s="23">
        <f t="shared" si="21"/>
        <v>96384</v>
      </c>
      <c r="Y99" s="20" t="s">
        <v>661</v>
      </c>
      <c r="Z99" s="35" t="s">
        <v>6758</v>
      </c>
      <c r="AA99" s="35" t="s">
        <v>6861</v>
      </c>
      <c r="AB99" s="35" t="s">
        <v>6733</v>
      </c>
      <c r="AC99" s="35" t="s">
        <v>6862</v>
      </c>
      <c r="AD99" s="35" t="s">
        <v>6744</v>
      </c>
      <c r="AE99" s="37" t="str">
        <f t="shared" si="31"/>
        <v>52</v>
      </c>
      <c r="AG99" s="37">
        <f t="shared" si="22"/>
        <v>22081.574400000001</v>
      </c>
      <c r="AH99" s="37">
        <f t="shared" si="23"/>
        <v>5975.808</v>
      </c>
      <c r="AI99" s="37">
        <f t="shared" si="24"/>
        <v>1397.568</v>
      </c>
      <c r="AJ99" s="37">
        <f t="shared" si="25"/>
        <v>1185.5232000000001</v>
      </c>
      <c r="AK99" s="37">
        <f t="shared" si="26"/>
        <v>1822.428672</v>
      </c>
      <c r="AL99" s="23">
        <v>140.04</v>
      </c>
      <c r="AM99" s="23">
        <f t="shared" si="32"/>
        <v>140.04</v>
      </c>
      <c r="AN99" s="22">
        <v>79.2</v>
      </c>
      <c r="AO99" s="22">
        <f t="shared" si="27"/>
        <v>79.2</v>
      </c>
      <c r="AP99" s="23">
        <v>33444</v>
      </c>
      <c r="AQ99" s="23">
        <f t="shared" si="28"/>
        <v>34786.776599999997</v>
      </c>
      <c r="AR99" s="23">
        <f t="shared" si="33"/>
        <v>34786.776599999997</v>
      </c>
      <c r="AS99" s="23">
        <f t="shared" si="34"/>
        <v>35006.016599999995</v>
      </c>
      <c r="AU99" s="20">
        <f t="shared" si="35"/>
        <v>0</v>
      </c>
      <c r="AV99" s="37">
        <f t="shared" si="29"/>
        <v>67468.918871999995</v>
      </c>
      <c r="AW99" s="37">
        <f t="shared" si="36"/>
        <v>163852.91887200001</v>
      </c>
      <c r="BA99" s="20" t="str">
        <f t="shared" si="30"/>
        <v>1 - SNRACCT - Luciano, Paul</v>
      </c>
    </row>
    <row r="100" spans="1:53" ht="12.75" hidden="1" customHeight="1" x14ac:dyDescent="0.25">
      <c r="A100" s="20">
        <v>98</v>
      </c>
      <c r="B100" s="20" t="s">
        <v>6725</v>
      </c>
      <c r="C100" s="20" t="s">
        <v>6986</v>
      </c>
      <c r="D100" s="20" t="s">
        <v>6780</v>
      </c>
      <c r="E100" s="21">
        <v>1</v>
      </c>
      <c r="F100" s="34">
        <v>44713</v>
      </c>
      <c r="G100" s="35" t="s">
        <v>6839</v>
      </c>
      <c r="H100" s="20" t="s">
        <v>6730</v>
      </c>
      <c r="I100" s="22">
        <f>4350*11</f>
        <v>47850</v>
      </c>
      <c r="J100" s="20" t="s">
        <v>6741</v>
      </c>
      <c r="K100" s="23">
        <v>4567</v>
      </c>
      <c r="L100" s="23">
        <f t="shared" si="19"/>
        <v>52417</v>
      </c>
      <c r="U100" s="23">
        <v>600</v>
      </c>
      <c r="V100" s="23">
        <f t="shared" si="20"/>
        <v>53017</v>
      </c>
      <c r="W100" s="36">
        <v>0.5</v>
      </c>
      <c r="X100" s="23">
        <f t="shared" si="21"/>
        <v>26508.5</v>
      </c>
      <c r="Y100" s="20" t="s">
        <v>5404</v>
      </c>
      <c r="Z100" s="35" t="s">
        <v>6731</v>
      </c>
      <c r="AA100" s="35" t="s">
        <v>6752</v>
      </c>
      <c r="AB100" s="35" t="s">
        <v>6733</v>
      </c>
      <c r="AC100" s="35" t="s">
        <v>6753</v>
      </c>
      <c r="AD100" s="35" t="s">
        <v>6744</v>
      </c>
      <c r="AE100" s="37" t="str">
        <f t="shared" si="31"/>
        <v>52</v>
      </c>
      <c r="AG100" s="37">
        <f t="shared" si="22"/>
        <v>6073.09735</v>
      </c>
      <c r="AH100" s="37">
        <f t="shared" si="23"/>
        <v>1643.527</v>
      </c>
      <c r="AI100" s="37">
        <f t="shared" si="24"/>
        <v>384.37325000000004</v>
      </c>
      <c r="AJ100" s="37">
        <f t="shared" si="25"/>
        <v>326.05455000000001</v>
      </c>
      <c r="AK100" s="37">
        <f t="shared" si="26"/>
        <v>501.22271800000004</v>
      </c>
      <c r="AL100" s="23">
        <v>140.04</v>
      </c>
      <c r="AM100" s="23">
        <f t="shared" si="32"/>
        <v>70.02</v>
      </c>
      <c r="AN100" s="22">
        <v>79.2</v>
      </c>
      <c r="AO100" s="22">
        <f t="shared" si="27"/>
        <v>39.6</v>
      </c>
      <c r="AP100" s="23">
        <v>25452.6</v>
      </c>
      <c r="AQ100" s="23">
        <f t="shared" si="28"/>
        <v>26474.521889999996</v>
      </c>
      <c r="AR100" s="23">
        <f t="shared" si="33"/>
        <v>13237.260944999998</v>
      </c>
      <c r="AS100" s="23">
        <f t="shared" si="34"/>
        <v>13346.880944999999</v>
      </c>
      <c r="AU100" s="20">
        <f t="shared" si="35"/>
        <v>0</v>
      </c>
      <c r="AV100" s="37">
        <f t="shared" si="29"/>
        <v>22275.155812999998</v>
      </c>
      <c r="AW100" s="37">
        <f t="shared" si="36"/>
        <v>48783.655812999998</v>
      </c>
      <c r="AX100" s="20" t="s">
        <v>6754</v>
      </c>
      <c r="AY100" s="20" t="s">
        <v>6680</v>
      </c>
      <c r="AZ100" s="20" t="s">
        <v>6755</v>
      </c>
      <c r="BA100" s="20" t="str">
        <f t="shared" si="30"/>
        <v>0.5 - ADM_ASSTII - Magdaleno, Crystal</v>
      </c>
    </row>
    <row r="101" spans="1:53" ht="12.75" hidden="1" customHeight="1" x14ac:dyDescent="0.25">
      <c r="A101" s="20">
        <v>99</v>
      </c>
      <c r="B101" s="20" t="s">
        <v>6725</v>
      </c>
      <c r="C101" s="20" t="s">
        <v>6986</v>
      </c>
      <c r="D101" s="20" t="s">
        <v>6780</v>
      </c>
      <c r="E101" s="21">
        <v>1</v>
      </c>
      <c r="F101" s="34">
        <v>44713</v>
      </c>
      <c r="G101" s="35" t="s">
        <v>6839</v>
      </c>
      <c r="H101" s="20" t="s">
        <v>6730</v>
      </c>
      <c r="I101" s="22">
        <f>4350*11</f>
        <v>47850</v>
      </c>
      <c r="J101" s="20" t="s">
        <v>6741</v>
      </c>
      <c r="K101" s="23">
        <v>4567</v>
      </c>
      <c r="L101" s="23">
        <f t="shared" si="19"/>
        <v>52417</v>
      </c>
      <c r="U101" s="23">
        <v>600</v>
      </c>
      <c r="V101" s="23">
        <f t="shared" si="20"/>
        <v>53017</v>
      </c>
      <c r="W101" s="36">
        <v>0.5</v>
      </c>
      <c r="X101" s="23">
        <f t="shared" si="21"/>
        <v>26508.5</v>
      </c>
      <c r="Y101" s="20" t="s">
        <v>4944</v>
      </c>
      <c r="Z101" s="35" t="s">
        <v>6731</v>
      </c>
      <c r="AA101" s="35" t="s">
        <v>6732</v>
      </c>
      <c r="AB101" s="35" t="s">
        <v>6733</v>
      </c>
      <c r="AC101" s="35" t="s">
        <v>6734</v>
      </c>
      <c r="AD101" s="35" t="s">
        <v>6744</v>
      </c>
      <c r="AE101" s="37" t="str">
        <f t="shared" si="31"/>
        <v>52</v>
      </c>
      <c r="AG101" s="37">
        <f t="shared" si="22"/>
        <v>6073.09735</v>
      </c>
      <c r="AH101" s="37">
        <f t="shared" si="23"/>
        <v>1643.527</v>
      </c>
      <c r="AI101" s="37">
        <f t="shared" si="24"/>
        <v>384.37325000000004</v>
      </c>
      <c r="AJ101" s="37">
        <f t="shared" si="25"/>
        <v>326.05455000000001</v>
      </c>
      <c r="AK101" s="37">
        <f t="shared" si="26"/>
        <v>501.22271800000004</v>
      </c>
      <c r="AL101" s="23">
        <v>140.04</v>
      </c>
      <c r="AM101" s="23">
        <f t="shared" si="32"/>
        <v>70.02</v>
      </c>
      <c r="AN101" s="22">
        <v>79.2</v>
      </c>
      <c r="AO101" s="22">
        <f t="shared" si="27"/>
        <v>39.6</v>
      </c>
      <c r="AP101" s="23">
        <v>25462.6</v>
      </c>
      <c r="AQ101" s="23">
        <f t="shared" si="28"/>
        <v>26484.923389999996</v>
      </c>
      <c r="AR101" s="23">
        <f t="shared" si="33"/>
        <v>13242.461694999998</v>
      </c>
      <c r="AS101" s="23">
        <f t="shared" si="34"/>
        <v>13352.081694999999</v>
      </c>
      <c r="AU101" s="20">
        <f t="shared" si="35"/>
        <v>0</v>
      </c>
      <c r="AV101" s="37">
        <f t="shared" si="29"/>
        <v>22280.356563000001</v>
      </c>
      <c r="AW101" s="37">
        <f t="shared" si="36"/>
        <v>48788.856563000001</v>
      </c>
      <c r="AX101" s="20" t="s">
        <v>6675</v>
      </c>
      <c r="AY101" s="20" t="s">
        <v>6736</v>
      </c>
      <c r="AZ101" s="20" t="s">
        <v>6737</v>
      </c>
      <c r="BA101" s="20" t="str">
        <f t="shared" si="30"/>
        <v>0.5 - ADM_ASSTII - Magdaleno, Crystal</v>
      </c>
    </row>
    <row r="102" spans="1:53" ht="12.75" customHeight="1" x14ac:dyDescent="0.25">
      <c r="A102" s="20">
        <v>100</v>
      </c>
      <c r="B102" s="20" t="s">
        <v>6725</v>
      </c>
      <c r="C102" s="20" t="s">
        <v>6987</v>
      </c>
      <c r="D102" s="20" t="s">
        <v>6802</v>
      </c>
      <c r="E102" s="21">
        <v>1</v>
      </c>
      <c r="G102" s="35" t="s">
        <v>6740</v>
      </c>
      <c r="H102" s="20" t="s">
        <v>6741</v>
      </c>
      <c r="K102" s="23">
        <v>71910</v>
      </c>
      <c r="L102" s="23">
        <f t="shared" si="19"/>
        <v>71910</v>
      </c>
      <c r="Q102" s="26">
        <v>7.4999999999999997E-2</v>
      </c>
      <c r="R102" s="23">
        <f>L102*Q102</f>
        <v>5393.25</v>
      </c>
      <c r="U102" s="23">
        <v>600</v>
      </c>
      <c r="V102" s="23">
        <f t="shared" si="20"/>
        <v>77903.25</v>
      </c>
      <c r="W102" s="36">
        <v>1</v>
      </c>
      <c r="X102" s="23">
        <f t="shared" si="21"/>
        <v>77903.25</v>
      </c>
      <c r="Y102" s="20" t="s">
        <v>3090</v>
      </c>
      <c r="Z102" s="35" t="s">
        <v>6758</v>
      </c>
      <c r="AA102" s="35" t="s">
        <v>6761</v>
      </c>
      <c r="AB102" s="35" t="s">
        <v>6733</v>
      </c>
      <c r="AC102" s="35" t="s">
        <v>6762</v>
      </c>
      <c r="AD102" s="35" t="s">
        <v>6744</v>
      </c>
      <c r="AE102" s="37" t="str">
        <f t="shared" si="31"/>
        <v>52</v>
      </c>
      <c r="AG102" s="37">
        <f t="shared" si="22"/>
        <v>17847.634575</v>
      </c>
      <c r="AH102" s="37">
        <f t="shared" si="23"/>
        <v>4830.0015000000003</v>
      </c>
      <c r="AI102" s="37">
        <f t="shared" si="24"/>
        <v>1129.597125</v>
      </c>
      <c r="AJ102" s="37">
        <f t="shared" si="25"/>
        <v>958.20997499999999</v>
      </c>
      <c r="AK102" s="37">
        <f t="shared" si="26"/>
        <v>1472.9946510000002</v>
      </c>
      <c r="AL102" s="23">
        <v>140.04</v>
      </c>
      <c r="AM102" s="23">
        <f t="shared" si="32"/>
        <v>140.04</v>
      </c>
      <c r="AN102" s="22">
        <v>79.2</v>
      </c>
      <c r="AO102" s="22">
        <f t="shared" si="27"/>
        <v>79.2</v>
      </c>
      <c r="AP102" s="23">
        <v>33444</v>
      </c>
      <c r="AQ102" s="23">
        <f t="shared" si="28"/>
        <v>34786.776599999997</v>
      </c>
      <c r="AR102" s="23">
        <f t="shared" si="33"/>
        <v>34786.776599999997</v>
      </c>
      <c r="AS102" s="23">
        <f t="shared" si="34"/>
        <v>35006.016599999995</v>
      </c>
      <c r="AU102" s="20">
        <f t="shared" si="35"/>
        <v>0</v>
      </c>
      <c r="AV102" s="37">
        <f t="shared" si="29"/>
        <v>61244.454426000004</v>
      </c>
      <c r="AW102" s="37">
        <f t="shared" si="36"/>
        <v>139147.70442600001</v>
      </c>
      <c r="BA102" s="20" t="str">
        <f t="shared" si="30"/>
        <v>1 - FA_SPEC - Maldonado-Moreno, Clara</v>
      </c>
    </row>
    <row r="103" spans="1:53" ht="12.75" customHeight="1" x14ac:dyDescent="0.25">
      <c r="A103" s="20">
        <v>101</v>
      </c>
      <c r="B103" s="20" t="s">
        <v>6725</v>
      </c>
      <c r="C103" s="20" t="s">
        <v>6988</v>
      </c>
      <c r="D103" s="20" t="s">
        <v>6973</v>
      </c>
      <c r="E103" s="21">
        <v>1</v>
      </c>
      <c r="G103" s="35" t="s">
        <v>6873</v>
      </c>
      <c r="H103" s="20" t="s">
        <v>6741</v>
      </c>
      <c r="K103" s="23">
        <v>56176</v>
      </c>
      <c r="L103" s="23">
        <f t="shared" si="19"/>
        <v>56176</v>
      </c>
      <c r="R103" s="23">
        <f>M103*Q103</f>
        <v>0</v>
      </c>
      <c r="U103" s="23">
        <v>600</v>
      </c>
      <c r="V103" s="23">
        <f t="shared" si="20"/>
        <v>56776</v>
      </c>
      <c r="W103" s="36">
        <v>0.5</v>
      </c>
      <c r="X103" s="23">
        <f t="shared" si="21"/>
        <v>28388</v>
      </c>
      <c r="Y103" s="20" t="s">
        <v>1144</v>
      </c>
      <c r="Z103" s="35" t="s">
        <v>6758</v>
      </c>
      <c r="AA103" s="35" t="s">
        <v>6989</v>
      </c>
      <c r="AB103" s="35" t="s">
        <v>6733</v>
      </c>
      <c r="AC103" s="35" t="s">
        <v>6990</v>
      </c>
      <c r="AD103" s="35" t="s">
        <v>6735</v>
      </c>
      <c r="AE103" s="37" t="str">
        <f t="shared" si="31"/>
        <v>52</v>
      </c>
      <c r="AG103" s="37">
        <f t="shared" si="22"/>
        <v>6503.6908000000003</v>
      </c>
      <c r="AH103" s="37">
        <f t="shared" si="23"/>
        <v>1760.056</v>
      </c>
      <c r="AI103" s="37">
        <f t="shared" si="24"/>
        <v>411.62600000000003</v>
      </c>
      <c r="AJ103" s="37">
        <f t="shared" si="25"/>
        <v>349.17239999999998</v>
      </c>
      <c r="AK103" s="37">
        <f t="shared" si="26"/>
        <v>536.76030400000002</v>
      </c>
      <c r="AL103" s="23">
        <v>140.04</v>
      </c>
      <c r="AM103" s="23">
        <f t="shared" si="32"/>
        <v>70.02</v>
      </c>
      <c r="AN103" s="22">
        <v>79.2</v>
      </c>
      <c r="AO103" s="22">
        <f t="shared" si="27"/>
        <v>39.6</v>
      </c>
      <c r="AP103" s="23">
        <v>13152</v>
      </c>
      <c r="AQ103" s="23">
        <f t="shared" si="28"/>
        <v>13680.052799999999</v>
      </c>
      <c r="AR103" s="23">
        <f t="shared" si="33"/>
        <v>6840.0263999999997</v>
      </c>
      <c r="AS103" s="23">
        <f t="shared" si="34"/>
        <v>6949.6463999999996</v>
      </c>
      <c r="AU103" s="20">
        <f t="shared" si="35"/>
        <v>0</v>
      </c>
      <c r="AV103" s="37">
        <f t="shared" si="29"/>
        <v>16510.951904000001</v>
      </c>
      <c r="AW103" s="37">
        <f t="shared" si="36"/>
        <v>44898.951904000001</v>
      </c>
      <c r="BA103" s="20" t="str">
        <f t="shared" si="30"/>
        <v>0.5 - INSASSOCI - Marin, Maria Z</v>
      </c>
    </row>
    <row r="104" spans="1:53" ht="12.75" customHeight="1" x14ac:dyDescent="0.25">
      <c r="A104" s="20">
        <v>102</v>
      </c>
      <c r="B104" s="20" t="s">
        <v>6725</v>
      </c>
      <c r="C104" s="20" t="s">
        <v>6988</v>
      </c>
      <c r="D104" s="20" t="s">
        <v>6973</v>
      </c>
      <c r="E104" s="21">
        <v>1</v>
      </c>
      <c r="G104" s="35" t="s">
        <v>6873</v>
      </c>
      <c r="H104" s="20" t="s">
        <v>6741</v>
      </c>
      <c r="K104" s="23">
        <v>56176</v>
      </c>
      <c r="L104" s="23">
        <f t="shared" si="19"/>
        <v>56176</v>
      </c>
      <c r="R104" s="23">
        <f>M104*Q104</f>
        <v>0</v>
      </c>
      <c r="U104" s="23">
        <v>600</v>
      </c>
      <c r="V104" s="23">
        <f t="shared" si="20"/>
        <v>56776</v>
      </c>
      <c r="W104" s="36">
        <v>0.5</v>
      </c>
      <c r="X104" s="23">
        <f t="shared" si="21"/>
        <v>28388</v>
      </c>
      <c r="Y104" s="20" t="s">
        <v>1240</v>
      </c>
      <c r="Z104" s="35" t="s">
        <v>6758</v>
      </c>
      <c r="AA104" s="35" t="s">
        <v>6989</v>
      </c>
      <c r="AB104" s="35" t="s">
        <v>6733</v>
      </c>
      <c r="AC104" s="35" t="s">
        <v>6991</v>
      </c>
      <c r="AD104" s="35" t="s">
        <v>6735</v>
      </c>
      <c r="AE104" s="37" t="str">
        <f t="shared" si="31"/>
        <v>52</v>
      </c>
      <c r="AG104" s="37">
        <f t="shared" si="22"/>
        <v>6503.6908000000003</v>
      </c>
      <c r="AH104" s="37">
        <f t="shared" si="23"/>
        <v>1760.056</v>
      </c>
      <c r="AI104" s="37">
        <f t="shared" si="24"/>
        <v>411.62600000000003</v>
      </c>
      <c r="AJ104" s="37">
        <f t="shared" si="25"/>
        <v>349.17239999999998</v>
      </c>
      <c r="AK104" s="37">
        <f t="shared" si="26"/>
        <v>536.76030400000002</v>
      </c>
      <c r="AL104" s="23">
        <v>140.04</v>
      </c>
      <c r="AM104" s="23">
        <f t="shared" si="32"/>
        <v>70.02</v>
      </c>
      <c r="AN104" s="22">
        <v>79.2</v>
      </c>
      <c r="AO104" s="22">
        <f t="shared" si="27"/>
        <v>39.6</v>
      </c>
      <c r="AP104" s="23">
        <v>13152</v>
      </c>
      <c r="AQ104" s="23">
        <f t="shared" si="28"/>
        <v>13680.052799999999</v>
      </c>
      <c r="AR104" s="23">
        <f t="shared" si="33"/>
        <v>6840.0263999999997</v>
      </c>
      <c r="AS104" s="23">
        <f t="shared" si="34"/>
        <v>6949.6463999999996</v>
      </c>
      <c r="AU104" s="20">
        <f t="shared" si="35"/>
        <v>0</v>
      </c>
      <c r="AV104" s="37">
        <f t="shared" si="29"/>
        <v>16510.951904000001</v>
      </c>
      <c r="AW104" s="37">
        <f t="shared" si="36"/>
        <v>44898.951904000001</v>
      </c>
      <c r="BA104" s="20" t="str">
        <f t="shared" si="30"/>
        <v>0.5 - INSASSOCI - Marin, Maria Z</v>
      </c>
    </row>
    <row r="105" spans="1:53" ht="12.75" hidden="1" customHeight="1" x14ac:dyDescent="0.25">
      <c r="A105" s="20">
        <v>103</v>
      </c>
      <c r="B105" s="20" t="s">
        <v>6725</v>
      </c>
      <c r="C105" s="20" t="s">
        <v>6992</v>
      </c>
      <c r="D105" s="20" t="s">
        <v>6894</v>
      </c>
      <c r="E105" s="21">
        <v>0.83329999999999993</v>
      </c>
      <c r="G105" s="35" t="s">
        <v>6895</v>
      </c>
      <c r="H105" s="20" t="s">
        <v>6741</v>
      </c>
      <c r="K105" s="23">
        <f>96712*E105</f>
        <v>80590.109599999996</v>
      </c>
      <c r="L105" s="23">
        <f t="shared" si="19"/>
        <v>80590.109599999996</v>
      </c>
      <c r="Q105" s="26">
        <v>0.05</v>
      </c>
      <c r="R105" s="23">
        <f>L105*Q105</f>
        <v>4029.5054799999998</v>
      </c>
      <c r="V105" s="23">
        <f t="shared" si="20"/>
        <v>84619.615079999989</v>
      </c>
      <c r="W105" s="36">
        <v>1</v>
      </c>
      <c r="X105" s="23">
        <f t="shared" si="21"/>
        <v>84619.615079999989</v>
      </c>
      <c r="Y105" s="20" t="s">
        <v>6150</v>
      </c>
      <c r="Z105" s="35" t="s">
        <v>6896</v>
      </c>
      <c r="AA105" s="35" t="s">
        <v>6826</v>
      </c>
      <c r="AB105" s="35" t="s">
        <v>6733</v>
      </c>
      <c r="AC105" s="35" t="s">
        <v>6897</v>
      </c>
      <c r="AD105" s="35" t="s">
        <v>6744</v>
      </c>
      <c r="AE105" s="37" t="str">
        <f t="shared" si="31"/>
        <v>52</v>
      </c>
      <c r="AG105" s="37">
        <f t="shared" si="22"/>
        <v>19386.353814827999</v>
      </c>
      <c r="AH105" s="37">
        <f t="shared" si="23"/>
        <v>5246.416134959999</v>
      </c>
      <c r="AI105" s="37">
        <f t="shared" si="24"/>
        <v>1226.9844186599998</v>
      </c>
      <c r="AJ105" s="37">
        <f t="shared" si="25"/>
        <v>1040.8212654839999</v>
      </c>
      <c r="AK105" s="37">
        <f t="shared" si="26"/>
        <v>1599.9876819326398</v>
      </c>
      <c r="AL105" s="23">
        <v>140.04</v>
      </c>
      <c r="AM105" s="23">
        <f t="shared" si="32"/>
        <v>140.04</v>
      </c>
      <c r="AN105" s="22">
        <v>79.2</v>
      </c>
      <c r="AO105" s="22">
        <f t="shared" si="27"/>
        <v>79.2</v>
      </c>
      <c r="AP105" s="23">
        <v>13152</v>
      </c>
      <c r="AQ105" s="23">
        <f t="shared" si="28"/>
        <v>13680.052799999999</v>
      </c>
      <c r="AR105" s="23">
        <f t="shared" si="33"/>
        <v>13680.052799999999</v>
      </c>
      <c r="AS105" s="23">
        <f t="shared" si="34"/>
        <v>13899.292799999999</v>
      </c>
      <c r="AU105" s="20">
        <f t="shared" si="35"/>
        <v>0</v>
      </c>
      <c r="AV105" s="37">
        <f t="shared" si="29"/>
        <v>42399.856115864633</v>
      </c>
      <c r="AW105" s="37">
        <f t="shared" si="36"/>
        <v>127019.47119586462</v>
      </c>
      <c r="BA105" s="20" t="str">
        <f t="shared" si="30"/>
        <v>1 - CDTCHR - Martinez, Janice</v>
      </c>
    </row>
    <row r="106" spans="1:53" ht="12.75" customHeight="1" x14ac:dyDescent="0.25">
      <c r="A106" s="20">
        <v>104</v>
      </c>
      <c r="B106" s="20" t="s">
        <v>6725</v>
      </c>
      <c r="C106" s="20" t="s">
        <v>6993</v>
      </c>
      <c r="D106" s="20" t="s">
        <v>6775</v>
      </c>
      <c r="E106" s="21">
        <v>1</v>
      </c>
      <c r="F106" s="34"/>
      <c r="G106" s="35" t="s">
        <v>6776</v>
      </c>
      <c r="H106" s="20" t="s">
        <v>6741</v>
      </c>
      <c r="K106" s="23">
        <v>79375</v>
      </c>
      <c r="L106" s="23">
        <f t="shared" si="19"/>
        <v>79375</v>
      </c>
      <c r="R106" s="23">
        <f>M106*Q106</f>
        <v>0</v>
      </c>
      <c r="U106" s="23">
        <v>600</v>
      </c>
      <c r="V106" s="23">
        <f t="shared" si="20"/>
        <v>79975</v>
      </c>
      <c r="W106" s="36">
        <v>1</v>
      </c>
      <c r="X106" s="23">
        <f t="shared" si="21"/>
        <v>79975</v>
      </c>
      <c r="Y106" s="20" t="s">
        <v>3290</v>
      </c>
      <c r="Z106" s="35" t="s">
        <v>6758</v>
      </c>
      <c r="AA106" s="35" t="s">
        <v>6777</v>
      </c>
      <c r="AB106" s="35" t="s">
        <v>6733</v>
      </c>
      <c r="AC106" s="35" t="s">
        <v>6778</v>
      </c>
      <c r="AD106" s="35" t="s">
        <v>6744</v>
      </c>
      <c r="AE106" s="37" t="str">
        <f t="shared" si="31"/>
        <v>52</v>
      </c>
      <c r="AG106" s="37">
        <f t="shared" si="22"/>
        <v>18322.272499999999</v>
      </c>
      <c r="AH106" s="37">
        <f t="shared" si="23"/>
        <v>4958.45</v>
      </c>
      <c r="AI106" s="37">
        <f t="shared" si="24"/>
        <v>1159.6375</v>
      </c>
      <c r="AJ106" s="37">
        <f t="shared" si="25"/>
        <v>983.6925</v>
      </c>
      <c r="AK106" s="37">
        <f t="shared" si="26"/>
        <v>1512.1673000000001</v>
      </c>
      <c r="AL106" s="23">
        <v>140.04</v>
      </c>
      <c r="AM106" s="23">
        <f t="shared" si="32"/>
        <v>140.04</v>
      </c>
      <c r="AN106" s="22">
        <v>79.2</v>
      </c>
      <c r="AO106" s="22">
        <f t="shared" si="27"/>
        <v>79.2</v>
      </c>
      <c r="AP106" s="23">
        <v>23232</v>
      </c>
      <c r="AQ106" s="23">
        <f t="shared" si="28"/>
        <v>24164.764800000001</v>
      </c>
      <c r="AR106" s="23">
        <f t="shared" si="33"/>
        <v>24164.764800000001</v>
      </c>
      <c r="AS106" s="23">
        <f t="shared" si="34"/>
        <v>24384.004800000002</v>
      </c>
      <c r="AT106" s="37">
        <v>2400</v>
      </c>
      <c r="AU106" s="20">
        <f t="shared" si="35"/>
        <v>2400</v>
      </c>
      <c r="AV106" s="37">
        <f t="shared" si="29"/>
        <v>53720.224600000001</v>
      </c>
      <c r="AW106" s="37">
        <f t="shared" si="36"/>
        <v>133695.22460000002</v>
      </c>
      <c r="BA106" s="20" t="str">
        <f t="shared" si="30"/>
        <v>1 - COMP_TECH - Martinez, Jose</v>
      </c>
    </row>
    <row r="107" spans="1:53" ht="12.75" customHeight="1" x14ac:dyDescent="0.25">
      <c r="A107" s="20">
        <v>105</v>
      </c>
      <c r="B107" s="20" t="s">
        <v>6725</v>
      </c>
      <c r="C107" s="20" t="s">
        <v>6994</v>
      </c>
      <c r="D107" s="20" t="s">
        <v>6872</v>
      </c>
      <c r="E107" s="21">
        <v>1</v>
      </c>
      <c r="G107" s="35" t="s">
        <v>6873</v>
      </c>
      <c r="H107" s="20" t="s">
        <v>6741</v>
      </c>
      <c r="K107" s="23">
        <v>56176</v>
      </c>
      <c r="L107" s="23">
        <f t="shared" si="19"/>
        <v>56176</v>
      </c>
      <c r="Q107" s="26">
        <v>0.1</v>
      </c>
      <c r="R107" s="23">
        <f>L107*Q107</f>
        <v>5617.6</v>
      </c>
      <c r="V107" s="23">
        <f t="shared" si="20"/>
        <v>61793.599999999999</v>
      </c>
      <c r="W107" s="36">
        <v>1</v>
      </c>
      <c r="X107" s="23">
        <f t="shared" si="21"/>
        <v>61793.599999999999</v>
      </c>
      <c r="Y107" s="20" t="s">
        <v>661</v>
      </c>
      <c r="Z107" s="35" t="s">
        <v>6758</v>
      </c>
      <c r="AA107" s="35" t="s">
        <v>6861</v>
      </c>
      <c r="AB107" s="35" t="s">
        <v>6733</v>
      </c>
      <c r="AC107" s="35" t="s">
        <v>6862</v>
      </c>
      <c r="AD107" s="35" t="s">
        <v>6744</v>
      </c>
      <c r="AE107" s="37" t="str">
        <f t="shared" si="31"/>
        <v>52</v>
      </c>
      <c r="AG107" s="37">
        <f t="shared" si="22"/>
        <v>14156.913759999999</v>
      </c>
      <c r="AH107" s="37">
        <f t="shared" si="23"/>
        <v>3831.2031999999999</v>
      </c>
      <c r="AI107" s="37">
        <f t="shared" si="24"/>
        <v>896.00720000000001</v>
      </c>
      <c r="AJ107" s="37">
        <f t="shared" si="25"/>
        <v>760.06128000000001</v>
      </c>
      <c r="AK107" s="37">
        <f t="shared" si="26"/>
        <v>1168.3933888000001</v>
      </c>
      <c r="AL107" s="23">
        <v>140.04</v>
      </c>
      <c r="AM107" s="23">
        <f t="shared" si="32"/>
        <v>140.04</v>
      </c>
      <c r="AN107" s="22">
        <v>79.2</v>
      </c>
      <c r="AO107" s="22">
        <f t="shared" si="27"/>
        <v>79.2</v>
      </c>
      <c r="AP107" s="23">
        <v>33444</v>
      </c>
      <c r="AQ107" s="23">
        <f t="shared" si="28"/>
        <v>34786.776599999997</v>
      </c>
      <c r="AR107" s="23">
        <f t="shared" si="33"/>
        <v>34786.776599999997</v>
      </c>
      <c r="AS107" s="23">
        <f t="shared" si="34"/>
        <v>35006.016599999995</v>
      </c>
      <c r="AU107" s="20">
        <f t="shared" si="35"/>
        <v>0</v>
      </c>
      <c r="AV107" s="37">
        <f t="shared" si="29"/>
        <v>55818.595428799999</v>
      </c>
      <c r="AW107" s="37">
        <f t="shared" si="36"/>
        <v>117612.1954288</v>
      </c>
      <c r="BA107" s="20" t="str">
        <f t="shared" si="30"/>
        <v>1 - ACCT_ASST - Martinez, Karen</v>
      </c>
    </row>
    <row r="108" spans="1:53" ht="12.75" hidden="1" customHeight="1" x14ac:dyDescent="0.25">
      <c r="A108" s="20">
        <v>106</v>
      </c>
      <c r="B108" s="20" t="s">
        <v>6725</v>
      </c>
      <c r="C108" s="20" t="s">
        <v>6995</v>
      </c>
      <c r="D108" s="20" t="s">
        <v>6802</v>
      </c>
      <c r="E108" s="21">
        <v>1</v>
      </c>
      <c r="F108" s="34">
        <v>44562</v>
      </c>
      <c r="G108" s="35" t="s">
        <v>6740</v>
      </c>
      <c r="H108" s="20" t="s">
        <v>6730</v>
      </c>
      <c r="I108" s="22">
        <f>5707*6</f>
        <v>34242</v>
      </c>
      <c r="J108" s="20" t="s">
        <v>6741</v>
      </c>
      <c r="K108" s="23">
        <f>5993*6</f>
        <v>35958</v>
      </c>
      <c r="L108" s="23">
        <f t="shared" si="19"/>
        <v>70200</v>
      </c>
      <c r="R108" s="23">
        <f>M108*Q108</f>
        <v>0</v>
      </c>
      <c r="U108" s="23">
        <v>600</v>
      </c>
      <c r="V108" s="23">
        <f t="shared" si="20"/>
        <v>70800</v>
      </c>
      <c r="W108" s="36">
        <v>1</v>
      </c>
      <c r="X108" s="23">
        <f t="shared" si="21"/>
        <v>70800</v>
      </c>
      <c r="Y108" s="20" t="s">
        <v>5876</v>
      </c>
      <c r="Z108" s="35" t="s">
        <v>6731</v>
      </c>
      <c r="AA108" s="35" t="s">
        <v>6761</v>
      </c>
      <c r="AB108" s="35" t="s">
        <v>6733</v>
      </c>
      <c r="AC108" s="35" t="s">
        <v>6808</v>
      </c>
      <c r="AD108" s="35" t="s">
        <v>6744</v>
      </c>
      <c r="AE108" s="37" t="str">
        <f t="shared" si="31"/>
        <v>52</v>
      </c>
      <c r="AG108" s="37">
        <f t="shared" si="22"/>
        <v>16220.28</v>
      </c>
      <c r="AH108" s="37">
        <f t="shared" si="23"/>
        <v>4389.6000000000004</v>
      </c>
      <c r="AI108" s="37">
        <f t="shared" si="24"/>
        <v>1026.6000000000001</v>
      </c>
      <c r="AJ108" s="37">
        <f t="shared" si="25"/>
        <v>870.84</v>
      </c>
      <c r="AK108" s="37">
        <f t="shared" si="26"/>
        <v>1338.6864</v>
      </c>
      <c r="AL108" s="23">
        <v>140.04</v>
      </c>
      <c r="AM108" s="23">
        <f t="shared" si="32"/>
        <v>140.04</v>
      </c>
      <c r="AN108" s="22">
        <v>79.2</v>
      </c>
      <c r="AO108" s="22">
        <f t="shared" si="27"/>
        <v>79.2</v>
      </c>
      <c r="AP108" s="23">
        <v>33444</v>
      </c>
      <c r="AQ108" s="23">
        <f t="shared" si="28"/>
        <v>34786.776599999997</v>
      </c>
      <c r="AR108" s="23">
        <f t="shared" si="33"/>
        <v>34786.776599999997</v>
      </c>
      <c r="AS108" s="23">
        <f t="shared" si="34"/>
        <v>35006.016599999995</v>
      </c>
      <c r="AU108" s="20">
        <f t="shared" si="35"/>
        <v>0</v>
      </c>
      <c r="AV108" s="37">
        <f t="shared" si="29"/>
        <v>58852.023000000001</v>
      </c>
      <c r="AW108" s="37">
        <f t="shared" si="36"/>
        <v>129652.023</v>
      </c>
      <c r="AX108" s="20" t="s">
        <v>6754</v>
      </c>
      <c r="AY108" s="20" t="s">
        <v>6809</v>
      </c>
      <c r="AZ108" s="20" t="s">
        <v>6810</v>
      </c>
      <c r="BA108" s="20" t="str">
        <f t="shared" si="30"/>
        <v>1 - FA_SPEC - Martinez-Aguilar, Ana</v>
      </c>
    </row>
    <row r="109" spans="1:53" ht="12.75" customHeight="1" x14ac:dyDescent="0.25">
      <c r="A109" s="20">
        <v>107</v>
      </c>
      <c r="B109" s="20" t="s">
        <v>6725</v>
      </c>
      <c r="C109" s="20" t="s">
        <v>6996</v>
      </c>
      <c r="D109" s="20" t="s">
        <v>6770</v>
      </c>
      <c r="E109" s="21">
        <v>1</v>
      </c>
      <c r="F109" s="34">
        <v>44501</v>
      </c>
      <c r="G109" s="35" t="s">
        <v>6771</v>
      </c>
      <c r="H109" s="20" t="s">
        <v>6730</v>
      </c>
      <c r="I109" s="22">
        <f>4921*5</f>
        <v>24605</v>
      </c>
      <c r="J109" s="20" t="s">
        <v>6741</v>
      </c>
      <c r="K109" s="23">
        <f>5167*7</f>
        <v>36169</v>
      </c>
      <c r="L109" s="23">
        <f t="shared" si="19"/>
        <v>60774</v>
      </c>
      <c r="R109" s="23">
        <f>M109*Q109</f>
        <v>0</v>
      </c>
      <c r="U109" s="23">
        <v>600</v>
      </c>
      <c r="V109" s="23">
        <f t="shared" si="20"/>
        <v>61374</v>
      </c>
      <c r="W109" s="36">
        <v>1</v>
      </c>
      <c r="X109" s="23">
        <f t="shared" si="21"/>
        <v>61374</v>
      </c>
      <c r="Y109" s="20" t="s">
        <v>2321</v>
      </c>
      <c r="Z109" s="35" t="s">
        <v>6758</v>
      </c>
      <c r="AA109" s="35" t="s">
        <v>6742</v>
      </c>
      <c r="AB109" s="35" t="s">
        <v>6974</v>
      </c>
      <c r="AC109" s="35" t="s">
        <v>6997</v>
      </c>
      <c r="AD109" s="35" t="s">
        <v>6735</v>
      </c>
      <c r="AE109" s="37" t="str">
        <f t="shared" si="31"/>
        <v>52</v>
      </c>
      <c r="AG109" s="37">
        <f t="shared" si="22"/>
        <v>14060.7834</v>
      </c>
      <c r="AH109" s="37">
        <f t="shared" si="23"/>
        <v>3805.1880000000001</v>
      </c>
      <c r="AI109" s="37">
        <f t="shared" si="24"/>
        <v>889.923</v>
      </c>
      <c r="AJ109" s="37">
        <f t="shared" si="25"/>
        <v>754.90020000000004</v>
      </c>
      <c r="AK109" s="37">
        <f t="shared" si="26"/>
        <v>1160.4595920000002</v>
      </c>
      <c r="AL109" s="23">
        <v>140.04</v>
      </c>
      <c r="AM109" s="23">
        <f t="shared" si="32"/>
        <v>140.04</v>
      </c>
      <c r="AN109" s="22">
        <v>79.2</v>
      </c>
      <c r="AO109" s="22">
        <f t="shared" si="27"/>
        <v>79.2</v>
      </c>
      <c r="AP109" s="23">
        <v>17424</v>
      </c>
      <c r="AQ109" s="23">
        <f t="shared" si="28"/>
        <v>18123.5736</v>
      </c>
      <c r="AR109" s="23">
        <f t="shared" si="33"/>
        <v>18123.5736</v>
      </c>
      <c r="AS109" s="23">
        <f t="shared" si="34"/>
        <v>18342.813600000001</v>
      </c>
      <c r="AT109" s="37">
        <v>2400</v>
      </c>
      <c r="AU109" s="20">
        <f t="shared" si="35"/>
        <v>2400</v>
      </c>
      <c r="AV109" s="37">
        <f t="shared" si="29"/>
        <v>41414.067792000002</v>
      </c>
      <c r="AW109" s="37">
        <f t="shared" si="36"/>
        <v>102788.067792</v>
      </c>
      <c r="BA109" s="20" t="str">
        <f t="shared" si="30"/>
        <v>1 - SCILABTEC - Martinez-Jimenez, Julio</v>
      </c>
    </row>
    <row r="110" spans="1:53" ht="12.75" customHeight="1" x14ac:dyDescent="0.25">
      <c r="A110" s="20">
        <v>108</v>
      </c>
      <c r="B110" s="20" t="s">
        <v>6725</v>
      </c>
      <c r="C110" s="20" t="s">
        <v>6998</v>
      </c>
      <c r="D110" s="20" t="s">
        <v>6798</v>
      </c>
      <c r="E110" s="21">
        <v>1</v>
      </c>
      <c r="F110" s="34">
        <v>44593</v>
      </c>
      <c r="G110" s="35" t="s">
        <v>6799</v>
      </c>
      <c r="H110" s="20" t="s">
        <v>6783</v>
      </c>
      <c r="I110" s="22">
        <f>3664*7</f>
        <v>25648</v>
      </c>
      <c r="J110" s="20" t="s">
        <v>6729</v>
      </c>
      <c r="K110" s="23">
        <f>3847*5</f>
        <v>19235</v>
      </c>
      <c r="L110" s="23">
        <f t="shared" si="19"/>
        <v>44883</v>
      </c>
      <c r="R110" s="23">
        <f>M110*Q110</f>
        <v>0</v>
      </c>
      <c r="U110" s="23">
        <v>1200</v>
      </c>
      <c r="V110" s="23">
        <f t="shared" si="20"/>
        <v>46083</v>
      </c>
      <c r="W110" s="36">
        <v>1</v>
      </c>
      <c r="X110" s="23">
        <f t="shared" si="21"/>
        <v>46083</v>
      </c>
      <c r="Y110" s="20" t="s">
        <v>661</v>
      </c>
      <c r="Z110" s="35" t="s">
        <v>6758</v>
      </c>
      <c r="AA110" s="35" t="s">
        <v>6861</v>
      </c>
      <c r="AB110" s="35" t="s">
        <v>6733</v>
      </c>
      <c r="AC110" s="35" t="s">
        <v>6862</v>
      </c>
      <c r="AD110" s="35" t="s">
        <v>6744</v>
      </c>
      <c r="AE110" s="37" t="str">
        <f t="shared" si="31"/>
        <v>52</v>
      </c>
      <c r="AG110" s="37">
        <f t="shared" si="22"/>
        <v>10557.615299999999</v>
      </c>
      <c r="AH110" s="37">
        <f t="shared" si="23"/>
        <v>2857.1460000000002</v>
      </c>
      <c r="AI110" s="37">
        <f t="shared" si="24"/>
        <v>668.20350000000008</v>
      </c>
      <c r="AJ110" s="37">
        <f t="shared" si="25"/>
        <v>566.82090000000005</v>
      </c>
      <c r="AK110" s="37">
        <f t="shared" si="26"/>
        <v>871.33736400000009</v>
      </c>
      <c r="AL110" s="23">
        <v>140.04</v>
      </c>
      <c r="AM110" s="23">
        <f t="shared" si="32"/>
        <v>140.04</v>
      </c>
      <c r="AN110" s="22">
        <v>79.2</v>
      </c>
      <c r="AO110" s="22">
        <f t="shared" si="27"/>
        <v>79.2</v>
      </c>
      <c r="AP110" s="23">
        <v>33444</v>
      </c>
      <c r="AQ110" s="23">
        <f t="shared" si="28"/>
        <v>34786.776599999997</v>
      </c>
      <c r="AR110" s="23">
        <f t="shared" si="33"/>
        <v>34786.776599999997</v>
      </c>
      <c r="AS110" s="23">
        <f t="shared" si="34"/>
        <v>35006.016599999995</v>
      </c>
      <c r="AU110" s="20">
        <f t="shared" si="35"/>
        <v>0</v>
      </c>
      <c r="AV110" s="37">
        <f t="shared" si="29"/>
        <v>50527.139664000002</v>
      </c>
      <c r="AW110" s="37">
        <f t="shared" si="36"/>
        <v>96610.139664000002</v>
      </c>
      <c r="BA110" s="20" t="str">
        <f t="shared" si="30"/>
        <v>1 - ADM_ASST_I - McCall-Ortega, Adair</v>
      </c>
    </row>
    <row r="111" spans="1:53" ht="12.75" customHeight="1" x14ac:dyDescent="0.25">
      <c r="A111" s="20">
        <v>109</v>
      </c>
      <c r="B111" s="20" t="s">
        <v>6725</v>
      </c>
      <c r="C111" s="20" t="s">
        <v>6999</v>
      </c>
      <c r="D111" s="20" t="s">
        <v>6802</v>
      </c>
      <c r="E111" s="21">
        <v>1</v>
      </c>
      <c r="F111" s="34"/>
      <c r="G111" s="35" t="s">
        <v>6740</v>
      </c>
      <c r="H111" s="20" t="s">
        <v>6741</v>
      </c>
      <c r="K111" s="23">
        <v>71910</v>
      </c>
      <c r="L111" s="23">
        <f t="shared" si="19"/>
        <v>71910</v>
      </c>
      <c r="Q111" s="26">
        <v>2.5000000000000001E-2</v>
      </c>
      <c r="R111" s="23">
        <f>L111*Q111</f>
        <v>1797.75</v>
      </c>
      <c r="U111" s="23">
        <v>600</v>
      </c>
      <c r="V111" s="23">
        <f t="shared" si="20"/>
        <v>74307.75</v>
      </c>
      <c r="W111" s="36">
        <v>1</v>
      </c>
      <c r="X111" s="23">
        <f t="shared" si="21"/>
        <v>74307.75</v>
      </c>
      <c r="Y111" s="20" t="s">
        <v>3090</v>
      </c>
      <c r="Z111" s="35" t="s">
        <v>6758</v>
      </c>
      <c r="AA111" s="35" t="s">
        <v>6761</v>
      </c>
      <c r="AB111" s="35" t="s">
        <v>6733</v>
      </c>
      <c r="AC111" s="35" t="s">
        <v>6762</v>
      </c>
      <c r="AD111" s="35" t="s">
        <v>6744</v>
      </c>
      <c r="AE111" s="37" t="str">
        <f t="shared" si="31"/>
        <v>52</v>
      </c>
      <c r="AG111" s="37">
        <f t="shared" si="22"/>
        <v>17023.905524999998</v>
      </c>
      <c r="AH111" s="37">
        <f t="shared" si="23"/>
        <v>4607.0805</v>
      </c>
      <c r="AI111" s="37">
        <f t="shared" si="24"/>
        <v>1077.4623750000001</v>
      </c>
      <c r="AJ111" s="37">
        <f t="shared" si="25"/>
        <v>913.98532499999999</v>
      </c>
      <c r="AK111" s="37">
        <f t="shared" si="26"/>
        <v>1405.010937</v>
      </c>
      <c r="AL111" s="23">
        <v>140.04</v>
      </c>
      <c r="AM111" s="23">
        <f t="shared" si="32"/>
        <v>140.04</v>
      </c>
      <c r="AN111" s="22">
        <v>79.2</v>
      </c>
      <c r="AO111" s="22">
        <f t="shared" si="27"/>
        <v>79.2</v>
      </c>
      <c r="AP111" s="23">
        <v>33444</v>
      </c>
      <c r="AQ111" s="23">
        <f t="shared" si="28"/>
        <v>34786.776599999997</v>
      </c>
      <c r="AR111" s="23">
        <f t="shared" si="33"/>
        <v>34786.776599999997</v>
      </c>
      <c r="AS111" s="23">
        <f t="shared" si="34"/>
        <v>35006.016599999995</v>
      </c>
      <c r="AU111" s="20">
        <f t="shared" si="35"/>
        <v>0</v>
      </c>
      <c r="AV111" s="37">
        <f t="shared" si="29"/>
        <v>60033.461261999997</v>
      </c>
      <c r="AW111" s="37">
        <f t="shared" si="36"/>
        <v>134341.211262</v>
      </c>
      <c r="BA111" s="20" t="str">
        <f t="shared" si="30"/>
        <v>1 - FA_SPEC - McGriff III, Nathaniel</v>
      </c>
    </row>
    <row r="112" spans="1:53" ht="12.75" hidden="1" customHeight="1" x14ac:dyDescent="0.25">
      <c r="A112" s="20">
        <v>110</v>
      </c>
      <c r="B112" s="20" t="s">
        <v>6725</v>
      </c>
      <c r="C112" s="20" t="s">
        <v>7000</v>
      </c>
      <c r="D112" s="20" t="s">
        <v>6780</v>
      </c>
      <c r="E112" s="21">
        <v>0.4</v>
      </c>
      <c r="F112" s="34">
        <v>44440</v>
      </c>
      <c r="G112" s="35" t="s">
        <v>6839</v>
      </c>
      <c r="H112" s="20" t="s">
        <v>6741</v>
      </c>
      <c r="K112" s="23">
        <f>54807*E112/12*10</f>
        <v>18269.000000000004</v>
      </c>
      <c r="L112" s="23">
        <f t="shared" si="19"/>
        <v>18269.000000000004</v>
      </c>
      <c r="U112" s="23">
        <v>600</v>
      </c>
      <c r="V112" s="23">
        <f t="shared" si="20"/>
        <v>18869.000000000004</v>
      </c>
      <c r="W112" s="36">
        <v>0.5</v>
      </c>
      <c r="X112" s="23">
        <f t="shared" si="21"/>
        <v>9434.5000000000018</v>
      </c>
      <c r="Y112" s="20" t="s">
        <v>3589</v>
      </c>
      <c r="Z112" s="35" t="s">
        <v>6731</v>
      </c>
      <c r="AA112" s="35" t="s">
        <v>7001</v>
      </c>
      <c r="AB112" s="35" t="s">
        <v>6733</v>
      </c>
      <c r="AC112" s="35" t="s">
        <v>7002</v>
      </c>
      <c r="AD112" s="35" t="s">
        <v>6744</v>
      </c>
      <c r="AE112" s="37" t="str">
        <f t="shared" si="31"/>
        <v>52</v>
      </c>
      <c r="AG112" s="37">
        <f t="shared" si="22"/>
        <v>2161.4439500000003</v>
      </c>
      <c r="AH112" s="37">
        <f t="shared" si="23"/>
        <v>584.93900000000008</v>
      </c>
      <c r="AI112" s="37">
        <f t="shared" si="24"/>
        <v>136.80025000000003</v>
      </c>
      <c r="AJ112" s="37">
        <f t="shared" si="25"/>
        <v>116.04435000000002</v>
      </c>
      <c r="AK112" s="37">
        <f t="shared" si="26"/>
        <v>178.38752600000004</v>
      </c>
      <c r="AL112" s="23">
        <v>140.04</v>
      </c>
      <c r="AM112" s="23">
        <f t="shared" si="32"/>
        <v>70.02</v>
      </c>
      <c r="AO112" s="22">
        <f t="shared" si="27"/>
        <v>0</v>
      </c>
      <c r="AP112" s="23">
        <v>0</v>
      </c>
      <c r="AQ112" s="23">
        <f t="shared" si="28"/>
        <v>0</v>
      </c>
      <c r="AR112" s="23">
        <f t="shared" si="33"/>
        <v>0</v>
      </c>
      <c r="AS112" s="23">
        <f t="shared" si="34"/>
        <v>70.02</v>
      </c>
      <c r="AU112" s="20">
        <f t="shared" si="35"/>
        <v>0</v>
      </c>
      <c r="AV112" s="37">
        <f t="shared" si="29"/>
        <v>3247.6350760000005</v>
      </c>
      <c r="AW112" s="37">
        <f t="shared" si="36"/>
        <v>12682.135076000002</v>
      </c>
      <c r="AX112" s="20" t="s">
        <v>7003</v>
      </c>
      <c r="AY112" s="20" t="s">
        <v>6671</v>
      </c>
      <c r="AZ112" s="20" t="s">
        <v>7004</v>
      </c>
      <c r="BA112" s="20" t="str">
        <f t="shared" si="30"/>
        <v>0.5 - ADM_ASSTII - Mejia Rosas Jasso, Angelica</v>
      </c>
    </row>
    <row r="113" spans="1:53" ht="12.75" hidden="1" customHeight="1" x14ac:dyDescent="0.25">
      <c r="A113" s="20">
        <v>111</v>
      </c>
      <c r="B113" s="20" t="s">
        <v>6725</v>
      </c>
      <c r="C113" s="20" t="s">
        <v>7000</v>
      </c>
      <c r="D113" s="20" t="s">
        <v>6780</v>
      </c>
      <c r="E113" s="21">
        <v>0.4</v>
      </c>
      <c r="F113" s="34">
        <v>44440</v>
      </c>
      <c r="G113" s="35" t="s">
        <v>6839</v>
      </c>
      <c r="H113" s="20" t="s">
        <v>6741</v>
      </c>
      <c r="K113" s="23">
        <f>54807*E113/12*10</f>
        <v>18269.000000000004</v>
      </c>
      <c r="L113" s="23">
        <f t="shared" si="19"/>
        <v>18269.000000000004</v>
      </c>
      <c r="U113" s="23">
        <v>600</v>
      </c>
      <c r="V113" s="23">
        <f t="shared" si="20"/>
        <v>18869.000000000004</v>
      </c>
      <c r="W113" s="36">
        <v>0.5</v>
      </c>
      <c r="X113" s="23">
        <f t="shared" si="21"/>
        <v>9434.5000000000018</v>
      </c>
      <c r="Y113" s="20" t="s">
        <v>3589</v>
      </c>
      <c r="Z113" s="35" t="s">
        <v>6731</v>
      </c>
      <c r="AA113" s="35" t="s">
        <v>7001</v>
      </c>
      <c r="AB113" s="35" t="s">
        <v>6733</v>
      </c>
      <c r="AC113" s="35" t="s">
        <v>7002</v>
      </c>
      <c r="AD113" s="35" t="s">
        <v>6744</v>
      </c>
      <c r="AE113" s="37" t="str">
        <f t="shared" si="31"/>
        <v>52</v>
      </c>
      <c r="AG113" s="37">
        <f t="shared" si="22"/>
        <v>2161.4439500000003</v>
      </c>
      <c r="AH113" s="37">
        <f t="shared" si="23"/>
        <v>584.93900000000008</v>
      </c>
      <c r="AI113" s="37">
        <f t="shared" si="24"/>
        <v>136.80025000000003</v>
      </c>
      <c r="AJ113" s="37">
        <f t="shared" si="25"/>
        <v>116.04435000000002</v>
      </c>
      <c r="AK113" s="37">
        <f t="shared" si="26"/>
        <v>178.38752600000004</v>
      </c>
      <c r="AL113" s="23">
        <v>140.04</v>
      </c>
      <c r="AM113" s="23">
        <f t="shared" si="32"/>
        <v>70.02</v>
      </c>
      <c r="AO113" s="22">
        <f t="shared" si="27"/>
        <v>0</v>
      </c>
      <c r="AP113" s="23">
        <v>0</v>
      </c>
      <c r="AQ113" s="23">
        <f t="shared" si="28"/>
        <v>0</v>
      </c>
      <c r="AR113" s="23">
        <f t="shared" si="33"/>
        <v>0</v>
      </c>
      <c r="AS113" s="23">
        <f t="shared" si="34"/>
        <v>70.02</v>
      </c>
      <c r="AU113" s="20">
        <f t="shared" si="35"/>
        <v>0</v>
      </c>
      <c r="AV113" s="37">
        <f t="shared" si="29"/>
        <v>3247.6350760000005</v>
      </c>
      <c r="AW113" s="37">
        <f t="shared" si="36"/>
        <v>12682.135076000002</v>
      </c>
      <c r="AX113" s="20" t="s">
        <v>7003</v>
      </c>
      <c r="AY113" s="20" t="s">
        <v>6671</v>
      </c>
      <c r="AZ113" s="20" t="s">
        <v>7004</v>
      </c>
      <c r="BA113" s="20" t="str">
        <f t="shared" si="30"/>
        <v>0.5 - ADM_ASSTII - Mejia Rosas Jasso, Angelica</v>
      </c>
    </row>
    <row r="114" spans="1:53" ht="12.75" hidden="1" customHeight="1" x14ac:dyDescent="0.25">
      <c r="A114" s="20">
        <v>112</v>
      </c>
      <c r="B114" s="20" t="s">
        <v>6725</v>
      </c>
      <c r="C114" s="20" t="s">
        <v>7005</v>
      </c>
      <c r="D114" s="20" t="s">
        <v>7006</v>
      </c>
      <c r="E114" s="21">
        <v>0.75</v>
      </c>
      <c r="G114" s="35" t="s">
        <v>6839</v>
      </c>
      <c r="H114" s="20" t="s">
        <v>6741</v>
      </c>
      <c r="K114" s="23">
        <f>54807*E114</f>
        <v>41105.25</v>
      </c>
      <c r="L114" s="23">
        <f t="shared" si="19"/>
        <v>41105.25</v>
      </c>
      <c r="Q114" s="26">
        <v>0.05</v>
      </c>
      <c r="R114" s="23">
        <f>L114*Q114</f>
        <v>2055.2625000000003</v>
      </c>
      <c r="T114" s="23">
        <f>M114*S114/12*8</f>
        <v>0</v>
      </c>
      <c r="U114" s="23">
        <v>1200</v>
      </c>
      <c r="V114" s="23">
        <f t="shared" si="20"/>
        <v>44360.512499999997</v>
      </c>
      <c r="W114" s="36">
        <v>1</v>
      </c>
      <c r="X114" s="23">
        <f t="shared" si="21"/>
        <v>44360.512499999997</v>
      </c>
      <c r="Y114" s="20" t="s">
        <v>5598</v>
      </c>
      <c r="Z114" s="35" t="s">
        <v>6731</v>
      </c>
      <c r="AA114" s="35" t="s">
        <v>6752</v>
      </c>
      <c r="AB114" s="35" t="s">
        <v>6733</v>
      </c>
      <c r="AC114" s="35" t="s">
        <v>6915</v>
      </c>
      <c r="AD114" s="35" t="s">
        <v>6744</v>
      </c>
      <c r="AE114" s="37" t="str">
        <f t="shared" si="31"/>
        <v>52</v>
      </c>
      <c r="AG114" s="37">
        <f t="shared" si="22"/>
        <v>10162.993413749999</v>
      </c>
      <c r="AH114" s="37">
        <f t="shared" si="23"/>
        <v>2750.3517749999996</v>
      </c>
      <c r="AI114" s="37">
        <f t="shared" si="24"/>
        <v>643.22743125</v>
      </c>
      <c r="AJ114" s="37">
        <f t="shared" si="25"/>
        <v>545.63430374999996</v>
      </c>
      <c r="AK114" s="37">
        <f t="shared" si="26"/>
        <v>838.76857035</v>
      </c>
      <c r="AL114" s="23">
        <v>140.04</v>
      </c>
      <c r="AM114" s="23">
        <f t="shared" si="32"/>
        <v>140.04</v>
      </c>
      <c r="AN114" s="22">
        <v>79.2</v>
      </c>
      <c r="AO114" s="22">
        <f t="shared" si="27"/>
        <v>79.2</v>
      </c>
      <c r="AP114" s="23">
        <v>13152</v>
      </c>
      <c r="AQ114" s="23">
        <f t="shared" si="28"/>
        <v>13680.052799999999</v>
      </c>
      <c r="AR114" s="23">
        <f t="shared" si="33"/>
        <v>13680.052799999999</v>
      </c>
      <c r="AS114" s="23">
        <f t="shared" si="34"/>
        <v>13899.292799999999</v>
      </c>
      <c r="AU114" s="20">
        <f t="shared" si="35"/>
        <v>0</v>
      </c>
      <c r="AV114" s="37">
        <f t="shared" si="29"/>
        <v>28840.268294099995</v>
      </c>
      <c r="AW114" s="37">
        <f t="shared" si="36"/>
        <v>73200.780794099992</v>
      </c>
      <c r="AX114" s="20" t="s">
        <v>6754</v>
      </c>
      <c r="AY114" s="20" t="s">
        <v>6916</v>
      </c>
      <c r="AZ114" s="20" t="s">
        <v>6917</v>
      </c>
      <c r="BA114" s="20" t="str">
        <f t="shared" si="30"/>
        <v>1 - STUSVSTECH - Mena, Julia A</v>
      </c>
    </row>
    <row r="115" spans="1:53" ht="12.75" hidden="1" customHeight="1" x14ac:dyDescent="0.25">
      <c r="A115" s="20">
        <v>113</v>
      </c>
      <c r="B115" s="20" t="s">
        <v>6725</v>
      </c>
      <c r="C115" s="20" t="s">
        <v>7007</v>
      </c>
      <c r="D115" s="20" t="s">
        <v>6780</v>
      </c>
      <c r="E115" s="21">
        <v>1</v>
      </c>
      <c r="G115" s="35" t="s">
        <v>6839</v>
      </c>
      <c r="H115" s="20" t="s">
        <v>6741</v>
      </c>
      <c r="K115" s="23">
        <v>54807</v>
      </c>
      <c r="L115" s="23">
        <f t="shared" si="19"/>
        <v>54807</v>
      </c>
      <c r="V115" s="23">
        <f t="shared" si="20"/>
        <v>54807</v>
      </c>
      <c r="W115" s="36">
        <v>1</v>
      </c>
      <c r="X115" s="23">
        <f t="shared" si="21"/>
        <v>54807</v>
      </c>
      <c r="Y115" s="20" t="s">
        <v>3808</v>
      </c>
      <c r="Z115" s="35" t="s">
        <v>6731</v>
      </c>
      <c r="AA115" s="35" t="s">
        <v>7008</v>
      </c>
      <c r="AB115" s="35" t="s">
        <v>6733</v>
      </c>
      <c r="AC115" s="35" t="s">
        <v>7009</v>
      </c>
      <c r="AD115" s="35" t="s">
        <v>6744</v>
      </c>
      <c r="AE115" s="37" t="str">
        <f t="shared" si="31"/>
        <v>52</v>
      </c>
      <c r="AG115" s="37">
        <f t="shared" si="22"/>
        <v>12556.2837</v>
      </c>
      <c r="AH115" s="37">
        <f t="shared" si="23"/>
        <v>3398.0340000000001</v>
      </c>
      <c r="AI115" s="37">
        <f t="shared" si="24"/>
        <v>794.70150000000001</v>
      </c>
      <c r="AJ115" s="37">
        <f t="shared" si="25"/>
        <v>674.12610000000006</v>
      </c>
      <c r="AK115" s="37">
        <f t="shared" si="26"/>
        <v>1036.2907560000001</v>
      </c>
      <c r="AL115" s="23">
        <v>140.04</v>
      </c>
      <c r="AM115" s="23">
        <f t="shared" si="32"/>
        <v>140.04</v>
      </c>
      <c r="AN115" s="22">
        <v>79.2</v>
      </c>
      <c r="AO115" s="22">
        <f t="shared" si="27"/>
        <v>79.2</v>
      </c>
      <c r="AP115" s="23">
        <v>23232</v>
      </c>
      <c r="AQ115" s="23">
        <f t="shared" si="28"/>
        <v>24164.764800000001</v>
      </c>
      <c r="AR115" s="23">
        <f t="shared" si="33"/>
        <v>24164.764800000001</v>
      </c>
      <c r="AS115" s="23">
        <f t="shared" si="34"/>
        <v>24384.004800000002</v>
      </c>
      <c r="AT115" s="37">
        <v>2400</v>
      </c>
      <c r="AU115" s="20">
        <f t="shared" si="35"/>
        <v>2400</v>
      </c>
      <c r="AV115" s="37">
        <f t="shared" si="29"/>
        <v>45243.440856000001</v>
      </c>
      <c r="AW115" s="37">
        <f t="shared" si="36"/>
        <v>100050.440856</v>
      </c>
      <c r="AX115" s="20" t="s">
        <v>6675</v>
      </c>
      <c r="AY115" s="20" t="s">
        <v>7010</v>
      </c>
      <c r="AZ115" s="20" t="s">
        <v>7011</v>
      </c>
      <c r="BA115" s="20" t="str">
        <f t="shared" si="30"/>
        <v>1 - ADM_ASSTII - Mendoza, Rocio</v>
      </c>
    </row>
    <row r="116" spans="1:53" ht="12.75" hidden="1" customHeight="1" x14ac:dyDescent="0.25">
      <c r="A116" s="20">
        <v>114</v>
      </c>
      <c r="B116" s="20" t="s">
        <v>6725</v>
      </c>
      <c r="C116" s="20" t="s">
        <v>7012</v>
      </c>
      <c r="D116" s="20" t="s">
        <v>6767</v>
      </c>
      <c r="E116" s="21">
        <v>1</v>
      </c>
      <c r="F116" s="34">
        <v>44682</v>
      </c>
      <c r="G116" s="35" t="s">
        <v>6757</v>
      </c>
      <c r="H116" s="20" t="s">
        <v>6729</v>
      </c>
      <c r="I116" s="22">
        <f>4804*10</f>
        <v>48040</v>
      </c>
      <c r="J116" s="20" t="s">
        <v>6730</v>
      </c>
      <c r="K116" s="23">
        <f>5044*2</f>
        <v>10088</v>
      </c>
      <c r="L116" s="23">
        <f t="shared" si="19"/>
        <v>58128</v>
      </c>
      <c r="U116" s="23">
        <v>600</v>
      </c>
      <c r="V116" s="23">
        <f t="shared" si="20"/>
        <v>58728</v>
      </c>
      <c r="W116" s="36">
        <v>0.4</v>
      </c>
      <c r="X116" s="23">
        <f t="shared" si="21"/>
        <v>23491.200000000001</v>
      </c>
      <c r="Y116" s="20" t="s">
        <v>4021</v>
      </c>
      <c r="Z116" s="35" t="s">
        <v>6731</v>
      </c>
      <c r="AA116" s="35" t="s">
        <v>6772</v>
      </c>
      <c r="AB116" s="35" t="s">
        <v>6733</v>
      </c>
      <c r="AC116" s="35" t="s">
        <v>7013</v>
      </c>
      <c r="AD116" s="35" t="s">
        <v>6744</v>
      </c>
      <c r="AE116" s="37" t="str">
        <f t="shared" si="31"/>
        <v>52</v>
      </c>
      <c r="AG116" s="37">
        <f t="shared" si="22"/>
        <v>5381.83392</v>
      </c>
      <c r="AH116" s="37">
        <f t="shared" si="23"/>
        <v>1456.4544000000001</v>
      </c>
      <c r="AI116" s="37">
        <f t="shared" si="24"/>
        <v>340.62240000000003</v>
      </c>
      <c r="AJ116" s="37">
        <f t="shared" si="25"/>
        <v>288.94175999999999</v>
      </c>
      <c r="AK116" s="37">
        <f t="shared" si="26"/>
        <v>444.17160960000007</v>
      </c>
      <c r="AL116" s="23">
        <v>140.04</v>
      </c>
      <c r="AM116" s="23">
        <f t="shared" si="32"/>
        <v>56.015999999999998</v>
      </c>
      <c r="AN116" s="22">
        <v>79.2</v>
      </c>
      <c r="AO116" s="22">
        <f t="shared" si="27"/>
        <v>31.680000000000003</v>
      </c>
      <c r="AP116" s="23">
        <v>25452.6</v>
      </c>
      <c r="AQ116" s="23">
        <f t="shared" si="28"/>
        <v>26474.521889999996</v>
      </c>
      <c r="AR116" s="23">
        <f t="shared" si="33"/>
        <v>10589.808755999999</v>
      </c>
      <c r="AS116" s="23">
        <f t="shared" si="34"/>
        <v>10677.504755999998</v>
      </c>
      <c r="AU116" s="20">
        <f t="shared" si="35"/>
        <v>0</v>
      </c>
      <c r="AV116" s="37">
        <f t="shared" si="29"/>
        <v>18589.528845599998</v>
      </c>
      <c r="AW116" s="37">
        <f t="shared" si="36"/>
        <v>42080.728845599995</v>
      </c>
      <c r="AX116" s="20" t="s">
        <v>6675</v>
      </c>
      <c r="AY116" s="20" t="s">
        <v>7014</v>
      </c>
      <c r="AZ116" s="20" t="s">
        <v>7015</v>
      </c>
      <c r="BA116" s="20" t="str">
        <f t="shared" si="30"/>
        <v>0.4 - PROGASST_I - Meneses, Anely</v>
      </c>
    </row>
    <row r="117" spans="1:53" ht="12.75" hidden="1" customHeight="1" x14ac:dyDescent="0.25">
      <c r="A117" s="20">
        <v>115</v>
      </c>
      <c r="B117" s="20" t="s">
        <v>6725</v>
      </c>
      <c r="C117" s="20" t="s">
        <v>7012</v>
      </c>
      <c r="D117" s="20" t="s">
        <v>6767</v>
      </c>
      <c r="E117" s="21">
        <v>1</v>
      </c>
      <c r="F117" s="34">
        <v>44682</v>
      </c>
      <c r="G117" s="35" t="s">
        <v>6757</v>
      </c>
      <c r="H117" s="20" t="s">
        <v>6729</v>
      </c>
      <c r="I117" s="22">
        <f>4804*10</f>
        <v>48040</v>
      </c>
      <c r="J117" s="20" t="s">
        <v>6730</v>
      </c>
      <c r="K117" s="23">
        <f>5044*2</f>
        <v>10088</v>
      </c>
      <c r="L117" s="23">
        <f t="shared" si="19"/>
        <v>58128</v>
      </c>
      <c r="U117" s="23">
        <v>600</v>
      </c>
      <c r="V117" s="23">
        <f t="shared" si="20"/>
        <v>58728</v>
      </c>
      <c r="W117" s="36">
        <v>0.1</v>
      </c>
      <c r="X117" s="23">
        <f t="shared" si="21"/>
        <v>5872.8</v>
      </c>
      <c r="Y117" s="20" t="s">
        <v>4090</v>
      </c>
      <c r="Z117" s="35" t="s">
        <v>6731</v>
      </c>
      <c r="AA117" s="35" t="s">
        <v>6772</v>
      </c>
      <c r="AB117" s="35" t="s">
        <v>6733</v>
      </c>
      <c r="AC117" s="35" t="s">
        <v>7016</v>
      </c>
      <c r="AD117" s="35" t="s">
        <v>6744</v>
      </c>
      <c r="AE117" s="37" t="str">
        <f t="shared" si="31"/>
        <v>52</v>
      </c>
      <c r="AG117" s="37">
        <f t="shared" si="22"/>
        <v>1345.45848</v>
      </c>
      <c r="AH117" s="37">
        <f t="shared" si="23"/>
        <v>364.11360000000002</v>
      </c>
      <c r="AI117" s="37">
        <f t="shared" si="24"/>
        <v>85.155600000000007</v>
      </c>
      <c r="AJ117" s="37">
        <f t="shared" si="25"/>
        <v>72.235439999999997</v>
      </c>
      <c r="AK117" s="37">
        <f t="shared" si="26"/>
        <v>111.04290240000002</v>
      </c>
      <c r="AL117" s="23">
        <v>140.04</v>
      </c>
      <c r="AM117" s="23">
        <f t="shared" si="32"/>
        <v>14.004</v>
      </c>
      <c r="AN117" s="22">
        <v>79.2</v>
      </c>
      <c r="AO117" s="22">
        <f t="shared" si="27"/>
        <v>7.9200000000000008</v>
      </c>
      <c r="AP117" s="23">
        <v>25452.6</v>
      </c>
      <c r="AQ117" s="23">
        <f t="shared" si="28"/>
        <v>26474.521889999996</v>
      </c>
      <c r="AR117" s="23">
        <f t="shared" si="33"/>
        <v>2647.4521889999996</v>
      </c>
      <c r="AS117" s="23">
        <f t="shared" si="34"/>
        <v>2669.3761889999996</v>
      </c>
      <c r="AU117" s="20">
        <f t="shared" si="35"/>
        <v>0</v>
      </c>
      <c r="AV117" s="37">
        <f t="shared" si="29"/>
        <v>4647.3822113999995</v>
      </c>
      <c r="AW117" s="37">
        <f t="shared" si="36"/>
        <v>10520.182211399999</v>
      </c>
      <c r="AX117" s="20" t="s">
        <v>6675</v>
      </c>
      <c r="AY117" s="20" t="s">
        <v>6676</v>
      </c>
      <c r="AZ117" s="20" t="s">
        <v>7017</v>
      </c>
      <c r="BA117" s="20" t="str">
        <f t="shared" si="30"/>
        <v>0.1 - PROGASST_I - Meneses, Anely</v>
      </c>
    </row>
    <row r="118" spans="1:53" ht="12.75" hidden="1" customHeight="1" x14ac:dyDescent="0.25">
      <c r="A118" s="20">
        <v>116</v>
      </c>
      <c r="B118" s="20" t="s">
        <v>6725</v>
      </c>
      <c r="C118" s="20" t="s">
        <v>7012</v>
      </c>
      <c r="D118" s="20" t="s">
        <v>6767</v>
      </c>
      <c r="E118" s="21">
        <v>1</v>
      </c>
      <c r="F118" s="34">
        <v>44682</v>
      </c>
      <c r="G118" s="35" t="s">
        <v>6757</v>
      </c>
      <c r="H118" s="20" t="s">
        <v>6729</v>
      </c>
      <c r="I118" s="22">
        <f>4804*10</f>
        <v>48040</v>
      </c>
      <c r="J118" s="20" t="s">
        <v>6730</v>
      </c>
      <c r="K118" s="23">
        <f>5044*2</f>
        <v>10088</v>
      </c>
      <c r="L118" s="23">
        <f t="shared" si="19"/>
        <v>58128</v>
      </c>
      <c r="U118" s="23">
        <v>600</v>
      </c>
      <c r="V118" s="23">
        <f t="shared" si="20"/>
        <v>58728</v>
      </c>
      <c r="W118" s="36">
        <v>0.5</v>
      </c>
      <c r="X118" s="23">
        <f t="shared" si="21"/>
        <v>29364</v>
      </c>
      <c r="Y118" s="20" t="s">
        <v>4140</v>
      </c>
      <c r="Z118" s="35" t="s">
        <v>6731</v>
      </c>
      <c r="AA118" s="35" t="s">
        <v>6772</v>
      </c>
      <c r="AB118" s="35" t="s">
        <v>6733</v>
      </c>
      <c r="AC118" s="35" t="s">
        <v>6849</v>
      </c>
      <c r="AD118" s="35" t="s">
        <v>6744</v>
      </c>
      <c r="AE118" s="37" t="str">
        <f t="shared" si="31"/>
        <v>52</v>
      </c>
      <c r="AG118" s="37">
        <f t="shared" si="22"/>
        <v>6727.2924000000003</v>
      </c>
      <c r="AH118" s="37">
        <f t="shared" si="23"/>
        <v>1820.568</v>
      </c>
      <c r="AI118" s="37">
        <f t="shared" si="24"/>
        <v>425.77800000000002</v>
      </c>
      <c r="AJ118" s="37">
        <f t="shared" si="25"/>
        <v>361.17720000000003</v>
      </c>
      <c r="AK118" s="37">
        <f t="shared" si="26"/>
        <v>555.21451200000001</v>
      </c>
      <c r="AL118" s="23">
        <v>140.04</v>
      </c>
      <c r="AM118" s="23">
        <f t="shared" si="32"/>
        <v>70.02</v>
      </c>
      <c r="AN118" s="22">
        <v>79.2</v>
      </c>
      <c r="AO118" s="22">
        <f t="shared" si="27"/>
        <v>39.6</v>
      </c>
      <c r="AP118" s="23">
        <v>25452.6</v>
      </c>
      <c r="AQ118" s="23">
        <f t="shared" si="28"/>
        <v>26474.521889999996</v>
      </c>
      <c r="AR118" s="23">
        <f t="shared" si="33"/>
        <v>13237.260944999998</v>
      </c>
      <c r="AS118" s="23">
        <f t="shared" si="34"/>
        <v>13346.880944999999</v>
      </c>
      <c r="AU118" s="20">
        <f t="shared" si="35"/>
        <v>0</v>
      </c>
      <c r="AV118" s="37">
        <f t="shared" si="29"/>
        <v>23236.911056999998</v>
      </c>
      <c r="AW118" s="37">
        <f t="shared" si="36"/>
        <v>52600.911056999998</v>
      </c>
      <c r="AX118" s="20" t="s">
        <v>6850</v>
      </c>
      <c r="AY118" s="20" t="s">
        <v>6851</v>
      </c>
      <c r="AZ118" s="20" t="s">
        <v>6852</v>
      </c>
      <c r="BA118" s="20" t="str">
        <f t="shared" si="30"/>
        <v>0.5 - PROGASST_I - Meneses, Anely</v>
      </c>
    </row>
    <row r="119" spans="1:53" ht="12.75" customHeight="1" x14ac:dyDescent="0.25">
      <c r="A119" s="20">
        <v>117</v>
      </c>
      <c r="B119" s="20" t="s">
        <v>6725</v>
      </c>
      <c r="C119" s="20" t="s">
        <v>7018</v>
      </c>
      <c r="D119" s="20" t="s">
        <v>6795</v>
      </c>
      <c r="E119" s="21">
        <v>1</v>
      </c>
      <c r="G119" s="35" t="s">
        <v>6796</v>
      </c>
      <c r="H119" s="20" t="s">
        <v>6741</v>
      </c>
      <c r="K119" s="23">
        <v>52165</v>
      </c>
      <c r="L119" s="23">
        <f t="shared" si="19"/>
        <v>52165</v>
      </c>
      <c r="Q119" s="26">
        <v>0.1</v>
      </c>
      <c r="R119" s="23">
        <f>L119*Q119</f>
        <v>5216.5</v>
      </c>
      <c r="V119" s="23">
        <f t="shared" si="20"/>
        <v>57381.5</v>
      </c>
      <c r="W119" s="36">
        <v>1</v>
      </c>
      <c r="X119" s="23">
        <f t="shared" si="21"/>
        <v>57381.5</v>
      </c>
      <c r="Y119" s="20" t="s">
        <v>3056</v>
      </c>
      <c r="Z119" s="35" t="s">
        <v>6758</v>
      </c>
      <c r="AA119" s="35" t="s">
        <v>6759</v>
      </c>
      <c r="AB119" s="35" t="s">
        <v>6733</v>
      </c>
      <c r="AC119" s="35" t="s">
        <v>6760</v>
      </c>
      <c r="AD119" s="35" t="s">
        <v>6744</v>
      </c>
      <c r="AE119" s="37" t="str">
        <f t="shared" si="31"/>
        <v>52</v>
      </c>
      <c r="AG119" s="37">
        <f t="shared" si="22"/>
        <v>13146.101650000001</v>
      </c>
      <c r="AH119" s="37">
        <f t="shared" si="23"/>
        <v>3557.6529999999998</v>
      </c>
      <c r="AI119" s="37">
        <f t="shared" si="24"/>
        <v>832.03174999999999</v>
      </c>
      <c r="AJ119" s="37">
        <f t="shared" si="25"/>
        <v>705.79245000000003</v>
      </c>
      <c r="AK119" s="37">
        <f t="shared" si="26"/>
        <v>1084.9694020000002</v>
      </c>
      <c r="AL119" s="23">
        <v>140.04</v>
      </c>
      <c r="AM119" s="23">
        <f t="shared" si="32"/>
        <v>140.04</v>
      </c>
      <c r="AN119" s="22">
        <v>79.2</v>
      </c>
      <c r="AO119" s="22">
        <f t="shared" si="27"/>
        <v>79.2</v>
      </c>
      <c r="AP119" s="23">
        <v>25452.6</v>
      </c>
      <c r="AQ119" s="23">
        <f t="shared" si="28"/>
        <v>26474.521889999996</v>
      </c>
      <c r="AR119" s="23">
        <f t="shared" si="33"/>
        <v>26474.521889999996</v>
      </c>
      <c r="AS119" s="23">
        <f t="shared" si="34"/>
        <v>26693.761889999998</v>
      </c>
      <c r="AU119" s="20">
        <f t="shared" si="35"/>
        <v>0</v>
      </c>
      <c r="AV119" s="37">
        <f t="shared" si="29"/>
        <v>46020.310141999995</v>
      </c>
      <c r="AW119" s="37">
        <f t="shared" si="36"/>
        <v>103401.810142</v>
      </c>
      <c r="BA119" s="20" t="str">
        <f t="shared" si="30"/>
        <v>1 - AR_TECH - Molina, Annett</v>
      </c>
    </row>
    <row r="120" spans="1:53" ht="12.75" customHeight="1" x14ac:dyDescent="0.25">
      <c r="A120" s="20">
        <v>118</v>
      </c>
      <c r="B120" s="20" t="s">
        <v>6725</v>
      </c>
      <c r="C120" s="20" t="s">
        <v>7019</v>
      </c>
      <c r="D120" s="56" t="s">
        <v>7020</v>
      </c>
      <c r="E120" s="21">
        <v>1</v>
      </c>
      <c r="G120" s="35" t="s">
        <v>7021</v>
      </c>
      <c r="H120" s="20" t="s">
        <v>6741</v>
      </c>
      <c r="K120" s="23">
        <v>73708</v>
      </c>
      <c r="L120" s="23">
        <f t="shared" si="19"/>
        <v>73708</v>
      </c>
      <c r="Q120" s="26">
        <v>0.1</v>
      </c>
      <c r="R120" s="23">
        <f>L120*Q120</f>
        <v>7370.8</v>
      </c>
      <c r="U120" s="23">
        <v>1800</v>
      </c>
      <c r="V120" s="23">
        <f t="shared" si="20"/>
        <v>82878.8</v>
      </c>
      <c r="W120" s="36">
        <v>1</v>
      </c>
      <c r="X120" s="23">
        <f t="shared" si="21"/>
        <v>82878.8</v>
      </c>
      <c r="Y120" s="20" t="s">
        <v>3290</v>
      </c>
      <c r="Z120" s="35" t="s">
        <v>6758</v>
      </c>
      <c r="AA120" s="35" t="s">
        <v>6777</v>
      </c>
      <c r="AB120" s="35" t="s">
        <v>6733</v>
      </c>
      <c r="AC120" s="35" t="s">
        <v>6778</v>
      </c>
      <c r="AD120" s="35" t="s">
        <v>6744</v>
      </c>
      <c r="AE120" s="37" t="str">
        <f t="shared" si="31"/>
        <v>52</v>
      </c>
      <c r="AG120" s="37">
        <f t="shared" si="22"/>
        <v>18987.533080000001</v>
      </c>
      <c r="AH120" s="37">
        <f t="shared" si="23"/>
        <v>5138.4856</v>
      </c>
      <c r="AI120" s="37">
        <f t="shared" si="24"/>
        <v>1201.7426</v>
      </c>
      <c r="AJ120" s="37">
        <f t="shared" si="25"/>
        <v>1019.4092400000001</v>
      </c>
      <c r="AK120" s="37">
        <f t="shared" si="26"/>
        <v>1567.0723504000002</v>
      </c>
      <c r="AL120" s="23">
        <v>140.04</v>
      </c>
      <c r="AM120" s="23">
        <f t="shared" si="32"/>
        <v>140.04</v>
      </c>
      <c r="AN120" s="22">
        <v>79.2</v>
      </c>
      <c r="AO120" s="22">
        <f t="shared" si="27"/>
        <v>79.2</v>
      </c>
      <c r="AP120" s="23">
        <v>33444</v>
      </c>
      <c r="AQ120" s="23">
        <f t="shared" si="28"/>
        <v>34786.776599999997</v>
      </c>
      <c r="AR120" s="23">
        <f t="shared" si="33"/>
        <v>34786.776599999997</v>
      </c>
      <c r="AS120" s="23">
        <f t="shared" si="34"/>
        <v>35006.016599999995</v>
      </c>
      <c r="AU120" s="20">
        <f t="shared" si="35"/>
        <v>0</v>
      </c>
      <c r="AV120" s="37">
        <f t="shared" si="29"/>
        <v>62920.259470400008</v>
      </c>
      <c r="AW120" s="37">
        <f t="shared" si="36"/>
        <v>145799.05947040001</v>
      </c>
      <c r="BA120" s="20" t="str">
        <f t="shared" si="30"/>
        <v>1 - ADMIN ASSIST IV - Montelongo, Juana</v>
      </c>
    </row>
    <row r="121" spans="1:53" s="39" customFormat="1" ht="12.75" customHeight="1" x14ac:dyDescent="0.25">
      <c r="A121" s="39">
        <v>120</v>
      </c>
      <c r="B121" s="39" t="s">
        <v>6725</v>
      </c>
      <c r="C121" s="40" t="s">
        <v>7615</v>
      </c>
      <c r="D121" s="94" t="s">
        <v>7022</v>
      </c>
      <c r="E121" s="41">
        <v>1</v>
      </c>
      <c r="G121" s="43" t="s">
        <v>7023</v>
      </c>
      <c r="H121" s="40" t="s">
        <v>6782</v>
      </c>
      <c r="I121" s="44"/>
      <c r="K121" s="45">
        <v>48556</v>
      </c>
      <c r="L121" s="45">
        <f t="shared" si="19"/>
        <v>48556</v>
      </c>
      <c r="M121" s="45"/>
      <c r="N121" s="45"/>
      <c r="O121" s="46"/>
      <c r="P121" s="45"/>
      <c r="Q121" s="47"/>
      <c r="R121" s="45"/>
      <c r="S121" s="47"/>
      <c r="T121" s="45"/>
      <c r="U121" s="45"/>
      <c r="V121" s="45">
        <f t="shared" si="20"/>
        <v>48556</v>
      </c>
      <c r="W121" s="48">
        <v>1</v>
      </c>
      <c r="X121" s="45">
        <f t="shared" si="21"/>
        <v>48556</v>
      </c>
      <c r="Y121" s="39" t="s">
        <v>2321</v>
      </c>
      <c r="Z121" s="88" t="s">
        <v>6758</v>
      </c>
      <c r="AA121" s="88" t="s">
        <v>6742</v>
      </c>
      <c r="AB121" s="88" t="s">
        <v>6974</v>
      </c>
      <c r="AC121" s="88" t="s">
        <v>6997</v>
      </c>
      <c r="AD121" s="88" t="s">
        <v>6735</v>
      </c>
      <c r="AE121" s="49" t="str">
        <f t="shared" si="31"/>
        <v>52</v>
      </c>
      <c r="AG121" s="49">
        <f t="shared" si="22"/>
        <v>11124.179599999999</v>
      </c>
      <c r="AH121" s="49">
        <f t="shared" si="23"/>
        <v>3010.4719999999998</v>
      </c>
      <c r="AI121" s="49">
        <f t="shared" si="24"/>
        <v>704.06200000000001</v>
      </c>
      <c r="AJ121" s="49">
        <f t="shared" si="25"/>
        <v>597.23879999999997</v>
      </c>
      <c r="AK121" s="49">
        <f t="shared" si="26"/>
        <v>918.09684800000002</v>
      </c>
      <c r="AL121" s="45">
        <v>140.04</v>
      </c>
      <c r="AM121" s="45">
        <f t="shared" si="32"/>
        <v>140.04</v>
      </c>
      <c r="AN121" s="44">
        <v>79.2</v>
      </c>
      <c r="AO121" s="44">
        <f t="shared" si="27"/>
        <v>79.2</v>
      </c>
      <c r="AP121" s="45">
        <v>25452.6</v>
      </c>
      <c r="AQ121" s="45">
        <f t="shared" si="28"/>
        <v>26474.521889999996</v>
      </c>
      <c r="AR121" s="45">
        <f t="shared" si="33"/>
        <v>26474.521889999996</v>
      </c>
      <c r="AS121" s="45">
        <f t="shared" si="34"/>
        <v>26693.761889999998</v>
      </c>
      <c r="AU121" s="39">
        <f t="shared" si="35"/>
        <v>0</v>
      </c>
      <c r="AV121" s="49">
        <f t="shared" si="29"/>
        <v>43047.81113799999</v>
      </c>
      <c r="AW121" s="49">
        <f t="shared" si="36"/>
        <v>91603.81113799999</v>
      </c>
      <c r="BA121" s="39" t="str">
        <f t="shared" si="30"/>
        <v>1 - INSTR_ASII - To be hired - VACANT (Montes)</v>
      </c>
    </row>
    <row r="122" spans="1:53" s="56" customFormat="1" ht="12.75" hidden="1" customHeight="1" x14ac:dyDescent="0.25">
      <c r="A122" s="56">
        <v>121</v>
      </c>
      <c r="B122" s="56" t="s">
        <v>6725</v>
      </c>
      <c r="C122" s="50" t="s">
        <v>7024</v>
      </c>
      <c r="D122" s="56" t="s">
        <v>7025</v>
      </c>
      <c r="E122" s="57">
        <v>1</v>
      </c>
      <c r="F122" s="58">
        <v>44686</v>
      </c>
      <c r="G122" s="59" t="s">
        <v>6903</v>
      </c>
      <c r="H122" s="50" t="s">
        <v>6783</v>
      </c>
      <c r="I122" s="60">
        <v>45750</v>
      </c>
      <c r="J122" s="56" t="s">
        <v>6729</v>
      </c>
      <c r="K122" s="61">
        <v>9608</v>
      </c>
      <c r="L122" s="23">
        <f t="shared" si="19"/>
        <v>55358</v>
      </c>
      <c r="M122" s="61"/>
      <c r="N122" s="61"/>
      <c r="O122" s="62"/>
      <c r="P122" s="61"/>
      <c r="Q122" s="63"/>
      <c r="R122" s="61"/>
      <c r="S122" s="63"/>
      <c r="T122" s="61"/>
      <c r="U122" s="61"/>
      <c r="V122" s="23">
        <f t="shared" si="20"/>
        <v>55358</v>
      </c>
      <c r="W122" s="64">
        <v>1</v>
      </c>
      <c r="X122" s="61">
        <f t="shared" si="21"/>
        <v>55358</v>
      </c>
      <c r="Y122" s="56" t="s">
        <v>5650</v>
      </c>
      <c r="Z122" s="55" t="s">
        <v>6731</v>
      </c>
      <c r="AA122" s="55" t="s">
        <v>6752</v>
      </c>
      <c r="AB122" s="55" t="s">
        <v>6733</v>
      </c>
      <c r="AC122" s="55" t="s">
        <v>7026</v>
      </c>
      <c r="AD122" s="55" t="s">
        <v>6735</v>
      </c>
      <c r="AE122" s="37" t="str">
        <f t="shared" si="31"/>
        <v>52</v>
      </c>
      <c r="AG122" s="65">
        <f t="shared" si="22"/>
        <v>12682.5178</v>
      </c>
      <c r="AH122" s="65">
        <f t="shared" si="23"/>
        <v>3432.1959999999999</v>
      </c>
      <c r="AI122" s="65">
        <f t="shared" si="24"/>
        <v>802.69100000000003</v>
      </c>
      <c r="AJ122" s="65">
        <f t="shared" si="25"/>
        <v>680.90340000000003</v>
      </c>
      <c r="AK122" s="65">
        <f t="shared" si="26"/>
        <v>1046.7090640000001</v>
      </c>
      <c r="AL122" s="61"/>
      <c r="AM122" s="23">
        <f t="shared" si="32"/>
        <v>0</v>
      </c>
      <c r="AN122" s="60"/>
      <c r="AO122" s="22">
        <f t="shared" si="27"/>
        <v>0</v>
      </c>
      <c r="AP122" s="61"/>
      <c r="AQ122" s="23">
        <f t="shared" si="28"/>
        <v>0</v>
      </c>
      <c r="AR122" s="23">
        <f t="shared" si="33"/>
        <v>0</v>
      </c>
      <c r="AS122" s="23">
        <f t="shared" si="34"/>
        <v>0</v>
      </c>
      <c r="AU122" s="20">
        <f t="shared" si="35"/>
        <v>0</v>
      </c>
      <c r="AV122" s="37">
        <f t="shared" si="29"/>
        <v>18645.017263999998</v>
      </c>
      <c r="AW122" s="37">
        <f t="shared" si="36"/>
        <v>74003.017263999995</v>
      </c>
      <c r="AX122" s="56" t="s">
        <v>6754</v>
      </c>
      <c r="AY122" s="56" t="s">
        <v>7027</v>
      </c>
      <c r="AZ122" s="56" t="s">
        <v>7028</v>
      </c>
      <c r="BA122" s="20" t="str">
        <f t="shared" si="30"/>
        <v>1 - PROG ASST I - Montes Mariz, Jocelyn</v>
      </c>
    </row>
    <row r="123" spans="1:53" s="39" customFormat="1" ht="12.75" hidden="1" customHeight="1" x14ac:dyDescent="0.25">
      <c r="A123" s="39">
        <v>121</v>
      </c>
      <c r="B123" s="39" t="s">
        <v>6725</v>
      </c>
      <c r="C123" s="39" t="s">
        <v>7610</v>
      </c>
      <c r="D123" s="39" t="s">
        <v>6756</v>
      </c>
      <c r="E123" s="41">
        <v>1</v>
      </c>
      <c r="F123" s="42">
        <v>44531</v>
      </c>
      <c r="G123" s="43" t="s">
        <v>6757</v>
      </c>
      <c r="H123" s="39" t="s">
        <v>6729</v>
      </c>
      <c r="I123" s="44">
        <f>4804*5</f>
        <v>24020</v>
      </c>
      <c r="J123" s="39" t="s">
        <v>6730</v>
      </c>
      <c r="K123" s="45">
        <f>5044*7</f>
        <v>35308</v>
      </c>
      <c r="L123" s="45">
        <f t="shared" si="19"/>
        <v>59328</v>
      </c>
      <c r="M123" s="45"/>
      <c r="N123" s="45"/>
      <c r="O123" s="46"/>
      <c r="P123" s="45"/>
      <c r="Q123" s="47"/>
      <c r="R123" s="45"/>
      <c r="S123" s="47"/>
      <c r="T123" s="45"/>
      <c r="U123" s="45"/>
      <c r="V123" s="45">
        <f t="shared" si="20"/>
        <v>59328</v>
      </c>
      <c r="W123" s="48">
        <v>1</v>
      </c>
      <c r="X123" s="45">
        <f t="shared" si="21"/>
        <v>59328</v>
      </c>
      <c r="Y123" s="39" t="s">
        <v>3343</v>
      </c>
      <c r="Z123" s="43" t="s">
        <v>6731</v>
      </c>
      <c r="AA123" s="43" t="s">
        <v>6954</v>
      </c>
      <c r="AB123" s="43" t="s">
        <v>6733</v>
      </c>
      <c r="AC123" s="43" t="s">
        <v>6955</v>
      </c>
      <c r="AD123" s="43" t="s">
        <v>6744</v>
      </c>
      <c r="AE123" s="49" t="str">
        <f t="shared" si="31"/>
        <v>52</v>
      </c>
      <c r="AG123" s="49">
        <f t="shared" si="22"/>
        <v>13592.0448</v>
      </c>
      <c r="AH123" s="49">
        <f t="shared" si="23"/>
        <v>3678.3359999999998</v>
      </c>
      <c r="AI123" s="49">
        <f t="shared" si="24"/>
        <v>860.25600000000009</v>
      </c>
      <c r="AJ123" s="49">
        <f t="shared" si="25"/>
        <v>729.73440000000005</v>
      </c>
      <c r="AK123" s="49">
        <f t="shared" si="26"/>
        <v>1121.7738240000001</v>
      </c>
      <c r="AL123" s="45">
        <v>140.04</v>
      </c>
      <c r="AM123" s="45">
        <f t="shared" si="32"/>
        <v>140.04</v>
      </c>
      <c r="AN123" s="44">
        <v>79.2</v>
      </c>
      <c r="AO123" s="44">
        <f t="shared" si="27"/>
        <v>79.2</v>
      </c>
      <c r="AP123" s="45">
        <v>33444</v>
      </c>
      <c r="AQ123" s="45">
        <f t="shared" si="28"/>
        <v>34786.776599999997</v>
      </c>
      <c r="AR123" s="45">
        <f t="shared" si="33"/>
        <v>34786.776599999997</v>
      </c>
      <c r="AS123" s="45">
        <f t="shared" si="34"/>
        <v>35006.016599999995</v>
      </c>
      <c r="AU123" s="39">
        <f t="shared" si="35"/>
        <v>0</v>
      </c>
      <c r="AV123" s="49">
        <f t="shared" si="29"/>
        <v>54988.161624</v>
      </c>
      <c r="AW123" s="49">
        <f t="shared" si="36"/>
        <v>114316.161624</v>
      </c>
      <c r="AX123" s="39" t="s">
        <v>6850</v>
      </c>
      <c r="AY123" s="39" t="s">
        <v>6851</v>
      </c>
      <c r="AZ123" s="39" t="s">
        <v>6956</v>
      </c>
      <c r="BA123" s="39" t="str">
        <f t="shared" si="30"/>
        <v>1 - ESERV_SPEC - VACANT (Navarro, Monica)</v>
      </c>
    </row>
    <row r="124" spans="1:53" ht="12.75" customHeight="1" x14ac:dyDescent="0.25">
      <c r="A124" s="20">
        <v>122</v>
      </c>
      <c r="B124" s="20" t="s">
        <v>6725</v>
      </c>
      <c r="C124" s="20" t="s">
        <v>7029</v>
      </c>
      <c r="D124" s="20" t="s">
        <v>6944</v>
      </c>
      <c r="E124" s="21">
        <v>1</v>
      </c>
      <c r="G124" s="35" t="s">
        <v>6883</v>
      </c>
      <c r="H124" s="20" t="s">
        <v>6741</v>
      </c>
      <c r="K124" s="23">
        <v>66776</v>
      </c>
      <c r="L124" s="23">
        <f t="shared" si="19"/>
        <v>66776</v>
      </c>
      <c r="Q124" s="26">
        <v>0.05</v>
      </c>
      <c r="R124" s="23">
        <f>L124*Q124</f>
        <v>3338.8</v>
      </c>
      <c r="U124" s="23">
        <v>600</v>
      </c>
      <c r="V124" s="23">
        <f t="shared" si="20"/>
        <v>70714.8</v>
      </c>
      <c r="W124" s="36">
        <v>1</v>
      </c>
      <c r="X124" s="23">
        <f t="shared" si="21"/>
        <v>70714.8</v>
      </c>
      <c r="Y124" s="20" t="s">
        <v>3290</v>
      </c>
      <c r="Z124" s="35" t="s">
        <v>6758</v>
      </c>
      <c r="AA124" s="35" t="s">
        <v>6777</v>
      </c>
      <c r="AB124" s="35" t="s">
        <v>6733</v>
      </c>
      <c r="AC124" s="35" t="s">
        <v>6778</v>
      </c>
      <c r="AD124" s="35" t="s">
        <v>6744</v>
      </c>
      <c r="AE124" s="37" t="str">
        <f t="shared" si="31"/>
        <v>52</v>
      </c>
      <c r="AG124" s="37">
        <f t="shared" si="22"/>
        <v>16200.760680000001</v>
      </c>
      <c r="AH124" s="37">
        <f t="shared" si="23"/>
        <v>4384.3176000000003</v>
      </c>
      <c r="AI124" s="37">
        <f t="shared" si="24"/>
        <v>1025.3646000000001</v>
      </c>
      <c r="AJ124" s="37">
        <f t="shared" si="25"/>
        <v>869.79204000000004</v>
      </c>
      <c r="AK124" s="37">
        <f t="shared" si="26"/>
        <v>1337.0754384000002</v>
      </c>
      <c r="AL124" s="23">
        <v>140.04</v>
      </c>
      <c r="AM124" s="23">
        <f t="shared" si="32"/>
        <v>140.04</v>
      </c>
      <c r="AN124" s="22">
        <v>79.2</v>
      </c>
      <c r="AO124" s="22">
        <f t="shared" si="27"/>
        <v>79.2</v>
      </c>
      <c r="AP124" s="23">
        <v>13152</v>
      </c>
      <c r="AQ124" s="23">
        <f t="shared" si="28"/>
        <v>13680.052799999999</v>
      </c>
      <c r="AR124" s="23">
        <f t="shared" si="33"/>
        <v>13680.052799999999</v>
      </c>
      <c r="AS124" s="23">
        <f t="shared" si="34"/>
        <v>13899.292799999999</v>
      </c>
      <c r="AU124" s="20">
        <f t="shared" si="35"/>
        <v>0</v>
      </c>
      <c r="AV124" s="37">
        <f t="shared" si="29"/>
        <v>37716.603158400001</v>
      </c>
      <c r="AW124" s="37">
        <f t="shared" si="36"/>
        <v>108431.4031584</v>
      </c>
      <c r="BA124" s="20" t="str">
        <f t="shared" si="30"/>
        <v>1 - COMPLABCOR - Nguyen, Long D</v>
      </c>
    </row>
    <row r="125" spans="1:53" ht="12.75" customHeight="1" x14ac:dyDescent="0.25">
      <c r="A125" s="20">
        <v>123</v>
      </c>
      <c r="B125" s="20" t="s">
        <v>6725</v>
      </c>
      <c r="C125" s="20" t="s">
        <v>7030</v>
      </c>
      <c r="D125" s="20" t="s">
        <v>6887</v>
      </c>
      <c r="E125" s="21">
        <v>1</v>
      </c>
      <c r="F125" s="34"/>
      <c r="G125" s="35" t="s">
        <v>6839</v>
      </c>
      <c r="H125" s="20" t="s">
        <v>6741</v>
      </c>
      <c r="K125" s="23">
        <v>54807</v>
      </c>
      <c r="L125" s="23">
        <f t="shared" si="19"/>
        <v>54807</v>
      </c>
      <c r="Q125" s="26">
        <v>2.5000000000000001E-2</v>
      </c>
      <c r="R125" s="23">
        <f>L125*Q125</f>
        <v>1370.1750000000002</v>
      </c>
      <c r="T125" s="23">
        <f>M125*S125/12*4</f>
        <v>0</v>
      </c>
      <c r="V125" s="23">
        <f t="shared" si="20"/>
        <v>56177.175000000003</v>
      </c>
      <c r="W125" s="36">
        <v>1</v>
      </c>
      <c r="X125" s="23">
        <f t="shared" si="21"/>
        <v>56177.175000000003</v>
      </c>
      <c r="Y125" s="20" t="s">
        <v>2560</v>
      </c>
      <c r="Z125" s="35" t="s">
        <v>6758</v>
      </c>
      <c r="AA125" s="35" t="s">
        <v>6847</v>
      </c>
      <c r="AB125" s="35" t="s">
        <v>6733</v>
      </c>
      <c r="AC125" s="35" t="s">
        <v>7031</v>
      </c>
      <c r="AD125" s="35" t="s">
        <v>6744</v>
      </c>
      <c r="AE125" s="37" t="str">
        <f t="shared" si="31"/>
        <v>52</v>
      </c>
      <c r="AG125" s="37">
        <f t="shared" si="22"/>
        <v>12870.190792500001</v>
      </c>
      <c r="AH125" s="37">
        <f t="shared" si="23"/>
        <v>3482.9848500000003</v>
      </c>
      <c r="AI125" s="37">
        <f t="shared" si="24"/>
        <v>814.56903750000004</v>
      </c>
      <c r="AJ125" s="37">
        <f t="shared" si="25"/>
        <v>690.97925250000003</v>
      </c>
      <c r="AK125" s="37">
        <f t="shared" si="26"/>
        <v>1062.1980249000001</v>
      </c>
      <c r="AL125" s="23">
        <v>140.04</v>
      </c>
      <c r="AM125" s="23">
        <f t="shared" si="32"/>
        <v>140.04</v>
      </c>
      <c r="AN125" s="22">
        <v>79.2</v>
      </c>
      <c r="AO125" s="22">
        <f t="shared" si="27"/>
        <v>79.2</v>
      </c>
      <c r="AP125" s="23">
        <v>13152</v>
      </c>
      <c r="AQ125" s="23">
        <f t="shared" si="28"/>
        <v>13680.052799999999</v>
      </c>
      <c r="AR125" s="23">
        <f t="shared" si="33"/>
        <v>13680.052799999999</v>
      </c>
      <c r="AS125" s="23">
        <f t="shared" si="34"/>
        <v>13899.292799999999</v>
      </c>
      <c r="AU125" s="20">
        <f t="shared" si="35"/>
        <v>0</v>
      </c>
      <c r="AV125" s="37">
        <f t="shared" si="29"/>
        <v>32820.214757400005</v>
      </c>
      <c r="AW125" s="37">
        <f t="shared" si="36"/>
        <v>88997.3897574</v>
      </c>
      <c r="BA125" s="20" t="str">
        <f t="shared" si="30"/>
        <v>1 - LIBTECH_I - Niduaza, Mezaiah</v>
      </c>
    </row>
    <row r="126" spans="1:53" ht="12.75" hidden="1" customHeight="1" x14ac:dyDescent="0.25">
      <c r="A126" s="20">
        <v>124</v>
      </c>
      <c r="B126" s="20" t="s">
        <v>6725</v>
      </c>
      <c r="C126" s="20" t="s">
        <v>7032</v>
      </c>
      <c r="D126" s="20" t="s">
        <v>6780</v>
      </c>
      <c r="E126" s="21">
        <v>0.91669999999999996</v>
      </c>
      <c r="G126" s="35" t="s">
        <v>6839</v>
      </c>
      <c r="H126" s="20" t="s">
        <v>6741</v>
      </c>
      <c r="K126" s="23">
        <f>54807*E126</f>
        <v>50241.5769</v>
      </c>
      <c r="L126" s="23">
        <f t="shared" si="19"/>
        <v>50241.5769</v>
      </c>
      <c r="Q126" s="26">
        <v>0.05</v>
      </c>
      <c r="R126" s="23">
        <f>L126*Q126</f>
        <v>2512.078845</v>
      </c>
      <c r="U126" s="23">
        <v>1200</v>
      </c>
      <c r="V126" s="23">
        <f t="shared" si="20"/>
        <v>53953.655744999996</v>
      </c>
      <c r="W126" s="36">
        <v>0.9</v>
      </c>
      <c r="X126" s="23">
        <f t="shared" si="21"/>
        <v>48558.290170499997</v>
      </c>
      <c r="Y126" s="20" t="s">
        <v>6192</v>
      </c>
      <c r="Z126" s="35" t="s">
        <v>6896</v>
      </c>
      <c r="AA126" s="35" t="s">
        <v>6826</v>
      </c>
      <c r="AB126" s="35" t="s">
        <v>6733</v>
      </c>
      <c r="AC126" s="35" t="s">
        <v>7033</v>
      </c>
      <c r="AD126" s="35" t="s">
        <v>6744</v>
      </c>
      <c r="AE126" s="37" t="str">
        <f t="shared" si="31"/>
        <v>52</v>
      </c>
      <c r="AG126" s="37">
        <f t="shared" si="22"/>
        <v>11124.704278061548</v>
      </c>
      <c r="AH126" s="37">
        <f t="shared" si="23"/>
        <v>3010.6139905709997</v>
      </c>
      <c r="AI126" s="37">
        <f t="shared" si="24"/>
        <v>704.09520747224997</v>
      </c>
      <c r="AJ126" s="37">
        <f t="shared" si="25"/>
        <v>597.26696909714997</v>
      </c>
      <c r="AK126" s="37">
        <f t="shared" si="26"/>
        <v>918.140150543814</v>
      </c>
      <c r="AL126" s="23">
        <v>140.04</v>
      </c>
      <c r="AM126" s="23">
        <f t="shared" si="32"/>
        <v>126.036</v>
      </c>
      <c r="AN126" s="22">
        <v>79.2</v>
      </c>
      <c r="AO126" s="22">
        <f t="shared" si="27"/>
        <v>71.28</v>
      </c>
      <c r="AP126" s="23">
        <v>33444</v>
      </c>
      <c r="AQ126" s="23">
        <f t="shared" si="28"/>
        <v>34786.776599999997</v>
      </c>
      <c r="AR126" s="23">
        <f t="shared" si="33"/>
        <v>31308.09894</v>
      </c>
      <c r="AS126" s="23">
        <f t="shared" si="34"/>
        <v>31505.414939999999</v>
      </c>
      <c r="AU126" s="20">
        <f t="shared" si="35"/>
        <v>0</v>
      </c>
      <c r="AV126" s="37">
        <f t="shared" si="29"/>
        <v>47860.235535745756</v>
      </c>
      <c r="AW126" s="37">
        <f t="shared" si="36"/>
        <v>96418.525706245753</v>
      </c>
      <c r="BA126" s="20" t="str">
        <f t="shared" si="30"/>
        <v xml:space="preserve">0.9 - ADM_ASSTII - Nunez, Lorena </v>
      </c>
    </row>
    <row r="127" spans="1:53" ht="12.75" customHeight="1" x14ac:dyDescent="0.25">
      <c r="A127" s="20">
        <v>125</v>
      </c>
      <c r="B127" s="20" t="s">
        <v>6725</v>
      </c>
      <c r="C127" s="20" t="s">
        <v>7032</v>
      </c>
      <c r="D127" s="20" t="s">
        <v>6780</v>
      </c>
      <c r="E127" s="21">
        <v>0.91669999999999996</v>
      </c>
      <c r="G127" s="35" t="s">
        <v>6839</v>
      </c>
      <c r="H127" s="20" t="s">
        <v>6741</v>
      </c>
      <c r="K127" s="23">
        <f>54807*E127</f>
        <v>50241.5769</v>
      </c>
      <c r="L127" s="23">
        <f t="shared" si="19"/>
        <v>50241.5769</v>
      </c>
      <c r="Q127" s="26">
        <v>0.05</v>
      </c>
      <c r="R127" s="23">
        <f>L127*Q127</f>
        <v>2512.078845</v>
      </c>
      <c r="U127" s="23">
        <v>1200</v>
      </c>
      <c r="V127" s="23">
        <f t="shared" si="20"/>
        <v>53953.655744999996</v>
      </c>
      <c r="W127" s="36">
        <v>0.1</v>
      </c>
      <c r="X127" s="23">
        <f t="shared" si="21"/>
        <v>5395.3655744999996</v>
      </c>
      <c r="Y127" s="20" t="s">
        <v>2198</v>
      </c>
      <c r="Z127" s="35" t="s">
        <v>6758</v>
      </c>
      <c r="AA127" s="35" t="s">
        <v>6742</v>
      </c>
      <c r="AB127" s="35" t="s">
        <v>6733</v>
      </c>
      <c r="AC127" s="35" t="s">
        <v>6805</v>
      </c>
      <c r="AD127" s="35" t="s">
        <v>6744</v>
      </c>
      <c r="AE127" s="37" t="str">
        <f t="shared" si="31"/>
        <v>52</v>
      </c>
      <c r="AG127" s="37">
        <f t="shared" si="22"/>
        <v>1236.07825311795</v>
      </c>
      <c r="AH127" s="37">
        <f t="shared" si="23"/>
        <v>334.51266561899996</v>
      </c>
      <c r="AI127" s="37">
        <f t="shared" si="24"/>
        <v>78.23280083025</v>
      </c>
      <c r="AJ127" s="37">
        <f t="shared" si="25"/>
        <v>66.362996566349992</v>
      </c>
      <c r="AK127" s="37">
        <f t="shared" si="26"/>
        <v>102.015572282646</v>
      </c>
      <c r="AL127" s="23">
        <v>140.04</v>
      </c>
      <c r="AM127" s="23">
        <f t="shared" si="32"/>
        <v>14.004</v>
      </c>
      <c r="AN127" s="22">
        <v>79.2</v>
      </c>
      <c r="AO127" s="22">
        <f t="shared" si="27"/>
        <v>7.9200000000000008</v>
      </c>
      <c r="AP127" s="23">
        <v>33444</v>
      </c>
      <c r="AQ127" s="23">
        <f t="shared" si="28"/>
        <v>34786.776599999997</v>
      </c>
      <c r="AR127" s="23">
        <f t="shared" si="33"/>
        <v>3478.6776599999998</v>
      </c>
      <c r="AS127" s="23">
        <f t="shared" si="34"/>
        <v>3500.6016599999998</v>
      </c>
      <c r="AU127" s="20">
        <f t="shared" si="35"/>
        <v>0</v>
      </c>
      <c r="AV127" s="37">
        <f t="shared" si="29"/>
        <v>5317.8039484161955</v>
      </c>
      <c r="AW127" s="37">
        <f t="shared" si="36"/>
        <v>10713.169522916196</v>
      </c>
      <c r="BA127" s="20" t="str">
        <f t="shared" si="30"/>
        <v xml:space="preserve">0.1 - ADM_ASSTII - Nunez, Lorena </v>
      </c>
    </row>
    <row r="128" spans="1:53" ht="12.75" hidden="1" customHeight="1" x14ac:dyDescent="0.25">
      <c r="A128" s="20">
        <v>126</v>
      </c>
      <c r="B128" s="20" t="s">
        <v>6725</v>
      </c>
      <c r="C128" s="20" t="s">
        <v>7034</v>
      </c>
      <c r="D128" s="20" t="s">
        <v>6927</v>
      </c>
      <c r="E128" s="21">
        <v>1</v>
      </c>
      <c r="F128" s="34"/>
      <c r="G128" s="35" t="s">
        <v>6728</v>
      </c>
      <c r="H128" s="20" t="s">
        <v>6741</v>
      </c>
      <c r="K128" s="23">
        <v>77440</v>
      </c>
      <c r="L128" s="23">
        <f t="shared" si="19"/>
        <v>77440</v>
      </c>
      <c r="V128" s="23">
        <f t="shared" si="20"/>
        <v>77440</v>
      </c>
      <c r="W128" s="36">
        <v>1</v>
      </c>
      <c r="X128" s="23">
        <f t="shared" si="21"/>
        <v>77440</v>
      </c>
      <c r="Y128" s="20" t="s">
        <v>5838</v>
      </c>
      <c r="Z128" s="35" t="s">
        <v>6731</v>
      </c>
      <c r="AA128" s="35" t="s">
        <v>6752</v>
      </c>
      <c r="AB128" s="35" t="s">
        <v>6733</v>
      </c>
      <c r="AC128" s="35" t="s">
        <v>7035</v>
      </c>
      <c r="AD128" s="35" t="s">
        <v>6744</v>
      </c>
      <c r="AE128" s="37" t="str">
        <f t="shared" si="31"/>
        <v>52</v>
      </c>
      <c r="AG128" s="37">
        <f t="shared" si="22"/>
        <v>17741.504000000001</v>
      </c>
      <c r="AH128" s="37">
        <f t="shared" si="23"/>
        <v>4801.28</v>
      </c>
      <c r="AI128" s="37">
        <f t="shared" si="24"/>
        <v>1122.8800000000001</v>
      </c>
      <c r="AJ128" s="37">
        <f t="shared" si="25"/>
        <v>952.51200000000006</v>
      </c>
      <c r="AK128" s="37">
        <f t="shared" si="26"/>
        <v>1464.2355200000002</v>
      </c>
      <c r="AL128" s="23">
        <v>140.04</v>
      </c>
      <c r="AM128" s="23">
        <f t="shared" si="32"/>
        <v>140.04</v>
      </c>
      <c r="AN128" s="22">
        <v>79.2</v>
      </c>
      <c r="AO128" s="22">
        <f t="shared" si="27"/>
        <v>79.2</v>
      </c>
      <c r="AP128" s="23">
        <v>8820</v>
      </c>
      <c r="AQ128" s="23">
        <f t="shared" si="28"/>
        <v>9174.1229999999996</v>
      </c>
      <c r="AR128" s="23">
        <f t="shared" si="33"/>
        <v>9174.1229999999996</v>
      </c>
      <c r="AS128" s="23">
        <f t="shared" si="34"/>
        <v>9393.3629999999994</v>
      </c>
      <c r="AT128" s="37">
        <v>2400</v>
      </c>
      <c r="AU128" s="20">
        <f t="shared" si="35"/>
        <v>2400</v>
      </c>
      <c r="AV128" s="37">
        <f t="shared" si="29"/>
        <v>37875.774520000006</v>
      </c>
      <c r="AW128" s="37">
        <f t="shared" si="36"/>
        <v>115315.77452000001</v>
      </c>
      <c r="AX128" s="20" t="s">
        <v>6754</v>
      </c>
      <c r="AY128" s="20" t="s">
        <v>7036</v>
      </c>
      <c r="AZ128" s="20" t="s">
        <v>7037</v>
      </c>
      <c r="BA128" s="20" t="str">
        <f t="shared" si="30"/>
        <v xml:space="preserve">1 - LDPROGCOOR - Obana, Chynna </v>
      </c>
    </row>
    <row r="129" spans="1:53" ht="12.75" customHeight="1" x14ac:dyDescent="0.25">
      <c r="A129" s="20">
        <v>127</v>
      </c>
      <c r="B129" s="20" t="s">
        <v>6725</v>
      </c>
      <c r="C129" s="20" t="s">
        <v>7038</v>
      </c>
      <c r="D129" s="20" t="s">
        <v>7039</v>
      </c>
      <c r="E129" s="21">
        <v>1</v>
      </c>
      <c r="G129" s="35" t="s">
        <v>6959</v>
      </c>
      <c r="H129" s="20" t="s">
        <v>6741</v>
      </c>
      <c r="K129" s="23">
        <v>83394</v>
      </c>
      <c r="L129" s="23">
        <f t="shared" si="19"/>
        <v>83394</v>
      </c>
      <c r="U129" s="23">
        <v>1200</v>
      </c>
      <c r="V129" s="23">
        <f t="shared" si="20"/>
        <v>84594</v>
      </c>
      <c r="W129" s="36">
        <v>1</v>
      </c>
      <c r="X129" s="23">
        <f t="shared" si="21"/>
        <v>84594</v>
      </c>
      <c r="Y129" s="20" t="s">
        <v>3290</v>
      </c>
      <c r="Z129" s="35" t="s">
        <v>6758</v>
      </c>
      <c r="AA129" s="35" t="s">
        <v>6777</v>
      </c>
      <c r="AB129" s="35" t="s">
        <v>6733</v>
      </c>
      <c r="AC129" s="35" t="s">
        <v>6778</v>
      </c>
      <c r="AD129" s="35" t="s">
        <v>6744</v>
      </c>
      <c r="AE129" s="37" t="str">
        <f t="shared" si="31"/>
        <v>52</v>
      </c>
      <c r="AG129" s="37">
        <f t="shared" si="22"/>
        <v>19380.485400000001</v>
      </c>
      <c r="AH129" s="37">
        <f t="shared" si="23"/>
        <v>5244.8279999999995</v>
      </c>
      <c r="AI129" s="37">
        <f t="shared" si="24"/>
        <v>1226.6130000000001</v>
      </c>
      <c r="AJ129" s="37">
        <f t="shared" si="25"/>
        <v>1040.5062</v>
      </c>
      <c r="AK129" s="37">
        <f t="shared" si="26"/>
        <v>1599.5033520000002</v>
      </c>
      <c r="AL129" s="23">
        <v>140.04</v>
      </c>
      <c r="AM129" s="23">
        <f t="shared" si="32"/>
        <v>140.04</v>
      </c>
      <c r="AN129" s="22">
        <v>79.2</v>
      </c>
      <c r="AO129" s="22">
        <f t="shared" si="27"/>
        <v>79.2</v>
      </c>
      <c r="AP129" s="23">
        <v>33444</v>
      </c>
      <c r="AQ129" s="23">
        <f t="shared" si="28"/>
        <v>34786.776599999997</v>
      </c>
      <c r="AR129" s="23">
        <f t="shared" si="33"/>
        <v>34786.776599999997</v>
      </c>
      <c r="AS129" s="23">
        <f t="shared" si="34"/>
        <v>35006.016599999995</v>
      </c>
      <c r="AU129" s="20">
        <f t="shared" si="35"/>
        <v>0</v>
      </c>
      <c r="AV129" s="37">
        <f t="shared" si="29"/>
        <v>63497.952552000002</v>
      </c>
      <c r="AW129" s="37">
        <f t="shared" si="36"/>
        <v>148091.952552</v>
      </c>
      <c r="BA129" s="20" t="str">
        <f t="shared" si="30"/>
        <v>1 - INST_TECH - Otero, Laura M</v>
      </c>
    </row>
    <row r="130" spans="1:53" ht="12.75" customHeight="1" x14ac:dyDescent="0.25">
      <c r="A130" s="20">
        <v>128</v>
      </c>
      <c r="B130" s="20" t="s">
        <v>6725</v>
      </c>
      <c r="C130" s="20" t="s">
        <v>7040</v>
      </c>
      <c r="D130" s="20" t="s">
        <v>6812</v>
      </c>
      <c r="E130" s="21">
        <v>1</v>
      </c>
      <c r="G130" s="35" t="s">
        <v>6813</v>
      </c>
      <c r="H130" s="20" t="s">
        <v>6741</v>
      </c>
      <c r="K130" s="23">
        <v>87615</v>
      </c>
      <c r="L130" s="23">
        <f t="shared" ref="L130:L198" si="37">I130+K130</f>
        <v>87615</v>
      </c>
      <c r="Q130" s="26">
        <v>0.05</v>
      </c>
      <c r="R130" s="23">
        <f>L130*Q130</f>
        <v>4380.75</v>
      </c>
      <c r="U130" s="23">
        <v>1200</v>
      </c>
      <c r="V130" s="23">
        <f t="shared" ref="V130:V193" si="38">L130+N130+P130+R130+T130+U130</f>
        <v>93195.75</v>
      </c>
      <c r="W130" s="36">
        <v>1</v>
      </c>
      <c r="X130" s="23">
        <f t="shared" ref="X130:X198" si="39">V130*W130</f>
        <v>93195.75</v>
      </c>
      <c r="Y130" s="20" t="s">
        <v>3290</v>
      </c>
      <c r="Z130" s="35" t="s">
        <v>6758</v>
      </c>
      <c r="AA130" s="35" t="s">
        <v>6777</v>
      </c>
      <c r="AB130" s="35" t="s">
        <v>6733</v>
      </c>
      <c r="AC130" s="35" t="s">
        <v>6778</v>
      </c>
      <c r="AD130" s="35" t="s">
        <v>6744</v>
      </c>
      <c r="AE130" s="37" t="str">
        <f t="shared" si="31"/>
        <v>52</v>
      </c>
      <c r="AG130" s="37">
        <f t="shared" ref="AG130:AG198" si="40">X130*$AG$1</f>
        <v>21351.146325000002</v>
      </c>
      <c r="AH130" s="37">
        <f t="shared" ref="AH130:AH198" si="41">X130*$AH$1</f>
        <v>5778.1364999999996</v>
      </c>
      <c r="AI130" s="37">
        <f t="shared" ref="AI130:AI198" si="42">X130*$AI$1</f>
        <v>1351.338375</v>
      </c>
      <c r="AJ130" s="37">
        <f t="shared" ref="AJ130:AJ198" si="43">X130*$AJ$1</f>
        <v>1146.3077250000001</v>
      </c>
      <c r="AK130" s="37">
        <f t="shared" ref="AK130:AK198" si="44">X130*$AK$1</f>
        <v>1762.1452410000002</v>
      </c>
      <c r="AL130" s="23">
        <v>140.04</v>
      </c>
      <c r="AM130" s="23">
        <f t="shared" si="32"/>
        <v>140.04</v>
      </c>
      <c r="AN130" s="22">
        <v>79.2</v>
      </c>
      <c r="AO130" s="22">
        <f t="shared" ref="AO130:AO193" si="45">AN130*W130</f>
        <v>79.2</v>
      </c>
      <c r="AP130" s="23">
        <v>33444</v>
      </c>
      <c r="AQ130" s="23">
        <f t="shared" ref="AQ130:AQ193" si="46">AP130/2+(((AP130/2)*$AQ$1)+AP130/2)</f>
        <v>34786.776599999997</v>
      </c>
      <c r="AR130" s="23">
        <f t="shared" si="33"/>
        <v>34786.776599999997</v>
      </c>
      <c r="AS130" s="23">
        <f t="shared" si="34"/>
        <v>35006.016599999995</v>
      </c>
      <c r="AU130" s="20">
        <f t="shared" si="35"/>
        <v>0</v>
      </c>
      <c r="AV130" s="37">
        <f t="shared" ref="AV130:AV193" si="47">+AF130+AG130+AH130+AI130+AJ130+AK130+AM130+AO130+AR130+AU130</f>
        <v>66395.090765999994</v>
      </c>
      <c r="AW130" s="37">
        <f t="shared" si="36"/>
        <v>159590.84076599998</v>
      </c>
      <c r="BA130" s="20" t="str">
        <f t="shared" si="30"/>
        <v>1 - INFOTECHSP - Otero, Stephen</v>
      </c>
    </row>
    <row r="131" spans="1:53" ht="12.75" customHeight="1" x14ac:dyDescent="0.25">
      <c r="A131" s="20">
        <v>129</v>
      </c>
      <c r="B131" s="20" t="s">
        <v>6725</v>
      </c>
      <c r="C131" s="20" t="s">
        <v>7041</v>
      </c>
      <c r="D131" s="20" t="s">
        <v>6887</v>
      </c>
      <c r="E131" s="21">
        <v>0.41670000000000001</v>
      </c>
      <c r="F131" s="34">
        <v>44593</v>
      </c>
      <c r="G131" s="35" t="s">
        <v>6839</v>
      </c>
      <c r="H131" s="20" t="s">
        <v>6741</v>
      </c>
      <c r="K131" s="23">
        <f>54807*E131</f>
        <v>22838.0769</v>
      </c>
      <c r="L131" s="23">
        <f t="shared" si="37"/>
        <v>22838.0769</v>
      </c>
      <c r="V131" s="23">
        <f t="shared" si="38"/>
        <v>22838.0769</v>
      </c>
      <c r="W131" s="36">
        <v>0.7</v>
      </c>
      <c r="X131" s="23">
        <f t="shared" si="39"/>
        <v>15986.653829999999</v>
      </c>
      <c r="Y131" s="20" t="s">
        <v>2560</v>
      </c>
      <c r="Z131" s="35" t="s">
        <v>6758</v>
      </c>
      <c r="AA131" s="35" t="s">
        <v>6847</v>
      </c>
      <c r="AB131" s="35" t="s">
        <v>6733</v>
      </c>
      <c r="AC131" s="35" t="s">
        <v>7031</v>
      </c>
      <c r="AD131" s="35" t="s">
        <v>6744</v>
      </c>
      <c r="AE131" s="37" t="str">
        <f t="shared" ref="AE131:AE194" si="48">LEFT(AD131,2)</f>
        <v>52</v>
      </c>
      <c r="AG131" s="37">
        <f t="shared" si="40"/>
        <v>3662.5423924529996</v>
      </c>
      <c r="AH131" s="37">
        <f t="shared" si="41"/>
        <v>991.17253745999994</v>
      </c>
      <c r="AI131" s="37">
        <f t="shared" si="42"/>
        <v>231.80648053499999</v>
      </c>
      <c r="AJ131" s="37">
        <f t="shared" si="43"/>
        <v>196.63584210899998</v>
      </c>
      <c r="AK131" s="37">
        <f t="shared" si="44"/>
        <v>302.27565061764</v>
      </c>
      <c r="AL131" s="23">
        <v>140.04</v>
      </c>
      <c r="AM131" s="23">
        <f t="shared" ref="AM131:AM194" si="49">AL131*W131</f>
        <v>98.027999999999992</v>
      </c>
      <c r="AN131" s="22">
        <v>79.2</v>
      </c>
      <c r="AO131" s="22">
        <f t="shared" si="45"/>
        <v>55.44</v>
      </c>
      <c r="AP131" s="23">
        <v>0</v>
      </c>
      <c r="AQ131" s="23">
        <f t="shared" si="46"/>
        <v>0</v>
      </c>
      <c r="AR131" s="23">
        <f t="shared" ref="AR131:AR194" si="50">AQ131*W131</f>
        <v>0</v>
      </c>
      <c r="AS131" s="23">
        <f t="shared" si="34"/>
        <v>153.46799999999999</v>
      </c>
      <c r="AU131" s="20">
        <f t="shared" ref="AU131:AU194" si="51">AT131*W131</f>
        <v>0</v>
      </c>
      <c r="AV131" s="37">
        <f t="shared" si="47"/>
        <v>5537.90090317464</v>
      </c>
      <c r="AW131" s="37">
        <f t="shared" si="36"/>
        <v>21524.554733174638</v>
      </c>
      <c r="BA131" s="20" t="str">
        <f t="shared" ref="BA131:BA196" si="52">CONCATENATE(W131," - ",D131," - ",C131)</f>
        <v>0.7 - LIBTECH_I - Perez, Josephie</v>
      </c>
    </row>
    <row r="132" spans="1:53" ht="12.75" customHeight="1" x14ac:dyDescent="0.25">
      <c r="A132" s="20">
        <v>130</v>
      </c>
      <c r="B132" s="20" t="s">
        <v>6725</v>
      </c>
      <c r="C132" s="20" t="s">
        <v>7041</v>
      </c>
      <c r="D132" s="20" t="s">
        <v>6887</v>
      </c>
      <c r="E132" s="21">
        <v>0.41670000000000001</v>
      </c>
      <c r="F132" s="34">
        <v>44593</v>
      </c>
      <c r="G132" s="35" t="s">
        <v>6839</v>
      </c>
      <c r="H132" s="20" t="s">
        <v>6741</v>
      </c>
      <c r="K132" s="23">
        <f>54807*E132</f>
        <v>22838.0769</v>
      </c>
      <c r="L132" s="23">
        <f t="shared" si="37"/>
        <v>22838.0769</v>
      </c>
      <c r="V132" s="23">
        <f t="shared" si="38"/>
        <v>22838.0769</v>
      </c>
      <c r="W132" s="36">
        <v>0.3</v>
      </c>
      <c r="X132" s="23">
        <f t="shared" si="39"/>
        <v>6851.4230699999998</v>
      </c>
      <c r="Y132" s="20" t="s">
        <v>2592</v>
      </c>
      <c r="Z132" s="35" t="s">
        <v>6758</v>
      </c>
      <c r="AA132" s="35" t="s">
        <v>6847</v>
      </c>
      <c r="AB132" s="35" t="s">
        <v>6733</v>
      </c>
      <c r="AC132" s="35" t="s">
        <v>6889</v>
      </c>
      <c r="AD132" s="35" t="s">
        <v>6744</v>
      </c>
      <c r="AE132" s="37" t="str">
        <f t="shared" si="48"/>
        <v>52</v>
      </c>
      <c r="AG132" s="37">
        <f t="shared" si="40"/>
        <v>1569.661025337</v>
      </c>
      <c r="AH132" s="37">
        <f t="shared" si="41"/>
        <v>424.78823033999998</v>
      </c>
      <c r="AI132" s="37">
        <f t="shared" si="42"/>
        <v>99.345634515</v>
      </c>
      <c r="AJ132" s="37">
        <f t="shared" si="43"/>
        <v>84.272503760999996</v>
      </c>
      <c r="AK132" s="37">
        <f t="shared" si="44"/>
        <v>129.54670740756001</v>
      </c>
      <c r="AL132" s="23">
        <v>140.04</v>
      </c>
      <c r="AM132" s="23">
        <f t="shared" si="49"/>
        <v>42.011999999999993</v>
      </c>
      <c r="AN132" s="22">
        <v>79.2</v>
      </c>
      <c r="AO132" s="22">
        <f t="shared" si="45"/>
        <v>23.76</v>
      </c>
      <c r="AP132" s="23">
        <v>0</v>
      </c>
      <c r="AQ132" s="23">
        <f t="shared" si="46"/>
        <v>0</v>
      </c>
      <c r="AR132" s="23">
        <f t="shared" si="50"/>
        <v>0</v>
      </c>
      <c r="AS132" s="23">
        <f t="shared" ref="AS132:AS197" si="53">+AM132+AO132+AR132</f>
        <v>65.771999999999991</v>
      </c>
      <c r="AU132" s="20">
        <f t="shared" si="51"/>
        <v>0</v>
      </c>
      <c r="AV132" s="37">
        <f t="shared" si="47"/>
        <v>2373.3861013605601</v>
      </c>
      <c r="AW132" s="37">
        <f t="shared" ref="AW132:AW197" si="54">+X132+AV132</f>
        <v>9224.8091713605609</v>
      </c>
      <c r="BA132" s="20" t="str">
        <f t="shared" si="52"/>
        <v>0.3 - LIBTECH_I - Perez, Josephie</v>
      </c>
    </row>
    <row r="133" spans="1:53" ht="12.75" customHeight="1" x14ac:dyDescent="0.25">
      <c r="A133" s="20">
        <v>131</v>
      </c>
      <c r="B133" s="20" t="s">
        <v>6725</v>
      </c>
      <c r="C133" s="20" t="s">
        <v>7042</v>
      </c>
      <c r="D133" s="20" t="s">
        <v>6785</v>
      </c>
      <c r="E133" s="21">
        <v>1</v>
      </c>
      <c r="G133" s="35" t="s">
        <v>6786</v>
      </c>
      <c r="H133" s="20" t="s">
        <v>6741</v>
      </c>
      <c r="K133" s="23">
        <v>59019</v>
      </c>
      <c r="L133" s="23">
        <f t="shared" si="37"/>
        <v>59019</v>
      </c>
      <c r="Q133" s="26">
        <v>0.1</v>
      </c>
      <c r="R133" s="23">
        <f t="shared" ref="R133:R141" si="55">L133*Q133</f>
        <v>5901.9000000000005</v>
      </c>
      <c r="U133" s="23">
        <v>1200</v>
      </c>
      <c r="V133" s="23">
        <f t="shared" si="38"/>
        <v>66120.899999999994</v>
      </c>
      <c r="W133" s="36">
        <v>1</v>
      </c>
      <c r="X133" s="23">
        <f t="shared" si="39"/>
        <v>66120.899999999994</v>
      </c>
      <c r="Y133" s="20" t="s">
        <v>968</v>
      </c>
      <c r="Z133" s="35" t="s">
        <v>6758</v>
      </c>
      <c r="AA133" s="35" t="s">
        <v>6964</v>
      </c>
      <c r="AB133" s="35" t="s">
        <v>6733</v>
      </c>
      <c r="AC133" s="35" t="s">
        <v>6979</v>
      </c>
      <c r="AD133" s="35" t="s">
        <v>6744</v>
      </c>
      <c r="AE133" s="37" t="str">
        <f t="shared" si="48"/>
        <v>52</v>
      </c>
      <c r="AG133" s="37">
        <f t="shared" si="40"/>
        <v>15148.298189999998</v>
      </c>
      <c r="AH133" s="37">
        <f t="shared" si="41"/>
        <v>4099.4957999999997</v>
      </c>
      <c r="AI133" s="37">
        <f t="shared" si="42"/>
        <v>958.75304999999992</v>
      </c>
      <c r="AJ133" s="37">
        <f t="shared" si="43"/>
        <v>813.28706999999997</v>
      </c>
      <c r="AK133" s="37">
        <f t="shared" si="44"/>
        <v>1250.2139772</v>
      </c>
      <c r="AL133" s="23">
        <v>140.04</v>
      </c>
      <c r="AM133" s="23">
        <f t="shared" si="49"/>
        <v>140.04</v>
      </c>
      <c r="AN133" s="22">
        <v>79.2</v>
      </c>
      <c r="AO133" s="22">
        <f t="shared" si="45"/>
        <v>79.2</v>
      </c>
      <c r="AP133" s="23">
        <v>25452.6</v>
      </c>
      <c r="AQ133" s="23">
        <f t="shared" si="46"/>
        <v>26474.521889999996</v>
      </c>
      <c r="AR133" s="23">
        <f t="shared" si="50"/>
        <v>26474.521889999996</v>
      </c>
      <c r="AS133" s="23">
        <f t="shared" si="53"/>
        <v>26693.761889999998</v>
      </c>
      <c r="AU133" s="20">
        <f t="shared" si="51"/>
        <v>0</v>
      </c>
      <c r="AV133" s="37">
        <f t="shared" si="47"/>
        <v>48963.809977199999</v>
      </c>
      <c r="AW133" s="37">
        <f t="shared" si="54"/>
        <v>115084.70997719999</v>
      </c>
      <c r="BA133" s="20" t="str">
        <f t="shared" si="52"/>
        <v xml:space="preserve">1 - ADMASSTIII - Pleak, Joanne </v>
      </c>
    </row>
    <row r="134" spans="1:53" ht="12.75" hidden="1" customHeight="1" x14ac:dyDescent="0.25">
      <c r="A134" s="20">
        <v>132</v>
      </c>
      <c r="B134" s="20" t="s">
        <v>6725</v>
      </c>
      <c r="C134" s="20" t="s">
        <v>7043</v>
      </c>
      <c r="D134" s="20" t="s">
        <v>6767</v>
      </c>
      <c r="E134" s="21">
        <v>1</v>
      </c>
      <c r="G134" s="35" t="s">
        <v>6757</v>
      </c>
      <c r="H134" s="20" t="s">
        <v>6741</v>
      </c>
      <c r="K134" s="23">
        <v>63557</v>
      </c>
      <c r="L134" s="23">
        <f t="shared" si="37"/>
        <v>63557</v>
      </c>
      <c r="Q134" s="26">
        <v>0.05</v>
      </c>
      <c r="R134" s="23">
        <f t="shared" si="55"/>
        <v>3177.8500000000004</v>
      </c>
      <c r="T134" s="23">
        <f>M134*S134/12*4</f>
        <v>0</v>
      </c>
      <c r="U134" s="23">
        <v>600</v>
      </c>
      <c r="V134" s="23">
        <f t="shared" si="38"/>
        <v>67334.850000000006</v>
      </c>
      <c r="W134" s="36">
        <v>0.5</v>
      </c>
      <c r="X134" s="23">
        <f t="shared" si="39"/>
        <v>33667.425000000003</v>
      </c>
      <c r="Y134" s="20" t="s">
        <v>4140</v>
      </c>
      <c r="Z134" s="35" t="s">
        <v>6731</v>
      </c>
      <c r="AA134" s="35" t="s">
        <v>6772</v>
      </c>
      <c r="AB134" s="35" t="s">
        <v>6733</v>
      </c>
      <c r="AC134" s="35" t="s">
        <v>6849</v>
      </c>
      <c r="AD134" s="35" t="s">
        <v>6744</v>
      </c>
      <c r="AE134" s="37" t="str">
        <f t="shared" si="48"/>
        <v>52</v>
      </c>
      <c r="AG134" s="37">
        <f t="shared" si="40"/>
        <v>7713.2070675000004</v>
      </c>
      <c r="AH134" s="37">
        <f t="shared" si="41"/>
        <v>2087.3803500000004</v>
      </c>
      <c r="AI134" s="37">
        <f t="shared" si="42"/>
        <v>488.17766250000005</v>
      </c>
      <c r="AJ134" s="37">
        <f t="shared" si="43"/>
        <v>414.10932750000006</v>
      </c>
      <c r="AK134" s="37">
        <f t="shared" si="44"/>
        <v>636.58367190000013</v>
      </c>
      <c r="AL134" s="23">
        <v>140.04</v>
      </c>
      <c r="AM134" s="23">
        <f t="shared" si="49"/>
        <v>70.02</v>
      </c>
      <c r="AN134" s="22">
        <v>79.2</v>
      </c>
      <c r="AO134" s="22">
        <f t="shared" si="45"/>
        <v>39.6</v>
      </c>
      <c r="AP134" s="23">
        <v>13152</v>
      </c>
      <c r="AQ134" s="23">
        <f t="shared" si="46"/>
        <v>13680.052799999999</v>
      </c>
      <c r="AR134" s="23">
        <f t="shared" si="50"/>
        <v>6840.0263999999997</v>
      </c>
      <c r="AS134" s="23">
        <f t="shared" si="53"/>
        <v>6949.6463999999996</v>
      </c>
      <c r="AU134" s="20">
        <f t="shared" si="51"/>
        <v>0</v>
      </c>
      <c r="AV134" s="37">
        <f t="shared" si="47"/>
        <v>18289.104479400001</v>
      </c>
      <c r="AW134" s="37">
        <f t="shared" si="54"/>
        <v>51956.529479400007</v>
      </c>
      <c r="AX134" s="20" t="s">
        <v>6850</v>
      </c>
      <c r="AY134" s="20" t="s">
        <v>6851</v>
      </c>
      <c r="AZ134" s="20" t="s">
        <v>6852</v>
      </c>
      <c r="BA134" s="20" t="str">
        <f t="shared" si="52"/>
        <v>0.5 - PROGASST_I - Polio, Leda</v>
      </c>
    </row>
    <row r="135" spans="1:53" ht="12.75" hidden="1" customHeight="1" x14ac:dyDescent="0.25">
      <c r="A135" s="20" t="s">
        <v>7044</v>
      </c>
      <c r="B135" s="20" t="s">
        <v>6725</v>
      </c>
      <c r="C135" s="20" t="s">
        <v>7043</v>
      </c>
      <c r="D135" s="20" t="s">
        <v>6767</v>
      </c>
      <c r="E135" s="21">
        <v>1</v>
      </c>
      <c r="G135" s="35" t="s">
        <v>6757</v>
      </c>
      <c r="H135" s="20" t="s">
        <v>6741</v>
      </c>
      <c r="K135" s="23">
        <v>63557</v>
      </c>
      <c r="L135" s="23">
        <f t="shared" si="37"/>
        <v>63557</v>
      </c>
      <c r="Q135" s="26">
        <v>0.05</v>
      </c>
      <c r="R135" s="23">
        <f t="shared" si="55"/>
        <v>3177.8500000000004</v>
      </c>
      <c r="T135" s="23">
        <f>M135*S135/12*4</f>
        <v>0</v>
      </c>
      <c r="U135" s="23">
        <v>600</v>
      </c>
      <c r="V135" s="23">
        <f t="shared" si="38"/>
        <v>67334.850000000006</v>
      </c>
      <c r="W135" s="36">
        <v>0.25</v>
      </c>
      <c r="X135" s="23">
        <f t="shared" si="39"/>
        <v>16833.712500000001</v>
      </c>
      <c r="Y135" s="20" t="s">
        <v>3343</v>
      </c>
      <c r="Z135" s="35" t="s">
        <v>6731</v>
      </c>
      <c r="AA135" s="35" t="s">
        <v>6954</v>
      </c>
      <c r="AB135" s="35" t="s">
        <v>6733</v>
      </c>
      <c r="AC135" s="35" t="s">
        <v>6955</v>
      </c>
      <c r="AD135" s="35" t="s">
        <v>6744</v>
      </c>
      <c r="AE135" s="37" t="str">
        <f t="shared" si="48"/>
        <v>52</v>
      </c>
      <c r="AG135" s="37">
        <f t="shared" si="40"/>
        <v>3856.6035337500002</v>
      </c>
      <c r="AH135" s="37">
        <f t="shared" si="41"/>
        <v>1043.6901750000002</v>
      </c>
      <c r="AI135" s="37">
        <f t="shared" si="42"/>
        <v>244.08883125000003</v>
      </c>
      <c r="AJ135" s="37">
        <f t="shared" si="43"/>
        <v>207.05466375000003</v>
      </c>
      <c r="AK135" s="37">
        <f t="shared" si="44"/>
        <v>318.29183595000006</v>
      </c>
      <c r="AL135" s="23">
        <v>140.04</v>
      </c>
      <c r="AM135" s="23">
        <f t="shared" si="49"/>
        <v>35.01</v>
      </c>
      <c r="AN135" s="22">
        <v>79.2</v>
      </c>
      <c r="AO135" s="22">
        <f t="shared" si="45"/>
        <v>19.8</v>
      </c>
      <c r="AP135" s="23">
        <v>13152</v>
      </c>
      <c r="AQ135" s="23">
        <f t="shared" si="46"/>
        <v>13680.052799999999</v>
      </c>
      <c r="AR135" s="23">
        <f t="shared" si="50"/>
        <v>3420.0131999999999</v>
      </c>
      <c r="AS135" s="23">
        <f t="shared" si="53"/>
        <v>3474.8231999999998</v>
      </c>
      <c r="AU135" s="20">
        <f t="shared" si="51"/>
        <v>0</v>
      </c>
      <c r="AV135" s="37">
        <f t="shared" si="47"/>
        <v>9144.5522397000004</v>
      </c>
      <c r="AW135" s="37">
        <f t="shared" si="54"/>
        <v>25978.264739700004</v>
      </c>
      <c r="AX135" s="20" t="s">
        <v>6850</v>
      </c>
      <c r="AY135" s="20" t="s">
        <v>6851</v>
      </c>
      <c r="AZ135" s="20" t="s">
        <v>6956</v>
      </c>
      <c r="BA135" s="20" t="str">
        <f t="shared" si="52"/>
        <v>0.25 - PROGASST_I - Polio, Leda</v>
      </c>
    </row>
    <row r="136" spans="1:53" ht="12.75" hidden="1" customHeight="1" x14ac:dyDescent="0.25">
      <c r="A136" s="20" t="s">
        <v>7045</v>
      </c>
      <c r="B136" s="20" t="s">
        <v>6725</v>
      </c>
      <c r="C136" s="20" t="s">
        <v>7043</v>
      </c>
      <c r="D136" s="20" t="s">
        <v>6767</v>
      </c>
      <c r="E136" s="21">
        <v>1</v>
      </c>
      <c r="G136" s="35" t="s">
        <v>6757</v>
      </c>
      <c r="H136" s="20" t="s">
        <v>6741</v>
      </c>
      <c r="K136" s="23">
        <v>63557</v>
      </c>
      <c r="L136" s="23">
        <f t="shared" si="37"/>
        <v>63557</v>
      </c>
      <c r="Q136" s="26">
        <v>0.05</v>
      </c>
      <c r="R136" s="23">
        <f t="shared" si="55"/>
        <v>3177.8500000000004</v>
      </c>
      <c r="T136" s="23">
        <f>M136*S136/12*4</f>
        <v>0</v>
      </c>
      <c r="U136" s="23">
        <v>600</v>
      </c>
      <c r="V136" s="23">
        <f t="shared" si="38"/>
        <v>67334.850000000006</v>
      </c>
      <c r="W136" s="36">
        <v>0.25</v>
      </c>
      <c r="X136" s="23">
        <f t="shared" si="39"/>
        <v>16833.712500000001</v>
      </c>
      <c r="Y136" s="20" t="s">
        <v>3977</v>
      </c>
      <c r="Z136" s="35" t="s">
        <v>6731</v>
      </c>
      <c r="AA136" s="35" t="s">
        <v>6772</v>
      </c>
      <c r="AB136" s="35" t="s">
        <v>6733</v>
      </c>
      <c r="AC136" s="35" t="s">
        <v>7046</v>
      </c>
      <c r="AD136" s="35" t="s">
        <v>6744</v>
      </c>
      <c r="AE136" s="37" t="str">
        <f t="shared" si="48"/>
        <v>52</v>
      </c>
      <c r="AG136" s="37">
        <f t="shared" si="40"/>
        <v>3856.6035337500002</v>
      </c>
      <c r="AH136" s="37">
        <f t="shared" si="41"/>
        <v>1043.6901750000002</v>
      </c>
      <c r="AI136" s="37">
        <f t="shared" si="42"/>
        <v>244.08883125000003</v>
      </c>
      <c r="AJ136" s="37">
        <f t="shared" si="43"/>
        <v>207.05466375000003</v>
      </c>
      <c r="AK136" s="37">
        <f t="shared" si="44"/>
        <v>318.29183595000006</v>
      </c>
      <c r="AL136" s="23">
        <v>140.04</v>
      </c>
      <c r="AM136" s="23">
        <f t="shared" si="49"/>
        <v>35.01</v>
      </c>
      <c r="AN136" s="22">
        <v>79.2</v>
      </c>
      <c r="AO136" s="22">
        <f t="shared" si="45"/>
        <v>19.8</v>
      </c>
      <c r="AP136" s="23">
        <v>13152</v>
      </c>
      <c r="AQ136" s="23">
        <f t="shared" si="46"/>
        <v>13680.052799999999</v>
      </c>
      <c r="AR136" s="23">
        <f t="shared" si="50"/>
        <v>3420.0131999999999</v>
      </c>
      <c r="AS136" s="23">
        <f t="shared" si="53"/>
        <v>3474.8231999999998</v>
      </c>
      <c r="AU136" s="20">
        <f t="shared" si="51"/>
        <v>0</v>
      </c>
      <c r="AV136" s="37">
        <f t="shared" si="47"/>
        <v>9144.5522397000004</v>
      </c>
      <c r="AW136" s="37">
        <f t="shared" si="54"/>
        <v>25978.264739700004</v>
      </c>
      <c r="AX136" s="20" t="s">
        <v>6850</v>
      </c>
      <c r="AY136" s="20" t="s">
        <v>6851</v>
      </c>
      <c r="AZ136" s="20" t="s">
        <v>7047</v>
      </c>
      <c r="BA136" s="20" t="str">
        <f t="shared" si="52"/>
        <v>0.25 - PROGASST_I - Polio, Leda</v>
      </c>
    </row>
    <row r="137" spans="1:53" ht="12.75" customHeight="1" x14ac:dyDescent="0.25">
      <c r="A137" s="20">
        <v>133</v>
      </c>
      <c r="B137" s="20" t="s">
        <v>6725</v>
      </c>
      <c r="C137" s="20" t="s">
        <v>7048</v>
      </c>
      <c r="D137" s="20" t="s">
        <v>6739</v>
      </c>
      <c r="E137" s="21">
        <v>1</v>
      </c>
      <c r="G137" s="35" t="s">
        <v>6740</v>
      </c>
      <c r="H137" s="20" t="s">
        <v>6741</v>
      </c>
      <c r="K137" s="23">
        <v>71910</v>
      </c>
      <c r="L137" s="23">
        <f t="shared" si="37"/>
        <v>71910</v>
      </c>
      <c r="Q137" s="26">
        <v>0.05</v>
      </c>
      <c r="R137" s="23">
        <f t="shared" si="55"/>
        <v>3595.5</v>
      </c>
      <c r="U137" s="23">
        <v>600</v>
      </c>
      <c r="V137" s="23">
        <f t="shared" si="38"/>
        <v>76105.5</v>
      </c>
      <c r="W137" s="36">
        <v>0.35</v>
      </c>
      <c r="X137" s="23">
        <f t="shared" si="39"/>
        <v>26636.924999999999</v>
      </c>
      <c r="Y137" s="20" t="s">
        <v>3144</v>
      </c>
      <c r="Z137" s="35" t="s">
        <v>6758</v>
      </c>
      <c r="AA137" s="35" t="s">
        <v>6761</v>
      </c>
      <c r="AB137" s="35" t="s">
        <v>6733</v>
      </c>
      <c r="AC137" s="35" t="s">
        <v>7049</v>
      </c>
      <c r="AD137" s="35" t="s">
        <v>6744</v>
      </c>
      <c r="AE137" s="37" t="str">
        <f t="shared" si="48"/>
        <v>52</v>
      </c>
      <c r="AG137" s="37">
        <f t="shared" si="40"/>
        <v>6102.5195174999999</v>
      </c>
      <c r="AH137" s="37">
        <f t="shared" si="41"/>
        <v>1651.4893499999998</v>
      </c>
      <c r="AI137" s="37">
        <f t="shared" si="42"/>
        <v>386.2354125</v>
      </c>
      <c r="AJ137" s="37">
        <f t="shared" si="43"/>
        <v>327.63417750000002</v>
      </c>
      <c r="AK137" s="37">
        <f t="shared" si="44"/>
        <v>503.65097790000004</v>
      </c>
      <c r="AL137" s="23">
        <v>140.04</v>
      </c>
      <c r="AM137" s="23">
        <f t="shared" si="49"/>
        <v>49.013999999999996</v>
      </c>
      <c r="AN137" s="22">
        <v>79.2</v>
      </c>
      <c r="AO137" s="22">
        <f t="shared" si="45"/>
        <v>27.72</v>
      </c>
      <c r="AP137" s="23">
        <v>13152</v>
      </c>
      <c r="AQ137" s="23">
        <f t="shared" si="46"/>
        <v>13680.052799999999</v>
      </c>
      <c r="AR137" s="23">
        <f t="shared" si="50"/>
        <v>4788.0184799999997</v>
      </c>
      <c r="AS137" s="23">
        <f t="shared" si="53"/>
        <v>4864.7524800000001</v>
      </c>
      <c r="AU137" s="20">
        <f t="shared" si="51"/>
        <v>0</v>
      </c>
      <c r="AV137" s="37">
        <f t="shared" si="47"/>
        <v>13836.281915399999</v>
      </c>
      <c r="AW137" s="37">
        <f t="shared" si="54"/>
        <v>40473.206915399998</v>
      </c>
      <c r="BA137" s="20" t="str">
        <f t="shared" si="52"/>
        <v>0.35 - PRGASST_II - Polio, Ligia</v>
      </c>
    </row>
    <row r="138" spans="1:53" ht="12.75" hidden="1" customHeight="1" x14ac:dyDescent="0.25">
      <c r="A138" s="20">
        <v>134</v>
      </c>
      <c r="B138" s="20" t="s">
        <v>6725</v>
      </c>
      <c r="C138" s="20" t="s">
        <v>7048</v>
      </c>
      <c r="D138" s="20" t="s">
        <v>6739</v>
      </c>
      <c r="E138" s="21">
        <v>1</v>
      </c>
      <c r="G138" s="35" t="s">
        <v>6740</v>
      </c>
      <c r="H138" s="20" t="s">
        <v>6741</v>
      </c>
      <c r="K138" s="23">
        <v>71910</v>
      </c>
      <c r="L138" s="23">
        <f t="shared" si="37"/>
        <v>71910</v>
      </c>
      <c r="Q138" s="26">
        <v>0.05</v>
      </c>
      <c r="R138" s="23">
        <f t="shared" si="55"/>
        <v>3595.5</v>
      </c>
      <c r="U138" s="23">
        <v>600</v>
      </c>
      <c r="V138" s="23">
        <f t="shared" si="38"/>
        <v>76105.5</v>
      </c>
      <c r="W138" s="36">
        <v>0.65</v>
      </c>
      <c r="X138" s="23">
        <f t="shared" si="39"/>
        <v>49468.575000000004</v>
      </c>
      <c r="Y138" s="20" t="s">
        <v>4944</v>
      </c>
      <c r="Z138" s="35" t="s">
        <v>6731</v>
      </c>
      <c r="AA138" s="35" t="s">
        <v>6732</v>
      </c>
      <c r="AB138" s="35" t="s">
        <v>6733</v>
      </c>
      <c r="AC138" s="35" t="s">
        <v>6734</v>
      </c>
      <c r="AD138" s="35" t="s">
        <v>6744</v>
      </c>
      <c r="AE138" s="37" t="str">
        <f t="shared" si="48"/>
        <v>52</v>
      </c>
      <c r="AG138" s="37">
        <f t="shared" si="40"/>
        <v>11333.2505325</v>
      </c>
      <c r="AH138" s="37">
        <f t="shared" si="41"/>
        <v>3067.0516500000003</v>
      </c>
      <c r="AI138" s="37">
        <f t="shared" si="42"/>
        <v>717.2943375000001</v>
      </c>
      <c r="AJ138" s="37">
        <f t="shared" si="43"/>
        <v>608.46347250000008</v>
      </c>
      <c r="AK138" s="37">
        <f t="shared" si="44"/>
        <v>935.35181610000018</v>
      </c>
      <c r="AL138" s="23">
        <v>140.04</v>
      </c>
      <c r="AM138" s="23">
        <f t="shared" si="49"/>
        <v>91.025999999999996</v>
      </c>
      <c r="AN138" s="22">
        <v>79.2</v>
      </c>
      <c r="AO138" s="22">
        <f t="shared" si="45"/>
        <v>51.480000000000004</v>
      </c>
      <c r="AP138" s="23">
        <v>13152</v>
      </c>
      <c r="AQ138" s="23">
        <f t="shared" si="46"/>
        <v>13680.052799999999</v>
      </c>
      <c r="AR138" s="23">
        <f t="shared" si="50"/>
        <v>8892.0343200000007</v>
      </c>
      <c r="AS138" s="23">
        <f t="shared" si="53"/>
        <v>9034.5403200000001</v>
      </c>
      <c r="AU138" s="20">
        <f t="shared" si="51"/>
        <v>0</v>
      </c>
      <c r="AV138" s="37">
        <f t="shared" si="47"/>
        <v>25695.952128600002</v>
      </c>
      <c r="AW138" s="37">
        <f t="shared" si="54"/>
        <v>75164.527128600006</v>
      </c>
      <c r="AX138" s="20" t="s">
        <v>6675</v>
      </c>
      <c r="AY138" s="20" t="s">
        <v>6736</v>
      </c>
      <c r="AZ138" s="20" t="s">
        <v>6737</v>
      </c>
      <c r="BA138" s="20" t="str">
        <f t="shared" si="52"/>
        <v>0.65 - PRGASST_II - Polio, Ligia</v>
      </c>
    </row>
    <row r="139" spans="1:53" ht="12.75" customHeight="1" x14ac:dyDescent="0.25">
      <c r="A139" s="20">
        <v>135</v>
      </c>
      <c r="B139" s="20" t="s">
        <v>6725</v>
      </c>
      <c r="C139" s="20" t="s">
        <v>7050</v>
      </c>
      <c r="D139" s="20" t="s">
        <v>6770</v>
      </c>
      <c r="E139" s="21">
        <v>1</v>
      </c>
      <c r="G139" s="35" t="s">
        <v>6771</v>
      </c>
      <c r="H139" s="20" t="s">
        <v>6741</v>
      </c>
      <c r="K139" s="23">
        <v>62008</v>
      </c>
      <c r="L139" s="23">
        <f t="shared" si="37"/>
        <v>62008</v>
      </c>
      <c r="Q139" s="26">
        <v>0.05</v>
      </c>
      <c r="R139" s="23">
        <f t="shared" si="55"/>
        <v>3100.4</v>
      </c>
      <c r="U139" s="23">
        <v>600</v>
      </c>
      <c r="V139" s="23">
        <f t="shared" si="38"/>
        <v>65708.399999999994</v>
      </c>
      <c r="W139" s="36">
        <v>0.2</v>
      </c>
      <c r="X139" s="23">
        <f t="shared" si="39"/>
        <v>13141.68</v>
      </c>
      <c r="Y139" s="20" t="s">
        <v>1663</v>
      </c>
      <c r="Z139" s="35" t="s">
        <v>6758</v>
      </c>
      <c r="AA139" s="35" t="s">
        <v>6772</v>
      </c>
      <c r="AB139" s="35" t="s">
        <v>6733</v>
      </c>
      <c r="AC139" s="35" t="s">
        <v>7051</v>
      </c>
      <c r="AD139" s="35" t="s">
        <v>6735</v>
      </c>
      <c r="AE139" s="37" t="str">
        <f t="shared" si="48"/>
        <v>52</v>
      </c>
      <c r="AG139" s="37">
        <f t="shared" si="40"/>
        <v>3010.7588879999998</v>
      </c>
      <c r="AH139" s="37">
        <f t="shared" si="41"/>
        <v>814.78416000000004</v>
      </c>
      <c r="AI139" s="37">
        <f t="shared" si="42"/>
        <v>190.55436</v>
      </c>
      <c r="AJ139" s="37">
        <f t="shared" si="43"/>
        <v>161.642664</v>
      </c>
      <c r="AK139" s="37">
        <f t="shared" si="44"/>
        <v>248.48288544000002</v>
      </c>
      <c r="AL139" s="23">
        <v>140.04</v>
      </c>
      <c r="AM139" s="23">
        <f t="shared" si="49"/>
        <v>28.007999999999999</v>
      </c>
      <c r="AN139" s="22">
        <v>79.2</v>
      </c>
      <c r="AO139" s="22">
        <f t="shared" si="45"/>
        <v>15.840000000000002</v>
      </c>
      <c r="AP139" s="23">
        <v>23232</v>
      </c>
      <c r="AQ139" s="23">
        <f t="shared" si="46"/>
        <v>24164.764800000001</v>
      </c>
      <c r="AR139" s="23">
        <f t="shared" si="50"/>
        <v>4832.9529600000005</v>
      </c>
      <c r="AS139" s="23">
        <f t="shared" si="53"/>
        <v>4876.8009600000005</v>
      </c>
      <c r="AT139" s="37">
        <v>2400</v>
      </c>
      <c r="AU139" s="20">
        <f t="shared" si="51"/>
        <v>480</v>
      </c>
      <c r="AV139" s="37">
        <f t="shared" si="47"/>
        <v>9783.0239174400012</v>
      </c>
      <c r="AW139" s="37">
        <f t="shared" si="54"/>
        <v>22924.703917440002</v>
      </c>
      <c r="BA139" s="20" t="str">
        <f t="shared" si="52"/>
        <v>0.2 - SCILABTEC - Polo, Tito F</v>
      </c>
    </row>
    <row r="140" spans="1:53" ht="12.75" customHeight="1" x14ac:dyDescent="0.25">
      <c r="A140" s="20">
        <v>136</v>
      </c>
      <c r="B140" s="20" t="s">
        <v>6725</v>
      </c>
      <c r="C140" s="20" t="s">
        <v>7050</v>
      </c>
      <c r="D140" s="20" t="s">
        <v>6770</v>
      </c>
      <c r="E140" s="21">
        <v>1</v>
      </c>
      <c r="G140" s="35" t="s">
        <v>6771</v>
      </c>
      <c r="H140" s="20" t="s">
        <v>6741</v>
      </c>
      <c r="K140" s="23">
        <v>62008</v>
      </c>
      <c r="L140" s="23">
        <f t="shared" si="37"/>
        <v>62008</v>
      </c>
      <c r="Q140" s="26">
        <v>0.05</v>
      </c>
      <c r="R140" s="23">
        <f t="shared" si="55"/>
        <v>3100.4</v>
      </c>
      <c r="U140" s="23">
        <v>600</v>
      </c>
      <c r="V140" s="23">
        <f t="shared" si="38"/>
        <v>65708.399999999994</v>
      </c>
      <c r="W140" s="36">
        <v>0.75</v>
      </c>
      <c r="X140" s="23">
        <f t="shared" si="39"/>
        <v>49281.299999999996</v>
      </c>
      <c r="Y140" s="20" t="s">
        <v>1732</v>
      </c>
      <c r="Z140" s="35" t="s">
        <v>6758</v>
      </c>
      <c r="AA140" s="35" t="s">
        <v>6772</v>
      </c>
      <c r="AB140" s="35" t="s">
        <v>6733</v>
      </c>
      <c r="AC140" s="35" t="s">
        <v>7052</v>
      </c>
      <c r="AD140" s="35" t="s">
        <v>6735</v>
      </c>
      <c r="AE140" s="37" t="str">
        <f t="shared" si="48"/>
        <v>52</v>
      </c>
      <c r="AG140" s="37">
        <f t="shared" si="40"/>
        <v>11290.345829999998</v>
      </c>
      <c r="AH140" s="37">
        <f t="shared" si="41"/>
        <v>3055.4405999999999</v>
      </c>
      <c r="AI140" s="37">
        <f t="shared" si="42"/>
        <v>714.57884999999999</v>
      </c>
      <c r="AJ140" s="37">
        <f t="shared" si="43"/>
        <v>606.15998999999999</v>
      </c>
      <c r="AK140" s="37">
        <f t="shared" si="44"/>
        <v>931.81082040000001</v>
      </c>
      <c r="AL140" s="23">
        <v>140.04</v>
      </c>
      <c r="AM140" s="23">
        <f t="shared" si="49"/>
        <v>105.03</v>
      </c>
      <c r="AN140" s="22">
        <v>79.2</v>
      </c>
      <c r="AO140" s="22">
        <f t="shared" si="45"/>
        <v>59.400000000000006</v>
      </c>
      <c r="AP140" s="23">
        <v>23232</v>
      </c>
      <c r="AQ140" s="23">
        <f t="shared" si="46"/>
        <v>24164.764800000001</v>
      </c>
      <c r="AR140" s="23">
        <f t="shared" si="50"/>
        <v>18123.5736</v>
      </c>
      <c r="AS140" s="23">
        <f t="shared" si="53"/>
        <v>18288.0036</v>
      </c>
      <c r="AT140" s="37">
        <v>2400</v>
      </c>
      <c r="AU140" s="20">
        <f t="shared" si="51"/>
        <v>1800</v>
      </c>
      <c r="AV140" s="37">
        <f t="shared" si="47"/>
        <v>36686.339690399996</v>
      </c>
      <c r="AW140" s="37">
        <f t="shared" si="54"/>
        <v>85967.639690399985</v>
      </c>
      <c r="BA140" s="20" t="str">
        <f t="shared" si="52"/>
        <v>0.75 - SCILABTEC - Polo, Tito F</v>
      </c>
    </row>
    <row r="141" spans="1:53" ht="12.75" customHeight="1" x14ac:dyDescent="0.25">
      <c r="A141" s="20">
        <v>137</v>
      </c>
      <c r="B141" s="20" t="s">
        <v>6725</v>
      </c>
      <c r="C141" s="20" t="s">
        <v>7050</v>
      </c>
      <c r="D141" s="20" t="s">
        <v>6770</v>
      </c>
      <c r="E141" s="21">
        <v>1</v>
      </c>
      <c r="G141" s="35" t="s">
        <v>6771</v>
      </c>
      <c r="H141" s="20" t="s">
        <v>6741</v>
      </c>
      <c r="K141" s="23">
        <v>62008</v>
      </c>
      <c r="L141" s="23">
        <f t="shared" si="37"/>
        <v>62008</v>
      </c>
      <c r="Q141" s="26">
        <v>0.05</v>
      </c>
      <c r="R141" s="23">
        <f t="shared" si="55"/>
        <v>3100.4</v>
      </c>
      <c r="U141" s="23">
        <v>600</v>
      </c>
      <c r="V141" s="23">
        <f t="shared" si="38"/>
        <v>65708.399999999994</v>
      </c>
      <c r="W141" s="36">
        <v>0.05</v>
      </c>
      <c r="X141" s="23">
        <f t="shared" si="39"/>
        <v>3285.42</v>
      </c>
      <c r="Y141" s="20" t="s">
        <v>1823</v>
      </c>
      <c r="Z141" s="35" t="s">
        <v>6758</v>
      </c>
      <c r="AA141" s="35" t="s">
        <v>6772</v>
      </c>
      <c r="AB141" s="35" t="s">
        <v>6733</v>
      </c>
      <c r="AC141" s="35" t="s">
        <v>7053</v>
      </c>
      <c r="AD141" s="35" t="s">
        <v>6735</v>
      </c>
      <c r="AE141" s="37" t="str">
        <f t="shared" si="48"/>
        <v>52</v>
      </c>
      <c r="AG141" s="37">
        <f t="shared" si="40"/>
        <v>752.68972199999996</v>
      </c>
      <c r="AH141" s="37">
        <f t="shared" si="41"/>
        <v>203.69604000000001</v>
      </c>
      <c r="AI141" s="37">
        <f t="shared" si="42"/>
        <v>47.638590000000001</v>
      </c>
      <c r="AJ141" s="37">
        <f t="shared" si="43"/>
        <v>40.410665999999999</v>
      </c>
      <c r="AK141" s="37">
        <f t="shared" si="44"/>
        <v>62.120721360000005</v>
      </c>
      <c r="AL141" s="23">
        <v>140.04</v>
      </c>
      <c r="AM141" s="23">
        <f t="shared" si="49"/>
        <v>7.0019999999999998</v>
      </c>
      <c r="AN141" s="22">
        <v>79.2</v>
      </c>
      <c r="AO141" s="22">
        <f t="shared" si="45"/>
        <v>3.9600000000000004</v>
      </c>
      <c r="AP141" s="23">
        <v>23232</v>
      </c>
      <c r="AQ141" s="23">
        <f t="shared" si="46"/>
        <v>24164.764800000001</v>
      </c>
      <c r="AR141" s="23">
        <f t="shared" si="50"/>
        <v>1208.2382400000001</v>
      </c>
      <c r="AS141" s="23">
        <f t="shared" si="53"/>
        <v>1219.2002400000001</v>
      </c>
      <c r="AT141" s="37">
        <v>2400</v>
      </c>
      <c r="AU141" s="20">
        <f t="shared" si="51"/>
        <v>120</v>
      </c>
      <c r="AV141" s="37">
        <f t="shared" si="47"/>
        <v>2445.7559793600003</v>
      </c>
      <c r="AW141" s="37">
        <f t="shared" si="54"/>
        <v>5731.1759793600004</v>
      </c>
      <c r="BA141" s="20" t="str">
        <f t="shared" si="52"/>
        <v>0.05 - SCILABTEC - Polo, Tito F</v>
      </c>
    </row>
    <row r="142" spans="1:53" ht="12.75" hidden="1" customHeight="1" x14ac:dyDescent="0.25">
      <c r="A142" s="20">
        <v>138</v>
      </c>
      <c r="B142" s="20" t="s">
        <v>6725</v>
      </c>
      <c r="C142" s="20" t="s">
        <v>7054</v>
      </c>
      <c r="D142" s="20" t="s">
        <v>6727</v>
      </c>
      <c r="E142" s="21">
        <v>0.7</v>
      </c>
      <c r="F142" s="34">
        <v>44621</v>
      </c>
      <c r="G142" s="35" t="s">
        <v>6728</v>
      </c>
      <c r="H142" s="20" t="s">
        <v>6783</v>
      </c>
      <c r="I142" s="22">
        <f>5714*8*E142</f>
        <v>31998.399999999998</v>
      </c>
      <c r="J142" s="20" t="s">
        <v>6729</v>
      </c>
      <c r="K142" s="23">
        <f>6000*E142*4</f>
        <v>16800</v>
      </c>
      <c r="L142" s="23">
        <f t="shared" si="37"/>
        <v>48798.399999999994</v>
      </c>
      <c r="V142" s="23">
        <f t="shared" si="38"/>
        <v>48798.399999999994</v>
      </c>
      <c r="W142" s="36">
        <v>1</v>
      </c>
      <c r="X142" s="23">
        <f t="shared" si="39"/>
        <v>48798.399999999994</v>
      </c>
      <c r="Y142" s="20" t="s">
        <v>4946</v>
      </c>
      <c r="Z142" s="35" t="s">
        <v>6731</v>
      </c>
      <c r="AA142" s="35" t="s">
        <v>6732</v>
      </c>
      <c r="AB142" s="35" t="s">
        <v>6733</v>
      </c>
      <c r="AC142" s="35" t="s">
        <v>6734</v>
      </c>
      <c r="AD142" s="35" t="s">
        <v>6735</v>
      </c>
      <c r="AE142" s="37" t="str">
        <f t="shared" si="48"/>
        <v>52</v>
      </c>
      <c r="AG142" s="37">
        <f t="shared" si="40"/>
        <v>11179.713439999998</v>
      </c>
      <c r="AH142" s="37">
        <f t="shared" si="41"/>
        <v>3025.5007999999998</v>
      </c>
      <c r="AI142" s="37">
        <f t="shared" si="42"/>
        <v>707.57679999999993</v>
      </c>
      <c r="AJ142" s="37">
        <f t="shared" si="43"/>
        <v>600.2203199999999</v>
      </c>
      <c r="AK142" s="37">
        <f t="shared" si="44"/>
        <v>922.68014719999996</v>
      </c>
      <c r="AL142" s="23">
        <v>140.04</v>
      </c>
      <c r="AM142" s="23">
        <f t="shared" si="49"/>
        <v>140.04</v>
      </c>
      <c r="AO142" s="22">
        <f t="shared" si="45"/>
        <v>0</v>
      </c>
      <c r="AP142" s="23">
        <v>0</v>
      </c>
      <c r="AQ142" s="23">
        <f t="shared" si="46"/>
        <v>0</v>
      </c>
      <c r="AR142" s="23">
        <f t="shared" si="50"/>
        <v>0</v>
      </c>
      <c r="AS142" s="23">
        <f t="shared" si="53"/>
        <v>140.04</v>
      </c>
      <c r="AU142" s="20">
        <f t="shared" si="51"/>
        <v>0</v>
      </c>
      <c r="AV142" s="37">
        <f t="shared" si="47"/>
        <v>16575.731507199998</v>
      </c>
      <c r="AW142" s="37">
        <f t="shared" si="54"/>
        <v>65374.131507199992</v>
      </c>
      <c r="AX142" s="20" t="s">
        <v>6675</v>
      </c>
      <c r="AY142" s="20" t="s">
        <v>6736</v>
      </c>
      <c r="AZ142" s="20" t="s">
        <v>6737</v>
      </c>
      <c r="BA142" s="20" t="str">
        <f t="shared" si="52"/>
        <v>1 - ASUPSP - Provencio, Valeria</v>
      </c>
    </row>
    <row r="143" spans="1:53" ht="12.75" customHeight="1" x14ac:dyDescent="0.25">
      <c r="A143" s="20">
        <v>139</v>
      </c>
      <c r="B143" s="20" t="s">
        <v>6725</v>
      </c>
      <c r="C143" s="20" t="s">
        <v>7055</v>
      </c>
      <c r="D143" s="20" t="s">
        <v>6934</v>
      </c>
      <c r="E143" s="21">
        <v>1</v>
      </c>
      <c r="G143" s="35" t="s">
        <v>6935</v>
      </c>
      <c r="H143" s="20" t="s">
        <v>6741</v>
      </c>
      <c r="K143" s="23">
        <v>89806</v>
      </c>
      <c r="L143" s="23">
        <f t="shared" si="37"/>
        <v>89806</v>
      </c>
      <c r="V143" s="23">
        <f t="shared" si="38"/>
        <v>89806</v>
      </c>
      <c r="W143" s="36">
        <v>1</v>
      </c>
      <c r="X143" s="23">
        <f t="shared" si="39"/>
        <v>89806</v>
      </c>
      <c r="Y143" s="20" t="s">
        <v>3290</v>
      </c>
      <c r="Z143" s="35" t="s">
        <v>6758</v>
      </c>
      <c r="AA143" s="35" t="s">
        <v>6777</v>
      </c>
      <c r="AB143" s="35" t="s">
        <v>6733</v>
      </c>
      <c r="AC143" s="35" t="s">
        <v>6778</v>
      </c>
      <c r="AD143" s="35" t="s">
        <v>6744</v>
      </c>
      <c r="AE143" s="37" t="str">
        <f t="shared" si="48"/>
        <v>52</v>
      </c>
      <c r="AG143" s="37">
        <f t="shared" si="40"/>
        <v>20574.554599999999</v>
      </c>
      <c r="AH143" s="37">
        <f t="shared" si="41"/>
        <v>5567.9719999999998</v>
      </c>
      <c r="AI143" s="37">
        <f t="shared" si="42"/>
        <v>1302.1870000000001</v>
      </c>
      <c r="AJ143" s="37">
        <f t="shared" si="43"/>
        <v>1104.6138000000001</v>
      </c>
      <c r="AK143" s="37">
        <f t="shared" si="44"/>
        <v>1698.0518480000001</v>
      </c>
      <c r="AL143" s="23">
        <v>140.04</v>
      </c>
      <c r="AM143" s="23">
        <f t="shared" si="49"/>
        <v>140.04</v>
      </c>
      <c r="AN143" s="22">
        <v>79.2</v>
      </c>
      <c r="AO143" s="22">
        <f t="shared" si="45"/>
        <v>79.2</v>
      </c>
      <c r="AP143" s="23">
        <v>5328</v>
      </c>
      <c r="AQ143" s="23">
        <f t="shared" si="46"/>
        <v>5541.9192000000003</v>
      </c>
      <c r="AR143" s="23">
        <f t="shared" si="50"/>
        <v>5541.9192000000003</v>
      </c>
      <c r="AS143" s="23">
        <f t="shared" si="53"/>
        <v>5761.1592000000001</v>
      </c>
      <c r="AT143" s="37">
        <v>2400</v>
      </c>
      <c r="AU143" s="20">
        <f t="shared" si="51"/>
        <v>2400</v>
      </c>
      <c r="AV143" s="37">
        <f t="shared" si="47"/>
        <v>38408.538447999999</v>
      </c>
      <c r="AW143" s="37">
        <f t="shared" si="54"/>
        <v>128214.53844800001</v>
      </c>
      <c r="BA143" s="20" t="str">
        <f t="shared" si="52"/>
        <v xml:space="preserve">1 - PROG_ANLYT - Pullum, Shawn </v>
      </c>
    </row>
    <row r="144" spans="1:53" ht="12.75" customHeight="1" x14ac:dyDescent="0.25">
      <c r="A144" s="20">
        <v>140</v>
      </c>
      <c r="B144" s="20" t="s">
        <v>6725</v>
      </c>
      <c r="C144" s="20" t="s">
        <v>7056</v>
      </c>
      <c r="D144" s="20" t="s">
        <v>6785</v>
      </c>
      <c r="E144" s="21">
        <v>1</v>
      </c>
      <c r="G144" s="35" t="s">
        <v>6786</v>
      </c>
      <c r="H144" s="20" t="s">
        <v>6741</v>
      </c>
      <c r="K144" s="23">
        <v>59019</v>
      </c>
      <c r="L144" s="23">
        <f t="shared" si="37"/>
        <v>59019</v>
      </c>
      <c r="Q144" s="26">
        <v>2.5000000000000001E-2</v>
      </c>
      <c r="R144" s="23">
        <f>L144*Q144</f>
        <v>1475.4750000000001</v>
      </c>
      <c r="U144" s="23">
        <v>600</v>
      </c>
      <c r="V144" s="23">
        <f t="shared" si="38"/>
        <v>61094.474999999999</v>
      </c>
      <c r="W144" s="36">
        <v>1</v>
      </c>
      <c r="X144" s="23">
        <f t="shared" si="39"/>
        <v>61094.474999999999</v>
      </c>
      <c r="Y144" s="20" t="s">
        <v>1072</v>
      </c>
      <c r="Z144" s="35" t="s">
        <v>6758</v>
      </c>
      <c r="AA144" s="35" t="s">
        <v>7008</v>
      </c>
      <c r="AB144" s="35" t="s">
        <v>6733</v>
      </c>
      <c r="AC144" s="35" t="s">
        <v>6805</v>
      </c>
      <c r="AD144" s="35" t="s">
        <v>6744</v>
      </c>
      <c r="AE144" s="37" t="str">
        <f t="shared" si="48"/>
        <v>52</v>
      </c>
      <c r="AG144" s="37">
        <f t="shared" si="40"/>
        <v>13996.7442225</v>
      </c>
      <c r="AH144" s="37">
        <f t="shared" si="41"/>
        <v>3787.85745</v>
      </c>
      <c r="AI144" s="37">
        <f t="shared" si="42"/>
        <v>885.8698875</v>
      </c>
      <c r="AJ144" s="37">
        <f t="shared" si="43"/>
        <v>751.46204249999994</v>
      </c>
      <c r="AK144" s="37">
        <f t="shared" si="44"/>
        <v>1155.1743332999999</v>
      </c>
      <c r="AL144" s="23">
        <v>140.04</v>
      </c>
      <c r="AM144" s="23">
        <f t="shared" si="49"/>
        <v>140.04</v>
      </c>
      <c r="AN144" s="22">
        <v>79.2</v>
      </c>
      <c r="AO144" s="22">
        <f t="shared" si="45"/>
        <v>79.2</v>
      </c>
      <c r="AP144" s="23">
        <v>13152</v>
      </c>
      <c r="AQ144" s="23">
        <f t="shared" si="46"/>
        <v>13680.052799999999</v>
      </c>
      <c r="AR144" s="23">
        <f t="shared" si="50"/>
        <v>13680.052799999999</v>
      </c>
      <c r="AS144" s="23">
        <f t="shared" si="53"/>
        <v>13899.292799999999</v>
      </c>
      <c r="AU144" s="20">
        <f t="shared" si="51"/>
        <v>0</v>
      </c>
      <c r="AV144" s="37">
        <f t="shared" si="47"/>
        <v>34476.400735800002</v>
      </c>
      <c r="AW144" s="37">
        <f t="shared" si="54"/>
        <v>95570.8757358</v>
      </c>
      <c r="BA144" s="20" t="str">
        <f t="shared" si="52"/>
        <v>1 - ADMASSTIII - Ramirez, Alicia</v>
      </c>
    </row>
    <row r="145" spans="1:53" s="39" customFormat="1" ht="12.75" hidden="1" customHeight="1" x14ac:dyDescent="0.25">
      <c r="A145" s="39" t="s">
        <v>7057</v>
      </c>
      <c r="B145" s="39" t="s">
        <v>6725</v>
      </c>
      <c r="C145" s="39" t="s">
        <v>6827</v>
      </c>
      <c r="D145" s="39" t="s">
        <v>6767</v>
      </c>
      <c r="E145" s="41">
        <v>1</v>
      </c>
      <c r="F145" s="42">
        <v>44593</v>
      </c>
      <c r="G145" s="43" t="s">
        <v>6757</v>
      </c>
      <c r="H145" s="39" t="s">
        <v>6783</v>
      </c>
      <c r="I145" s="44">
        <f>4575*7</f>
        <v>32025</v>
      </c>
      <c r="J145" s="39" t="s">
        <v>6729</v>
      </c>
      <c r="K145" s="45">
        <f>4804*5</f>
        <v>24020</v>
      </c>
      <c r="L145" s="45">
        <f t="shared" si="37"/>
        <v>56045</v>
      </c>
      <c r="M145" s="45"/>
      <c r="N145" s="45"/>
      <c r="O145" s="46"/>
      <c r="P145" s="45"/>
      <c r="Q145" s="47"/>
      <c r="R145" s="45"/>
      <c r="S145" s="47"/>
      <c r="T145" s="45"/>
      <c r="U145" s="45">
        <v>1200</v>
      </c>
      <c r="V145" s="45">
        <f t="shared" si="38"/>
        <v>57245</v>
      </c>
      <c r="W145" s="48">
        <v>0.3</v>
      </c>
      <c r="X145" s="45">
        <f t="shared" si="39"/>
        <v>17173.5</v>
      </c>
      <c r="Y145" s="39" t="s">
        <v>5038</v>
      </c>
      <c r="Z145" s="43" t="s">
        <v>6731</v>
      </c>
      <c r="AA145" s="43" t="s">
        <v>6732</v>
      </c>
      <c r="AB145" s="43" t="s">
        <v>6733</v>
      </c>
      <c r="AC145" s="43" t="s">
        <v>7058</v>
      </c>
      <c r="AD145" s="43" t="s">
        <v>6744</v>
      </c>
      <c r="AE145" s="37" t="str">
        <f t="shared" si="48"/>
        <v>52</v>
      </c>
      <c r="AG145" s="49">
        <f t="shared" si="40"/>
        <v>3934.4488499999998</v>
      </c>
      <c r="AH145" s="49">
        <f t="shared" si="41"/>
        <v>1064.7570000000001</v>
      </c>
      <c r="AI145" s="49">
        <f t="shared" si="42"/>
        <v>249.01575000000003</v>
      </c>
      <c r="AJ145" s="49">
        <f t="shared" si="43"/>
        <v>211.23405</v>
      </c>
      <c r="AK145" s="49">
        <f t="shared" si="44"/>
        <v>324.71653800000001</v>
      </c>
      <c r="AL145" s="45">
        <v>140.04</v>
      </c>
      <c r="AM145" s="23">
        <f t="shared" si="49"/>
        <v>42.011999999999993</v>
      </c>
      <c r="AN145" s="44">
        <v>79.2</v>
      </c>
      <c r="AO145" s="22">
        <f t="shared" si="45"/>
        <v>23.76</v>
      </c>
      <c r="AP145" s="45">
        <v>33444</v>
      </c>
      <c r="AQ145" s="23">
        <f t="shared" si="46"/>
        <v>34786.776599999997</v>
      </c>
      <c r="AR145" s="23">
        <f t="shared" si="50"/>
        <v>10436.032979999998</v>
      </c>
      <c r="AS145" s="45">
        <f t="shared" si="53"/>
        <v>10501.804979999999</v>
      </c>
      <c r="AU145" s="20">
        <f t="shared" si="51"/>
        <v>0</v>
      </c>
      <c r="AV145" s="37">
        <f t="shared" si="47"/>
        <v>16285.977167999998</v>
      </c>
      <c r="AW145" s="49">
        <f t="shared" si="54"/>
        <v>33459.477167999998</v>
      </c>
      <c r="AX145" s="39" t="s">
        <v>6675</v>
      </c>
      <c r="AY145" s="39" t="s">
        <v>6829</v>
      </c>
      <c r="AZ145" s="39" t="s">
        <v>6830</v>
      </c>
      <c r="BA145" s="39" t="str">
        <f t="shared" si="52"/>
        <v>0.3 - PROGASST_I - De Leon, Maria</v>
      </c>
    </row>
    <row r="146" spans="1:53" s="39" customFormat="1" ht="12.75" hidden="1" customHeight="1" x14ac:dyDescent="0.25">
      <c r="A146" s="39" t="s">
        <v>7059</v>
      </c>
      <c r="B146" s="39" t="s">
        <v>6725</v>
      </c>
      <c r="C146" s="39" t="s">
        <v>7060</v>
      </c>
      <c r="D146" s="39" t="s">
        <v>6739</v>
      </c>
      <c r="E146" s="41">
        <v>1</v>
      </c>
      <c r="F146" s="42">
        <v>44562</v>
      </c>
      <c r="G146" s="43" t="s">
        <v>6740</v>
      </c>
      <c r="H146" s="39" t="s">
        <v>6783</v>
      </c>
      <c r="I146" s="44">
        <f>5177*6</f>
        <v>31062</v>
      </c>
      <c r="J146" s="39" t="s">
        <v>6729</v>
      </c>
      <c r="K146" s="45">
        <f>5435*6</f>
        <v>32610</v>
      </c>
      <c r="L146" s="45">
        <f t="shared" si="37"/>
        <v>63672</v>
      </c>
      <c r="M146" s="45"/>
      <c r="N146" s="45"/>
      <c r="O146" s="46"/>
      <c r="P146" s="45"/>
      <c r="Q146" s="47"/>
      <c r="R146" s="45"/>
      <c r="S146" s="47"/>
      <c r="T146" s="45"/>
      <c r="U146" s="45">
        <v>1200</v>
      </c>
      <c r="V146" s="45">
        <f t="shared" si="38"/>
        <v>64872</v>
      </c>
      <c r="W146" s="48">
        <v>0.2</v>
      </c>
      <c r="X146" s="45">
        <f t="shared" si="39"/>
        <v>12974.400000000001</v>
      </c>
      <c r="Y146" s="39" t="s">
        <v>5038</v>
      </c>
      <c r="Z146" s="43" t="s">
        <v>6731</v>
      </c>
      <c r="AA146" s="43" t="s">
        <v>6732</v>
      </c>
      <c r="AB146" s="43" t="s">
        <v>6733</v>
      </c>
      <c r="AC146" s="43" t="s">
        <v>7058</v>
      </c>
      <c r="AD146" s="43" t="s">
        <v>6744</v>
      </c>
      <c r="AE146" s="37" t="str">
        <f t="shared" si="48"/>
        <v>52</v>
      </c>
      <c r="AG146" s="49">
        <f t="shared" si="40"/>
        <v>2972.4350400000003</v>
      </c>
      <c r="AH146" s="49">
        <f t="shared" si="41"/>
        <v>804.41280000000006</v>
      </c>
      <c r="AI146" s="49">
        <f t="shared" si="42"/>
        <v>188.12880000000004</v>
      </c>
      <c r="AJ146" s="49">
        <f t="shared" si="43"/>
        <v>159.58512000000002</v>
      </c>
      <c r="AK146" s="49">
        <f t="shared" si="44"/>
        <v>245.31995520000004</v>
      </c>
      <c r="AL146" s="45">
        <v>140.04</v>
      </c>
      <c r="AM146" s="23">
        <f t="shared" si="49"/>
        <v>28.007999999999999</v>
      </c>
      <c r="AN146" s="44">
        <v>79.2</v>
      </c>
      <c r="AO146" s="22">
        <f t="shared" si="45"/>
        <v>15.840000000000002</v>
      </c>
      <c r="AP146" s="45">
        <v>33444</v>
      </c>
      <c r="AQ146" s="23">
        <f t="shared" si="46"/>
        <v>34786.776599999997</v>
      </c>
      <c r="AR146" s="23">
        <f t="shared" si="50"/>
        <v>6957.3553199999997</v>
      </c>
      <c r="AS146" s="45">
        <f t="shared" si="53"/>
        <v>7001.2033199999996</v>
      </c>
      <c r="AU146" s="20">
        <f t="shared" si="51"/>
        <v>0</v>
      </c>
      <c r="AV146" s="37">
        <f t="shared" si="47"/>
        <v>11371.0850352</v>
      </c>
      <c r="AW146" s="49">
        <f t="shared" si="54"/>
        <v>24345.485035199999</v>
      </c>
      <c r="AX146" s="39" t="s">
        <v>6675</v>
      </c>
      <c r="AY146" s="39" t="s">
        <v>6829</v>
      </c>
      <c r="AZ146" s="39" t="s">
        <v>6830</v>
      </c>
      <c r="BA146" s="39" t="str">
        <f t="shared" si="52"/>
        <v>0.2 - PRGASST_II - Regalado, Christian</v>
      </c>
    </row>
    <row r="147" spans="1:53" ht="12.75" hidden="1" customHeight="1" x14ac:dyDescent="0.25">
      <c r="A147" s="20">
        <v>141</v>
      </c>
      <c r="B147" s="20" t="s">
        <v>6725</v>
      </c>
      <c r="C147" s="20" t="s">
        <v>7060</v>
      </c>
      <c r="D147" s="20" t="s">
        <v>6739</v>
      </c>
      <c r="E147" s="21">
        <v>1</v>
      </c>
      <c r="F147" s="34">
        <v>44562</v>
      </c>
      <c r="G147" s="35" t="s">
        <v>6740</v>
      </c>
      <c r="H147" s="20" t="s">
        <v>6783</v>
      </c>
      <c r="I147" s="22">
        <f>5177*6</f>
        <v>31062</v>
      </c>
      <c r="J147" s="20" t="s">
        <v>6729</v>
      </c>
      <c r="K147" s="23">
        <f>5435*6</f>
        <v>32610</v>
      </c>
      <c r="L147" s="23">
        <f t="shared" si="37"/>
        <v>63672</v>
      </c>
      <c r="U147" s="23">
        <v>1200</v>
      </c>
      <c r="V147" s="23">
        <f t="shared" si="38"/>
        <v>64872</v>
      </c>
      <c r="W147" s="36">
        <v>0.8</v>
      </c>
      <c r="X147" s="23">
        <f t="shared" si="39"/>
        <v>51897.600000000006</v>
      </c>
      <c r="Y147" s="20" t="s">
        <v>5078</v>
      </c>
      <c r="Z147" s="35" t="s">
        <v>6731</v>
      </c>
      <c r="AA147" s="35" t="s">
        <v>6732</v>
      </c>
      <c r="AB147" s="35" t="s">
        <v>6733</v>
      </c>
      <c r="AC147" s="35" t="s">
        <v>6828</v>
      </c>
      <c r="AD147" s="35" t="s">
        <v>6744</v>
      </c>
      <c r="AE147" s="37" t="str">
        <f t="shared" si="48"/>
        <v>52</v>
      </c>
      <c r="AG147" s="37">
        <f t="shared" si="40"/>
        <v>11889.740160000001</v>
      </c>
      <c r="AH147" s="37">
        <f t="shared" si="41"/>
        <v>3217.6512000000002</v>
      </c>
      <c r="AI147" s="37">
        <f t="shared" si="42"/>
        <v>752.51520000000016</v>
      </c>
      <c r="AJ147" s="37">
        <f t="shared" si="43"/>
        <v>638.34048000000007</v>
      </c>
      <c r="AK147" s="37">
        <f t="shared" si="44"/>
        <v>981.27982080000015</v>
      </c>
      <c r="AL147" s="23">
        <v>140.04</v>
      </c>
      <c r="AM147" s="23">
        <f t="shared" si="49"/>
        <v>112.032</v>
      </c>
      <c r="AN147" s="22">
        <v>79.2</v>
      </c>
      <c r="AO147" s="22">
        <f t="shared" si="45"/>
        <v>63.360000000000007</v>
      </c>
      <c r="AP147" s="23">
        <v>33444</v>
      </c>
      <c r="AQ147" s="23">
        <f t="shared" si="46"/>
        <v>34786.776599999997</v>
      </c>
      <c r="AR147" s="23">
        <f t="shared" si="50"/>
        <v>27829.421279999999</v>
      </c>
      <c r="AS147" s="23">
        <f t="shared" si="53"/>
        <v>28004.813279999998</v>
      </c>
      <c r="AU147" s="20">
        <f t="shared" si="51"/>
        <v>0</v>
      </c>
      <c r="AV147" s="37">
        <f t="shared" si="47"/>
        <v>45484.340140799999</v>
      </c>
      <c r="AW147" s="37">
        <f t="shared" si="54"/>
        <v>97381.940140799998</v>
      </c>
      <c r="AX147" s="20" t="s">
        <v>6675</v>
      </c>
      <c r="AY147" s="20" t="s">
        <v>6829</v>
      </c>
      <c r="AZ147" s="20" t="s">
        <v>6830</v>
      </c>
      <c r="BA147" s="20" t="str">
        <f t="shared" si="52"/>
        <v>0.8 - PRGASST_II - Regalado, Christian</v>
      </c>
    </row>
    <row r="148" spans="1:53" ht="12.75" customHeight="1" x14ac:dyDescent="0.25">
      <c r="A148" s="20">
        <v>142</v>
      </c>
      <c r="B148" s="20" t="s">
        <v>6725</v>
      </c>
      <c r="C148" s="20" t="s">
        <v>7061</v>
      </c>
      <c r="D148" s="20" t="s">
        <v>7062</v>
      </c>
      <c r="E148" s="21">
        <v>1</v>
      </c>
      <c r="G148" s="35" t="s">
        <v>6728</v>
      </c>
      <c r="H148" s="20" t="s">
        <v>6741</v>
      </c>
      <c r="K148" s="23">
        <v>77440</v>
      </c>
      <c r="L148" s="23">
        <f t="shared" si="37"/>
        <v>77440</v>
      </c>
      <c r="U148" s="23">
        <v>600</v>
      </c>
      <c r="V148" s="23">
        <f t="shared" si="38"/>
        <v>78040</v>
      </c>
      <c r="W148" s="36">
        <v>1</v>
      </c>
      <c r="X148" s="23">
        <f t="shared" si="39"/>
        <v>78040</v>
      </c>
      <c r="Y148" s="20" t="s">
        <v>3090</v>
      </c>
      <c r="Z148" s="35" t="s">
        <v>6758</v>
      </c>
      <c r="AA148" s="35" t="s">
        <v>6761</v>
      </c>
      <c r="AB148" s="35" t="s">
        <v>6733</v>
      </c>
      <c r="AC148" s="35" t="s">
        <v>6762</v>
      </c>
      <c r="AD148" s="35" t="s">
        <v>6744</v>
      </c>
      <c r="AE148" s="37" t="str">
        <f t="shared" si="48"/>
        <v>52</v>
      </c>
      <c r="AG148" s="37">
        <f t="shared" si="40"/>
        <v>17878.964</v>
      </c>
      <c r="AH148" s="37">
        <f t="shared" si="41"/>
        <v>4838.4799999999996</v>
      </c>
      <c r="AI148" s="37">
        <f t="shared" si="42"/>
        <v>1131.5800000000002</v>
      </c>
      <c r="AJ148" s="37">
        <f t="shared" si="43"/>
        <v>959.89200000000005</v>
      </c>
      <c r="AK148" s="37">
        <f t="shared" si="44"/>
        <v>1475.58032</v>
      </c>
      <c r="AL148" s="23">
        <v>140.04</v>
      </c>
      <c r="AM148" s="23">
        <f t="shared" si="49"/>
        <v>140.04</v>
      </c>
      <c r="AN148" s="22">
        <v>79.2</v>
      </c>
      <c r="AO148" s="22">
        <f t="shared" si="45"/>
        <v>79.2</v>
      </c>
      <c r="AP148" s="23">
        <v>33444</v>
      </c>
      <c r="AQ148" s="23">
        <f t="shared" si="46"/>
        <v>34786.776599999997</v>
      </c>
      <c r="AR148" s="23">
        <f t="shared" si="50"/>
        <v>34786.776599999997</v>
      </c>
      <c r="AS148" s="23">
        <f t="shared" si="53"/>
        <v>35006.016599999995</v>
      </c>
      <c r="AU148" s="20">
        <f t="shared" si="51"/>
        <v>0</v>
      </c>
      <c r="AV148" s="37">
        <f t="shared" si="47"/>
        <v>61290.512920000001</v>
      </c>
      <c r="AW148" s="37">
        <f t="shared" si="54"/>
        <v>139330.51292000001</v>
      </c>
      <c r="BA148" s="20" t="str">
        <f t="shared" si="52"/>
        <v xml:space="preserve">1 - FA_LEAD - Reyes, Marina </v>
      </c>
    </row>
    <row r="149" spans="1:53" ht="12.75" customHeight="1" x14ac:dyDescent="0.25">
      <c r="A149" s="20">
        <v>143</v>
      </c>
      <c r="B149" s="20" t="s">
        <v>6725</v>
      </c>
      <c r="C149" s="20" t="s">
        <v>7063</v>
      </c>
      <c r="D149" s="20" t="s">
        <v>7064</v>
      </c>
      <c r="E149" s="21">
        <v>1</v>
      </c>
      <c r="G149" s="35" t="s">
        <v>6873</v>
      </c>
      <c r="H149" s="20" t="s">
        <v>6741</v>
      </c>
      <c r="K149" s="23">
        <v>56176</v>
      </c>
      <c r="L149" s="23">
        <f t="shared" si="37"/>
        <v>56176</v>
      </c>
      <c r="Q149" s="26">
        <v>7.4999999999999997E-2</v>
      </c>
      <c r="R149" s="23">
        <f>L149*Q149</f>
        <v>4213.2</v>
      </c>
      <c r="T149" s="23">
        <f>M149*S149/12*9</f>
        <v>0</v>
      </c>
      <c r="V149" s="23">
        <f t="shared" si="38"/>
        <v>60389.2</v>
      </c>
      <c r="W149" s="36">
        <v>1</v>
      </c>
      <c r="X149" s="23">
        <f t="shared" si="39"/>
        <v>60389.2</v>
      </c>
      <c r="Y149" s="20" t="s">
        <v>784</v>
      </c>
      <c r="Z149" s="35" t="s">
        <v>6758</v>
      </c>
      <c r="AA149" s="35" t="s">
        <v>6861</v>
      </c>
      <c r="AB149" s="35" t="s">
        <v>6733</v>
      </c>
      <c r="AC149" s="35" t="s">
        <v>6965</v>
      </c>
      <c r="AD149" s="35" t="s">
        <v>6744</v>
      </c>
      <c r="AE149" s="37" t="str">
        <f t="shared" si="48"/>
        <v>52</v>
      </c>
      <c r="AG149" s="37">
        <f t="shared" si="40"/>
        <v>13835.165719999999</v>
      </c>
      <c r="AH149" s="37">
        <f t="shared" si="41"/>
        <v>3744.1304</v>
      </c>
      <c r="AI149" s="37">
        <f t="shared" si="42"/>
        <v>875.64340000000004</v>
      </c>
      <c r="AJ149" s="37">
        <f t="shared" si="43"/>
        <v>742.78715999999997</v>
      </c>
      <c r="AK149" s="37">
        <f t="shared" si="44"/>
        <v>1141.8389936000001</v>
      </c>
      <c r="AL149" s="23">
        <v>140.04</v>
      </c>
      <c r="AM149" s="23">
        <f t="shared" si="49"/>
        <v>140.04</v>
      </c>
      <c r="AN149" s="22">
        <v>79.2</v>
      </c>
      <c r="AO149" s="22">
        <f t="shared" si="45"/>
        <v>79.2</v>
      </c>
      <c r="AP149" s="23">
        <v>25452.6</v>
      </c>
      <c r="AQ149" s="23">
        <f t="shared" si="46"/>
        <v>26474.521889999996</v>
      </c>
      <c r="AR149" s="23">
        <f t="shared" si="50"/>
        <v>26474.521889999996</v>
      </c>
      <c r="AS149" s="23">
        <f t="shared" si="53"/>
        <v>26693.761889999998</v>
      </c>
      <c r="AU149" s="20">
        <f t="shared" si="51"/>
        <v>0</v>
      </c>
      <c r="AV149" s="37">
        <f t="shared" si="47"/>
        <v>47033.327563599996</v>
      </c>
      <c r="AW149" s="37">
        <f t="shared" si="54"/>
        <v>107422.52756359999</v>
      </c>
      <c r="BA149" s="20" t="str">
        <f t="shared" si="52"/>
        <v>1 - PURCH_TECH - Ritter, Joanne</v>
      </c>
    </row>
    <row r="150" spans="1:53" ht="12.75" customHeight="1" x14ac:dyDescent="0.25">
      <c r="A150" s="20">
        <v>144</v>
      </c>
      <c r="B150" s="20" t="s">
        <v>6725</v>
      </c>
      <c r="C150" s="20" t="s">
        <v>7065</v>
      </c>
      <c r="D150" s="20" t="s">
        <v>7066</v>
      </c>
      <c r="E150" s="21">
        <v>1</v>
      </c>
      <c r="F150" s="34">
        <v>44409</v>
      </c>
      <c r="G150" s="35" t="s">
        <v>6818</v>
      </c>
      <c r="H150" s="20" t="s">
        <v>6730</v>
      </c>
      <c r="I150" s="22">
        <f>6457*1</f>
        <v>6457</v>
      </c>
      <c r="J150" s="20" t="s">
        <v>6741</v>
      </c>
      <c r="K150" s="23">
        <f>6780*11</f>
        <v>74580</v>
      </c>
      <c r="L150" s="23">
        <f t="shared" si="37"/>
        <v>81037</v>
      </c>
      <c r="V150" s="23">
        <f t="shared" si="38"/>
        <v>81037</v>
      </c>
      <c r="W150" s="36">
        <v>1</v>
      </c>
      <c r="X150" s="23">
        <f t="shared" si="39"/>
        <v>81037</v>
      </c>
      <c r="Y150" s="20" t="s">
        <v>1567</v>
      </c>
      <c r="Z150" s="35" t="s">
        <v>6758</v>
      </c>
      <c r="AA150" s="35" t="s">
        <v>6941</v>
      </c>
      <c r="AB150" s="35" t="s">
        <v>6733</v>
      </c>
      <c r="AC150" s="35" t="s">
        <v>6942</v>
      </c>
      <c r="AD150" s="35" t="s">
        <v>6744</v>
      </c>
      <c r="AE150" s="37" t="str">
        <f t="shared" si="48"/>
        <v>52</v>
      </c>
      <c r="AG150" s="37">
        <f t="shared" si="40"/>
        <v>18565.576700000001</v>
      </c>
      <c r="AH150" s="37">
        <f t="shared" si="41"/>
        <v>5024.2939999999999</v>
      </c>
      <c r="AI150" s="37">
        <f t="shared" si="42"/>
        <v>1175.0365000000002</v>
      </c>
      <c r="AJ150" s="37">
        <f t="shared" si="43"/>
        <v>996.75509999999997</v>
      </c>
      <c r="AK150" s="37">
        <f t="shared" si="44"/>
        <v>1532.2475960000002</v>
      </c>
      <c r="AL150" s="23">
        <v>140.04</v>
      </c>
      <c r="AM150" s="23">
        <f t="shared" si="49"/>
        <v>140.04</v>
      </c>
      <c r="AN150" s="22">
        <v>79.2</v>
      </c>
      <c r="AO150" s="22">
        <f t="shared" si="45"/>
        <v>79.2</v>
      </c>
      <c r="AP150" s="23">
        <v>25452.6</v>
      </c>
      <c r="AQ150" s="23">
        <f t="shared" si="46"/>
        <v>26474.521889999996</v>
      </c>
      <c r="AR150" s="23">
        <f t="shared" si="50"/>
        <v>26474.521889999996</v>
      </c>
      <c r="AS150" s="23">
        <f t="shared" si="53"/>
        <v>26693.761889999998</v>
      </c>
      <c r="AU150" s="20">
        <f t="shared" si="51"/>
        <v>0</v>
      </c>
      <c r="AV150" s="37">
        <f t="shared" si="47"/>
        <v>53987.671785999999</v>
      </c>
      <c r="AW150" s="37">
        <f t="shared" si="54"/>
        <v>135024.67178599999</v>
      </c>
      <c r="BA150" s="20" t="str">
        <f t="shared" si="52"/>
        <v>1 - ATH_TRNR - Ritz, Alexandra</v>
      </c>
    </row>
    <row r="151" spans="1:53" ht="12.75" customHeight="1" x14ac:dyDescent="0.25">
      <c r="A151" s="20">
        <v>145</v>
      </c>
      <c r="B151" s="20" t="s">
        <v>6725</v>
      </c>
      <c r="C151" s="20" t="s">
        <v>7067</v>
      </c>
      <c r="D151" s="20" t="s">
        <v>7068</v>
      </c>
      <c r="E151" s="21">
        <v>1</v>
      </c>
      <c r="G151" s="35" t="s">
        <v>6740</v>
      </c>
      <c r="H151" s="20" t="s">
        <v>6741</v>
      </c>
      <c r="K151" s="23">
        <v>71910</v>
      </c>
      <c r="L151" s="23">
        <f t="shared" si="37"/>
        <v>71910</v>
      </c>
      <c r="Q151" s="26">
        <v>0.1</v>
      </c>
      <c r="R151" s="23">
        <f>L151*Q151</f>
        <v>7191</v>
      </c>
      <c r="U151" s="23">
        <v>1800</v>
      </c>
      <c r="V151" s="23">
        <f t="shared" si="38"/>
        <v>80901</v>
      </c>
      <c r="W151" s="36">
        <v>0.7</v>
      </c>
      <c r="X151" s="23">
        <f t="shared" si="39"/>
        <v>56630.7</v>
      </c>
      <c r="Y151" s="20" t="s">
        <v>2560</v>
      </c>
      <c r="Z151" s="35" t="s">
        <v>6758</v>
      </c>
      <c r="AA151" s="35" t="s">
        <v>6847</v>
      </c>
      <c r="AB151" s="35" t="s">
        <v>6733</v>
      </c>
      <c r="AC151" s="35" t="s">
        <v>7031</v>
      </c>
      <c r="AD151" s="35" t="s">
        <v>6744</v>
      </c>
      <c r="AE151" s="37" t="str">
        <f t="shared" si="48"/>
        <v>52</v>
      </c>
      <c r="AG151" s="37">
        <f t="shared" si="40"/>
        <v>12974.093369999999</v>
      </c>
      <c r="AH151" s="37">
        <f t="shared" si="41"/>
        <v>3511.1034</v>
      </c>
      <c r="AI151" s="37">
        <f t="shared" si="42"/>
        <v>821.14514999999994</v>
      </c>
      <c r="AJ151" s="37">
        <f t="shared" si="43"/>
        <v>696.55760999999995</v>
      </c>
      <c r="AK151" s="37">
        <f t="shared" si="44"/>
        <v>1070.7732756</v>
      </c>
      <c r="AL151" s="23">
        <v>140.04</v>
      </c>
      <c r="AM151" s="23">
        <f t="shared" si="49"/>
        <v>98.027999999999992</v>
      </c>
      <c r="AN151" s="22">
        <v>79.2</v>
      </c>
      <c r="AO151" s="22">
        <f t="shared" si="45"/>
        <v>55.44</v>
      </c>
      <c r="AP151" s="23">
        <v>33444</v>
      </c>
      <c r="AQ151" s="23">
        <f t="shared" si="46"/>
        <v>34786.776599999997</v>
      </c>
      <c r="AR151" s="23">
        <f t="shared" si="50"/>
        <v>24350.743619999997</v>
      </c>
      <c r="AS151" s="23">
        <f t="shared" si="53"/>
        <v>24504.211619999998</v>
      </c>
      <c r="AU151" s="20">
        <f t="shared" si="51"/>
        <v>0</v>
      </c>
      <c r="AV151" s="37">
        <f t="shared" si="47"/>
        <v>43577.884425599994</v>
      </c>
      <c r="AW151" s="37">
        <f t="shared" si="54"/>
        <v>100208.58442559998</v>
      </c>
      <c r="BA151" s="20" t="str">
        <f t="shared" si="52"/>
        <v xml:space="preserve">0.7 - LIBTEIII - Rivera, Betty </v>
      </c>
    </row>
    <row r="152" spans="1:53" ht="12.75" customHeight="1" x14ac:dyDescent="0.25">
      <c r="A152" s="20">
        <v>146</v>
      </c>
      <c r="B152" s="20" t="s">
        <v>6725</v>
      </c>
      <c r="C152" s="20" t="s">
        <v>7067</v>
      </c>
      <c r="D152" s="20" t="s">
        <v>7068</v>
      </c>
      <c r="E152" s="21">
        <v>1</v>
      </c>
      <c r="G152" s="35" t="s">
        <v>6740</v>
      </c>
      <c r="H152" s="20" t="s">
        <v>6741</v>
      </c>
      <c r="K152" s="23">
        <v>71910</v>
      </c>
      <c r="L152" s="23">
        <f t="shared" si="37"/>
        <v>71910</v>
      </c>
      <c r="Q152" s="26">
        <v>0.1</v>
      </c>
      <c r="R152" s="23">
        <f>L152*Q152</f>
        <v>7191</v>
      </c>
      <c r="V152" s="23">
        <f t="shared" si="38"/>
        <v>79101</v>
      </c>
      <c r="W152" s="36">
        <v>0.3</v>
      </c>
      <c r="X152" s="23">
        <f t="shared" si="39"/>
        <v>23730.3</v>
      </c>
      <c r="Y152" s="20" t="s">
        <v>2592</v>
      </c>
      <c r="Z152" s="35" t="s">
        <v>6758</v>
      </c>
      <c r="AA152" s="35" t="s">
        <v>6847</v>
      </c>
      <c r="AB152" s="35" t="s">
        <v>6733</v>
      </c>
      <c r="AC152" s="35" t="s">
        <v>6889</v>
      </c>
      <c r="AD152" s="35" t="s">
        <v>6744</v>
      </c>
      <c r="AE152" s="37" t="str">
        <f t="shared" si="48"/>
        <v>52</v>
      </c>
      <c r="AG152" s="37">
        <f t="shared" si="40"/>
        <v>5436.6117299999996</v>
      </c>
      <c r="AH152" s="37">
        <f t="shared" si="41"/>
        <v>1471.2785999999999</v>
      </c>
      <c r="AI152" s="37">
        <f t="shared" si="42"/>
        <v>344.08935000000002</v>
      </c>
      <c r="AJ152" s="37">
        <f t="shared" si="43"/>
        <v>291.88268999999997</v>
      </c>
      <c r="AK152" s="37">
        <f t="shared" si="44"/>
        <v>448.6925124</v>
      </c>
      <c r="AL152" s="23">
        <v>140.04</v>
      </c>
      <c r="AM152" s="23">
        <f t="shared" si="49"/>
        <v>42.011999999999993</v>
      </c>
      <c r="AN152" s="22">
        <v>79.2</v>
      </c>
      <c r="AO152" s="22">
        <f t="shared" si="45"/>
        <v>23.76</v>
      </c>
      <c r="AP152" s="23">
        <v>33444</v>
      </c>
      <c r="AQ152" s="23">
        <f t="shared" si="46"/>
        <v>34786.776599999997</v>
      </c>
      <c r="AR152" s="23">
        <f t="shared" si="50"/>
        <v>10436.032979999998</v>
      </c>
      <c r="AS152" s="23">
        <f t="shared" si="53"/>
        <v>10501.804979999999</v>
      </c>
      <c r="AU152" s="20">
        <f t="shared" si="51"/>
        <v>0</v>
      </c>
      <c r="AV152" s="37">
        <f t="shared" si="47"/>
        <v>18494.359862399997</v>
      </c>
      <c r="AW152" s="37">
        <f t="shared" si="54"/>
        <v>42224.659862399996</v>
      </c>
      <c r="BA152" s="20" t="str">
        <f t="shared" si="52"/>
        <v xml:space="preserve">0.3 - LIBTEIII - Rivera, Betty </v>
      </c>
    </row>
    <row r="153" spans="1:53" ht="12.75" hidden="1" customHeight="1" x14ac:dyDescent="0.25">
      <c r="A153" s="20">
        <v>147</v>
      </c>
      <c r="B153" s="20" t="s">
        <v>6725</v>
      </c>
      <c r="C153" s="20" t="s">
        <v>7069</v>
      </c>
      <c r="D153" s="20" t="s">
        <v>6952</v>
      </c>
      <c r="E153" s="21">
        <v>1</v>
      </c>
      <c r="F153" s="34">
        <v>44378</v>
      </c>
      <c r="G153" s="35" t="s">
        <v>6818</v>
      </c>
      <c r="H153" s="20" t="s">
        <v>6730</v>
      </c>
      <c r="K153" s="23">
        <v>77486</v>
      </c>
      <c r="L153" s="23">
        <f t="shared" si="37"/>
        <v>77486</v>
      </c>
      <c r="Q153" s="26">
        <v>2.5000000000000001E-2</v>
      </c>
      <c r="R153" s="23">
        <f>L153*Q153</f>
        <v>1937.15</v>
      </c>
      <c r="U153" s="23">
        <v>600</v>
      </c>
      <c r="V153" s="23">
        <f t="shared" si="38"/>
        <v>80023.149999999994</v>
      </c>
      <c r="W153" s="36">
        <v>1</v>
      </c>
      <c r="X153" s="23">
        <f t="shared" si="39"/>
        <v>80023.149999999994</v>
      </c>
      <c r="Y153" s="20" t="s">
        <v>5404</v>
      </c>
      <c r="Z153" s="35" t="s">
        <v>6731</v>
      </c>
      <c r="AA153" s="35" t="s">
        <v>6752</v>
      </c>
      <c r="AB153" s="35" t="s">
        <v>6733</v>
      </c>
      <c r="AC153" s="35" t="s">
        <v>6753</v>
      </c>
      <c r="AD153" s="35" t="s">
        <v>6744</v>
      </c>
      <c r="AE153" s="37" t="str">
        <f t="shared" si="48"/>
        <v>52</v>
      </c>
      <c r="AG153" s="37">
        <f t="shared" si="40"/>
        <v>18333.303664999999</v>
      </c>
      <c r="AH153" s="37">
        <f t="shared" si="41"/>
        <v>4961.4352999999992</v>
      </c>
      <c r="AI153" s="37">
        <f t="shared" si="42"/>
        <v>1160.335675</v>
      </c>
      <c r="AJ153" s="37">
        <f t="shared" si="43"/>
        <v>984.28474499999993</v>
      </c>
      <c r="AK153" s="37">
        <f t="shared" si="44"/>
        <v>1513.0777201999999</v>
      </c>
      <c r="AL153" s="23">
        <v>140.04</v>
      </c>
      <c r="AM153" s="23">
        <f t="shared" si="49"/>
        <v>140.04</v>
      </c>
      <c r="AN153" s="22">
        <v>79.2</v>
      </c>
      <c r="AO153" s="22">
        <f t="shared" si="45"/>
        <v>79.2</v>
      </c>
      <c r="AP153" s="23">
        <v>23232</v>
      </c>
      <c r="AQ153" s="23">
        <f t="shared" si="46"/>
        <v>24164.764800000001</v>
      </c>
      <c r="AR153" s="23">
        <f t="shared" si="50"/>
        <v>24164.764800000001</v>
      </c>
      <c r="AS153" s="23">
        <f t="shared" si="53"/>
        <v>24384.004800000002</v>
      </c>
      <c r="AT153" s="37">
        <v>2400</v>
      </c>
      <c r="AU153" s="20">
        <f t="shared" si="51"/>
        <v>2400</v>
      </c>
      <c r="AV153" s="37">
        <f t="shared" si="47"/>
        <v>53736.441905200001</v>
      </c>
      <c r="AW153" s="37">
        <f t="shared" si="54"/>
        <v>133759.59190519998</v>
      </c>
      <c r="AX153" s="20" t="s">
        <v>6754</v>
      </c>
      <c r="AY153" s="20" t="s">
        <v>6680</v>
      </c>
      <c r="AZ153" s="20" t="s">
        <v>6755</v>
      </c>
      <c r="BA153" s="20" t="str">
        <f t="shared" si="52"/>
        <v>1 - CP_COORD - Rodriguez, Ariana</v>
      </c>
    </row>
    <row r="154" spans="1:53" ht="12.75" hidden="1" customHeight="1" x14ac:dyDescent="0.25">
      <c r="A154" s="20">
        <v>148</v>
      </c>
      <c r="B154" s="20" t="s">
        <v>6725</v>
      </c>
      <c r="C154" s="20" t="s">
        <v>7070</v>
      </c>
      <c r="D154" s="20" t="s">
        <v>6739</v>
      </c>
      <c r="E154" s="21">
        <v>1</v>
      </c>
      <c r="G154" s="35" t="s">
        <v>6740</v>
      </c>
      <c r="H154" s="20" t="s">
        <v>6741</v>
      </c>
      <c r="K154" s="23">
        <v>71910</v>
      </c>
      <c r="L154" s="23">
        <f t="shared" si="37"/>
        <v>71910</v>
      </c>
      <c r="U154" s="23">
        <v>600</v>
      </c>
      <c r="V154" s="23">
        <f t="shared" si="38"/>
        <v>72510</v>
      </c>
      <c r="W154" s="36">
        <v>1</v>
      </c>
      <c r="X154" s="23">
        <f t="shared" si="39"/>
        <v>72510</v>
      </c>
      <c r="Y154" s="20" t="s">
        <v>5404</v>
      </c>
      <c r="Z154" s="35" t="s">
        <v>6731</v>
      </c>
      <c r="AA154" s="35" t="s">
        <v>6752</v>
      </c>
      <c r="AB154" s="35" t="s">
        <v>6733</v>
      </c>
      <c r="AC154" s="35" t="s">
        <v>6753</v>
      </c>
      <c r="AD154" s="35" t="s">
        <v>6744</v>
      </c>
      <c r="AE154" s="37" t="str">
        <f t="shared" si="48"/>
        <v>52</v>
      </c>
      <c r="AG154" s="37">
        <f t="shared" si="40"/>
        <v>16612.041000000001</v>
      </c>
      <c r="AH154" s="37">
        <f t="shared" si="41"/>
        <v>4495.62</v>
      </c>
      <c r="AI154" s="37">
        <f t="shared" si="42"/>
        <v>1051.395</v>
      </c>
      <c r="AJ154" s="37">
        <f t="shared" si="43"/>
        <v>891.87300000000005</v>
      </c>
      <c r="AK154" s="37">
        <f t="shared" si="44"/>
        <v>1371.01908</v>
      </c>
      <c r="AL154" s="23">
        <v>140.04</v>
      </c>
      <c r="AM154" s="23">
        <f t="shared" si="49"/>
        <v>140.04</v>
      </c>
      <c r="AN154" s="22">
        <v>79.2</v>
      </c>
      <c r="AO154" s="22">
        <f t="shared" si="45"/>
        <v>79.2</v>
      </c>
      <c r="AP154" s="23">
        <v>13152</v>
      </c>
      <c r="AQ154" s="23">
        <f t="shared" si="46"/>
        <v>13680.052799999999</v>
      </c>
      <c r="AR154" s="23">
        <f t="shared" si="50"/>
        <v>13680.052799999999</v>
      </c>
      <c r="AS154" s="23">
        <f t="shared" si="53"/>
        <v>13899.292799999999</v>
      </c>
      <c r="AU154" s="20">
        <f t="shared" si="51"/>
        <v>0</v>
      </c>
      <c r="AV154" s="37">
        <f t="shared" si="47"/>
        <v>38321.240880000005</v>
      </c>
      <c r="AW154" s="37">
        <f t="shared" si="54"/>
        <v>110831.24088</v>
      </c>
      <c r="AX154" s="20" t="s">
        <v>6754</v>
      </c>
      <c r="AY154" s="20" t="s">
        <v>6680</v>
      </c>
      <c r="AZ154" s="20" t="s">
        <v>6755</v>
      </c>
      <c r="BA154" s="20" t="str">
        <f t="shared" si="52"/>
        <v>1 - PRGASST_II - Rodriguez, Ernesto</v>
      </c>
    </row>
    <row r="155" spans="1:53" ht="12.75" customHeight="1" x14ac:dyDescent="0.25">
      <c r="A155" s="20">
        <v>149</v>
      </c>
      <c r="B155" s="20" t="s">
        <v>6725</v>
      </c>
      <c r="C155" s="20" t="s">
        <v>7071</v>
      </c>
      <c r="D155" s="20" t="s">
        <v>6802</v>
      </c>
      <c r="E155" s="21">
        <v>1</v>
      </c>
      <c r="G155" s="35" t="s">
        <v>6740</v>
      </c>
      <c r="H155" s="20" t="s">
        <v>6741</v>
      </c>
      <c r="K155" s="23">
        <v>71910</v>
      </c>
      <c r="L155" s="23">
        <f t="shared" si="37"/>
        <v>71910</v>
      </c>
      <c r="Q155" s="26">
        <v>0.05</v>
      </c>
      <c r="R155" s="23">
        <f>L155*Q155</f>
        <v>3595.5</v>
      </c>
      <c r="U155" s="23">
        <v>600</v>
      </c>
      <c r="V155" s="23">
        <f t="shared" si="38"/>
        <v>76105.5</v>
      </c>
      <c r="W155" s="36">
        <v>0.55000000000000004</v>
      </c>
      <c r="X155" s="23">
        <f t="shared" si="39"/>
        <v>41858.025000000001</v>
      </c>
      <c r="Y155" s="20" t="s">
        <v>3090</v>
      </c>
      <c r="Z155" s="35" t="s">
        <v>6758</v>
      </c>
      <c r="AA155" s="35" t="s">
        <v>6761</v>
      </c>
      <c r="AB155" s="35" t="s">
        <v>6733</v>
      </c>
      <c r="AC155" s="35" t="s">
        <v>6762</v>
      </c>
      <c r="AD155" s="35" t="s">
        <v>6744</v>
      </c>
      <c r="AE155" s="37" t="str">
        <f t="shared" si="48"/>
        <v>52</v>
      </c>
      <c r="AG155" s="37">
        <f t="shared" si="40"/>
        <v>9589.673527500001</v>
      </c>
      <c r="AH155" s="37">
        <f t="shared" si="41"/>
        <v>2595.1975499999999</v>
      </c>
      <c r="AI155" s="37">
        <f t="shared" si="42"/>
        <v>606.94136250000008</v>
      </c>
      <c r="AJ155" s="37">
        <f t="shared" si="43"/>
        <v>514.85370750000004</v>
      </c>
      <c r="AK155" s="37">
        <f t="shared" si="44"/>
        <v>791.45153670000013</v>
      </c>
      <c r="AL155" s="23">
        <v>140.04</v>
      </c>
      <c r="AM155" s="23">
        <f t="shared" si="49"/>
        <v>77.022000000000006</v>
      </c>
      <c r="AN155" s="22">
        <v>79.2</v>
      </c>
      <c r="AO155" s="22">
        <f t="shared" si="45"/>
        <v>43.56</v>
      </c>
      <c r="AP155" s="23">
        <v>25452.6</v>
      </c>
      <c r="AQ155" s="23">
        <f t="shared" si="46"/>
        <v>26474.521889999996</v>
      </c>
      <c r="AR155" s="23">
        <f t="shared" si="50"/>
        <v>14560.9870395</v>
      </c>
      <c r="AS155" s="23">
        <f t="shared" si="53"/>
        <v>14681.5690395</v>
      </c>
      <c r="AU155" s="20">
        <f t="shared" si="51"/>
        <v>0</v>
      </c>
      <c r="AV155" s="37">
        <f t="shared" si="47"/>
        <v>28779.686723700001</v>
      </c>
      <c r="AW155" s="37">
        <f t="shared" si="54"/>
        <v>70637.711723700006</v>
      </c>
      <c r="BA155" s="20" t="str">
        <f t="shared" si="52"/>
        <v>0.55 - FA_SPEC - Romero, Melissa</v>
      </c>
    </row>
    <row r="156" spans="1:53" ht="12.75" hidden="1" customHeight="1" x14ac:dyDescent="0.25">
      <c r="A156" s="20">
        <v>150</v>
      </c>
      <c r="B156" s="20" t="s">
        <v>6725</v>
      </c>
      <c r="C156" s="20" t="s">
        <v>7071</v>
      </c>
      <c r="D156" s="20" t="s">
        <v>6802</v>
      </c>
      <c r="E156" s="21">
        <v>1</v>
      </c>
      <c r="G156" s="35" t="s">
        <v>6740</v>
      </c>
      <c r="H156" s="20" t="s">
        <v>6741</v>
      </c>
      <c r="K156" s="23">
        <v>71910</v>
      </c>
      <c r="L156" s="23">
        <f t="shared" si="37"/>
        <v>71910</v>
      </c>
      <c r="U156" s="23">
        <v>600</v>
      </c>
      <c r="V156" s="23">
        <f t="shared" si="38"/>
        <v>72510</v>
      </c>
      <c r="W156" s="36">
        <v>0.45</v>
      </c>
      <c r="X156" s="23">
        <f t="shared" si="39"/>
        <v>32629.5</v>
      </c>
      <c r="Y156" s="20" t="s">
        <v>5876</v>
      </c>
      <c r="Z156" s="35" t="s">
        <v>6731</v>
      </c>
      <c r="AA156" s="35" t="s">
        <v>6761</v>
      </c>
      <c r="AB156" s="35" t="s">
        <v>6733</v>
      </c>
      <c r="AC156" s="35" t="s">
        <v>6808</v>
      </c>
      <c r="AD156" s="35" t="s">
        <v>6744</v>
      </c>
      <c r="AE156" s="37" t="str">
        <f t="shared" si="48"/>
        <v>52</v>
      </c>
      <c r="AG156" s="37">
        <f t="shared" si="40"/>
        <v>7475.4184500000001</v>
      </c>
      <c r="AH156" s="37">
        <f t="shared" si="41"/>
        <v>2023.029</v>
      </c>
      <c r="AI156" s="37">
        <f t="shared" si="42"/>
        <v>473.12775000000005</v>
      </c>
      <c r="AJ156" s="37">
        <f t="shared" si="43"/>
        <v>401.34285</v>
      </c>
      <c r="AK156" s="37">
        <f t="shared" si="44"/>
        <v>616.95858600000008</v>
      </c>
      <c r="AL156" s="23">
        <v>140.04</v>
      </c>
      <c r="AM156" s="23">
        <f t="shared" si="49"/>
        <v>63.018000000000001</v>
      </c>
      <c r="AN156" s="22">
        <v>79.2</v>
      </c>
      <c r="AO156" s="22">
        <f t="shared" si="45"/>
        <v>35.64</v>
      </c>
      <c r="AP156" s="23">
        <v>25452.6</v>
      </c>
      <c r="AQ156" s="23">
        <f t="shared" si="46"/>
        <v>26474.521889999996</v>
      </c>
      <c r="AR156" s="23">
        <f t="shared" si="50"/>
        <v>11913.534850499998</v>
      </c>
      <c r="AS156" s="23">
        <f t="shared" si="53"/>
        <v>12012.192850499998</v>
      </c>
      <c r="AU156" s="20">
        <f t="shared" si="51"/>
        <v>0</v>
      </c>
      <c r="AV156" s="37">
        <f t="shared" si="47"/>
        <v>23002.069486499997</v>
      </c>
      <c r="AW156" s="37">
        <f t="shared" si="54"/>
        <v>55631.569486499997</v>
      </c>
      <c r="AX156" s="20" t="s">
        <v>6754</v>
      </c>
      <c r="AY156" s="20" t="s">
        <v>6809</v>
      </c>
      <c r="AZ156" s="20" t="s">
        <v>6810</v>
      </c>
      <c r="BA156" s="20" t="str">
        <f t="shared" si="52"/>
        <v>0.45 - FA_SPEC - Romero, Melissa</v>
      </c>
    </row>
    <row r="157" spans="1:53" s="39" customFormat="1" ht="12.75" hidden="1" customHeight="1" x14ac:dyDescent="0.25">
      <c r="A157" s="39">
        <v>151</v>
      </c>
      <c r="B157" s="39" t="s">
        <v>6725</v>
      </c>
      <c r="C157" s="216" t="s">
        <v>9961</v>
      </c>
      <c r="D157" s="39" t="s">
        <v>6767</v>
      </c>
      <c r="E157" s="41">
        <v>1</v>
      </c>
      <c r="G157" s="43" t="s">
        <v>6757</v>
      </c>
      <c r="H157" s="39" t="s">
        <v>6741</v>
      </c>
      <c r="I157" s="44"/>
      <c r="K157" s="45">
        <v>63557</v>
      </c>
      <c r="L157" s="45">
        <f t="shared" si="37"/>
        <v>63557</v>
      </c>
      <c r="M157" s="45"/>
      <c r="N157" s="45"/>
      <c r="O157" s="46"/>
      <c r="P157" s="45"/>
      <c r="Q157" s="47"/>
      <c r="R157" s="45"/>
      <c r="S157" s="47"/>
      <c r="T157" s="45"/>
      <c r="U157" s="45">
        <v>600</v>
      </c>
      <c r="V157" s="45">
        <f t="shared" si="38"/>
        <v>64157</v>
      </c>
      <c r="W157" s="48">
        <v>0.5</v>
      </c>
      <c r="X157" s="45">
        <f t="shared" si="39"/>
        <v>32078.5</v>
      </c>
      <c r="Y157" s="39" t="s">
        <v>6535</v>
      </c>
      <c r="Z157" s="43" t="s">
        <v>7072</v>
      </c>
      <c r="AA157" s="43" t="s">
        <v>6752</v>
      </c>
      <c r="AB157" s="43" t="s">
        <v>6733</v>
      </c>
      <c r="AC157" s="43" t="s">
        <v>6897</v>
      </c>
      <c r="AD157" s="43" t="s">
        <v>6744</v>
      </c>
      <c r="AE157" s="37" t="str">
        <f t="shared" si="48"/>
        <v>52</v>
      </c>
      <c r="AG157" s="49">
        <f t="shared" si="40"/>
        <v>7349.1843499999995</v>
      </c>
      <c r="AH157" s="49">
        <f t="shared" si="41"/>
        <v>1988.867</v>
      </c>
      <c r="AI157" s="49">
        <f t="shared" si="42"/>
        <v>465.13825000000003</v>
      </c>
      <c r="AJ157" s="49">
        <f t="shared" si="43"/>
        <v>394.56555000000003</v>
      </c>
      <c r="AK157" s="49">
        <f t="shared" si="44"/>
        <v>606.54027800000006</v>
      </c>
      <c r="AL157" s="45">
        <v>140.04</v>
      </c>
      <c r="AM157" s="23">
        <f t="shared" si="49"/>
        <v>70.02</v>
      </c>
      <c r="AN157" s="44">
        <v>79.2</v>
      </c>
      <c r="AO157" s="22">
        <f t="shared" si="45"/>
        <v>39.6</v>
      </c>
      <c r="AP157" s="45">
        <v>33444</v>
      </c>
      <c r="AQ157" s="23">
        <f t="shared" si="46"/>
        <v>34786.776599999997</v>
      </c>
      <c r="AR157" s="23">
        <f t="shared" si="50"/>
        <v>17393.388299999999</v>
      </c>
      <c r="AS157" s="45">
        <f t="shared" si="53"/>
        <v>17503.008299999998</v>
      </c>
      <c r="AU157" s="20">
        <f t="shared" si="51"/>
        <v>0</v>
      </c>
      <c r="AV157" s="37">
        <f t="shared" si="47"/>
        <v>28307.303727999999</v>
      </c>
      <c r="AW157" s="49">
        <f t="shared" si="54"/>
        <v>60385.803727999999</v>
      </c>
      <c r="BA157" s="39" t="str">
        <f t="shared" si="52"/>
        <v>0.5 - PROGASST_I - To be hired - VACANT (Ruiz, Selso H)</v>
      </c>
    </row>
    <row r="158" spans="1:53" s="39" customFormat="1" ht="12.75" customHeight="1" x14ac:dyDescent="0.25">
      <c r="A158" s="39">
        <v>152</v>
      </c>
      <c r="B158" s="39" t="s">
        <v>6725</v>
      </c>
      <c r="C158" s="216" t="s">
        <v>9961</v>
      </c>
      <c r="D158" s="39" t="s">
        <v>6767</v>
      </c>
      <c r="E158" s="41">
        <v>1</v>
      </c>
      <c r="G158" s="43" t="s">
        <v>6757</v>
      </c>
      <c r="H158" s="39" t="s">
        <v>6741</v>
      </c>
      <c r="I158" s="44"/>
      <c r="K158" s="45">
        <v>63557</v>
      </c>
      <c r="L158" s="45">
        <f t="shared" si="37"/>
        <v>63557</v>
      </c>
      <c r="M158" s="45"/>
      <c r="N158" s="45"/>
      <c r="O158" s="46"/>
      <c r="P158" s="45"/>
      <c r="Q158" s="47"/>
      <c r="R158" s="45"/>
      <c r="S158" s="47"/>
      <c r="T158" s="45"/>
      <c r="U158" s="45">
        <v>600</v>
      </c>
      <c r="V158" s="45">
        <f t="shared" si="38"/>
        <v>64157</v>
      </c>
      <c r="W158" s="48">
        <v>0.5</v>
      </c>
      <c r="X158" s="45">
        <f t="shared" si="39"/>
        <v>32078.5</v>
      </c>
      <c r="Y158" s="39" t="s">
        <v>3013</v>
      </c>
      <c r="Z158" s="43" t="s">
        <v>6758</v>
      </c>
      <c r="AA158" s="43" t="s">
        <v>6752</v>
      </c>
      <c r="AB158" s="43" t="s">
        <v>6733</v>
      </c>
      <c r="AC158" s="43" t="s">
        <v>7073</v>
      </c>
      <c r="AD158" s="43" t="s">
        <v>6744</v>
      </c>
      <c r="AE158" s="37" t="str">
        <f t="shared" si="48"/>
        <v>52</v>
      </c>
      <c r="AG158" s="49">
        <f t="shared" si="40"/>
        <v>7349.1843499999995</v>
      </c>
      <c r="AH158" s="49">
        <f t="shared" si="41"/>
        <v>1988.867</v>
      </c>
      <c r="AI158" s="49">
        <f t="shared" si="42"/>
        <v>465.13825000000003</v>
      </c>
      <c r="AJ158" s="49">
        <f t="shared" si="43"/>
        <v>394.56555000000003</v>
      </c>
      <c r="AK158" s="49">
        <f t="shared" si="44"/>
        <v>606.54027800000006</v>
      </c>
      <c r="AL158" s="45">
        <v>140.04</v>
      </c>
      <c r="AM158" s="23">
        <f t="shared" si="49"/>
        <v>70.02</v>
      </c>
      <c r="AN158" s="44">
        <v>79.2</v>
      </c>
      <c r="AO158" s="22">
        <f t="shared" si="45"/>
        <v>39.6</v>
      </c>
      <c r="AP158" s="45">
        <v>33444</v>
      </c>
      <c r="AQ158" s="23">
        <f t="shared" si="46"/>
        <v>34786.776599999997</v>
      </c>
      <c r="AR158" s="23">
        <f t="shared" si="50"/>
        <v>17393.388299999999</v>
      </c>
      <c r="AS158" s="45">
        <f t="shared" si="53"/>
        <v>17503.008299999998</v>
      </c>
      <c r="AU158" s="20">
        <f t="shared" si="51"/>
        <v>0</v>
      </c>
      <c r="AV158" s="37">
        <f t="shared" si="47"/>
        <v>28307.303727999999</v>
      </c>
      <c r="AW158" s="49">
        <f t="shared" si="54"/>
        <v>60385.803727999999</v>
      </c>
      <c r="BA158" s="39" t="str">
        <f t="shared" si="52"/>
        <v>0.5 - PROGASST_I - To be hired - VACANT (Ruiz, Selso H)</v>
      </c>
    </row>
    <row r="159" spans="1:53" ht="12.75" customHeight="1" x14ac:dyDescent="0.25">
      <c r="A159" s="20">
        <v>153</v>
      </c>
      <c r="B159" s="20" t="s">
        <v>6725</v>
      </c>
      <c r="C159" s="20" t="s">
        <v>7074</v>
      </c>
      <c r="D159" s="20" t="s">
        <v>7075</v>
      </c>
      <c r="E159" s="21">
        <v>1</v>
      </c>
      <c r="G159" s="35" t="s">
        <v>7076</v>
      </c>
      <c r="H159" s="20" t="s">
        <v>6741</v>
      </c>
      <c r="K159" s="23">
        <v>60494</v>
      </c>
      <c r="L159" s="23">
        <f t="shared" si="37"/>
        <v>60494</v>
      </c>
      <c r="Q159" s="26">
        <v>0.1</v>
      </c>
      <c r="R159" s="23">
        <f>L159*Q159</f>
        <v>6049.4000000000005</v>
      </c>
      <c r="U159" s="23">
        <v>600</v>
      </c>
      <c r="V159" s="23">
        <f t="shared" si="38"/>
        <v>67143.399999999994</v>
      </c>
      <c r="W159" s="36">
        <v>1</v>
      </c>
      <c r="X159" s="23">
        <f t="shared" si="39"/>
        <v>67143.399999999994</v>
      </c>
      <c r="Y159" s="20" t="s">
        <v>3056</v>
      </c>
      <c r="Z159" s="35" t="s">
        <v>6758</v>
      </c>
      <c r="AA159" s="35" t="s">
        <v>6759</v>
      </c>
      <c r="AB159" s="35" t="s">
        <v>6733</v>
      </c>
      <c r="AC159" s="35" t="s">
        <v>6760</v>
      </c>
      <c r="AD159" s="35" t="s">
        <v>6744</v>
      </c>
      <c r="AE159" s="37" t="str">
        <f t="shared" si="48"/>
        <v>52</v>
      </c>
      <c r="AG159" s="37">
        <f t="shared" si="40"/>
        <v>15382.552939999998</v>
      </c>
      <c r="AH159" s="37">
        <f t="shared" si="41"/>
        <v>4162.8907999999992</v>
      </c>
      <c r="AI159" s="37">
        <f t="shared" si="42"/>
        <v>973.57929999999999</v>
      </c>
      <c r="AJ159" s="37">
        <f t="shared" si="43"/>
        <v>825.86381999999992</v>
      </c>
      <c r="AK159" s="37">
        <f t="shared" si="44"/>
        <v>1269.5474072</v>
      </c>
      <c r="AL159" s="23">
        <v>140.04</v>
      </c>
      <c r="AM159" s="23">
        <f t="shared" si="49"/>
        <v>140.04</v>
      </c>
      <c r="AN159" s="22">
        <v>79.2</v>
      </c>
      <c r="AO159" s="22">
        <f t="shared" si="45"/>
        <v>79.2</v>
      </c>
      <c r="AP159" s="23">
        <v>25452.6</v>
      </c>
      <c r="AQ159" s="23">
        <f t="shared" si="46"/>
        <v>26474.521889999996</v>
      </c>
      <c r="AR159" s="23">
        <f t="shared" si="50"/>
        <v>26474.521889999996</v>
      </c>
      <c r="AS159" s="23">
        <f t="shared" si="53"/>
        <v>26693.761889999998</v>
      </c>
      <c r="AU159" s="20">
        <f t="shared" si="51"/>
        <v>0</v>
      </c>
      <c r="AV159" s="37">
        <f t="shared" si="47"/>
        <v>49308.196157199993</v>
      </c>
      <c r="AW159" s="37">
        <f t="shared" si="54"/>
        <v>116451.59615719999</v>
      </c>
      <c r="BA159" s="20" t="str">
        <f t="shared" si="52"/>
        <v>1 - AR_EVALTEC - Ruiz-Camacho, Roberta</v>
      </c>
    </row>
    <row r="160" spans="1:53" ht="12.75" customHeight="1" x14ac:dyDescent="0.25">
      <c r="A160" s="20">
        <v>154</v>
      </c>
      <c r="B160" s="20" t="s">
        <v>6725</v>
      </c>
      <c r="C160" s="20" t="s">
        <v>7077</v>
      </c>
      <c r="D160" s="20" t="s">
        <v>6927</v>
      </c>
      <c r="E160" s="21">
        <v>1</v>
      </c>
      <c r="F160" s="34"/>
      <c r="G160" s="35" t="s">
        <v>6728</v>
      </c>
      <c r="H160" s="20" t="s">
        <v>6741</v>
      </c>
      <c r="K160" s="23">
        <v>77440</v>
      </c>
      <c r="L160" s="23">
        <f t="shared" si="37"/>
        <v>77440</v>
      </c>
      <c r="Q160" s="26">
        <v>2.5000000000000001E-2</v>
      </c>
      <c r="R160" s="23">
        <f>L160*Q160</f>
        <v>1936</v>
      </c>
      <c r="T160" s="23">
        <f>M160*S160/12*1</f>
        <v>0</v>
      </c>
      <c r="U160" s="23">
        <v>1200</v>
      </c>
      <c r="V160" s="23">
        <f t="shared" si="38"/>
        <v>80576</v>
      </c>
      <c r="W160" s="36">
        <v>0.7</v>
      </c>
      <c r="X160" s="23">
        <f t="shared" si="39"/>
        <v>56403.199999999997</v>
      </c>
      <c r="Y160" s="20" t="s">
        <v>2059</v>
      </c>
      <c r="Z160" s="35" t="s">
        <v>6758</v>
      </c>
      <c r="AA160" s="35" t="s">
        <v>6901</v>
      </c>
      <c r="AB160" s="35" t="s">
        <v>6733</v>
      </c>
      <c r="AC160" s="35" t="s">
        <v>6805</v>
      </c>
      <c r="AD160" s="35" t="s">
        <v>6744</v>
      </c>
      <c r="AE160" s="37" t="str">
        <f t="shared" si="48"/>
        <v>52</v>
      </c>
      <c r="AG160" s="37">
        <f t="shared" si="40"/>
        <v>12921.973119999999</v>
      </c>
      <c r="AH160" s="37">
        <f t="shared" si="41"/>
        <v>3496.9983999999999</v>
      </c>
      <c r="AI160" s="37">
        <f t="shared" si="42"/>
        <v>817.84640000000002</v>
      </c>
      <c r="AJ160" s="37">
        <f t="shared" si="43"/>
        <v>693.75936000000002</v>
      </c>
      <c r="AK160" s="37">
        <f t="shared" si="44"/>
        <v>1066.4717056</v>
      </c>
      <c r="AL160" s="23">
        <v>140.04</v>
      </c>
      <c r="AM160" s="23">
        <f t="shared" si="49"/>
        <v>98.027999999999992</v>
      </c>
      <c r="AN160" s="22">
        <v>79.2</v>
      </c>
      <c r="AO160" s="22">
        <f t="shared" si="45"/>
        <v>55.44</v>
      </c>
      <c r="AP160" s="23">
        <v>33444</v>
      </c>
      <c r="AQ160" s="23">
        <f t="shared" si="46"/>
        <v>34786.776599999997</v>
      </c>
      <c r="AR160" s="23">
        <f t="shared" si="50"/>
        <v>24350.743619999997</v>
      </c>
      <c r="AS160" s="23">
        <f t="shared" si="53"/>
        <v>24504.211619999998</v>
      </c>
      <c r="AU160" s="20">
        <f t="shared" si="51"/>
        <v>0</v>
      </c>
      <c r="AV160" s="37">
        <f t="shared" si="47"/>
        <v>43501.260605599993</v>
      </c>
      <c r="AW160" s="37">
        <f t="shared" si="54"/>
        <v>99904.46060559999</v>
      </c>
      <c r="BA160" s="20" t="str">
        <f t="shared" si="52"/>
        <v>0.7 - LDPROGCOOR - Saechao-Jimmey, Belinda</v>
      </c>
    </row>
    <row r="161" spans="1:53" ht="12.75" hidden="1" customHeight="1" x14ac:dyDescent="0.25">
      <c r="A161" s="20">
        <v>155</v>
      </c>
      <c r="B161" s="20" t="s">
        <v>6725</v>
      </c>
      <c r="C161" s="20" t="s">
        <v>7077</v>
      </c>
      <c r="D161" s="20" t="s">
        <v>6927</v>
      </c>
      <c r="E161" s="21">
        <v>1</v>
      </c>
      <c r="F161" s="34"/>
      <c r="G161" s="35" t="s">
        <v>6728</v>
      </c>
      <c r="H161" s="20" t="s">
        <v>6741</v>
      </c>
      <c r="K161" s="23">
        <v>77440</v>
      </c>
      <c r="L161" s="23">
        <f t="shared" si="37"/>
        <v>77440</v>
      </c>
      <c r="Q161" s="26">
        <v>2.5000000000000001E-2</v>
      </c>
      <c r="R161" s="23">
        <f>L161*Q161</f>
        <v>1936</v>
      </c>
      <c r="T161" s="23">
        <f>M161*S161/12*1</f>
        <v>0</v>
      </c>
      <c r="U161" s="23">
        <v>1200</v>
      </c>
      <c r="V161" s="23">
        <f t="shared" si="38"/>
        <v>80576</v>
      </c>
      <c r="W161" s="36">
        <v>0.3</v>
      </c>
      <c r="X161" s="23">
        <f t="shared" si="39"/>
        <v>24172.799999999999</v>
      </c>
      <c r="Y161" s="20" t="s">
        <v>4320</v>
      </c>
      <c r="Z161" s="35" t="s">
        <v>6731</v>
      </c>
      <c r="AA161" s="35" t="s">
        <v>6901</v>
      </c>
      <c r="AB161" s="35" t="s">
        <v>6733</v>
      </c>
      <c r="AC161" s="35" t="s">
        <v>7078</v>
      </c>
      <c r="AD161" s="35" t="s">
        <v>6744</v>
      </c>
      <c r="AE161" s="37" t="str">
        <f t="shared" si="48"/>
        <v>52</v>
      </c>
      <c r="AG161" s="37">
        <f t="shared" si="40"/>
        <v>5537.98848</v>
      </c>
      <c r="AH161" s="37">
        <f t="shared" si="41"/>
        <v>1498.7136</v>
      </c>
      <c r="AI161" s="37">
        <f t="shared" si="42"/>
        <v>350.50560000000002</v>
      </c>
      <c r="AJ161" s="37">
        <f t="shared" si="43"/>
        <v>297.32544000000001</v>
      </c>
      <c r="AK161" s="37">
        <f t="shared" si="44"/>
        <v>457.05930240000004</v>
      </c>
      <c r="AL161" s="23">
        <v>140.04</v>
      </c>
      <c r="AM161" s="23">
        <f t="shared" si="49"/>
        <v>42.011999999999993</v>
      </c>
      <c r="AN161" s="22">
        <v>79.2</v>
      </c>
      <c r="AO161" s="22">
        <f t="shared" si="45"/>
        <v>23.76</v>
      </c>
      <c r="AP161" s="23">
        <v>33444</v>
      </c>
      <c r="AQ161" s="23">
        <f t="shared" si="46"/>
        <v>34786.776599999997</v>
      </c>
      <c r="AR161" s="23">
        <f t="shared" si="50"/>
        <v>10436.032979999998</v>
      </c>
      <c r="AS161" s="23">
        <f t="shared" si="53"/>
        <v>10501.804979999999</v>
      </c>
      <c r="AU161" s="20">
        <f t="shared" si="51"/>
        <v>0</v>
      </c>
      <c r="AV161" s="37">
        <f t="shared" si="47"/>
        <v>18643.397402399998</v>
      </c>
      <c r="AW161" s="37">
        <f t="shared" si="54"/>
        <v>42816.197402399994</v>
      </c>
      <c r="AX161" s="20" t="s">
        <v>6675</v>
      </c>
      <c r="AY161" s="20" t="s">
        <v>6677</v>
      </c>
      <c r="AZ161" s="20" t="s">
        <v>7079</v>
      </c>
      <c r="BA161" s="20" t="str">
        <f t="shared" si="52"/>
        <v>0.3 - LDPROGCOOR - Saechao-Jimmey, Belinda</v>
      </c>
    </row>
    <row r="162" spans="1:53" s="39" customFormat="1" ht="12.75" customHeight="1" x14ac:dyDescent="0.25">
      <c r="A162" s="39">
        <v>156</v>
      </c>
      <c r="B162" s="39" t="s">
        <v>6725</v>
      </c>
      <c r="C162" s="39" t="s">
        <v>7080</v>
      </c>
      <c r="D162" s="39" t="s">
        <v>6952</v>
      </c>
      <c r="E162" s="41">
        <v>1</v>
      </c>
      <c r="F162" s="42">
        <v>44470</v>
      </c>
      <c r="G162" s="43" t="s">
        <v>6818</v>
      </c>
      <c r="H162" s="39" t="s">
        <v>6729</v>
      </c>
      <c r="I162" s="44">
        <f>6150*3</f>
        <v>18450</v>
      </c>
      <c r="J162" s="39" t="s">
        <v>6730</v>
      </c>
      <c r="K162" s="45">
        <f>6457*9</f>
        <v>58113</v>
      </c>
      <c r="L162" s="45">
        <f t="shared" si="37"/>
        <v>76563</v>
      </c>
      <c r="M162" s="45"/>
      <c r="N162" s="45"/>
      <c r="O162" s="46"/>
      <c r="P162" s="45"/>
      <c r="Q162" s="47">
        <v>0.1</v>
      </c>
      <c r="R162" s="45">
        <f>L162*Q162</f>
        <v>7656.3</v>
      </c>
      <c r="S162" s="47"/>
      <c r="T162" s="45"/>
      <c r="U162" s="45">
        <v>2400</v>
      </c>
      <c r="V162" s="45">
        <f t="shared" si="38"/>
        <v>86619.3</v>
      </c>
      <c r="W162" s="48">
        <v>0.2</v>
      </c>
      <c r="X162" s="45">
        <f t="shared" si="39"/>
        <v>17323.86</v>
      </c>
      <c r="Y162" s="39" t="s">
        <v>2705</v>
      </c>
      <c r="Z162" s="43" t="s">
        <v>6758</v>
      </c>
      <c r="AA162" s="43" t="s">
        <v>7638</v>
      </c>
      <c r="AB162" s="43" t="s">
        <v>6733</v>
      </c>
      <c r="AC162" s="43" t="s">
        <v>6805</v>
      </c>
      <c r="AD162" s="43" t="s">
        <v>6744</v>
      </c>
      <c r="AE162" s="49" t="str">
        <f t="shared" si="48"/>
        <v>52</v>
      </c>
      <c r="AG162" s="49">
        <f t="shared" si="40"/>
        <v>3968.896326</v>
      </c>
      <c r="AH162" s="49">
        <f t="shared" si="41"/>
        <v>1074.0793200000001</v>
      </c>
      <c r="AI162" s="49">
        <f t="shared" si="42"/>
        <v>251.19597000000002</v>
      </c>
      <c r="AJ162" s="49">
        <f t="shared" si="43"/>
        <v>213.08347800000001</v>
      </c>
      <c r="AK162" s="49">
        <f t="shared" si="44"/>
        <v>327.55954488000003</v>
      </c>
      <c r="AL162" s="45">
        <v>140.04</v>
      </c>
      <c r="AM162" s="45">
        <f t="shared" si="49"/>
        <v>28.007999999999999</v>
      </c>
      <c r="AN162" s="44">
        <v>79.2</v>
      </c>
      <c r="AO162" s="44">
        <f t="shared" si="45"/>
        <v>15.840000000000002</v>
      </c>
      <c r="AP162" s="45">
        <v>17424</v>
      </c>
      <c r="AQ162" s="45">
        <f t="shared" si="46"/>
        <v>18123.5736</v>
      </c>
      <c r="AR162" s="45">
        <f t="shared" si="50"/>
        <v>3624.7147199999999</v>
      </c>
      <c r="AS162" s="45">
        <f t="shared" si="53"/>
        <v>3668.5627199999999</v>
      </c>
      <c r="AT162" s="49">
        <v>2400</v>
      </c>
      <c r="AU162" s="39">
        <f t="shared" si="51"/>
        <v>480</v>
      </c>
      <c r="AV162" s="49">
        <f t="shared" si="47"/>
        <v>9983.3773588799995</v>
      </c>
      <c r="AW162" s="49">
        <f t="shared" si="54"/>
        <v>27307.23735888</v>
      </c>
      <c r="BA162" s="39" t="str">
        <f t="shared" si="52"/>
        <v>0.2 - CP_COORD - Salgado, Fanny</v>
      </c>
    </row>
    <row r="163" spans="1:53" ht="12.75" hidden="1" customHeight="1" x14ac:dyDescent="0.25">
      <c r="A163" s="20">
        <v>157</v>
      </c>
      <c r="B163" s="20" t="s">
        <v>6725</v>
      </c>
      <c r="C163" s="20" t="s">
        <v>7080</v>
      </c>
      <c r="D163" s="20" t="s">
        <v>6952</v>
      </c>
      <c r="E163" s="21">
        <v>1</v>
      </c>
      <c r="F163" s="34">
        <v>44470</v>
      </c>
      <c r="G163" s="35" t="s">
        <v>6818</v>
      </c>
      <c r="H163" s="20" t="s">
        <v>6729</v>
      </c>
      <c r="I163" s="22">
        <f>6150*3</f>
        <v>18450</v>
      </c>
      <c r="J163" s="20" t="s">
        <v>6730</v>
      </c>
      <c r="K163" s="23">
        <f>6457*9</f>
        <v>58113</v>
      </c>
      <c r="L163" s="23">
        <f t="shared" si="37"/>
        <v>76563</v>
      </c>
      <c r="Q163" s="26">
        <v>0.1</v>
      </c>
      <c r="R163" s="23">
        <f>L163*Q163</f>
        <v>7656.3</v>
      </c>
      <c r="U163" s="23">
        <v>2400</v>
      </c>
      <c r="V163" s="23">
        <f t="shared" si="38"/>
        <v>86619.3</v>
      </c>
      <c r="W163" s="36">
        <v>0.8</v>
      </c>
      <c r="X163" s="23">
        <f t="shared" si="39"/>
        <v>69295.44</v>
      </c>
      <c r="Y163" s="20" t="s">
        <v>5038</v>
      </c>
      <c r="Z163" s="35" t="s">
        <v>6731</v>
      </c>
      <c r="AA163" s="35" t="s">
        <v>6732</v>
      </c>
      <c r="AB163" s="35" t="s">
        <v>6733</v>
      </c>
      <c r="AC163" s="35" t="s">
        <v>7058</v>
      </c>
      <c r="AD163" s="35" t="s">
        <v>6744</v>
      </c>
      <c r="AE163" s="37" t="str">
        <f t="shared" si="48"/>
        <v>52</v>
      </c>
      <c r="AG163" s="37">
        <f t="shared" si="40"/>
        <v>15875.585304</v>
      </c>
      <c r="AH163" s="37">
        <f t="shared" si="41"/>
        <v>4296.3172800000002</v>
      </c>
      <c r="AI163" s="37">
        <f t="shared" si="42"/>
        <v>1004.7838800000001</v>
      </c>
      <c r="AJ163" s="37">
        <f t="shared" si="43"/>
        <v>852.33391200000005</v>
      </c>
      <c r="AK163" s="37">
        <f t="shared" si="44"/>
        <v>1310.2381795200001</v>
      </c>
      <c r="AL163" s="23">
        <v>140.04</v>
      </c>
      <c r="AM163" s="23">
        <f t="shared" si="49"/>
        <v>112.032</v>
      </c>
      <c r="AN163" s="22">
        <v>79.2</v>
      </c>
      <c r="AO163" s="22">
        <f t="shared" si="45"/>
        <v>63.360000000000007</v>
      </c>
      <c r="AP163" s="23">
        <v>17424</v>
      </c>
      <c r="AQ163" s="23">
        <f t="shared" si="46"/>
        <v>18123.5736</v>
      </c>
      <c r="AR163" s="23">
        <f t="shared" si="50"/>
        <v>14498.85888</v>
      </c>
      <c r="AS163" s="23">
        <f t="shared" si="53"/>
        <v>14674.25088</v>
      </c>
      <c r="AT163" s="37">
        <v>2400</v>
      </c>
      <c r="AU163" s="20">
        <f t="shared" si="51"/>
        <v>1920</v>
      </c>
      <c r="AV163" s="37">
        <f t="shared" si="47"/>
        <v>39933.509435519998</v>
      </c>
      <c r="AW163" s="37">
        <f t="shared" si="54"/>
        <v>109228.94943552</v>
      </c>
      <c r="AX163" s="20" t="s">
        <v>6675</v>
      </c>
      <c r="AY163" s="20" t="s">
        <v>7081</v>
      </c>
      <c r="AZ163" s="20" t="s">
        <v>7082</v>
      </c>
      <c r="BA163" s="20" t="str">
        <f t="shared" si="52"/>
        <v>0.8 - CP_COORD - Salgado, Fanny</v>
      </c>
    </row>
    <row r="164" spans="1:53" ht="12.75" hidden="1" customHeight="1" x14ac:dyDescent="0.25">
      <c r="A164" s="20">
        <v>158</v>
      </c>
      <c r="B164" s="20" t="s">
        <v>6725</v>
      </c>
      <c r="C164" s="20" t="s">
        <v>7083</v>
      </c>
      <c r="D164" s="20" t="s">
        <v>6739</v>
      </c>
      <c r="E164" s="21">
        <v>1</v>
      </c>
      <c r="F164" s="34">
        <v>44501</v>
      </c>
      <c r="G164" s="35" t="s">
        <v>6740</v>
      </c>
      <c r="H164" s="20" t="s">
        <v>6730</v>
      </c>
      <c r="I164" s="22">
        <f>5707*4</f>
        <v>22828</v>
      </c>
      <c r="J164" s="20" t="s">
        <v>6741</v>
      </c>
      <c r="K164" s="23">
        <f>5993*8</f>
        <v>47944</v>
      </c>
      <c r="L164" s="23">
        <f t="shared" si="37"/>
        <v>70772</v>
      </c>
      <c r="U164" s="23">
        <v>600</v>
      </c>
      <c r="V164" s="23">
        <f t="shared" si="38"/>
        <v>71372</v>
      </c>
      <c r="W164" s="36">
        <v>1</v>
      </c>
      <c r="X164" s="23">
        <f t="shared" si="39"/>
        <v>71372</v>
      </c>
      <c r="Y164" s="20" t="s">
        <v>3834</v>
      </c>
      <c r="Z164" s="35" t="s">
        <v>6731</v>
      </c>
      <c r="AA164" s="35" t="s">
        <v>7008</v>
      </c>
      <c r="AB164" s="35" t="s">
        <v>6733</v>
      </c>
      <c r="AC164" s="35" t="s">
        <v>7084</v>
      </c>
      <c r="AD164" s="35" t="s">
        <v>6744</v>
      </c>
      <c r="AE164" s="37" t="str">
        <f t="shared" si="48"/>
        <v>52</v>
      </c>
      <c r="AG164" s="37">
        <f t="shared" si="40"/>
        <v>16351.325199999999</v>
      </c>
      <c r="AH164" s="37">
        <f t="shared" si="41"/>
        <v>4425.0640000000003</v>
      </c>
      <c r="AI164" s="37">
        <f t="shared" si="42"/>
        <v>1034.894</v>
      </c>
      <c r="AJ164" s="37">
        <f t="shared" si="43"/>
        <v>877.87559999999996</v>
      </c>
      <c r="AK164" s="37">
        <f t="shared" si="44"/>
        <v>1349.5017760000001</v>
      </c>
      <c r="AL164" s="23">
        <v>140.04</v>
      </c>
      <c r="AM164" s="23">
        <f t="shared" si="49"/>
        <v>140.04</v>
      </c>
      <c r="AN164" s="22">
        <v>79.2</v>
      </c>
      <c r="AO164" s="22">
        <f t="shared" si="45"/>
        <v>79.2</v>
      </c>
      <c r="AP164" s="23">
        <v>7584</v>
      </c>
      <c r="AQ164" s="23">
        <f t="shared" si="46"/>
        <v>7888.4975999999997</v>
      </c>
      <c r="AR164" s="23">
        <f t="shared" si="50"/>
        <v>7888.4975999999997</v>
      </c>
      <c r="AS164" s="23">
        <f t="shared" si="53"/>
        <v>8107.7375999999995</v>
      </c>
      <c r="AT164" s="37">
        <v>2400</v>
      </c>
      <c r="AU164" s="20">
        <f t="shared" si="51"/>
        <v>2400</v>
      </c>
      <c r="AV164" s="37">
        <f t="shared" si="47"/>
        <v>34546.398176000002</v>
      </c>
      <c r="AW164" s="37">
        <f t="shared" si="54"/>
        <v>105918.398176</v>
      </c>
      <c r="AX164" s="20" t="s">
        <v>6675</v>
      </c>
      <c r="AY164" s="20" t="s">
        <v>7010</v>
      </c>
      <c r="AZ164" s="20" t="s">
        <v>7085</v>
      </c>
      <c r="BA164" s="20" t="str">
        <f t="shared" si="52"/>
        <v>1 - PRGASST_II - Sanchez, Leticia</v>
      </c>
    </row>
    <row r="165" spans="1:53" ht="12.75" customHeight="1" x14ac:dyDescent="0.25">
      <c r="A165" s="20">
        <v>159</v>
      </c>
      <c r="B165" s="20" t="s">
        <v>6725</v>
      </c>
      <c r="C165" s="20" t="s">
        <v>7086</v>
      </c>
      <c r="D165" s="20" t="s">
        <v>6785</v>
      </c>
      <c r="E165" s="21">
        <v>1</v>
      </c>
      <c r="G165" s="35" t="s">
        <v>6786</v>
      </c>
      <c r="H165" s="20" t="s">
        <v>6741</v>
      </c>
      <c r="K165" s="23">
        <v>59019</v>
      </c>
      <c r="L165" s="23">
        <f t="shared" si="37"/>
        <v>59019</v>
      </c>
      <c r="Q165" s="26">
        <v>7.4999999999999997E-2</v>
      </c>
      <c r="R165" s="23">
        <f>L165*Q165</f>
        <v>4426.4250000000002</v>
      </c>
      <c r="U165" s="23">
        <v>600</v>
      </c>
      <c r="V165" s="23">
        <f t="shared" si="38"/>
        <v>64045.425000000003</v>
      </c>
      <c r="W165" s="36">
        <v>1</v>
      </c>
      <c r="X165" s="23">
        <f t="shared" si="39"/>
        <v>64045.425000000003</v>
      </c>
      <c r="Y165" s="20" t="s">
        <v>2481</v>
      </c>
      <c r="Z165" s="35" t="s">
        <v>6758</v>
      </c>
      <c r="AA165" s="35" t="s">
        <v>6742</v>
      </c>
      <c r="AB165" s="35" t="s">
        <v>6974</v>
      </c>
      <c r="AC165" s="35" t="s">
        <v>6805</v>
      </c>
      <c r="AD165" s="35" t="s">
        <v>6744</v>
      </c>
      <c r="AE165" s="37" t="str">
        <f t="shared" si="48"/>
        <v>52</v>
      </c>
      <c r="AG165" s="37">
        <f t="shared" si="40"/>
        <v>14672.806867500001</v>
      </c>
      <c r="AH165" s="37">
        <f t="shared" si="41"/>
        <v>3970.8163500000001</v>
      </c>
      <c r="AI165" s="37">
        <f t="shared" si="42"/>
        <v>928.6586625000001</v>
      </c>
      <c r="AJ165" s="37">
        <f t="shared" si="43"/>
        <v>787.75872750000008</v>
      </c>
      <c r="AK165" s="37">
        <f t="shared" si="44"/>
        <v>1210.9708959000002</v>
      </c>
      <c r="AL165" s="23">
        <v>140.04</v>
      </c>
      <c r="AM165" s="23">
        <f t="shared" si="49"/>
        <v>140.04</v>
      </c>
      <c r="AN165" s="22">
        <v>79.2</v>
      </c>
      <c r="AO165" s="22">
        <f t="shared" si="45"/>
        <v>79.2</v>
      </c>
      <c r="AP165" s="23">
        <v>13152</v>
      </c>
      <c r="AQ165" s="23">
        <f t="shared" si="46"/>
        <v>13680.052799999999</v>
      </c>
      <c r="AR165" s="23">
        <f t="shared" si="50"/>
        <v>13680.052799999999</v>
      </c>
      <c r="AS165" s="23">
        <f t="shared" si="53"/>
        <v>13899.292799999999</v>
      </c>
      <c r="AU165" s="20">
        <f t="shared" si="51"/>
        <v>0</v>
      </c>
      <c r="AV165" s="37">
        <f t="shared" si="47"/>
        <v>35470.304303400007</v>
      </c>
      <c r="AW165" s="37">
        <f t="shared" si="54"/>
        <v>99515.729303400003</v>
      </c>
      <c r="BA165" s="20" t="str">
        <f t="shared" si="52"/>
        <v>1 - ADMASSTIII - Sanchez, Lourdes</v>
      </c>
    </row>
    <row r="166" spans="1:53" ht="12.75" hidden="1" customHeight="1" x14ac:dyDescent="0.25">
      <c r="A166" s="20">
        <v>160</v>
      </c>
      <c r="B166" s="20" t="s">
        <v>6725</v>
      </c>
      <c r="C166" s="20" t="s">
        <v>7087</v>
      </c>
      <c r="D166" s="20" t="s">
        <v>7075</v>
      </c>
      <c r="E166" s="21">
        <v>1</v>
      </c>
      <c r="F166" s="34"/>
      <c r="G166" s="35" t="s">
        <v>7076</v>
      </c>
      <c r="H166" s="20" t="s">
        <v>6741</v>
      </c>
      <c r="K166" s="23">
        <v>60494</v>
      </c>
      <c r="L166" s="23">
        <f t="shared" si="37"/>
        <v>60494</v>
      </c>
      <c r="V166" s="23">
        <f t="shared" si="38"/>
        <v>60494</v>
      </c>
      <c r="W166" s="36">
        <v>1</v>
      </c>
      <c r="X166" s="23">
        <f t="shared" si="39"/>
        <v>60494</v>
      </c>
      <c r="Y166" s="20" t="s">
        <v>5404</v>
      </c>
      <c r="Z166" s="35" t="s">
        <v>6731</v>
      </c>
      <c r="AA166" s="35" t="s">
        <v>6752</v>
      </c>
      <c r="AB166" s="35" t="s">
        <v>6733</v>
      </c>
      <c r="AC166" s="35" t="s">
        <v>6753</v>
      </c>
      <c r="AD166" s="35" t="s">
        <v>6744</v>
      </c>
      <c r="AE166" s="37" t="str">
        <f t="shared" si="48"/>
        <v>52</v>
      </c>
      <c r="AG166" s="37">
        <f t="shared" si="40"/>
        <v>13859.1754</v>
      </c>
      <c r="AH166" s="37">
        <f t="shared" si="41"/>
        <v>3750.6280000000002</v>
      </c>
      <c r="AI166" s="37">
        <f t="shared" si="42"/>
        <v>877.16300000000001</v>
      </c>
      <c r="AJ166" s="37">
        <f t="shared" si="43"/>
        <v>744.07619999999997</v>
      </c>
      <c r="AK166" s="37">
        <f t="shared" si="44"/>
        <v>1143.8205520000001</v>
      </c>
      <c r="AL166" s="23">
        <v>140.04</v>
      </c>
      <c r="AM166" s="23">
        <f t="shared" si="49"/>
        <v>140.04</v>
      </c>
      <c r="AN166" s="22">
        <v>79.2</v>
      </c>
      <c r="AO166" s="22">
        <f t="shared" si="45"/>
        <v>79.2</v>
      </c>
      <c r="AP166" s="23">
        <v>25452.6</v>
      </c>
      <c r="AQ166" s="23">
        <f t="shared" si="46"/>
        <v>26474.521889999996</v>
      </c>
      <c r="AR166" s="23">
        <f t="shared" si="50"/>
        <v>26474.521889999996</v>
      </c>
      <c r="AS166" s="23">
        <f t="shared" si="53"/>
        <v>26693.761889999998</v>
      </c>
      <c r="AU166" s="20">
        <f t="shared" si="51"/>
        <v>0</v>
      </c>
      <c r="AV166" s="37">
        <f t="shared" si="47"/>
        <v>47068.625042</v>
      </c>
      <c r="AW166" s="37">
        <f t="shared" si="54"/>
        <v>107562.625042</v>
      </c>
      <c r="AX166" s="20" t="s">
        <v>6754</v>
      </c>
      <c r="AY166" s="20" t="s">
        <v>6680</v>
      </c>
      <c r="AZ166" s="20" t="s">
        <v>6755</v>
      </c>
      <c r="BA166" s="20" t="str">
        <f t="shared" si="52"/>
        <v>1 - AR_EVALTEC - Sanchez, Robert</v>
      </c>
    </row>
    <row r="167" spans="1:53" ht="12.75" hidden="1" customHeight="1" x14ac:dyDescent="0.25">
      <c r="A167" s="20">
        <v>161</v>
      </c>
      <c r="B167" s="20" t="s">
        <v>6725</v>
      </c>
      <c r="C167" s="20" t="s">
        <v>7088</v>
      </c>
      <c r="D167" s="20" t="s">
        <v>6739</v>
      </c>
      <c r="E167" s="21">
        <v>1</v>
      </c>
      <c r="F167" s="34"/>
      <c r="G167" s="35" t="s">
        <v>6740</v>
      </c>
      <c r="H167" s="20" t="s">
        <v>6741</v>
      </c>
      <c r="K167" s="23">
        <v>71910</v>
      </c>
      <c r="L167" s="23">
        <f t="shared" si="37"/>
        <v>71910</v>
      </c>
      <c r="U167" s="23">
        <v>600</v>
      </c>
      <c r="V167" s="23">
        <f t="shared" si="38"/>
        <v>72510</v>
      </c>
      <c r="W167" s="36">
        <v>1</v>
      </c>
      <c r="X167" s="23">
        <f t="shared" si="39"/>
        <v>72510</v>
      </c>
      <c r="Y167" s="20" t="s">
        <v>4622</v>
      </c>
      <c r="Z167" s="35" t="s">
        <v>6731</v>
      </c>
      <c r="AA167" s="35" t="s">
        <v>6742</v>
      </c>
      <c r="AB167" s="35" t="s">
        <v>6733</v>
      </c>
      <c r="AC167" s="35" t="s">
        <v>7089</v>
      </c>
      <c r="AD167" s="35" t="s">
        <v>6744</v>
      </c>
      <c r="AE167" s="37" t="str">
        <f t="shared" si="48"/>
        <v>52</v>
      </c>
      <c r="AG167" s="37">
        <f t="shared" si="40"/>
        <v>16612.041000000001</v>
      </c>
      <c r="AH167" s="37">
        <f t="shared" si="41"/>
        <v>4495.62</v>
      </c>
      <c r="AI167" s="37">
        <f t="shared" si="42"/>
        <v>1051.395</v>
      </c>
      <c r="AJ167" s="37">
        <f t="shared" si="43"/>
        <v>891.87300000000005</v>
      </c>
      <c r="AK167" s="37">
        <f t="shared" si="44"/>
        <v>1371.01908</v>
      </c>
      <c r="AL167" s="23">
        <v>140.04</v>
      </c>
      <c r="AM167" s="23">
        <f t="shared" si="49"/>
        <v>140.04</v>
      </c>
      <c r="AN167" s="22">
        <v>79.2</v>
      </c>
      <c r="AO167" s="22">
        <f t="shared" si="45"/>
        <v>79.2</v>
      </c>
      <c r="AP167" s="23">
        <v>17424</v>
      </c>
      <c r="AQ167" s="23">
        <f t="shared" si="46"/>
        <v>18123.5736</v>
      </c>
      <c r="AR167" s="23">
        <f t="shared" si="50"/>
        <v>18123.5736</v>
      </c>
      <c r="AS167" s="23">
        <f t="shared" si="53"/>
        <v>18342.813600000001</v>
      </c>
      <c r="AT167" s="37">
        <v>2400</v>
      </c>
      <c r="AU167" s="20">
        <f t="shared" si="51"/>
        <v>2400</v>
      </c>
      <c r="AV167" s="37">
        <f t="shared" si="47"/>
        <v>45164.761680000003</v>
      </c>
      <c r="AW167" s="37">
        <f t="shared" si="54"/>
        <v>117674.76168</v>
      </c>
      <c r="AX167" s="20" t="s">
        <v>6675</v>
      </c>
      <c r="AY167" s="20" t="s">
        <v>7090</v>
      </c>
      <c r="AZ167" s="20" t="s">
        <v>7091</v>
      </c>
      <c r="BA167" s="20" t="str">
        <f t="shared" si="52"/>
        <v>1 - PRGASST_II - Sanchez-Ryan, Mindy</v>
      </c>
    </row>
    <row r="168" spans="1:53" ht="12.75" customHeight="1" x14ac:dyDescent="0.25">
      <c r="A168" s="20">
        <v>162</v>
      </c>
      <c r="B168" s="20" t="s">
        <v>6725</v>
      </c>
      <c r="C168" s="20" t="s">
        <v>7092</v>
      </c>
      <c r="D168" s="20" t="s">
        <v>7093</v>
      </c>
      <c r="E168" s="21">
        <v>1</v>
      </c>
      <c r="G168" s="35" t="s">
        <v>6771</v>
      </c>
      <c r="H168" s="20" t="s">
        <v>6741</v>
      </c>
      <c r="K168" s="23">
        <v>62008</v>
      </c>
      <c r="L168" s="23">
        <f t="shared" si="37"/>
        <v>62008</v>
      </c>
      <c r="U168" s="23">
        <v>600</v>
      </c>
      <c r="V168" s="23">
        <f t="shared" si="38"/>
        <v>62608</v>
      </c>
      <c r="W168" s="36">
        <v>1</v>
      </c>
      <c r="X168" s="23">
        <f t="shared" si="39"/>
        <v>62608</v>
      </c>
      <c r="Y168" s="20" t="s">
        <v>762</v>
      </c>
      <c r="Z168" s="35" t="s">
        <v>6758</v>
      </c>
      <c r="AA168" s="35" t="s">
        <v>6861</v>
      </c>
      <c r="AB168" s="35" t="s">
        <v>6733</v>
      </c>
      <c r="AC168" s="35" t="s">
        <v>6863</v>
      </c>
      <c r="AD168" s="35" t="s">
        <v>6744</v>
      </c>
      <c r="AE168" s="37" t="str">
        <f t="shared" si="48"/>
        <v>52</v>
      </c>
      <c r="AG168" s="37">
        <f t="shared" si="40"/>
        <v>14343.4928</v>
      </c>
      <c r="AH168" s="37">
        <f t="shared" si="41"/>
        <v>3881.6959999999999</v>
      </c>
      <c r="AI168" s="37">
        <f t="shared" si="42"/>
        <v>907.81600000000003</v>
      </c>
      <c r="AJ168" s="37">
        <f t="shared" si="43"/>
        <v>770.07839999999999</v>
      </c>
      <c r="AK168" s="37">
        <f t="shared" si="44"/>
        <v>1183.792064</v>
      </c>
      <c r="AL168" s="23">
        <v>140.04</v>
      </c>
      <c r="AM168" s="23">
        <f t="shared" si="49"/>
        <v>140.04</v>
      </c>
      <c r="AN168" s="22">
        <v>79.2</v>
      </c>
      <c r="AO168" s="22">
        <f t="shared" si="45"/>
        <v>79.2</v>
      </c>
      <c r="AP168" s="23">
        <v>23232</v>
      </c>
      <c r="AQ168" s="23">
        <f t="shared" si="46"/>
        <v>24164.764800000001</v>
      </c>
      <c r="AR168" s="23">
        <f t="shared" si="50"/>
        <v>24164.764800000001</v>
      </c>
      <c r="AS168" s="23">
        <f t="shared" si="53"/>
        <v>24384.004800000002</v>
      </c>
      <c r="AT168" s="23">
        <v>2400</v>
      </c>
      <c r="AU168" s="20">
        <f t="shared" si="51"/>
        <v>2400</v>
      </c>
      <c r="AV168" s="37">
        <f t="shared" si="47"/>
        <v>47870.880063999997</v>
      </c>
      <c r="AW168" s="37">
        <f t="shared" si="54"/>
        <v>110478.880064</v>
      </c>
      <c r="BA168" s="20" t="str">
        <f t="shared" si="52"/>
        <v>1 - ACCT_TECH - Santana, Jennifer</v>
      </c>
    </row>
    <row r="169" spans="1:53" ht="12.75" customHeight="1" x14ac:dyDescent="0.25">
      <c r="A169" s="20">
        <v>163</v>
      </c>
      <c r="B169" s="20" t="s">
        <v>6725</v>
      </c>
      <c r="C169" s="20" t="s">
        <v>7094</v>
      </c>
      <c r="D169" s="20" t="s">
        <v>6756</v>
      </c>
      <c r="E169" s="21">
        <v>1</v>
      </c>
      <c r="F169" s="34">
        <v>44682</v>
      </c>
      <c r="G169" s="35" t="s">
        <v>6757</v>
      </c>
      <c r="H169" s="20" t="s">
        <v>6730</v>
      </c>
      <c r="I169" s="22">
        <f>5044*10</f>
        <v>50440</v>
      </c>
      <c r="J169" s="20" t="s">
        <v>6741</v>
      </c>
      <c r="K169" s="23">
        <f>5296*2</f>
        <v>10592</v>
      </c>
      <c r="L169" s="23">
        <f t="shared" si="37"/>
        <v>61032</v>
      </c>
      <c r="V169" s="23">
        <f t="shared" si="38"/>
        <v>61032</v>
      </c>
      <c r="W169" s="36">
        <v>0.5</v>
      </c>
      <c r="X169" s="23">
        <f t="shared" si="39"/>
        <v>30516</v>
      </c>
      <c r="Y169" s="20" t="s">
        <v>3056</v>
      </c>
      <c r="Z169" s="35" t="s">
        <v>6758</v>
      </c>
      <c r="AA169" s="35" t="s">
        <v>6759</v>
      </c>
      <c r="AB169" s="35" t="s">
        <v>6733</v>
      </c>
      <c r="AC169" s="35" t="s">
        <v>6760</v>
      </c>
      <c r="AD169" s="35" t="s">
        <v>6744</v>
      </c>
      <c r="AE169" s="37" t="str">
        <f t="shared" si="48"/>
        <v>52</v>
      </c>
      <c r="AG169" s="37">
        <f t="shared" si="40"/>
        <v>6991.2155999999995</v>
      </c>
      <c r="AH169" s="37">
        <f t="shared" si="41"/>
        <v>1891.992</v>
      </c>
      <c r="AI169" s="37">
        <f t="shared" si="42"/>
        <v>442.48200000000003</v>
      </c>
      <c r="AJ169" s="37">
        <f t="shared" si="43"/>
        <v>375.34680000000003</v>
      </c>
      <c r="AK169" s="37">
        <f t="shared" si="44"/>
        <v>576.99652800000001</v>
      </c>
      <c r="AL169" s="23">
        <v>140.04</v>
      </c>
      <c r="AM169" s="23">
        <f t="shared" si="49"/>
        <v>70.02</v>
      </c>
      <c r="AN169" s="22">
        <v>79.2</v>
      </c>
      <c r="AO169" s="22">
        <f t="shared" si="45"/>
        <v>39.6</v>
      </c>
      <c r="AP169" s="23">
        <v>8820</v>
      </c>
      <c r="AQ169" s="23">
        <f t="shared" si="46"/>
        <v>9174.1229999999996</v>
      </c>
      <c r="AR169" s="23">
        <f t="shared" si="50"/>
        <v>4587.0614999999998</v>
      </c>
      <c r="AS169" s="23">
        <f t="shared" si="53"/>
        <v>4696.6814999999997</v>
      </c>
      <c r="AT169" s="37">
        <v>2400</v>
      </c>
      <c r="AU169" s="20">
        <f t="shared" si="51"/>
        <v>1200</v>
      </c>
      <c r="AV169" s="37">
        <f t="shared" si="47"/>
        <v>16174.714427999999</v>
      </c>
      <c r="AW169" s="37">
        <f t="shared" si="54"/>
        <v>46690.714427999999</v>
      </c>
      <c r="BA169" s="20" t="str">
        <f t="shared" si="52"/>
        <v>0.5 - ESERV_SPEC - Serrano, Ramon</v>
      </c>
    </row>
    <row r="170" spans="1:53" ht="12.75" customHeight="1" x14ac:dyDescent="0.25">
      <c r="A170" s="20">
        <v>164</v>
      </c>
      <c r="B170" s="20" t="s">
        <v>6725</v>
      </c>
      <c r="C170" s="20" t="s">
        <v>7094</v>
      </c>
      <c r="D170" s="20" t="s">
        <v>6756</v>
      </c>
      <c r="E170" s="21">
        <v>1</v>
      </c>
      <c r="F170" s="34">
        <v>44682</v>
      </c>
      <c r="G170" s="35" t="s">
        <v>6757</v>
      </c>
      <c r="H170" s="20" t="s">
        <v>6730</v>
      </c>
      <c r="I170" s="22">
        <f>5044*10</f>
        <v>50440</v>
      </c>
      <c r="J170" s="20" t="s">
        <v>6741</v>
      </c>
      <c r="K170" s="23">
        <f>5296*2</f>
        <v>10592</v>
      </c>
      <c r="L170" s="23">
        <f t="shared" si="37"/>
        <v>61032</v>
      </c>
      <c r="V170" s="23">
        <f t="shared" si="38"/>
        <v>61032</v>
      </c>
      <c r="W170" s="36">
        <v>0.5</v>
      </c>
      <c r="X170" s="23">
        <f t="shared" si="39"/>
        <v>30516</v>
      </c>
      <c r="Y170" s="20" t="s">
        <v>3090</v>
      </c>
      <c r="Z170" s="35" t="s">
        <v>6758</v>
      </c>
      <c r="AA170" s="35" t="s">
        <v>6761</v>
      </c>
      <c r="AB170" s="35" t="s">
        <v>6733</v>
      </c>
      <c r="AC170" s="35" t="s">
        <v>6762</v>
      </c>
      <c r="AD170" s="35" t="s">
        <v>6744</v>
      </c>
      <c r="AE170" s="37" t="str">
        <f t="shared" si="48"/>
        <v>52</v>
      </c>
      <c r="AG170" s="37">
        <f t="shared" si="40"/>
        <v>6991.2155999999995</v>
      </c>
      <c r="AH170" s="37">
        <f t="shared" si="41"/>
        <v>1891.992</v>
      </c>
      <c r="AI170" s="37">
        <f t="shared" si="42"/>
        <v>442.48200000000003</v>
      </c>
      <c r="AJ170" s="37">
        <f t="shared" si="43"/>
        <v>375.34680000000003</v>
      </c>
      <c r="AK170" s="37">
        <f t="shared" si="44"/>
        <v>576.99652800000001</v>
      </c>
      <c r="AL170" s="23">
        <v>140.04</v>
      </c>
      <c r="AM170" s="23">
        <f t="shared" si="49"/>
        <v>70.02</v>
      </c>
      <c r="AN170" s="22">
        <v>79.2</v>
      </c>
      <c r="AO170" s="22">
        <f t="shared" si="45"/>
        <v>39.6</v>
      </c>
      <c r="AP170" s="23">
        <v>8820</v>
      </c>
      <c r="AQ170" s="23">
        <f t="shared" si="46"/>
        <v>9174.1229999999996</v>
      </c>
      <c r="AR170" s="23">
        <f t="shared" si="50"/>
        <v>4587.0614999999998</v>
      </c>
      <c r="AS170" s="23">
        <f t="shared" si="53"/>
        <v>4696.6814999999997</v>
      </c>
      <c r="AT170" s="37">
        <v>2400</v>
      </c>
      <c r="AU170" s="20">
        <f t="shared" si="51"/>
        <v>1200</v>
      </c>
      <c r="AV170" s="37">
        <f t="shared" si="47"/>
        <v>16174.714427999999</v>
      </c>
      <c r="AW170" s="37">
        <f t="shared" si="54"/>
        <v>46690.714427999999</v>
      </c>
      <c r="BA170" s="20" t="str">
        <f t="shared" si="52"/>
        <v>0.5 - ESERV_SPEC - Serrano, Ramon</v>
      </c>
    </row>
    <row r="171" spans="1:53" ht="12.75" customHeight="1" x14ac:dyDescent="0.25">
      <c r="A171" s="20">
        <v>165</v>
      </c>
      <c r="B171" s="20" t="s">
        <v>6725</v>
      </c>
      <c r="C171" s="20" t="s">
        <v>7095</v>
      </c>
      <c r="D171" s="20" t="s">
        <v>6785</v>
      </c>
      <c r="E171" s="21">
        <v>1</v>
      </c>
      <c r="F171" s="34">
        <v>44409</v>
      </c>
      <c r="G171" s="35" t="s">
        <v>6786</v>
      </c>
      <c r="H171" s="20" t="s">
        <v>6729</v>
      </c>
      <c r="I171" s="22">
        <f>4461*1</f>
        <v>4461</v>
      </c>
      <c r="J171" s="20" t="s">
        <v>6730</v>
      </c>
      <c r="K171" s="23">
        <f>4684*11</f>
        <v>51524</v>
      </c>
      <c r="L171" s="23">
        <f t="shared" si="37"/>
        <v>55985</v>
      </c>
      <c r="U171" s="23">
        <v>600</v>
      </c>
      <c r="V171" s="23">
        <f t="shared" si="38"/>
        <v>56585</v>
      </c>
      <c r="W171" s="36">
        <v>1</v>
      </c>
      <c r="X171" s="23">
        <f t="shared" si="39"/>
        <v>56585</v>
      </c>
      <c r="Y171" s="20" t="s">
        <v>480</v>
      </c>
      <c r="Z171" s="35" t="s">
        <v>6758</v>
      </c>
      <c r="AA171" s="35" t="s">
        <v>6869</v>
      </c>
      <c r="AB171" s="35" t="s">
        <v>6870</v>
      </c>
      <c r="AC171" s="35" t="s">
        <v>6805</v>
      </c>
      <c r="AD171" s="35" t="s">
        <v>6744</v>
      </c>
      <c r="AE171" s="37" t="str">
        <f t="shared" si="48"/>
        <v>52</v>
      </c>
      <c r="AG171" s="37">
        <f t="shared" si="40"/>
        <v>12963.6235</v>
      </c>
      <c r="AH171" s="37">
        <f t="shared" si="41"/>
        <v>3508.27</v>
      </c>
      <c r="AI171" s="37">
        <f t="shared" si="42"/>
        <v>820.48250000000007</v>
      </c>
      <c r="AJ171" s="37">
        <f t="shared" si="43"/>
        <v>695.99549999999999</v>
      </c>
      <c r="AK171" s="37">
        <f t="shared" si="44"/>
        <v>1069.9091800000001</v>
      </c>
      <c r="AL171" s="23">
        <v>140.04</v>
      </c>
      <c r="AM171" s="23">
        <f t="shared" si="49"/>
        <v>140.04</v>
      </c>
      <c r="AN171" s="22">
        <v>79.2</v>
      </c>
      <c r="AO171" s="22">
        <f t="shared" si="45"/>
        <v>79.2</v>
      </c>
      <c r="AP171" s="23">
        <v>33444</v>
      </c>
      <c r="AQ171" s="23">
        <f t="shared" si="46"/>
        <v>34786.776599999997</v>
      </c>
      <c r="AR171" s="23">
        <f t="shared" si="50"/>
        <v>34786.776599999997</v>
      </c>
      <c r="AS171" s="23">
        <f t="shared" si="53"/>
        <v>35006.016599999995</v>
      </c>
      <c r="AU171" s="20">
        <f t="shared" si="51"/>
        <v>0</v>
      </c>
      <c r="AV171" s="37">
        <f t="shared" si="47"/>
        <v>54064.297279999999</v>
      </c>
      <c r="AW171" s="37">
        <f t="shared" si="54"/>
        <v>110649.29728</v>
      </c>
      <c r="BA171" s="20" t="str">
        <f t="shared" si="52"/>
        <v>1 - ADMASSTIII - Silveira, Carolina</v>
      </c>
    </row>
    <row r="172" spans="1:53" ht="12.75" customHeight="1" x14ac:dyDescent="0.25">
      <c r="A172" s="20">
        <v>166</v>
      </c>
      <c r="B172" s="20" t="s">
        <v>6725</v>
      </c>
      <c r="C172" s="20" t="s">
        <v>7096</v>
      </c>
      <c r="D172" s="20" t="s">
        <v>6780</v>
      </c>
      <c r="E172" s="21">
        <v>1</v>
      </c>
      <c r="G172" s="35" t="s">
        <v>6839</v>
      </c>
      <c r="H172" s="20" t="s">
        <v>6741</v>
      </c>
      <c r="K172" s="23">
        <v>54807</v>
      </c>
      <c r="L172" s="23">
        <f t="shared" si="37"/>
        <v>54807</v>
      </c>
      <c r="V172" s="23">
        <f t="shared" si="38"/>
        <v>54807</v>
      </c>
      <c r="W172" s="36">
        <v>1</v>
      </c>
      <c r="X172" s="23">
        <f t="shared" si="39"/>
        <v>54807</v>
      </c>
      <c r="Y172" s="20" t="s">
        <v>661</v>
      </c>
      <c r="Z172" s="35" t="s">
        <v>6758</v>
      </c>
      <c r="AA172" s="35" t="s">
        <v>6861</v>
      </c>
      <c r="AB172" s="35" t="s">
        <v>6733</v>
      </c>
      <c r="AC172" s="35" t="s">
        <v>6862</v>
      </c>
      <c r="AD172" s="35" t="s">
        <v>6744</v>
      </c>
      <c r="AE172" s="37" t="str">
        <f t="shared" si="48"/>
        <v>52</v>
      </c>
      <c r="AG172" s="37">
        <f t="shared" si="40"/>
        <v>12556.2837</v>
      </c>
      <c r="AH172" s="37">
        <f t="shared" si="41"/>
        <v>3398.0340000000001</v>
      </c>
      <c r="AI172" s="37">
        <f t="shared" si="42"/>
        <v>794.70150000000001</v>
      </c>
      <c r="AJ172" s="37">
        <f t="shared" si="43"/>
        <v>674.12610000000006</v>
      </c>
      <c r="AK172" s="37">
        <f t="shared" si="44"/>
        <v>1036.2907560000001</v>
      </c>
      <c r="AL172" s="23">
        <v>140.04</v>
      </c>
      <c r="AM172" s="23">
        <f t="shared" si="49"/>
        <v>140.04</v>
      </c>
      <c r="AN172" s="22">
        <v>79.2</v>
      </c>
      <c r="AO172" s="22">
        <f t="shared" si="45"/>
        <v>79.2</v>
      </c>
      <c r="AP172" s="23">
        <v>13152</v>
      </c>
      <c r="AQ172" s="23">
        <f t="shared" si="46"/>
        <v>13680.052799999999</v>
      </c>
      <c r="AR172" s="23">
        <f t="shared" si="50"/>
        <v>13680.052799999999</v>
      </c>
      <c r="AS172" s="23">
        <f t="shared" si="53"/>
        <v>13899.292799999999</v>
      </c>
      <c r="AU172" s="20">
        <f t="shared" si="51"/>
        <v>0</v>
      </c>
      <c r="AV172" s="37">
        <f t="shared" si="47"/>
        <v>32358.728856000002</v>
      </c>
      <c r="AW172" s="37">
        <f t="shared" si="54"/>
        <v>87165.728856000002</v>
      </c>
      <c r="BA172" s="20" t="str">
        <f t="shared" si="52"/>
        <v>1 - ADM_ASSTII - Silveira, Julia</v>
      </c>
    </row>
    <row r="173" spans="1:53" ht="12.75" customHeight="1" x14ac:dyDescent="0.25">
      <c r="A173" s="20">
        <v>167</v>
      </c>
      <c r="B173" s="20" t="s">
        <v>6725</v>
      </c>
      <c r="C173" s="20" t="s">
        <v>7097</v>
      </c>
      <c r="D173" s="20" t="s">
        <v>6756</v>
      </c>
      <c r="E173" s="21">
        <v>1</v>
      </c>
      <c r="G173" s="35" t="s">
        <v>6757</v>
      </c>
      <c r="H173" s="20" t="s">
        <v>6741</v>
      </c>
      <c r="K173" s="23">
        <v>63557</v>
      </c>
      <c r="L173" s="23">
        <f t="shared" si="37"/>
        <v>63557</v>
      </c>
      <c r="Q173" s="26">
        <v>2.5000000000000001E-2</v>
      </c>
      <c r="R173" s="23">
        <f t="shared" ref="R173:R179" si="56">L173*Q173</f>
        <v>1588.9250000000002</v>
      </c>
      <c r="U173" s="23">
        <v>1200</v>
      </c>
      <c r="V173" s="23">
        <f t="shared" si="38"/>
        <v>66345.925000000003</v>
      </c>
      <c r="W173" s="36">
        <v>0.375</v>
      </c>
      <c r="X173" s="23">
        <f t="shared" si="39"/>
        <v>24879.721875000003</v>
      </c>
      <c r="Y173" s="20" t="s">
        <v>3056</v>
      </c>
      <c r="Z173" s="35" t="s">
        <v>6758</v>
      </c>
      <c r="AA173" s="35" t="s">
        <v>6759</v>
      </c>
      <c r="AB173" s="35" t="s">
        <v>6733</v>
      </c>
      <c r="AC173" s="35" t="s">
        <v>6760</v>
      </c>
      <c r="AD173" s="35" t="s">
        <v>6744</v>
      </c>
      <c r="AE173" s="37" t="str">
        <f t="shared" si="48"/>
        <v>52</v>
      </c>
      <c r="AG173" s="37">
        <f t="shared" si="40"/>
        <v>5699.9442815625007</v>
      </c>
      <c r="AH173" s="37">
        <f t="shared" si="41"/>
        <v>1542.5427562500001</v>
      </c>
      <c r="AI173" s="37">
        <f t="shared" si="42"/>
        <v>360.75596718750006</v>
      </c>
      <c r="AJ173" s="37">
        <f t="shared" si="43"/>
        <v>306.02057906250002</v>
      </c>
      <c r="AK173" s="37">
        <f t="shared" si="44"/>
        <v>470.42578121250011</v>
      </c>
      <c r="AL173" s="23">
        <v>140.04</v>
      </c>
      <c r="AM173" s="23">
        <f t="shared" si="49"/>
        <v>52.515000000000001</v>
      </c>
      <c r="AN173" s="22">
        <v>79.2</v>
      </c>
      <c r="AO173" s="22">
        <f t="shared" si="45"/>
        <v>29.700000000000003</v>
      </c>
      <c r="AP173" s="23">
        <v>13152</v>
      </c>
      <c r="AQ173" s="23">
        <f t="shared" si="46"/>
        <v>13680.052799999999</v>
      </c>
      <c r="AR173" s="23">
        <f t="shared" si="50"/>
        <v>5130.0198</v>
      </c>
      <c r="AS173" s="23">
        <f t="shared" si="53"/>
        <v>5212.2348000000002</v>
      </c>
      <c r="AU173" s="20">
        <f t="shared" si="51"/>
        <v>0</v>
      </c>
      <c r="AV173" s="37">
        <f t="shared" si="47"/>
        <v>13591.924165275001</v>
      </c>
      <c r="AW173" s="37">
        <f t="shared" si="54"/>
        <v>38471.646040275002</v>
      </c>
      <c r="BA173" s="20" t="str">
        <f t="shared" si="52"/>
        <v>0.375 - ESERV_SPEC - Suarez, Imelda</v>
      </c>
    </row>
    <row r="174" spans="1:53" ht="12.75" hidden="1" customHeight="1" x14ac:dyDescent="0.25">
      <c r="A174" s="20">
        <v>168</v>
      </c>
      <c r="B174" s="20" t="s">
        <v>6725</v>
      </c>
      <c r="C174" s="20" t="s">
        <v>7097</v>
      </c>
      <c r="D174" s="20" t="s">
        <v>6756</v>
      </c>
      <c r="E174" s="21">
        <v>1</v>
      </c>
      <c r="G174" s="35" t="s">
        <v>6757</v>
      </c>
      <c r="H174" s="20" t="s">
        <v>6741</v>
      </c>
      <c r="K174" s="23">
        <v>63557</v>
      </c>
      <c r="L174" s="23">
        <f t="shared" si="37"/>
        <v>63557</v>
      </c>
      <c r="Q174" s="26">
        <v>2.5000000000000001E-2</v>
      </c>
      <c r="R174" s="23">
        <f t="shared" si="56"/>
        <v>1588.9250000000002</v>
      </c>
      <c r="U174" s="23">
        <v>1200</v>
      </c>
      <c r="V174" s="23">
        <f t="shared" si="38"/>
        <v>66345.925000000003</v>
      </c>
      <c r="W174" s="36">
        <v>0.25</v>
      </c>
      <c r="X174" s="23">
        <f t="shared" si="39"/>
        <v>16586.481250000001</v>
      </c>
      <c r="Y174" s="20" t="s">
        <v>5404</v>
      </c>
      <c r="Z174" s="35" t="s">
        <v>6731</v>
      </c>
      <c r="AA174" s="35" t="s">
        <v>6752</v>
      </c>
      <c r="AB174" s="35" t="s">
        <v>6733</v>
      </c>
      <c r="AC174" s="35" t="s">
        <v>6753</v>
      </c>
      <c r="AD174" s="35" t="s">
        <v>6744</v>
      </c>
      <c r="AE174" s="37" t="str">
        <f t="shared" si="48"/>
        <v>52</v>
      </c>
      <c r="AG174" s="37">
        <f t="shared" si="40"/>
        <v>3799.962854375</v>
      </c>
      <c r="AH174" s="37">
        <f t="shared" si="41"/>
        <v>1028.3618375000001</v>
      </c>
      <c r="AI174" s="37">
        <f t="shared" si="42"/>
        <v>240.50397812500003</v>
      </c>
      <c r="AJ174" s="37">
        <f t="shared" si="43"/>
        <v>204.01371937500002</v>
      </c>
      <c r="AK174" s="37">
        <f t="shared" si="44"/>
        <v>313.61718747500004</v>
      </c>
      <c r="AL174" s="23">
        <v>140.04</v>
      </c>
      <c r="AM174" s="23">
        <f t="shared" si="49"/>
        <v>35.01</v>
      </c>
      <c r="AN174" s="22">
        <v>79.2</v>
      </c>
      <c r="AO174" s="22">
        <f t="shared" si="45"/>
        <v>19.8</v>
      </c>
      <c r="AP174" s="23">
        <v>13152</v>
      </c>
      <c r="AQ174" s="23">
        <f t="shared" si="46"/>
        <v>13680.052799999999</v>
      </c>
      <c r="AR174" s="23">
        <f t="shared" si="50"/>
        <v>3420.0131999999999</v>
      </c>
      <c r="AS174" s="23">
        <f t="shared" si="53"/>
        <v>3474.8231999999998</v>
      </c>
      <c r="AU174" s="20">
        <f t="shared" si="51"/>
        <v>0</v>
      </c>
      <c r="AV174" s="37">
        <f t="shared" si="47"/>
        <v>9061.2827768499992</v>
      </c>
      <c r="AW174" s="37">
        <f t="shared" si="54"/>
        <v>25647.76402685</v>
      </c>
      <c r="AX174" s="20" t="s">
        <v>6754</v>
      </c>
      <c r="AY174" s="20" t="s">
        <v>6680</v>
      </c>
      <c r="AZ174" s="20" t="s">
        <v>6755</v>
      </c>
      <c r="BA174" s="20" t="str">
        <f t="shared" si="52"/>
        <v>0.25 - ESERV_SPEC - Suarez, Imelda</v>
      </c>
    </row>
    <row r="175" spans="1:53" ht="12.75" hidden="1" customHeight="1" x14ac:dyDescent="0.25">
      <c r="A175" s="20">
        <v>169</v>
      </c>
      <c r="B175" s="20" t="s">
        <v>6725</v>
      </c>
      <c r="C175" s="20" t="s">
        <v>7097</v>
      </c>
      <c r="D175" s="20" t="s">
        <v>6756</v>
      </c>
      <c r="E175" s="21">
        <v>1</v>
      </c>
      <c r="G175" s="35" t="s">
        <v>6757</v>
      </c>
      <c r="H175" s="20" t="s">
        <v>6741</v>
      </c>
      <c r="K175" s="23">
        <v>63557</v>
      </c>
      <c r="L175" s="23">
        <f t="shared" si="37"/>
        <v>63557</v>
      </c>
      <c r="Q175" s="26">
        <v>2.5000000000000001E-2</v>
      </c>
      <c r="R175" s="23">
        <f t="shared" si="56"/>
        <v>1588.9250000000002</v>
      </c>
      <c r="U175" s="23">
        <v>1200</v>
      </c>
      <c r="V175" s="23">
        <f t="shared" si="38"/>
        <v>66345.925000000003</v>
      </c>
      <c r="W175" s="36">
        <v>0.375</v>
      </c>
      <c r="X175" s="23">
        <f t="shared" si="39"/>
        <v>24879.721875000003</v>
      </c>
      <c r="Y175" s="20" t="s">
        <v>5876</v>
      </c>
      <c r="Z175" s="35" t="s">
        <v>6731</v>
      </c>
      <c r="AA175" s="35" t="s">
        <v>6761</v>
      </c>
      <c r="AB175" s="35" t="s">
        <v>6733</v>
      </c>
      <c r="AC175" s="35" t="s">
        <v>6808</v>
      </c>
      <c r="AD175" s="35" t="s">
        <v>6744</v>
      </c>
      <c r="AE175" s="37" t="str">
        <f t="shared" si="48"/>
        <v>52</v>
      </c>
      <c r="AG175" s="37">
        <f t="shared" si="40"/>
        <v>5699.9442815625007</v>
      </c>
      <c r="AH175" s="37">
        <f t="shared" si="41"/>
        <v>1542.5427562500001</v>
      </c>
      <c r="AI175" s="37">
        <f t="shared" si="42"/>
        <v>360.75596718750006</v>
      </c>
      <c r="AJ175" s="37">
        <f t="shared" si="43"/>
        <v>306.02057906250002</v>
      </c>
      <c r="AK175" s="37">
        <f t="shared" si="44"/>
        <v>470.42578121250011</v>
      </c>
      <c r="AL175" s="23">
        <v>140.04</v>
      </c>
      <c r="AM175" s="23">
        <f t="shared" si="49"/>
        <v>52.515000000000001</v>
      </c>
      <c r="AN175" s="22">
        <v>79.2</v>
      </c>
      <c r="AO175" s="22">
        <f t="shared" si="45"/>
        <v>29.700000000000003</v>
      </c>
      <c r="AP175" s="23">
        <v>13152</v>
      </c>
      <c r="AQ175" s="23">
        <f t="shared" si="46"/>
        <v>13680.052799999999</v>
      </c>
      <c r="AR175" s="23">
        <f t="shared" si="50"/>
        <v>5130.0198</v>
      </c>
      <c r="AS175" s="23">
        <f t="shared" si="53"/>
        <v>5212.2348000000002</v>
      </c>
      <c r="AU175" s="20">
        <f t="shared" si="51"/>
        <v>0</v>
      </c>
      <c r="AV175" s="37">
        <f t="shared" si="47"/>
        <v>13591.924165275001</v>
      </c>
      <c r="AW175" s="37">
        <f t="shared" si="54"/>
        <v>38471.646040275002</v>
      </c>
      <c r="AX175" s="20" t="s">
        <v>6754</v>
      </c>
      <c r="AY175" s="20" t="s">
        <v>6809</v>
      </c>
      <c r="AZ175" s="20" t="s">
        <v>6810</v>
      </c>
      <c r="BA175" s="20" t="str">
        <f t="shared" si="52"/>
        <v>0.375 - ESERV_SPEC - Suarez, Imelda</v>
      </c>
    </row>
    <row r="176" spans="1:53" ht="12.75" hidden="1" customHeight="1" x14ac:dyDescent="0.25">
      <c r="A176" s="20">
        <v>170</v>
      </c>
      <c r="B176" s="20" t="s">
        <v>6725</v>
      </c>
      <c r="C176" s="20" t="s">
        <v>7098</v>
      </c>
      <c r="D176" s="20" t="s">
        <v>6785</v>
      </c>
      <c r="E176" s="21">
        <v>1</v>
      </c>
      <c r="G176" s="35" t="s">
        <v>6786</v>
      </c>
      <c r="H176" s="20" t="s">
        <v>6741</v>
      </c>
      <c r="K176" s="23">
        <v>59019</v>
      </c>
      <c r="L176" s="23">
        <f t="shared" si="37"/>
        <v>59019</v>
      </c>
      <c r="Q176" s="26">
        <v>0.1</v>
      </c>
      <c r="R176" s="23">
        <f t="shared" si="56"/>
        <v>5901.9000000000005</v>
      </c>
      <c r="T176" s="23">
        <f>M176*S176/12*5</f>
        <v>0</v>
      </c>
      <c r="U176" s="23">
        <v>1200</v>
      </c>
      <c r="V176" s="23">
        <f t="shared" si="38"/>
        <v>66120.899999999994</v>
      </c>
      <c r="W176" s="36">
        <v>1</v>
      </c>
      <c r="X176" s="23">
        <f t="shared" si="39"/>
        <v>66120.899999999994</v>
      </c>
      <c r="Y176" s="20" t="s">
        <v>6288</v>
      </c>
      <c r="Z176" s="35" t="s">
        <v>6928</v>
      </c>
      <c r="AA176" s="35" t="s">
        <v>6929</v>
      </c>
      <c r="AB176" s="35" t="s">
        <v>6733</v>
      </c>
      <c r="AC176" s="35" t="s">
        <v>6930</v>
      </c>
      <c r="AD176" s="35" t="s">
        <v>6744</v>
      </c>
      <c r="AE176" s="37" t="str">
        <f t="shared" si="48"/>
        <v>52</v>
      </c>
      <c r="AG176" s="37">
        <f t="shared" si="40"/>
        <v>15148.298189999998</v>
      </c>
      <c r="AH176" s="37">
        <f t="shared" si="41"/>
        <v>4099.4957999999997</v>
      </c>
      <c r="AI176" s="37">
        <f t="shared" si="42"/>
        <v>958.75304999999992</v>
      </c>
      <c r="AJ176" s="37">
        <f t="shared" si="43"/>
        <v>813.28706999999997</v>
      </c>
      <c r="AK176" s="37">
        <f t="shared" si="44"/>
        <v>1250.2139772</v>
      </c>
      <c r="AL176" s="23">
        <v>140.04</v>
      </c>
      <c r="AM176" s="23">
        <f t="shared" si="49"/>
        <v>140.04</v>
      </c>
      <c r="AN176" s="22">
        <v>79.2</v>
      </c>
      <c r="AO176" s="22">
        <f t="shared" si="45"/>
        <v>79.2</v>
      </c>
      <c r="AP176" s="23">
        <v>33444</v>
      </c>
      <c r="AQ176" s="23">
        <f t="shared" si="46"/>
        <v>34786.776599999997</v>
      </c>
      <c r="AR176" s="23">
        <f t="shared" si="50"/>
        <v>34786.776599999997</v>
      </c>
      <c r="AS176" s="23">
        <f t="shared" si="53"/>
        <v>35006.016599999995</v>
      </c>
      <c r="AU176" s="20">
        <f t="shared" si="51"/>
        <v>0</v>
      </c>
      <c r="AV176" s="37">
        <f t="shared" si="47"/>
        <v>57276.064687199992</v>
      </c>
      <c r="AW176" s="37">
        <f t="shared" si="54"/>
        <v>123396.96468719999</v>
      </c>
      <c r="BA176" s="20" t="str">
        <f t="shared" si="52"/>
        <v>1 - ADMASSTIII - Suarez, Martha</v>
      </c>
    </row>
    <row r="177" spans="1:53" ht="12.75" customHeight="1" x14ac:dyDescent="0.25">
      <c r="A177" s="20">
        <v>171</v>
      </c>
      <c r="B177" s="20" t="s">
        <v>6725</v>
      </c>
      <c r="C177" s="20" t="s">
        <v>7099</v>
      </c>
      <c r="D177" s="20" t="s">
        <v>7100</v>
      </c>
      <c r="E177" s="21">
        <v>1</v>
      </c>
      <c r="G177" s="35" t="s">
        <v>7101</v>
      </c>
      <c r="H177" s="20" t="s">
        <v>6741</v>
      </c>
      <c r="K177" s="23">
        <v>65147</v>
      </c>
      <c r="L177" s="23">
        <f t="shared" si="37"/>
        <v>65147</v>
      </c>
      <c r="Q177" s="26">
        <v>0.05</v>
      </c>
      <c r="R177" s="23">
        <f t="shared" si="56"/>
        <v>3257.3500000000004</v>
      </c>
      <c r="V177" s="23">
        <f t="shared" si="38"/>
        <v>68404.350000000006</v>
      </c>
      <c r="W177" s="36">
        <v>1</v>
      </c>
      <c r="X177" s="23">
        <f t="shared" si="39"/>
        <v>68404.350000000006</v>
      </c>
      <c r="Y177" s="20" t="s">
        <v>661</v>
      </c>
      <c r="Z177" s="35" t="s">
        <v>6758</v>
      </c>
      <c r="AA177" s="35" t="s">
        <v>6861</v>
      </c>
      <c r="AB177" s="35" t="s">
        <v>6733</v>
      </c>
      <c r="AC177" s="35" t="s">
        <v>6862</v>
      </c>
      <c r="AD177" s="35" t="s">
        <v>6744</v>
      </c>
      <c r="AE177" s="37" t="str">
        <f t="shared" si="48"/>
        <v>52</v>
      </c>
      <c r="AG177" s="37">
        <f t="shared" si="40"/>
        <v>15671.436585000001</v>
      </c>
      <c r="AH177" s="37">
        <f t="shared" si="41"/>
        <v>4241.0697</v>
      </c>
      <c r="AI177" s="37">
        <f t="shared" si="42"/>
        <v>991.86307500000009</v>
      </c>
      <c r="AJ177" s="37">
        <f t="shared" si="43"/>
        <v>841.37350500000014</v>
      </c>
      <c r="AK177" s="37">
        <f t="shared" si="44"/>
        <v>1293.3894498000002</v>
      </c>
      <c r="AL177" s="23">
        <v>140.04</v>
      </c>
      <c r="AM177" s="23">
        <f t="shared" si="49"/>
        <v>140.04</v>
      </c>
      <c r="AN177" s="22">
        <v>79.2</v>
      </c>
      <c r="AO177" s="22">
        <f t="shared" si="45"/>
        <v>79.2</v>
      </c>
      <c r="AP177" s="23">
        <v>25452.6</v>
      </c>
      <c r="AQ177" s="23">
        <f t="shared" si="46"/>
        <v>26474.521889999996</v>
      </c>
      <c r="AR177" s="23">
        <f t="shared" si="50"/>
        <v>26474.521889999996</v>
      </c>
      <c r="AS177" s="23">
        <f t="shared" si="53"/>
        <v>26693.761889999998</v>
      </c>
      <c r="AU177" s="20">
        <f t="shared" si="51"/>
        <v>0</v>
      </c>
      <c r="AV177" s="37">
        <f t="shared" si="47"/>
        <v>49732.894204800003</v>
      </c>
      <c r="AW177" s="37">
        <f t="shared" si="54"/>
        <v>118137.24420480001</v>
      </c>
      <c r="BA177" s="20" t="str">
        <f t="shared" si="52"/>
        <v>1 - ACCT_SPEC - Summers, Kris Tina</v>
      </c>
    </row>
    <row r="178" spans="1:53" ht="12.75" hidden="1" customHeight="1" x14ac:dyDescent="0.25">
      <c r="A178" s="20">
        <v>173</v>
      </c>
      <c r="B178" s="20" t="s">
        <v>6725</v>
      </c>
      <c r="C178" s="20" t="s">
        <v>7102</v>
      </c>
      <c r="D178" s="20" t="s">
        <v>6739</v>
      </c>
      <c r="E178" s="21">
        <v>1</v>
      </c>
      <c r="G178" s="35" t="s">
        <v>6740</v>
      </c>
      <c r="H178" s="20" t="s">
        <v>6741</v>
      </c>
      <c r="K178" s="23">
        <v>71910</v>
      </c>
      <c r="L178" s="23">
        <f t="shared" si="37"/>
        <v>71910</v>
      </c>
      <c r="Q178" s="26">
        <v>7.4999999999999997E-2</v>
      </c>
      <c r="R178" s="23">
        <f t="shared" si="56"/>
        <v>5393.25</v>
      </c>
      <c r="U178" s="23">
        <v>1200</v>
      </c>
      <c r="V178" s="23">
        <f t="shared" si="38"/>
        <v>78503.25</v>
      </c>
      <c r="W178" s="36">
        <v>0.55000000000000004</v>
      </c>
      <c r="X178" s="23">
        <f t="shared" si="39"/>
        <v>43176.787500000006</v>
      </c>
      <c r="Y178" s="20" t="s">
        <v>5938</v>
      </c>
      <c r="Z178" s="35" t="s">
        <v>6731</v>
      </c>
      <c r="AA178" s="35" t="s">
        <v>6788</v>
      </c>
      <c r="AB178" s="35" t="s">
        <v>6733</v>
      </c>
      <c r="AC178" s="35" t="s">
        <v>6789</v>
      </c>
      <c r="AD178" s="35" t="s">
        <v>6744</v>
      </c>
      <c r="AE178" s="37" t="str">
        <f t="shared" si="48"/>
        <v>52</v>
      </c>
      <c r="AG178" s="37">
        <f t="shared" si="40"/>
        <v>9891.8020162500015</v>
      </c>
      <c r="AH178" s="37">
        <f t="shared" si="41"/>
        <v>2676.9608250000006</v>
      </c>
      <c r="AI178" s="37">
        <f t="shared" si="42"/>
        <v>626.0634187500001</v>
      </c>
      <c r="AJ178" s="37">
        <f t="shared" si="43"/>
        <v>531.07448625000006</v>
      </c>
      <c r="AK178" s="37">
        <f t="shared" si="44"/>
        <v>816.38669805000018</v>
      </c>
      <c r="AL178" s="23">
        <v>140.04</v>
      </c>
      <c r="AM178" s="23">
        <f t="shared" si="49"/>
        <v>77.022000000000006</v>
      </c>
      <c r="AN178" s="22">
        <v>79.2</v>
      </c>
      <c r="AO178" s="22">
        <f t="shared" si="45"/>
        <v>43.56</v>
      </c>
      <c r="AP178" s="23">
        <v>17424</v>
      </c>
      <c r="AQ178" s="23">
        <f t="shared" si="46"/>
        <v>18123.5736</v>
      </c>
      <c r="AR178" s="23">
        <f t="shared" si="50"/>
        <v>9967.9654800000008</v>
      </c>
      <c r="AS178" s="23">
        <f t="shared" si="53"/>
        <v>10088.547480000001</v>
      </c>
      <c r="AT178" s="37">
        <v>2400</v>
      </c>
      <c r="AU178" s="20">
        <f t="shared" si="51"/>
        <v>1320</v>
      </c>
      <c r="AV178" s="37">
        <f t="shared" si="47"/>
        <v>25950.834924300005</v>
      </c>
      <c r="AW178" s="37">
        <f t="shared" si="54"/>
        <v>69127.622424300003</v>
      </c>
      <c r="AX178" s="20" t="s">
        <v>6754</v>
      </c>
      <c r="AY178" s="20" t="s">
        <v>6790</v>
      </c>
      <c r="AZ178" s="20" t="s">
        <v>6791</v>
      </c>
      <c r="BA178" s="20" t="str">
        <f t="shared" si="52"/>
        <v>0.55 - PRGASST_II - Tapia, Marlene</v>
      </c>
    </row>
    <row r="179" spans="1:53" ht="12.75" hidden="1" customHeight="1" x14ac:dyDescent="0.25">
      <c r="A179" s="20">
        <v>174</v>
      </c>
      <c r="B179" s="20" t="s">
        <v>6725</v>
      </c>
      <c r="C179" s="20" t="s">
        <v>7102</v>
      </c>
      <c r="D179" s="20" t="s">
        <v>6739</v>
      </c>
      <c r="E179" s="21">
        <v>1</v>
      </c>
      <c r="G179" s="35" t="s">
        <v>6740</v>
      </c>
      <c r="H179" s="20" t="s">
        <v>6741</v>
      </c>
      <c r="K179" s="23">
        <v>71910</v>
      </c>
      <c r="L179" s="23">
        <f t="shared" si="37"/>
        <v>71910</v>
      </c>
      <c r="Q179" s="26">
        <v>7.4999999999999997E-2</v>
      </c>
      <c r="R179" s="23">
        <f t="shared" si="56"/>
        <v>5393.25</v>
      </c>
      <c r="U179" s="23">
        <v>1200</v>
      </c>
      <c r="V179" s="23">
        <f t="shared" si="38"/>
        <v>78503.25</v>
      </c>
      <c r="W179" s="36">
        <v>0.45</v>
      </c>
      <c r="X179" s="23">
        <f t="shared" si="39"/>
        <v>35326.462500000001</v>
      </c>
      <c r="Y179" s="20" t="s">
        <v>5784</v>
      </c>
      <c r="Z179" s="35" t="s">
        <v>6731</v>
      </c>
      <c r="AA179" s="35" t="s">
        <v>6752</v>
      </c>
      <c r="AB179" s="35" t="s">
        <v>6733</v>
      </c>
      <c r="AC179" s="35" t="s">
        <v>7103</v>
      </c>
      <c r="AD179" s="35" t="s">
        <v>6744</v>
      </c>
      <c r="AE179" s="37" t="str">
        <f t="shared" si="48"/>
        <v>52</v>
      </c>
      <c r="AG179" s="37">
        <f t="shared" si="40"/>
        <v>8093.2925587500004</v>
      </c>
      <c r="AH179" s="37">
        <f t="shared" si="41"/>
        <v>2190.240675</v>
      </c>
      <c r="AI179" s="37">
        <f t="shared" si="42"/>
        <v>512.23370625000007</v>
      </c>
      <c r="AJ179" s="37">
        <f t="shared" si="43"/>
        <v>434.51548875000003</v>
      </c>
      <c r="AK179" s="37">
        <f t="shared" si="44"/>
        <v>667.9527529500001</v>
      </c>
      <c r="AL179" s="23">
        <v>140.04</v>
      </c>
      <c r="AM179" s="23">
        <f t="shared" si="49"/>
        <v>63.018000000000001</v>
      </c>
      <c r="AN179" s="22">
        <v>79.2</v>
      </c>
      <c r="AO179" s="22">
        <f t="shared" si="45"/>
        <v>35.64</v>
      </c>
      <c r="AP179" s="23">
        <v>17424</v>
      </c>
      <c r="AQ179" s="23">
        <f t="shared" si="46"/>
        <v>18123.5736</v>
      </c>
      <c r="AR179" s="23">
        <f t="shared" si="50"/>
        <v>8155.6081199999999</v>
      </c>
      <c r="AS179" s="23">
        <f t="shared" si="53"/>
        <v>8254.2661200000002</v>
      </c>
      <c r="AT179" s="37">
        <v>2400</v>
      </c>
      <c r="AU179" s="20">
        <f t="shared" si="51"/>
        <v>1080</v>
      </c>
      <c r="AV179" s="37">
        <f t="shared" si="47"/>
        <v>21232.501301700002</v>
      </c>
      <c r="AW179" s="37">
        <f t="shared" si="54"/>
        <v>56558.963801700003</v>
      </c>
      <c r="AX179" s="20" t="s">
        <v>6754</v>
      </c>
      <c r="AY179" s="20" t="s">
        <v>6790</v>
      </c>
      <c r="AZ179" s="20" t="s">
        <v>7104</v>
      </c>
      <c r="BA179" s="20" t="str">
        <f t="shared" si="52"/>
        <v>0.45 - PRGASST_II - Tapia, Marlene</v>
      </c>
    </row>
    <row r="180" spans="1:53" ht="12.75" customHeight="1" x14ac:dyDescent="0.25">
      <c r="A180" s="20">
        <v>175</v>
      </c>
      <c r="B180" s="20" t="s">
        <v>6725</v>
      </c>
      <c r="C180" s="20" t="s">
        <v>7105</v>
      </c>
      <c r="D180" s="20" t="s">
        <v>7106</v>
      </c>
      <c r="E180" s="21">
        <v>1</v>
      </c>
      <c r="G180" s="35" t="s">
        <v>7107</v>
      </c>
      <c r="H180" s="20" t="s">
        <v>6741</v>
      </c>
      <c r="K180" s="23">
        <v>85479</v>
      </c>
      <c r="L180" s="23">
        <f t="shared" si="37"/>
        <v>85479</v>
      </c>
      <c r="V180" s="23">
        <f t="shared" si="38"/>
        <v>85479</v>
      </c>
      <c r="W180" s="36">
        <v>1</v>
      </c>
      <c r="X180" s="23">
        <f t="shared" si="39"/>
        <v>85479</v>
      </c>
      <c r="Y180" s="20" t="s">
        <v>595</v>
      </c>
      <c r="Z180" s="35" t="s">
        <v>6758</v>
      </c>
      <c r="AA180" s="35" t="s">
        <v>6909</v>
      </c>
      <c r="AB180" s="35" t="s">
        <v>6733</v>
      </c>
      <c r="AC180" s="35" t="s">
        <v>6910</v>
      </c>
      <c r="AD180" s="35" t="s">
        <v>6744</v>
      </c>
      <c r="AE180" s="37" t="str">
        <f t="shared" si="48"/>
        <v>52</v>
      </c>
      <c r="AG180" s="37">
        <f t="shared" si="40"/>
        <v>19583.2389</v>
      </c>
      <c r="AH180" s="37">
        <f t="shared" si="41"/>
        <v>5299.6980000000003</v>
      </c>
      <c r="AI180" s="37">
        <f t="shared" si="42"/>
        <v>1239.4455</v>
      </c>
      <c r="AJ180" s="37">
        <f t="shared" si="43"/>
        <v>1051.3917000000001</v>
      </c>
      <c r="AK180" s="37">
        <f t="shared" si="44"/>
        <v>1616.236932</v>
      </c>
      <c r="AL180" s="23">
        <v>140.04</v>
      </c>
      <c r="AM180" s="23">
        <f t="shared" si="49"/>
        <v>140.04</v>
      </c>
      <c r="AN180" s="22">
        <v>79.2</v>
      </c>
      <c r="AO180" s="22">
        <f t="shared" si="45"/>
        <v>79.2</v>
      </c>
      <c r="AP180" s="23">
        <v>25452.6</v>
      </c>
      <c r="AQ180" s="23">
        <f t="shared" si="46"/>
        <v>26474.521889999996</v>
      </c>
      <c r="AR180" s="23">
        <f t="shared" si="50"/>
        <v>26474.521889999996</v>
      </c>
      <c r="AS180" s="23">
        <f t="shared" si="53"/>
        <v>26693.761889999998</v>
      </c>
      <c r="AU180" s="20">
        <f t="shared" si="51"/>
        <v>0</v>
      </c>
      <c r="AV180" s="37">
        <f t="shared" si="47"/>
        <v>55483.772922000004</v>
      </c>
      <c r="AW180" s="37">
        <f t="shared" si="54"/>
        <v>140962.772922</v>
      </c>
      <c r="BA180" s="20" t="str">
        <f t="shared" si="52"/>
        <v>1 - IR_ANALYST - Ting, Layheng</v>
      </c>
    </row>
    <row r="181" spans="1:53" ht="12.75" customHeight="1" x14ac:dyDescent="0.25">
      <c r="A181" s="20">
        <v>176</v>
      </c>
      <c r="B181" s="20" t="s">
        <v>6725</v>
      </c>
      <c r="C181" s="20" t="s">
        <v>7108</v>
      </c>
      <c r="D181" s="20" t="s">
        <v>6872</v>
      </c>
      <c r="E181" s="21">
        <v>1</v>
      </c>
      <c r="G181" s="35" t="s">
        <v>6873</v>
      </c>
      <c r="H181" s="20" t="s">
        <v>6741</v>
      </c>
      <c r="K181" s="23">
        <v>56176</v>
      </c>
      <c r="L181" s="23">
        <f t="shared" si="37"/>
        <v>56176</v>
      </c>
      <c r="U181" s="23">
        <v>600</v>
      </c>
      <c r="V181" s="23">
        <f t="shared" si="38"/>
        <v>56776</v>
      </c>
      <c r="W181" s="36">
        <v>1</v>
      </c>
      <c r="X181" s="23">
        <f t="shared" si="39"/>
        <v>56776</v>
      </c>
      <c r="Y181" s="20" t="s">
        <v>661</v>
      </c>
      <c r="Z181" s="35" t="s">
        <v>6758</v>
      </c>
      <c r="AA181" s="35" t="s">
        <v>6861</v>
      </c>
      <c r="AB181" s="35" t="s">
        <v>6733</v>
      </c>
      <c r="AC181" s="35" t="s">
        <v>6862</v>
      </c>
      <c r="AD181" s="35" t="s">
        <v>6744</v>
      </c>
      <c r="AE181" s="37" t="str">
        <f t="shared" si="48"/>
        <v>52</v>
      </c>
      <c r="AG181" s="37">
        <f t="shared" si="40"/>
        <v>13007.381600000001</v>
      </c>
      <c r="AH181" s="37">
        <f t="shared" si="41"/>
        <v>3520.1120000000001</v>
      </c>
      <c r="AI181" s="37">
        <f t="shared" si="42"/>
        <v>823.25200000000007</v>
      </c>
      <c r="AJ181" s="37">
        <f t="shared" si="43"/>
        <v>698.34479999999996</v>
      </c>
      <c r="AK181" s="37">
        <f t="shared" si="44"/>
        <v>1073.520608</v>
      </c>
      <c r="AL181" s="23">
        <v>140.04</v>
      </c>
      <c r="AM181" s="23">
        <f t="shared" si="49"/>
        <v>140.04</v>
      </c>
      <c r="AN181" s="22">
        <v>79.2</v>
      </c>
      <c r="AO181" s="22">
        <f t="shared" si="45"/>
        <v>79.2</v>
      </c>
      <c r="AP181" s="23">
        <v>25452.6</v>
      </c>
      <c r="AQ181" s="23">
        <f t="shared" si="46"/>
        <v>26474.521889999996</v>
      </c>
      <c r="AR181" s="23">
        <f t="shared" si="50"/>
        <v>26474.521889999996</v>
      </c>
      <c r="AS181" s="23">
        <f t="shared" si="53"/>
        <v>26693.761889999998</v>
      </c>
      <c r="AU181" s="20">
        <f t="shared" si="51"/>
        <v>0</v>
      </c>
      <c r="AV181" s="37">
        <f t="shared" si="47"/>
        <v>45816.372898000001</v>
      </c>
      <c r="AW181" s="37">
        <f t="shared" si="54"/>
        <v>102592.372898</v>
      </c>
      <c r="BA181" s="20" t="str">
        <f t="shared" si="52"/>
        <v xml:space="preserve">1 - ACCT_ASST - Trafton, Mary </v>
      </c>
    </row>
    <row r="182" spans="1:53" ht="12.75" hidden="1" customHeight="1" x14ac:dyDescent="0.25">
      <c r="A182" s="20">
        <v>177</v>
      </c>
      <c r="B182" s="20" t="s">
        <v>6725</v>
      </c>
      <c r="C182" s="20" t="s">
        <v>7109</v>
      </c>
      <c r="D182" s="20" t="s">
        <v>6767</v>
      </c>
      <c r="E182" s="21">
        <v>1</v>
      </c>
      <c r="F182" s="34">
        <v>44531</v>
      </c>
      <c r="G182" s="35" t="s">
        <v>6757</v>
      </c>
      <c r="H182" s="20" t="s">
        <v>6730</v>
      </c>
      <c r="I182" s="22">
        <f>5044*5</f>
        <v>25220</v>
      </c>
      <c r="J182" s="20" t="s">
        <v>6741</v>
      </c>
      <c r="K182" s="23">
        <f>5296*7</f>
        <v>37072</v>
      </c>
      <c r="L182" s="23">
        <f t="shared" si="37"/>
        <v>62292</v>
      </c>
      <c r="U182" s="23">
        <v>600</v>
      </c>
      <c r="V182" s="23">
        <f t="shared" si="38"/>
        <v>62892</v>
      </c>
      <c r="W182" s="36">
        <v>0.4</v>
      </c>
      <c r="X182" s="23">
        <f t="shared" si="39"/>
        <v>25156.800000000003</v>
      </c>
      <c r="Y182" s="20" t="s">
        <v>4944</v>
      </c>
      <c r="Z182" s="35" t="s">
        <v>6731</v>
      </c>
      <c r="AA182" s="35" t="s">
        <v>6732</v>
      </c>
      <c r="AB182" s="35" t="s">
        <v>6733</v>
      </c>
      <c r="AC182" s="35" t="s">
        <v>6734</v>
      </c>
      <c r="AD182" s="35" t="s">
        <v>6744</v>
      </c>
      <c r="AE182" s="37" t="str">
        <f t="shared" si="48"/>
        <v>52</v>
      </c>
      <c r="AG182" s="37">
        <f t="shared" si="40"/>
        <v>5763.422880000001</v>
      </c>
      <c r="AH182" s="37">
        <f t="shared" si="41"/>
        <v>1559.7216000000001</v>
      </c>
      <c r="AI182" s="37">
        <f t="shared" si="42"/>
        <v>364.77360000000004</v>
      </c>
      <c r="AJ182" s="37">
        <f t="shared" si="43"/>
        <v>309.42864000000003</v>
      </c>
      <c r="AK182" s="37">
        <f t="shared" si="44"/>
        <v>475.66477440000011</v>
      </c>
      <c r="AL182" s="23">
        <v>140.04</v>
      </c>
      <c r="AM182" s="23">
        <f t="shared" si="49"/>
        <v>56.015999999999998</v>
      </c>
      <c r="AN182" s="22">
        <v>79.2</v>
      </c>
      <c r="AO182" s="22">
        <f t="shared" si="45"/>
        <v>31.680000000000003</v>
      </c>
      <c r="AP182" s="23">
        <v>33444</v>
      </c>
      <c r="AQ182" s="23">
        <f t="shared" si="46"/>
        <v>34786.776599999997</v>
      </c>
      <c r="AR182" s="23">
        <f t="shared" si="50"/>
        <v>13914.710639999999</v>
      </c>
      <c r="AS182" s="23">
        <f t="shared" si="53"/>
        <v>14002.406639999999</v>
      </c>
      <c r="AU182" s="20">
        <f t="shared" si="51"/>
        <v>0</v>
      </c>
      <c r="AV182" s="37">
        <f t="shared" si="47"/>
        <v>22475.418134400003</v>
      </c>
      <c r="AW182" s="37">
        <f t="shared" si="54"/>
        <v>47632.218134400006</v>
      </c>
      <c r="AX182" s="20" t="s">
        <v>6675</v>
      </c>
      <c r="AY182" s="20" t="s">
        <v>6736</v>
      </c>
      <c r="AZ182" s="20" t="s">
        <v>6737</v>
      </c>
      <c r="BA182" s="20" t="str">
        <f t="shared" si="52"/>
        <v>0.4 - PROGASST_I - Uribe, Dina N</v>
      </c>
    </row>
    <row r="183" spans="1:53" ht="12.75" hidden="1" customHeight="1" x14ac:dyDescent="0.25">
      <c r="A183" s="20">
        <v>178</v>
      </c>
      <c r="B183" s="20" t="s">
        <v>6725</v>
      </c>
      <c r="C183" s="20" t="s">
        <v>7109</v>
      </c>
      <c r="D183" s="20" t="s">
        <v>6767</v>
      </c>
      <c r="E183" s="21">
        <v>1</v>
      </c>
      <c r="F183" s="34">
        <v>44531</v>
      </c>
      <c r="G183" s="35" t="s">
        <v>6757</v>
      </c>
      <c r="H183" s="20" t="s">
        <v>6730</v>
      </c>
      <c r="I183" s="22">
        <f>5044*5</f>
        <v>25220</v>
      </c>
      <c r="J183" s="20" t="s">
        <v>6741</v>
      </c>
      <c r="K183" s="23">
        <f>5296*7</f>
        <v>37072</v>
      </c>
      <c r="L183" s="23">
        <f t="shared" si="37"/>
        <v>62292</v>
      </c>
      <c r="U183" s="23">
        <v>600</v>
      </c>
      <c r="V183" s="23">
        <f t="shared" si="38"/>
        <v>62892</v>
      </c>
      <c r="W183" s="36">
        <v>0.6</v>
      </c>
      <c r="X183" s="23">
        <f t="shared" si="39"/>
        <v>37735.199999999997</v>
      </c>
      <c r="Y183" s="20" t="s">
        <v>5038</v>
      </c>
      <c r="Z183" s="35" t="s">
        <v>6731</v>
      </c>
      <c r="AA183" s="35" t="s">
        <v>6732</v>
      </c>
      <c r="AB183" s="35" t="s">
        <v>6733</v>
      </c>
      <c r="AC183" s="35" t="s">
        <v>7058</v>
      </c>
      <c r="AD183" s="35" t="s">
        <v>6744</v>
      </c>
      <c r="AE183" s="37" t="str">
        <f t="shared" si="48"/>
        <v>52</v>
      </c>
      <c r="AG183" s="37">
        <f t="shared" si="40"/>
        <v>8645.1343199999992</v>
      </c>
      <c r="AH183" s="37">
        <f t="shared" si="41"/>
        <v>2339.5823999999998</v>
      </c>
      <c r="AI183" s="37">
        <f t="shared" si="42"/>
        <v>547.16039999999998</v>
      </c>
      <c r="AJ183" s="37">
        <f t="shared" si="43"/>
        <v>464.14295999999996</v>
      </c>
      <c r="AK183" s="37">
        <f t="shared" si="44"/>
        <v>713.49716160000003</v>
      </c>
      <c r="AL183" s="23">
        <v>140.04</v>
      </c>
      <c r="AM183" s="23">
        <f t="shared" si="49"/>
        <v>84.023999999999987</v>
      </c>
      <c r="AN183" s="22">
        <v>79.2</v>
      </c>
      <c r="AO183" s="22">
        <f t="shared" si="45"/>
        <v>47.52</v>
      </c>
      <c r="AP183" s="23">
        <v>33444</v>
      </c>
      <c r="AQ183" s="23">
        <f t="shared" si="46"/>
        <v>34786.776599999997</v>
      </c>
      <c r="AR183" s="23">
        <f t="shared" si="50"/>
        <v>20872.065959999996</v>
      </c>
      <c r="AS183" s="23">
        <f t="shared" si="53"/>
        <v>21003.609959999998</v>
      </c>
      <c r="AU183" s="20">
        <f t="shared" si="51"/>
        <v>0</v>
      </c>
      <c r="AV183" s="37">
        <f t="shared" si="47"/>
        <v>33713.127201599993</v>
      </c>
      <c r="AW183" s="37">
        <f t="shared" si="54"/>
        <v>71448.327201599983</v>
      </c>
      <c r="AX183" s="20" t="s">
        <v>6675</v>
      </c>
      <c r="AY183" s="20" t="s">
        <v>7081</v>
      </c>
      <c r="AZ183" s="20" t="s">
        <v>7082</v>
      </c>
      <c r="BA183" s="20" t="str">
        <f t="shared" si="52"/>
        <v>0.6 - PROGASST_I - Uribe, Dina N</v>
      </c>
    </row>
    <row r="184" spans="1:53" ht="12.75" customHeight="1" x14ac:dyDescent="0.25">
      <c r="A184" s="20">
        <v>179</v>
      </c>
      <c r="B184" s="20" t="s">
        <v>6725</v>
      </c>
      <c r="C184" s="20" t="s">
        <v>7110</v>
      </c>
      <c r="D184" s="20" t="s">
        <v>6795</v>
      </c>
      <c r="E184" s="21">
        <v>1</v>
      </c>
      <c r="G184" s="35" t="s">
        <v>6796</v>
      </c>
      <c r="H184" s="20" t="s">
        <v>6741</v>
      </c>
      <c r="K184" s="23">
        <v>52165</v>
      </c>
      <c r="L184" s="23">
        <f t="shared" si="37"/>
        <v>52165</v>
      </c>
      <c r="Q184" s="26">
        <v>0.05</v>
      </c>
      <c r="R184" s="23">
        <f>L184*Q184</f>
        <v>2608.25</v>
      </c>
      <c r="T184" s="23">
        <f>M184*S184/12*1</f>
        <v>0</v>
      </c>
      <c r="U184" s="23">
        <v>1200</v>
      </c>
      <c r="V184" s="23">
        <f t="shared" si="38"/>
        <v>55973.25</v>
      </c>
      <c r="W184" s="36">
        <v>0.75</v>
      </c>
      <c r="X184" s="23">
        <f t="shared" si="39"/>
        <v>41979.9375</v>
      </c>
      <c r="Y184" s="20" t="s">
        <v>3124</v>
      </c>
      <c r="Z184" s="35" t="s">
        <v>6758</v>
      </c>
      <c r="AA184" s="35" t="s">
        <v>6761</v>
      </c>
      <c r="AB184" s="35" t="s">
        <v>6733</v>
      </c>
      <c r="AC184" s="35" t="s">
        <v>7111</v>
      </c>
      <c r="AD184" s="35" t="s">
        <v>6744</v>
      </c>
      <c r="AE184" s="37" t="str">
        <f t="shared" si="48"/>
        <v>52</v>
      </c>
      <c r="AG184" s="37">
        <f t="shared" si="40"/>
        <v>9617.6036812500006</v>
      </c>
      <c r="AH184" s="37">
        <f t="shared" si="41"/>
        <v>2602.7561249999999</v>
      </c>
      <c r="AI184" s="37">
        <f t="shared" si="42"/>
        <v>608.70909375000008</v>
      </c>
      <c r="AJ184" s="37">
        <f t="shared" si="43"/>
        <v>516.35323125000002</v>
      </c>
      <c r="AK184" s="37">
        <f t="shared" si="44"/>
        <v>793.7566582500001</v>
      </c>
      <c r="AL184" s="23">
        <v>140.04</v>
      </c>
      <c r="AM184" s="23">
        <f t="shared" si="49"/>
        <v>105.03</v>
      </c>
      <c r="AN184" s="22">
        <v>79.2</v>
      </c>
      <c r="AO184" s="22">
        <f t="shared" si="45"/>
        <v>59.400000000000006</v>
      </c>
      <c r="AP184" s="23">
        <v>13152</v>
      </c>
      <c r="AQ184" s="23">
        <f t="shared" si="46"/>
        <v>13680.052799999999</v>
      </c>
      <c r="AR184" s="23">
        <f t="shared" si="50"/>
        <v>10260.0396</v>
      </c>
      <c r="AS184" s="23">
        <f t="shared" si="53"/>
        <v>10424.4696</v>
      </c>
      <c r="AU184" s="20">
        <f t="shared" si="51"/>
        <v>0</v>
      </c>
      <c r="AV184" s="37">
        <f t="shared" si="47"/>
        <v>24563.648389499998</v>
      </c>
      <c r="AW184" s="37">
        <f t="shared" si="54"/>
        <v>66543.585889499998</v>
      </c>
      <c r="BA184" s="20" t="str">
        <f t="shared" si="52"/>
        <v>0.75 - AR_TECH - Valles, Ana C</v>
      </c>
    </row>
    <row r="185" spans="1:53" ht="12.75" hidden="1" customHeight="1" x14ac:dyDescent="0.25">
      <c r="A185" s="20">
        <v>180</v>
      </c>
      <c r="B185" s="20" t="s">
        <v>6725</v>
      </c>
      <c r="C185" s="20" t="s">
        <v>7110</v>
      </c>
      <c r="D185" s="20" t="s">
        <v>6795</v>
      </c>
      <c r="E185" s="21">
        <v>1</v>
      </c>
      <c r="G185" s="35" t="s">
        <v>6796</v>
      </c>
      <c r="H185" s="20" t="s">
        <v>6741</v>
      </c>
      <c r="K185" s="23">
        <v>52165</v>
      </c>
      <c r="L185" s="23">
        <f t="shared" si="37"/>
        <v>52165</v>
      </c>
      <c r="U185" s="23">
        <v>1200</v>
      </c>
      <c r="V185" s="23">
        <f t="shared" si="38"/>
        <v>53365</v>
      </c>
      <c r="W185" s="36">
        <v>0.25</v>
      </c>
      <c r="X185" s="23">
        <f t="shared" si="39"/>
        <v>13341.25</v>
      </c>
      <c r="Y185" s="20" t="s">
        <v>5876</v>
      </c>
      <c r="Z185" s="35" t="s">
        <v>6731</v>
      </c>
      <c r="AA185" s="35" t="s">
        <v>6761</v>
      </c>
      <c r="AB185" s="35" t="s">
        <v>6733</v>
      </c>
      <c r="AC185" s="35" t="s">
        <v>6808</v>
      </c>
      <c r="AD185" s="35" t="s">
        <v>6744</v>
      </c>
      <c r="AE185" s="37" t="str">
        <f t="shared" si="48"/>
        <v>52</v>
      </c>
      <c r="AG185" s="37">
        <f t="shared" si="40"/>
        <v>3056.4803750000001</v>
      </c>
      <c r="AH185" s="37">
        <f t="shared" si="41"/>
        <v>827.15750000000003</v>
      </c>
      <c r="AI185" s="37">
        <f t="shared" si="42"/>
        <v>193.448125</v>
      </c>
      <c r="AJ185" s="37">
        <f t="shared" si="43"/>
        <v>164.097375</v>
      </c>
      <c r="AK185" s="37">
        <f t="shared" si="44"/>
        <v>252.25635500000001</v>
      </c>
      <c r="AL185" s="23">
        <v>140.04</v>
      </c>
      <c r="AM185" s="23">
        <f t="shared" si="49"/>
        <v>35.01</v>
      </c>
      <c r="AN185" s="22">
        <v>79.2</v>
      </c>
      <c r="AO185" s="22">
        <f t="shared" si="45"/>
        <v>19.8</v>
      </c>
      <c r="AP185" s="23">
        <v>13152</v>
      </c>
      <c r="AQ185" s="23">
        <f t="shared" si="46"/>
        <v>13680.052799999999</v>
      </c>
      <c r="AR185" s="23">
        <f t="shared" si="50"/>
        <v>3420.0131999999999</v>
      </c>
      <c r="AS185" s="23">
        <f t="shared" si="53"/>
        <v>3474.8231999999998</v>
      </c>
      <c r="AU185" s="20">
        <f t="shared" si="51"/>
        <v>0</v>
      </c>
      <c r="AV185" s="37">
        <f t="shared" si="47"/>
        <v>7968.2629300000008</v>
      </c>
      <c r="AW185" s="37">
        <f t="shared" si="54"/>
        <v>21309.512930000001</v>
      </c>
      <c r="AX185" s="20" t="s">
        <v>6754</v>
      </c>
      <c r="AY185" s="20" t="s">
        <v>6809</v>
      </c>
      <c r="AZ185" s="20" t="s">
        <v>6810</v>
      </c>
      <c r="BA185" s="20" t="str">
        <f t="shared" si="52"/>
        <v>0.25 - AR_TECH - Valles, Ana C</v>
      </c>
    </row>
    <row r="186" spans="1:53" ht="12.75" customHeight="1" x14ac:dyDescent="0.25">
      <c r="A186" s="20">
        <v>181</v>
      </c>
      <c r="B186" s="20" t="s">
        <v>6725</v>
      </c>
      <c r="C186" s="20" t="s">
        <v>7112</v>
      </c>
      <c r="D186" s="20" t="s">
        <v>6802</v>
      </c>
      <c r="E186" s="21">
        <v>1</v>
      </c>
      <c r="F186" s="34">
        <v>44378</v>
      </c>
      <c r="G186" s="35" t="s">
        <v>6740</v>
      </c>
      <c r="H186" s="20" t="s">
        <v>6729</v>
      </c>
      <c r="K186" s="23">
        <v>65225</v>
      </c>
      <c r="L186" s="23">
        <f t="shared" si="37"/>
        <v>65225</v>
      </c>
      <c r="U186" s="23">
        <v>600</v>
      </c>
      <c r="V186" s="23">
        <f t="shared" si="38"/>
        <v>65825</v>
      </c>
      <c r="W186" s="36">
        <v>1</v>
      </c>
      <c r="X186" s="23">
        <f t="shared" si="39"/>
        <v>65825</v>
      </c>
      <c r="Y186" s="20" t="s">
        <v>3090</v>
      </c>
      <c r="Z186" s="35" t="s">
        <v>6758</v>
      </c>
      <c r="AA186" s="35" t="s">
        <v>6761</v>
      </c>
      <c r="AB186" s="35" t="s">
        <v>6733</v>
      </c>
      <c r="AC186" s="35" t="s">
        <v>6762</v>
      </c>
      <c r="AD186" s="35" t="s">
        <v>6744</v>
      </c>
      <c r="AE186" s="37" t="str">
        <f t="shared" si="48"/>
        <v>52</v>
      </c>
      <c r="AG186" s="37">
        <f t="shared" si="40"/>
        <v>15080.5075</v>
      </c>
      <c r="AH186" s="37">
        <f t="shared" si="41"/>
        <v>4081.15</v>
      </c>
      <c r="AI186" s="37">
        <f t="shared" si="42"/>
        <v>954.46250000000009</v>
      </c>
      <c r="AJ186" s="37">
        <f t="shared" si="43"/>
        <v>809.64750000000004</v>
      </c>
      <c r="AK186" s="37">
        <f t="shared" si="44"/>
        <v>1244.6191000000001</v>
      </c>
      <c r="AL186" s="23">
        <v>140.04</v>
      </c>
      <c r="AM186" s="23">
        <f t="shared" si="49"/>
        <v>140.04</v>
      </c>
      <c r="AN186" s="22">
        <v>79.2</v>
      </c>
      <c r="AO186" s="22">
        <f t="shared" si="45"/>
        <v>79.2</v>
      </c>
      <c r="AP186" s="23">
        <v>13152</v>
      </c>
      <c r="AQ186" s="23">
        <f t="shared" si="46"/>
        <v>13680.052799999999</v>
      </c>
      <c r="AR186" s="23">
        <f t="shared" si="50"/>
        <v>13680.052799999999</v>
      </c>
      <c r="AS186" s="23">
        <f t="shared" si="53"/>
        <v>13899.292799999999</v>
      </c>
      <c r="AU186" s="20">
        <f t="shared" si="51"/>
        <v>0</v>
      </c>
      <c r="AV186" s="37">
        <f t="shared" si="47"/>
        <v>36069.679400000001</v>
      </c>
      <c r="AW186" s="37">
        <f t="shared" si="54"/>
        <v>101894.67939999999</v>
      </c>
      <c r="BA186" s="20" t="str">
        <f t="shared" si="52"/>
        <v>1 - FA_SPEC - Vazquez, Cecila</v>
      </c>
    </row>
    <row r="187" spans="1:53" ht="12.75" customHeight="1" x14ac:dyDescent="0.25">
      <c r="A187" s="20">
        <v>182</v>
      </c>
      <c r="B187" s="20" t="s">
        <v>6725</v>
      </c>
      <c r="C187" s="20" t="s">
        <v>7113</v>
      </c>
      <c r="D187" s="20" t="s">
        <v>6739</v>
      </c>
      <c r="E187" s="21">
        <v>1</v>
      </c>
      <c r="F187" s="34"/>
      <c r="G187" s="35" t="s">
        <v>6740</v>
      </c>
      <c r="H187" s="20" t="s">
        <v>6741</v>
      </c>
      <c r="K187" s="23">
        <v>71910</v>
      </c>
      <c r="L187" s="23">
        <f t="shared" si="37"/>
        <v>71910</v>
      </c>
      <c r="U187" s="23">
        <v>1200</v>
      </c>
      <c r="V187" s="23">
        <f t="shared" si="38"/>
        <v>73110</v>
      </c>
      <c r="W187" s="36">
        <v>0.5</v>
      </c>
      <c r="X187" s="23">
        <f t="shared" si="39"/>
        <v>36555</v>
      </c>
      <c r="Y187" s="20" t="s">
        <v>2807</v>
      </c>
      <c r="Z187" s="35" t="s">
        <v>6758</v>
      </c>
      <c r="AA187" s="35" t="s">
        <v>6904</v>
      </c>
      <c r="AB187" s="35" t="s">
        <v>6733</v>
      </c>
      <c r="AC187" s="35" t="s">
        <v>6905</v>
      </c>
      <c r="AD187" s="35" t="s">
        <v>6744</v>
      </c>
      <c r="AE187" s="37" t="str">
        <f t="shared" si="48"/>
        <v>52</v>
      </c>
      <c r="AG187" s="37">
        <f t="shared" si="40"/>
        <v>8374.7505000000001</v>
      </c>
      <c r="AH187" s="37">
        <f t="shared" si="41"/>
        <v>2266.41</v>
      </c>
      <c r="AI187" s="37">
        <f t="shared" si="42"/>
        <v>530.04750000000001</v>
      </c>
      <c r="AJ187" s="37">
        <f t="shared" si="43"/>
        <v>449.62650000000002</v>
      </c>
      <c r="AK187" s="37">
        <f t="shared" si="44"/>
        <v>691.18194000000005</v>
      </c>
      <c r="AL187" s="23">
        <v>140.04</v>
      </c>
      <c r="AM187" s="23">
        <f t="shared" si="49"/>
        <v>70.02</v>
      </c>
      <c r="AN187" s="22">
        <v>79.2</v>
      </c>
      <c r="AO187" s="22">
        <f t="shared" si="45"/>
        <v>39.6</v>
      </c>
      <c r="AP187" s="23">
        <v>33444</v>
      </c>
      <c r="AQ187" s="23">
        <f t="shared" si="46"/>
        <v>34786.776599999997</v>
      </c>
      <c r="AR187" s="23">
        <f t="shared" si="50"/>
        <v>17393.388299999999</v>
      </c>
      <c r="AS187" s="23">
        <f t="shared" si="53"/>
        <v>17503.008299999998</v>
      </c>
      <c r="AU187" s="20">
        <f t="shared" si="51"/>
        <v>0</v>
      </c>
      <c r="AV187" s="37">
        <f t="shared" si="47"/>
        <v>29815.024740000001</v>
      </c>
      <c r="AW187" s="37">
        <f t="shared" si="54"/>
        <v>66370.024739999993</v>
      </c>
      <c r="BA187" s="20" t="str">
        <f t="shared" si="52"/>
        <v>0.5 - PRGASST_II - Vazquez-Gonzalez, Miriam</v>
      </c>
    </row>
    <row r="188" spans="1:53" s="39" customFormat="1" ht="12.75" customHeight="1" x14ac:dyDescent="0.25">
      <c r="A188" s="39">
        <v>183</v>
      </c>
      <c r="B188" s="39" t="s">
        <v>6725</v>
      </c>
      <c r="C188" s="39" t="s">
        <v>7113</v>
      </c>
      <c r="D188" s="39" t="s">
        <v>6739</v>
      </c>
      <c r="E188" s="41">
        <v>1</v>
      </c>
      <c r="F188" s="42"/>
      <c r="G188" s="43" t="s">
        <v>6740</v>
      </c>
      <c r="H188" s="39" t="s">
        <v>6741</v>
      </c>
      <c r="I188" s="44"/>
      <c r="K188" s="45">
        <v>71910</v>
      </c>
      <c r="L188" s="45">
        <f t="shared" si="37"/>
        <v>71910</v>
      </c>
      <c r="M188" s="45"/>
      <c r="N188" s="45"/>
      <c r="O188" s="46"/>
      <c r="P188" s="45"/>
      <c r="Q188" s="47"/>
      <c r="R188" s="45"/>
      <c r="S188" s="47"/>
      <c r="T188" s="45"/>
      <c r="U188" s="45">
        <v>1200</v>
      </c>
      <c r="V188" s="45">
        <f t="shared" si="38"/>
        <v>73110</v>
      </c>
      <c r="W188" s="48">
        <v>0.5</v>
      </c>
      <c r="X188" s="45">
        <f t="shared" si="39"/>
        <v>36555</v>
      </c>
      <c r="Y188" s="39" t="s">
        <v>2807</v>
      </c>
      <c r="Z188" s="43" t="s">
        <v>6758</v>
      </c>
      <c r="AA188" s="43" t="s">
        <v>6904</v>
      </c>
      <c r="AB188" s="43" t="s">
        <v>6733</v>
      </c>
      <c r="AC188" s="43" t="s">
        <v>6905</v>
      </c>
      <c r="AD188" s="43" t="s">
        <v>6744</v>
      </c>
      <c r="AE188" s="49" t="str">
        <f t="shared" si="48"/>
        <v>52</v>
      </c>
      <c r="AG188" s="49">
        <f t="shared" si="40"/>
        <v>8374.7505000000001</v>
      </c>
      <c r="AH188" s="49">
        <f t="shared" si="41"/>
        <v>2266.41</v>
      </c>
      <c r="AI188" s="49">
        <f t="shared" si="42"/>
        <v>530.04750000000001</v>
      </c>
      <c r="AJ188" s="49">
        <f t="shared" si="43"/>
        <v>449.62650000000002</v>
      </c>
      <c r="AK188" s="49">
        <f t="shared" si="44"/>
        <v>691.18194000000005</v>
      </c>
      <c r="AL188" s="45">
        <v>140.04</v>
      </c>
      <c r="AM188" s="45">
        <f t="shared" si="49"/>
        <v>70.02</v>
      </c>
      <c r="AN188" s="44">
        <v>79.2</v>
      </c>
      <c r="AO188" s="44">
        <f t="shared" si="45"/>
        <v>39.6</v>
      </c>
      <c r="AP188" s="45">
        <v>33444</v>
      </c>
      <c r="AQ188" s="45">
        <f t="shared" si="46"/>
        <v>34786.776599999997</v>
      </c>
      <c r="AR188" s="45">
        <f t="shared" si="50"/>
        <v>17393.388299999999</v>
      </c>
      <c r="AS188" s="45">
        <f t="shared" si="53"/>
        <v>17503.008299999998</v>
      </c>
      <c r="AU188" s="39">
        <f t="shared" si="51"/>
        <v>0</v>
      </c>
      <c r="AV188" s="49">
        <f t="shared" si="47"/>
        <v>29815.024740000001</v>
      </c>
      <c r="AW188" s="49">
        <f t="shared" si="54"/>
        <v>66370.024739999993</v>
      </c>
      <c r="AX188" s="39" t="s">
        <v>6754</v>
      </c>
      <c r="AY188" s="39" t="s">
        <v>7036</v>
      </c>
      <c r="AZ188" s="39" t="s">
        <v>7114</v>
      </c>
      <c r="BA188" s="39" t="str">
        <f t="shared" si="52"/>
        <v>0.5 - PRGASST_II - Vazquez-Gonzalez, Miriam</v>
      </c>
    </row>
    <row r="189" spans="1:53" s="39" customFormat="1" ht="12.75" customHeight="1" x14ac:dyDescent="0.25">
      <c r="A189" s="39">
        <v>184</v>
      </c>
      <c r="B189" s="39" t="s">
        <v>6725</v>
      </c>
      <c r="C189" s="40" t="s">
        <v>7618</v>
      </c>
      <c r="D189" s="39" t="s">
        <v>6887</v>
      </c>
      <c r="E189" s="41">
        <v>1</v>
      </c>
      <c r="G189" s="43" t="s">
        <v>6888</v>
      </c>
      <c r="H189" s="39" t="s">
        <v>6782</v>
      </c>
      <c r="I189" s="44"/>
      <c r="K189" s="45">
        <v>47373</v>
      </c>
      <c r="L189" s="45">
        <f t="shared" si="37"/>
        <v>47373</v>
      </c>
      <c r="M189" s="45"/>
      <c r="N189" s="45"/>
      <c r="O189" s="46"/>
      <c r="P189" s="45"/>
      <c r="Q189" s="47"/>
      <c r="R189" s="45"/>
      <c r="S189" s="47"/>
      <c r="T189" s="45"/>
      <c r="U189" s="45"/>
      <c r="V189" s="45">
        <f t="shared" si="38"/>
        <v>47373</v>
      </c>
      <c r="W189" s="48">
        <v>0.7</v>
      </c>
      <c r="X189" s="45">
        <f t="shared" si="39"/>
        <v>33161.1</v>
      </c>
      <c r="Y189" s="39" t="s">
        <v>2560</v>
      </c>
      <c r="Z189" s="43" t="s">
        <v>6758</v>
      </c>
      <c r="AA189" s="43" t="s">
        <v>6847</v>
      </c>
      <c r="AB189" s="43" t="s">
        <v>6733</v>
      </c>
      <c r="AC189" s="43" t="s">
        <v>7031</v>
      </c>
      <c r="AD189" s="43" t="s">
        <v>6744</v>
      </c>
      <c r="AE189" s="49" t="str">
        <f t="shared" si="48"/>
        <v>52</v>
      </c>
      <c r="AG189" s="49">
        <f t="shared" si="40"/>
        <v>7597.2080099999994</v>
      </c>
      <c r="AH189" s="49">
        <f t="shared" si="41"/>
        <v>2055.9881999999998</v>
      </c>
      <c r="AI189" s="49">
        <f t="shared" si="42"/>
        <v>480.83595000000003</v>
      </c>
      <c r="AJ189" s="49">
        <f t="shared" si="43"/>
        <v>407.88153</v>
      </c>
      <c r="AK189" s="49">
        <f t="shared" si="44"/>
        <v>627.01007879999997</v>
      </c>
      <c r="AL189" s="45">
        <v>140.04</v>
      </c>
      <c r="AM189" s="45">
        <f t="shared" si="49"/>
        <v>98.027999999999992</v>
      </c>
      <c r="AN189" s="44">
        <v>79.2</v>
      </c>
      <c r="AO189" s="44">
        <f t="shared" si="45"/>
        <v>55.44</v>
      </c>
      <c r="AP189" s="45">
        <v>25452.6</v>
      </c>
      <c r="AQ189" s="45">
        <f t="shared" si="46"/>
        <v>26474.521889999996</v>
      </c>
      <c r="AR189" s="45">
        <f t="shared" si="50"/>
        <v>18532.165322999997</v>
      </c>
      <c r="AS189" s="45">
        <f t="shared" si="53"/>
        <v>18685.633322999998</v>
      </c>
      <c r="AU189" s="39">
        <f t="shared" si="51"/>
        <v>0</v>
      </c>
      <c r="AV189" s="49">
        <f t="shared" si="47"/>
        <v>29854.557091799998</v>
      </c>
      <c r="AW189" s="225">
        <f t="shared" si="54"/>
        <v>63015.657091799992</v>
      </c>
      <c r="BA189" s="39" t="str">
        <f t="shared" si="52"/>
        <v>0.7 - LIBTECH_I - VACANT (Velazquez, Wilson)</v>
      </c>
    </row>
    <row r="190" spans="1:53" s="39" customFormat="1" ht="12.75" customHeight="1" x14ac:dyDescent="0.25">
      <c r="A190" s="39">
        <v>185</v>
      </c>
      <c r="B190" s="39" t="s">
        <v>6725</v>
      </c>
      <c r="C190" s="40" t="s">
        <v>7618</v>
      </c>
      <c r="D190" s="39" t="s">
        <v>6887</v>
      </c>
      <c r="E190" s="41">
        <v>1</v>
      </c>
      <c r="G190" s="43" t="s">
        <v>6888</v>
      </c>
      <c r="H190" s="39" t="s">
        <v>6782</v>
      </c>
      <c r="I190" s="44"/>
      <c r="K190" s="45">
        <v>47373</v>
      </c>
      <c r="L190" s="45">
        <f t="shared" si="37"/>
        <v>47373</v>
      </c>
      <c r="M190" s="45"/>
      <c r="N190" s="45"/>
      <c r="O190" s="46"/>
      <c r="P190" s="45"/>
      <c r="Q190" s="47"/>
      <c r="R190" s="45"/>
      <c r="S190" s="47"/>
      <c r="T190" s="45"/>
      <c r="U190" s="45"/>
      <c r="V190" s="45">
        <f t="shared" si="38"/>
        <v>47373</v>
      </c>
      <c r="W190" s="48">
        <v>0.3</v>
      </c>
      <c r="X190" s="45">
        <f t="shared" si="39"/>
        <v>14211.9</v>
      </c>
      <c r="Y190" s="39" t="s">
        <v>2592</v>
      </c>
      <c r="Z190" s="43" t="s">
        <v>6758</v>
      </c>
      <c r="AA190" s="43" t="s">
        <v>6847</v>
      </c>
      <c r="AB190" s="43" t="s">
        <v>6733</v>
      </c>
      <c r="AC190" s="43" t="s">
        <v>6889</v>
      </c>
      <c r="AD190" s="43" t="s">
        <v>6744</v>
      </c>
      <c r="AE190" s="49" t="str">
        <f t="shared" si="48"/>
        <v>52</v>
      </c>
      <c r="AG190" s="49">
        <f t="shared" si="40"/>
        <v>3255.9462899999999</v>
      </c>
      <c r="AH190" s="49">
        <f t="shared" si="41"/>
        <v>881.13779999999997</v>
      </c>
      <c r="AI190" s="49">
        <f t="shared" si="42"/>
        <v>206.07255000000001</v>
      </c>
      <c r="AJ190" s="49">
        <f t="shared" si="43"/>
        <v>174.80636999999999</v>
      </c>
      <c r="AK190" s="49">
        <f t="shared" si="44"/>
        <v>268.71860520000001</v>
      </c>
      <c r="AL190" s="45">
        <v>140.04</v>
      </c>
      <c r="AM190" s="45">
        <f t="shared" si="49"/>
        <v>42.011999999999993</v>
      </c>
      <c r="AN190" s="44">
        <v>79.2</v>
      </c>
      <c r="AO190" s="44">
        <f t="shared" si="45"/>
        <v>23.76</v>
      </c>
      <c r="AP190" s="45">
        <v>25452.6</v>
      </c>
      <c r="AQ190" s="45">
        <f t="shared" si="46"/>
        <v>26474.521889999996</v>
      </c>
      <c r="AR190" s="45">
        <f t="shared" si="50"/>
        <v>7942.3565669999989</v>
      </c>
      <c r="AS190" s="45">
        <f t="shared" si="53"/>
        <v>8008.1285669999988</v>
      </c>
      <c r="AU190" s="39">
        <f t="shared" si="51"/>
        <v>0</v>
      </c>
      <c r="AV190" s="49">
        <f t="shared" si="47"/>
        <v>12794.810182199999</v>
      </c>
      <c r="AW190" s="225">
        <f t="shared" si="54"/>
        <v>27006.710182199997</v>
      </c>
      <c r="BA190" s="39" t="str">
        <f t="shared" si="52"/>
        <v>0.3 - LIBTECH_I - VACANT (Velazquez, Wilson)</v>
      </c>
    </row>
    <row r="191" spans="1:53" ht="12.75" customHeight="1" x14ac:dyDescent="0.25">
      <c r="A191" s="20">
        <v>186</v>
      </c>
      <c r="B191" s="20" t="s">
        <v>6725</v>
      </c>
      <c r="C191" s="20" t="s">
        <v>7116</v>
      </c>
      <c r="D191" s="20" t="s">
        <v>6798</v>
      </c>
      <c r="E191" s="21">
        <v>1</v>
      </c>
      <c r="G191" s="35" t="s">
        <v>6799</v>
      </c>
      <c r="H191" s="20" t="s">
        <v>6741</v>
      </c>
      <c r="K191" s="23">
        <v>50892</v>
      </c>
      <c r="L191" s="23">
        <f t="shared" si="37"/>
        <v>50892</v>
      </c>
      <c r="Q191" s="26">
        <v>0.05</v>
      </c>
      <c r="R191" s="23">
        <f t="shared" ref="R191:R197" si="57">L191*Q191</f>
        <v>2544.6000000000004</v>
      </c>
      <c r="V191" s="23">
        <f t="shared" si="38"/>
        <v>53436.6</v>
      </c>
      <c r="W191" s="36">
        <v>0.5</v>
      </c>
      <c r="X191" s="23">
        <f t="shared" si="39"/>
        <v>26718.3</v>
      </c>
      <c r="Y191" s="20" t="s">
        <v>1552</v>
      </c>
      <c r="Z191" s="35" t="s">
        <v>6758</v>
      </c>
      <c r="AA191" s="35" t="s">
        <v>6941</v>
      </c>
      <c r="AB191" s="35" t="s">
        <v>6733</v>
      </c>
      <c r="AC191" s="35" t="s">
        <v>6805</v>
      </c>
      <c r="AD191" s="35" t="s">
        <v>6744</v>
      </c>
      <c r="AE191" s="37" t="str">
        <f t="shared" si="48"/>
        <v>52</v>
      </c>
      <c r="AG191" s="37">
        <f t="shared" si="40"/>
        <v>6121.1625299999996</v>
      </c>
      <c r="AH191" s="37">
        <f t="shared" si="41"/>
        <v>1656.5346</v>
      </c>
      <c r="AI191" s="37">
        <f t="shared" si="42"/>
        <v>387.41534999999999</v>
      </c>
      <c r="AJ191" s="37">
        <f t="shared" si="43"/>
        <v>328.63508999999999</v>
      </c>
      <c r="AK191" s="37">
        <f t="shared" si="44"/>
        <v>505.18961640000003</v>
      </c>
      <c r="AL191" s="23">
        <v>140.04</v>
      </c>
      <c r="AM191" s="23">
        <f t="shared" si="49"/>
        <v>70.02</v>
      </c>
      <c r="AN191" s="22">
        <v>79.2</v>
      </c>
      <c r="AO191" s="22">
        <f t="shared" si="45"/>
        <v>39.6</v>
      </c>
      <c r="AP191" s="23">
        <v>13152</v>
      </c>
      <c r="AQ191" s="23">
        <f t="shared" si="46"/>
        <v>13680.052799999999</v>
      </c>
      <c r="AR191" s="23">
        <f t="shared" si="50"/>
        <v>6840.0263999999997</v>
      </c>
      <c r="AS191" s="23">
        <f t="shared" si="53"/>
        <v>6949.6463999999996</v>
      </c>
      <c r="AU191" s="20">
        <f t="shared" si="51"/>
        <v>0</v>
      </c>
      <c r="AV191" s="37">
        <f t="shared" si="47"/>
        <v>15948.5835864</v>
      </c>
      <c r="AW191" s="37">
        <f t="shared" si="54"/>
        <v>42666.883586399999</v>
      </c>
      <c r="BA191" s="20" t="str">
        <f t="shared" si="52"/>
        <v>0.5 - ADM_ASST_I - Venegas, Joanne</v>
      </c>
    </row>
    <row r="192" spans="1:53" ht="15" x14ac:dyDescent="0.25">
      <c r="A192" s="20">
        <v>187</v>
      </c>
      <c r="B192" s="20" t="s">
        <v>6725</v>
      </c>
      <c r="C192" s="20" t="s">
        <v>7116</v>
      </c>
      <c r="D192" s="20" t="s">
        <v>6798</v>
      </c>
      <c r="E192" s="21">
        <v>1</v>
      </c>
      <c r="G192" s="35" t="s">
        <v>6799</v>
      </c>
      <c r="H192" s="20" t="s">
        <v>6741</v>
      </c>
      <c r="K192" s="23">
        <v>50892</v>
      </c>
      <c r="L192" s="23">
        <f t="shared" si="37"/>
        <v>50892</v>
      </c>
      <c r="Q192" s="26">
        <v>0.05</v>
      </c>
      <c r="R192" s="23">
        <f t="shared" si="57"/>
        <v>2544.6000000000004</v>
      </c>
      <c r="V192" s="23">
        <f t="shared" si="38"/>
        <v>53436.6</v>
      </c>
      <c r="W192" s="36">
        <v>0.5</v>
      </c>
      <c r="X192" s="23">
        <f t="shared" si="39"/>
        <v>26718.3</v>
      </c>
      <c r="Y192" s="20" t="s">
        <v>1567</v>
      </c>
      <c r="Z192" s="35" t="s">
        <v>6758</v>
      </c>
      <c r="AA192" s="35" t="s">
        <v>6941</v>
      </c>
      <c r="AB192" s="35" t="s">
        <v>6733</v>
      </c>
      <c r="AC192" s="35" t="s">
        <v>6942</v>
      </c>
      <c r="AD192" s="35" t="s">
        <v>6744</v>
      </c>
      <c r="AE192" s="37" t="str">
        <f t="shared" si="48"/>
        <v>52</v>
      </c>
      <c r="AG192" s="37">
        <f t="shared" si="40"/>
        <v>6121.1625299999996</v>
      </c>
      <c r="AH192" s="37">
        <f t="shared" si="41"/>
        <v>1656.5346</v>
      </c>
      <c r="AI192" s="37">
        <f t="shared" si="42"/>
        <v>387.41534999999999</v>
      </c>
      <c r="AJ192" s="37">
        <f t="shared" si="43"/>
        <v>328.63508999999999</v>
      </c>
      <c r="AK192" s="37">
        <f t="shared" si="44"/>
        <v>505.18961640000003</v>
      </c>
      <c r="AL192" s="23">
        <v>140.04</v>
      </c>
      <c r="AM192" s="23">
        <f t="shared" si="49"/>
        <v>70.02</v>
      </c>
      <c r="AN192" s="22">
        <v>79.2</v>
      </c>
      <c r="AO192" s="22">
        <f t="shared" si="45"/>
        <v>39.6</v>
      </c>
      <c r="AP192" s="23">
        <v>13152</v>
      </c>
      <c r="AQ192" s="23">
        <f t="shared" si="46"/>
        <v>13680.052799999999</v>
      </c>
      <c r="AR192" s="23">
        <f t="shared" si="50"/>
        <v>6840.0263999999997</v>
      </c>
      <c r="AS192" s="23">
        <f>+AM192+AO192+AR192</f>
        <v>6949.6463999999996</v>
      </c>
      <c r="AU192" s="20">
        <f t="shared" si="51"/>
        <v>0</v>
      </c>
      <c r="AV192" s="37">
        <f t="shared" si="47"/>
        <v>15948.5835864</v>
      </c>
      <c r="AW192" s="37">
        <f t="shared" si="54"/>
        <v>42666.883586399999</v>
      </c>
      <c r="BA192" s="20" t="str">
        <f t="shared" si="52"/>
        <v>0.5 - ADM_ASST_I - Venegas, Joanne</v>
      </c>
    </row>
    <row r="193" spans="1:53" ht="12.75" hidden="1" customHeight="1" x14ac:dyDescent="0.25">
      <c r="A193" s="20">
        <v>188</v>
      </c>
      <c r="B193" s="20" t="s">
        <v>6725</v>
      </c>
      <c r="C193" s="38" t="s">
        <v>7117</v>
      </c>
      <c r="D193" s="20" t="s">
        <v>6767</v>
      </c>
      <c r="E193" s="21">
        <v>0.5</v>
      </c>
      <c r="G193" s="35" t="s">
        <v>6903</v>
      </c>
      <c r="H193" s="20" t="s">
        <v>6782</v>
      </c>
      <c r="K193" s="23">
        <f>52289/2</f>
        <v>26144.5</v>
      </c>
      <c r="L193" s="23">
        <f t="shared" si="37"/>
        <v>26144.5</v>
      </c>
      <c r="R193" s="23">
        <f t="shared" si="57"/>
        <v>0</v>
      </c>
      <c r="V193" s="23">
        <f t="shared" si="38"/>
        <v>26144.5</v>
      </c>
      <c r="W193" s="36">
        <v>1</v>
      </c>
      <c r="X193" s="23">
        <f t="shared" si="39"/>
        <v>26144.5</v>
      </c>
      <c r="Y193" s="20" t="s">
        <v>3708</v>
      </c>
      <c r="Z193" s="35" t="s">
        <v>6731</v>
      </c>
      <c r="AA193" s="35" t="s">
        <v>6804</v>
      </c>
      <c r="AB193" s="35" t="s">
        <v>6733</v>
      </c>
      <c r="AC193" s="35" t="s">
        <v>6819</v>
      </c>
      <c r="AD193" s="35" t="s">
        <v>6744</v>
      </c>
      <c r="AE193" s="37" t="str">
        <f t="shared" si="48"/>
        <v>52</v>
      </c>
      <c r="AG193" s="37">
        <f t="shared" si="40"/>
        <v>5989.7049500000003</v>
      </c>
      <c r="AH193" s="37">
        <f t="shared" si="41"/>
        <v>1620.9590000000001</v>
      </c>
      <c r="AI193" s="37">
        <f t="shared" si="42"/>
        <v>379.09525000000002</v>
      </c>
      <c r="AJ193" s="37">
        <f t="shared" si="43"/>
        <v>321.57735000000002</v>
      </c>
      <c r="AK193" s="37">
        <f t="shared" si="44"/>
        <v>494.34020600000002</v>
      </c>
      <c r="AL193" s="23">
        <v>140.04</v>
      </c>
      <c r="AM193" s="23">
        <f t="shared" si="49"/>
        <v>140.04</v>
      </c>
      <c r="AN193" s="22">
        <v>79.2</v>
      </c>
      <c r="AO193" s="22">
        <f t="shared" si="45"/>
        <v>79.2</v>
      </c>
      <c r="AQ193" s="23">
        <f t="shared" si="46"/>
        <v>0</v>
      </c>
      <c r="AR193" s="23">
        <f t="shared" si="50"/>
        <v>0</v>
      </c>
      <c r="AS193" s="23">
        <f>+AM193+AO193+AR193</f>
        <v>219.24</v>
      </c>
      <c r="AU193" s="20">
        <f t="shared" si="51"/>
        <v>0</v>
      </c>
      <c r="AV193" s="37">
        <f t="shared" si="47"/>
        <v>9024.9167560000024</v>
      </c>
      <c r="AW193" s="37">
        <f t="shared" si="54"/>
        <v>35169.416756000006</v>
      </c>
      <c r="BA193" s="20" t="str">
        <f t="shared" si="52"/>
        <v>1 - PROGASST_I - VACANT (Villalobos, Nicolasa)</v>
      </c>
    </row>
    <row r="194" spans="1:53" ht="12.75" customHeight="1" x14ac:dyDescent="0.25">
      <c r="A194" s="20">
        <v>188</v>
      </c>
      <c r="B194" s="20" t="s">
        <v>6725</v>
      </c>
      <c r="C194" s="20" t="s">
        <v>7118</v>
      </c>
      <c r="D194" s="20" t="s">
        <v>7075</v>
      </c>
      <c r="E194" s="21">
        <v>1</v>
      </c>
      <c r="G194" s="35" t="s">
        <v>7076</v>
      </c>
      <c r="H194" s="20" t="s">
        <v>6741</v>
      </c>
      <c r="K194" s="23">
        <v>60494</v>
      </c>
      <c r="L194" s="23">
        <f t="shared" si="37"/>
        <v>60494</v>
      </c>
      <c r="Q194" s="26">
        <v>0.1</v>
      </c>
      <c r="R194" s="23">
        <f t="shared" si="57"/>
        <v>6049.4000000000005</v>
      </c>
      <c r="U194" s="23">
        <v>600</v>
      </c>
      <c r="V194" s="23">
        <f t="shared" ref="V194:V199" si="58">L194+N194+P194+R194+T194+U194</f>
        <v>67143.399999999994</v>
      </c>
      <c r="W194" s="36">
        <v>1</v>
      </c>
      <c r="X194" s="23">
        <f t="shared" si="39"/>
        <v>67143.399999999994</v>
      </c>
      <c r="Y194" s="20" t="s">
        <v>3056</v>
      </c>
      <c r="Z194" s="35" t="s">
        <v>6758</v>
      </c>
      <c r="AA194" s="35" t="s">
        <v>6759</v>
      </c>
      <c r="AB194" s="35" t="s">
        <v>6733</v>
      </c>
      <c r="AC194" s="35" t="s">
        <v>6760</v>
      </c>
      <c r="AD194" s="35" t="s">
        <v>6744</v>
      </c>
      <c r="AE194" s="37" t="str">
        <f t="shared" si="48"/>
        <v>52</v>
      </c>
      <c r="AG194" s="37">
        <f t="shared" si="40"/>
        <v>15382.552939999998</v>
      </c>
      <c r="AH194" s="37">
        <f t="shared" si="41"/>
        <v>4162.8907999999992</v>
      </c>
      <c r="AI194" s="37">
        <f t="shared" si="42"/>
        <v>973.57929999999999</v>
      </c>
      <c r="AJ194" s="37">
        <f t="shared" si="43"/>
        <v>825.86381999999992</v>
      </c>
      <c r="AK194" s="37">
        <f t="shared" si="44"/>
        <v>1269.5474072</v>
      </c>
      <c r="AL194" s="23">
        <v>140.04</v>
      </c>
      <c r="AM194" s="23">
        <f t="shared" si="49"/>
        <v>140.04</v>
      </c>
      <c r="AN194" s="22">
        <v>79.2</v>
      </c>
      <c r="AO194" s="22">
        <f t="shared" ref="AO194:AO257" si="59">AN194*W194</f>
        <v>79.2</v>
      </c>
      <c r="AP194" s="23">
        <v>25452.6</v>
      </c>
      <c r="AQ194" s="23">
        <f t="shared" ref="AQ194:AQ257" si="60">AP194/2+(((AP194/2)*$AQ$1)+AP194/2)</f>
        <v>26474.521889999996</v>
      </c>
      <c r="AR194" s="23">
        <f t="shared" si="50"/>
        <v>26474.521889999996</v>
      </c>
      <c r="AS194" s="23">
        <f t="shared" si="53"/>
        <v>26693.761889999998</v>
      </c>
      <c r="AU194" s="20">
        <f t="shared" si="51"/>
        <v>0</v>
      </c>
      <c r="AV194" s="37">
        <f t="shared" ref="AV194:AV257" si="61">+AF194+AG194+AH194+AI194+AJ194+AK194+AM194+AO194+AR194+AU194</f>
        <v>49308.196157199993</v>
      </c>
      <c r="AW194" s="37">
        <f t="shared" si="54"/>
        <v>116451.59615719999</v>
      </c>
      <c r="BA194" s="20" t="str">
        <f t="shared" si="52"/>
        <v>1 - AR_EVALTEC - West, Jutta L</v>
      </c>
    </row>
    <row r="195" spans="1:53" ht="12.75" customHeight="1" x14ac:dyDescent="0.25">
      <c r="A195" s="20">
        <v>189</v>
      </c>
      <c r="B195" s="20" t="s">
        <v>6725</v>
      </c>
      <c r="C195" s="20" t="s">
        <v>7119</v>
      </c>
      <c r="D195" s="20" t="s">
        <v>6767</v>
      </c>
      <c r="E195" s="21">
        <v>1</v>
      </c>
      <c r="F195" s="34">
        <v>44440</v>
      </c>
      <c r="G195" s="35" t="s">
        <v>6757</v>
      </c>
      <c r="H195" s="20" t="s">
        <v>6730</v>
      </c>
      <c r="I195" s="22">
        <f>5044*2</f>
        <v>10088</v>
      </c>
      <c r="J195" s="20" t="s">
        <v>6741</v>
      </c>
      <c r="K195" s="23">
        <f>5296*10</f>
        <v>52960</v>
      </c>
      <c r="L195" s="23">
        <f t="shared" si="37"/>
        <v>63048</v>
      </c>
      <c r="Q195" s="26">
        <v>2.5000000000000001E-2</v>
      </c>
      <c r="R195" s="23">
        <f t="shared" si="57"/>
        <v>1576.2</v>
      </c>
      <c r="U195" s="23">
        <v>600</v>
      </c>
      <c r="V195" s="23">
        <f t="shared" si="58"/>
        <v>65224.2</v>
      </c>
      <c r="W195" s="36">
        <v>1</v>
      </c>
      <c r="X195" s="23">
        <f t="shared" si="39"/>
        <v>65224.2</v>
      </c>
      <c r="Y195" s="20" t="s">
        <v>1552</v>
      </c>
      <c r="Z195" s="35" t="s">
        <v>6758</v>
      </c>
      <c r="AA195" s="35" t="s">
        <v>6941</v>
      </c>
      <c r="AB195" s="35" t="s">
        <v>6733</v>
      </c>
      <c r="AC195" s="35" t="s">
        <v>6805</v>
      </c>
      <c r="AD195" s="35" t="s">
        <v>6744</v>
      </c>
      <c r="AE195" s="37" t="str">
        <f t="shared" ref="AE195:AE258" si="62">LEFT(AD195,2)</f>
        <v>52</v>
      </c>
      <c r="AG195" s="37">
        <f t="shared" si="40"/>
        <v>14942.864219999999</v>
      </c>
      <c r="AH195" s="37">
        <f t="shared" si="41"/>
        <v>4043.9004</v>
      </c>
      <c r="AI195" s="37">
        <f t="shared" si="42"/>
        <v>945.7509</v>
      </c>
      <c r="AJ195" s="37">
        <f t="shared" si="43"/>
        <v>802.25765999999999</v>
      </c>
      <c r="AK195" s="37">
        <f t="shared" si="44"/>
        <v>1233.2591735999999</v>
      </c>
      <c r="AL195" s="23">
        <v>140.04</v>
      </c>
      <c r="AM195" s="23">
        <f t="shared" ref="AM195:AM258" si="63">AL195*W195</f>
        <v>140.04</v>
      </c>
      <c r="AN195" s="22">
        <v>79.2</v>
      </c>
      <c r="AO195" s="22">
        <f t="shared" si="59"/>
        <v>79.2</v>
      </c>
      <c r="AP195" s="23">
        <v>33444</v>
      </c>
      <c r="AQ195" s="23">
        <f t="shared" si="60"/>
        <v>34786.776599999997</v>
      </c>
      <c r="AR195" s="23">
        <f t="shared" ref="AR195:AR258" si="64">AQ195*W195</f>
        <v>34786.776599999997</v>
      </c>
      <c r="AS195" s="23">
        <f t="shared" si="53"/>
        <v>35006.016599999995</v>
      </c>
      <c r="AT195" s="37"/>
      <c r="AU195" s="20">
        <f t="shared" ref="AU195:AU258" si="65">AT195*W195</f>
        <v>0</v>
      </c>
      <c r="AV195" s="37">
        <f t="shared" si="61"/>
        <v>56974.048953599995</v>
      </c>
      <c r="AW195" s="37">
        <f t="shared" si="54"/>
        <v>122198.24895359999</v>
      </c>
      <c r="BA195" s="20" t="str">
        <f t="shared" si="52"/>
        <v>1 - PROGASST_I - Westfall, Marta Cristina</v>
      </c>
    </row>
    <row r="196" spans="1:53" s="39" customFormat="1" ht="12.75" customHeight="1" x14ac:dyDescent="0.25">
      <c r="A196" s="39">
        <v>190</v>
      </c>
      <c r="B196" s="39" t="s">
        <v>6725</v>
      </c>
      <c r="C196" s="39" t="s">
        <v>7120</v>
      </c>
      <c r="D196" s="39" t="s">
        <v>7115</v>
      </c>
      <c r="E196" s="41">
        <v>1</v>
      </c>
      <c r="G196" s="43" t="s">
        <v>7617</v>
      </c>
      <c r="H196" s="39" t="s">
        <v>6741</v>
      </c>
      <c r="I196" s="44"/>
      <c r="K196" s="45">
        <v>57581</v>
      </c>
      <c r="L196" s="45">
        <f t="shared" si="37"/>
        <v>57581</v>
      </c>
      <c r="M196" s="45"/>
      <c r="N196" s="45"/>
      <c r="O196" s="46"/>
      <c r="P196" s="45"/>
      <c r="Q196" s="47">
        <v>0.05</v>
      </c>
      <c r="R196" s="45">
        <f t="shared" si="57"/>
        <v>2879.05</v>
      </c>
      <c r="S196" s="47"/>
      <c r="T196" s="45"/>
      <c r="U196" s="45"/>
      <c r="V196" s="45">
        <f t="shared" si="58"/>
        <v>60460.05</v>
      </c>
      <c r="W196" s="48">
        <v>0.5</v>
      </c>
      <c r="X196" s="45">
        <f t="shared" si="39"/>
        <v>30230.025000000001</v>
      </c>
      <c r="Y196" s="39" t="s">
        <v>2560</v>
      </c>
      <c r="Z196" s="43" t="s">
        <v>6758</v>
      </c>
      <c r="AA196" s="43" t="s">
        <v>6847</v>
      </c>
      <c r="AB196" s="43" t="s">
        <v>6733</v>
      </c>
      <c r="AC196" s="43" t="s">
        <v>7031</v>
      </c>
      <c r="AD196" s="43" t="s">
        <v>6744</v>
      </c>
      <c r="AE196" s="49" t="str">
        <f t="shared" si="62"/>
        <v>52</v>
      </c>
      <c r="AG196" s="49">
        <f t="shared" si="40"/>
        <v>6925.6987275000001</v>
      </c>
      <c r="AH196" s="49">
        <f t="shared" si="41"/>
        <v>1874.2615500000002</v>
      </c>
      <c r="AI196" s="49">
        <f t="shared" si="42"/>
        <v>438.33536250000003</v>
      </c>
      <c r="AJ196" s="49">
        <f t="shared" si="43"/>
        <v>371.82930750000003</v>
      </c>
      <c r="AK196" s="49">
        <f t="shared" si="44"/>
        <v>571.58931270000005</v>
      </c>
      <c r="AL196" s="45">
        <v>140.04</v>
      </c>
      <c r="AM196" s="45">
        <f t="shared" si="63"/>
        <v>70.02</v>
      </c>
      <c r="AN196" s="44">
        <v>79.2</v>
      </c>
      <c r="AO196" s="44">
        <f t="shared" si="59"/>
        <v>39.6</v>
      </c>
      <c r="AP196" s="45">
        <v>13152</v>
      </c>
      <c r="AQ196" s="45">
        <f t="shared" si="60"/>
        <v>13680.052799999999</v>
      </c>
      <c r="AR196" s="45">
        <f t="shared" si="64"/>
        <v>6840.0263999999997</v>
      </c>
      <c r="AS196" s="45">
        <f t="shared" si="53"/>
        <v>6949.6463999999996</v>
      </c>
      <c r="AU196" s="39">
        <f t="shared" si="65"/>
        <v>0</v>
      </c>
      <c r="AV196" s="49">
        <f t="shared" si="61"/>
        <v>17131.3606602</v>
      </c>
      <c r="AW196" s="49">
        <f t="shared" si="54"/>
        <v>47361.385660200001</v>
      </c>
      <c r="BA196" s="39" t="str">
        <f t="shared" si="52"/>
        <v>0.5 - LIBTECH_II - Wilson Jr., Tony</v>
      </c>
    </row>
    <row r="197" spans="1:53" s="39" customFormat="1" ht="12.75" customHeight="1" x14ac:dyDescent="0.25">
      <c r="A197" s="39">
        <v>190</v>
      </c>
      <c r="B197" s="39" t="s">
        <v>6725</v>
      </c>
      <c r="C197" s="39" t="s">
        <v>7120</v>
      </c>
      <c r="D197" s="39" t="s">
        <v>7115</v>
      </c>
      <c r="E197" s="41">
        <v>1</v>
      </c>
      <c r="G197" s="43" t="s">
        <v>7617</v>
      </c>
      <c r="H197" s="39" t="s">
        <v>6741</v>
      </c>
      <c r="I197" s="44"/>
      <c r="K197" s="45">
        <v>57581</v>
      </c>
      <c r="L197" s="45">
        <f t="shared" si="37"/>
        <v>57581</v>
      </c>
      <c r="M197" s="45"/>
      <c r="N197" s="45"/>
      <c r="O197" s="46"/>
      <c r="P197" s="45"/>
      <c r="Q197" s="47">
        <v>0.05</v>
      </c>
      <c r="R197" s="45">
        <f t="shared" si="57"/>
        <v>2879.05</v>
      </c>
      <c r="S197" s="47"/>
      <c r="T197" s="45"/>
      <c r="U197" s="45"/>
      <c r="V197" s="45">
        <f t="shared" si="58"/>
        <v>60460.05</v>
      </c>
      <c r="W197" s="48">
        <v>0.5</v>
      </c>
      <c r="X197" s="45">
        <f t="shared" si="39"/>
        <v>30230.025000000001</v>
      </c>
      <c r="Y197" s="39" t="s">
        <v>2592</v>
      </c>
      <c r="Z197" s="43" t="s">
        <v>6758</v>
      </c>
      <c r="AA197" s="43" t="s">
        <v>6847</v>
      </c>
      <c r="AB197" s="43" t="s">
        <v>6733</v>
      </c>
      <c r="AC197" s="43" t="s">
        <v>6889</v>
      </c>
      <c r="AD197" s="43" t="s">
        <v>6744</v>
      </c>
      <c r="AE197" s="49" t="str">
        <f t="shared" si="62"/>
        <v>52</v>
      </c>
      <c r="AG197" s="49">
        <f t="shared" si="40"/>
        <v>6925.6987275000001</v>
      </c>
      <c r="AH197" s="49">
        <f t="shared" si="41"/>
        <v>1874.2615500000002</v>
      </c>
      <c r="AI197" s="49">
        <f t="shared" si="42"/>
        <v>438.33536250000003</v>
      </c>
      <c r="AJ197" s="49">
        <f t="shared" si="43"/>
        <v>371.82930750000003</v>
      </c>
      <c r="AK197" s="49">
        <f t="shared" si="44"/>
        <v>571.58931270000005</v>
      </c>
      <c r="AL197" s="45">
        <v>140.04</v>
      </c>
      <c r="AM197" s="45">
        <f t="shared" si="63"/>
        <v>70.02</v>
      </c>
      <c r="AN197" s="44">
        <v>79.2</v>
      </c>
      <c r="AO197" s="44">
        <f t="shared" si="59"/>
        <v>39.6</v>
      </c>
      <c r="AP197" s="45">
        <v>13152</v>
      </c>
      <c r="AQ197" s="45">
        <f t="shared" si="60"/>
        <v>13680.052799999999</v>
      </c>
      <c r="AR197" s="45">
        <f t="shared" si="64"/>
        <v>6840.0263999999997</v>
      </c>
      <c r="AS197" s="45">
        <f t="shared" si="53"/>
        <v>6949.6463999999996</v>
      </c>
      <c r="AU197" s="39">
        <f t="shared" si="65"/>
        <v>0</v>
      </c>
      <c r="AV197" s="49">
        <f t="shared" si="61"/>
        <v>17131.3606602</v>
      </c>
      <c r="AW197" s="49">
        <f t="shared" si="54"/>
        <v>47361.385660200001</v>
      </c>
      <c r="BA197" s="39" t="str">
        <f t="shared" ref="BA197:BA260" si="66">CONCATENATE(W197," - ",D197," - ",C197)</f>
        <v>0.5 - LIBTECH_II - Wilson Jr., Tony</v>
      </c>
    </row>
    <row r="198" spans="1:53" ht="12.75" hidden="1" customHeight="1" x14ac:dyDescent="0.25">
      <c r="A198" s="20">
        <v>191</v>
      </c>
      <c r="B198" s="20" t="s">
        <v>6725</v>
      </c>
      <c r="C198" s="20" t="s">
        <v>7121</v>
      </c>
      <c r="D198" s="20" t="s">
        <v>6767</v>
      </c>
      <c r="E198" s="21">
        <v>1</v>
      </c>
      <c r="F198" s="34"/>
      <c r="G198" s="35" t="s">
        <v>6757</v>
      </c>
      <c r="H198" s="20" t="s">
        <v>6741</v>
      </c>
      <c r="K198" s="23">
        <v>63557</v>
      </c>
      <c r="L198" s="23">
        <f t="shared" si="37"/>
        <v>63557</v>
      </c>
      <c r="V198" s="23">
        <f t="shared" si="58"/>
        <v>63557</v>
      </c>
      <c r="W198" s="36">
        <v>1</v>
      </c>
      <c r="X198" s="23">
        <f t="shared" si="39"/>
        <v>63557</v>
      </c>
      <c r="Y198" s="20" t="s">
        <v>5712</v>
      </c>
      <c r="Z198" s="35" t="s">
        <v>6731</v>
      </c>
      <c r="AA198" s="35" t="s">
        <v>6752</v>
      </c>
      <c r="AB198" s="35" t="s">
        <v>6733</v>
      </c>
      <c r="AC198" s="35" t="s">
        <v>7122</v>
      </c>
      <c r="AD198" s="35" t="s">
        <v>6744</v>
      </c>
      <c r="AE198" s="37" t="str">
        <f t="shared" si="62"/>
        <v>52</v>
      </c>
      <c r="AG198" s="37">
        <f t="shared" si="40"/>
        <v>14560.9087</v>
      </c>
      <c r="AH198" s="37">
        <f t="shared" si="41"/>
        <v>3940.5340000000001</v>
      </c>
      <c r="AI198" s="37">
        <f t="shared" si="42"/>
        <v>921.57650000000001</v>
      </c>
      <c r="AJ198" s="37">
        <f t="shared" si="43"/>
        <v>781.75110000000006</v>
      </c>
      <c r="AK198" s="37">
        <f t="shared" si="44"/>
        <v>1201.735756</v>
      </c>
      <c r="AL198" s="23">
        <v>140.04</v>
      </c>
      <c r="AM198" s="23">
        <f t="shared" si="63"/>
        <v>140.04</v>
      </c>
      <c r="AN198" s="22">
        <v>79.2</v>
      </c>
      <c r="AO198" s="22">
        <f t="shared" si="59"/>
        <v>79.2</v>
      </c>
      <c r="AP198" s="23">
        <v>8820</v>
      </c>
      <c r="AQ198" s="23">
        <f t="shared" si="60"/>
        <v>9174.1229999999996</v>
      </c>
      <c r="AR198" s="23">
        <f t="shared" si="64"/>
        <v>9174.1229999999996</v>
      </c>
      <c r="AS198" s="23">
        <f t="shared" ref="AS198:AS261" si="67">+AM198+AO198+AR198</f>
        <v>9393.3629999999994</v>
      </c>
      <c r="AT198" s="37">
        <v>2400</v>
      </c>
      <c r="AU198" s="20">
        <f t="shared" si="65"/>
        <v>2400</v>
      </c>
      <c r="AV198" s="37">
        <f t="shared" si="61"/>
        <v>33199.869055999996</v>
      </c>
      <c r="AW198" s="37">
        <f t="shared" ref="AW198:AW261" si="68">+X198+AV198</f>
        <v>96756.869055999996</v>
      </c>
      <c r="AX198" s="20" t="s">
        <v>6754</v>
      </c>
      <c r="AY198" s="56" t="s">
        <v>7027</v>
      </c>
      <c r="AZ198" s="20" t="s">
        <v>7123</v>
      </c>
      <c r="BA198" s="20" t="str">
        <f t="shared" si="66"/>
        <v>1 - PROGASST_I - Xiong, Peter</v>
      </c>
    </row>
    <row r="199" spans="1:53" ht="12.75" hidden="1" customHeight="1" x14ac:dyDescent="0.25">
      <c r="A199" s="20">
        <v>192</v>
      </c>
      <c r="B199" s="20" t="s">
        <v>6725</v>
      </c>
      <c r="C199" s="20" t="s">
        <v>7124</v>
      </c>
      <c r="D199" s="20" t="s">
        <v>6767</v>
      </c>
      <c r="E199" s="21">
        <v>1</v>
      </c>
      <c r="G199" s="35" t="s">
        <v>6740</v>
      </c>
      <c r="H199" s="20" t="s">
        <v>6741</v>
      </c>
      <c r="K199" s="23">
        <v>71910</v>
      </c>
      <c r="L199" s="23">
        <f t="shared" ref="L199:L262" si="69">I199+K199</f>
        <v>71910</v>
      </c>
      <c r="Q199" s="26">
        <v>7.4999999999999997E-2</v>
      </c>
      <c r="R199" s="23">
        <f>M199*Q199</f>
        <v>0</v>
      </c>
      <c r="U199" s="23">
        <v>600</v>
      </c>
      <c r="V199" s="23">
        <f t="shared" si="58"/>
        <v>72510</v>
      </c>
      <c r="W199" s="36">
        <v>1</v>
      </c>
      <c r="X199" s="23">
        <f t="shared" ref="X199:X262" si="70">V199*W199</f>
        <v>72510</v>
      </c>
      <c r="Y199" s="20" t="s">
        <v>6031</v>
      </c>
      <c r="Z199" s="35" t="s">
        <v>6731</v>
      </c>
      <c r="AA199" s="35" t="s">
        <v>6834</v>
      </c>
      <c r="AB199" s="35" t="s">
        <v>6733</v>
      </c>
      <c r="AC199" s="35" t="s">
        <v>6835</v>
      </c>
      <c r="AD199" s="35" t="s">
        <v>6744</v>
      </c>
      <c r="AE199" s="37" t="str">
        <f t="shared" si="62"/>
        <v>52</v>
      </c>
      <c r="AG199" s="37">
        <f t="shared" ref="AG199:AG260" si="71">X199*$AG$1</f>
        <v>16612.041000000001</v>
      </c>
      <c r="AH199" s="37">
        <f t="shared" ref="AH199:AH260" si="72">X199*$AH$1</f>
        <v>4495.62</v>
      </c>
      <c r="AI199" s="37">
        <f t="shared" ref="AI199:AI262" si="73">X199*$AI$1</f>
        <v>1051.395</v>
      </c>
      <c r="AJ199" s="37">
        <f t="shared" ref="AJ199:AJ262" si="74">X199*$AJ$1</f>
        <v>891.87300000000005</v>
      </c>
      <c r="AK199" s="37">
        <f t="shared" ref="AK199:AK262" si="75">X199*$AK$1</f>
        <v>1371.01908</v>
      </c>
      <c r="AL199" s="23">
        <v>140.04</v>
      </c>
      <c r="AM199" s="23">
        <f t="shared" si="63"/>
        <v>140.04</v>
      </c>
      <c r="AN199" s="22">
        <v>79.2</v>
      </c>
      <c r="AO199" s="22">
        <f t="shared" si="59"/>
        <v>79.2</v>
      </c>
      <c r="AP199" s="23">
        <v>33444</v>
      </c>
      <c r="AQ199" s="23">
        <f t="shared" si="60"/>
        <v>34786.776599999997</v>
      </c>
      <c r="AR199" s="23">
        <f t="shared" si="64"/>
        <v>34786.776599999997</v>
      </c>
      <c r="AS199" s="23">
        <f t="shared" si="67"/>
        <v>35006.016599999995</v>
      </c>
      <c r="AU199" s="20">
        <f t="shared" si="65"/>
        <v>0</v>
      </c>
      <c r="AV199" s="37">
        <f t="shared" si="61"/>
        <v>59427.964680000005</v>
      </c>
      <c r="AW199" s="37">
        <f t="shared" si="68"/>
        <v>131937.96468</v>
      </c>
      <c r="AX199" s="20" t="s">
        <v>6754</v>
      </c>
      <c r="AY199" s="20" t="s">
        <v>6836</v>
      </c>
      <c r="AZ199" s="20" t="s">
        <v>6837</v>
      </c>
      <c r="BA199" s="20" t="str">
        <f t="shared" si="66"/>
        <v>1 - PROGASST_I - Zepeda, Silvina</v>
      </c>
    </row>
    <row r="200" spans="1:53" ht="12.75" customHeight="1" x14ac:dyDescent="0.25">
      <c r="A200" s="20">
        <v>193</v>
      </c>
      <c r="B200" s="20" t="s">
        <v>7125</v>
      </c>
      <c r="C200" s="20" t="s">
        <v>7126</v>
      </c>
      <c r="D200" s="20" t="s">
        <v>7127</v>
      </c>
      <c r="E200" s="29">
        <v>1</v>
      </c>
      <c r="G200" s="35" t="s">
        <v>7128</v>
      </c>
      <c r="H200" s="20" t="s">
        <v>6741</v>
      </c>
      <c r="K200" s="23">
        <v>44180</v>
      </c>
      <c r="L200" s="23">
        <f t="shared" si="69"/>
        <v>44180</v>
      </c>
      <c r="M200" s="23">
        <f t="shared" ref="M200:M237" si="76">ROUND(L200*1.01,0)</f>
        <v>44622</v>
      </c>
      <c r="O200" s="66">
        <v>0.05</v>
      </c>
      <c r="P200" s="23">
        <f>M200*O200</f>
        <v>2231.1</v>
      </c>
      <c r="Q200" s="26">
        <v>2.5000000000000001E-2</v>
      </c>
      <c r="R200" s="23">
        <f>M200*Q200</f>
        <v>1115.55</v>
      </c>
      <c r="S200" s="25"/>
      <c r="T200" s="22"/>
      <c r="U200" s="20">
        <v>600</v>
      </c>
      <c r="V200" s="23">
        <f t="shared" ref="V200:V237" si="77">M200+N200+P200+R200+T200+U200</f>
        <v>48568.65</v>
      </c>
      <c r="W200" s="25">
        <v>1</v>
      </c>
      <c r="X200" s="23">
        <f t="shared" si="70"/>
        <v>48568.65</v>
      </c>
      <c r="Y200" s="20" t="s">
        <v>854</v>
      </c>
      <c r="Z200" s="35" t="s">
        <v>6758</v>
      </c>
      <c r="AA200" s="35" t="s">
        <v>6964</v>
      </c>
      <c r="AB200" s="35" t="s">
        <v>6733</v>
      </c>
      <c r="AC200" s="35" t="s">
        <v>7129</v>
      </c>
      <c r="AD200" s="35" t="s">
        <v>7130</v>
      </c>
      <c r="AE200" s="37" t="str">
        <f t="shared" si="62"/>
        <v>52</v>
      </c>
      <c r="AG200" s="37">
        <f t="shared" si="71"/>
        <v>11127.077714999999</v>
      </c>
      <c r="AH200" s="37">
        <f t="shared" si="72"/>
        <v>3011.2563</v>
      </c>
      <c r="AI200" s="37">
        <f t="shared" si="73"/>
        <v>704.24542500000007</v>
      </c>
      <c r="AJ200" s="37">
        <f t="shared" si="74"/>
        <v>597.39439500000003</v>
      </c>
      <c r="AK200" s="37">
        <f t="shared" si="75"/>
        <v>918.33603420000009</v>
      </c>
      <c r="AL200" s="23">
        <v>140.04</v>
      </c>
      <c r="AM200" s="23">
        <f t="shared" si="63"/>
        <v>140.04</v>
      </c>
      <c r="AN200" s="22">
        <v>79.2</v>
      </c>
      <c r="AO200" s="22">
        <f t="shared" si="59"/>
        <v>79.2</v>
      </c>
      <c r="AP200" s="23">
        <v>33444</v>
      </c>
      <c r="AQ200" s="23">
        <f t="shared" si="60"/>
        <v>34786.776599999997</v>
      </c>
      <c r="AR200" s="23">
        <f t="shared" si="64"/>
        <v>34786.776599999997</v>
      </c>
      <c r="AS200" s="23">
        <f t="shared" si="67"/>
        <v>35006.016599999995</v>
      </c>
      <c r="AU200" s="20">
        <f t="shared" si="65"/>
        <v>0</v>
      </c>
      <c r="AV200" s="37">
        <f t="shared" si="61"/>
        <v>51364.326469199994</v>
      </c>
      <c r="AW200" s="37">
        <f t="shared" si="68"/>
        <v>99932.976469199988</v>
      </c>
      <c r="BA200" s="20" t="str">
        <f t="shared" si="66"/>
        <v xml:space="preserve">1 - CUSTOD - Aguilar, Jose </v>
      </c>
    </row>
    <row r="201" spans="1:53" ht="12.75" customHeight="1" x14ac:dyDescent="0.25">
      <c r="A201" s="20">
        <v>194</v>
      </c>
      <c r="B201" s="20" t="s">
        <v>7125</v>
      </c>
      <c r="C201" s="20" t="s">
        <v>7131</v>
      </c>
      <c r="D201" s="20" t="s">
        <v>7132</v>
      </c>
      <c r="E201" s="29">
        <v>1</v>
      </c>
      <c r="F201" s="34">
        <v>44501</v>
      </c>
      <c r="G201" s="35" t="s">
        <v>7133</v>
      </c>
      <c r="H201" s="20" t="s">
        <v>6730</v>
      </c>
      <c r="I201" s="22">
        <f>3769*4</f>
        <v>15076</v>
      </c>
      <c r="J201" s="20" t="s">
        <v>6741</v>
      </c>
      <c r="K201" s="23">
        <f>3963*8</f>
        <v>31704</v>
      </c>
      <c r="L201" s="23">
        <f t="shared" si="69"/>
        <v>46780</v>
      </c>
      <c r="M201" s="23">
        <f t="shared" si="76"/>
        <v>47248</v>
      </c>
      <c r="O201" s="20"/>
      <c r="S201" s="25"/>
      <c r="T201" s="20"/>
      <c r="U201" s="20">
        <v>600</v>
      </c>
      <c r="V201" s="23">
        <f t="shared" si="77"/>
        <v>47848</v>
      </c>
      <c r="W201" s="25">
        <v>0.25</v>
      </c>
      <c r="X201" s="23">
        <f t="shared" si="70"/>
        <v>11962</v>
      </c>
      <c r="Y201" s="20" t="s">
        <v>854</v>
      </c>
      <c r="Z201" s="35" t="s">
        <v>6758</v>
      </c>
      <c r="AA201" s="35" t="s">
        <v>6964</v>
      </c>
      <c r="AB201" s="35" t="s">
        <v>6733</v>
      </c>
      <c r="AC201" s="35" t="s">
        <v>7129</v>
      </c>
      <c r="AD201" s="35" t="s">
        <v>7130</v>
      </c>
      <c r="AE201" s="37" t="str">
        <f t="shared" si="62"/>
        <v>52</v>
      </c>
      <c r="AG201" s="37">
        <f t="shared" si="71"/>
        <v>2740.4942000000001</v>
      </c>
      <c r="AH201" s="37">
        <f t="shared" si="72"/>
        <v>741.64400000000001</v>
      </c>
      <c r="AI201" s="37">
        <f t="shared" si="73"/>
        <v>173.44900000000001</v>
      </c>
      <c r="AJ201" s="37">
        <f t="shared" si="74"/>
        <v>147.1326</v>
      </c>
      <c r="AK201" s="37">
        <f t="shared" si="75"/>
        <v>226.17749600000002</v>
      </c>
      <c r="AL201" s="23">
        <v>140.04</v>
      </c>
      <c r="AM201" s="23">
        <f t="shared" si="63"/>
        <v>35.01</v>
      </c>
      <c r="AN201" s="22">
        <v>79.2</v>
      </c>
      <c r="AO201" s="22">
        <f t="shared" si="59"/>
        <v>19.8</v>
      </c>
      <c r="AP201" s="23">
        <v>25452.6</v>
      </c>
      <c r="AQ201" s="23">
        <f t="shared" si="60"/>
        <v>26474.521889999996</v>
      </c>
      <c r="AR201" s="23">
        <f t="shared" si="64"/>
        <v>6618.6304724999991</v>
      </c>
      <c r="AS201" s="23">
        <f t="shared" si="67"/>
        <v>6673.4404724999995</v>
      </c>
      <c r="AU201" s="20">
        <f t="shared" si="65"/>
        <v>0</v>
      </c>
      <c r="AV201" s="37">
        <f t="shared" si="61"/>
        <v>10702.3377685</v>
      </c>
      <c r="AW201" s="37">
        <f t="shared" si="68"/>
        <v>22664.337768500001</v>
      </c>
      <c r="BA201" s="20" t="str">
        <f t="shared" si="66"/>
        <v xml:space="preserve">0.25 - UTCUST - Alfaro, Josue </v>
      </c>
    </row>
    <row r="202" spans="1:53" ht="12.75" customHeight="1" x14ac:dyDescent="0.25">
      <c r="A202" s="20">
        <v>195</v>
      </c>
      <c r="B202" s="20" t="s">
        <v>7125</v>
      </c>
      <c r="C202" s="20" t="s">
        <v>7131</v>
      </c>
      <c r="D202" s="20" t="s">
        <v>7132</v>
      </c>
      <c r="E202" s="29">
        <v>1</v>
      </c>
      <c r="G202" s="35" t="s">
        <v>7133</v>
      </c>
      <c r="H202" s="20" t="s">
        <v>6730</v>
      </c>
      <c r="I202" s="22">
        <f>3769*4</f>
        <v>15076</v>
      </c>
      <c r="J202" s="20" t="s">
        <v>6741</v>
      </c>
      <c r="K202" s="23">
        <f>3963*8</f>
        <v>31704</v>
      </c>
      <c r="L202" s="23">
        <f t="shared" si="69"/>
        <v>46780</v>
      </c>
      <c r="M202" s="23">
        <f t="shared" si="76"/>
        <v>47248</v>
      </c>
      <c r="O202" s="20"/>
      <c r="S202" s="25"/>
      <c r="T202" s="20"/>
      <c r="U202" s="20">
        <v>600</v>
      </c>
      <c r="V202" s="23">
        <f t="shared" si="77"/>
        <v>47848</v>
      </c>
      <c r="W202" s="25">
        <v>0.5</v>
      </c>
      <c r="X202" s="23">
        <f t="shared" si="70"/>
        <v>23924</v>
      </c>
      <c r="Y202" s="20" t="s">
        <v>878</v>
      </c>
      <c r="Z202" s="35" t="s">
        <v>6758</v>
      </c>
      <c r="AA202" s="35" t="s">
        <v>6964</v>
      </c>
      <c r="AB202" s="35" t="s">
        <v>6733</v>
      </c>
      <c r="AC202" s="35" t="s">
        <v>7134</v>
      </c>
      <c r="AD202" s="35" t="s">
        <v>7130</v>
      </c>
      <c r="AE202" s="37" t="str">
        <f t="shared" si="62"/>
        <v>52</v>
      </c>
      <c r="AG202" s="37">
        <f t="shared" si="71"/>
        <v>5480.9884000000002</v>
      </c>
      <c r="AH202" s="37">
        <f t="shared" si="72"/>
        <v>1483.288</v>
      </c>
      <c r="AI202" s="37">
        <f t="shared" si="73"/>
        <v>346.89800000000002</v>
      </c>
      <c r="AJ202" s="37">
        <f t="shared" si="74"/>
        <v>294.26519999999999</v>
      </c>
      <c r="AK202" s="37">
        <f t="shared" si="75"/>
        <v>452.35499200000004</v>
      </c>
      <c r="AL202" s="23">
        <v>140.04</v>
      </c>
      <c r="AM202" s="23">
        <f t="shared" si="63"/>
        <v>70.02</v>
      </c>
      <c r="AN202" s="22">
        <v>79.2</v>
      </c>
      <c r="AO202" s="22">
        <f t="shared" si="59"/>
        <v>39.6</v>
      </c>
      <c r="AP202" s="23">
        <v>25452.6</v>
      </c>
      <c r="AQ202" s="23">
        <f t="shared" si="60"/>
        <v>26474.521889999996</v>
      </c>
      <c r="AR202" s="23">
        <f t="shared" si="64"/>
        <v>13237.260944999998</v>
      </c>
      <c r="AS202" s="23">
        <f t="shared" si="67"/>
        <v>13346.880944999999</v>
      </c>
      <c r="AU202" s="20">
        <f t="shared" si="65"/>
        <v>0</v>
      </c>
      <c r="AV202" s="37">
        <f t="shared" si="61"/>
        <v>21404.675536999999</v>
      </c>
      <c r="AW202" s="37">
        <f t="shared" si="68"/>
        <v>45328.675537000003</v>
      </c>
      <c r="BA202" s="20" t="str">
        <f t="shared" si="66"/>
        <v xml:space="preserve">0.5 - UTCUST - Alfaro, Josue </v>
      </c>
    </row>
    <row r="203" spans="1:53" ht="12.75" customHeight="1" x14ac:dyDescent="0.25">
      <c r="A203" s="20">
        <v>196</v>
      </c>
      <c r="B203" s="20" t="s">
        <v>7125</v>
      </c>
      <c r="C203" s="20" t="s">
        <v>7131</v>
      </c>
      <c r="D203" s="20" t="s">
        <v>7132</v>
      </c>
      <c r="E203" s="29">
        <v>1</v>
      </c>
      <c r="G203" s="35" t="s">
        <v>7133</v>
      </c>
      <c r="H203" s="20" t="s">
        <v>6730</v>
      </c>
      <c r="I203" s="22">
        <f>3769*4</f>
        <v>15076</v>
      </c>
      <c r="J203" s="20" t="s">
        <v>6741</v>
      </c>
      <c r="K203" s="23">
        <f>3963*8</f>
        <v>31704</v>
      </c>
      <c r="L203" s="23">
        <f t="shared" si="69"/>
        <v>46780</v>
      </c>
      <c r="M203" s="23">
        <f t="shared" si="76"/>
        <v>47248</v>
      </c>
      <c r="O203" s="20"/>
      <c r="S203" s="25"/>
      <c r="T203" s="22"/>
      <c r="U203" s="20">
        <v>600</v>
      </c>
      <c r="V203" s="23">
        <f t="shared" si="77"/>
        <v>47848</v>
      </c>
      <c r="W203" s="25">
        <v>0.25</v>
      </c>
      <c r="X203" s="23">
        <f t="shared" si="70"/>
        <v>11962</v>
      </c>
      <c r="Y203" s="20" t="s">
        <v>908</v>
      </c>
      <c r="Z203" s="35" t="s">
        <v>6758</v>
      </c>
      <c r="AA203" s="35" t="s">
        <v>6964</v>
      </c>
      <c r="AB203" s="35" t="s">
        <v>6733</v>
      </c>
      <c r="AC203" s="35" t="s">
        <v>6978</v>
      </c>
      <c r="AD203" s="35" t="s">
        <v>7130</v>
      </c>
      <c r="AE203" s="37" t="str">
        <f t="shared" si="62"/>
        <v>52</v>
      </c>
      <c r="AG203" s="37">
        <f t="shared" si="71"/>
        <v>2740.4942000000001</v>
      </c>
      <c r="AH203" s="37">
        <f t="shared" si="72"/>
        <v>741.64400000000001</v>
      </c>
      <c r="AI203" s="37">
        <f t="shared" si="73"/>
        <v>173.44900000000001</v>
      </c>
      <c r="AJ203" s="37">
        <f t="shared" si="74"/>
        <v>147.1326</v>
      </c>
      <c r="AK203" s="37">
        <f t="shared" si="75"/>
        <v>226.17749600000002</v>
      </c>
      <c r="AL203" s="23">
        <v>140.04</v>
      </c>
      <c r="AM203" s="23">
        <f t="shared" si="63"/>
        <v>35.01</v>
      </c>
      <c r="AN203" s="22">
        <v>79.2</v>
      </c>
      <c r="AO203" s="22">
        <f t="shared" si="59"/>
        <v>19.8</v>
      </c>
      <c r="AP203" s="23">
        <v>25452.6</v>
      </c>
      <c r="AQ203" s="23">
        <f t="shared" si="60"/>
        <v>26474.521889999996</v>
      </c>
      <c r="AR203" s="23">
        <f t="shared" si="64"/>
        <v>6618.6304724999991</v>
      </c>
      <c r="AS203" s="23">
        <f t="shared" si="67"/>
        <v>6673.4404724999995</v>
      </c>
      <c r="AU203" s="20">
        <f t="shared" si="65"/>
        <v>0</v>
      </c>
      <c r="AV203" s="37">
        <f t="shared" si="61"/>
        <v>10702.3377685</v>
      </c>
      <c r="AW203" s="37">
        <f t="shared" si="68"/>
        <v>22664.337768500001</v>
      </c>
      <c r="BA203" s="20" t="str">
        <f t="shared" si="66"/>
        <v xml:space="preserve">0.25 - UTCUST - Alfaro, Josue </v>
      </c>
    </row>
    <row r="204" spans="1:53" ht="12.75" hidden="1" customHeight="1" x14ac:dyDescent="0.25">
      <c r="A204" s="20">
        <v>197</v>
      </c>
      <c r="B204" s="20" t="s">
        <v>7125</v>
      </c>
      <c r="C204" s="20" t="s">
        <v>7135</v>
      </c>
      <c r="D204" s="20" t="s">
        <v>7136</v>
      </c>
      <c r="E204" s="29">
        <v>0.83330000000000004</v>
      </c>
      <c r="G204" s="35" t="s">
        <v>7137</v>
      </c>
      <c r="H204" s="20" t="s">
        <v>6741</v>
      </c>
      <c r="K204" s="23">
        <f>ROUND(39085*E204,0)</f>
        <v>32570</v>
      </c>
      <c r="L204" s="23">
        <f t="shared" si="69"/>
        <v>32570</v>
      </c>
      <c r="M204" s="23">
        <f t="shared" si="76"/>
        <v>32896</v>
      </c>
      <c r="O204" s="20"/>
      <c r="Q204" s="26">
        <v>0.1</v>
      </c>
      <c r="R204" s="23">
        <f>M204*Q204</f>
        <v>3289.6000000000004</v>
      </c>
      <c r="S204" s="25"/>
      <c r="T204" s="22"/>
      <c r="U204" s="20">
        <v>600</v>
      </c>
      <c r="V204" s="23">
        <f t="shared" si="77"/>
        <v>36785.599999999999</v>
      </c>
      <c r="W204" s="25">
        <v>1</v>
      </c>
      <c r="X204" s="23">
        <f t="shared" si="70"/>
        <v>36785.599999999999</v>
      </c>
      <c r="Y204" s="20" t="s">
        <v>3595</v>
      </c>
      <c r="Z204" s="35" t="s">
        <v>6731</v>
      </c>
      <c r="AA204" s="35" t="s">
        <v>7001</v>
      </c>
      <c r="AB204" s="35" t="s">
        <v>6733</v>
      </c>
      <c r="AC204" s="35" t="s">
        <v>7002</v>
      </c>
      <c r="AD204" s="35" t="s">
        <v>7130</v>
      </c>
      <c r="AE204" s="37" t="str">
        <f t="shared" si="62"/>
        <v>52</v>
      </c>
      <c r="AG204" s="37">
        <f t="shared" si="71"/>
        <v>8427.5809599999993</v>
      </c>
      <c r="AH204" s="37">
        <f t="shared" si="72"/>
        <v>2280.7071999999998</v>
      </c>
      <c r="AI204" s="37">
        <f t="shared" si="73"/>
        <v>533.39120000000003</v>
      </c>
      <c r="AJ204" s="37">
        <f t="shared" si="74"/>
        <v>452.46287999999998</v>
      </c>
      <c r="AK204" s="37">
        <f t="shared" si="75"/>
        <v>695.54212480000001</v>
      </c>
      <c r="AL204" s="23">
        <v>140.04</v>
      </c>
      <c r="AM204" s="23">
        <f t="shared" si="63"/>
        <v>140.04</v>
      </c>
      <c r="AN204" s="22">
        <v>79.2</v>
      </c>
      <c r="AO204" s="22">
        <f t="shared" si="59"/>
        <v>79.2</v>
      </c>
      <c r="AP204" s="23">
        <v>25452.6</v>
      </c>
      <c r="AQ204" s="23">
        <f t="shared" si="60"/>
        <v>26474.521889999996</v>
      </c>
      <c r="AR204" s="23">
        <f t="shared" si="64"/>
        <v>26474.521889999996</v>
      </c>
      <c r="AS204" s="23">
        <f t="shared" si="67"/>
        <v>26693.761889999998</v>
      </c>
      <c r="AU204" s="20">
        <f t="shared" si="65"/>
        <v>0</v>
      </c>
      <c r="AV204" s="37">
        <f t="shared" si="61"/>
        <v>39083.446254800001</v>
      </c>
      <c r="AW204" s="37">
        <f t="shared" si="68"/>
        <v>75869.046254799992</v>
      </c>
      <c r="AX204" s="20" t="s">
        <v>7003</v>
      </c>
      <c r="AY204" s="20" t="s">
        <v>6671</v>
      </c>
      <c r="AZ204" s="20" t="s">
        <v>7004</v>
      </c>
      <c r="BA204" s="20" t="str">
        <f t="shared" si="66"/>
        <v>1 - FS_WRKR - Arroyo, Margarita</v>
      </c>
    </row>
    <row r="205" spans="1:53" ht="12.75" customHeight="1" x14ac:dyDescent="0.25">
      <c r="A205" s="20">
        <v>198</v>
      </c>
      <c r="B205" s="20" t="s">
        <v>7125</v>
      </c>
      <c r="C205" s="20" t="s">
        <v>7138</v>
      </c>
      <c r="D205" s="20" t="s">
        <v>7127</v>
      </c>
      <c r="E205" s="29">
        <v>1</v>
      </c>
      <c r="F205" s="34">
        <v>44531</v>
      </c>
      <c r="G205" s="35" t="s">
        <v>7128</v>
      </c>
      <c r="H205" s="20" t="s">
        <v>6729</v>
      </c>
      <c r="I205" s="22">
        <f>3338*5</f>
        <v>16690</v>
      </c>
      <c r="J205" s="20" t="s">
        <v>6730</v>
      </c>
      <c r="K205" s="23">
        <f>3502*7</f>
        <v>24514</v>
      </c>
      <c r="L205" s="23">
        <f t="shared" si="69"/>
        <v>41204</v>
      </c>
      <c r="M205" s="23">
        <f t="shared" si="76"/>
        <v>41616</v>
      </c>
      <c r="O205" s="66">
        <v>0.05</v>
      </c>
      <c r="P205" s="23">
        <f>M205*O205</f>
        <v>2080.8000000000002</v>
      </c>
      <c r="S205" s="25"/>
      <c r="T205" s="20"/>
      <c r="U205" s="20"/>
      <c r="V205" s="23">
        <f t="shared" si="77"/>
        <v>43696.800000000003</v>
      </c>
      <c r="W205" s="25">
        <v>1</v>
      </c>
      <c r="X205" s="23">
        <f t="shared" si="70"/>
        <v>43696.800000000003</v>
      </c>
      <c r="Y205" s="20" t="s">
        <v>854</v>
      </c>
      <c r="Z205" s="35" t="s">
        <v>6758</v>
      </c>
      <c r="AA205" s="35" t="s">
        <v>6964</v>
      </c>
      <c r="AB205" s="35" t="s">
        <v>6733</v>
      </c>
      <c r="AC205" s="35" t="s">
        <v>7129</v>
      </c>
      <c r="AD205" s="35" t="s">
        <v>7130</v>
      </c>
      <c r="AE205" s="37" t="str">
        <f t="shared" si="62"/>
        <v>52</v>
      </c>
      <c r="AG205" s="37">
        <f t="shared" si="71"/>
        <v>10010.936880000001</v>
      </c>
      <c r="AH205" s="37">
        <f t="shared" si="72"/>
        <v>2709.2016000000003</v>
      </c>
      <c r="AI205" s="37">
        <f t="shared" si="73"/>
        <v>633.60360000000003</v>
      </c>
      <c r="AJ205" s="37">
        <f t="shared" si="74"/>
        <v>537.47064</v>
      </c>
      <c r="AK205" s="37">
        <f t="shared" si="75"/>
        <v>826.21909440000013</v>
      </c>
      <c r="AL205" s="23">
        <v>140.04</v>
      </c>
      <c r="AM205" s="23">
        <f t="shared" si="63"/>
        <v>140.04</v>
      </c>
      <c r="AN205" s="22">
        <v>79.2</v>
      </c>
      <c r="AO205" s="22">
        <f t="shared" si="59"/>
        <v>79.2</v>
      </c>
      <c r="AP205" s="23">
        <v>33444</v>
      </c>
      <c r="AQ205" s="23">
        <f t="shared" si="60"/>
        <v>34786.776599999997</v>
      </c>
      <c r="AR205" s="23">
        <f t="shared" si="64"/>
        <v>34786.776599999997</v>
      </c>
      <c r="AS205" s="23">
        <f t="shared" si="67"/>
        <v>35006.016599999995</v>
      </c>
      <c r="AU205" s="20">
        <f t="shared" si="65"/>
        <v>0</v>
      </c>
      <c r="AV205" s="37">
        <f t="shared" si="61"/>
        <v>49723.448414400002</v>
      </c>
      <c r="AW205" s="37">
        <f t="shared" si="68"/>
        <v>93420.248414400005</v>
      </c>
      <c r="BA205" s="20" t="str">
        <f t="shared" si="66"/>
        <v>1 - CUSTOD - Bailon, Rachel</v>
      </c>
    </row>
    <row r="206" spans="1:53" ht="12.75" customHeight="1" x14ac:dyDescent="0.25">
      <c r="A206" s="20">
        <v>199</v>
      </c>
      <c r="B206" s="20" t="s">
        <v>7125</v>
      </c>
      <c r="C206" s="20" t="s">
        <v>7139</v>
      </c>
      <c r="D206" s="20" t="s">
        <v>7127</v>
      </c>
      <c r="E206" s="29">
        <v>1</v>
      </c>
      <c r="F206" s="34">
        <v>44317</v>
      </c>
      <c r="G206" s="35" t="s">
        <v>7128</v>
      </c>
      <c r="H206" s="20" t="s">
        <v>6729</v>
      </c>
      <c r="I206" s="22">
        <f>3338*10</f>
        <v>33380</v>
      </c>
      <c r="J206" s="20" t="s">
        <v>6730</v>
      </c>
      <c r="K206" s="23">
        <f>3502*2</f>
        <v>7004</v>
      </c>
      <c r="L206" s="23">
        <f t="shared" si="69"/>
        <v>40384</v>
      </c>
      <c r="M206" s="23">
        <f t="shared" si="76"/>
        <v>40788</v>
      </c>
      <c r="O206" s="66">
        <v>0.05</v>
      </c>
      <c r="P206" s="23">
        <f>M206*O206</f>
        <v>2039.4</v>
      </c>
      <c r="S206" s="25"/>
      <c r="T206" s="20"/>
      <c r="U206" s="20"/>
      <c r="V206" s="23">
        <f t="shared" si="77"/>
        <v>42827.4</v>
      </c>
      <c r="W206" s="25">
        <v>1</v>
      </c>
      <c r="X206" s="23">
        <f t="shared" si="70"/>
        <v>42827.4</v>
      </c>
      <c r="Y206" s="20" t="s">
        <v>854</v>
      </c>
      <c r="Z206" s="35" t="s">
        <v>6758</v>
      </c>
      <c r="AA206" s="35" t="s">
        <v>6964</v>
      </c>
      <c r="AB206" s="35" t="s">
        <v>6733</v>
      </c>
      <c r="AC206" s="35" t="s">
        <v>7129</v>
      </c>
      <c r="AD206" s="35" t="s">
        <v>7130</v>
      </c>
      <c r="AE206" s="37" t="str">
        <f t="shared" si="62"/>
        <v>52</v>
      </c>
      <c r="AG206" s="37">
        <f t="shared" si="71"/>
        <v>9811.7573400000001</v>
      </c>
      <c r="AH206" s="37">
        <f t="shared" si="72"/>
        <v>2655.2988</v>
      </c>
      <c r="AI206" s="37">
        <f t="shared" si="73"/>
        <v>620.99730000000011</v>
      </c>
      <c r="AJ206" s="37">
        <f t="shared" si="74"/>
        <v>526.77701999999999</v>
      </c>
      <c r="AK206" s="37">
        <f t="shared" si="75"/>
        <v>809.78047920000006</v>
      </c>
      <c r="AL206" s="23">
        <v>140.04</v>
      </c>
      <c r="AM206" s="23">
        <f t="shared" si="63"/>
        <v>140.04</v>
      </c>
      <c r="AN206" s="22">
        <v>79.2</v>
      </c>
      <c r="AO206" s="22">
        <f t="shared" si="59"/>
        <v>79.2</v>
      </c>
      <c r="AP206" s="23">
        <v>8820</v>
      </c>
      <c r="AQ206" s="23">
        <f t="shared" si="60"/>
        <v>9174.1229999999996</v>
      </c>
      <c r="AR206" s="23">
        <f t="shared" si="64"/>
        <v>9174.1229999999996</v>
      </c>
      <c r="AS206" s="23">
        <f t="shared" si="67"/>
        <v>9393.3629999999994</v>
      </c>
      <c r="AT206" s="37">
        <v>2400</v>
      </c>
      <c r="AU206" s="20">
        <f t="shared" si="65"/>
        <v>2400</v>
      </c>
      <c r="AV206" s="37">
        <f t="shared" si="61"/>
        <v>26217.973939200005</v>
      </c>
      <c r="AW206" s="37">
        <f t="shared" si="68"/>
        <v>69045.373939200013</v>
      </c>
      <c r="BA206" s="20" t="str">
        <f t="shared" si="66"/>
        <v>1 - CUSTOD - Balcazar-Murillo, Edgar</v>
      </c>
    </row>
    <row r="207" spans="1:53" ht="12.75" hidden="1" customHeight="1" x14ac:dyDescent="0.25">
      <c r="A207" s="20">
        <v>200</v>
      </c>
      <c r="B207" s="20" t="s">
        <v>7125</v>
      </c>
      <c r="C207" s="20" t="s">
        <v>7140</v>
      </c>
      <c r="D207" s="20" t="s">
        <v>7136</v>
      </c>
      <c r="E207" s="29">
        <v>0.45</v>
      </c>
      <c r="G207" s="35" t="s">
        <v>7137</v>
      </c>
      <c r="H207" s="20" t="s">
        <v>6741</v>
      </c>
      <c r="K207" s="23">
        <f>ROUND(39085*E207,0)</f>
        <v>17588</v>
      </c>
      <c r="L207" s="23">
        <f t="shared" si="69"/>
        <v>17588</v>
      </c>
      <c r="M207" s="23">
        <f t="shared" si="76"/>
        <v>17764</v>
      </c>
      <c r="O207" s="20"/>
      <c r="Q207" s="26">
        <v>2.5000000000000001E-2</v>
      </c>
      <c r="R207" s="23">
        <f>M207*Q207</f>
        <v>444.1</v>
      </c>
      <c r="S207" s="25"/>
      <c r="T207" s="22"/>
      <c r="U207" s="20">
        <v>600</v>
      </c>
      <c r="V207" s="23">
        <f t="shared" si="77"/>
        <v>18808.099999999999</v>
      </c>
      <c r="W207" s="25">
        <v>1</v>
      </c>
      <c r="X207" s="23">
        <f t="shared" si="70"/>
        <v>18808.099999999999</v>
      </c>
      <c r="Y207" s="20" t="s">
        <v>3595</v>
      </c>
      <c r="Z207" s="35" t="s">
        <v>6731</v>
      </c>
      <c r="AA207" s="35" t="s">
        <v>7001</v>
      </c>
      <c r="AB207" s="35" t="s">
        <v>6733</v>
      </c>
      <c r="AC207" s="35" t="s">
        <v>7002</v>
      </c>
      <c r="AD207" s="35" t="s">
        <v>7130</v>
      </c>
      <c r="AE207" s="37" t="str">
        <f t="shared" si="62"/>
        <v>52</v>
      </c>
      <c r="AG207" s="37">
        <f t="shared" si="71"/>
        <v>4308.9357099999997</v>
      </c>
      <c r="AH207" s="37">
        <f t="shared" si="72"/>
        <v>1166.1021999999998</v>
      </c>
      <c r="AI207" s="37">
        <f t="shared" si="73"/>
        <v>272.71744999999999</v>
      </c>
      <c r="AJ207" s="37">
        <f t="shared" si="74"/>
        <v>231.33962999999997</v>
      </c>
      <c r="AK207" s="37">
        <f t="shared" si="75"/>
        <v>355.62355480000002</v>
      </c>
      <c r="AL207" s="23">
        <v>140.04</v>
      </c>
      <c r="AM207" s="23">
        <f t="shared" si="63"/>
        <v>140.04</v>
      </c>
      <c r="AO207" s="22">
        <f t="shared" si="59"/>
        <v>0</v>
      </c>
      <c r="AP207" s="23">
        <v>0</v>
      </c>
      <c r="AQ207" s="23">
        <f t="shared" si="60"/>
        <v>0</v>
      </c>
      <c r="AR207" s="23">
        <f t="shared" si="64"/>
        <v>0</v>
      </c>
      <c r="AS207" s="23">
        <f t="shared" si="67"/>
        <v>140.04</v>
      </c>
      <c r="AU207" s="20">
        <f t="shared" si="65"/>
        <v>0</v>
      </c>
      <c r="AV207" s="37">
        <f t="shared" si="61"/>
        <v>6474.7585448</v>
      </c>
      <c r="AW207" s="37">
        <f t="shared" si="68"/>
        <v>25282.858544799998</v>
      </c>
      <c r="AX207" s="20" t="s">
        <v>7003</v>
      </c>
      <c r="AY207" s="20" t="s">
        <v>6671</v>
      </c>
      <c r="AZ207" s="20" t="s">
        <v>7004</v>
      </c>
      <c r="BA207" s="20" t="str">
        <f t="shared" si="66"/>
        <v>1 - FS_WRKR - Cabrera, Guadalupe</v>
      </c>
    </row>
    <row r="208" spans="1:53" ht="12.75" customHeight="1" x14ac:dyDescent="0.25">
      <c r="A208" s="20">
        <v>201</v>
      </c>
      <c r="B208" s="20" t="s">
        <v>7125</v>
      </c>
      <c r="C208" s="20" t="s">
        <v>7141</v>
      </c>
      <c r="D208" s="20" t="s">
        <v>7142</v>
      </c>
      <c r="E208" s="29">
        <v>1</v>
      </c>
      <c r="G208" s="35" t="s">
        <v>7143</v>
      </c>
      <c r="H208" s="20" t="s">
        <v>6741</v>
      </c>
      <c r="K208" s="23">
        <v>70201</v>
      </c>
      <c r="L208" s="23">
        <f t="shared" si="69"/>
        <v>70201</v>
      </c>
      <c r="M208" s="23">
        <f t="shared" si="76"/>
        <v>70903</v>
      </c>
      <c r="O208" s="20"/>
      <c r="Q208" s="26">
        <v>0.1</v>
      </c>
      <c r="R208" s="23">
        <f>M208*Q208</f>
        <v>7090.3</v>
      </c>
      <c r="S208" s="25"/>
      <c r="T208" s="22"/>
      <c r="U208" s="20">
        <v>600</v>
      </c>
      <c r="V208" s="23">
        <f t="shared" si="77"/>
        <v>78593.3</v>
      </c>
      <c r="W208" s="25">
        <v>1</v>
      </c>
      <c r="X208" s="23">
        <f t="shared" si="70"/>
        <v>78593.3</v>
      </c>
      <c r="Y208" s="20" t="s">
        <v>816</v>
      </c>
      <c r="Z208" s="35" t="s">
        <v>6758</v>
      </c>
      <c r="AA208" s="35" t="s">
        <v>6964</v>
      </c>
      <c r="AB208" s="35" t="s">
        <v>6733</v>
      </c>
      <c r="AC208" s="35" t="s">
        <v>7144</v>
      </c>
      <c r="AD208" s="35" t="s">
        <v>7130</v>
      </c>
      <c r="AE208" s="37" t="str">
        <f t="shared" si="62"/>
        <v>52</v>
      </c>
      <c r="AG208" s="37">
        <f t="shared" si="71"/>
        <v>18005.725030000001</v>
      </c>
      <c r="AH208" s="37">
        <f t="shared" si="72"/>
        <v>4872.7846</v>
      </c>
      <c r="AI208" s="37">
        <f t="shared" si="73"/>
        <v>1139.60285</v>
      </c>
      <c r="AJ208" s="37">
        <f t="shared" si="74"/>
        <v>966.6975900000001</v>
      </c>
      <c r="AK208" s="37">
        <f t="shared" si="75"/>
        <v>1486.0421164000002</v>
      </c>
      <c r="AL208" s="23">
        <v>140.04</v>
      </c>
      <c r="AM208" s="23">
        <f t="shared" si="63"/>
        <v>140.04</v>
      </c>
      <c r="AN208" s="22">
        <v>79.2</v>
      </c>
      <c r="AO208" s="22">
        <f t="shared" si="59"/>
        <v>79.2</v>
      </c>
      <c r="AP208" s="23">
        <v>33444</v>
      </c>
      <c r="AQ208" s="23">
        <f t="shared" si="60"/>
        <v>34786.776599999997</v>
      </c>
      <c r="AR208" s="23">
        <f t="shared" si="64"/>
        <v>34786.776599999997</v>
      </c>
      <c r="AS208" s="23">
        <f t="shared" si="67"/>
        <v>35006.016599999995</v>
      </c>
      <c r="AU208" s="20">
        <f t="shared" si="65"/>
        <v>0</v>
      </c>
      <c r="AV208" s="37">
        <f t="shared" si="61"/>
        <v>61476.868786399995</v>
      </c>
      <c r="AW208" s="37">
        <f t="shared" si="68"/>
        <v>140070.1687864</v>
      </c>
      <c r="BA208" s="20" t="str">
        <f t="shared" si="66"/>
        <v xml:space="preserve">1 - MAINT_SPC - Cabrera, Jose </v>
      </c>
    </row>
    <row r="209" spans="1:53" ht="12.75" customHeight="1" x14ac:dyDescent="0.25">
      <c r="A209" s="20">
        <v>202</v>
      </c>
      <c r="B209" s="20" t="s">
        <v>7125</v>
      </c>
      <c r="C209" s="20" t="s">
        <v>7145</v>
      </c>
      <c r="D209" s="20" t="s">
        <v>7127</v>
      </c>
      <c r="E209" s="29">
        <v>1</v>
      </c>
      <c r="G209" s="35" t="s">
        <v>7128</v>
      </c>
      <c r="H209" s="20" t="s">
        <v>6741</v>
      </c>
      <c r="K209" s="23">
        <v>44180</v>
      </c>
      <c r="L209" s="23">
        <f t="shared" si="69"/>
        <v>44180</v>
      </c>
      <c r="M209" s="23">
        <f t="shared" si="76"/>
        <v>44622</v>
      </c>
      <c r="O209" s="66">
        <v>0.05</v>
      </c>
      <c r="P209" s="23">
        <f>M209*O209</f>
        <v>2231.1</v>
      </c>
      <c r="Q209" s="26">
        <v>7.4999999999999997E-2</v>
      </c>
      <c r="R209" s="23">
        <f>M209*Q209</f>
        <v>3346.65</v>
      </c>
      <c r="S209" s="25"/>
      <c r="T209" s="22"/>
      <c r="U209" s="20"/>
      <c r="V209" s="23">
        <f t="shared" si="77"/>
        <v>50199.75</v>
      </c>
      <c r="W209" s="25">
        <v>1</v>
      </c>
      <c r="X209" s="23">
        <f t="shared" si="70"/>
        <v>50199.75</v>
      </c>
      <c r="Y209" s="20" t="s">
        <v>854</v>
      </c>
      <c r="Z209" s="35" t="s">
        <v>6758</v>
      </c>
      <c r="AA209" s="35" t="s">
        <v>6964</v>
      </c>
      <c r="AB209" s="35" t="s">
        <v>6733</v>
      </c>
      <c r="AC209" s="35" t="s">
        <v>7129</v>
      </c>
      <c r="AD209" s="35" t="s">
        <v>7130</v>
      </c>
      <c r="AE209" s="37" t="str">
        <f t="shared" si="62"/>
        <v>52</v>
      </c>
      <c r="AG209" s="37">
        <f t="shared" si="71"/>
        <v>11500.762725000001</v>
      </c>
      <c r="AH209" s="37">
        <f t="shared" si="72"/>
        <v>3112.3845000000001</v>
      </c>
      <c r="AI209" s="37">
        <f t="shared" si="73"/>
        <v>727.89637500000003</v>
      </c>
      <c r="AJ209" s="37">
        <f t="shared" si="74"/>
        <v>617.45692499999996</v>
      </c>
      <c r="AK209" s="37">
        <f t="shared" si="75"/>
        <v>949.17687300000011</v>
      </c>
      <c r="AL209" s="23">
        <v>140.04</v>
      </c>
      <c r="AM209" s="23">
        <f t="shared" si="63"/>
        <v>140.04</v>
      </c>
      <c r="AN209" s="22">
        <v>79.2</v>
      </c>
      <c r="AO209" s="22">
        <f t="shared" si="59"/>
        <v>79.2</v>
      </c>
      <c r="AP209" s="23">
        <v>33444</v>
      </c>
      <c r="AQ209" s="23">
        <f t="shared" si="60"/>
        <v>34786.776599999997</v>
      </c>
      <c r="AR209" s="23">
        <f t="shared" si="64"/>
        <v>34786.776599999997</v>
      </c>
      <c r="AS209" s="23">
        <f t="shared" si="67"/>
        <v>35006.016599999995</v>
      </c>
      <c r="AU209" s="20">
        <f t="shared" si="65"/>
        <v>0</v>
      </c>
      <c r="AV209" s="37">
        <f t="shared" si="61"/>
        <v>51913.693998000002</v>
      </c>
      <c r="AW209" s="37">
        <f t="shared" si="68"/>
        <v>102113.443998</v>
      </c>
      <c r="BA209" s="20" t="str">
        <f t="shared" si="66"/>
        <v>1 - CUSTOD - Capulong, Maria</v>
      </c>
    </row>
    <row r="210" spans="1:53" ht="12.75" customHeight="1" x14ac:dyDescent="0.25">
      <c r="A210" s="20">
        <v>203</v>
      </c>
      <c r="B210" s="20" t="s">
        <v>7125</v>
      </c>
      <c r="C210" s="20" t="s">
        <v>7146</v>
      </c>
      <c r="D210" s="20" t="s">
        <v>7127</v>
      </c>
      <c r="E210" s="29">
        <v>1</v>
      </c>
      <c r="G210" s="35" t="s">
        <v>7128</v>
      </c>
      <c r="H210" s="20" t="s">
        <v>6741</v>
      </c>
      <c r="K210" s="23">
        <v>44180</v>
      </c>
      <c r="L210" s="23">
        <f t="shared" si="69"/>
        <v>44180</v>
      </c>
      <c r="M210" s="23">
        <f t="shared" si="76"/>
        <v>44622</v>
      </c>
      <c r="O210" s="66">
        <v>0.05</v>
      </c>
      <c r="P210" s="23">
        <f>M210*O210</f>
        <v>2231.1</v>
      </c>
      <c r="Q210" s="26">
        <v>0.1</v>
      </c>
      <c r="R210" s="23">
        <f>M210*Q210</f>
        <v>4462.2</v>
      </c>
      <c r="S210" s="25"/>
      <c r="T210" s="22"/>
      <c r="U210" s="20"/>
      <c r="V210" s="23">
        <f t="shared" si="77"/>
        <v>51315.299999999996</v>
      </c>
      <c r="W210" s="25">
        <v>1</v>
      </c>
      <c r="X210" s="23">
        <f t="shared" si="70"/>
        <v>51315.299999999996</v>
      </c>
      <c r="Y210" s="20" t="s">
        <v>854</v>
      </c>
      <c r="Z210" s="35" t="s">
        <v>6758</v>
      </c>
      <c r="AA210" s="35" t="s">
        <v>6964</v>
      </c>
      <c r="AB210" s="35" t="s">
        <v>6733</v>
      </c>
      <c r="AC210" s="35" t="s">
        <v>7129</v>
      </c>
      <c r="AD210" s="35" t="s">
        <v>7130</v>
      </c>
      <c r="AE210" s="37" t="str">
        <f t="shared" si="62"/>
        <v>52</v>
      </c>
      <c r="AG210" s="37">
        <f t="shared" si="71"/>
        <v>11756.335229999999</v>
      </c>
      <c r="AH210" s="37">
        <f t="shared" si="72"/>
        <v>3181.5485999999996</v>
      </c>
      <c r="AI210" s="37">
        <f t="shared" si="73"/>
        <v>744.07184999999993</v>
      </c>
      <c r="AJ210" s="37">
        <f t="shared" si="74"/>
        <v>631.17818999999997</v>
      </c>
      <c r="AK210" s="37">
        <f t="shared" si="75"/>
        <v>970.26969239999994</v>
      </c>
      <c r="AL210" s="23">
        <v>140.04</v>
      </c>
      <c r="AM210" s="23">
        <f t="shared" si="63"/>
        <v>140.04</v>
      </c>
      <c r="AN210" s="22">
        <v>79.2</v>
      </c>
      <c r="AO210" s="22">
        <f t="shared" si="59"/>
        <v>79.2</v>
      </c>
      <c r="AP210" s="23">
        <v>13152</v>
      </c>
      <c r="AQ210" s="23">
        <f t="shared" si="60"/>
        <v>13680.052799999999</v>
      </c>
      <c r="AR210" s="23">
        <f t="shared" si="64"/>
        <v>13680.052799999999</v>
      </c>
      <c r="AS210" s="23">
        <f t="shared" si="67"/>
        <v>13899.292799999999</v>
      </c>
      <c r="AU210" s="20">
        <f t="shared" si="65"/>
        <v>0</v>
      </c>
      <c r="AV210" s="37">
        <f t="shared" si="61"/>
        <v>31182.696362399998</v>
      </c>
      <c r="AW210" s="37">
        <f t="shared" si="68"/>
        <v>82497.996362399994</v>
      </c>
      <c r="BA210" s="20" t="str">
        <f t="shared" si="66"/>
        <v>1 - CUSTOD - Chavarin, Carlos</v>
      </c>
    </row>
    <row r="211" spans="1:53" ht="12.75" customHeight="1" x14ac:dyDescent="0.25">
      <c r="A211" s="20">
        <v>204</v>
      </c>
      <c r="B211" s="20" t="s">
        <v>7125</v>
      </c>
      <c r="C211" s="20" t="s">
        <v>7147</v>
      </c>
      <c r="D211" s="20" t="s">
        <v>7127</v>
      </c>
      <c r="E211" s="29">
        <v>1</v>
      </c>
      <c r="G211" s="35" t="s">
        <v>7128</v>
      </c>
      <c r="H211" s="20" t="s">
        <v>6741</v>
      </c>
      <c r="K211" s="23">
        <v>44180</v>
      </c>
      <c r="L211" s="23">
        <f t="shared" si="69"/>
        <v>44180</v>
      </c>
      <c r="M211" s="23">
        <f t="shared" si="76"/>
        <v>44622</v>
      </c>
      <c r="O211" s="20"/>
      <c r="Q211" s="26">
        <v>0.05</v>
      </c>
      <c r="R211" s="23">
        <f>M211*Q211/12*6</f>
        <v>1115.55</v>
      </c>
      <c r="S211" s="25"/>
      <c r="T211" s="22">
        <f>M211*S211/12*6</f>
        <v>0</v>
      </c>
      <c r="U211" s="20">
        <v>600</v>
      </c>
      <c r="V211" s="23">
        <f t="shared" si="77"/>
        <v>46337.55</v>
      </c>
      <c r="W211" s="25">
        <v>1</v>
      </c>
      <c r="X211" s="23">
        <f t="shared" si="70"/>
        <v>46337.55</v>
      </c>
      <c r="Y211" s="20" t="s">
        <v>854</v>
      </c>
      <c r="Z211" s="35" t="s">
        <v>6758</v>
      </c>
      <c r="AA211" s="35" t="s">
        <v>6964</v>
      </c>
      <c r="AB211" s="35" t="s">
        <v>6733</v>
      </c>
      <c r="AC211" s="35" t="s">
        <v>7129</v>
      </c>
      <c r="AD211" s="35" t="s">
        <v>7130</v>
      </c>
      <c r="AE211" s="37" t="str">
        <f t="shared" si="62"/>
        <v>52</v>
      </c>
      <c r="AG211" s="37">
        <f t="shared" si="71"/>
        <v>10615.932705000001</v>
      </c>
      <c r="AH211" s="37">
        <f t="shared" si="72"/>
        <v>2872.9281000000001</v>
      </c>
      <c r="AI211" s="37">
        <f t="shared" si="73"/>
        <v>671.89447500000006</v>
      </c>
      <c r="AJ211" s="37">
        <f t="shared" si="74"/>
        <v>569.951865</v>
      </c>
      <c r="AK211" s="37">
        <f t="shared" si="75"/>
        <v>876.15039540000009</v>
      </c>
      <c r="AL211" s="23">
        <v>140.04</v>
      </c>
      <c r="AM211" s="23">
        <f t="shared" si="63"/>
        <v>140.04</v>
      </c>
      <c r="AN211" s="22">
        <v>79.2</v>
      </c>
      <c r="AO211" s="22">
        <f t="shared" si="59"/>
        <v>79.2</v>
      </c>
      <c r="AP211" s="23">
        <v>13152</v>
      </c>
      <c r="AQ211" s="23">
        <f t="shared" si="60"/>
        <v>13680.052799999999</v>
      </c>
      <c r="AR211" s="23">
        <f t="shared" si="64"/>
        <v>13680.052799999999</v>
      </c>
      <c r="AS211" s="23">
        <f t="shared" si="67"/>
        <v>13899.292799999999</v>
      </c>
      <c r="AU211" s="20">
        <f t="shared" si="65"/>
        <v>0</v>
      </c>
      <c r="AV211" s="37">
        <f t="shared" si="61"/>
        <v>29506.150340400003</v>
      </c>
      <c r="AW211" s="37">
        <f t="shared" si="68"/>
        <v>75843.700340400013</v>
      </c>
      <c r="BA211" s="20" t="str">
        <f t="shared" si="66"/>
        <v>1 - CUSTOD - Cintron, Nancy</v>
      </c>
    </row>
    <row r="212" spans="1:53" ht="12.75" customHeight="1" x14ac:dyDescent="0.25">
      <c r="A212" s="20">
        <v>205</v>
      </c>
      <c r="B212" s="20" t="s">
        <v>7125</v>
      </c>
      <c r="C212" s="20" t="s">
        <v>7148</v>
      </c>
      <c r="D212" s="20" t="s">
        <v>7127</v>
      </c>
      <c r="E212" s="29">
        <v>1</v>
      </c>
      <c r="G212" s="35" t="s">
        <v>7128</v>
      </c>
      <c r="H212" s="20" t="s">
        <v>6741</v>
      </c>
      <c r="K212" s="23">
        <v>44180</v>
      </c>
      <c r="L212" s="23">
        <f t="shared" si="69"/>
        <v>44180</v>
      </c>
      <c r="M212" s="23">
        <f t="shared" si="76"/>
        <v>44622</v>
      </c>
      <c r="O212" s="66">
        <v>0.05</v>
      </c>
      <c r="P212" s="23">
        <f>M212*O212</f>
        <v>2231.1</v>
      </c>
      <c r="S212" s="25"/>
      <c r="T212" s="20"/>
      <c r="U212" s="20">
        <v>600</v>
      </c>
      <c r="V212" s="23">
        <f t="shared" si="77"/>
        <v>47453.1</v>
      </c>
      <c r="W212" s="25">
        <v>1</v>
      </c>
      <c r="X212" s="23">
        <f t="shared" si="70"/>
        <v>47453.1</v>
      </c>
      <c r="Y212" s="20" t="s">
        <v>854</v>
      </c>
      <c r="Z212" s="35" t="s">
        <v>6758</v>
      </c>
      <c r="AA212" s="35" t="s">
        <v>6964</v>
      </c>
      <c r="AB212" s="35" t="s">
        <v>6733</v>
      </c>
      <c r="AC212" s="35" t="s">
        <v>7129</v>
      </c>
      <c r="AD212" s="35" t="s">
        <v>7130</v>
      </c>
      <c r="AE212" s="37" t="str">
        <f t="shared" si="62"/>
        <v>52</v>
      </c>
      <c r="AG212" s="37">
        <f t="shared" si="71"/>
        <v>10871.505209999999</v>
      </c>
      <c r="AH212" s="37">
        <f t="shared" si="72"/>
        <v>2942.0922</v>
      </c>
      <c r="AI212" s="37">
        <f t="shared" si="73"/>
        <v>688.06995000000006</v>
      </c>
      <c r="AJ212" s="37">
        <f t="shared" si="74"/>
        <v>583.67313000000001</v>
      </c>
      <c r="AK212" s="37">
        <f t="shared" si="75"/>
        <v>897.24321480000003</v>
      </c>
      <c r="AL212" s="23">
        <v>140.04</v>
      </c>
      <c r="AM212" s="23">
        <f t="shared" si="63"/>
        <v>140.04</v>
      </c>
      <c r="AN212" s="22">
        <v>79.2</v>
      </c>
      <c r="AO212" s="22">
        <f t="shared" si="59"/>
        <v>79.2</v>
      </c>
      <c r="AP212" s="23">
        <v>33444</v>
      </c>
      <c r="AQ212" s="23">
        <f t="shared" si="60"/>
        <v>34786.776599999997</v>
      </c>
      <c r="AR212" s="23">
        <f t="shared" si="64"/>
        <v>34786.776599999997</v>
      </c>
      <c r="AS212" s="23">
        <f t="shared" si="67"/>
        <v>35006.016599999995</v>
      </c>
      <c r="AU212" s="20">
        <f t="shared" si="65"/>
        <v>0</v>
      </c>
      <c r="AV212" s="37">
        <f t="shared" si="61"/>
        <v>50988.600304799998</v>
      </c>
      <c r="AW212" s="37">
        <f t="shared" si="68"/>
        <v>98441.700304800004</v>
      </c>
      <c r="BA212" s="20" t="str">
        <f t="shared" si="66"/>
        <v xml:space="preserve">1 - CUSTOD - Diaz, Alberto </v>
      </c>
    </row>
    <row r="213" spans="1:53" ht="12.75" hidden="1" customHeight="1" x14ac:dyDescent="0.25">
      <c r="A213" s="20">
        <v>206</v>
      </c>
      <c r="B213" s="20" t="s">
        <v>7125</v>
      </c>
      <c r="C213" s="20" t="s">
        <v>7149</v>
      </c>
      <c r="D213" s="20" t="s">
        <v>7136</v>
      </c>
      <c r="E213" s="29">
        <v>0.83330000000000004</v>
      </c>
      <c r="G213" s="35" t="s">
        <v>7137</v>
      </c>
      <c r="H213" s="20" t="s">
        <v>6741</v>
      </c>
      <c r="K213" s="23">
        <f>ROUND(39085*E213,0)</f>
        <v>32570</v>
      </c>
      <c r="L213" s="23">
        <f t="shared" si="69"/>
        <v>32570</v>
      </c>
      <c r="M213" s="23">
        <f t="shared" si="76"/>
        <v>32896</v>
      </c>
      <c r="O213" s="20"/>
      <c r="Q213" s="26">
        <v>0.1</v>
      </c>
      <c r="R213" s="23">
        <f>M213*Q213/12*7</f>
        <v>1918.9333333333336</v>
      </c>
      <c r="S213" s="25"/>
      <c r="T213" s="22">
        <f>M213*S213/12*7</f>
        <v>0</v>
      </c>
      <c r="U213" s="20">
        <v>600</v>
      </c>
      <c r="V213" s="23">
        <f t="shared" si="77"/>
        <v>35414.933333333334</v>
      </c>
      <c r="W213" s="25">
        <v>1</v>
      </c>
      <c r="X213" s="23">
        <f t="shared" si="70"/>
        <v>35414.933333333334</v>
      </c>
      <c r="Y213" s="20" t="s">
        <v>3595</v>
      </c>
      <c r="Z213" s="35" t="s">
        <v>6731</v>
      </c>
      <c r="AA213" s="35" t="s">
        <v>7001</v>
      </c>
      <c r="AB213" s="35" t="s">
        <v>6733</v>
      </c>
      <c r="AC213" s="35" t="s">
        <v>7002</v>
      </c>
      <c r="AD213" s="35" t="s">
        <v>7130</v>
      </c>
      <c r="AE213" s="37" t="str">
        <f t="shared" si="62"/>
        <v>52</v>
      </c>
      <c r="AG213" s="37">
        <f t="shared" si="71"/>
        <v>8113.5612266666667</v>
      </c>
      <c r="AH213" s="37">
        <f t="shared" si="72"/>
        <v>2195.7258666666667</v>
      </c>
      <c r="AI213" s="37">
        <f t="shared" si="73"/>
        <v>513.51653333333343</v>
      </c>
      <c r="AJ213" s="37">
        <f t="shared" si="74"/>
        <v>435.60368</v>
      </c>
      <c r="AK213" s="37">
        <f t="shared" si="75"/>
        <v>669.62555946666669</v>
      </c>
      <c r="AL213" s="23">
        <v>140.04</v>
      </c>
      <c r="AM213" s="23">
        <f t="shared" si="63"/>
        <v>140.04</v>
      </c>
      <c r="AN213" s="22">
        <v>79.2</v>
      </c>
      <c r="AO213" s="22">
        <f t="shared" si="59"/>
        <v>79.2</v>
      </c>
      <c r="AP213" s="23">
        <v>33444</v>
      </c>
      <c r="AQ213" s="23">
        <f t="shared" si="60"/>
        <v>34786.776599999997</v>
      </c>
      <c r="AR213" s="23">
        <f t="shared" si="64"/>
        <v>34786.776599999997</v>
      </c>
      <c r="AS213" s="23">
        <f t="shared" si="67"/>
        <v>35006.016599999995</v>
      </c>
      <c r="AU213" s="20">
        <f t="shared" si="65"/>
        <v>0</v>
      </c>
      <c r="AV213" s="37">
        <f t="shared" si="61"/>
        <v>46934.049466133336</v>
      </c>
      <c r="AW213" s="37">
        <f t="shared" si="68"/>
        <v>82348.98279946667</v>
      </c>
      <c r="AX213" s="20" t="s">
        <v>7003</v>
      </c>
      <c r="AY213" s="20" t="s">
        <v>6671</v>
      </c>
      <c r="AZ213" s="20" t="s">
        <v>7004</v>
      </c>
      <c r="BA213" s="20" t="str">
        <f t="shared" si="66"/>
        <v>1 - FS_WRKR - Enriquez, Lucia</v>
      </c>
    </row>
    <row r="214" spans="1:53" ht="12.75" hidden="1" customHeight="1" x14ac:dyDescent="0.25">
      <c r="A214" s="20">
        <v>207</v>
      </c>
      <c r="B214" s="20" t="s">
        <v>7125</v>
      </c>
      <c r="C214" s="20" t="s">
        <v>7150</v>
      </c>
      <c r="D214" s="20" t="s">
        <v>7151</v>
      </c>
      <c r="E214" s="29">
        <v>0.91670000000000007</v>
      </c>
      <c r="G214" s="35" t="s">
        <v>7152</v>
      </c>
      <c r="H214" s="20" t="s">
        <v>6741</v>
      </c>
      <c r="K214" s="23">
        <f>ROUND(42029*E211,0)</f>
        <v>42029</v>
      </c>
      <c r="L214" s="23">
        <f t="shared" si="69"/>
        <v>42029</v>
      </c>
      <c r="M214" s="23">
        <f t="shared" si="76"/>
        <v>42449</v>
      </c>
      <c r="O214" s="20"/>
      <c r="Q214" s="26">
        <v>0.1</v>
      </c>
      <c r="R214" s="23">
        <f>M214*Q214</f>
        <v>4244.9000000000005</v>
      </c>
      <c r="S214" s="25"/>
      <c r="T214" s="22"/>
      <c r="U214" s="20"/>
      <c r="V214" s="23">
        <f t="shared" si="77"/>
        <v>46693.9</v>
      </c>
      <c r="W214" s="25">
        <v>1</v>
      </c>
      <c r="X214" s="23">
        <f t="shared" si="70"/>
        <v>46693.9</v>
      </c>
      <c r="Y214" s="20" t="s">
        <v>3595</v>
      </c>
      <c r="Z214" s="35" t="s">
        <v>6731</v>
      </c>
      <c r="AA214" s="35" t="s">
        <v>7001</v>
      </c>
      <c r="AB214" s="35" t="s">
        <v>6733</v>
      </c>
      <c r="AC214" s="35" t="s">
        <v>7002</v>
      </c>
      <c r="AD214" s="35" t="s">
        <v>7130</v>
      </c>
      <c r="AE214" s="37" t="str">
        <f t="shared" si="62"/>
        <v>52</v>
      </c>
      <c r="AG214" s="37">
        <f t="shared" si="71"/>
        <v>10697.57249</v>
      </c>
      <c r="AH214" s="37">
        <f t="shared" si="72"/>
        <v>2895.0218</v>
      </c>
      <c r="AI214" s="37">
        <f t="shared" si="73"/>
        <v>677.06155000000001</v>
      </c>
      <c r="AJ214" s="37">
        <f t="shared" si="74"/>
        <v>574.33497</v>
      </c>
      <c r="AK214" s="37">
        <f t="shared" si="75"/>
        <v>882.8882612000001</v>
      </c>
      <c r="AL214" s="23">
        <v>140.04</v>
      </c>
      <c r="AM214" s="23">
        <f t="shared" si="63"/>
        <v>140.04</v>
      </c>
      <c r="AN214" s="22">
        <v>79.2</v>
      </c>
      <c r="AO214" s="22">
        <f t="shared" si="59"/>
        <v>79.2</v>
      </c>
      <c r="AP214" s="23">
        <v>13152</v>
      </c>
      <c r="AQ214" s="23">
        <f t="shared" si="60"/>
        <v>13680.052799999999</v>
      </c>
      <c r="AR214" s="23">
        <f t="shared" si="64"/>
        <v>13680.052799999999</v>
      </c>
      <c r="AS214" s="23">
        <f t="shared" si="67"/>
        <v>13899.292799999999</v>
      </c>
      <c r="AU214" s="20">
        <f t="shared" si="65"/>
        <v>0</v>
      </c>
      <c r="AV214" s="37">
        <f t="shared" si="61"/>
        <v>29626.1718712</v>
      </c>
      <c r="AW214" s="37">
        <f t="shared" si="68"/>
        <v>76320.071871199994</v>
      </c>
      <c r="AX214" s="20" t="s">
        <v>7003</v>
      </c>
      <c r="AY214" s="20" t="s">
        <v>6671</v>
      </c>
      <c r="AZ214" s="20" t="s">
        <v>7004</v>
      </c>
      <c r="BA214" s="20" t="str">
        <f t="shared" si="66"/>
        <v>1 - FSWRK_LD - Flores, Gloria</v>
      </c>
    </row>
    <row r="215" spans="1:53" s="39" customFormat="1" ht="12.75" customHeight="1" x14ac:dyDescent="0.25">
      <c r="A215" s="39">
        <v>208</v>
      </c>
      <c r="B215" s="39" t="s">
        <v>7125</v>
      </c>
      <c r="C215" s="39" t="s">
        <v>9963</v>
      </c>
      <c r="D215" s="39" t="s">
        <v>7127</v>
      </c>
      <c r="E215" s="41">
        <v>1</v>
      </c>
      <c r="G215" s="43" t="s">
        <v>7128</v>
      </c>
      <c r="H215" s="39" t="s">
        <v>6741</v>
      </c>
      <c r="I215" s="44"/>
      <c r="K215" s="45">
        <v>44180</v>
      </c>
      <c r="L215" s="45">
        <f t="shared" si="69"/>
        <v>44180</v>
      </c>
      <c r="M215" s="45">
        <f t="shared" si="76"/>
        <v>44622</v>
      </c>
      <c r="N215" s="45"/>
      <c r="O215" s="68">
        <v>0.05</v>
      </c>
      <c r="P215" s="45">
        <f>M215*O215</f>
        <v>2231.1</v>
      </c>
      <c r="Q215" s="47">
        <v>0.1</v>
      </c>
      <c r="R215" s="45">
        <f>M215*Q215</f>
        <v>4462.2</v>
      </c>
      <c r="S215" s="46"/>
      <c r="T215" s="44"/>
      <c r="U215" s="39">
        <v>1200</v>
      </c>
      <c r="V215" s="45">
        <f t="shared" si="77"/>
        <v>52515.299999999996</v>
      </c>
      <c r="W215" s="46">
        <v>1</v>
      </c>
      <c r="X215" s="45">
        <f t="shared" si="70"/>
        <v>52515.299999999996</v>
      </c>
      <c r="Y215" s="39" t="s">
        <v>854</v>
      </c>
      <c r="Z215" s="43" t="s">
        <v>6758</v>
      </c>
      <c r="AA215" s="43" t="s">
        <v>6964</v>
      </c>
      <c r="AB215" s="43" t="s">
        <v>6733</v>
      </c>
      <c r="AC215" s="43" t="s">
        <v>7129</v>
      </c>
      <c r="AD215" s="43" t="s">
        <v>7130</v>
      </c>
      <c r="AE215" s="37" t="str">
        <f t="shared" si="62"/>
        <v>52</v>
      </c>
      <c r="AG215" s="49">
        <f t="shared" si="71"/>
        <v>12031.255229999999</v>
      </c>
      <c r="AH215" s="49">
        <f t="shared" si="72"/>
        <v>3255.9485999999997</v>
      </c>
      <c r="AI215" s="49">
        <f t="shared" si="73"/>
        <v>761.47185000000002</v>
      </c>
      <c r="AJ215" s="49">
        <f t="shared" si="74"/>
        <v>645.93818999999996</v>
      </c>
      <c r="AK215" s="49">
        <f t="shared" si="75"/>
        <v>992.95929239999998</v>
      </c>
      <c r="AL215" s="45">
        <v>140.04</v>
      </c>
      <c r="AM215" s="23">
        <f t="shared" si="63"/>
        <v>140.04</v>
      </c>
      <c r="AN215" s="44">
        <v>79.2</v>
      </c>
      <c r="AO215" s="22">
        <f t="shared" si="59"/>
        <v>79.2</v>
      </c>
      <c r="AP215" s="45">
        <v>25452.6</v>
      </c>
      <c r="AQ215" s="23">
        <f t="shared" si="60"/>
        <v>26474.521889999996</v>
      </c>
      <c r="AR215" s="23">
        <f t="shared" si="64"/>
        <v>26474.521889999996</v>
      </c>
      <c r="AS215" s="45">
        <f t="shared" si="67"/>
        <v>26693.761889999998</v>
      </c>
      <c r="AU215" s="20">
        <f t="shared" si="65"/>
        <v>0</v>
      </c>
      <c r="AV215" s="37">
        <f t="shared" si="61"/>
        <v>44381.335052399998</v>
      </c>
      <c r="AW215" s="226">
        <f t="shared" si="68"/>
        <v>96896.635052400001</v>
      </c>
      <c r="BA215" s="39" t="str">
        <f t="shared" si="66"/>
        <v>1 - CUSTOD - VACANT (Gallegos Jr, Frank)</v>
      </c>
    </row>
    <row r="216" spans="1:53" ht="12.75" customHeight="1" x14ac:dyDescent="0.25">
      <c r="A216" s="20">
        <v>209</v>
      </c>
      <c r="B216" s="20" t="s">
        <v>7125</v>
      </c>
      <c r="C216" s="20" t="s">
        <v>7153</v>
      </c>
      <c r="D216" s="20" t="s">
        <v>7127</v>
      </c>
      <c r="E216" s="29">
        <v>1</v>
      </c>
      <c r="F216" s="34">
        <v>44652</v>
      </c>
      <c r="G216" s="35" t="s">
        <v>7128</v>
      </c>
      <c r="H216" s="20" t="s">
        <v>6730</v>
      </c>
      <c r="J216" s="20" t="s">
        <v>6741</v>
      </c>
      <c r="K216" s="23">
        <f>3270*3</f>
        <v>9810</v>
      </c>
      <c r="L216" s="23">
        <f t="shared" si="69"/>
        <v>9810</v>
      </c>
      <c r="M216" s="23">
        <f t="shared" si="76"/>
        <v>9908</v>
      </c>
      <c r="O216" s="66">
        <v>0.05</v>
      </c>
      <c r="P216" s="23">
        <f>M216*O216</f>
        <v>495.40000000000003</v>
      </c>
      <c r="S216" s="25"/>
      <c r="T216" s="20"/>
      <c r="U216" s="20"/>
      <c r="V216" s="23">
        <f t="shared" si="77"/>
        <v>10403.4</v>
      </c>
      <c r="W216" s="25">
        <v>1</v>
      </c>
      <c r="X216" s="23">
        <f t="shared" si="70"/>
        <v>10403.4</v>
      </c>
      <c r="Y216" s="20" t="s">
        <v>854</v>
      </c>
      <c r="Z216" s="35" t="s">
        <v>6758</v>
      </c>
      <c r="AA216" s="35" t="s">
        <v>6964</v>
      </c>
      <c r="AB216" s="35" t="s">
        <v>6733</v>
      </c>
      <c r="AC216" s="35" t="s">
        <v>7129</v>
      </c>
      <c r="AD216" s="35" t="s">
        <v>7130</v>
      </c>
      <c r="AE216" s="37" t="str">
        <f t="shared" si="62"/>
        <v>52</v>
      </c>
      <c r="AG216" s="37">
        <f t="shared" si="71"/>
        <v>2383.41894</v>
      </c>
      <c r="AH216" s="37">
        <f t="shared" si="72"/>
        <v>645.01080000000002</v>
      </c>
      <c r="AI216" s="37">
        <f t="shared" si="73"/>
        <v>150.8493</v>
      </c>
      <c r="AJ216" s="37">
        <f t="shared" si="74"/>
        <v>127.96182</v>
      </c>
      <c r="AK216" s="37">
        <f t="shared" si="75"/>
        <v>196.7074872</v>
      </c>
      <c r="AL216" s="23">
        <v>140.04</v>
      </c>
      <c r="AM216" s="23">
        <f t="shared" si="63"/>
        <v>140.04</v>
      </c>
      <c r="AN216" s="22">
        <v>79.2</v>
      </c>
      <c r="AO216" s="22">
        <f t="shared" si="59"/>
        <v>79.2</v>
      </c>
      <c r="AP216" s="23">
        <v>33444</v>
      </c>
      <c r="AQ216" s="23">
        <f t="shared" si="60"/>
        <v>34786.776599999997</v>
      </c>
      <c r="AR216" s="23">
        <f t="shared" si="64"/>
        <v>34786.776599999997</v>
      </c>
      <c r="AS216" s="23">
        <f t="shared" si="67"/>
        <v>35006.016599999995</v>
      </c>
      <c r="AU216" s="20">
        <f t="shared" si="65"/>
        <v>0</v>
      </c>
      <c r="AV216" s="37">
        <f t="shared" si="61"/>
        <v>38509.964947199995</v>
      </c>
      <c r="AW216" s="37">
        <f t="shared" si="68"/>
        <v>48913.364947199996</v>
      </c>
      <c r="BA216" s="20" t="str">
        <f t="shared" si="66"/>
        <v>1 - CUSTOD - Garcia, Veroninca</v>
      </c>
    </row>
    <row r="217" spans="1:53" ht="12.75" customHeight="1" x14ac:dyDescent="0.25">
      <c r="A217" s="20">
        <v>210</v>
      </c>
      <c r="B217" s="20" t="s">
        <v>7125</v>
      </c>
      <c r="C217" s="20" t="s">
        <v>7154</v>
      </c>
      <c r="D217" s="20" t="s">
        <v>7142</v>
      </c>
      <c r="E217" s="29">
        <v>1</v>
      </c>
      <c r="G217" s="35" t="s">
        <v>7143</v>
      </c>
      <c r="H217" s="20" t="s">
        <v>6741</v>
      </c>
      <c r="K217" s="23">
        <v>70201</v>
      </c>
      <c r="L217" s="23">
        <f t="shared" si="69"/>
        <v>70201</v>
      </c>
      <c r="M217" s="23">
        <f t="shared" si="76"/>
        <v>70903</v>
      </c>
      <c r="O217" s="20"/>
      <c r="S217" s="25"/>
      <c r="T217" s="20"/>
      <c r="U217" s="20">
        <v>600</v>
      </c>
      <c r="V217" s="23">
        <f t="shared" si="77"/>
        <v>71503</v>
      </c>
      <c r="W217" s="25">
        <v>1</v>
      </c>
      <c r="X217" s="23">
        <f t="shared" si="70"/>
        <v>71503</v>
      </c>
      <c r="Y217" s="20" t="s">
        <v>816</v>
      </c>
      <c r="Z217" s="35" t="s">
        <v>6758</v>
      </c>
      <c r="AA217" s="35" t="s">
        <v>6964</v>
      </c>
      <c r="AB217" s="35" t="s">
        <v>6733</v>
      </c>
      <c r="AC217" s="35" t="s">
        <v>7144</v>
      </c>
      <c r="AD217" s="35" t="s">
        <v>7130</v>
      </c>
      <c r="AE217" s="37" t="str">
        <f t="shared" si="62"/>
        <v>52</v>
      </c>
      <c r="AG217" s="37">
        <f t="shared" si="71"/>
        <v>16381.337299999999</v>
      </c>
      <c r="AH217" s="37">
        <f t="shared" si="72"/>
        <v>4433.1859999999997</v>
      </c>
      <c r="AI217" s="37">
        <f t="shared" si="73"/>
        <v>1036.7935</v>
      </c>
      <c r="AJ217" s="37">
        <f t="shared" si="74"/>
        <v>879.48689999999999</v>
      </c>
      <c r="AK217" s="37">
        <f t="shared" si="75"/>
        <v>1351.9787240000001</v>
      </c>
      <c r="AL217" s="23">
        <v>140.04</v>
      </c>
      <c r="AM217" s="23">
        <f t="shared" si="63"/>
        <v>140.04</v>
      </c>
      <c r="AN217" s="22">
        <v>79.2</v>
      </c>
      <c r="AO217" s="22">
        <f t="shared" si="59"/>
        <v>79.2</v>
      </c>
      <c r="AP217" s="23">
        <v>23232</v>
      </c>
      <c r="AQ217" s="23">
        <f t="shared" si="60"/>
        <v>24164.764800000001</v>
      </c>
      <c r="AR217" s="23">
        <f t="shared" si="64"/>
        <v>24164.764800000001</v>
      </c>
      <c r="AS217" s="23">
        <f t="shared" si="67"/>
        <v>24384.004800000002</v>
      </c>
      <c r="AT217" s="37">
        <v>2400</v>
      </c>
      <c r="AU217" s="20">
        <f t="shared" si="65"/>
        <v>2400</v>
      </c>
      <c r="AV217" s="37">
        <f t="shared" si="61"/>
        <v>50866.787224</v>
      </c>
      <c r="AW217" s="37">
        <f t="shared" si="68"/>
        <v>122369.787224</v>
      </c>
      <c r="BA217" s="20" t="str">
        <f t="shared" si="66"/>
        <v>1 - MAINT_SPC - Garibay, Evaristo</v>
      </c>
    </row>
    <row r="218" spans="1:53" ht="12.75" customHeight="1" x14ac:dyDescent="0.25">
      <c r="A218" s="20">
        <v>211</v>
      </c>
      <c r="B218" s="20" t="s">
        <v>7125</v>
      </c>
      <c r="C218" s="20" t="s">
        <v>7155</v>
      </c>
      <c r="D218" s="20" t="s">
        <v>7127</v>
      </c>
      <c r="E218" s="29">
        <v>1</v>
      </c>
      <c r="F218" s="34">
        <v>44470</v>
      </c>
      <c r="G218" s="35" t="s">
        <v>7128</v>
      </c>
      <c r="H218" s="20" t="s">
        <v>6783</v>
      </c>
      <c r="J218" s="20" t="s">
        <v>6729</v>
      </c>
      <c r="K218" s="23">
        <f>2970*9</f>
        <v>26730</v>
      </c>
      <c r="L218" s="23">
        <f t="shared" si="69"/>
        <v>26730</v>
      </c>
      <c r="M218" s="23">
        <f t="shared" si="76"/>
        <v>26997</v>
      </c>
      <c r="O218" s="66">
        <v>0.05</v>
      </c>
      <c r="P218" s="23">
        <f>M218*O218</f>
        <v>1349.8500000000001</v>
      </c>
      <c r="S218" s="25"/>
      <c r="T218" s="20"/>
      <c r="U218" s="20">
        <v>600</v>
      </c>
      <c r="V218" s="23">
        <f t="shared" si="77"/>
        <v>28946.85</v>
      </c>
      <c r="W218" s="25">
        <v>1</v>
      </c>
      <c r="X218" s="23">
        <f t="shared" si="70"/>
        <v>28946.85</v>
      </c>
      <c r="Y218" s="20" t="s">
        <v>854</v>
      </c>
      <c r="Z218" s="35" t="s">
        <v>6758</v>
      </c>
      <c r="AA218" s="35" t="s">
        <v>6964</v>
      </c>
      <c r="AB218" s="35" t="s">
        <v>6733</v>
      </c>
      <c r="AC218" s="35" t="s">
        <v>7129</v>
      </c>
      <c r="AD218" s="35" t="s">
        <v>7130</v>
      </c>
      <c r="AE218" s="37" t="str">
        <f t="shared" si="62"/>
        <v>52</v>
      </c>
      <c r="AG218" s="37">
        <f t="shared" si="71"/>
        <v>6631.7233349999997</v>
      </c>
      <c r="AH218" s="37">
        <f t="shared" si="72"/>
        <v>1794.7047</v>
      </c>
      <c r="AI218" s="37">
        <f t="shared" si="73"/>
        <v>419.72932500000002</v>
      </c>
      <c r="AJ218" s="37">
        <f t="shared" si="74"/>
        <v>356.04625499999997</v>
      </c>
      <c r="AK218" s="37">
        <f t="shared" si="75"/>
        <v>547.32703979999997</v>
      </c>
      <c r="AL218" s="23">
        <v>140.04</v>
      </c>
      <c r="AM218" s="23">
        <f t="shared" si="63"/>
        <v>140.04</v>
      </c>
      <c r="AN218" s="22">
        <v>79.2</v>
      </c>
      <c r="AO218" s="22">
        <f t="shared" si="59"/>
        <v>79.2</v>
      </c>
      <c r="AP218" s="23">
        <v>33444</v>
      </c>
      <c r="AQ218" s="23">
        <f t="shared" si="60"/>
        <v>34786.776599999997</v>
      </c>
      <c r="AR218" s="23">
        <f t="shared" si="64"/>
        <v>34786.776599999997</v>
      </c>
      <c r="AS218" s="23">
        <f t="shared" si="67"/>
        <v>35006.016599999995</v>
      </c>
      <c r="AU218" s="20">
        <f t="shared" si="65"/>
        <v>0</v>
      </c>
      <c r="AV218" s="37">
        <f t="shared" si="61"/>
        <v>44755.547254799996</v>
      </c>
      <c r="AW218" s="37">
        <f t="shared" si="68"/>
        <v>73702.397254799987</v>
      </c>
      <c r="BA218" s="20" t="str">
        <f t="shared" si="66"/>
        <v>1 - CUSTOD - Gonzales, Mary</v>
      </c>
    </row>
    <row r="219" spans="1:53" ht="12.75" customHeight="1" x14ac:dyDescent="0.25">
      <c r="A219" s="20">
        <v>212</v>
      </c>
      <c r="B219" s="20" t="s">
        <v>7125</v>
      </c>
      <c r="C219" s="20" t="s">
        <v>7156</v>
      </c>
      <c r="D219" s="20" t="s">
        <v>7142</v>
      </c>
      <c r="E219" s="29">
        <v>1</v>
      </c>
      <c r="G219" s="35" t="s">
        <v>7143</v>
      </c>
      <c r="H219" s="20" t="s">
        <v>6741</v>
      </c>
      <c r="K219" s="23">
        <v>70201</v>
      </c>
      <c r="L219" s="23">
        <f t="shared" si="69"/>
        <v>70201</v>
      </c>
      <c r="M219" s="23">
        <f t="shared" si="76"/>
        <v>70903</v>
      </c>
      <c r="O219" s="20"/>
      <c r="Q219" s="26">
        <v>0.1</v>
      </c>
      <c r="R219" s="23">
        <f>M219*Q219</f>
        <v>7090.3</v>
      </c>
      <c r="S219" s="25"/>
      <c r="T219" s="22"/>
      <c r="U219" s="20">
        <v>600</v>
      </c>
      <c r="V219" s="23">
        <f t="shared" si="77"/>
        <v>78593.3</v>
      </c>
      <c r="W219" s="25">
        <v>1</v>
      </c>
      <c r="X219" s="23">
        <f t="shared" si="70"/>
        <v>78593.3</v>
      </c>
      <c r="Y219" s="20" t="s">
        <v>816</v>
      </c>
      <c r="Z219" s="35" t="s">
        <v>6758</v>
      </c>
      <c r="AA219" s="35" t="s">
        <v>6964</v>
      </c>
      <c r="AB219" s="35" t="s">
        <v>6733</v>
      </c>
      <c r="AC219" s="35" t="s">
        <v>7144</v>
      </c>
      <c r="AD219" s="35" t="s">
        <v>7130</v>
      </c>
      <c r="AE219" s="37" t="str">
        <f t="shared" si="62"/>
        <v>52</v>
      </c>
      <c r="AG219" s="37">
        <f t="shared" si="71"/>
        <v>18005.725030000001</v>
      </c>
      <c r="AH219" s="37">
        <f t="shared" si="72"/>
        <v>4872.7846</v>
      </c>
      <c r="AI219" s="37">
        <f t="shared" si="73"/>
        <v>1139.60285</v>
      </c>
      <c r="AJ219" s="37">
        <f t="shared" si="74"/>
        <v>966.6975900000001</v>
      </c>
      <c r="AK219" s="37">
        <f t="shared" si="75"/>
        <v>1486.0421164000002</v>
      </c>
      <c r="AL219" s="23">
        <v>140.04</v>
      </c>
      <c r="AM219" s="23">
        <f t="shared" si="63"/>
        <v>140.04</v>
      </c>
      <c r="AN219" s="22">
        <v>79.2</v>
      </c>
      <c r="AO219" s="22">
        <f t="shared" si="59"/>
        <v>79.2</v>
      </c>
      <c r="AP219" s="23">
        <v>33444</v>
      </c>
      <c r="AQ219" s="23">
        <f t="shared" si="60"/>
        <v>34786.776599999997</v>
      </c>
      <c r="AR219" s="23">
        <f t="shared" si="64"/>
        <v>34786.776599999997</v>
      </c>
      <c r="AS219" s="23">
        <f t="shared" si="67"/>
        <v>35006.016599999995</v>
      </c>
      <c r="AU219" s="20">
        <f t="shared" si="65"/>
        <v>0</v>
      </c>
      <c r="AV219" s="37">
        <f t="shared" si="61"/>
        <v>61476.868786399995</v>
      </c>
      <c r="AW219" s="37">
        <f t="shared" si="68"/>
        <v>140070.1687864</v>
      </c>
      <c r="BA219" s="20" t="str">
        <f t="shared" si="66"/>
        <v>1 - MAINT_SPC - Guzman, Jose R</v>
      </c>
    </row>
    <row r="220" spans="1:53" ht="12.75" customHeight="1" x14ac:dyDescent="0.25">
      <c r="A220" s="20">
        <v>213</v>
      </c>
      <c r="B220" s="20" t="s">
        <v>7125</v>
      </c>
      <c r="C220" s="20" t="s">
        <v>7157</v>
      </c>
      <c r="D220" s="20" t="s">
        <v>7158</v>
      </c>
      <c r="E220" s="29">
        <v>1</v>
      </c>
      <c r="F220" s="34">
        <v>44682</v>
      </c>
      <c r="G220" s="35" t="s">
        <v>6796</v>
      </c>
      <c r="H220" s="20" t="s">
        <v>6729</v>
      </c>
      <c r="I220" s="22">
        <f>3769*10</f>
        <v>37690</v>
      </c>
      <c r="J220" s="20" t="s">
        <v>6730</v>
      </c>
      <c r="K220" s="23">
        <f>3963*2</f>
        <v>7926</v>
      </c>
      <c r="L220" s="23">
        <f t="shared" si="69"/>
        <v>45616</v>
      </c>
      <c r="M220" s="23">
        <f t="shared" si="76"/>
        <v>46072</v>
      </c>
      <c r="O220" s="20"/>
      <c r="S220" s="25"/>
      <c r="T220" s="20"/>
      <c r="U220" s="20">
        <v>600</v>
      </c>
      <c r="V220" s="23">
        <f t="shared" si="77"/>
        <v>46672</v>
      </c>
      <c r="W220" s="25">
        <v>1</v>
      </c>
      <c r="X220" s="23">
        <f t="shared" si="70"/>
        <v>46672</v>
      </c>
      <c r="Y220" s="20" t="s">
        <v>878</v>
      </c>
      <c r="Z220" s="35" t="s">
        <v>6758</v>
      </c>
      <c r="AA220" s="35" t="s">
        <v>6964</v>
      </c>
      <c r="AB220" s="35" t="s">
        <v>6733</v>
      </c>
      <c r="AC220" s="35" t="s">
        <v>7134</v>
      </c>
      <c r="AD220" s="35" t="s">
        <v>7130</v>
      </c>
      <c r="AE220" s="37" t="str">
        <f t="shared" si="62"/>
        <v>52</v>
      </c>
      <c r="AG220" s="37">
        <f t="shared" si="71"/>
        <v>10692.555200000001</v>
      </c>
      <c r="AH220" s="37">
        <f t="shared" si="72"/>
        <v>2893.6639999999998</v>
      </c>
      <c r="AI220" s="37">
        <f t="shared" si="73"/>
        <v>676.74400000000003</v>
      </c>
      <c r="AJ220" s="37">
        <f t="shared" si="74"/>
        <v>574.06560000000002</v>
      </c>
      <c r="AK220" s="37">
        <f t="shared" si="75"/>
        <v>882.47417600000006</v>
      </c>
      <c r="AL220" s="23">
        <v>140.04</v>
      </c>
      <c r="AM220" s="23">
        <f t="shared" si="63"/>
        <v>140.04</v>
      </c>
      <c r="AN220" s="22">
        <v>79.2</v>
      </c>
      <c r="AO220" s="22">
        <f t="shared" si="59"/>
        <v>79.2</v>
      </c>
      <c r="AP220" s="23">
        <v>8820</v>
      </c>
      <c r="AQ220" s="23">
        <f t="shared" si="60"/>
        <v>9174.1229999999996</v>
      </c>
      <c r="AR220" s="23">
        <f t="shared" si="64"/>
        <v>9174.1229999999996</v>
      </c>
      <c r="AS220" s="23">
        <f t="shared" si="67"/>
        <v>9393.3629999999994</v>
      </c>
      <c r="AT220" s="23">
        <v>2400</v>
      </c>
      <c r="AU220" s="20">
        <f t="shared" si="65"/>
        <v>2400</v>
      </c>
      <c r="AV220" s="37">
        <f t="shared" si="61"/>
        <v>27512.865976000001</v>
      </c>
      <c r="AW220" s="37">
        <f t="shared" si="68"/>
        <v>74184.865976000001</v>
      </c>
      <c r="BA220" s="20" t="str">
        <f t="shared" si="66"/>
        <v>1 - GRN_EQOP - Hernandez, Anselmo</v>
      </c>
    </row>
    <row r="221" spans="1:53" ht="12.75" customHeight="1" x14ac:dyDescent="0.25">
      <c r="A221" s="20">
        <v>214</v>
      </c>
      <c r="B221" s="20" t="s">
        <v>7125</v>
      </c>
      <c r="C221" s="20" t="s">
        <v>7159</v>
      </c>
      <c r="D221" s="20" t="s">
        <v>7127</v>
      </c>
      <c r="E221" s="29">
        <v>1</v>
      </c>
      <c r="G221" s="35" t="s">
        <v>7128</v>
      </c>
      <c r="H221" s="20" t="s">
        <v>6741</v>
      </c>
      <c r="K221" s="23">
        <v>44180</v>
      </c>
      <c r="L221" s="23">
        <f t="shared" si="69"/>
        <v>44180</v>
      </c>
      <c r="M221" s="23">
        <f t="shared" si="76"/>
        <v>44622</v>
      </c>
      <c r="O221" s="66">
        <v>0.05</v>
      </c>
      <c r="P221" s="23">
        <f>M221*O221</f>
        <v>2231.1</v>
      </c>
      <c r="Q221" s="26">
        <v>0.05</v>
      </c>
      <c r="R221" s="23">
        <f>M221*Q221</f>
        <v>2231.1</v>
      </c>
      <c r="S221" s="25"/>
      <c r="T221" s="22"/>
      <c r="U221" s="20"/>
      <c r="V221" s="23">
        <f t="shared" si="77"/>
        <v>49084.2</v>
      </c>
      <c r="W221" s="25">
        <v>1</v>
      </c>
      <c r="X221" s="23">
        <f t="shared" si="70"/>
        <v>49084.2</v>
      </c>
      <c r="Y221" s="20" t="s">
        <v>854</v>
      </c>
      <c r="Z221" s="35" t="s">
        <v>6758</v>
      </c>
      <c r="AA221" s="35" t="s">
        <v>6964</v>
      </c>
      <c r="AB221" s="35" t="s">
        <v>6733</v>
      </c>
      <c r="AC221" s="35" t="s">
        <v>7129</v>
      </c>
      <c r="AD221" s="35" t="s">
        <v>7130</v>
      </c>
      <c r="AE221" s="37" t="str">
        <f t="shared" si="62"/>
        <v>52</v>
      </c>
      <c r="AG221" s="37">
        <f t="shared" si="71"/>
        <v>11245.190219999999</v>
      </c>
      <c r="AH221" s="37">
        <f t="shared" si="72"/>
        <v>3043.2203999999997</v>
      </c>
      <c r="AI221" s="37">
        <f t="shared" si="73"/>
        <v>711.72090000000003</v>
      </c>
      <c r="AJ221" s="37">
        <f t="shared" si="74"/>
        <v>603.73565999999994</v>
      </c>
      <c r="AK221" s="37">
        <f t="shared" si="75"/>
        <v>928.08405359999995</v>
      </c>
      <c r="AL221" s="23">
        <v>140.04</v>
      </c>
      <c r="AM221" s="23">
        <f t="shared" si="63"/>
        <v>140.04</v>
      </c>
      <c r="AN221" s="22">
        <v>79.2</v>
      </c>
      <c r="AO221" s="22">
        <f t="shared" si="59"/>
        <v>79.2</v>
      </c>
      <c r="AP221" s="23">
        <v>13152</v>
      </c>
      <c r="AQ221" s="23">
        <f t="shared" si="60"/>
        <v>13680.052799999999</v>
      </c>
      <c r="AR221" s="23">
        <f t="shared" si="64"/>
        <v>13680.052799999999</v>
      </c>
      <c r="AS221" s="23">
        <f t="shared" si="67"/>
        <v>13899.292799999999</v>
      </c>
      <c r="AU221" s="20">
        <f t="shared" si="65"/>
        <v>0</v>
      </c>
      <c r="AV221" s="37">
        <f t="shared" si="61"/>
        <v>30431.2440336</v>
      </c>
      <c r="AW221" s="37">
        <f t="shared" si="68"/>
        <v>79515.444033599997</v>
      </c>
      <c r="BA221" s="20" t="str">
        <f t="shared" si="66"/>
        <v>1 - CUSTOD - Jones, David L</v>
      </c>
    </row>
    <row r="222" spans="1:53" ht="12.75" customHeight="1" x14ac:dyDescent="0.25">
      <c r="A222" s="20">
        <v>215</v>
      </c>
      <c r="B222" s="20" t="s">
        <v>7125</v>
      </c>
      <c r="C222" s="20" t="s">
        <v>7160</v>
      </c>
      <c r="D222" s="20" t="s">
        <v>7127</v>
      </c>
      <c r="E222" s="29">
        <v>1</v>
      </c>
      <c r="G222" s="35" t="s">
        <v>7128</v>
      </c>
      <c r="H222" s="20" t="s">
        <v>6741</v>
      </c>
      <c r="K222" s="23">
        <v>44180</v>
      </c>
      <c r="L222" s="23">
        <f t="shared" si="69"/>
        <v>44180</v>
      </c>
      <c r="M222" s="23">
        <f t="shared" si="76"/>
        <v>44622</v>
      </c>
      <c r="O222" s="66">
        <v>0.05</v>
      </c>
      <c r="P222" s="23">
        <f>M222*O222</f>
        <v>2231.1</v>
      </c>
      <c r="Q222" s="26">
        <v>0.1</v>
      </c>
      <c r="R222" s="23">
        <f>M222*Q222</f>
        <v>4462.2</v>
      </c>
      <c r="S222" s="25"/>
      <c r="T222" s="22"/>
      <c r="U222" s="20">
        <v>600</v>
      </c>
      <c r="V222" s="23">
        <f t="shared" si="77"/>
        <v>51915.299999999996</v>
      </c>
      <c r="W222" s="25">
        <v>1</v>
      </c>
      <c r="X222" s="23">
        <f t="shared" si="70"/>
        <v>51915.299999999996</v>
      </c>
      <c r="Y222" s="20" t="s">
        <v>854</v>
      </c>
      <c r="Z222" s="35" t="s">
        <v>6758</v>
      </c>
      <c r="AA222" s="35" t="s">
        <v>6964</v>
      </c>
      <c r="AB222" s="35" t="s">
        <v>6733</v>
      </c>
      <c r="AC222" s="35" t="s">
        <v>7129</v>
      </c>
      <c r="AD222" s="35" t="s">
        <v>7130</v>
      </c>
      <c r="AE222" s="37" t="str">
        <f t="shared" si="62"/>
        <v>52</v>
      </c>
      <c r="AG222" s="37">
        <f t="shared" si="71"/>
        <v>11893.79523</v>
      </c>
      <c r="AH222" s="37">
        <f t="shared" si="72"/>
        <v>3218.7485999999999</v>
      </c>
      <c r="AI222" s="37">
        <f t="shared" si="73"/>
        <v>752.77184999999997</v>
      </c>
      <c r="AJ222" s="37">
        <f t="shared" si="74"/>
        <v>638.55818999999997</v>
      </c>
      <c r="AK222" s="37">
        <f t="shared" si="75"/>
        <v>981.61449240000002</v>
      </c>
      <c r="AL222" s="23">
        <v>140.04</v>
      </c>
      <c r="AM222" s="23">
        <f t="shared" si="63"/>
        <v>140.04</v>
      </c>
      <c r="AN222" s="22">
        <v>79.2</v>
      </c>
      <c r="AO222" s="22">
        <f t="shared" si="59"/>
        <v>79.2</v>
      </c>
      <c r="AP222" s="23">
        <v>13152</v>
      </c>
      <c r="AQ222" s="23">
        <f t="shared" si="60"/>
        <v>13680.052799999999</v>
      </c>
      <c r="AR222" s="23">
        <f t="shared" si="64"/>
        <v>13680.052799999999</v>
      </c>
      <c r="AS222" s="23">
        <f t="shared" si="67"/>
        <v>13899.292799999999</v>
      </c>
      <c r="AU222" s="20">
        <f t="shared" si="65"/>
        <v>0</v>
      </c>
      <c r="AV222" s="37">
        <f t="shared" si="61"/>
        <v>31384.781162400002</v>
      </c>
      <c r="AW222" s="37">
        <f t="shared" si="68"/>
        <v>83300.081162399991</v>
      </c>
      <c r="BA222" s="20" t="str">
        <f t="shared" si="66"/>
        <v>1 - CUSTOD - Magallon, Jose</v>
      </c>
    </row>
    <row r="223" spans="1:53" ht="12.75" customHeight="1" x14ac:dyDescent="0.25">
      <c r="A223" s="20">
        <v>216</v>
      </c>
      <c r="B223" s="20" t="s">
        <v>7125</v>
      </c>
      <c r="C223" s="20" t="s">
        <v>7161</v>
      </c>
      <c r="D223" s="20" t="s">
        <v>7158</v>
      </c>
      <c r="E223" s="29">
        <v>1</v>
      </c>
      <c r="G223" s="35" t="s">
        <v>6796</v>
      </c>
      <c r="H223" s="20" t="s">
        <v>6741</v>
      </c>
      <c r="K223" s="23">
        <v>49906</v>
      </c>
      <c r="L223" s="23">
        <f t="shared" si="69"/>
        <v>49906</v>
      </c>
      <c r="M223" s="23">
        <f t="shared" si="76"/>
        <v>50405</v>
      </c>
      <c r="O223" s="20"/>
      <c r="Q223" s="26">
        <v>0.1</v>
      </c>
      <c r="R223" s="23">
        <f>M223*Q223</f>
        <v>5040.5</v>
      </c>
      <c r="S223" s="25"/>
      <c r="T223" s="22"/>
      <c r="U223" s="20">
        <v>600</v>
      </c>
      <c r="V223" s="23">
        <f t="shared" si="77"/>
        <v>56045.5</v>
      </c>
      <c r="W223" s="25">
        <v>1</v>
      </c>
      <c r="X223" s="23">
        <f t="shared" si="70"/>
        <v>56045.5</v>
      </c>
      <c r="Y223" s="20" t="s">
        <v>878</v>
      </c>
      <c r="Z223" s="35" t="s">
        <v>6758</v>
      </c>
      <c r="AA223" s="35" t="s">
        <v>6964</v>
      </c>
      <c r="AB223" s="35" t="s">
        <v>6733</v>
      </c>
      <c r="AC223" s="35" t="s">
        <v>7134</v>
      </c>
      <c r="AD223" s="35" t="s">
        <v>7130</v>
      </c>
      <c r="AE223" s="37" t="str">
        <f t="shared" si="62"/>
        <v>52</v>
      </c>
      <c r="AG223" s="37">
        <f t="shared" si="71"/>
        <v>12840.02405</v>
      </c>
      <c r="AH223" s="37">
        <f t="shared" si="72"/>
        <v>3474.8209999999999</v>
      </c>
      <c r="AI223" s="37">
        <f t="shared" si="73"/>
        <v>812.65975000000003</v>
      </c>
      <c r="AJ223" s="37">
        <f t="shared" si="74"/>
        <v>689.35964999999999</v>
      </c>
      <c r="AK223" s="37">
        <f t="shared" si="75"/>
        <v>1059.708314</v>
      </c>
      <c r="AL223" s="23">
        <v>140.04</v>
      </c>
      <c r="AM223" s="23">
        <f t="shared" si="63"/>
        <v>140.04</v>
      </c>
      <c r="AN223" s="22">
        <v>79.2</v>
      </c>
      <c r="AO223" s="22">
        <f t="shared" si="59"/>
        <v>79.2</v>
      </c>
      <c r="AP223" s="23">
        <v>25452.6</v>
      </c>
      <c r="AQ223" s="23">
        <f t="shared" si="60"/>
        <v>26474.521889999996</v>
      </c>
      <c r="AR223" s="23">
        <f t="shared" si="64"/>
        <v>26474.521889999996</v>
      </c>
      <c r="AS223" s="23">
        <f t="shared" si="67"/>
        <v>26693.761889999998</v>
      </c>
      <c r="AU223" s="20">
        <f t="shared" si="65"/>
        <v>0</v>
      </c>
      <c r="AV223" s="37">
        <f t="shared" si="61"/>
        <v>45570.334653999991</v>
      </c>
      <c r="AW223" s="37">
        <f t="shared" si="68"/>
        <v>101615.83465399999</v>
      </c>
      <c r="BA223" s="20" t="str">
        <f t="shared" si="66"/>
        <v>1 - GRN_EQOP - Margarito, Carlos</v>
      </c>
    </row>
    <row r="224" spans="1:53" ht="12.75" customHeight="1" x14ac:dyDescent="0.25">
      <c r="A224" s="20">
        <v>217</v>
      </c>
      <c r="B224" s="20" t="s">
        <v>7125</v>
      </c>
      <c r="C224" s="20" t="s">
        <v>7162</v>
      </c>
      <c r="D224" s="20" t="s">
        <v>7142</v>
      </c>
      <c r="E224" s="29">
        <v>1</v>
      </c>
      <c r="F224" s="34"/>
      <c r="G224" s="35" t="s">
        <v>7143</v>
      </c>
      <c r="H224" s="20" t="s">
        <v>6741</v>
      </c>
      <c r="K224" s="23">
        <v>70201</v>
      </c>
      <c r="L224" s="23">
        <f t="shared" si="69"/>
        <v>70201</v>
      </c>
      <c r="M224" s="23">
        <f t="shared" si="76"/>
        <v>70903</v>
      </c>
      <c r="O224" s="20"/>
      <c r="S224" s="25"/>
      <c r="T224" s="20"/>
      <c r="U224" s="20">
        <v>600</v>
      </c>
      <c r="V224" s="23">
        <f t="shared" si="77"/>
        <v>71503</v>
      </c>
      <c r="W224" s="25">
        <v>1</v>
      </c>
      <c r="X224" s="23">
        <f t="shared" si="70"/>
        <v>71503</v>
      </c>
      <c r="Y224" s="20" t="s">
        <v>816</v>
      </c>
      <c r="Z224" s="35" t="s">
        <v>6758</v>
      </c>
      <c r="AA224" s="35" t="s">
        <v>6964</v>
      </c>
      <c r="AB224" s="35" t="s">
        <v>6733</v>
      </c>
      <c r="AC224" s="35" t="s">
        <v>7144</v>
      </c>
      <c r="AD224" s="35" t="s">
        <v>7130</v>
      </c>
      <c r="AE224" s="37" t="str">
        <f t="shared" si="62"/>
        <v>52</v>
      </c>
      <c r="AG224" s="37">
        <f t="shared" si="71"/>
        <v>16381.337299999999</v>
      </c>
      <c r="AH224" s="37">
        <f t="shared" si="72"/>
        <v>4433.1859999999997</v>
      </c>
      <c r="AI224" s="37">
        <f t="shared" si="73"/>
        <v>1036.7935</v>
      </c>
      <c r="AJ224" s="37">
        <f t="shared" si="74"/>
        <v>879.48689999999999</v>
      </c>
      <c r="AK224" s="37">
        <f t="shared" si="75"/>
        <v>1351.9787240000001</v>
      </c>
      <c r="AL224" s="23">
        <v>140.04</v>
      </c>
      <c r="AM224" s="23">
        <f t="shared" si="63"/>
        <v>140.04</v>
      </c>
      <c r="AN224" s="22">
        <v>79.2</v>
      </c>
      <c r="AO224" s="22">
        <f t="shared" si="59"/>
        <v>79.2</v>
      </c>
      <c r="AP224" s="23">
        <v>23232</v>
      </c>
      <c r="AQ224" s="23">
        <f t="shared" si="60"/>
        <v>24164.764800000001</v>
      </c>
      <c r="AR224" s="23">
        <f t="shared" si="64"/>
        <v>24164.764800000001</v>
      </c>
      <c r="AS224" s="23">
        <f t="shared" si="67"/>
        <v>24384.004800000002</v>
      </c>
      <c r="AT224" s="37">
        <v>2400</v>
      </c>
      <c r="AU224" s="20">
        <f t="shared" si="65"/>
        <v>2400</v>
      </c>
      <c r="AV224" s="37">
        <f t="shared" si="61"/>
        <v>50866.787224</v>
      </c>
      <c r="AW224" s="37">
        <f t="shared" si="68"/>
        <v>122369.787224</v>
      </c>
      <c r="BA224" s="20" t="str">
        <f t="shared" si="66"/>
        <v>1 - MAINT_SPC - Mosqueda, Hector</v>
      </c>
    </row>
    <row r="225" spans="1:53" ht="12.75" customHeight="1" x14ac:dyDescent="0.25">
      <c r="A225" s="20">
        <v>218</v>
      </c>
      <c r="B225" s="20" t="s">
        <v>7125</v>
      </c>
      <c r="C225" s="20" t="s">
        <v>7163</v>
      </c>
      <c r="D225" s="20" t="s">
        <v>7164</v>
      </c>
      <c r="E225" s="29">
        <v>1</v>
      </c>
      <c r="F225" s="34">
        <v>44409</v>
      </c>
      <c r="G225" s="35" t="s">
        <v>7133</v>
      </c>
      <c r="H225" s="20" t="s">
        <v>6783</v>
      </c>
      <c r="I225" s="22">
        <f>3419*1</f>
        <v>3419</v>
      </c>
      <c r="J225" s="20" t="s">
        <v>6729</v>
      </c>
      <c r="K225" s="23">
        <f>3591*11</f>
        <v>39501</v>
      </c>
      <c r="L225" s="23">
        <f t="shared" si="69"/>
        <v>42920</v>
      </c>
      <c r="M225" s="23">
        <f t="shared" si="76"/>
        <v>43349</v>
      </c>
      <c r="O225" s="20"/>
      <c r="S225" s="25"/>
      <c r="T225" s="20"/>
      <c r="U225" s="20">
        <v>600</v>
      </c>
      <c r="V225" s="23">
        <f t="shared" si="77"/>
        <v>43949</v>
      </c>
      <c r="W225" s="25">
        <v>1</v>
      </c>
      <c r="X225" s="23">
        <f t="shared" si="70"/>
        <v>43949</v>
      </c>
      <c r="Y225" s="20" t="s">
        <v>972</v>
      </c>
      <c r="Z225" s="35" t="s">
        <v>6758</v>
      </c>
      <c r="AA225" s="35" t="s">
        <v>6964</v>
      </c>
      <c r="AB225" s="35" t="s">
        <v>6733</v>
      </c>
      <c r="AC225" s="35" t="s">
        <v>6979</v>
      </c>
      <c r="AD225" s="35" t="s">
        <v>7130</v>
      </c>
      <c r="AE225" s="37" t="str">
        <f t="shared" si="62"/>
        <v>52</v>
      </c>
      <c r="AG225" s="37">
        <f t="shared" si="71"/>
        <v>10068.715899999999</v>
      </c>
      <c r="AH225" s="37">
        <f t="shared" si="72"/>
        <v>2724.8380000000002</v>
      </c>
      <c r="AI225" s="37">
        <f t="shared" si="73"/>
        <v>637.26049999999998</v>
      </c>
      <c r="AJ225" s="37">
        <f t="shared" si="74"/>
        <v>540.57270000000005</v>
      </c>
      <c r="AK225" s="37">
        <f t="shared" si="75"/>
        <v>830.98769200000004</v>
      </c>
      <c r="AL225" s="23">
        <v>140.04</v>
      </c>
      <c r="AM225" s="23">
        <f t="shared" si="63"/>
        <v>140.04</v>
      </c>
      <c r="AN225" s="22">
        <v>79.2</v>
      </c>
      <c r="AO225" s="22">
        <f t="shared" si="59"/>
        <v>79.2</v>
      </c>
      <c r="AP225" s="23">
        <v>8820</v>
      </c>
      <c r="AQ225" s="23">
        <f t="shared" si="60"/>
        <v>9174.1229999999996</v>
      </c>
      <c r="AR225" s="23">
        <f t="shared" si="64"/>
        <v>9174.1229999999996</v>
      </c>
      <c r="AS225" s="23">
        <f t="shared" si="67"/>
        <v>9393.3629999999994</v>
      </c>
      <c r="AT225" s="37">
        <v>2400</v>
      </c>
      <c r="AU225" s="20">
        <f t="shared" si="65"/>
        <v>2400</v>
      </c>
      <c r="AV225" s="37">
        <f t="shared" si="61"/>
        <v>26595.737792</v>
      </c>
      <c r="AW225" s="37">
        <f t="shared" si="68"/>
        <v>70544.737792</v>
      </c>
      <c r="BA225" s="20" t="str">
        <f t="shared" si="66"/>
        <v>1 - SWPMNT - Murillo, Edwin</v>
      </c>
    </row>
    <row r="226" spans="1:53" ht="12.75" customHeight="1" x14ac:dyDescent="0.25">
      <c r="A226" s="20">
        <v>219</v>
      </c>
      <c r="B226" s="20" t="s">
        <v>7125</v>
      </c>
      <c r="C226" s="20" t="s">
        <v>7165</v>
      </c>
      <c r="D226" s="20" t="s">
        <v>7142</v>
      </c>
      <c r="E226" s="29">
        <v>1</v>
      </c>
      <c r="G226" s="35" t="s">
        <v>7143</v>
      </c>
      <c r="H226" s="20" t="s">
        <v>6741</v>
      </c>
      <c r="K226" s="23">
        <v>70201</v>
      </c>
      <c r="L226" s="23">
        <f t="shared" si="69"/>
        <v>70201</v>
      </c>
      <c r="M226" s="23">
        <f t="shared" si="76"/>
        <v>70903</v>
      </c>
      <c r="O226" s="20"/>
      <c r="S226" s="25"/>
      <c r="T226" s="20"/>
      <c r="U226" s="20"/>
      <c r="V226" s="23">
        <f t="shared" si="77"/>
        <v>70903</v>
      </c>
      <c r="W226" s="25">
        <v>1</v>
      </c>
      <c r="X226" s="23">
        <f t="shared" si="70"/>
        <v>70903</v>
      </c>
      <c r="Y226" s="20" t="s">
        <v>816</v>
      </c>
      <c r="Z226" s="35" t="s">
        <v>6758</v>
      </c>
      <c r="AA226" s="35" t="s">
        <v>6964</v>
      </c>
      <c r="AB226" s="35" t="s">
        <v>6733</v>
      </c>
      <c r="AC226" s="35" t="s">
        <v>7144</v>
      </c>
      <c r="AD226" s="35" t="s">
        <v>7130</v>
      </c>
      <c r="AE226" s="37" t="str">
        <f t="shared" si="62"/>
        <v>52</v>
      </c>
      <c r="AG226" s="37">
        <f t="shared" si="71"/>
        <v>16243.8773</v>
      </c>
      <c r="AH226" s="37">
        <f t="shared" si="72"/>
        <v>4395.9859999999999</v>
      </c>
      <c r="AI226" s="37">
        <f t="shared" si="73"/>
        <v>1028.0934999999999</v>
      </c>
      <c r="AJ226" s="37">
        <f t="shared" si="74"/>
        <v>872.1069</v>
      </c>
      <c r="AK226" s="37">
        <f t="shared" si="75"/>
        <v>1340.633924</v>
      </c>
      <c r="AL226" s="23">
        <v>140.04</v>
      </c>
      <c r="AM226" s="23">
        <f t="shared" si="63"/>
        <v>140.04</v>
      </c>
      <c r="AN226" s="22">
        <v>79.2</v>
      </c>
      <c r="AO226" s="22">
        <f t="shared" si="59"/>
        <v>79.2</v>
      </c>
      <c r="AP226" s="23">
        <v>25452.6</v>
      </c>
      <c r="AQ226" s="23">
        <f t="shared" si="60"/>
        <v>26474.521889999996</v>
      </c>
      <c r="AR226" s="23">
        <f t="shared" si="64"/>
        <v>26474.521889999996</v>
      </c>
      <c r="AS226" s="23">
        <f t="shared" si="67"/>
        <v>26693.761889999998</v>
      </c>
      <c r="AU226" s="20">
        <f t="shared" si="65"/>
        <v>0</v>
      </c>
      <c r="AV226" s="37">
        <f t="shared" si="61"/>
        <v>50574.459514000002</v>
      </c>
      <c r="AW226" s="37">
        <f t="shared" si="68"/>
        <v>121477.459514</v>
      </c>
      <c r="BA226" s="20" t="str">
        <f t="shared" si="66"/>
        <v>1 - MAINT_SPC - Nonella Jr., Raymond</v>
      </c>
    </row>
    <row r="227" spans="1:53" ht="12.75" customHeight="1" x14ac:dyDescent="0.25">
      <c r="A227" s="20">
        <v>220</v>
      </c>
      <c r="B227" s="20" t="s">
        <v>7125</v>
      </c>
      <c r="C227" s="20" t="s">
        <v>7166</v>
      </c>
      <c r="D227" s="20" t="s">
        <v>7142</v>
      </c>
      <c r="E227" s="29">
        <v>1</v>
      </c>
      <c r="G227" s="35" t="s">
        <v>7143</v>
      </c>
      <c r="H227" s="20" t="s">
        <v>6741</v>
      </c>
      <c r="K227" s="23">
        <v>70201</v>
      </c>
      <c r="L227" s="23">
        <f t="shared" si="69"/>
        <v>70201</v>
      </c>
      <c r="M227" s="23">
        <f t="shared" si="76"/>
        <v>70903</v>
      </c>
      <c r="O227" s="20"/>
      <c r="S227" s="25"/>
      <c r="T227" s="20"/>
      <c r="U227" s="20">
        <v>600</v>
      </c>
      <c r="V227" s="23">
        <f t="shared" si="77"/>
        <v>71503</v>
      </c>
      <c r="W227" s="25">
        <v>1</v>
      </c>
      <c r="X227" s="23">
        <f t="shared" si="70"/>
        <v>71503</v>
      </c>
      <c r="Y227" s="20" t="s">
        <v>816</v>
      </c>
      <c r="Z227" s="35" t="s">
        <v>6758</v>
      </c>
      <c r="AA227" s="35" t="s">
        <v>6964</v>
      </c>
      <c r="AB227" s="35" t="s">
        <v>6733</v>
      </c>
      <c r="AC227" s="35" t="s">
        <v>7144</v>
      </c>
      <c r="AD227" s="35" t="s">
        <v>7130</v>
      </c>
      <c r="AE227" s="37" t="str">
        <f t="shared" si="62"/>
        <v>52</v>
      </c>
      <c r="AG227" s="37">
        <f t="shared" si="71"/>
        <v>16381.337299999999</v>
      </c>
      <c r="AH227" s="37">
        <f t="shared" si="72"/>
        <v>4433.1859999999997</v>
      </c>
      <c r="AI227" s="37">
        <f t="shared" si="73"/>
        <v>1036.7935</v>
      </c>
      <c r="AJ227" s="37">
        <f t="shared" si="74"/>
        <v>879.48689999999999</v>
      </c>
      <c r="AK227" s="37">
        <f t="shared" si="75"/>
        <v>1351.9787240000001</v>
      </c>
      <c r="AL227" s="23">
        <v>140.04</v>
      </c>
      <c r="AM227" s="23">
        <f t="shared" si="63"/>
        <v>140.04</v>
      </c>
      <c r="AN227" s="22">
        <v>79.2</v>
      </c>
      <c r="AO227" s="22">
        <f t="shared" si="59"/>
        <v>79.2</v>
      </c>
      <c r="AP227" s="23">
        <v>33444</v>
      </c>
      <c r="AQ227" s="23">
        <f t="shared" si="60"/>
        <v>34786.776599999997</v>
      </c>
      <c r="AR227" s="23">
        <f t="shared" si="64"/>
        <v>34786.776599999997</v>
      </c>
      <c r="AS227" s="23">
        <f t="shared" si="67"/>
        <v>35006.016599999995</v>
      </c>
      <c r="AU227" s="20">
        <f t="shared" si="65"/>
        <v>0</v>
      </c>
      <c r="AV227" s="37">
        <f t="shared" si="61"/>
        <v>59088.799024</v>
      </c>
      <c r="AW227" s="37">
        <f t="shared" si="68"/>
        <v>130591.79902400001</v>
      </c>
      <c r="BA227" s="20" t="str">
        <f t="shared" si="66"/>
        <v>1 - MAINT_SPC - Oviedo, Daniel</v>
      </c>
    </row>
    <row r="228" spans="1:53" ht="12.75" customHeight="1" x14ac:dyDescent="0.25">
      <c r="A228" s="20">
        <v>221</v>
      </c>
      <c r="B228" s="20" t="s">
        <v>7125</v>
      </c>
      <c r="C228" s="20" t="s">
        <v>7167</v>
      </c>
      <c r="D228" s="20" t="s">
        <v>7158</v>
      </c>
      <c r="E228" s="29">
        <v>1</v>
      </c>
      <c r="G228" s="35" t="s">
        <v>6796</v>
      </c>
      <c r="H228" s="20" t="s">
        <v>6741</v>
      </c>
      <c r="K228" s="23">
        <v>49906</v>
      </c>
      <c r="L228" s="23">
        <f t="shared" si="69"/>
        <v>49906</v>
      </c>
      <c r="M228" s="23">
        <f t="shared" si="76"/>
        <v>50405</v>
      </c>
      <c r="O228" s="20"/>
      <c r="Q228" s="26">
        <v>7.4999999999999997E-2</v>
      </c>
      <c r="R228" s="23">
        <f>M228*Q228</f>
        <v>3780.375</v>
      </c>
      <c r="S228" s="25"/>
      <c r="T228" s="22"/>
      <c r="U228" s="20">
        <v>600</v>
      </c>
      <c r="V228" s="23">
        <f t="shared" si="77"/>
        <v>54785.375</v>
      </c>
      <c r="W228" s="25">
        <v>1</v>
      </c>
      <c r="X228" s="23">
        <f t="shared" si="70"/>
        <v>54785.375</v>
      </c>
      <c r="Y228" s="20" t="s">
        <v>878</v>
      </c>
      <c r="Z228" s="35" t="s">
        <v>6758</v>
      </c>
      <c r="AA228" s="35" t="s">
        <v>6964</v>
      </c>
      <c r="AB228" s="35" t="s">
        <v>6733</v>
      </c>
      <c r="AC228" s="35" t="s">
        <v>7134</v>
      </c>
      <c r="AD228" s="35" t="s">
        <v>7130</v>
      </c>
      <c r="AE228" s="37" t="str">
        <f t="shared" si="62"/>
        <v>52</v>
      </c>
      <c r="AG228" s="37">
        <f t="shared" si="71"/>
        <v>12551.329412499999</v>
      </c>
      <c r="AH228" s="37">
        <f t="shared" si="72"/>
        <v>3396.6932499999998</v>
      </c>
      <c r="AI228" s="37">
        <f t="shared" si="73"/>
        <v>794.38793750000002</v>
      </c>
      <c r="AJ228" s="37">
        <f t="shared" si="74"/>
        <v>673.86011250000001</v>
      </c>
      <c r="AK228" s="37">
        <f t="shared" si="75"/>
        <v>1035.8818705000001</v>
      </c>
      <c r="AL228" s="23">
        <v>140.04</v>
      </c>
      <c r="AM228" s="23">
        <f t="shared" si="63"/>
        <v>140.04</v>
      </c>
      <c r="AN228" s="22">
        <v>79.2</v>
      </c>
      <c r="AO228" s="22">
        <f t="shared" si="59"/>
        <v>79.2</v>
      </c>
      <c r="AP228" s="23">
        <v>13152</v>
      </c>
      <c r="AQ228" s="23">
        <f t="shared" si="60"/>
        <v>13680.052799999999</v>
      </c>
      <c r="AR228" s="23">
        <f t="shared" si="64"/>
        <v>13680.052799999999</v>
      </c>
      <c r="AS228" s="23">
        <f t="shared" si="67"/>
        <v>13899.292799999999</v>
      </c>
      <c r="AU228" s="20">
        <f t="shared" si="65"/>
        <v>0</v>
      </c>
      <c r="AV228" s="37">
        <f t="shared" si="61"/>
        <v>32351.445382999998</v>
      </c>
      <c r="AW228" s="37">
        <f t="shared" si="68"/>
        <v>87136.820382999998</v>
      </c>
      <c r="BA228" s="20" t="str">
        <f t="shared" si="66"/>
        <v>1 - GRN_EQOP - Ramirez, Ismael</v>
      </c>
    </row>
    <row r="229" spans="1:53" s="39" customFormat="1" ht="12.75" customHeight="1" x14ac:dyDescent="0.25">
      <c r="A229" s="39">
        <v>222</v>
      </c>
      <c r="B229" s="39" t="s">
        <v>7125</v>
      </c>
      <c r="C229" s="39" t="s">
        <v>7168</v>
      </c>
      <c r="D229" s="39" t="s">
        <v>7169</v>
      </c>
      <c r="E229" s="67">
        <v>1</v>
      </c>
      <c r="G229" s="43" t="s">
        <v>7133</v>
      </c>
      <c r="H229" s="39" t="s">
        <v>6741</v>
      </c>
      <c r="I229" s="44"/>
      <c r="K229" s="45">
        <v>47561</v>
      </c>
      <c r="L229" s="45">
        <f t="shared" si="69"/>
        <v>47561</v>
      </c>
      <c r="M229" s="45">
        <f>ROUND(L229*1.01,0)</f>
        <v>48037</v>
      </c>
      <c r="N229" s="45"/>
      <c r="O229" s="68">
        <v>0.05</v>
      </c>
      <c r="P229" s="45">
        <f>M229*O229</f>
        <v>2401.85</v>
      </c>
      <c r="Q229" s="47">
        <v>0.1</v>
      </c>
      <c r="R229" s="45">
        <f>M229*Q229</f>
        <v>4803.7</v>
      </c>
      <c r="S229" s="46"/>
      <c r="T229" s="44"/>
      <c r="U229" s="39">
        <v>600</v>
      </c>
      <c r="V229" s="45">
        <f t="shared" si="77"/>
        <v>55842.549999999996</v>
      </c>
      <c r="W229" s="46">
        <v>1</v>
      </c>
      <c r="X229" s="45">
        <f t="shared" si="70"/>
        <v>55842.549999999996</v>
      </c>
      <c r="Y229" s="39" t="s">
        <v>854</v>
      </c>
      <c r="Z229" s="43" t="s">
        <v>6758</v>
      </c>
      <c r="AA229" s="43" t="s">
        <v>6964</v>
      </c>
      <c r="AB229" s="43" t="s">
        <v>6733</v>
      </c>
      <c r="AC229" s="43" t="s">
        <v>7129</v>
      </c>
      <c r="AD229" s="43" t="s">
        <v>7130</v>
      </c>
      <c r="AE229" s="37" t="str">
        <f t="shared" si="62"/>
        <v>52</v>
      </c>
      <c r="AG229" s="49">
        <f t="shared" si="71"/>
        <v>12793.528204999999</v>
      </c>
      <c r="AH229" s="49">
        <f t="shared" si="72"/>
        <v>3462.2380999999996</v>
      </c>
      <c r="AI229" s="49">
        <f t="shared" si="73"/>
        <v>809.71697499999993</v>
      </c>
      <c r="AJ229" s="49">
        <f t="shared" si="74"/>
        <v>686.86336499999993</v>
      </c>
      <c r="AK229" s="49">
        <f t="shared" si="75"/>
        <v>1055.8709354</v>
      </c>
      <c r="AL229" s="45">
        <v>140.04</v>
      </c>
      <c r="AM229" s="23">
        <f t="shared" si="63"/>
        <v>140.04</v>
      </c>
      <c r="AN229" s="44">
        <v>79.2</v>
      </c>
      <c r="AO229" s="22">
        <f t="shared" si="59"/>
        <v>79.2</v>
      </c>
      <c r="AP229" s="45">
        <v>25452.6</v>
      </c>
      <c r="AQ229" s="23">
        <f t="shared" si="60"/>
        <v>26474.521889999996</v>
      </c>
      <c r="AR229" s="23">
        <f t="shared" si="64"/>
        <v>26474.521889999996</v>
      </c>
      <c r="AS229" s="45">
        <f t="shared" si="67"/>
        <v>26693.761889999998</v>
      </c>
      <c r="AU229" s="20">
        <f t="shared" si="65"/>
        <v>0</v>
      </c>
      <c r="AV229" s="37">
        <f t="shared" si="61"/>
        <v>45501.979470399994</v>
      </c>
      <c r="AW229" s="49">
        <f t="shared" si="68"/>
        <v>101344.52947039998</v>
      </c>
      <c r="BA229" s="39" t="str">
        <f t="shared" si="66"/>
        <v>1 - CUST_L - Gallegos Jr, Frank</v>
      </c>
    </row>
    <row r="230" spans="1:53" ht="12.75" customHeight="1" x14ac:dyDescent="0.25">
      <c r="A230" s="20">
        <v>223</v>
      </c>
      <c r="B230" s="20" t="s">
        <v>7125</v>
      </c>
      <c r="C230" s="20" t="s">
        <v>7170</v>
      </c>
      <c r="D230" s="20" t="s">
        <v>7127</v>
      </c>
      <c r="E230" s="29">
        <v>1</v>
      </c>
      <c r="F230" s="34"/>
      <c r="G230" s="35" t="s">
        <v>7128</v>
      </c>
      <c r="H230" s="20" t="s">
        <v>6741</v>
      </c>
      <c r="K230" s="23">
        <v>44180</v>
      </c>
      <c r="L230" s="23">
        <f t="shared" si="69"/>
        <v>44180</v>
      </c>
      <c r="M230" s="23">
        <f t="shared" si="76"/>
        <v>44622</v>
      </c>
      <c r="O230" s="66">
        <v>0.05</v>
      </c>
      <c r="P230" s="23">
        <f>M230*O230</f>
        <v>2231.1</v>
      </c>
      <c r="S230" s="25"/>
      <c r="T230" s="20"/>
      <c r="U230" s="20">
        <v>600</v>
      </c>
      <c r="V230" s="23">
        <f t="shared" si="77"/>
        <v>47453.1</v>
      </c>
      <c r="W230" s="25">
        <v>1</v>
      </c>
      <c r="X230" s="23">
        <f t="shared" si="70"/>
        <v>47453.1</v>
      </c>
      <c r="Y230" s="20" t="s">
        <v>854</v>
      </c>
      <c r="Z230" s="35" t="s">
        <v>6758</v>
      </c>
      <c r="AA230" s="35" t="s">
        <v>6964</v>
      </c>
      <c r="AB230" s="35" t="s">
        <v>6733</v>
      </c>
      <c r="AC230" s="35" t="s">
        <v>7129</v>
      </c>
      <c r="AD230" s="35" t="s">
        <v>7130</v>
      </c>
      <c r="AE230" s="37" t="str">
        <f t="shared" si="62"/>
        <v>52</v>
      </c>
      <c r="AG230" s="37">
        <f t="shared" si="71"/>
        <v>10871.505209999999</v>
      </c>
      <c r="AH230" s="37">
        <f t="shared" si="72"/>
        <v>2942.0922</v>
      </c>
      <c r="AI230" s="37">
        <f t="shared" si="73"/>
        <v>688.06995000000006</v>
      </c>
      <c r="AJ230" s="37">
        <f t="shared" si="74"/>
        <v>583.67313000000001</v>
      </c>
      <c r="AK230" s="37">
        <f t="shared" si="75"/>
        <v>897.24321480000003</v>
      </c>
      <c r="AL230" s="23">
        <v>140.04</v>
      </c>
      <c r="AM230" s="23">
        <f t="shared" si="63"/>
        <v>140.04</v>
      </c>
      <c r="AN230" s="22">
        <v>79.2</v>
      </c>
      <c r="AO230" s="22">
        <f t="shared" si="59"/>
        <v>79.2</v>
      </c>
      <c r="AP230" s="23">
        <v>33444</v>
      </c>
      <c r="AQ230" s="23">
        <f t="shared" si="60"/>
        <v>34786.776599999997</v>
      </c>
      <c r="AR230" s="23">
        <f t="shared" si="64"/>
        <v>34786.776599999997</v>
      </c>
      <c r="AS230" s="23">
        <f t="shared" si="67"/>
        <v>35006.016599999995</v>
      </c>
      <c r="AU230" s="20">
        <f t="shared" si="65"/>
        <v>0</v>
      </c>
      <c r="AV230" s="37">
        <f t="shared" si="61"/>
        <v>50988.600304799998</v>
      </c>
      <c r="AW230" s="37">
        <f t="shared" si="68"/>
        <v>98441.700304800004</v>
      </c>
      <c r="BA230" s="20" t="str">
        <f t="shared" si="66"/>
        <v>1 - CUSTOD - Rodriguez-Alfaro, Maria</v>
      </c>
    </row>
    <row r="231" spans="1:53" ht="12.75" customHeight="1" x14ac:dyDescent="0.25">
      <c r="A231" s="20">
        <v>224</v>
      </c>
      <c r="B231" s="20" t="s">
        <v>7125</v>
      </c>
      <c r="C231" s="20" t="s">
        <v>7171</v>
      </c>
      <c r="D231" s="20" t="s">
        <v>7127</v>
      </c>
      <c r="E231" s="29">
        <v>1</v>
      </c>
      <c r="G231" s="35" t="s">
        <v>7128</v>
      </c>
      <c r="H231" s="20" t="s">
        <v>6741</v>
      </c>
      <c r="K231" s="23">
        <v>44180</v>
      </c>
      <c r="L231" s="23">
        <f t="shared" si="69"/>
        <v>44180</v>
      </c>
      <c r="M231" s="23">
        <f t="shared" si="76"/>
        <v>44622</v>
      </c>
      <c r="O231" s="66">
        <v>0.05</v>
      </c>
      <c r="P231" s="23">
        <f>M231*O231</f>
        <v>2231.1</v>
      </c>
      <c r="Q231" s="26">
        <v>0.05</v>
      </c>
      <c r="R231" s="23">
        <f>M231*Q231</f>
        <v>2231.1</v>
      </c>
      <c r="S231" s="25"/>
      <c r="T231" s="22"/>
      <c r="U231" s="20"/>
      <c r="V231" s="23">
        <f t="shared" si="77"/>
        <v>49084.2</v>
      </c>
      <c r="W231" s="25">
        <v>1</v>
      </c>
      <c r="X231" s="23">
        <f t="shared" si="70"/>
        <v>49084.2</v>
      </c>
      <c r="Y231" s="20" t="s">
        <v>854</v>
      </c>
      <c r="Z231" s="35" t="s">
        <v>6758</v>
      </c>
      <c r="AA231" s="35" t="s">
        <v>6964</v>
      </c>
      <c r="AB231" s="35" t="s">
        <v>6733</v>
      </c>
      <c r="AC231" s="35" t="s">
        <v>7129</v>
      </c>
      <c r="AD231" s="35" t="s">
        <v>7130</v>
      </c>
      <c r="AE231" s="37" t="str">
        <f t="shared" si="62"/>
        <v>52</v>
      </c>
      <c r="AG231" s="37">
        <f t="shared" si="71"/>
        <v>11245.190219999999</v>
      </c>
      <c r="AH231" s="37">
        <f t="shared" si="72"/>
        <v>3043.2203999999997</v>
      </c>
      <c r="AI231" s="37">
        <f t="shared" si="73"/>
        <v>711.72090000000003</v>
      </c>
      <c r="AJ231" s="37">
        <f t="shared" si="74"/>
        <v>603.73565999999994</v>
      </c>
      <c r="AK231" s="37">
        <f t="shared" si="75"/>
        <v>928.08405359999995</v>
      </c>
      <c r="AL231" s="23">
        <v>140.04</v>
      </c>
      <c r="AM231" s="23">
        <f t="shared" si="63"/>
        <v>140.04</v>
      </c>
      <c r="AN231" s="22">
        <v>79.2</v>
      </c>
      <c r="AO231" s="22">
        <f t="shared" si="59"/>
        <v>79.2</v>
      </c>
      <c r="AP231" s="23">
        <v>13152</v>
      </c>
      <c r="AQ231" s="23">
        <f t="shared" si="60"/>
        <v>13680.052799999999</v>
      </c>
      <c r="AR231" s="23">
        <f t="shared" si="64"/>
        <v>13680.052799999999</v>
      </c>
      <c r="AS231" s="23">
        <f t="shared" si="67"/>
        <v>13899.292799999999</v>
      </c>
      <c r="AU231" s="20">
        <f t="shared" si="65"/>
        <v>0</v>
      </c>
      <c r="AV231" s="37">
        <f t="shared" si="61"/>
        <v>30431.2440336</v>
      </c>
      <c r="AW231" s="37">
        <f t="shared" si="68"/>
        <v>79515.444033599997</v>
      </c>
      <c r="BA231" s="20" t="str">
        <f t="shared" si="66"/>
        <v>1 - CUSTOD - Stuart, Keith</v>
      </c>
    </row>
    <row r="232" spans="1:53" ht="12.75" customHeight="1" x14ac:dyDescent="0.25">
      <c r="A232" s="20">
        <v>225</v>
      </c>
      <c r="B232" s="20" t="s">
        <v>7125</v>
      </c>
      <c r="C232" s="20" t="s">
        <v>7172</v>
      </c>
      <c r="D232" s="20" t="s">
        <v>7127</v>
      </c>
      <c r="E232" s="29">
        <v>1</v>
      </c>
      <c r="G232" s="35" t="s">
        <v>7128</v>
      </c>
      <c r="H232" s="20" t="s">
        <v>6741</v>
      </c>
      <c r="K232" s="23">
        <v>44180</v>
      </c>
      <c r="L232" s="23">
        <f t="shared" si="69"/>
        <v>44180</v>
      </c>
      <c r="M232" s="23">
        <f t="shared" si="76"/>
        <v>44622</v>
      </c>
      <c r="O232" s="66">
        <v>0.05</v>
      </c>
      <c r="P232" s="23">
        <f>M232*O232</f>
        <v>2231.1</v>
      </c>
      <c r="Q232" s="26">
        <v>7.4999999999999997E-2</v>
      </c>
      <c r="R232" s="23">
        <f>M232*Q232</f>
        <v>3346.65</v>
      </c>
      <c r="S232" s="25"/>
      <c r="T232" s="22"/>
      <c r="U232" s="20"/>
      <c r="V232" s="23">
        <f t="shared" si="77"/>
        <v>50199.75</v>
      </c>
      <c r="W232" s="25">
        <v>1</v>
      </c>
      <c r="X232" s="23">
        <f t="shared" si="70"/>
        <v>50199.75</v>
      </c>
      <c r="Y232" s="20" t="s">
        <v>854</v>
      </c>
      <c r="Z232" s="35" t="s">
        <v>6758</v>
      </c>
      <c r="AA232" s="35" t="s">
        <v>6964</v>
      </c>
      <c r="AB232" s="35" t="s">
        <v>6733</v>
      </c>
      <c r="AC232" s="35" t="s">
        <v>7129</v>
      </c>
      <c r="AD232" s="35" t="s">
        <v>7130</v>
      </c>
      <c r="AE232" s="37" t="str">
        <f t="shared" si="62"/>
        <v>52</v>
      </c>
      <c r="AG232" s="37">
        <f t="shared" si="71"/>
        <v>11500.762725000001</v>
      </c>
      <c r="AH232" s="37">
        <f t="shared" si="72"/>
        <v>3112.3845000000001</v>
      </c>
      <c r="AI232" s="37">
        <f t="shared" si="73"/>
        <v>727.89637500000003</v>
      </c>
      <c r="AJ232" s="37">
        <f t="shared" si="74"/>
        <v>617.45692499999996</v>
      </c>
      <c r="AK232" s="37">
        <f t="shared" si="75"/>
        <v>949.17687300000011</v>
      </c>
      <c r="AL232" s="23">
        <v>140.04</v>
      </c>
      <c r="AM232" s="23">
        <f t="shared" si="63"/>
        <v>140.04</v>
      </c>
      <c r="AN232" s="22">
        <v>79.2</v>
      </c>
      <c r="AO232" s="22">
        <f t="shared" si="59"/>
        <v>79.2</v>
      </c>
      <c r="AP232" s="23">
        <v>13152</v>
      </c>
      <c r="AQ232" s="23">
        <f t="shared" si="60"/>
        <v>13680.052799999999</v>
      </c>
      <c r="AR232" s="23">
        <f t="shared" si="64"/>
        <v>13680.052799999999</v>
      </c>
      <c r="AS232" s="23">
        <f t="shared" si="67"/>
        <v>13899.292799999999</v>
      </c>
      <c r="AU232" s="20">
        <f t="shared" si="65"/>
        <v>0</v>
      </c>
      <c r="AV232" s="37">
        <f t="shared" si="61"/>
        <v>30806.970198000003</v>
      </c>
      <c r="AW232" s="37">
        <f t="shared" si="68"/>
        <v>81006.720197999995</v>
      </c>
      <c r="BA232" s="20" t="str">
        <f t="shared" si="66"/>
        <v>1 - CUSTOD - Stuart, Kenneth</v>
      </c>
    </row>
    <row r="233" spans="1:53" ht="12.75" customHeight="1" x14ac:dyDescent="0.25">
      <c r="A233" s="20">
        <v>226</v>
      </c>
      <c r="B233" s="20" t="s">
        <v>7125</v>
      </c>
      <c r="C233" s="52" t="s">
        <v>7173</v>
      </c>
      <c r="D233" s="51" t="s">
        <v>7127</v>
      </c>
      <c r="E233" s="29">
        <v>0.5</v>
      </c>
      <c r="G233" s="55" t="s">
        <v>7174</v>
      </c>
      <c r="H233" s="51" t="s">
        <v>6782</v>
      </c>
      <c r="K233" s="23">
        <f>36289*E233</f>
        <v>18144.5</v>
      </c>
      <c r="L233" s="23">
        <f t="shared" si="69"/>
        <v>18144.5</v>
      </c>
      <c r="M233" s="23">
        <f t="shared" si="76"/>
        <v>18326</v>
      </c>
      <c r="O233" s="66"/>
      <c r="S233" s="25"/>
      <c r="T233" s="22"/>
      <c r="U233" s="20"/>
      <c r="V233" s="23">
        <f t="shared" si="77"/>
        <v>18326</v>
      </c>
      <c r="W233" s="25">
        <v>0.5</v>
      </c>
      <c r="X233" s="23">
        <f t="shared" si="70"/>
        <v>9163</v>
      </c>
      <c r="Y233" s="20" t="s">
        <v>816</v>
      </c>
      <c r="Z233" s="35" t="s">
        <v>6758</v>
      </c>
      <c r="AA233" s="35" t="s">
        <v>6964</v>
      </c>
      <c r="AB233" s="35" t="s">
        <v>6733</v>
      </c>
      <c r="AC233" s="35" t="s">
        <v>7144</v>
      </c>
      <c r="AD233" s="35" t="s">
        <v>7130</v>
      </c>
      <c r="AE233" s="37" t="str">
        <f t="shared" si="62"/>
        <v>52</v>
      </c>
      <c r="AG233" s="37">
        <f t="shared" si="71"/>
        <v>2099.2433000000001</v>
      </c>
      <c r="AH233" s="37">
        <f t="shared" si="72"/>
        <v>568.10599999999999</v>
      </c>
      <c r="AI233" s="37">
        <f t="shared" si="73"/>
        <v>132.86350000000002</v>
      </c>
      <c r="AJ233" s="37">
        <f t="shared" si="74"/>
        <v>112.70489999999999</v>
      </c>
      <c r="AK233" s="37">
        <f t="shared" si="75"/>
        <v>173.25400400000001</v>
      </c>
      <c r="AL233" s="23">
        <v>140.04</v>
      </c>
      <c r="AM233" s="23">
        <f t="shared" si="63"/>
        <v>70.02</v>
      </c>
      <c r="AO233" s="22">
        <f t="shared" si="59"/>
        <v>0</v>
      </c>
      <c r="AQ233" s="23">
        <f t="shared" si="60"/>
        <v>0</v>
      </c>
      <c r="AR233" s="23">
        <f t="shared" si="64"/>
        <v>0</v>
      </c>
      <c r="AS233" s="23">
        <f t="shared" si="67"/>
        <v>70.02</v>
      </c>
      <c r="AU233" s="20">
        <f t="shared" si="65"/>
        <v>0</v>
      </c>
      <c r="AV233" s="37">
        <f t="shared" si="61"/>
        <v>3156.1917039999998</v>
      </c>
      <c r="AW233" s="225">
        <f t="shared" si="68"/>
        <v>12319.191704000001</v>
      </c>
      <c r="BA233" s="20" t="str">
        <f t="shared" si="66"/>
        <v>0.5 - CUSTOD - VACANT (Tankesly)</v>
      </c>
    </row>
    <row r="234" spans="1:53" ht="12.75" customHeight="1" x14ac:dyDescent="0.25">
      <c r="A234" s="20">
        <v>227</v>
      </c>
      <c r="B234" s="20" t="s">
        <v>7125</v>
      </c>
      <c r="C234" s="52" t="s">
        <v>7173</v>
      </c>
      <c r="D234" s="51" t="s">
        <v>7127</v>
      </c>
      <c r="E234" s="29">
        <v>0.5</v>
      </c>
      <c r="G234" s="55" t="s">
        <v>7174</v>
      </c>
      <c r="H234" s="51" t="s">
        <v>6782</v>
      </c>
      <c r="K234" s="23">
        <f>36289*E234</f>
        <v>18144.5</v>
      </c>
      <c r="L234" s="23">
        <f t="shared" si="69"/>
        <v>18144.5</v>
      </c>
      <c r="M234" s="23">
        <f t="shared" si="76"/>
        <v>18326</v>
      </c>
      <c r="O234" s="66"/>
      <c r="S234" s="25"/>
      <c r="T234" s="22"/>
      <c r="U234" s="20"/>
      <c r="V234" s="23">
        <f t="shared" si="77"/>
        <v>18326</v>
      </c>
      <c r="W234" s="25">
        <v>0.5</v>
      </c>
      <c r="X234" s="23">
        <f t="shared" si="70"/>
        <v>9163</v>
      </c>
      <c r="Y234" s="20" t="s">
        <v>854</v>
      </c>
      <c r="Z234" s="35" t="s">
        <v>6758</v>
      </c>
      <c r="AA234" s="35" t="s">
        <v>6964</v>
      </c>
      <c r="AB234" s="35" t="s">
        <v>6733</v>
      </c>
      <c r="AC234" s="35" t="s">
        <v>7129</v>
      </c>
      <c r="AD234" s="35" t="s">
        <v>7130</v>
      </c>
      <c r="AE234" s="37" t="str">
        <f t="shared" si="62"/>
        <v>52</v>
      </c>
      <c r="AG234" s="37">
        <f t="shared" si="71"/>
        <v>2099.2433000000001</v>
      </c>
      <c r="AH234" s="37">
        <f t="shared" si="72"/>
        <v>568.10599999999999</v>
      </c>
      <c r="AI234" s="37">
        <f t="shared" si="73"/>
        <v>132.86350000000002</v>
      </c>
      <c r="AJ234" s="37">
        <f t="shared" si="74"/>
        <v>112.70489999999999</v>
      </c>
      <c r="AK234" s="37">
        <f t="shared" si="75"/>
        <v>173.25400400000001</v>
      </c>
      <c r="AL234" s="23">
        <v>140.04</v>
      </c>
      <c r="AM234" s="23">
        <f t="shared" si="63"/>
        <v>70.02</v>
      </c>
      <c r="AO234" s="22">
        <f t="shared" si="59"/>
        <v>0</v>
      </c>
      <c r="AQ234" s="23">
        <f t="shared" si="60"/>
        <v>0</v>
      </c>
      <c r="AR234" s="23">
        <f t="shared" si="64"/>
        <v>0</v>
      </c>
      <c r="AS234" s="23">
        <f t="shared" si="67"/>
        <v>70.02</v>
      </c>
      <c r="AU234" s="20">
        <f t="shared" si="65"/>
        <v>0</v>
      </c>
      <c r="AV234" s="37">
        <f t="shared" si="61"/>
        <v>3156.1917039999998</v>
      </c>
      <c r="AW234" s="225">
        <f t="shared" si="68"/>
        <v>12319.191704000001</v>
      </c>
      <c r="BA234" s="20" t="str">
        <f t="shared" si="66"/>
        <v>0.5 - CUSTOD - VACANT (Tankesly)</v>
      </c>
    </row>
    <row r="235" spans="1:53" ht="12.75" customHeight="1" x14ac:dyDescent="0.25">
      <c r="A235" s="20">
        <v>228</v>
      </c>
      <c r="B235" s="20" t="s">
        <v>7125</v>
      </c>
      <c r="C235" s="20" t="s">
        <v>7175</v>
      </c>
      <c r="D235" s="20" t="s">
        <v>7132</v>
      </c>
      <c r="E235" s="29">
        <v>1</v>
      </c>
      <c r="G235" s="35" t="s">
        <v>7133</v>
      </c>
      <c r="H235" s="20" t="s">
        <v>6741</v>
      </c>
      <c r="K235" s="23">
        <v>47561</v>
      </c>
      <c r="L235" s="23">
        <f t="shared" si="69"/>
        <v>47561</v>
      </c>
      <c r="M235" s="23">
        <f t="shared" si="76"/>
        <v>48037</v>
      </c>
      <c r="O235" s="20"/>
      <c r="Q235" s="26">
        <v>0.1</v>
      </c>
      <c r="R235" s="23">
        <f>M235*Q235</f>
        <v>4803.7</v>
      </c>
      <c r="S235" s="25"/>
      <c r="T235" s="22"/>
      <c r="U235" s="20">
        <v>600</v>
      </c>
      <c r="V235" s="23">
        <f t="shared" si="77"/>
        <v>53440.7</v>
      </c>
      <c r="W235" s="25">
        <v>0.5</v>
      </c>
      <c r="X235" s="23">
        <f t="shared" si="70"/>
        <v>26720.35</v>
      </c>
      <c r="Y235" s="20" t="s">
        <v>816</v>
      </c>
      <c r="Z235" s="35" t="s">
        <v>6758</v>
      </c>
      <c r="AA235" s="35" t="s">
        <v>6964</v>
      </c>
      <c r="AB235" s="35" t="s">
        <v>6733</v>
      </c>
      <c r="AC235" s="35" t="s">
        <v>7144</v>
      </c>
      <c r="AD235" s="35" t="s">
        <v>7130</v>
      </c>
      <c r="AE235" s="37" t="str">
        <f t="shared" si="62"/>
        <v>52</v>
      </c>
      <c r="AG235" s="37">
        <f t="shared" si="71"/>
        <v>6121.6321849999995</v>
      </c>
      <c r="AH235" s="37">
        <f t="shared" si="72"/>
        <v>1656.6616999999999</v>
      </c>
      <c r="AI235" s="37">
        <f t="shared" si="73"/>
        <v>387.44507499999997</v>
      </c>
      <c r="AJ235" s="37">
        <f t="shared" si="74"/>
        <v>328.66030499999999</v>
      </c>
      <c r="AK235" s="37">
        <f t="shared" si="75"/>
        <v>505.22837780000003</v>
      </c>
      <c r="AL235" s="23">
        <v>140.04</v>
      </c>
      <c r="AM235" s="23">
        <f t="shared" si="63"/>
        <v>70.02</v>
      </c>
      <c r="AN235" s="22">
        <v>79.2</v>
      </c>
      <c r="AO235" s="22">
        <f t="shared" si="59"/>
        <v>39.6</v>
      </c>
      <c r="AP235" s="23">
        <v>25452.6</v>
      </c>
      <c r="AQ235" s="23">
        <f t="shared" si="60"/>
        <v>26474.521889999996</v>
      </c>
      <c r="AR235" s="23">
        <f t="shared" si="64"/>
        <v>13237.260944999998</v>
      </c>
      <c r="AS235" s="23">
        <f t="shared" si="67"/>
        <v>13346.880944999999</v>
      </c>
      <c r="AU235" s="20">
        <f t="shared" si="65"/>
        <v>0</v>
      </c>
      <c r="AV235" s="37">
        <f t="shared" si="61"/>
        <v>22346.508587799995</v>
      </c>
      <c r="AW235" s="37">
        <f t="shared" si="68"/>
        <v>49066.858587799994</v>
      </c>
      <c r="BA235" s="20" t="str">
        <f t="shared" si="66"/>
        <v>0.5 - UTCUST - Yanez, Jesse</v>
      </c>
    </row>
    <row r="236" spans="1:53" ht="12.75" customHeight="1" x14ac:dyDescent="0.25">
      <c r="A236" s="20">
        <v>229</v>
      </c>
      <c r="B236" s="20" t="s">
        <v>7125</v>
      </c>
      <c r="C236" s="20" t="s">
        <v>7175</v>
      </c>
      <c r="D236" s="20" t="s">
        <v>7132</v>
      </c>
      <c r="E236" s="29">
        <v>1</v>
      </c>
      <c r="G236" s="35" t="s">
        <v>7133</v>
      </c>
      <c r="H236" s="20" t="s">
        <v>6741</v>
      </c>
      <c r="K236" s="23">
        <v>47561</v>
      </c>
      <c r="L236" s="23">
        <f t="shared" si="69"/>
        <v>47561</v>
      </c>
      <c r="M236" s="23">
        <f t="shared" si="76"/>
        <v>48037</v>
      </c>
      <c r="O236" s="20"/>
      <c r="Q236" s="26">
        <v>0.1</v>
      </c>
      <c r="R236" s="23">
        <f>M236*Q236</f>
        <v>4803.7</v>
      </c>
      <c r="S236" s="25"/>
      <c r="T236" s="22"/>
      <c r="U236" s="20">
        <v>600</v>
      </c>
      <c r="V236" s="23">
        <f t="shared" si="77"/>
        <v>53440.7</v>
      </c>
      <c r="W236" s="25">
        <v>0.5</v>
      </c>
      <c r="X236" s="23">
        <f t="shared" si="70"/>
        <v>26720.35</v>
      </c>
      <c r="Y236" s="20" t="s">
        <v>854</v>
      </c>
      <c r="Z236" s="35" t="s">
        <v>6758</v>
      </c>
      <c r="AA236" s="35" t="s">
        <v>6964</v>
      </c>
      <c r="AB236" s="35" t="s">
        <v>6733</v>
      </c>
      <c r="AC236" s="35" t="s">
        <v>7129</v>
      </c>
      <c r="AD236" s="35" t="s">
        <v>7130</v>
      </c>
      <c r="AE236" s="37" t="str">
        <f t="shared" si="62"/>
        <v>52</v>
      </c>
      <c r="AG236" s="37">
        <f t="shared" si="71"/>
        <v>6121.6321849999995</v>
      </c>
      <c r="AH236" s="37">
        <f t="shared" si="72"/>
        <v>1656.6616999999999</v>
      </c>
      <c r="AI236" s="37">
        <f t="shared" si="73"/>
        <v>387.44507499999997</v>
      </c>
      <c r="AJ236" s="37">
        <f t="shared" si="74"/>
        <v>328.66030499999999</v>
      </c>
      <c r="AK236" s="37">
        <f t="shared" si="75"/>
        <v>505.22837780000003</v>
      </c>
      <c r="AL236" s="23">
        <v>140.04</v>
      </c>
      <c r="AM236" s="23">
        <f t="shared" si="63"/>
        <v>70.02</v>
      </c>
      <c r="AN236" s="22">
        <v>79.2</v>
      </c>
      <c r="AO236" s="22">
        <f t="shared" si="59"/>
        <v>39.6</v>
      </c>
      <c r="AP236" s="23">
        <v>25452.6</v>
      </c>
      <c r="AQ236" s="23">
        <f t="shared" si="60"/>
        <v>26474.521889999996</v>
      </c>
      <c r="AR236" s="23">
        <f t="shared" si="64"/>
        <v>13237.260944999998</v>
      </c>
      <c r="AS236" s="23">
        <f t="shared" si="67"/>
        <v>13346.880944999999</v>
      </c>
      <c r="AU236" s="20">
        <f t="shared" si="65"/>
        <v>0</v>
      </c>
      <c r="AV236" s="37">
        <f t="shared" si="61"/>
        <v>22346.508587799995</v>
      </c>
      <c r="AW236" s="37">
        <f t="shared" si="68"/>
        <v>49066.858587799994</v>
      </c>
      <c r="BA236" s="20" t="str">
        <f t="shared" si="66"/>
        <v>0.5 - UTCUST - Yanez, Jesse</v>
      </c>
    </row>
    <row r="237" spans="1:53" ht="12.75" customHeight="1" x14ac:dyDescent="0.25">
      <c r="A237" s="20">
        <v>230</v>
      </c>
      <c r="B237" s="20" t="s">
        <v>7125</v>
      </c>
      <c r="C237" s="20" t="s">
        <v>7176</v>
      </c>
      <c r="D237" s="20" t="s">
        <v>7127</v>
      </c>
      <c r="E237" s="29">
        <v>1</v>
      </c>
      <c r="F237" s="34">
        <v>44409</v>
      </c>
      <c r="G237" s="35" t="s">
        <v>7128</v>
      </c>
      <c r="H237" s="20" t="s">
        <v>6730</v>
      </c>
      <c r="J237" s="20" t="s">
        <v>6741</v>
      </c>
      <c r="K237" s="23">
        <f>3270*11</f>
        <v>35970</v>
      </c>
      <c r="L237" s="23">
        <f t="shared" si="69"/>
        <v>35970</v>
      </c>
      <c r="M237" s="23">
        <f t="shared" si="76"/>
        <v>36330</v>
      </c>
      <c r="O237" s="66">
        <v>0.05</v>
      </c>
      <c r="P237" s="23">
        <f>M237*O237</f>
        <v>1816.5</v>
      </c>
      <c r="S237" s="25"/>
      <c r="T237" s="20"/>
      <c r="U237" s="20">
        <v>600</v>
      </c>
      <c r="V237" s="23">
        <f t="shared" si="77"/>
        <v>38746.5</v>
      </c>
      <c r="W237" s="25">
        <v>1</v>
      </c>
      <c r="X237" s="23">
        <f t="shared" si="70"/>
        <v>38746.5</v>
      </c>
      <c r="Y237" s="20" t="s">
        <v>854</v>
      </c>
      <c r="Z237" s="35" t="s">
        <v>6758</v>
      </c>
      <c r="AA237" s="35" t="s">
        <v>6964</v>
      </c>
      <c r="AB237" s="35" t="s">
        <v>6733</v>
      </c>
      <c r="AC237" s="35" t="s">
        <v>7129</v>
      </c>
      <c r="AD237" s="35" t="s">
        <v>7130</v>
      </c>
      <c r="AE237" s="37" t="str">
        <f t="shared" si="62"/>
        <v>52</v>
      </c>
      <c r="AG237" s="37">
        <f t="shared" si="71"/>
        <v>8876.8231500000002</v>
      </c>
      <c r="AH237" s="37">
        <f t="shared" si="72"/>
        <v>2402.2829999999999</v>
      </c>
      <c r="AI237" s="37">
        <f t="shared" si="73"/>
        <v>561.82425000000001</v>
      </c>
      <c r="AJ237" s="37">
        <f t="shared" si="74"/>
        <v>476.58195000000001</v>
      </c>
      <c r="AK237" s="37">
        <f t="shared" si="75"/>
        <v>732.61882200000002</v>
      </c>
      <c r="AL237" s="23">
        <v>140.04</v>
      </c>
      <c r="AM237" s="23">
        <f t="shared" si="63"/>
        <v>140.04</v>
      </c>
      <c r="AN237" s="22">
        <v>79.2</v>
      </c>
      <c r="AO237" s="22">
        <f t="shared" si="59"/>
        <v>79.2</v>
      </c>
      <c r="AP237" s="23">
        <v>33444</v>
      </c>
      <c r="AQ237" s="23">
        <f t="shared" si="60"/>
        <v>34786.776599999997</v>
      </c>
      <c r="AR237" s="23">
        <f t="shared" si="64"/>
        <v>34786.776599999997</v>
      </c>
      <c r="AS237" s="23">
        <f t="shared" si="67"/>
        <v>35006.016599999995</v>
      </c>
      <c r="AU237" s="20">
        <f t="shared" si="65"/>
        <v>0</v>
      </c>
      <c r="AV237" s="37">
        <f t="shared" si="61"/>
        <v>48056.147771999997</v>
      </c>
      <c r="AW237" s="37">
        <f t="shared" si="68"/>
        <v>86802.647771999997</v>
      </c>
      <c r="BA237" s="20" t="str">
        <f t="shared" si="66"/>
        <v>1 - CUSTOD - Zuniga, Jose</v>
      </c>
    </row>
    <row r="238" spans="1:53" ht="12.75" customHeight="1" x14ac:dyDescent="0.25">
      <c r="A238" s="20">
        <v>231</v>
      </c>
      <c r="B238" s="20" t="s">
        <v>7177</v>
      </c>
      <c r="C238" s="20" t="s">
        <v>7178</v>
      </c>
      <c r="D238" s="20" t="s">
        <v>7179</v>
      </c>
      <c r="E238" s="25">
        <v>1</v>
      </c>
      <c r="G238" s="35" t="s">
        <v>6839</v>
      </c>
      <c r="H238" s="20" t="s">
        <v>6741</v>
      </c>
      <c r="K238" s="23">
        <v>71992</v>
      </c>
      <c r="L238" s="23">
        <f t="shared" si="69"/>
        <v>71992</v>
      </c>
      <c r="O238" s="23"/>
      <c r="Q238" s="29">
        <v>2.5000000000000001E-2</v>
      </c>
      <c r="R238" s="23">
        <f>M238*Q238</f>
        <v>0</v>
      </c>
      <c r="U238" s="20">
        <v>1800</v>
      </c>
      <c r="V238" s="23">
        <f t="shared" ref="V238:V304" si="78">L238+N238+P238+R238+T238+U238</f>
        <v>73792</v>
      </c>
      <c r="W238" s="25">
        <v>1</v>
      </c>
      <c r="X238" s="23">
        <f t="shared" si="70"/>
        <v>73792</v>
      </c>
      <c r="Y238" s="20" t="s">
        <v>3246</v>
      </c>
      <c r="Z238" s="35" t="s">
        <v>6758</v>
      </c>
      <c r="AA238" s="35" t="s">
        <v>7180</v>
      </c>
      <c r="AB238" s="35" t="s">
        <v>6733</v>
      </c>
      <c r="AC238" s="35" t="s">
        <v>7181</v>
      </c>
      <c r="AD238" s="35" t="s">
        <v>7182</v>
      </c>
      <c r="AE238" s="37" t="str">
        <f t="shared" si="62"/>
        <v>52</v>
      </c>
      <c r="AG238" s="37">
        <f t="shared" si="71"/>
        <v>16905.747200000002</v>
      </c>
      <c r="AH238" s="37">
        <f t="shared" si="72"/>
        <v>4575.1040000000003</v>
      </c>
      <c r="AI238" s="37">
        <f t="shared" si="73"/>
        <v>1069.9840000000002</v>
      </c>
      <c r="AJ238" s="37">
        <f t="shared" si="74"/>
        <v>907.64160000000004</v>
      </c>
      <c r="AK238" s="37">
        <f t="shared" si="75"/>
        <v>1395.2591360000001</v>
      </c>
      <c r="AL238" s="23">
        <v>140.04</v>
      </c>
      <c r="AM238" s="23">
        <f t="shared" si="63"/>
        <v>140.04</v>
      </c>
      <c r="AN238" s="22">
        <v>79.2</v>
      </c>
      <c r="AO238" s="22">
        <f t="shared" si="59"/>
        <v>79.2</v>
      </c>
      <c r="AP238" s="23">
        <v>23232</v>
      </c>
      <c r="AQ238" s="23">
        <f t="shared" si="60"/>
        <v>24164.764800000001</v>
      </c>
      <c r="AR238" s="23">
        <f t="shared" si="64"/>
        <v>24164.764800000001</v>
      </c>
      <c r="AS238" s="23">
        <f t="shared" si="67"/>
        <v>24384.004800000002</v>
      </c>
      <c r="AT238" s="37">
        <v>2400</v>
      </c>
      <c r="AU238" s="20">
        <f t="shared" si="65"/>
        <v>2400</v>
      </c>
      <c r="AV238" s="37">
        <f t="shared" si="61"/>
        <v>51637.740736000007</v>
      </c>
      <c r="AW238" s="37">
        <f t="shared" si="68"/>
        <v>125429.74073600001</v>
      </c>
      <c r="BA238" s="20" t="str">
        <f t="shared" si="66"/>
        <v xml:space="preserve">1 - HR_SPEC - Arriaga, Alma </v>
      </c>
    </row>
    <row r="239" spans="1:53" s="38" customFormat="1" ht="12.75" hidden="1" customHeight="1" x14ac:dyDescent="0.25">
      <c r="A239" s="38">
        <v>232</v>
      </c>
      <c r="B239" s="38" t="s">
        <v>7177</v>
      </c>
      <c r="C239" s="38" t="s">
        <v>7183</v>
      </c>
      <c r="D239" s="38" t="s">
        <v>7184</v>
      </c>
      <c r="E239" s="69">
        <v>1</v>
      </c>
      <c r="G239" s="70" t="s">
        <v>6799</v>
      </c>
      <c r="H239" s="38" t="s">
        <v>6741</v>
      </c>
      <c r="I239" s="71"/>
      <c r="K239" s="72">
        <v>66852</v>
      </c>
      <c r="L239" s="72">
        <f t="shared" si="69"/>
        <v>66852</v>
      </c>
      <c r="M239" s="72"/>
      <c r="N239" s="72"/>
      <c r="O239" s="72"/>
      <c r="P239" s="72"/>
      <c r="Q239" s="73">
        <v>0.05</v>
      </c>
      <c r="R239" s="72">
        <f>M239*Q239</f>
        <v>0</v>
      </c>
      <c r="S239" s="74"/>
      <c r="T239" s="72"/>
      <c r="U239" s="38">
        <v>600</v>
      </c>
      <c r="V239" s="72">
        <f t="shared" si="78"/>
        <v>67452</v>
      </c>
      <c r="W239" s="69">
        <v>0.03</v>
      </c>
      <c r="X239" s="72">
        <f t="shared" si="70"/>
        <v>2023.56</v>
      </c>
      <c r="Y239" s="38" t="s">
        <v>6446</v>
      </c>
      <c r="Z239" s="70" t="s">
        <v>7185</v>
      </c>
      <c r="AA239" s="70" t="s">
        <v>7001</v>
      </c>
      <c r="AB239" s="70" t="s">
        <v>6733</v>
      </c>
      <c r="AC239" s="70" t="s">
        <v>6897</v>
      </c>
      <c r="AD239" s="70" t="s">
        <v>7182</v>
      </c>
      <c r="AE239" s="37" t="str">
        <f t="shared" si="62"/>
        <v>52</v>
      </c>
      <c r="AG239" s="75">
        <f t="shared" si="71"/>
        <v>463.59759600000001</v>
      </c>
      <c r="AH239" s="75">
        <f t="shared" si="72"/>
        <v>125.46071999999999</v>
      </c>
      <c r="AI239" s="75">
        <f t="shared" si="73"/>
        <v>29.341619999999999</v>
      </c>
      <c r="AJ239" s="75">
        <f t="shared" si="74"/>
        <v>24.889787999999999</v>
      </c>
      <c r="AK239" s="75">
        <f t="shared" si="75"/>
        <v>38.261472480000002</v>
      </c>
      <c r="AL239" s="72">
        <v>140.04</v>
      </c>
      <c r="AM239" s="23">
        <f t="shared" si="63"/>
        <v>4.2012</v>
      </c>
      <c r="AN239" s="71">
        <v>79.2</v>
      </c>
      <c r="AO239" s="22">
        <f t="shared" si="59"/>
        <v>2.3759999999999999</v>
      </c>
      <c r="AP239" s="72">
        <v>33444</v>
      </c>
      <c r="AQ239" s="23">
        <f t="shared" si="60"/>
        <v>34786.776599999997</v>
      </c>
      <c r="AR239" s="23">
        <f t="shared" si="64"/>
        <v>1043.603298</v>
      </c>
      <c r="AS239" s="23">
        <f t="shared" si="67"/>
        <v>1050.1804979999999</v>
      </c>
      <c r="AU239" s="20">
        <f t="shared" si="65"/>
        <v>0</v>
      </c>
      <c r="AV239" s="37">
        <f t="shared" si="61"/>
        <v>1731.73169448</v>
      </c>
      <c r="AW239" s="37">
        <f t="shared" si="68"/>
        <v>3755.2916944799999</v>
      </c>
      <c r="BA239" s="20" t="str">
        <f t="shared" si="66"/>
        <v>0.03 - PR_SPEC - Del Real, Abel</v>
      </c>
    </row>
    <row r="240" spans="1:53" ht="12.75" customHeight="1" x14ac:dyDescent="0.25">
      <c r="A240" s="20">
        <v>233</v>
      </c>
      <c r="B240" s="20" t="s">
        <v>7177</v>
      </c>
      <c r="C240" s="20" t="s">
        <v>7183</v>
      </c>
      <c r="D240" s="20" t="s">
        <v>7184</v>
      </c>
      <c r="E240" s="25">
        <v>1</v>
      </c>
      <c r="G240" s="35" t="s">
        <v>6799</v>
      </c>
      <c r="H240" s="20" t="s">
        <v>6741</v>
      </c>
      <c r="K240" s="23">
        <v>66852</v>
      </c>
      <c r="L240" s="23">
        <f t="shared" si="69"/>
        <v>66852</v>
      </c>
      <c r="O240" s="23"/>
      <c r="Q240" s="66">
        <v>0.05</v>
      </c>
      <c r="R240" s="23">
        <f>M240*Q240</f>
        <v>0</v>
      </c>
      <c r="U240" s="20">
        <v>600</v>
      </c>
      <c r="V240" s="23">
        <f t="shared" si="78"/>
        <v>67452</v>
      </c>
      <c r="W240" s="25">
        <v>0.97</v>
      </c>
      <c r="X240" s="23">
        <f t="shared" si="70"/>
        <v>65428.439999999995</v>
      </c>
      <c r="Y240" s="20" t="s">
        <v>665</v>
      </c>
      <c r="Z240" s="35" t="s">
        <v>6758</v>
      </c>
      <c r="AA240" s="35" t="s">
        <v>6861</v>
      </c>
      <c r="AB240" s="35" t="s">
        <v>6733</v>
      </c>
      <c r="AC240" s="35" t="s">
        <v>6862</v>
      </c>
      <c r="AD240" s="35" t="s">
        <v>7182</v>
      </c>
      <c r="AE240" s="37" t="str">
        <f t="shared" si="62"/>
        <v>52</v>
      </c>
      <c r="AG240" s="37">
        <f t="shared" si="71"/>
        <v>14989.655604</v>
      </c>
      <c r="AH240" s="37">
        <f t="shared" si="72"/>
        <v>4056.5632799999998</v>
      </c>
      <c r="AI240" s="37">
        <f t="shared" si="73"/>
        <v>948.71237999999994</v>
      </c>
      <c r="AJ240" s="37">
        <f t="shared" si="74"/>
        <v>804.769812</v>
      </c>
      <c r="AK240" s="37">
        <f t="shared" si="75"/>
        <v>1237.1209435200001</v>
      </c>
      <c r="AL240" s="23">
        <v>140.04</v>
      </c>
      <c r="AM240" s="23">
        <f t="shared" si="63"/>
        <v>135.83879999999999</v>
      </c>
      <c r="AN240" s="22">
        <v>79.2</v>
      </c>
      <c r="AO240" s="22">
        <f t="shared" si="59"/>
        <v>76.823999999999998</v>
      </c>
      <c r="AP240" s="23">
        <v>33444</v>
      </c>
      <c r="AQ240" s="23">
        <f t="shared" si="60"/>
        <v>34786.776599999997</v>
      </c>
      <c r="AR240" s="23">
        <f t="shared" si="64"/>
        <v>33743.173301999996</v>
      </c>
      <c r="AS240" s="23">
        <f t="shared" si="67"/>
        <v>33955.836101999994</v>
      </c>
      <c r="AU240" s="20">
        <f t="shared" si="65"/>
        <v>0</v>
      </c>
      <c r="AV240" s="37">
        <f t="shared" si="61"/>
        <v>55992.658121519999</v>
      </c>
      <c r="AW240" s="37">
        <f t="shared" si="68"/>
        <v>121421.09812151999</v>
      </c>
      <c r="BA240" s="20" t="str">
        <f t="shared" si="66"/>
        <v>0.97 - PR_SPEC - Del Real, Abel</v>
      </c>
    </row>
    <row r="241" spans="1:53" ht="12.75" customHeight="1" x14ac:dyDescent="0.25">
      <c r="A241" s="20">
        <v>234</v>
      </c>
      <c r="B241" s="20" t="s">
        <v>7177</v>
      </c>
      <c r="C241" s="20" t="s">
        <v>7186</v>
      </c>
      <c r="D241" s="20" t="s">
        <v>7187</v>
      </c>
      <c r="E241" s="25">
        <v>1</v>
      </c>
      <c r="G241" s="35" t="s">
        <v>6839</v>
      </c>
      <c r="H241" s="20" t="s">
        <v>6741</v>
      </c>
      <c r="K241" s="23">
        <v>71992</v>
      </c>
      <c r="L241" s="23">
        <f t="shared" si="69"/>
        <v>71992</v>
      </c>
      <c r="O241" s="23"/>
      <c r="Q241" s="20"/>
      <c r="R241" s="20"/>
      <c r="S241" s="23"/>
      <c r="U241" s="20">
        <v>600</v>
      </c>
      <c r="V241" s="23">
        <f t="shared" si="78"/>
        <v>72592</v>
      </c>
      <c r="W241" s="25">
        <v>1</v>
      </c>
      <c r="X241" s="23">
        <f t="shared" si="70"/>
        <v>72592</v>
      </c>
      <c r="Y241" s="20" t="s">
        <v>2977</v>
      </c>
      <c r="Z241" s="35" t="s">
        <v>6758</v>
      </c>
      <c r="AA241" s="35" t="s">
        <v>6752</v>
      </c>
      <c r="AB241" s="35" t="s">
        <v>6733</v>
      </c>
      <c r="AC241" s="35" t="s">
        <v>7188</v>
      </c>
      <c r="AD241" s="35" t="s">
        <v>7182</v>
      </c>
      <c r="AE241" s="37" t="str">
        <f t="shared" si="62"/>
        <v>52</v>
      </c>
      <c r="AG241" s="37">
        <f t="shared" si="71"/>
        <v>16630.8272</v>
      </c>
      <c r="AH241" s="37">
        <f t="shared" si="72"/>
        <v>4500.7039999999997</v>
      </c>
      <c r="AI241" s="37">
        <f t="shared" si="73"/>
        <v>1052.5840000000001</v>
      </c>
      <c r="AJ241" s="37">
        <f t="shared" si="74"/>
        <v>892.88160000000005</v>
      </c>
      <c r="AK241" s="37">
        <f t="shared" si="75"/>
        <v>1372.5695360000002</v>
      </c>
      <c r="AL241" s="23">
        <v>140.04</v>
      </c>
      <c r="AM241" s="23">
        <f t="shared" si="63"/>
        <v>140.04</v>
      </c>
      <c r="AN241" s="22">
        <v>79.2</v>
      </c>
      <c r="AO241" s="22">
        <f t="shared" si="59"/>
        <v>79.2</v>
      </c>
      <c r="AP241" s="23">
        <v>23232</v>
      </c>
      <c r="AQ241" s="23">
        <f t="shared" si="60"/>
        <v>24164.764800000001</v>
      </c>
      <c r="AR241" s="23">
        <f t="shared" si="64"/>
        <v>24164.764800000001</v>
      </c>
      <c r="AS241" s="23">
        <f t="shared" si="67"/>
        <v>24384.004800000002</v>
      </c>
      <c r="AT241" s="23">
        <v>2400</v>
      </c>
      <c r="AU241" s="20">
        <f t="shared" si="65"/>
        <v>2400</v>
      </c>
      <c r="AV241" s="37">
        <f t="shared" si="61"/>
        <v>51233.571135999999</v>
      </c>
      <c r="AW241" s="37">
        <f t="shared" si="68"/>
        <v>123825.571136</v>
      </c>
      <c r="BA241" s="20" t="str">
        <f t="shared" si="66"/>
        <v>1 - EXEC_ASST - Flores, Jacque</v>
      </c>
    </row>
    <row r="242" spans="1:53" ht="12.75" customHeight="1" x14ac:dyDescent="0.25">
      <c r="A242" s="20">
        <v>235</v>
      </c>
      <c r="B242" s="20" t="s">
        <v>7177</v>
      </c>
      <c r="C242" s="20" t="s">
        <v>7189</v>
      </c>
      <c r="D242" s="20" t="s">
        <v>7187</v>
      </c>
      <c r="E242" s="25">
        <v>1</v>
      </c>
      <c r="G242" s="35" t="s">
        <v>6839</v>
      </c>
      <c r="H242" s="20" t="s">
        <v>6741</v>
      </c>
      <c r="K242" s="23">
        <v>71992</v>
      </c>
      <c r="L242" s="23">
        <f t="shared" si="69"/>
        <v>71992</v>
      </c>
      <c r="O242" s="23"/>
      <c r="Q242" s="20"/>
      <c r="R242" s="20"/>
      <c r="S242" s="23"/>
      <c r="U242" s="20"/>
      <c r="V242" s="23">
        <f t="shared" si="78"/>
        <v>71992</v>
      </c>
      <c r="W242" s="25">
        <v>1</v>
      </c>
      <c r="X242" s="23">
        <f t="shared" si="70"/>
        <v>71992</v>
      </c>
      <c r="Y242" s="20" t="s">
        <v>1002</v>
      </c>
      <c r="Z242" s="35" t="s">
        <v>6758</v>
      </c>
      <c r="AA242" s="35" t="s">
        <v>6826</v>
      </c>
      <c r="AB242" s="35" t="s">
        <v>6733</v>
      </c>
      <c r="AC242" s="35" t="s">
        <v>6805</v>
      </c>
      <c r="AD242" s="35" t="s">
        <v>7182</v>
      </c>
      <c r="AE242" s="37" t="str">
        <f t="shared" si="62"/>
        <v>52</v>
      </c>
      <c r="AG242" s="37">
        <f t="shared" si="71"/>
        <v>16493.367200000001</v>
      </c>
      <c r="AH242" s="37">
        <f t="shared" si="72"/>
        <v>4463.5039999999999</v>
      </c>
      <c r="AI242" s="37">
        <f t="shared" si="73"/>
        <v>1043.884</v>
      </c>
      <c r="AJ242" s="37">
        <f t="shared" si="74"/>
        <v>885.50160000000005</v>
      </c>
      <c r="AK242" s="37">
        <f t="shared" si="75"/>
        <v>1361.2247360000001</v>
      </c>
      <c r="AL242" s="23">
        <v>140.04</v>
      </c>
      <c r="AM242" s="23">
        <f t="shared" si="63"/>
        <v>140.04</v>
      </c>
      <c r="AN242" s="22">
        <v>79.2</v>
      </c>
      <c r="AO242" s="22">
        <f t="shared" si="59"/>
        <v>79.2</v>
      </c>
      <c r="AP242" s="23">
        <v>13152</v>
      </c>
      <c r="AQ242" s="23">
        <f t="shared" si="60"/>
        <v>13680.052799999999</v>
      </c>
      <c r="AR242" s="23">
        <f t="shared" si="64"/>
        <v>13680.052799999999</v>
      </c>
      <c r="AS242" s="23">
        <f t="shared" si="67"/>
        <v>13899.292799999999</v>
      </c>
      <c r="AU242" s="20">
        <f t="shared" si="65"/>
        <v>0</v>
      </c>
      <c r="AV242" s="37">
        <f t="shared" si="61"/>
        <v>38146.774336000002</v>
      </c>
      <c r="AW242" s="37">
        <f t="shared" si="68"/>
        <v>110138.774336</v>
      </c>
      <c r="BA242" s="20" t="str">
        <f t="shared" si="66"/>
        <v xml:space="preserve">1 - EXEC_ASST - Hayashi, Dina </v>
      </c>
    </row>
    <row r="243" spans="1:53" s="39" customFormat="1" ht="12.75" customHeight="1" x14ac:dyDescent="0.25">
      <c r="A243" s="39">
        <v>236</v>
      </c>
      <c r="B243" s="39" t="s">
        <v>7177</v>
      </c>
      <c r="C243" s="39" t="s">
        <v>9964</v>
      </c>
      <c r="D243" s="39" t="s">
        <v>7187</v>
      </c>
      <c r="E243" s="41">
        <v>1</v>
      </c>
      <c r="F243" s="42">
        <v>44440</v>
      </c>
      <c r="G243" s="43" t="s">
        <v>6839</v>
      </c>
      <c r="H243" s="39" t="s">
        <v>6730</v>
      </c>
      <c r="I243" s="44">
        <f>5714*2</f>
        <v>11428</v>
      </c>
      <c r="J243" s="39" t="s">
        <v>6741</v>
      </c>
      <c r="K243" s="45">
        <f>5999*10</f>
        <v>59990</v>
      </c>
      <c r="L243" s="45">
        <f t="shared" si="69"/>
        <v>71418</v>
      </c>
      <c r="M243" s="45"/>
      <c r="N243" s="45"/>
      <c r="O243" s="45"/>
      <c r="P243" s="45"/>
      <c r="S243" s="45"/>
      <c r="T243" s="45"/>
      <c r="V243" s="45">
        <f t="shared" si="78"/>
        <v>71418</v>
      </c>
      <c r="W243" s="46">
        <v>1</v>
      </c>
      <c r="X243" s="45">
        <f t="shared" si="70"/>
        <v>71418</v>
      </c>
      <c r="Y243" s="39" t="s">
        <v>3246</v>
      </c>
      <c r="Z243" s="43" t="s">
        <v>6758</v>
      </c>
      <c r="AA243" s="43" t="s">
        <v>7180</v>
      </c>
      <c r="AB243" s="43" t="s">
        <v>6733</v>
      </c>
      <c r="AC243" s="43" t="s">
        <v>7181</v>
      </c>
      <c r="AD243" s="43" t="s">
        <v>7182</v>
      </c>
      <c r="AE243" s="49" t="str">
        <f t="shared" si="62"/>
        <v>52</v>
      </c>
      <c r="AG243" s="49">
        <f t="shared" si="71"/>
        <v>16361.863799999999</v>
      </c>
      <c r="AH243" s="49">
        <f t="shared" si="72"/>
        <v>4427.9160000000002</v>
      </c>
      <c r="AI243" s="49">
        <f t="shared" si="73"/>
        <v>1035.5610000000001</v>
      </c>
      <c r="AJ243" s="49">
        <f t="shared" si="74"/>
        <v>878.44140000000004</v>
      </c>
      <c r="AK243" s="49">
        <f t="shared" si="75"/>
        <v>1350.3715440000001</v>
      </c>
      <c r="AL243" s="45">
        <v>140.04</v>
      </c>
      <c r="AM243" s="45">
        <f t="shared" si="63"/>
        <v>140.04</v>
      </c>
      <c r="AN243" s="44">
        <v>79.2</v>
      </c>
      <c r="AO243" s="44">
        <f t="shared" si="59"/>
        <v>79.2</v>
      </c>
      <c r="AP243" s="45">
        <v>33444</v>
      </c>
      <c r="AQ243" s="45">
        <f t="shared" si="60"/>
        <v>34786.776599999997</v>
      </c>
      <c r="AR243" s="45">
        <f t="shared" si="64"/>
        <v>34786.776599999997</v>
      </c>
      <c r="AS243" s="45">
        <f t="shared" si="67"/>
        <v>35006.016599999995</v>
      </c>
      <c r="AU243" s="39">
        <f t="shared" si="65"/>
        <v>0</v>
      </c>
      <c r="AV243" s="49">
        <f t="shared" si="61"/>
        <v>59060.170343999998</v>
      </c>
      <c r="AW243" s="226">
        <f t="shared" si="68"/>
        <v>130478.170344</v>
      </c>
      <c r="BA243" s="39" t="str">
        <f t="shared" si="66"/>
        <v>1 - EXEC_ASST - VACANT (Lozada, Christabele)</v>
      </c>
    </row>
    <row r="244" spans="1:53" ht="12.75" customHeight="1" x14ac:dyDescent="0.25">
      <c r="A244" s="20">
        <v>237</v>
      </c>
      <c r="B244" s="20" t="s">
        <v>7177</v>
      </c>
      <c r="C244" s="20" t="s">
        <v>7190</v>
      </c>
      <c r="D244" s="20" t="s">
        <v>7187</v>
      </c>
      <c r="E244" s="25">
        <v>1</v>
      </c>
      <c r="F244" s="34"/>
      <c r="G244" s="35" t="s">
        <v>6839</v>
      </c>
      <c r="H244" s="20" t="s">
        <v>6741</v>
      </c>
      <c r="K244" s="23">
        <v>71992</v>
      </c>
      <c r="L244" s="23">
        <f t="shared" si="69"/>
        <v>71992</v>
      </c>
      <c r="O244" s="23"/>
      <c r="Q244" s="20"/>
      <c r="R244" s="20"/>
      <c r="S244" s="23"/>
      <c r="U244" s="20"/>
      <c r="V244" s="23">
        <f t="shared" si="78"/>
        <v>71992</v>
      </c>
      <c r="W244" s="25">
        <v>1</v>
      </c>
      <c r="X244" s="23">
        <f t="shared" si="70"/>
        <v>71992</v>
      </c>
      <c r="Y244" s="20" t="s">
        <v>665</v>
      </c>
      <c r="Z244" s="35" t="s">
        <v>6758</v>
      </c>
      <c r="AA244" s="35" t="s">
        <v>6861</v>
      </c>
      <c r="AB244" s="35" t="s">
        <v>6733</v>
      </c>
      <c r="AC244" s="35" t="s">
        <v>6862</v>
      </c>
      <c r="AD244" s="35" t="s">
        <v>7182</v>
      </c>
      <c r="AE244" s="37" t="str">
        <f t="shared" si="62"/>
        <v>52</v>
      </c>
      <c r="AG244" s="37">
        <f t="shared" si="71"/>
        <v>16493.367200000001</v>
      </c>
      <c r="AH244" s="37">
        <f t="shared" si="72"/>
        <v>4463.5039999999999</v>
      </c>
      <c r="AI244" s="37">
        <f t="shared" si="73"/>
        <v>1043.884</v>
      </c>
      <c r="AJ244" s="37">
        <f t="shared" si="74"/>
        <v>885.50160000000005</v>
      </c>
      <c r="AK244" s="37">
        <f t="shared" si="75"/>
        <v>1361.2247360000001</v>
      </c>
      <c r="AL244" s="23">
        <v>140.04</v>
      </c>
      <c r="AM244" s="23">
        <f t="shared" si="63"/>
        <v>140.04</v>
      </c>
      <c r="AN244" s="22">
        <v>79.2</v>
      </c>
      <c r="AO244" s="22">
        <f t="shared" si="59"/>
        <v>79.2</v>
      </c>
      <c r="AP244" s="23">
        <v>33444</v>
      </c>
      <c r="AQ244" s="23">
        <f t="shared" si="60"/>
        <v>34786.776599999997</v>
      </c>
      <c r="AR244" s="23">
        <f t="shared" si="64"/>
        <v>34786.776599999997</v>
      </c>
      <c r="AS244" s="23">
        <f t="shared" si="67"/>
        <v>35006.016599999995</v>
      </c>
      <c r="AU244" s="20">
        <f t="shared" si="65"/>
        <v>0</v>
      </c>
      <c r="AV244" s="37">
        <f t="shared" si="61"/>
        <v>59253.498135999995</v>
      </c>
      <c r="AW244" s="37">
        <f t="shared" si="68"/>
        <v>131245.49813600001</v>
      </c>
      <c r="BA244" s="20" t="str">
        <f t="shared" si="66"/>
        <v>1 - EXEC_ASST - Meldahl, Vanessa</v>
      </c>
    </row>
    <row r="245" spans="1:53" ht="12.75" customHeight="1" x14ac:dyDescent="0.25">
      <c r="A245" s="20">
        <v>238</v>
      </c>
      <c r="B245" s="20" t="s">
        <v>7177</v>
      </c>
      <c r="C245" s="20" t="s">
        <v>7191</v>
      </c>
      <c r="D245" s="20" t="s">
        <v>7179</v>
      </c>
      <c r="E245" s="25">
        <v>1</v>
      </c>
      <c r="G245" s="35" t="s">
        <v>6839</v>
      </c>
      <c r="H245" s="20" t="s">
        <v>6741</v>
      </c>
      <c r="K245" s="23">
        <v>71992</v>
      </c>
      <c r="L245" s="23">
        <f t="shared" si="69"/>
        <v>71992</v>
      </c>
      <c r="O245" s="23"/>
      <c r="Q245" s="76">
        <v>0.1</v>
      </c>
      <c r="R245" s="23">
        <f>M245*Q245/12*7</f>
        <v>0</v>
      </c>
      <c r="S245" s="77"/>
      <c r="T245" s="23">
        <f>M245*S245/12*5</f>
        <v>0</v>
      </c>
      <c r="U245" s="20">
        <v>1200</v>
      </c>
      <c r="V245" s="23">
        <f t="shared" si="78"/>
        <v>73192</v>
      </c>
      <c r="W245" s="25">
        <v>1</v>
      </c>
      <c r="X245" s="23">
        <f t="shared" si="70"/>
        <v>73192</v>
      </c>
      <c r="Y245" s="20" t="s">
        <v>3246</v>
      </c>
      <c r="Z245" s="35" t="s">
        <v>6758</v>
      </c>
      <c r="AA245" s="35" t="s">
        <v>7180</v>
      </c>
      <c r="AB245" s="35" t="s">
        <v>6733</v>
      </c>
      <c r="AC245" s="35" t="s">
        <v>7181</v>
      </c>
      <c r="AD245" s="35" t="s">
        <v>7182</v>
      </c>
      <c r="AE245" s="37" t="str">
        <f t="shared" si="62"/>
        <v>52</v>
      </c>
      <c r="AG245" s="37">
        <f t="shared" si="71"/>
        <v>16768.287199999999</v>
      </c>
      <c r="AH245" s="37">
        <f t="shared" si="72"/>
        <v>4537.9039999999995</v>
      </c>
      <c r="AI245" s="37">
        <f t="shared" si="73"/>
        <v>1061.2840000000001</v>
      </c>
      <c r="AJ245" s="37">
        <f t="shared" si="74"/>
        <v>900.26160000000004</v>
      </c>
      <c r="AK245" s="37">
        <f t="shared" si="75"/>
        <v>1383.914336</v>
      </c>
      <c r="AL245" s="23">
        <v>140.04</v>
      </c>
      <c r="AM245" s="23">
        <f t="shared" si="63"/>
        <v>140.04</v>
      </c>
      <c r="AN245" s="22">
        <v>79.2</v>
      </c>
      <c r="AO245" s="22">
        <f t="shared" si="59"/>
        <v>79.2</v>
      </c>
      <c r="AP245" s="23">
        <v>17424</v>
      </c>
      <c r="AQ245" s="23">
        <f t="shared" si="60"/>
        <v>18123.5736</v>
      </c>
      <c r="AR245" s="23">
        <f t="shared" si="64"/>
        <v>18123.5736</v>
      </c>
      <c r="AS245" s="23">
        <f t="shared" si="67"/>
        <v>18342.813600000001</v>
      </c>
      <c r="AT245" s="37">
        <v>2400</v>
      </c>
      <c r="AU245" s="20">
        <f t="shared" si="65"/>
        <v>2400</v>
      </c>
      <c r="AV245" s="37">
        <f t="shared" si="61"/>
        <v>45394.464736000002</v>
      </c>
      <c r="AW245" s="37">
        <f t="shared" si="68"/>
        <v>118586.46473599999</v>
      </c>
      <c r="BA245" s="20" t="str">
        <f t="shared" si="66"/>
        <v xml:space="preserve">1 - HR_SPEC - Raras, Louann </v>
      </c>
    </row>
    <row r="246" spans="1:53" ht="12.75" customHeight="1" x14ac:dyDescent="0.25">
      <c r="A246" s="20">
        <v>239</v>
      </c>
      <c r="B246" s="20" t="s">
        <v>7177</v>
      </c>
      <c r="C246" s="20" t="s">
        <v>7192</v>
      </c>
      <c r="D246" s="20" t="s">
        <v>7193</v>
      </c>
      <c r="E246" s="25">
        <v>1</v>
      </c>
      <c r="F246" s="34"/>
      <c r="G246" s="35" t="s">
        <v>6883</v>
      </c>
      <c r="H246" s="20" t="s">
        <v>6741</v>
      </c>
      <c r="K246" s="23">
        <v>87715</v>
      </c>
      <c r="L246" s="23">
        <f t="shared" si="69"/>
        <v>87715</v>
      </c>
      <c r="O246" s="23"/>
      <c r="Q246" s="20"/>
      <c r="R246" s="20"/>
      <c r="S246" s="23"/>
      <c r="U246" s="20">
        <v>1800</v>
      </c>
      <c r="V246" s="23">
        <f t="shared" si="78"/>
        <v>89515</v>
      </c>
      <c r="W246" s="25">
        <v>1</v>
      </c>
      <c r="X246" s="23">
        <f t="shared" si="70"/>
        <v>89515</v>
      </c>
      <c r="Y246" s="20" t="s">
        <v>3246</v>
      </c>
      <c r="Z246" s="35" t="s">
        <v>6758</v>
      </c>
      <c r="AA246" s="35" t="s">
        <v>7180</v>
      </c>
      <c r="AB246" s="35" t="s">
        <v>6733</v>
      </c>
      <c r="AC246" s="35" t="s">
        <v>7181</v>
      </c>
      <c r="AD246" s="35" t="s">
        <v>7182</v>
      </c>
      <c r="AE246" s="37" t="str">
        <f t="shared" si="62"/>
        <v>52</v>
      </c>
      <c r="AG246" s="37">
        <f t="shared" si="71"/>
        <v>20507.886500000001</v>
      </c>
      <c r="AH246" s="37">
        <f t="shared" si="72"/>
        <v>5549.93</v>
      </c>
      <c r="AI246" s="37">
        <f t="shared" si="73"/>
        <v>1297.9675</v>
      </c>
      <c r="AJ246" s="37">
        <f t="shared" si="74"/>
        <v>1101.0345</v>
      </c>
      <c r="AK246" s="37">
        <f t="shared" si="75"/>
        <v>1692.54962</v>
      </c>
      <c r="AL246" s="23">
        <v>140.04</v>
      </c>
      <c r="AM246" s="23">
        <f t="shared" si="63"/>
        <v>140.04</v>
      </c>
      <c r="AN246" s="22">
        <v>79.2</v>
      </c>
      <c r="AO246" s="22">
        <f t="shared" si="59"/>
        <v>79.2</v>
      </c>
      <c r="AP246" s="23">
        <v>25452.6</v>
      </c>
      <c r="AQ246" s="23">
        <f t="shared" si="60"/>
        <v>26474.521889999996</v>
      </c>
      <c r="AR246" s="23">
        <f t="shared" si="64"/>
        <v>26474.521889999996</v>
      </c>
      <c r="AS246" s="23">
        <f t="shared" si="67"/>
        <v>26693.761889999998</v>
      </c>
      <c r="AU246" s="20">
        <f t="shared" si="65"/>
        <v>0</v>
      </c>
      <c r="AV246" s="37">
        <f t="shared" si="61"/>
        <v>56843.130010000001</v>
      </c>
      <c r="AW246" s="37">
        <f t="shared" si="68"/>
        <v>146358.13000999999</v>
      </c>
      <c r="BA246" s="20" t="str">
        <f t="shared" si="66"/>
        <v>1 - HR_ANALY - Rowe, Erica C</v>
      </c>
    </row>
    <row r="247" spans="1:53" ht="12.75" customHeight="1" x14ac:dyDescent="0.25">
      <c r="A247" s="20">
        <v>240</v>
      </c>
      <c r="B247" s="20" t="s">
        <v>7177</v>
      </c>
      <c r="C247" s="20" t="s">
        <v>7194</v>
      </c>
      <c r="D247" s="20" t="s">
        <v>7195</v>
      </c>
      <c r="E247" s="25">
        <v>1</v>
      </c>
      <c r="G247" s="35" t="s">
        <v>7196</v>
      </c>
      <c r="H247" s="20" t="s">
        <v>6741</v>
      </c>
      <c r="K247" s="23">
        <v>89907</v>
      </c>
      <c r="L247" s="23">
        <f t="shared" si="69"/>
        <v>89907</v>
      </c>
      <c r="O247" s="23"/>
      <c r="Q247" s="66">
        <v>0.05</v>
      </c>
      <c r="R247" s="23">
        <f>M247*Q247</f>
        <v>0</v>
      </c>
      <c r="U247" s="20"/>
      <c r="V247" s="23">
        <f t="shared" si="78"/>
        <v>89907</v>
      </c>
      <c r="W247" s="25">
        <v>0.4</v>
      </c>
      <c r="X247" s="23">
        <f t="shared" si="70"/>
        <v>35962.800000000003</v>
      </c>
      <c r="Y247" s="20" t="s">
        <v>60</v>
      </c>
      <c r="Z247" s="35" t="s">
        <v>6758</v>
      </c>
      <c r="AA247" s="35" t="s">
        <v>6954</v>
      </c>
      <c r="AB247" s="35" t="s">
        <v>6733</v>
      </c>
      <c r="AC247" s="35" t="s">
        <v>7197</v>
      </c>
      <c r="AD247" s="35" t="s">
        <v>7182</v>
      </c>
      <c r="AE247" s="37" t="str">
        <f t="shared" si="62"/>
        <v>52</v>
      </c>
      <c r="AG247" s="37">
        <f t="shared" si="71"/>
        <v>8239.0774799999999</v>
      </c>
      <c r="AH247" s="37">
        <f t="shared" si="72"/>
        <v>2229.6936000000001</v>
      </c>
      <c r="AI247" s="37">
        <f t="shared" si="73"/>
        <v>521.46060000000011</v>
      </c>
      <c r="AJ247" s="37">
        <f t="shared" si="74"/>
        <v>442.34244000000007</v>
      </c>
      <c r="AK247" s="37">
        <f t="shared" si="75"/>
        <v>679.98462240000015</v>
      </c>
      <c r="AL247" s="23">
        <v>140.04</v>
      </c>
      <c r="AM247" s="23">
        <f t="shared" si="63"/>
        <v>56.015999999999998</v>
      </c>
      <c r="AN247" s="22">
        <v>79.2</v>
      </c>
      <c r="AO247" s="22">
        <f t="shared" si="59"/>
        <v>31.680000000000003</v>
      </c>
      <c r="AP247" s="23">
        <v>33444</v>
      </c>
      <c r="AQ247" s="23">
        <f t="shared" si="60"/>
        <v>34786.776599999997</v>
      </c>
      <c r="AR247" s="23">
        <f t="shared" si="64"/>
        <v>13914.710639999999</v>
      </c>
      <c r="AS247" s="23">
        <f t="shared" si="67"/>
        <v>14002.406639999999</v>
      </c>
      <c r="AU247" s="20">
        <f t="shared" si="65"/>
        <v>0</v>
      </c>
      <c r="AV247" s="37">
        <f t="shared" si="61"/>
        <v>26114.965382399998</v>
      </c>
      <c r="AW247" s="37">
        <f t="shared" si="68"/>
        <v>62077.765382400001</v>
      </c>
      <c r="BA247" s="20" t="str">
        <f t="shared" si="66"/>
        <v>0.4 - SR_EX_ASST - Serrano, Lucille</v>
      </c>
    </row>
    <row r="248" spans="1:53" ht="12.75" customHeight="1" x14ac:dyDescent="0.25">
      <c r="A248" s="20">
        <v>241</v>
      </c>
      <c r="B248" s="20" t="s">
        <v>7177</v>
      </c>
      <c r="C248" s="20" t="s">
        <v>7194</v>
      </c>
      <c r="D248" s="20" t="s">
        <v>7195</v>
      </c>
      <c r="E248" s="25">
        <v>1</v>
      </c>
      <c r="G248" s="35" t="s">
        <v>7196</v>
      </c>
      <c r="H248" s="20" t="s">
        <v>6741</v>
      </c>
      <c r="K248" s="23">
        <v>89907</v>
      </c>
      <c r="L248" s="23">
        <f t="shared" si="69"/>
        <v>89907</v>
      </c>
      <c r="O248" s="23"/>
      <c r="Q248" s="66">
        <v>0.05</v>
      </c>
      <c r="R248" s="23">
        <f>M248*Q248</f>
        <v>0</v>
      </c>
      <c r="U248" s="20"/>
      <c r="V248" s="23">
        <f t="shared" si="78"/>
        <v>89907</v>
      </c>
      <c r="W248" s="25">
        <v>0.3</v>
      </c>
      <c r="X248" s="23">
        <f t="shared" si="70"/>
        <v>26972.1</v>
      </c>
      <c r="Y248" s="20" t="s">
        <v>146</v>
      </c>
      <c r="Z248" s="35" t="s">
        <v>6758</v>
      </c>
      <c r="AA248" s="35" t="s">
        <v>6954</v>
      </c>
      <c r="AB248" s="35" t="s">
        <v>6733</v>
      </c>
      <c r="AC248" s="35" t="s">
        <v>7198</v>
      </c>
      <c r="AD248" s="35" t="s">
        <v>7182</v>
      </c>
      <c r="AE248" s="37" t="str">
        <f t="shared" si="62"/>
        <v>52</v>
      </c>
      <c r="AG248" s="37">
        <f t="shared" si="71"/>
        <v>6179.3081099999999</v>
      </c>
      <c r="AH248" s="37">
        <f t="shared" si="72"/>
        <v>1672.2701999999999</v>
      </c>
      <c r="AI248" s="37">
        <f t="shared" si="73"/>
        <v>391.09544999999997</v>
      </c>
      <c r="AJ248" s="37">
        <f t="shared" si="74"/>
        <v>331.75682999999998</v>
      </c>
      <c r="AK248" s="37">
        <f t="shared" si="75"/>
        <v>509.98846680000003</v>
      </c>
      <c r="AL248" s="23">
        <v>140.04</v>
      </c>
      <c r="AM248" s="23">
        <f t="shared" si="63"/>
        <v>42.011999999999993</v>
      </c>
      <c r="AN248" s="22">
        <v>79.2</v>
      </c>
      <c r="AO248" s="22">
        <f t="shared" si="59"/>
        <v>23.76</v>
      </c>
      <c r="AP248" s="23">
        <v>33444</v>
      </c>
      <c r="AQ248" s="23">
        <f t="shared" si="60"/>
        <v>34786.776599999997</v>
      </c>
      <c r="AR248" s="23">
        <f t="shared" si="64"/>
        <v>10436.032979999998</v>
      </c>
      <c r="AS248" s="23">
        <f t="shared" si="67"/>
        <v>10501.804979999999</v>
      </c>
      <c r="AU248" s="20">
        <f t="shared" si="65"/>
        <v>0</v>
      </c>
      <c r="AV248" s="37">
        <f t="shared" si="61"/>
        <v>19586.224036799998</v>
      </c>
      <c r="AW248" s="37">
        <f t="shared" si="68"/>
        <v>46558.324036799997</v>
      </c>
      <c r="BA248" s="20" t="str">
        <f t="shared" si="66"/>
        <v>0.3 - SR_EX_ASST - Serrano, Lucille</v>
      </c>
    </row>
    <row r="249" spans="1:53" ht="12.75" customHeight="1" x14ac:dyDescent="0.25">
      <c r="A249" s="20">
        <v>242</v>
      </c>
      <c r="B249" s="20" t="s">
        <v>7177</v>
      </c>
      <c r="C249" s="20" t="s">
        <v>7194</v>
      </c>
      <c r="D249" s="20" t="s">
        <v>7195</v>
      </c>
      <c r="E249" s="25">
        <v>1</v>
      </c>
      <c r="G249" s="35" t="s">
        <v>7196</v>
      </c>
      <c r="H249" s="20" t="s">
        <v>6741</v>
      </c>
      <c r="K249" s="23">
        <v>89907</v>
      </c>
      <c r="L249" s="23">
        <f t="shared" si="69"/>
        <v>89907</v>
      </c>
      <c r="O249" s="23"/>
      <c r="Q249" s="66">
        <v>0.05</v>
      </c>
      <c r="R249" s="23">
        <f>M249*Q249</f>
        <v>0</v>
      </c>
      <c r="U249" s="20"/>
      <c r="V249" s="23">
        <f t="shared" si="78"/>
        <v>89907</v>
      </c>
      <c r="W249" s="25">
        <v>0.3</v>
      </c>
      <c r="X249" s="23">
        <f t="shared" si="70"/>
        <v>26972.1</v>
      </c>
      <c r="Y249" s="20" t="s">
        <v>562</v>
      </c>
      <c r="Z249" s="35" t="s">
        <v>6758</v>
      </c>
      <c r="AA249" s="35" t="s">
        <v>7199</v>
      </c>
      <c r="AB249" s="35" t="s">
        <v>6733</v>
      </c>
      <c r="AC249" s="35" t="s">
        <v>7200</v>
      </c>
      <c r="AD249" s="35" t="s">
        <v>7182</v>
      </c>
      <c r="AE249" s="37" t="str">
        <f t="shared" si="62"/>
        <v>52</v>
      </c>
      <c r="AG249" s="37">
        <f t="shared" si="71"/>
        <v>6179.3081099999999</v>
      </c>
      <c r="AH249" s="37">
        <f t="shared" si="72"/>
        <v>1672.2701999999999</v>
      </c>
      <c r="AI249" s="37">
        <f t="shared" si="73"/>
        <v>391.09544999999997</v>
      </c>
      <c r="AJ249" s="37">
        <f t="shared" si="74"/>
        <v>331.75682999999998</v>
      </c>
      <c r="AK249" s="37">
        <f t="shared" si="75"/>
        <v>509.98846680000003</v>
      </c>
      <c r="AL249" s="23">
        <v>140.04</v>
      </c>
      <c r="AM249" s="23">
        <f t="shared" si="63"/>
        <v>42.011999999999993</v>
      </c>
      <c r="AN249" s="22">
        <v>79.2</v>
      </c>
      <c r="AO249" s="22">
        <f t="shared" si="59"/>
        <v>23.76</v>
      </c>
      <c r="AP249" s="23">
        <v>33444</v>
      </c>
      <c r="AQ249" s="23">
        <f t="shared" si="60"/>
        <v>34786.776599999997</v>
      </c>
      <c r="AR249" s="23">
        <f t="shared" si="64"/>
        <v>10436.032979999998</v>
      </c>
      <c r="AS249" s="23">
        <f t="shared" si="67"/>
        <v>10501.804979999999</v>
      </c>
      <c r="AU249" s="20">
        <f t="shared" si="65"/>
        <v>0</v>
      </c>
      <c r="AV249" s="37">
        <f t="shared" si="61"/>
        <v>19586.224036799998</v>
      </c>
      <c r="AW249" s="37">
        <f t="shared" si="68"/>
        <v>46558.324036799997</v>
      </c>
      <c r="BA249" s="20" t="str">
        <f t="shared" si="66"/>
        <v>0.3 - SR_EX_ASST - Serrano, Lucille</v>
      </c>
    </row>
    <row r="250" spans="1:53" ht="12.75" customHeight="1" x14ac:dyDescent="0.25">
      <c r="A250" s="20">
        <v>243</v>
      </c>
      <c r="B250" s="20" t="s">
        <v>7177</v>
      </c>
      <c r="C250" s="20" t="s">
        <v>7201</v>
      </c>
      <c r="D250" s="20" t="s">
        <v>7179</v>
      </c>
      <c r="E250" s="25">
        <v>1</v>
      </c>
      <c r="G250" s="35" t="s">
        <v>6839</v>
      </c>
      <c r="H250" s="20" t="s">
        <v>6741</v>
      </c>
      <c r="K250" s="23">
        <v>71992</v>
      </c>
      <c r="L250" s="23">
        <f t="shared" si="69"/>
        <v>71992</v>
      </c>
      <c r="O250" s="23"/>
      <c r="Q250" s="66">
        <v>0.05</v>
      </c>
      <c r="R250" s="23">
        <f>M250*Q250</f>
        <v>0</v>
      </c>
      <c r="U250" s="20">
        <v>600</v>
      </c>
      <c r="V250" s="23">
        <f t="shared" si="78"/>
        <v>72592</v>
      </c>
      <c r="W250" s="25">
        <v>1</v>
      </c>
      <c r="X250" s="23">
        <f t="shared" si="70"/>
        <v>72592</v>
      </c>
      <c r="Y250" s="20" t="s">
        <v>3246</v>
      </c>
      <c r="Z250" s="35" t="s">
        <v>6758</v>
      </c>
      <c r="AA250" s="35" t="s">
        <v>7180</v>
      </c>
      <c r="AB250" s="35" t="s">
        <v>6733</v>
      </c>
      <c r="AC250" s="35" t="s">
        <v>7181</v>
      </c>
      <c r="AD250" s="35" t="s">
        <v>7182</v>
      </c>
      <c r="AE250" s="37" t="str">
        <f t="shared" si="62"/>
        <v>52</v>
      </c>
      <c r="AG250" s="37">
        <f t="shared" si="71"/>
        <v>16630.8272</v>
      </c>
      <c r="AH250" s="37">
        <f t="shared" si="72"/>
        <v>4500.7039999999997</v>
      </c>
      <c r="AI250" s="37">
        <f t="shared" si="73"/>
        <v>1052.5840000000001</v>
      </c>
      <c r="AJ250" s="37">
        <f t="shared" si="74"/>
        <v>892.88160000000005</v>
      </c>
      <c r="AK250" s="37">
        <f t="shared" si="75"/>
        <v>1372.5695360000002</v>
      </c>
      <c r="AL250" s="23">
        <v>140.04</v>
      </c>
      <c r="AM250" s="23">
        <f t="shared" si="63"/>
        <v>140.04</v>
      </c>
      <c r="AN250" s="22">
        <v>79.2</v>
      </c>
      <c r="AO250" s="22">
        <f t="shared" si="59"/>
        <v>79.2</v>
      </c>
      <c r="AP250" s="23">
        <v>23232</v>
      </c>
      <c r="AQ250" s="23">
        <f t="shared" si="60"/>
        <v>24164.764800000001</v>
      </c>
      <c r="AR250" s="23">
        <f t="shared" si="64"/>
        <v>24164.764800000001</v>
      </c>
      <c r="AS250" s="23">
        <f t="shared" si="67"/>
        <v>24384.004800000002</v>
      </c>
      <c r="AT250" s="37">
        <v>2400</v>
      </c>
      <c r="AU250" s="20">
        <f t="shared" si="65"/>
        <v>2400</v>
      </c>
      <c r="AV250" s="37">
        <f t="shared" si="61"/>
        <v>51233.571135999999</v>
      </c>
      <c r="AW250" s="37">
        <f t="shared" si="68"/>
        <v>123825.571136</v>
      </c>
      <c r="BA250" s="20" t="str">
        <f t="shared" si="66"/>
        <v>1 - HR_SPEC - Torres-Zuniga, Nora</v>
      </c>
    </row>
    <row r="251" spans="1:53" ht="12.75" customHeight="1" x14ac:dyDescent="0.25">
      <c r="A251" s="20">
        <v>244</v>
      </c>
      <c r="B251" s="20" t="s">
        <v>7177</v>
      </c>
      <c r="C251" s="20" t="s">
        <v>7202</v>
      </c>
      <c r="D251" s="20" t="s">
        <v>7187</v>
      </c>
      <c r="E251" s="25">
        <v>1</v>
      </c>
      <c r="G251" s="35" t="s">
        <v>6839</v>
      </c>
      <c r="H251" s="20" t="s">
        <v>6741</v>
      </c>
      <c r="K251" s="23">
        <v>71992</v>
      </c>
      <c r="L251" s="23">
        <f t="shared" si="69"/>
        <v>71992</v>
      </c>
      <c r="O251" s="23"/>
      <c r="Q251" s="20"/>
      <c r="R251" s="20"/>
      <c r="S251" s="23"/>
      <c r="U251" s="20">
        <v>600</v>
      </c>
      <c r="V251" s="23">
        <f t="shared" si="78"/>
        <v>72592</v>
      </c>
      <c r="W251" s="25">
        <v>1</v>
      </c>
      <c r="X251" s="23">
        <f t="shared" si="70"/>
        <v>72592</v>
      </c>
      <c r="Y251" s="20" t="s">
        <v>562</v>
      </c>
      <c r="Z251" s="35" t="s">
        <v>6758</v>
      </c>
      <c r="AA251" s="35" t="s">
        <v>7199</v>
      </c>
      <c r="AB251" s="35" t="s">
        <v>6733</v>
      </c>
      <c r="AC251" s="35" t="s">
        <v>7200</v>
      </c>
      <c r="AD251" s="35" t="s">
        <v>7182</v>
      </c>
      <c r="AE251" s="37" t="str">
        <f t="shared" si="62"/>
        <v>52</v>
      </c>
      <c r="AG251" s="37">
        <f t="shared" si="71"/>
        <v>16630.8272</v>
      </c>
      <c r="AH251" s="37">
        <f t="shared" si="72"/>
        <v>4500.7039999999997</v>
      </c>
      <c r="AI251" s="37">
        <f t="shared" si="73"/>
        <v>1052.5840000000001</v>
      </c>
      <c r="AJ251" s="37">
        <f t="shared" si="74"/>
        <v>892.88160000000005</v>
      </c>
      <c r="AK251" s="37">
        <f t="shared" si="75"/>
        <v>1372.5695360000002</v>
      </c>
      <c r="AL251" s="23">
        <v>140.04</v>
      </c>
      <c r="AM251" s="23">
        <f t="shared" si="63"/>
        <v>140.04</v>
      </c>
      <c r="AN251" s="22">
        <v>79.2</v>
      </c>
      <c r="AO251" s="22">
        <f t="shared" si="59"/>
        <v>79.2</v>
      </c>
      <c r="AP251" s="23">
        <v>33444</v>
      </c>
      <c r="AQ251" s="23">
        <f t="shared" si="60"/>
        <v>34786.776599999997</v>
      </c>
      <c r="AR251" s="23">
        <f t="shared" si="64"/>
        <v>34786.776599999997</v>
      </c>
      <c r="AS251" s="23">
        <f t="shared" si="67"/>
        <v>35006.016599999995</v>
      </c>
      <c r="AU251" s="20">
        <f t="shared" si="65"/>
        <v>0</v>
      </c>
      <c r="AV251" s="37">
        <f t="shared" si="61"/>
        <v>59455.582935999992</v>
      </c>
      <c r="AW251" s="37">
        <f t="shared" si="68"/>
        <v>132047.58293599999</v>
      </c>
      <c r="BA251" s="20" t="str">
        <f t="shared" si="66"/>
        <v xml:space="preserve">1 - EXEC_ASST - Ugale, Teresa </v>
      </c>
    </row>
    <row r="252" spans="1:53" ht="12.75" customHeight="1" x14ac:dyDescent="0.25">
      <c r="A252" s="20">
        <v>245</v>
      </c>
      <c r="B252" s="20" t="s">
        <v>7177</v>
      </c>
      <c r="C252" s="20" t="s">
        <v>7203</v>
      </c>
      <c r="D252" s="20" t="s">
        <v>7204</v>
      </c>
      <c r="E252" s="25">
        <v>1</v>
      </c>
      <c r="G252" s="35" t="s">
        <v>6799</v>
      </c>
      <c r="H252" s="20" t="s">
        <v>6741</v>
      </c>
      <c r="K252" s="23">
        <v>66852</v>
      </c>
      <c r="L252" s="23">
        <f t="shared" si="69"/>
        <v>66852</v>
      </c>
      <c r="O252" s="23"/>
      <c r="Q252" s="20"/>
      <c r="R252" s="20"/>
      <c r="S252" s="23"/>
      <c r="U252" s="20">
        <v>600</v>
      </c>
      <c r="V252" s="23">
        <f t="shared" si="78"/>
        <v>67452</v>
      </c>
      <c r="W252" s="25">
        <v>0.4</v>
      </c>
      <c r="X252" s="23">
        <f t="shared" si="70"/>
        <v>26980.800000000003</v>
      </c>
      <c r="Y252" s="20" t="s">
        <v>60</v>
      </c>
      <c r="Z252" s="35" t="s">
        <v>6758</v>
      </c>
      <c r="AA252" s="35" t="s">
        <v>6954</v>
      </c>
      <c r="AB252" s="35" t="s">
        <v>6733</v>
      </c>
      <c r="AC252" s="35" t="s">
        <v>7197</v>
      </c>
      <c r="AD252" s="35" t="s">
        <v>7182</v>
      </c>
      <c r="AE252" s="37" t="str">
        <f t="shared" si="62"/>
        <v>52</v>
      </c>
      <c r="AG252" s="37">
        <f t="shared" si="71"/>
        <v>6181.3012800000006</v>
      </c>
      <c r="AH252" s="37">
        <f t="shared" si="72"/>
        <v>1672.8096000000003</v>
      </c>
      <c r="AI252" s="37">
        <f t="shared" si="73"/>
        <v>391.22160000000008</v>
      </c>
      <c r="AJ252" s="37">
        <f t="shared" si="74"/>
        <v>331.86384000000004</v>
      </c>
      <c r="AK252" s="37">
        <f t="shared" si="75"/>
        <v>510.15296640000008</v>
      </c>
      <c r="AL252" s="23">
        <v>140.04</v>
      </c>
      <c r="AM252" s="23">
        <f t="shared" si="63"/>
        <v>56.015999999999998</v>
      </c>
      <c r="AN252" s="22">
        <v>79.2</v>
      </c>
      <c r="AO252" s="22">
        <f t="shared" si="59"/>
        <v>31.680000000000003</v>
      </c>
      <c r="AP252" s="23">
        <v>23232</v>
      </c>
      <c r="AQ252" s="23">
        <f t="shared" si="60"/>
        <v>24164.764800000001</v>
      </c>
      <c r="AR252" s="23">
        <f t="shared" si="64"/>
        <v>9665.9059200000011</v>
      </c>
      <c r="AS252" s="23">
        <f t="shared" si="67"/>
        <v>9753.601920000001</v>
      </c>
      <c r="AT252" s="37">
        <v>2400</v>
      </c>
      <c r="AU252" s="20">
        <f t="shared" si="65"/>
        <v>960</v>
      </c>
      <c r="AV252" s="37">
        <f t="shared" si="61"/>
        <v>19800.951206400001</v>
      </c>
      <c r="AW252" s="37">
        <f t="shared" si="68"/>
        <v>46781.751206400004</v>
      </c>
      <c r="BA252" s="20" t="str">
        <f t="shared" si="66"/>
        <v>0.4 - ADM_ASST - Zavala, Cristina</v>
      </c>
    </row>
    <row r="253" spans="1:53" ht="12.75" customHeight="1" x14ac:dyDescent="0.25">
      <c r="A253" s="20">
        <v>246</v>
      </c>
      <c r="B253" s="20" t="s">
        <v>7177</v>
      </c>
      <c r="C253" s="20" t="s">
        <v>7203</v>
      </c>
      <c r="D253" s="20" t="s">
        <v>7204</v>
      </c>
      <c r="E253" s="25">
        <v>1</v>
      </c>
      <c r="G253" s="35" t="s">
        <v>6799</v>
      </c>
      <c r="H253" s="20" t="s">
        <v>6741</v>
      </c>
      <c r="K253" s="23">
        <v>66852</v>
      </c>
      <c r="L253" s="23">
        <f t="shared" si="69"/>
        <v>66852</v>
      </c>
      <c r="O253" s="23"/>
      <c r="Q253" s="20"/>
      <c r="R253" s="20"/>
      <c r="S253" s="23"/>
      <c r="U253" s="20">
        <v>600</v>
      </c>
      <c r="V253" s="23">
        <f t="shared" si="78"/>
        <v>67452</v>
      </c>
      <c r="W253" s="25">
        <v>0.3</v>
      </c>
      <c r="X253" s="23">
        <f t="shared" si="70"/>
        <v>20235.599999999999</v>
      </c>
      <c r="Y253" s="20" t="s">
        <v>146</v>
      </c>
      <c r="Z253" s="35" t="s">
        <v>6758</v>
      </c>
      <c r="AA253" s="35" t="s">
        <v>6954</v>
      </c>
      <c r="AB253" s="35" t="s">
        <v>6733</v>
      </c>
      <c r="AC253" s="35" t="s">
        <v>7198</v>
      </c>
      <c r="AD253" s="35" t="s">
        <v>7182</v>
      </c>
      <c r="AE253" s="37" t="str">
        <f t="shared" si="62"/>
        <v>52</v>
      </c>
      <c r="AG253" s="37">
        <f t="shared" si="71"/>
        <v>4635.9759599999998</v>
      </c>
      <c r="AH253" s="37">
        <f t="shared" si="72"/>
        <v>1254.6071999999999</v>
      </c>
      <c r="AI253" s="37">
        <f t="shared" si="73"/>
        <v>293.4162</v>
      </c>
      <c r="AJ253" s="37">
        <f t="shared" si="74"/>
        <v>248.89787999999999</v>
      </c>
      <c r="AK253" s="37">
        <f t="shared" si="75"/>
        <v>382.61472479999998</v>
      </c>
      <c r="AL253" s="23">
        <v>140.04</v>
      </c>
      <c r="AM253" s="23">
        <f t="shared" si="63"/>
        <v>42.011999999999993</v>
      </c>
      <c r="AN253" s="22">
        <v>79.2</v>
      </c>
      <c r="AO253" s="22">
        <f t="shared" si="59"/>
        <v>23.76</v>
      </c>
      <c r="AP253" s="23">
        <v>23232</v>
      </c>
      <c r="AQ253" s="23">
        <f t="shared" si="60"/>
        <v>24164.764800000001</v>
      </c>
      <c r="AR253" s="23">
        <f t="shared" si="64"/>
        <v>7249.4294399999999</v>
      </c>
      <c r="AS253" s="23">
        <f t="shared" si="67"/>
        <v>7315.2014399999998</v>
      </c>
      <c r="AT253" s="37">
        <v>2400</v>
      </c>
      <c r="AU253" s="20">
        <f t="shared" si="65"/>
        <v>720</v>
      </c>
      <c r="AV253" s="37">
        <f t="shared" si="61"/>
        <v>14850.713404800001</v>
      </c>
      <c r="AW253" s="37">
        <f t="shared" si="68"/>
        <v>35086.313404799999</v>
      </c>
      <c r="BA253" s="20" t="str">
        <f t="shared" si="66"/>
        <v>0.3 - ADM_ASST - Zavala, Cristina</v>
      </c>
    </row>
    <row r="254" spans="1:53" ht="12.75" customHeight="1" x14ac:dyDescent="0.25">
      <c r="A254" s="20">
        <v>247</v>
      </c>
      <c r="B254" s="20" t="s">
        <v>7177</v>
      </c>
      <c r="C254" s="20" t="s">
        <v>7203</v>
      </c>
      <c r="D254" s="20" t="s">
        <v>7204</v>
      </c>
      <c r="E254" s="25">
        <v>1</v>
      </c>
      <c r="G254" s="35" t="s">
        <v>6799</v>
      </c>
      <c r="H254" s="20" t="s">
        <v>6741</v>
      </c>
      <c r="K254" s="23">
        <v>66852</v>
      </c>
      <c r="L254" s="23">
        <f t="shared" si="69"/>
        <v>66852</v>
      </c>
      <c r="O254" s="23"/>
      <c r="Q254" s="20"/>
      <c r="R254" s="20"/>
      <c r="S254" s="23"/>
      <c r="U254" s="20">
        <v>600</v>
      </c>
      <c r="V254" s="23">
        <f t="shared" si="78"/>
        <v>67452</v>
      </c>
      <c r="W254" s="25">
        <v>0.3</v>
      </c>
      <c r="X254" s="23">
        <f t="shared" si="70"/>
        <v>20235.599999999999</v>
      </c>
      <c r="Y254" s="20" t="s">
        <v>172</v>
      </c>
      <c r="Z254" s="35" t="s">
        <v>6758</v>
      </c>
      <c r="AA254" s="35" t="s">
        <v>6954</v>
      </c>
      <c r="AB254" s="35" t="s">
        <v>6733</v>
      </c>
      <c r="AC254" s="35" t="s">
        <v>7205</v>
      </c>
      <c r="AD254" s="35" t="s">
        <v>7182</v>
      </c>
      <c r="AE254" s="37" t="str">
        <f t="shared" si="62"/>
        <v>52</v>
      </c>
      <c r="AG254" s="37">
        <f t="shared" si="71"/>
        <v>4635.9759599999998</v>
      </c>
      <c r="AH254" s="37">
        <f t="shared" si="72"/>
        <v>1254.6071999999999</v>
      </c>
      <c r="AI254" s="37">
        <f t="shared" si="73"/>
        <v>293.4162</v>
      </c>
      <c r="AJ254" s="37">
        <f t="shared" si="74"/>
        <v>248.89787999999999</v>
      </c>
      <c r="AK254" s="37">
        <f t="shared" si="75"/>
        <v>382.61472479999998</v>
      </c>
      <c r="AL254" s="23">
        <v>140.04</v>
      </c>
      <c r="AM254" s="23">
        <f t="shared" si="63"/>
        <v>42.011999999999993</v>
      </c>
      <c r="AN254" s="22">
        <v>79.2</v>
      </c>
      <c r="AO254" s="22">
        <f t="shared" si="59"/>
        <v>23.76</v>
      </c>
      <c r="AP254" s="23">
        <v>23232</v>
      </c>
      <c r="AQ254" s="23">
        <f t="shared" si="60"/>
        <v>24164.764800000001</v>
      </c>
      <c r="AR254" s="23">
        <f t="shared" si="64"/>
        <v>7249.4294399999999</v>
      </c>
      <c r="AS254" s="23">
        <f t="shared" si="67"/>
        <v>7315.2014399999998</v>
      </c>
      <c r="AT254" s="37">
        <v>2400</v>
      </c>
      <c r="AU254" s="20">
        <f t="shared" si="65"/>
        <v>720</v>
      </c>
      <c r="AV254" s="37">
        <f t="shared" si="61"/>
        <v>14850.713404800001</v>
      </c>
      <c r="AW254" s="37">
        <f t="shared" si="68"/>
        <v>35086.313404799999</v>
      </c>
      <c r="BA254" s="20" t="str">
        <f t="shared" si="66"/>
        <v>0.3 - ADM_ASST - Zavala, Cristina</v>
      </c>
    </row>
    <row r="255" spans="1:53" ht="12.75" hidden="1" customHeight="1" x14ac:dyDescent="0.25">
      <c r="A255" s="20">
        <v>248</v>
      </c>
      <c r="B255" s="78" t="s">
        <v>7206</v>
      </c>
      <c r="C255" s="20" t="s">
        <v>7207</v>
      </c>
      <c r="D255" s="20" t="s">
        <v>7208</v>
      </c>
      <c r="E255" s="25">
        <v>1</v>
      </c>
      <c r="F255" s="34">
        <v>44470</v>
      </c>
      <c r="G255" s="35" t="s">
        <v>7209</v>
      </c>
      <c r="H255" s="20" t="s">
        <v>6730</v>
      </c>
      <c r="I255" s="22">
        <f>5701*3</f>
        <v>17103</v>
      </c>
      <c r="J255" s="20" t="s">
        <v>6741</v>
      </c>
      <c r="K255" s="23">
        <f>5989*9</f>
        <v>53901</v>
      </c>
      <c r="L255" s="23">
        <f t="shared" si="69"/>
        <v>71004</v>
      </c>
      <c r="V255" s="23">
        <f t="shared" si="78"/>
        <v>71004</v>
      </c>
      <c r="W255" s="25">
        <v>1</v>
      </c>
      <c r="X255" s="23">
        <f t="shared" si="70"/>
        <v>71004</v>
      </c>
      <c r="Y255" s="20" t="s">
        <v>3591</v>
      </c>
      <c r="Z255" s="35" t="s">
        <v>6731</v>
      </c>
      <c r="AA255" s="35" t="s">
        <v>7001</v>
      </c>
      <c r="AB255" s="35" t="s">
        <v>6733</v>
      </c>
      <c r="AC255" s="35" t="s">
        <v>7002</v>
      </c>
      <c r="AD255" s="35" t="s">
        <v>7210</v>
      </c>
      <c r="AE255" s="37" t="str">
        <f t="shared" si="62"/>
        <v>52</v>
      </c>
      <c r="AG255" s="37">
        <f t="shared" si="71"/>
        <v>16267.0164</v>
      </c>
      <c r="AH255" s="37">
        <f t="shared" si="72"/>
        <v>4402.2479999999996</v>
      </c>
      <c r="AI255" s="37">
        <f t="shared" si="73"/>
        <v>1029.558</v>
      </c>
      <c r="AJ255" s="37">
        <f t="shared" si="74"/>
        <v>873.3492</v>
      </c>
      <c r="AK255" s="37">
        <f t="shared" si="75"/>
        <v>1342.5436320000001</v>
      </c>
      <c r="AL255" s="23">
        <v>140.04</v>
      </c>
      <c r="AM255" s="23">
        <f t="shared" si="63"/>
        <v>140.04</v>
      </c>
      <c r="AN255" s="22">
        <v>79.2</v>
      </c>
      <c r="AO255" s="22">
        <f t="shared" si="59"/>
        <v>79.2</v>
      </c>
      <c r="AP255" s="23">
        <v>23232</v>
      </c>
      <c r="AQ255" s="23">
        <f t="shared" si="60"/>
        <v>24164.764800000001</v>
      </c>
      <c r="AR255" s="23">
        <f t="shared" si="64"/>
        <v>24164.764800000001</v>
      </c>
      <c r="AS255" s="23">
        <f t="shared" si="67"/>
        <v>24384.004800000002</v>
      </c>
      <c r="AT255" s="37">
        <v>2400</v>
      </c>
      <c r="AU255" s="20">
        <f t="shared" si="65"/>
        <v>2400</v>
      </c>
      <c r="AV255" s="37">
        <f t="shared" si="61"/>
        <v>50698.720032000005</v>
      </c>
      <c r="AW255" s="37">
        <f t="shared" si="68"/>
        <v>121702.72003200001</v>
      </c>
      <c r="AX255" s="20" t="s">
        <v>7003</v>
      </c>
      <c r="AY255" s="20" t="s">
        <v>6671</v>
      </c>
      <c r="AZ255" s="20" t="s">
        <v>7004</v>
      </c>
      <c r="BA255" s="20" t="str">
        <f t="shared" si="66"/>
        <v>1 - FS_SUPV - Miller, Lea F</v>
      </c>
    </row>
    <row r="256" spans="1:53" ht="12.75" customHeight="1" x14ac:dyDescent="0.25">
      <c r="A256" s="20">
        <v>249</v>
      </c>
      <c r="B256" s="78" t="s">
        <v>7206</v>
      </c>
      <c r="C256" s="20" t="s">
        <v>7211</v>
      </c>
      <c r="D256" s="20" t="s">
        <v>7212</v>
      </c>
      <c r="E256" s="25">
        <v>1</v>
      </c>
      <c r="F256" s="34">
        <v>44470</v>
      </c>
      <c r="G256" s="35" t="s">
        <v>7209</v>
      </c>
      <c r="H256" s="20" t="s">
        <v>6730</v>
      </c>
      <c r="I256" s="22">
        <f>5701*3</f>
        <v>17103</v>
      </c>
      <c r="J256" s="20" t="s">
        <v>6741</v>
      </c>
      <c r="K256" s="23">
        <f>5989*9</f>
        <v>53901</v>
      </c>
      <c r="L256" s="23">
        <f t="shared" si="69"/>
        <v>71004</v>
      </c>
      <c r="V256" s="23">
        <f t="shared" si="78"/>
        <v>71004</v>
      </c>
      <c r="W256" s="25">
        <v>0.75</v>
      </c>
      <c r="X256" s="23">
        <f t="shared" si="70"/>
        <v>53253</v>
      </c>
      <c r="Y256" s="20" t="s">
        <v>852</v>
      </c>
      <c r="Z256" s="35" t="s">
        <v>6758</v>
      </c>
      <c r="AA256" s="35" t="s">
        <v>6964</v>
      </c>
      <c r="AB256" s="35" t="s">
        <v>6733</v>
      </c>
      <c r="AC256" s="35" t="s">
        <v>7129</v>
      </c>
      <c r="AD256" s="35" t="s">
        <v>7210</v>
      </c>
      <c r="AE256" s="37" t="str">
        <f t="shared" si="62"/>
        <v>52</v>
      </c>
      <c r="AG256" s="37">
        <f t="shared" si="71"/>
        <v>12200.2623</v>
      </c>
      <c r="AH256" s="37">
        <f t="shared" si="72"/>
        <v>3301.6860000000001</v>
      </c>
      <c r="AI256" s="37">
        <f t="shared" si="73"/>
        <v>772.16849999999999</v>
      </c>
      <c r="AJ256" s="37">
        <f t="shared" si="74"/>
        <v>655.01189999999997</v>
      </c>
      <c r="AK256" s="37">
        <f t="shared" si="75"/>
        <v>1006.907724</v>
      </c>
      <c r="AL256" s="23">
        <v>140.04</v>
      </c>
      <c r="AM256" s="23">
        <f t="shared" si="63"/>
        <v>105.03</v>
      </c>
      <c r="AN256" s="22">
        <v>79.2</v>
      </c>
      <c r="AO256" s="22">
        <f t="shared" si="59"/>
        <v>59.400000000000006</v>
      </c>
      <c r="AP256" s="23">
        <v>17424</v>
      </c>
      <c r="AQ256" s="23">
        <f t="shared" si="60"/>
        <v>18123.5736</v>
      </c>
      <c r="AR256" s="23">
        <f t="shared" si="64"/>
        <v>13592.680199999999</v>
      </c>
      <c r="AS256" s="23">
        <f t="shared" si="67"/>
        <v>13757.110199999999</v>
      </c>
      <c r="AT256" s="37">
        <v>2400</v>
      </c>
      <c r="AU256" s="20">
        <f t="shared" si="65"/>
        <v>1800</v>
      </c>
      <c r="AV256" s="37">
        <f t="shared" si="61"/>
        <v>33493.146624000001</v>
      </c>
      <c r="AW256" s="37">
        <f t="shared" si="68"/>
        <v>86746.146624000001</v>
      </c>
      <c r="BA256" s="20" t="str">
        <f t="shared" si="66"/>
        <v>0.75 - CUST_SPR - Munoz, George</v>
      </c>
    </row>
    <row r="257" spans="1:53" ht="12.75" customHeight="1" x14ac:dyDescent="0.25">
      <c r="A257" s="20">
        <v>250</v>
      </c>
      <c r="B257" s="78" t="s">
        <v>7206</v>
      </c>
      <c r="C257" s="20" t="s">
        <v>7211</v>
      </c>
      <c r="D257" s="20" t="s">
        <v>7212</v>
      </c>
      <c r="E257" s="25">
        <v>1</v>
      </c>
      <c r="F257" s="34">
        <v>44470</v>
      </c>
      <c r="G257" s="35" t="s">
        <v>7209</v>
      </c>
      <c r="H257" s="20" t="s">
        <v>6730</v>
      </c>
      <c r="I257" s="22">
        <f>5701*3</f>
        <v>17103</v>
      </c>
      <c r="J257" s="20" t="s">
        <v>6741</v>
      </c>
      <c r="K257" s="23">
        <f>5989*9</f>
        <v>53901</v>
      </c>
      <c r="L257" s="23">
        <f t="shared" si="69"/>
        <v>71004</v>
      </c>
      <c r="V257" s="23">
        <f t="shared" si="78"/>
        <v>71004</v>
      </c>
      <c r="W257" s="25">
        <v>0.25</v>
      </c>
      <c r="X257" s="23">
        <f t="shared" si="70"/>
        <v>17751</v>
      </c>
      <c r="Y257" s="20" t="s">
        <v>970</v>
      </c>
      <c r="Z257" s="35" t="s">
        <v>6758</v>
      </c>
      <c r="AA257" s="35" t="s">
        <v>6964</v>
      </c>
      <c r="AB257" s="35" t="s">
        <v>6733</v>
      </c>
      <c r="AC257" s="35" t="s">
        <v>6979</v>
      </c>
      <c r="AD257" s="35" t="s">
        <v>7210</v>
      </c>
      <c r="AE257" s="37" t="str">
        <f t="shared" si="62"/>
        <v>52</v>
      </c>
      <c r="AG257" s="37">
        <f t="shared" si="71"/>
        <v>4066.7541000000001</v>
      </c>
      <c r="AH257" s="37">
        <f t="shared" si="72"/>
        <v>1100.5619999999999</v>
      </c>
      <c r="AI257" s="37">
        <f t="shared" si="73"/>
        <v>257.3895</v>
      </c>
      <c r="AJ257" s="37">
        <f t="shared" si="74"/>
        <v>218.3373</v>
      </c>
      <c r="AK257" s="37">
        <f t="shared" si="75"/>
        <v>335.63590800000003</v>
      </c>
      <c r="AL257" s="23">
        <v>140.04</v>
      </c>
      <c r="AM257" s="23">
        <f t="shared" si="63"/>
        <v>35.01</v>
      </c>
      <c r="AN257" s="22">
        <v>79.2</v>
      </c>
      <c r="AO257" s="22">
        <f t="shared" si="59"/>
        <v>19.8</v>
      </c>
      <c r="AP257" s="23">
        <v>17424</v>
      </c>
      <c r="AQ257" s="23">
        <f t="shared" si="60"/>
        <v>18123.5736</v>
      </c>
      <c r="AR257" s="23">
        <f t="shared" si="64"/>
        <v>4530.8933999999999</v>
      </c>
      <c r="AS257" s="23">
        <f t="shared" si="67"/>
        <v>4585.7034000000003</v>
      </c>
      <c r="AT257" s="37">
        <v>2400</v>
      </c>
      <c r="AU257" s="20">
        <f t="shared" si="65"/>
        <v>600</v>
      </c>
      <c r="AV257" s="37">
        <f t="shared" si="61"/>
        <v>11164.382208000001</v>
      </c>
      <c r="AW257" s="37">
        <f t="shared" si="68"/>
        <v>28915.382208000003</v>
      </c>
      <c r="BA257" s="20" t="str">
        <f t="shared" si="66"/>
        <v>0.25 - CUST_SPR - Munoz, George</v>
      </c>
    </row>
    <row r="258" spans="1:53" ht="12.75" hidden="1" customHeight="1" x14ac:dyDescent="0.25">
      <c r="A258" s="20">
        <v>251</v>
      </c>
      <c r="B258" s="78" t="s">
        <v>7206</v>
      </c>
      <c r="C258" s="20" t="s">
        <v>7213</v>
      </c>
      <c r="D258" s="20" t="s">
        <v>7208</v>
      </c>
      <c r="E258" s="25">
        <v>0.65</v>
      </c>
      <c r="F258" s="34">
        <v>44470</v>
      </c>
      <c r="G258" s="35" t="s">
        <v>7209</v>
      </c>
      <c r="H258" s="20" t="s">
        <v>6783</v>
      </c>
      <c r="I258" s="22">
        <f>5177*3*E258</f>
        <v>10095.15</v>
      </c>
      <c r="J258" s="20" t="s">
        <v>6729</v>
      </c>
      <c r="K258" s="23">
        <f>5429*9*E258</f>
        <v>31759.65</v>
      </c>
      <c r="L258" s="23">
        <f t="shared" si="69"/>
        <v>41854.800000000003</v>
      </c>
      <c r="V258" s="23">
        <f t="shared" si="78"/>
        <v>41854.800000000003</v>
      </c>
      <c r="W258" s="25">
        <v>1</v>
      </c>
      <c r="X258" s="23">
        <f t="shared" si="70"/>
        <v>41854.800000000003</v>
      </c>
      <c r="Y258" s="20" t="s">
        <v>3591</v>
      </c>
      <c r="Z258" s="35" t="s">
        <v>6731</v>
      </c>
      <c r="AA258" s="35" t="s">
        <v>7001</v>
      </c>
      <c r="AB258" s="35" t="s">
        <v>6733</v>
      </c>
      <c r="AC258" s="35" t="s">
        <v>7002</v>
      </c>
      <c r="AD258" s="35" t="s">
        <v>7210</v>
      </c>
      <c r="AE258" s="37" t="str">
        <f t="shared" si="62"/>
        <v>52</v>
      </c>
      <c r="AG258" s="37">
        <f t="shared" si="71"/>
        <v>9588.9346800000003</v>
      </c>
      <c r="AH258" s="37">
        <f t="shared" si="72"/>
        <v>2594.9976000000001</v>
      </c>
      <c r="AI258" s="37">
        <f t="shared" si="73"/>
        <v>606.89460000000008</v>
      </c>
      <c r="AJ258" s="37">
        <f t="shared" si="74"/>
        <v>514.81404000000009</v>
      </c>
      <c r="AK258" s="37">
        <f t="shared" si="75"/>
        <v>791.39055840000015</v>
      </c>
      <c r="AL258" s="23">
        <v>140.04</v>
      </c>
      <c r="AM258" s="23">
        <f t="shared" si="63"/>
        <v>140.04</v>
      </c>
      <c r="AO258" s="22">
        <f t="shared" ref="AO258:AO321" si="79">AN258*W258</f>
        <v>0</v>
      </c>
      <c r="AP258" s="23">
        <v>0</v>
      </c>
      <c r="AQ258" s="23">
        <f t="shared" ref="AQ258:AQ321" si="80">AP258/2+(((AP258/2)*$AQ$1)+AP258/2)</f>
        <v>0</v>
      </c>
      <c r="AR258" s="23">
        <f t="shared" si="64"/>
        <v>0</v>
      </c>
      <c r="AS258" s="23">
        <f t="shared" si="67"/>
        <v>140.04</v>
      </c>
      <c r="AU258" s="20">
        <f t="shared" si="65"/>
        <v>0</v>
      </c>
      <c r="AV258" s="37">
        <f t="shared" ref="AV258:AV321" si="81">+AF258+AG258+AH258+AI258+AJ258+AK258+AM258+AO258+AR258+AU258</f>
        <v>14237.071478400001</v>
      </c>
      <c r="AW258" s="37">
        <f t="shared" si="68"/>
        <v>56091.871478400004</v>
      </c>
      <c r="AX258" s="20" t="s">
        <v>7003</v>
      </c>
      <c r="AY258" s="20" t="s">
        <v>6671</v>
      </c>
      <c r="AZ258" s="20" t="s">
        <v>7004</v>
      </c>
      <c r="BA258" s="20" t="str">
        <f t="shared" si="66"/>
        <v>1 - FS_SUPV - Rinsamout, Sabrina</v>
      </c>
    </row>
    <row r="259" spans="1:53" s="38" customFormat="1" ht="12.75" hidden="1" customHeight="1" x14ac:dyDescent="0.25">
      <c r="A259" s="38">
        <v>252</v>
      </c>
      <c r="B259" s="79" t="s">
        <v>7206</v>
      </c>
      <c r="C259" s="38" t="s">
        <v>7214</v>
      </c>
      <c r="D259" s="38" t="s">
        <v>7215</v>
      </c>
      <c r="E259" s="69">
        <v>1</v>
      </c>
      <c r="G259" s="70" t="s">
        <v>7143</v>
      </c>
      <c r="H259" s="38" t="s">
        <v>6741</v>
      </c>
      <c r="I259" s="71"/>
      <c r="K259" s="72">
        <v>98809</v>
      </c>
      <c r="L259" s="72">
        <f t="shared" si="69"/>
        <v>98809</v>
      </c>
      <c r="M259" s="72"/>
      <c r="N259" s="72"/>
      <c r="O259" s="69"/>
      <c r="P259" s="72"/>
      <c r="Q259" s="74"/>
      <c r="R259" s="72"/>
      <c r="S259" s="74"/>
      <c r="T259" s="72"/>
      <c r="U259" s="72"/>
      <c r="V259" s="72">
        <f t="shared" si="78"/>
        <v>98809</v>
      </c>
      <c r="W259" s="69">
        <v>0.03</v>
      </c>
      <c r="X259" s="72">
        <f t="shared" si="70"/>
        <v>2964.27</v>
      </c>
      <c r="Y259" s="38" t="s">
        <v>6444</v>
      </c>
      <c r="Z259" s="70" t="s">
        <v>7185</v>
      </c>
      <c r="AA259" s="70" t="s">
        <v>7001</v>
      </c>
      <c r="AB259" s="70" t="s">
        <v>6733</v>
      </c>
      <c r="AC259" s="70" t="s">
        <v>6897</v>
      </c>
      <c r="AD259" s="70" t="s">
        <v>7210</v>
      </c>
      <c r="AE259" s="37" t="str">
        <f t="shared" ref="AE259:AE322" si="82">LEFT(AD259,2)</f>
        <v>52</v>
      </c>
      <c r="AG259" s="75">
        <f t="shared" si="71"/>
        <v>679.11425699999995</v>
      </c>
      <c r="AH259" s="75">
        <f t="shared" si="72"/>
        <v>183.78474</v>
      </c>
      <c r="AI259" s="75">
        <f t="shared" si="73"/>
        <v>42.981915000000001</v>
      </c>
      <c r="AJ259" s="75">
        <f t="shared" si="74"/>
        <v>36.460521</v>
      </c>
      <c r="AK259" s="75">
        <f t="shared" si="75"/>
        <v>56.048417160000007</v>
      </c>
      <c r="AL259" s="72">
        <v>140.04</v>
      </c>
      <c r="AM259" s="23">
        <f t="shared" ref="AM259:AM322" si="83">AL259*W259</f>
        <v>4.2012</v>
      </c>
      <c r="AN259" s="71">
        <v>79.2</v>
      </c>
      <c r="AO259" s="22">
        <f t="shared" si="79"/>
        <v>2.3759999999999999</v>
      </c>
      <c r="AP259" s="72">
        <v>23232</v>
      </c>
      <c r="AQ259" s="23">
        <f t="shared" si="80"/>
        <v>24164.764800000001</v>
      </c>
      <c r="AR259" s="23">
        <f t="shared" ref="AR259:AR322" si="84">AQ259*W259</f>
        <v>724.94294400000001</v>
      </c>
      <c r="AS259" s="23">
        <f t="shared" si="67"/>
        <v>731.52014399999996</v>
      </c>
      <c r="AT259" s="75">
        <v>2400</v>
      </c>
      <c r="AU259" s="20">
        <f t="shared" ref="AU259:AU322" si="85">AT259*W259</f>
        <v>72</v>
      </c>
      <c r="AV259" s="37">
        <f t="shared" si="81"/>
        <v>1801.9099941599998</v>
      </c>
      <c r="AW259" s="37">
        <f t="shared" si="68"/>
        <v>4766.1799941600002</v>
      </c>
      <c r="BA259" s="20" t="str">
        <f t="shared" si="66"/>
        <v xml:space="preserve">0.03 - PYRL_SUP - Sanchez, Dora </v>
      </c>
    </row>
    <row r="260" spans="1:53" ht="12.75" customHeight="1" x14ac:dyDescent="0.25">
      <c r="A260" s="20">
        <v>253</v>
      </c>
      <c r="B260" s="78" t="s">
        <v>7206</v>
      </c>
      <c r="C260" s="20" t="s">
        <v>7214</v>
      </c>
      <c r="D260" s="20" t="s">
        <v>7215</v>
      </c>
      <c r="E260" s="25">
        <v>1</v>
      </c>
      <c r="G260" s="35" t="s">
        <v>7143</v>
      </c>
      <c r="H260" s="20" t="s">
        <v>6741</v>
      </c>
      <c r="K260" s="23">
        <v>98809</v>
      </c>
      <c r="L260" s="23">
        <f t="shared" si="69"/>
        <v>98809</v>
      </c>
      <c r="V260" s="23">
        <f t="shared" si="78"/>
        <v>98809</v>
      </c>
      <c r="W260" s="25">
        <v>0.97</v>
      </c>
      <c r="X260" s="23">
        <f t="shared" si="70"/>
        <v>95844.73</v>
      </c>
      <c r="Y260" s="20" t="s">
        <v>663</v>
      </c>
      <c r="Z260" s="35" t="s">
        <v>6758</v>
      </c>
      <c r="AA260" s="35" t="s">
        <v>6861</v>
      </c>
      <c r="AB260" s="35" t="s">
        <v>6733</v>
      </c>
      <c r="AC260" s="35" t="s">
        <v>6862</v>
      </c>
      <c r="AD260" s="35" t="s">
        <v>7210</v>
      </c>
      <c r="AE260" s="37" t="str">
        <f t="shared" si="82"/>
        <v>52</v>
      </c>
      <c r="AG260" s="37">
        <f t="shared" si="71"/>
        <v>21958.027642999998</v>
      </c>
      <c r="AH260" s="37">
        <f t="shared" si="72"/>
        <v>5942.3732599999994</v>
      </c>
      <c r="AI260" s="37">
        <f t="shared" si="73"/>
        <v>1389.748585</v>
      </c>
      <c r="AJ260" s="37">
        <f t="shared" si="74"/>
        <v>1178.890179</v>
      </c>
      <c r="AK260" s="37">
        <f t="shared" si="75"/>
        <v>1812.23215484</v>
      </c>
      <c r="AL260" s="23">
        <v>140.04</v>
      </c>
      <c r="AM260" s="23">
        <f t="shared" si="83"/>
        <v>135.83879999999999</v>
      </c>
      <c r="AN260" s="22">
        <v>79.2</v>
      </c>
      <c r="AO260" s="22">
        <f t="shared" si="79"/>
        <v>76.823999999999998</v>
      </c>
      <c r="AP260" s="23">
        <v>23232</v>
      </c>
      <c r="AQ260" s="23">
        <f t="shared" si="80"/>
        <v>24164.764800000001</v>
      </c>
      <c r="AR260" s="23">
        <f t="shared" si="84"/>
        <v>23439.821855999999</v>
      </c>
      <c r="AS260" s="23">
        <f t="shared" si="67"/>
        <v>23652.484655999997</v>
      </c>
      <c r="AT260" s="37">
        <v>2400</v>
      </c>
      <c r="AU260" s="20">
        <f t="shared" si="85"/>
        <v>2328</v>
      </c>
      <c r="AV260" s="37">
        <f t="shared" si="81"/>
        <v>58261.756477839997</v>
      </c>
      <c r="AW260" s="37">
        <f t="shared" si="68"/>
        <v>154106.48647783999</v>
      </c>
      <c r="BA260" s="20" t="str">
        <f t="shared" si="66"/>
        <v xml:space="preserve">0.97 - PYRL_SUP - Sanchez, Dora </v>
      </c>
    </row>
    <row r="261" spans="1:53" ht="12.75" hidden="1" customHeight="1" x14ac:dyDescent="0.25">
      <c r="A261" s="20">
        <v>254</v>
      </c>
      <c r="B261" s="35" t="s">
        <v>7216</v>
      </c>
      <c r="C261" s="20" t="s">
        <v>7217</v>
      </c>
      <c r="D261" s="20" t="s">
        <v>7218</v>
      </c>
      <c r="E261" s="25">
        <v>1</v>
      </c>
      <c r="F261" s="34"/>
      <c r="G261" s="35">
        <v>9</v>
      </c>
      <c r="H261" s="35" t="s">
        <v>6741</v>
      </c>
      <c r="J261" s="35"/>
      <c r="K261" s="23">
        <v>112132</v>
      </c>
      <c r="L261" s="23">
        <f t="shared" si="69"/>
        <v>112132</v>
      </c>
      <c r="U261" s="80"/>
      <c r="V261" s="23">
        <f t="shared" si="78"/>
        <v>112132</v>
      </c>
      <c r="W261" s="25">
        <v>0.8</v>
      </c>
      <c r="X261" s="23">
        <f t="shared" si="70"/>
        <v>89705.600000000006</v>
      </c>
      <c r="Y261" s="20" t="s">
        <v>6148</v>
      </c>
      <c r="Z261" s="35" t="s">
        <v>6896</v>
      </c>
      <c r="AA261" s="35" t="s">
        <v>6826</v>
      </c>
      <c r="AB261" s="35" t="s">
        <v>6733</v>
      </c>
      <c r="AC261" s="35" t="s">
        <v>6897</v>
      </c>
      <c r="AD261" s="35" t="s">
        <v>7219</v>
      </c>
      <c r="AE261" s="37" t="str">
        <f t="shared" si="82"/>
        <v>51</v>
      </c>
      <c r="AF261" s="37">
        <f>X261*$AF$1</f>
        <v>15178.187519999999</v>
      </c>
      <c r="AI261" s="37">
        <f t="shared" si="73"/>
        <v>1300.7312000000002</v>
      </c>
      <c r="AJ261" s="37">
        <f t="shared" si="74"/>
        <v>1103.37888</v>
      </c>
      <c r="AK261" s="37">
        <f t="shared" si="75"/>
        <v>1696.1534848000001</v>
      </c>
      <c r="AL261" s="23">
        <v>140.04</v>
      </c>
      <c r="AM261" s="23">
        <f t="shared" si="83"/>
        <v>112.032</v>
      </c>
      <c r="AN261" s="22">
        <v>79.2</v>
      </c>
      <c r="AO261" s="22">
        <f t="shared" si="79"/>
        <v>63.360000000000007</v>
      </c>
      <c r="AP261" s="23">
        <v>13152</v>
      </c>
      <c r="AQ261" s="23">
        <f t="shared" si="80"/>
        <v>13680.052799999999</v>
      </c>
      <c r="AR261" s="23">
        <f t="shared" si="84"/>
        <v>10944.042240000001</v>
      </c>
      <c r="AS261" s="23">
        <f t="shared" si="67"/>
        <v>11119.434240000001</v>
      </c>
      <c r="AU261" s="20">
        <f t="shared" si="85"/>
        <v>0</v>
      </c>
      <c r="AV261" s="37">
        <f t="shared" si="81"/>
        <v>30397.885324800001</v>
      </c>
      <c r="AW261" s="37">
        <f t="shared" si="68"/>
        <v>120103.48532480001</v>
      </c>
      <c r="BA261" s="20" t="str">
        <f t="shared" ref="BA261:BA324" si="86">CONCATENATE(W261," - ",D261," - ",C261)</f>
        <v xml:space="preserve">0.8 - DIR_ECE - Adamson, Anne </v>
      </c>
    </row>
    <row r="262" spans="1:53" ht="12.75" customHeight="1" x14ac:dyDescent="0.25">
      <c r="A262" s="20">
        <v>255</v>
      </c>
      <c r="B262" s="35" t="s">
        <v>7216</v>
      </c>
      <c r="C262" s="20" t="s">
        <v>7217</v>
      </c>
      <c r="D262" s="20" t="s">
        <v>7218</v>
      </c>
      <c r="E262" s="25">
        <v>1</v>
      </c>
      <c r="F262" s="34"/>
      <c r="G262" s="35">
        <v>9</v>
      </c>
      <c r="H262" s="35" t="s">
        <v>6741</v>
      </c>
      <c r="J262" s="35"/>
      <c r="K262" s="23">
        <v>112132</v>
      </c>
      <c r="L262" s="23">
        <f t="shared" si="69"/>
        <v>112132</v>
      </c>
      <c r="U262" s="80"/>
      <c r="V262" s="23">
        <f t="shared" si="78"/>
        <v>112132</v>
      </c>
      <c r="W262" s="25">
        <v>0.2</v>
      </c>
      <c r="X262" s="23">
        <f t="shared" si="70"/>
        <v>22426.400000000001</v>
      </c>
      <c r="Y262" s="20" t="s">
        <v>2197</v>
      </c>
      <c r="Z262" s="35" t="s">
        <v>6758</v>
      </c>
      <c r="AA262" s="35" t="s">
        <v>6742</v>
      </c>
      <c r="AB262" s="35" t="s">
        <v>6733</v>
      </c>
      <c r="AC262" s="35" t="s">
        <v>6805</v>
      </c>
      <c r="AD262" s="35" t="s">
        <v>7219</v>
      </c>
      <c r="AE262" s="37" t="str">
        <f t="shared" si="82"/>
        <v>51</v>
      </c>
      <c r="AF262" s="37">
        <f>X262*$AF$1</f>
        <v>3794.5468799999999</v>
      </c>
      <c r="AI262" s="37">
        <f t="shared" si="73"/>
        <v>325.18280000000004</v>
      </c>
      <c r="AJ262" s="37">
        <f t="shared" si="74"/>
        <v>275.84472</v>
      </c>
      <c r="AK262" s="37">
        <f t="shared" si="75"/>
        <v>424.03837120000003</v>
      </c>
      <c r="AL262" s="23">
        <v>140.04</v>
      </c>
      <c r="AM262" s="23">
        <f t="shared" si="83"/>
        <v>28.007999999999999</v>
      </c>
      <c r="AN262" s="22">
        <v>79.2</v>
      </c>
      <c r="AO262" s="22">
        <f t="shared" si="79"/>
        <v>15.840000000000002</v>
      </c>
      <c r="AP262" s="23">
        <v>13152</v>
      </c>
      <c r="AQ262" s="23">
        <f t="shared" si="80"/>
        <v>13680.052799999999</v>
      </c>
      <c r="AR262" s="23">
        <f t="shared" si="84"/>
        <v>2736.0105600000002</v>
      </c>
      <c r="AS262" s="23">
        <f t="shared" ref="AS262:AS325" si="87">+AM262+AO262+AR262</f>
        <v>2779.8585600000001</v>
      </c>
      <c r="AU262" s="20">
        <f t="shared" si="85"/>
        <v>0</v>
      </c>
      <c r="AV262" s="37">
        <f t="shared" si="81"/>
        <v>7599.4713312000003</v>
      </c>
      <c r="AW262" s="37">
        <f t="shared" ref="AW262:AW325" si="88">+X262+AV262</f>
        <v>30025.871331200004</v>
      </c>
      <c r="BA262" s="20" t="str">
        <f t="shared" si="86"/>
        <v xml:space="preserve">0.2 - DIR_ECE - Adamson, Anne </v>
      </c>
    </row>
    <row r="263" spans="1:53" ht="12.75" hidden="1" customHeight="1" x14ac:dyDescent="0.25">
      <c r="A263" s="20">
        <v>256</v>
      </c>
      <c r="B263" s="35" t="s">
        <v>7216</v>
      </c>
      <c r="C263" s="20" t="s">
        <v>7220</v>
      </c>
      <c r="D263" s="20" t="s">
        <v>7221</v>
      </c>
      <c r="E263" s="25">
        <v>1</v>
      </c>
      <c r="G263" s="35">
        <v>6</v>
      </c>
      <c r="H263" s="35" t="s">
        <v>6741</v>
      </c>
      <c r="J263" s="35"/>
      <c r="K263" s="23">
        <v>130402</v>
      </c>
      <c r="L263" s="23">
        <f t="shared" ref="L263:L329" si="89">I263+K263</f>
        <v>130402</v>
      </c>
      <c r="U263" s="80"/>
      <c r="V263" s="23">
        <f t="shared" si="78"/>
        <v>130402</v>
      </c>
      <c r="W263" s="25">
        <v>1</v>
      </c>
      <c r="X263" s="23">
        <f t="shared" ref="X263:X329" si="90">V263*W263</f>
        <v>130402</v>
      </c>
      <c r="Y263" s="20" t="s">
        <v>4519</v>
      </c>
      <c r="Z263" s="35" t="s">
        <v>6731</v>
      </c>
      <c r="AA263" s="35" t="s">
        <v>6742</v>
      </c>
      <c r="AB263" s="35" t="s">
        <v>6733</v>
      </c>
      <c r="AC263" s="35" t="s">
        <v>6747</v>
      </c>
      <c r="AD263" s="35" t="s">
        <v>7219</v>
      </c>
      <c r="AE263" s="37" t="str">
        <f t="shared" si="82"/>
        <v>51</v>
      </c>
      <c r="AF263" s="37">
        <f>X263*$AF$1</f>
        <v>22064.018399999997</v>
      </c>
      <c r="AI263" s="37">
        <f t="shared" ref="AI263:AI329" si="91">X263*$AI$1</f>
        <v>1890.8290000000002</v>
      </c>
      <c r="AJ263" s="37">
        <f t="shared" ref="AJ263:AJ329" si="92">X263*$AJ$1</f>
        <v>1603.9446</v>
      </c>
      <c r="AK263" s="37">
        <f t="shared" ref="AK263:AK329" si="93">X263*$AK$1</f>
        <v>2465.641016</v>
      </c>
      <c r="AL263" s="23">
        <v>140.04</v>
      </c>
      <c r="AM263" s="23">
        <f t="shared" si="83"/>
        <v>140.04</v>
      </c>
      <c r="AN263" s="22">
        <v>79.2</v>
      </c>
      <c r="AO263" s="22">
        <f t="shared" si="79"/>
        <v>79.2</v>
      </c>
      <c r="AP263" s="23">
        <v>25452.6</v>
      </c>
      <c r="AQ263" s="23">
        <f t="shared" si="80"/>
        <v>26474.521889999996</v>
      </c>
      <c r="AR263" s="23">
        <f t="shared" si="84"/>
        <v>26474.521889999996</v>
      </c>
      <c r="AS263" s="23">
        <f t="shared" si="87"/>
        <v>26693.761889999998</v>
      </c>
      <c r="AU263" s="20">
        <f t="shared" si="85"/>
        <v>0</v>
      </c>
      <c r="AV263" s="37">
        <f t="shared" si="81"/>
        <v>54718.194905999997</v>
      </c>
      <c r="AW263" s="37">
        <f t="shared" si="88"/>
        <v>185120.19490599999</v>
      </c>
      <c r="AX263" s="20" t="s">
        <v>6675</v>
      </c>
      <c r="AY263" s="20" t="s">
        <v>6745</v>
      </c>
      <c r="AZ263" s="20" t="s">
        <v>6748</v>
      </c>
      <c r="BA263" s="20" t="str">
        <f t="shared" si="86"/>
        <v>1 - AST_DEAN - Albert, Sharon</v>
      </c>
    </row>
    <row r="264" spans="1:53" ht="12.75" customHeight="1" x14ac:dyDescent="0.25">
      <c r="A264" s="20">
        <v>257</v>
      </c>
      <c r="B264" s="35" t="s">
        <v>7216</v>
      </c>
      <c r="C264" s="20" t="s">
        <v>7222</v>
      </c>
      <c r="D264" s="20" t="s">
        <v>7223</v>
      </c>
      <c r="E264" s="25">
        <v>1</v>
      </c>
      <c r="G264" s="35">
        <v>7</v>
      </c>
      <c r="H264" s="35" t="s">
        <v>6741</v>
      </c>
      <c r="J264" s="35"/>
      <c r="K264" s="23">
        <v>124252</v>
      </c>
      <c r="L264" s="23">
        <f t="shared" si="89"/>
        <v>124252</v>
      </c>
      <c r="U264" s="80"/>
      <c r="V264" s="23">
        <f t="shared" si="78"/>
        <v>124252</v>
      </c>
      <c r="W264" s="25">
        <v>0.1</v>
      </c>
      <c r="X264" s="23">
        <f t="shared" si="90"/>
        <v>12425.2</v>
      </c>
      <c r="Y264" s="20" t="s">
        <v>1875</v>
      </c>
      <c r="Z264" s="35" t="s">
        <v>6758</v>
      </c>
      <c r="AA264" s="35" t="s">
        <v>6772</v>
      </c>
      <c r="AB264" s="35" t="s">
        <v>6733</v>
      </c>
      <c r="AC264" s="35" t="s">
        <v>6805</v>
      </c>
      <c r="AD264" s="35" t="s">
        <v>7224</v>
      </c>
      <c r="AE264" s="37" t="str">
        <f t="shared" si="82"/>
        <v>52</v>
      </c>
      <c r="AG264" s="37">
        <f>X264*$AG$1</f>
        <v>2846.6133199999999</v>
      </c>
      <c r="AH264" s="37">
        <f>X264*$AH$1</f>
        <v>770.36240000000009</v>
      </c>
      <c r="AI264" s="37">
        <f t="shared" si="91"/>
        <v>180.16540000000003</v>
      </c>
      <c r="AJ264" s="37">
        <f t="shared" si="92"/>
        <v>152.82996</v>
      </c>
      <c r="AK264" s="37">
        <f t="shared" si="93"/>
        <v>234.93568160000004</v>
      </c>
      <c r="AL264" s="23">
        <v>140.04</v>
      </c>
      <c r="AM264" s="23">
        <f t="shared" si="83"/>
        <v>14.004</v>
      </c>
      <c r="AN264" s="22">
        <v>79.2</v>
      </c>
      <c r="AO264" s="22">
        <f t="shared" si="79"/>
        <v>7.9200000000000008</v>
      </c>
      <c r="AP264" s="23">
        <v>13152</v>
      </c>
      <c r="AQ264" s="23">
        <f t="shared" si="80"/>
        <v>13680.052799999999</v>
      </c>
      <c r="AR264" s="23">
        <f t="shared" si="84"/>
        <v>1368.0052800000001</v>
      </c>
      <c r="AS264" s="23">
        <f t="shared" si="87"/>
        <v>1389.9292800000001</v>
      </c>
      <c r="AU264" s="20">
        <f t="shared" si="85"/>
        <v>0</v>
      </c>
      <c r="AV264" s="37">
        <f t="shared" si="81"/>
        <v>5574.8360416000005</v>
      </c>
      <c r="AW264" s="37">
        <f t="shared" si="88"/>
        <v>18000.0360416</v>
      </c>
      <c r="BA264" s="20" t="str">
        <f t="shared" si="86"/>
        <v>0.1 - DIR_HSII - Almendariz, Moises</v>
      </c>
    </row>
    <row r="265" spans="1:53" ht="12.75" hidden="1" customHeight="1" x14ac:dyDescent="0.25">
      <c r="A265" s="20">
        <v>258</v>
      </c>
      <c r="B265" s="35" t="s">
        <v>7216</v>
      </c>
      <c r="C265" s="20" t="s">
        <v>7222</v>
      </c>
      <c r="D265" s="20" t="s">
        <v>7223</v>
      </c>
      <c r="E265" s="25">
        <v>1</v>
      </c>
      <c r="G265" s="35">
        <v>7</v>
      </c>
      <c r="H265" s="35" t="s">
        <v>6741</v>
      </c>
      <c r="J265" s="35"/>
      <c r="K265" s="23">
        <v>124252</v>
      </c>
      <c r="L265" s="23">
        <f t="shared" si="89"/>
        <v>124252</v>
      </c>
      <c r="U265" s="80"/>
      <c r="V265" s="23">
        <f t="shared" si="78"/>
        <v>124252</v>
      </c>
      <c r="W265" s="25">
        <v>0.25</v>
      </c>
      <c r="X265" s="23">
        <f t="shared" si="90"/>
        <v>31063</v>
      </c>
      <c r="Y265" s="20" t="s">
        <v>3345</v>
      </c>
      <c r="Z265" s="35" t="s">
        <v>6731</v>
      </c>
      <c r="AA265" s="35" t="s">
        <v>6954</v>
      </c>
      <c r="AB265" s="35" t="s">
        <v>6733</v>
      </c>
      <c r="AC265" s="35" t="s">
        <v>6955</v>
      </c>
      <c r="AD265" s="35" t="s">
        <v>7224</v>
      </c>
      <c r="AE265" s="37" t="str">
        <f t="shared" si="82"/>
        <v>52</v>
      </c>
      <c r="AG265" s="37">
        <f>X265*$AG$1</f>
        <v>7116.5333000000001</v>
      </c>
      <c r="AH265" s="37">
        <f>X265*$AH$1</f>
        <v>1925.9059999999999</v>
      </c>
      <c r="AI265" s="37">
        <f t="shared" si="91"/>
        <v>450.4135</v>
      </c>
      <c r="AJ265" s="37">
        <f t="shared" si="92"/>
        <v>382.07490000000001</v>
      </c>
      <c r="AK265" s="37">
        <f t="shared" si="93"/>
        <v>587.339204</v>
      </c>
      <c r="AL265" s="23">
        <v>140.04</v>
      </c>
      <c r="AM265" s="23">
        <f t="shared" si="83"/>
        <v>35.01</v>
      </c>
      <c r="AN265" s="22">
        <v>79.2</v>
      </c>
      <c r="AO265" s="22">
        <f t="shared" si="79"/>
        <v>19.8</v>
      </c>
      <c r="AP265" s="23">
        <v>13152</v>
      </c>
      <c r="AQ265" s="23">
        <f t="shared" si="80"/>
        <v>13680.052799999999</v>
      </c>
      <c r="AR265" s="23">
        <f t="shared" si="84"/>
        <v>3420.0131999999999</v>
      </c>
      <c r="AS265" s="23">
        <f t="shared" si="87"/>
        <v>3474.8231999999998</v>
      </c>
      <c r="AU265" s="20">
        <f t="shared" si="85"/>
        <v>0</v>
      </c>
      <c r="AV265" s="37">
        <f t="shared" si="81"/>
        <v>13937.090103999999</v>
      </c>
      <c r="AW265" s="37">
        <f t="shared" si="88"/>
        <v>45000.090104000003</v>
      </c>
      <c r="AX265" s="20" t="s">
        <v>6850</v>
      </c>
      <c r="AY265" s="20" t="s">
        <v>6851</v>
      </c>
      <c r="AZ265" s="20" t="s">
        <v>6956</v>
      </c>
      <c r="BA265" s="20" t="str">
        <f t="shared" si="86"/>
        <v>0.25 - DIR_HSII - Almendariz, Moises</v>
      </c>
    </row>
    <row r="266" spans="1:53" ht="12.75" hidden="1" customHeight="1" x14ac:dyDescent="0.25">
      <c r="A266" s="20">
        <v>259</v>
      </c>
      <c r="B266" s="35" t="s">
        <v>7216</v>
      </c>
      <c r="C266" s="20" t="s">
        <v>7222</v>
      </c>
      <c r="D266" s="20" t="s">
        <v>7223</v>
      </c>
      <c r="E266" s="25">
        <v>1</v>
      </c>
      <c r="G266" s="35">
        <v>7</v>
      </c>
      <c r="H266" s="35" t="s">
        <v>6741</v>
      </c>
      <c r="J266" s="35"/>
      <c r="K266" s="23">
        <v>124252</v>
      </c>
      <c r="L266" s="23">
        <f t="shared" si="89"/>
        <v>124252</v>
      </c>
      <c r="U266" s="80"/>
      <c r="V266" s="23">
        <f t="shared" si="78"/>
        <v>124252</v>
      </c>
      <c r="W266" s="25">
        <v>0.5</v>
      </c>
      <c r="X266" s="23">
        <f t="shared" si="90"/>
        <v>62126</v>
      </c>
      <c r="Y266" s="20" t="s">
        <v>4142</v>
      </c>
      <c r="Z266" s="35" t="s">
        <v>6731</v>
      </c>
      <c r="AA266" s="35" t="s">
        <v>6772</v>
      </c>
      <c r="AB266" s="35" t="s">
        <v>6733</v>
      </c>
      <c r="AC266" s="35" t="s">
        <v>6849</v>
      </c>
      <c r="AD266" s="35" t="s">
        <v>7224</v>
      </c>
      <c r="AE266" s="37" t="str">
        <f t="shared" si="82"/>
        <v>52</v>
      </c>
      <c r="AG266" s="37">
        <f>X266*$AG$1</f>
        <v>14233.0666</v>
      </c>
      <c r="AH266" s="37">
        <f>X266*$AH$1</f>
        <v>3851.8119999999999</v>
      </c>
      <c r="AI266" s="37">
        <f t="shared" si="91"/>
        <v>900.827</v>
      </c>
      <c r="AJ266" s="37">
        <f t="shared" si="92"/>
        <v>764.14980000000003</v>
      </c>
      <c r="AK266" s="37">
        <f t="shared" si="93"/>
        <v>1174.678408</v>
      </c>
      <c r="AL266" s="23">
        <v>140.04</v>
      </c>
      <c r="AM266" s="23">
        <f t="shared" si="83"/>
        <v>70.02</v>
      </c>
      <c r="AN266" s="22">
        <v>79.2</v>
      </c>
      <c r="AO266" s="22">
        <f t="shared" si="79"/>
        <v>39.6</v>
      </c>
      <c r="AP266" s="23">
        <v>13152</v>
      </c>
      <c r="AQ266" s="23">
        <f t="shared" si="80"/>
        <v>13680.052799999999</v>
      </c>
      <c r="AR266" s="23">
        <f t="shared" si="84"/>
        <v>6840.0263999999997</v>
      </c>
      <c r="AS266" s="23">
        <f t="shared" si="87"/>
        <v>6949.6463999999996</v>
      </c>
      <c r="AU266" s="20">
        <f t="shared" si="85"/>
        <v>0</v>
      </c>
      <c r="AV266" s="37">
        <f t="shared" si="81"/>
        <v>27874.180207999998</v>
      </c>
      <c r="AW266" s="37">
        <f t="shared" si="88"/>
        <v>90000.180208000005</v>
      </c>
      <c r="AX266" s="20" t="s">
        <v>6850</v>
      </c>
      <c r="AY266" s="20" t="s">
        <v>6851</v>
      </c>
      <c r="AZ266" s="20" t="s">
        <v>6852</v>
      </c>
      <c r="BA266" s="20" t="str">
        <f t="shared" si="86"/>
        <v>0.5 - DIR_HSII - Almendariz, Moises</v>
      </c>
    </row>
    <row r="267" spans="1:53" ht="12.75" hidden="1" customHeight="1" x14ac:dyDescent="0.25">
      <c r="A267" s="20" t="s">
        <v>7225</v>
      </c>
      <c r="B267" s="35" t="s">
        <v>7216</v>
      </c>
      <c r="C267" s="20" t="s">
        <v>7222</v>
      </c>
      <c r="D267" s="20" t="s">
        <v>7223</v>
      </c>
      <c r="E267" s="25">
        <v>1</v>
      </c>
      <c r="G267" s="35">
        <v>7</v>
      </c>
      <c r="H267" s="35" t="s">
        <v>6741</v>
      </c>
      <c r="J267" s="35"/>
      <c r="K267" s="23">
        <v>124252</v>
      </c>
      <c r="L267" s="23">
        <f t="shared" si="89"/>
        <v>124252</v>
      </c>
      <c r="U267" s="80"/>
      <c r="V267" s="23">
        <f t="shared" si="78"/>
        <v>124252</v>
      </c>
      <c r="W267" s="25">
        <v>0.15</v>
      </c>
      <c r="X267" s="23">
        <f t="shared" si="90"/>
        <v>18637.8</v>
      </c>
      <c r="Y267" s="20" t="s">
        <v>3979</v>
      </c>
      <c r="Z267" s="35" t="s">
        <v>6731</v>
      </c>
      <c r="AA267" s="35" t="s">
        <v>6772</v>
      </c>
      <c r="AB267" s="35" t="s">
        <v>6733</v>
      </c>
      <c r="AC267" s="35" t="s">
        <v>7046</v>
      </c>
      <c r="AD267" s="35" t="s">
        <v>7224</v>
      </c>
      <c r="AE267" s="37" t="str">
        <f t="shared" si="82"/>
        <v>52</v>
      </c>
      <c r="AG267" s="37">
        <f>X267*$AG$1</f>
        <v>4269.9199799999997</v>
      </c>
      <c r="AH267" s="37">
        <f>X267*$AH$1</f>
        <v>1155.5436</v>
      </c>
      <c r="AI267" s="37">
        <f t="shared" si="91"/>
        <v>270.24810000000002</v>
      </c>
      <c r="AJ267" s="37">
        <f t="shared" si="92"/>
        <v>229.24493999999999</v>
      </c>
      <c r="AK267" s="37">
        <f t="shared" si="93"/>
        <v>352.40352239999999</v>
      </c>
      <c r="AL267" s="23">
        <v>140.04</v>
      </c>
      <c r="AM267" s="23">
        <f t="shared" si="83"/>
        <v>21.005999999999997</v>
      </c>
      <c r="AN267" s="22">
        <v>79.2</v>
      </c>
      <c r="AO267" s="22">
        <f t="shared" si="79"/>
        <v>11.88</v>
      </c>
      <c r="AP267" s="23">
        <v>13152</v>
      </c>
      <c r="AQ267" s="23">
        <f t="shared" si="80"/>
        <v>13680.052799999999</v>
      </c>
      <c r="AR267" s="23">
        <f t="shared" si="84"/>
        <v>2052.00792</v>
      </c>
      <c r="AS267" s="23">
        <f t="shared" si="87"/>
        <v>2084.89392</v>
      </c>
      <c r="AU267" s="20">
        <f t="shared" si="85"/>
        <v>0</v>
      </c>
      <c r="AV267" s="37">
        <f t="shared" si="81"/>
        <v>8362.2540623999994</v>
      </c>
      <c r="AW267" s="37">
        <f t="shared" si="88"/>
        <v>27000.054062399999</v>
      </c>
      <c r="AX267" s="20" t="s">
        <v>6850</v>
      </c>
      <c r="AY267" s="20" t="s">
        <v>6851</v>
      </c>
      <c r="AZ267" s="20" t="s">
        <v>7047</v>
      </c>
      <c r="BA267" s="20" t="str">
        <f t="shared" si="86"/>
        <v>0.15 - DIR_HSII - Almendariz, Moises</v>
      </c>
    </row>
    <row r="268" spans="1:53" ht="12.75" hidden="1" customHeight="1" x14ac:dyDescent="0.25">
      <c r="A268" s="20">
        <v>260</v>
      </c>
      <c r="B268" s="35" t="s">
        <v>7216</v>
      </c>
      <c r="C268" s="20" t="s">
        <v>7226</v>
      </c>
      <c r="D268" s="20" t="s">
        <v>7227</v>
      </c>
      <c r="E268" s="25">
        <v>1</v>
      </c>
      <c r="F268" s="34">
        <v>44378</v>
      </c>
      <c r="G268" s="35">
        <v>11</v>
      </c>
      <c r="H268" s="35" t="s">
        <v>6741</v>
      </c>
      <c r="J268" s="35"/>
      <c r="K268" s="23">
        <v>99828</v>
      </c>
      <c r="L268" s="23">
        <f t="shared" si="89"/>
        <v>99828</v>
      </c>
      <c r="U268" s="80"/>
      <c r="V268" s="23">
        <f t="shared" si="78"/>
        <v>99828</v>
      </c>
      <c r="W268" s="25">
        <v>1</v>
      </c>
      <c r="X268" s="23">
        <f t="shared" si="90"/>
        <v>99828</v>
      </c>
      <c r="Y268" s="20" t="s">
        <v>3447</v>
      </c>
      <c r="Z268" s="35" t="s">
        <v>6731</v>
      </c>
      <c r="AA268" s="35" t="s">
        <v>7199</v>
      </c>
      <c r="AB268" s="35" t="s">
        <v>6733</v>
      </c>
      <c r="AC268" s="35" t="s">
        <v>7228</v>
      </c>
      <c r="AD268" s="35" t="s">
        <v>7224</v>
      </c>
      <c r="AE268" s="37" t="str">
        <f t="shared" si="82"/>
        <v>52</v>
      </c>
      <c r="AG268" s="37">
        <f>X268*$AG$1</f>
        <v>22870.594799999999</v>
      </c>
      <c r="AH268" s="37">
        <f>X268*$AH$1</f>
        <v>6189.3360000000002</v>
      </c>
      <c r="AI268" s="37">
        <f t="shared" si="91"/>
        <v>1447.5060000000001</v>
      </c>
      <c r="AJ268" s="37">
        <f t="shared" si="92"/>
        <v>1227.8843999999999</v>
      </c>
      <c r="AK268" s="37">
        <f t="shared" si="93"/>
        <v>1887.5478240000002</v>
      </c>
      <c r="AL268" s="23">
        <v>140.04</v>
      </c>
      <c r="AM268" s="23">
        <f t="shared" si="83"/>
        <v>140.04</v>
      </c>
      <c r="AN268" s="22">
        <v>79.2</v>
      </c>
      <c r="AO268" s="22">
        <f t="shared" si="79"/>
        <v>79.2</v>
      </c>
      <c r="AP268" s="23">
        <v>13152</v>
      </c>
      <c r="AQ268" s="23">
        <f t="shared" si="80"/>
        <v>13680.052799999999</v>
      </c>
      <c r="AR268" s="23">
        <f t="shared" si="84"/>
        <v>13680.052799999999</v>
      </c>
      <c r="AS268" s="23">
        <f t="shared" si="87"/>
        <v>13899.292799999999</v>
      </c>
      <c r="AU268" s="20">
        <f t="shared" si="85"/>
        <v>0</v>
      </c>
      <c r="AV268" s="37">
        <f t="shared" si="81"/>
        <v>47522.161823999995</v>
      </c>
      <c r="AW268" s="37">
        <f t="shared" si="88"/>
        <v>147350.16182400001</v>
      </c>
      <c r="AX268" s="20" t="s">
        <v>6866</v>
      </c>
      <c r="AY268" s="20" t="s">
        <v>7229</v>
      </c>
      <c r="AZ268" s="20" t="s">
        <v>7230</v>
      </c>
      <c r="BA268" s="20" t="str">
        <f t="shared" si="86"/>
        <v>1 - DIR_WDAH - Armstrong, Rosie</v>
      </c>
    </row>
    <row r="269" spans="1:53" ht="12.75" hidden="1" customHeight="1" x14ac:dyDescent="0.25">
      <c r="A269" s="20">
        <v>261</v>
      </c>
      <c r="B269" s="35" t="s">
        <v>7216</v>
      </c>
      <c r="C269" s="20" t="s">
        <v>7231</v>
      </c>
      <c r="D269" s="20" t="s">
        <v>7232</v>
      </c>
      <c r="E269" s="25">
        <v>1</v>
      </c>
      <c r="G269" s="35">
        <v>11</v>
      </c>
      <c r="H269" s="35" t="s">
        <v>6741</v>
      </c>
      <c r="J269" s="35"/>
      <c r="K269" s="23">
        <v>99828</v>
      </c>
      <c r="L269" s="23">
        <f t="shared" si="89"/>
        <v>99828</v>
      </c>
      <c r="U269" s="80"/>
      <c r="V269" s="23">
        <f t="shared" si="78"/>
        <v>99828</v>
      </c>
      <c r="W269" s="25">
        <v>0.5</v>
      </c>
      <c r="X269" s="23">
        <f t="shared" si="90"/>
        <v>49914</v>
      </c>
      <c r="Y269" s="20" t="s">
        <v>5506</v>
      </c>
      <c r="Z269" s="35" t="s">
        <v>6731</v>
      </c>
      <c r="AA269" s="35" t="s">
        <v>6752</v>
      </c>
      <c r="AB269" s="35" t="s">
        <v>6733</v>
      </c>
      <c r="AC269" s="35" t="s">
        <v>6875</v>
      </c>
      <c r="AD269" s="35" t="s">
        <v>7219</v>
      </c>
      <c r="AE269" s="37" t="str">
        <f t="shared" si="82"/>
        <v>51</v>
      </c>
      <c r="AF269" s="37">
        <f>X269*$AF$1</f>
        <v>8445.4488000000001</v>
      </c>
      <c r="AI269" s="37">
        <f t="shared" si="91"/>
        <v>723.75300000000004</v>
      </c>
      <c r="AJ269" s="37">
        <f t="shared" si="92"/>
        <v>613.94219999999996</v>
      </c>
      <c r="AK269" s="37">
        <f t="shared" si="93"/>
        <v>943.77391200000011</v>
      </c>
      <c r="AL269" s="23">
        <v>140.04</v>
      </c>
      <c r="AM269" s="23">
        <f t="shared" si="83"/>
        <v>70.02</v>
      </c>
      <c r="AN269" s="22">
        <v>79.2</v>
      </c>
      <c r="AO269" s="22">
        <f t="shared" si="79"/>
        <v>39.6</v>
      </c>
      <c r="AP269" s="23">
        <v>13152</v>
      </c>
      <c r="AQ269" s="23">
        <f t="shared" si="80"/>
        <v>13680.052799999999</v>
      </c>
      <c r="AR269" s="23">
        <f t="shared" si="84"/>
        <v>6840.0263999999997</v>
      </c>
      <c r="AS269" s="23">
        <f t="shared" si="87"/>
        <v>6949.6463999999996</v>
      </c>
      <c r="AU269" s="20">
        <f t="shared" si="85"/>
        <v>0</v>
      </c>
      <c r="AV269" s="37">
        <f t="shared" si="81"/>
        <v>17676.564312000002</v>
      </c>
      <c r="AW269" s="37">
        <f t="shared" si="88"/>
        <v>67590.564312000002</v>
      </c>
      <c r="AX269" s="20" t="s">
        <v>6754</v>
      </c>
      <c r="AY269" s="20" t="s">
        <v>6876</v>
      </c>
      <c r="AZ269" s="20" t="s">
        <v>6877</v>
      </c>
      <c r="BA269" s="20" t="str">
        <f t="shared" si="86"/>
        <v>0.5 - GRPR_DIR - Bersamin, Manuel</v>
      </c>
    </row>
    <row r="270" spans="1:53" ht="12.75" hidden="1" customHeight="1" x14ac:dyDescent="0.25">
      <c r="A270" s="20" t="s">
        <v>7233</v>
      </c>
      <c r="B270" s="35" t="s">
        <v>7216</v>
      </c>
      <c r="C270" s="20" t="s">
        <v>7231</v>
      </c>
      <c r="D270" s="20" t="s">
        <v>7232</v>
      </c>
      <c r="E270" s="25">
        <v>1</v>
      </c>
      <c r="G270" s="35">
        <v>11</v>
      </c>
      <c r="H270" s="35" t="s">
        <v>6741</v>
      </c>
      <c r="J270" s="35"/>
      <c r="K270" s="23">
        <v>99828</v>
      </c>
      <c r="L270" s="23">
        <f t="shared" si="89"/>
        <v>99828</v>
      </c>
      <c r="U270" s="80"/>
      <c r="V270" s="23">
        <f t="shared" si="78"/>
        <v>99828</v>
      </c>
      <c r="W270" s="25">
        <v>0.5</v>
      </c>
      <c r="X270" s="23">
        <f t="shared" si="90"/>
        <v>49914</v>
      </c>
      <c r="Y270" s="20" t="s">
        <v>5554</v>
      </c>
      <c r="Z270" s="35" t="s">
        <v>6731</v>
      </c>
      <c r="AA270" s="35" t="s">
        <v>6752</v>
      </c>
      <c r="AB270" s="35" t="s">
        <v>6733</v>
      </c>
      <c r="AC270" s="35" t="s">
        <v>6879</v>
      </c>
      <c r="AD270" s="35" t="s">
        <v>7219</v>
      </c>
      <c r="AE270" s="37" t="str">
        <f t="shared" si="82"/>
        <v>51</v>
      </c>
      <c r="AF270" s="37">
        <f>X270*$AF$1</f>
        <v>8445.4488000000001</v>
      </c>
      <c r="AI270" s="37">
        <f t="shared" si="91"/>
        <v>723.75300000000004</v>
      </c>
      <c r="AJ270" s="37">
        <f t="shared" si="92"/>
        <v>613.94219999999996</v>
      </c>
      <c r="AK270" s="37">
        <f t="shared" si="93"/>
        <v>943.77391200000011</v>
      </c>
      <c r="AL270" s="23">
        <v>140.04</v>
      </c>
      <c r="AM270" s="23">
        <f t="shared" si="83"/>
        <v>70.02</v>
      </c>
      <c r="AN270" s="22">
        <v>79.2</v>
      </c>
      <c r="AO270" s="22">
        <f t="shared" si="79"/>
        <v>39.6</v>
      </c>
      <c r="AP270" s="23">
        <v>13152</v>
      </c>
      <c r="AQ270" s="23">
        <f t="shared" si="80"/>
        <v>13680.052799999999</v>
      </c>
      <c r="AR270" s="23">
        <f t="shared" si="84"/>
        <v>6840.0263999999997</v>
      </c>
      <c r="AS270" s="23">
        <f t="shared" si="87"/>
        <v>6949.6463999999996</v>
      </c>
      <c r="AU270" s="20">
        <f t="shared" si="85"/>
        <v>0</v>
      </c>
      <c r="AV270" s="37">
        <f t="shared" si="81"/>
        <v>17676.564312000002</v>
      </c>
      <c r="AW270" s="37">
        <f t="shared" si="88"/>
        <v>67590.564312000002</v>
      </c>
      <c r="AX270" s="20" t="s">
        <v>6754</v>
      </c>
      <c r="AY270" s="20" t="s">
        <v>6876</v>
      </c>
      <c r="AZ270" s="20" t="s">
        <v>6880</v>
      </c>
      <c r="BA270" s="20" t="str">
        <f t="shared" si="86"/>
        <v>0.5 - GRPR_DIR - Bersamin, Manuel</v>
      </c>
    </row>
    <row r="271" spans="1:53" ht="12.75" customHeight="1" x14ac:dyDescent="0.25">
      <c r="A271" s="20">
        <v>262</v>
      </c>
      <c r="B271" s="35" t="s">
        <v>7216</v>
      </c>
      <c r="C271" s="56" t="s">
        <v>7234</v>
      </c>
      <c r="D271" s="20" t="s">
        <v>7235</v>
      </c>
      <c r="E271" s="25">
        <v>1</v>
      </c>
      <c r="G271" s="35">
        <v>7</v>
      </c>
      <c r="H271" s="35" t="s">
        <v>6741</v>
      </c>
      <c r="J271" s="35"/>
      <c r="K271" s="23">
        <v>124252</v>
      </c>
      <c r="L271" s="23">
        <f t="shared" si="89"/>
        <v>124252</v>
      </c>
      <c r="U271" s="80"/>
      <c r="V271" s="23">
        <f t="shared" si="78"/>
        <v>124252</v>
      </c>
      <c r="W271" s="25">
        <v>1</v>
      </c>
      <c r="X271" s="23">
        <f t="shared" si="90"/>
        <v>124252</v>
      </c>
      <c r="Y271" s="20" t="s">
        <v>3182</v>
      </c>
      <c r="Z271" s="35" t="s">
        <v>6758</v>
      </c>
      <c r="AA271" s="35" t="s">
        <v>6788</v>
      </c>
      <c r="AB271" s="35" t="s">
        <v>6733</v>
      </c>
      <c r="AC271" s="35" t="s">
        <v>6789</v>
      </c>
      <c r="AD271" s="35" t="s">
        <v>7219</v>
      </c>
      <c r="AE271" s="37" t="str">
        <f t="shared" si="82"/>
        <v>51</v>
      </c>
      <c r="AF271" s="37"/>
      <c r="AG271" s="37">
        <f>X271*$AG$1</f>
        <v>28466.1332</v>
      </c>
      <c r="AH271" s="37">
        <f>X271*$AH$1</f>
        <v>7703.6239999999998</v>
      </c>
      <c r="AI271" s="37">
        <f t="shared" si="91"/>
        <v>1801.654</v>
      </c>
      <c r="AJ271" s="37">
        <f t="shared" si="92"/>
        <v>1528.2996000000001</v>
      </c>
      <c r="AK271" s="37">
        <f t="shared" si="93"/>
        <v>2349.356816</v>
      </c>
      <c r="AL271" s="23">
        <v>140.04</v>
      </c>
      <c r="AM271" s="23">
        <f t="shared" si="83"/>
        <v>140.04</v>
      </c>
      <c r="AN271" s="22">
        <v>79.2</v>
      </c>
      <c r="AO271" s="22">
        <f t="shared" si="79"/>
        <v>79.2</v>
      </c>
      <c r="AP271" s="23">
        <v>13152</v>
      </c>
      <c r="AQ271" s="23">
        <f t="shared" si="80"/>
        <v>13680.052799999999</v>
      </c>
      <c r="AR271" s="23">
        <f t="shared" si="84"/>
        <v>13680.052799999999</v>
      </c>
      <c r="AS271" s="23">
        <f t="shared" si="87"/>
        <v>13899.292799999999</v>
      </c>
      <c r="AU271" s="20">
        <f t="shared" si="85"/>
        <v>0</v>
      </c>
      <c r="AV271" s="37">
        <f t="shared" si="81"/>
        <v>55748.360415999996</v>
      </c>
      <c r="AW271" s="37">
        <f t="shared" si="88"/>
        <v>180000.36041600001</v>
      </c>
      <c r="BA271" s="20" t="str">
        <f t="shared" si="86"/>
        <v>1 - DIR_CTPRG - Casey, Paul</v>
      </c>
    </row>
    <row r="272" spans="1:53" ht="12.75" hidden="1" customHeight="1" x14ac:dyDescent="0.25">
      <c r="A272" s="20">
        <v>263</v>
      </c>
      <c r="B272" s="35" t="s">
        <v>7216</v>
      </c>
      <c r="C272" s="20" t="s">
        <v>7236</v>
      </c>
      <c r="D272" s="20" t="s">
        <v>7232</v>
      </c>
      <c r="E272" s="25">
        <v>1</v>
      </c>
      <c r="G272" s="35">
        <v>11</v>
      </c>
      <c r="H272" s="35" t="s">
        <v>6741</v>
      </c>
      <c r="J272" s="35"/>
      <c r="K272" s="23">
        <v>99282</v>
      </c>
      <c r="L272" s="23">
        <f t="shared" si="89"/>
        <v>99282</v>
      </c>
      <c r="U272" s="80"/>
      <c r="V272" s="23">
        <f t="shared" si="78"/>
        <v>99282</v>
      </c>
      <c r="W272" s="25">
        <v>0.25</v>
      </c>
      <c r="X272" s="23">
        <f t="shared" si="90"/>
        <v>24820.5</v>
      </c>
      <c r="Y272" s="20" t="s">
        <v>4670</v>
      </c>
      <c r="Z272" s="35" t="s">
        <v>6731</v>
      </c>
      <c r="AA272" s="35" t="s">
        <v>6742</v>
      </c>
      <c r="AB272" s="35" t="s">
        <v>6733</v>
      </c>
      <c r="AC272" s="35" t="s">
        <v>6749</v>
      </c>
      <c r="AD272" s="35" t="s">
        <v>7219</v>
      </c>
      <c r="AE272" s="37" t="str">
        <f t="shared" si="82"/>
        <v>51</v>
      </c>
      <c r="AF272" s="37">
        <f>X272*$AF$1</f>
        <v>4199.6286</v>
      </c>
      <c r="AI272" s="37">
        <f t="shared" si="91"/>
        <v>359.89725000000004</v>
      </c>
      <c r="AJ272" s="37">
        <f t="shared" si="92"/>
        <v>305.29214999999999</v>
      </c>
      <c r="AK272" s="37">
        <f t="shared" si="93"/>
        <v>469.306014</v>
      </c>
      <c r="AL272" s="23">
        <v>140.04</v>
      </c>
      <c r="AM272" s="23">
        <f t="shared" si="83"/>
        <v>35.01</v>
      </c>
      <c r="AN272" s="22">
        <v>79.2</v>
      </c>
      <c r="AO272" s="22">
        <f t="shared" si="79"/>
        <v>19.8</v>
      </c>
      <c r="AP272" s="23">
        <v>23232</v>
      </c>
      <c r="AQ272" s="23">
        <f t="shared" si="80"/>
        <v>24164.764800000001</v>
      </c>
      <c r="AR272" s="23">
        <f t="shared" si="84"/>
        <v>6041.1912000000002</v>
      </c>
      <c r="AS272" s="23">
        <f t="shared" si="87"/>
        <v>6096.0012000000006</v>
      </c>
      <c r="AT272" s="37">
        <v>2400</v>
      </c>
      <c r="AU272" s="20">
        <f t="shared" si="85"/>
        <v>600</v>
      </c>
      <c r="AV272" s="37">
        <f t="shared" si="81"/>
        <v>12030.125214</v>
      </c>
      <c r="AW272" s="37">
        <f t="shared" si="88"/>
        <v>36850.625214</v>
      </c>
      <c r="AX272" s="20" t="s">
        <v>6675</v>
      </c>
      <c r="AY272" s="20" t="s">
        <v>6745</v>
      </c>
      <c r="AZ272" s="20" t="s">
        <v>6750</v>
      </c>
      <c r="BA272" s="20" t="str">
        <f t="shared" si="86"/>
        <v>0.25 - GRPR_DIR - Casillas, Melissa</v>
      </c>
    </row>
    <row r="273" spans="1:53" ht="12.75" hidden="1" customHeight="1" x14ac:dyDescent="0.25">
      <c r="A273" s="20">
        <v>264</v>
      </c>
      <c r="B273" s="35" t="s">
        <v>7216</v>
      </c>
      <c r="C273" s="20" t="s">
        <v>7236</v>
      </c>
      <c r="D273" s="20" t="s">
        <v>7232</v>
      </c>
      <c r="E273" s="25">
        <v>1</v>
      </c>
      <c r="G273" s="35">
        <v>11</v>
      </c>
      <c r="H273" s="35" t="s">
        <v>6741</v>
      </c>
      <c r="J273" s="35"/>
      <c r="K273" s="23">
        <v>99282</v>
      </c>
      <c r="L273" s="23">
        <f t="shared" si="89"/>
        <v>99282</v>
      </c>
      <c r="U273" s="80"/>
      <c r="V273" s="23">
        <f t="shared" si="78"/>
        <v>99282</v>
      </c>
      <c r="W273" s="25">
        <v>0.75</v>
      </c>
      <c r="X273" s="23">
        <f t="shared" si="90"/>
        <v>74461.5</v>
      </c>
      <c r="Y273" s="20" t="s">
        <v>4519</v>
      </c>
      <c r="Z273" s="35" t="s">
        <v>6731</v>
      </c>
      <c r="AA273" s="35" t="s">
        <v>6742</v>
      </c>
      <c r="AB273" s="35" t="s">
        <v>6733</v>
      </c>
      <c r="AC273" s="35" t="s">
        <v>6747</v>
      </c>
      <c r="AD273" s="35" t="s">
        <v>7219</v>
      </c>
      <c r="AE273" s="37" t="str">
        <f t="shared" si="82"/>
        <v>51</v>
      </c>
      <c r="AF273" s="37">
        <f>X273*$AF$1</f>
        <v>12598.8858</v>
      </c>
      <c r="AI273" s="37">
        <f t="shared" si="91"/>
        <v>1079.69175</v>
      </c>
      <c r="AJ273" s="37">
        <f t="shared" si="92"/>
        <v>915.87644999999998</v>
      </c>
      <c r="AK273" s="37">
        <f t="shared" si="93"/>
        <v>1407.918042</v>
      </c>
      <c r="AL273" s="23">
        <v>140.04</v>
      </c>
      <c r="AM273" s="23">
        <f t="shared" si="83"/>
        <v>105.03</v>
      </c>
      <c r="AN273" s="22">
        <v>79.2</v>
      </c>
      <c r="AO273" s="22">
        <f t="shared" si="79"/>
        <v>59.400000000000006</v>
      </c>
      <c r="AP273" s="23">
        <v>23232</v>
      </c>
      <c r="AQ273" s="23">
        <f t="shared" si="80"/>
        <v>24164.764800000001</v>
      </c>
      <c r="AR273" s="23">
        <f t="shared" si="84"/>
        <v>18123.5736</v>
      </c>
      <c r="AS273" s="23">
        <f t="shared" si="87"/>
        <v>18288.0036</v>
      </c>
      <c r="AT273" s="37">
        <v>2400</v>
      </c>
      <c r="AU273" s="20">
        <f t="shared" si="85"/>
        <v>1800</v>
      </c>
      <c r="AV273" s="37">
        <f t="shared" si="81"/>
        <v>36090.375641999999</v>
      </c>
      <c r="AW273" s="37">
        <f t="shared" si="88"/>
        <v>110551.875642</v>
      </c>
      <c r="AX273" s="20" t="s">
        <v>6675</v>
      </c>
      <c r="AY273" s="20" t="s">
        <v>6745</v>
      </c>
      <c r="AZ273" s="20" t="s">
        <v>6748</v>
      </c>
      <c r="BA273" s="20" t="str">
        <f t="shared" si="86"/>
        <v>0.75 - GRPR_DIR - Casillas, Melissa</v>
      </c>
    </row>
    <row r="274" spans="1:53" ht="12.75" customHeight="1" x14ac:dyDescent="0.25">
      <c r="A274" s="20">
        <v>265</v>
      </c>
      <c r="B274" s="35" t="s">
        <v>7216</v>
      </c>
      <c r="C274" s="20" t="s">
        <v>7237</v>
      </c>
      <c r="D274" s="20" t="s">
        <v>7238</v>
      </c>
      <c r="E274" s="25">
        <v>1</v>
      </c>
      <c r="F274" s="34">
        <v>44470</v>
      </c>
      <c r="G274" s="35">
        <v>3</v>
      </c>
      <c r="H274" s="35" t="s">
        <v>6729</v>
      </c>
      <c r="I274" s="22">
        <f>140603/12*3</f>
        <v>35150.75</v>
      </c>
      <c r="J274" s="35" t="s">
        <v>6730</v>
      </c>
      <c r="K274" s="23">
        <f>144633/12*9</f>
        <v>108474.75</v>
      </c>
      <c r="L274" s="23">
        <f t="shared" si="89"/>
        <v>143625.5</v>
      </c>
      <c r="U274" s="80"/>
      <c r="V274" s="23">
        <f t="shared" si="78"/>
        <v>143625.5</v>
      </c>
      <c r="W274" s="25">
        <v>0.5</v>
      </c>
      <c r="X274" s="23">
        <f t="shared" si="90"/>
        <v>71812.75</v>
      </c>
      <c r="Y274" s="20" t="s">
        <v>3058</v>
      </c>
      <c r="Z274" s="35" t="s">
        <v>6758</v>
      </c>
      <c r="AA274" s="35" t="s">
        <v>6759</v>
      </c>
      <c r="AB274" s="35" t="s">
        <v>6733</v>
      </c>
      <c r="AC274" s="35" t="s">
        <v>6760</v>
      </c>
      <c r="AD274" s="35" t="s">
        <v>7224</v>
      </c>
      <c r="AE274" s="37" t="str">
        <f t="shared" si="82"/>
        <v>52</v>
      </c>
      <c r="AG274" s="37">
        <f>X274*$AG$1</f>
        <v>16452.301025000001</v>
      </c>
      <c r="AH274" s="37">
        <f>X274*$AH$1</f>
        <v>4452.3904999999995</v>
      </c>
      <c r="AI274" s="37">
        <f t="shared" si="91"/>
        <v>1041.2848750000001</v>
      </c>
      <c r="AJ274" s="37">
        <f t="shared" si="92"/>
        <v>883.29682500000001</v>
      </c>
      <c r="AK274" s="37">
        <f t="shared" si="93"/>
        <v>1357.8354770000001</v>
      </c>
      <c r="AL274" s="23">
        <v>140.04</v>
      </c>
      <c r="AM274" s="23">
        <f t="shared" si="83"/>
        <v>70.02</v>
      </c>
      <c r="AN274" s="22">
        <v>79.2</v>
      </c>
      <c r="AO274" s="22">
        <f t="shared" si="79"/>
        <v>39.6</v>
      </c>
      <c r="AP274" s="23">
        <v>7500.6</v>
      </c>
      <c r="AQ274" s="23">
        <f t="shared" si="80"/>
        <v>7801.7490900000003</v>
      </c>
      <c r="AR274" s="23">
        <f t="shared" si="84"/>
        <v>3900.8745450000001</v>
      </c>
      <c r="AS274" s="23">
        <f t="shared" si="87"/>
        <v>4010.494545</v>
      </c>
      <c r="AT274" s="37">
        <v>2400</v>
      </c>
      <c r="AU274" s="20">
        <f t="shared" si="85"/>
        <v>1200</v>
      </c>
      <c r="AV274" s="37">
        <f t="shared" si="81"/>
        <v>29397.603247000003</v>
      </c>
      <c r="AW274" s="37">
        <f t="shared" si="88"/>
        <v>101210.35324700001</v>
      </c>
      <c r="BA274" s="20" t="str">
        <f t="shared" si="86"/>
        <v>0.5 - DEAN_SA - Ceja, Maria D</v>
      </c>
    </row>
    <row r="275" spans="1:53" ht="12.75" customHeight="1" x14ac:dyDescent="0.25">
      <c r="A275" s="20">
        <v>266</v>
      </c>
      <c r="B275" s="35" t="s">
        <v>7216</v>
      </c>
      <c r="C275" s="20" t="s">
        <v>7237</v>
      </c>
      <c r="D275" s="20" t="s">
        <v>7238</v>
      </c>
      <c r="E275" s="25">
        <v>1</v>
      </c>
      <c r="F275" s="34">
        <v>44470</v>
      </c>
      <c r="G275" s="35">
        <v>3</v>
      </c>
      <c r="H275" s="35" t="s">
        <v>6729</v>
      </c>
      <c r="I275" s="22">
        <f>140603/12*3</f>
        <v>35150.75</v>
      </c>
      <c r="J275" s="35" t="s">
        <v>6730</v>
      </c>
      <c r="K275" s="23">
        <f>144633/12*9</f>
        <v>108474.75</v>
      </c>
      <c r="L275" s="23">
        <f t="shared" si="89"/>
        <v>143625.5</v>
      </c>
      <c r="U275" s="80"/>
      <c r="V275" s="23">
        <f t="shared" si="78"/>
        <v>143625.5</v>
      </c>
      <c r="W275" s="25">
        <v>0.5</v>
      </c>
      <c r="X275" s="23">
        <f t="shared" si="90"/>
        <v>71812.75</v>
      </c>
      <c r="Y275" s="20" t="s">
        <v>3092</v>
      </c>
      <c r="Z275" s="35" t="s">
        <v>6758</v>
      </c>
      <c r="AA275" s="35" t="s">
        <v>6761</v>
      </c>
      <c r="AB275" s="35" t="s">
        <v>6733</v>
      </c>
      <c r="AC275" s="35" t="s">
        <v>6762</v>
      </c>
      <c r="AD275" s="35" t="s">
        <v>7224</v>
      </c>
      <c r="AE275" s="37" t="str">
        <f t="shared" si="82"/>
        <v>52</v>
      </c>
      <c r="AG275" s="37">
        <f>X275*$AG$1</f>
        <v>16452.301025000001</v>
      </c>
      <c r="AH275" s="37">
        <f>X275*$AH$1</f>
        <v>4452.3904999999995</v>
      </c>
      <c r="AI275" s="37">
        <f t="shared" si="91"/>
        <v>1041.2848750000001</v>
      </c>
      <c r="AJ275" s="37">
        <f t="shared" si="92"/>
        <v>883.29682500000001</v>
      </c>
      <c r="AK275" s="37">
        <f t="shared" si="93"/>
        <v>1357.8354770000001</v>
      </c>
      <c r="AL275" s="23">
        <v>140.04</v>
      </c>
      <c r="AM275" s="23">
        <f t="shared" si="83"/>
        <v>70.02</v>
      </c>
      <c r="AN275" s="22">
        <v>79.2</v>
      </c>
      <c r="AO275" s="22">
        <f t="shared" si="79"/>
        <v>39.6</v>
      </c>
      <c r="AP275" s="23">
        <v>7500.6</v>
      </c>
      <c r="AQ275" s="23">
        <f t="shared" si="80"/>
        <v>7801.7490900000003</v>
      </c>
      <c r="AR275" s="23">
        <f t="shared" si="84"/>
        <v>3900.8745450000001</v>
      </c>
      <c r="AS275" s="23">
        <f t="shared" si="87"/>
        <v>4010.494545</v>
      </c>
      <c r="AT275" s="37">
        <v>2400</v>
      </c>
      <c r="AU275" s="20">
        <f t="shared" si="85"/>
        <v>1200</v>
      </c>
      <c r="AV275" s="37">
        <f t="shared" si="81"/>
        <v>29397.603247000003</v>
      </c>
      <c r="AW275" s="37">
        <f t="shared" si="88"/>
        <v>101210.35324700001</v>
      </c>
      <c r="BA275" s="20" t="str">
        <f t="shared" si="86"/>
        <v>0.5 - DEAN_SA - Ceja, Maria D</v>
      </c>
    </row>
    <row r="276" spans="1:53" ht="12.75" customHeight="1" x14ac:dyDescent="0.25">
      <c r="A276" s="20">
        <v>267</v>
      </c>
      <c r="B276" s="35" t="s">
        <v>7216</v>
      </c>
      <c r="C276" s="20" t="s">
        <v>7239</v>
      </c>
      <c r="D276" s="20" t="s">
        <v>7240</v>
      </c>
      <c r="E276" s="25">
        <v>1</v>
      </c>
      <c r="G276" s="35">
        <v>3</v>
      </c>
      <c r="H276" s="35" t="s">
        <v>6741</v>
      </c>
      <c r="J276" s="35"/>
      <c r="K276" s="23">
        <v>148881</v>
      </c>
      <c r="L276" s="23">
        <f t="shared" si="89"/>
        <v>148881</v>
      </c>
      <c r="U276" s="80"/>
      <c r="V276" s="23">
        <f t="shared" si="78"/>
        <v>148881</v>
      </c>
      <c r="W276" s="25">
        <v>1</v>
      </c>
      <c r="X276" s="23">
        <f t="shared" si="90"/>
        <v>148881</v>
      </c>
      <c r="Y276" s="20" t="s">
        <v>2480</v>
      </c>
      <c r="Z276" s="35" t="s">
        <v>6758</v>
      </c>
      <c r="AA276" s="35" t="s">
        <v>6742</v>
      </c>
      <c r="AB276" s="35" t="s">
        <v>6974</v>
      </c>
      <c r="AC276" s="35" t="s">
        <v>6805</v>
      </c>
      <c r="AD276" s="35" t="s">
        <v>7219</v>
      </c>
      <c r="AE276" s="37" t="str">
        <f t="shared" si="82"/>
        <v>51</v>
      </c>
      <c r="AF276" s="37">
        <f>X276*$AF$1</f>
        <v>25190.665199999999</v>
      </c>
      <c r="AI276" s="37">
        <f t="shared" si="91"/>
        <v>2158.7745</v>
      </c>
      <c r="AJ276" s="37">
        <f t="shared" si="92"/>
        <v>1831.2363</v>
      </c>
      <c r="AK276" s="37">
        <f t="shared" si="93"/>
        <v>2815.041948</v>
      </c>
      <c r="AL276" s="23">
        <v>140.04</v>
      </c>
      <c r="AM276" s="23">
        <f t="shared" si="83"/>
        <v>140.04</v>
      </c>
      <c r="AN276" s="22">
        <v>79.2</v>
      </c>
      <c r="AO276" s="22">
        <f t="shared" si="79"/>
        <v>79.2</v>
      </c>
      <c r="AP276" s="23">
        <v>23232</v>
      </c>
      <c r="AQ276" s="23">
        <f t="shared" si="80"/>
        <v>24164.764800000001</v>
      </c>
      <c r="AR276" s="23">
        <f t="shared" si="84"/>
        <v>24164.764800000001</v>
      </c>
      <c r="AS276" s="23">
        <f t="shared" si="87"/>
        <v>24384.004800000002</v>
      </c>
      <c r="AT276" s="37">
        <v>2400</v>
      </c>
      <c r="AU276" s="20">
        <f t="shared" si="85"/>
        <v>2400</v>
      </c>
      <c r="AV276" s="37">
        <f t="shared" si="81"/>
        <v>58779.722748</v>
      </c>
      <c r="AW276" s="37">
        <f t="shared" si="88"/>
        <v>207660.722748</v>
      </c>
      <c r="BA276" s="20" t="str">
        <f t="shared" si="86"/>
        <v xml:space="preserve">1 - DEAN_TWD - Cowden, Clint </v>
      </c>
    </row>
    <row r="277" spans="1:53" ht="12.75" customHeight="1" x14ac:dyDescent="0.25">
      <c r="A277" s="20">
        <v>268</v>
      </c>
      <c r="B277" s="35" t="s">
        <v>7216</v>
      </c>
      <c r="C277" s="20" t="s">
        <v>7241</v>
      </c>
      <c r="D277" s="20" t="s">
        <v>7242</v>
      </c>
      <c r="E277" s="25">
        <v>1</v>
      </c>
      <c r="F277" s="34">
        <v>44621</v>
      </c>
      <c r="G277" s="35" t="s">
        <v>7243</v>
      </c>
      <c r="H277" s="35" t="s">
        <v>6783</v>
      </c>
      <c r="I277" s="22">
        <f>136556/12*8</f>
        <v>91037.333333333328</v>
      </c>
      <c r="J277" s="35" t="s">
        <v>6729</v>
      </c>
      <c r="K277" s="23">
        <f>140603/12*4</f>
        <v>46867.666666666664</v>
      </c>
      <c r="L277" s="23">
        <f t="shared" si="89"/>
        <v>137905</v>
      </c>
      <c r="U277" s="80"/>
      <c r="V277" s="23">
        <f t="shared" si="78"/>
        <v>137905</v>
      </c>
      <c r="W277" s="25">
        <v>0.85</v>
      </c>
      <c r="X277" s="23">
        <f t="shared" si="90"/>
        <v>117219.25</v>
      </c>
      <c r="Y277" s="20" t="s">
        <v>1055</v>
      </c>
      <c r="Z277" s="35" t="s">
        <v>6758</v>
      </c>
      <c r="AA277" s="35" t="s">
        <v>6804</v>
      </c>
      <c r="AB277" s="35" t="s">
        <v>6733</v>
      </c>
      <c r="AC277" s="35" t="s">
        <v>6805</v>
      </c>
      <c r="AD277" s="35" t="s">
        <v>7219</v>
      </c>
      <c r="AE277" s="37" t="str">
        <f t="shared" si="82"/>
        <v>51</v>
      </c>
      <c r="AG277" s="37">
        <f t="shared" ref="AG277:AG283" si="94">X277*$AG$1</f>
        <v>26854.930175000001</v>
      </c>
      <c r="AH277" s="37">
        <f t="shared" ref="AH277:AH283" si="95">X277*$AH$1</f>
        <v>7267.5934999999999</v>
      </c>
      <c r="AI277" s="37">
        <f t="shared" si="91"/>
        <v>1699.6791250000001</v>
      </c>
      <c r="AJ277" s="37">
        <f t="shared" si="92"/>
        <v>1441.796775</v>
      </c>
      <c r="AK277" s="37">
        <f t="shared" si="93"/>
        <v>2216.3815790000003</v>
      </c>
      <c r="AL277" s="23">
        <v>140.04</v>
      </c>
      <c r="AM277" s="23">
        <f t="shared" si="83"/>
        <v>119.03399999999999</v>
      </c>
      <c r="AN277" s="22">
        <v>79.2</v>
      </c>
      <c r="AO277" s="22">
        <f t="shared" si="79"/>
        <v>67.320000000000007</v>
      </c>
      <c r="AP277" s="23">
        <v>23232</v>
      </c>
      <c r="AQ277" s="23">
        <f t="shared" si="80"/>
        <v>24164.764800000001</v>
      </c>
      <c r="AR277" s="23">
        <f t="shared" si="84"/>
        <v>20540.050080000001</v>
      </c>
      <c r="AS277" s="23">
        <f t="shared" si="87"/>
        <v>20726.40408</v>
      </c>
      <c r="AT277" s="37">
        <v>2040</v>
      </c>
      <c r="AU277" s="20">
        <f t="shared" si="85"/>
        <v>1734</v>
      </c>
      <c r="AV277" s="37">
        <f t="shared" si="81"/>
        <v>61940.78523400001</v>
      </c>
      <c r="AW277" s="37">
        <f t="shared" si="88"/>
        <v>179160.03523400001</v>
      </c>
      <c r="BA277" s="20" t="str">
        <f t="shared" si="86"/>
        <v>0.85 - INTERIM-DEAN_AA - Cowden, Joy F</v>
      </c>
    </row>
    <row r="278" spans="1:53" ht="12.75" customHeight="1" x14ac:dyDescent="0.25">
      <c r="A278" s="20">
        <v>269</v>
      </c>
      <c r="B278" s="35" t="s">
        <v>7216</v>
      </c>
      <c r="C278" s="20" t="s">
        <v>7244</v>
      </c>
      <c r="D278" s="20" t="s">
        <v>7245</v>
      </c>
      <c r="E278" s="25">
        <v>1</v>
      </c>
      <c r="F278" s="34"/>
      <c r="G278" s="35">
        <v>1.1000000000000001</v>
      </c>
      <c r="H278" s="35" t="s">
        <v>6741</v>
      </c>
      <c r="J278" s="35"/>
      <c r="K278" s="23">
        <v>172511</v>
      </c>
      <c r="L278" s="23">
        <f t="shared" si="89"/>
        <v>172511</v>
      </c>
      <c r="U278" s="80"/>
      <c r="V278" s="23">
        <f t="shared" si="78"/>
        <v>172511</v>
      </c>
      <c r="W278" s="25">
        <v>1</v>
      </c>
      <c r="X278" s="23">
        <f t="shared" si="90"/>
        <v>172511</v>
      </c>
      <c r="Y278" s="20" t="s">
        <v>667</v>
      </c>
      <c r="Z278" s="35" t="s">
        <v>6758</v>
      </c>
      <c r="AA278" s="35" t="s">
        <v>6861</v>
      </c>
      <c r="AB278" s="35" t="s">
        <v>6733</v>
      </c>
      <c r="AC278" s="35" t="s">
        <v>6862</v>
      </c>
      <c r="AD278" s="35" t="s">
        <v>7224</v>
      </c>
      <c r="AE278" s="37" t="str">
        <f t="shared" si="82"/>
        <v>52</v>
      </c>
      <c r="AG278" s="37">
        <f t="shared" si="94"/>
        <v>39522.270100000002</v>
      </c>
      <c r="AH278" s="37">
        <f t="shared" si="95"/>
        <v>10695.682000000001</v>
      </c>
      <c r="AI278" s="37">
        <f t="shared" si="91"/>
        <v>2501.4095000000002</v>
      </c>
      <c r="AJ278" s="37">
        <f t="shared" si="92"/>
        <v>2121.8852999999999</v>
      </c>
      <c r="AK278" s="37">
        <f t="shared" si="93"/>
        <v>3261.8379880000002</v>
      </c>
      <c r="AL278" s="23">
        <v>140.04</v>
      </c>
      <c r="AM278" s="23">
        <f t="shared" si="83"/>
        <v>140.04</v>
      </c>
      <c r="AN278" s="22">
        <v>79.2</v>
      </c>
      <c r="AO278" s="22">
        <f t="shared" si="79"/>
        <v>79.2</v>
      </c>
      <c r="AP278" s="23">
        <v>25452.6</v>
      </c>
      <c r="AQ278" s="23">
        <f t="shared" si="80"/>
        <v>26474.521889999996</v>
      </c>
      <c r="AR278" s="23">
        <f t="shared" si="84"/>
        <v>26474.521889999996</v>
      </c>
      <c r="AS278" s="23">
        <f t="shared" si="87"/>
        <v>26693.761889999998</v>
      </c>
      <c r="AU278" s="20">
        <f t="shared" si="85"/>
        <v>0</v>
      </c>
      <c r="AV278" s="37">
        <f t="shared" si="81"/>
        <v>84796.846778000006</v>
      </c>
      <c r="AW278" s="37">
        <f t="shared" si="88"/>
        <v>257307.84677800001</v>
      </c>
      <c r="BA278" s="20" t="str">
        <f t="shared" si="86"/>
        <v>1 - VP_ADMSRV - Crow, Steven</v>
      </c>
    </row>
    <row r="279" spans="1:53" ht="12.75" customHeight="1" x14ac:dyDescent="0.25">
      <c r="A279" s="20">
        <v>270</v>
      </c>
      <c r="B279" s="35" t="s">
        <v>7216</v>
      </c>
      <c r="C279" s="20" t="s">
        <v>7246</v>
      </c>
      <c r="D279" s="20" t="s">
        <v>7247</v>
      </c>
      <c r="E279" s="25">
        <v>1</v>
      </c>
      <c r="G279" s="35">
        <v>1.1000000000000001</v>
      </c>
      <c r="H279" s="35" t="s">
        <v>6741</v>
      </c>
      <c r="J279" s="35"/>
      <c r="K279" s="23">
        <v>172511</v>
      </c>
      <c r="L279" s="23">
        <f t="shared" si="89"/>
        <v>172511</v>
      </c>
      <c r="U279" s="80"/>
      <c r="V279" s="23">
        <f t="shared" si="78"/>
        <v>172511</v>
      </c>
      <c r="W279" s="25">
        <v>1</v>
      </c>
      <c r="X279" s="23">
        <f t="shared" si="90"/>
        <v>172511</v>
      </c>
      <c r="Y279" s="20" t="s">
        <v>564</v>
      </c>
      <c r="Z279" s="35" t="s">
        <v>6758</v>
      </c>
      <c r="AA279" s="35" t="s">
        <v>7199</v>
      </c>
      <c r="AB279" s="35" t="s">
        <v>6733</v>
      </c>
      <c r="AC279" s="35" t="s">
        <v>7200</v>
      </c>
      <c r="AD279" s="35" t="s">
        <v>7224</v>
      </c>
      <c r="AE279" s="37" t="str">
        <f t="shared" si="82"/>
        <v>52</v>
      </c>
      <c r="AG279" s="37">
        <f t="shared" si="94"/>
        <v>39522.270100000002</v>
      </c>
      <c r="AH279" s="37">
        <f t="shared" si="95"/>
        <v>10695.682000000001</v>
      </c>
      <c r="AI279" s="37">
        <f t="shared" si="91"/>
        <v>2501.4095000000002</v>
      </c>
      <c r="AJ279" s="37">
        <f t="shared" si="92"/>
        <v>2121.8852999999999</v>
      </c>
      <c r="AK279" s="37">
        <f t="shared" si="93"/>
        <v>3261.8379880000002</v>
      </c>
      <c r="AL279" s="23">
        <v>140.04</v>
      </c>
      <c r="AM279" s="23">
        <f t="shared" si="83"/>
        <v>140.04</v>
      </c>
      <c r="AN279" s="22">
        <v>79.2</v>
      </c>
      <c r="AO279" s="22">
        <f t="shared" si="79"/>
        <v>79.2</v>
      </c>
      <c r="AP279" s="23">
        <v>33444</v>
      </c>
      <c r="AQ279" s="23">
        <f t="shared" si="80"/>
        <v>34786.776599999997</v>
      </c>
      <c r="AR279" s="23">
        <f t="shared" si="84"/>
        <v>34786.776599999997</v>
      </c>
      <c r="AS279" s="23">
        <f t="shared" si="87"/>
        <v>35006.016599999995</v>
      </c>
      <c r="AU279" s="20">
        <f t="shared" si="85"/>
        <v>0</v>
      </c>
      <c r="AV279" s="37">
        <f t="shared" si="81"/>
        <v>93109.101488</v>
      </c>
      <c r="AW279" s="37">
        <f t="shared" si="88"/>
        <v>265620.10148800001</v>
      </c>
      <c r="BA279" s="20" t="str">
        <f t="shared" si="86"/>
        <v>1 - VP_ADVDVP - Cruz, Jaqueline</v>
      </c>
    </row>
    <row r="280" spans="1:53" ht="12.75" hidden="1" customHeight="1" x14ac:dyDescent="0.25">
      <c r="A280" s="20">
        <v>271</v>
      </c>
      <c r="B280" s="35" t="s">
        <v>7216</v>
      </c>
      <c r="C280" s="20" t="s">
        <v>7248</v>
      </c>
      <c r="D280" s="20" t="s">
        <v>7232</v>
      </c>
      <c r="E280" s="25">
        <v>1</v>
      </c>
      <c r="F280" s="34">
        <v>44621</v>
      </c>
      <c r="G280" s="35">
        <v>11</v>
      </c>
      <c r="H280" s="35" t="s">
        <v>6729</v>
      </c>
      <c r="I280" s="22">
        <f>9746/12*8</f>
        <v>6497.333333333333</v>
      </c>
      <c r="J280" s="35" t="s">
        <v>6730</v>
      </c>
      <c r="K280" s="23">
        <f>95781/12*4</f>
        <v>31927</v>
      </c>
      <c r="L280" s="23">
        <f t="shared" si="89"/>
        <v>38424.333333333336</v>
      </c>
      <c r="U280" s="80"/>
      <c r="V280" s="23">
        <f t="shared" si="78"/>
        <v>38424.333333333336</v>
      </c>
      <c r="W280" s="25">
        <v>0.15</v>
      </c>
      <c r="X280" s="23">
        <f t="shared" si="90"/>
        <v>5763.6500000000005</v>
      </c>
      <c r="Y280" s="20" t="s">
        <v>3710</v>
      </c>
      <c r="Z280" s="35" t="s">
        <v>6731</v>
      </c>
      <c r="AA280" s="35" t="s">
        <v>6804</v>
      </c>
      <c r="AB280" s="35" t="s">
        <v>6733</v>
      </c>
      <c r="AC280" s="35" t="s">
        <v>6819</v>
      </c>
      <c r="AD280" s="35" t="s">
        <v>7224</v>
      </c>
      <c r="AE280" s="37" t="str">
        <f t="shared" si="82"/>
        <v>52</v>
      </c>
      <c r="AG280" s="37">
        <f t="shared" si="94"/>
        <v>1320.452215</v>
      </c>
      <c r="AH280" s="37">
        <f t="shared" si="95"/>
        <v>357.34630000000004</v>
      </c>
      <c r="AI280" s="37">
        <f t="shared" si="91"/>
        <v>83.572925000000012</v>
      </c>
      <c r="AJ280" s="37">
        <f t="shared" si="92"/>
        <v>70.89289500000001</v>
      </c>
      <c r="AK280" s="37">
        <f t="shared" si="93"/>
        <v>108.97909420000002</v>
      </c>
      <c r="AL280" s="23">
        <v>140.04</v>
      </c>
      <c r="AM280" s="23">
        <f t="shared" si="83"/>
        <v>21.005999999999997</v>
      </c>
      <c r="AN280" s="22">
        <v>79.2</v>
      </c>
      <c r="AO280" s="22">
        <f t="shared" si="79"/>
        <v>11.88</v>
      </c>
      <c r="AP280" s="23">
        <v>33444</v>
      </c>
      <c r="AQ280" s="23">
        <f t="shared" si="80"/>
        <v>34786.776599999997</v>
      </c>
      <c r="AR280" s="23">
        <f t="shared" si="84"/>
        <v>5218.0164899999991</v>
      </c>
      <c r="AS280" s="23">
        <f t="shared" si="87"/>
        <v>5250.9024899999995</v>
      </c>
      <c r="AU280" s="20">
        <f t="shared" si="85"/>
        <v>0</v>
      </c>
      <c r="AV280" s="37">
        <f t="shared" si="81"/>
        <v>7192.1459191999993</v>
      </c>
      <c r="AW280" s="37">
        <f t="shared" si="88"/>
        <v>12955.7959192</v>
      </c>
      <c r="AX280" s="20" t="s">
        <v>6675</v>
      </c>
      <c r="AY280" s="20" t="s">
        <v>6820</v>
      </c>
      <c r="AZ280" s="20" t="s">
        <v>6821</v>
      </c>
      <c r="BA280" s="20" t="str">
        <f t="shared" si="86"/>
        <v>0.15 - GRPR_DIR - Ejan, Jihan N</v>
      </c>
    </row>
    <row r="281" spans="1:53" ht="12.75" hidden="1" customHeight="1" x14ac:dyDescent="0.25">
      <c r="A281" s="20">
        <v>272</v>
      </c>
      <c r="B281" s="35" t="s">
        <v>7216</v>
      </c>
      <c r="C281" s="20" t="s">
        <v>7248</v>
      </c>
      <c r="D281" s="20" t="s">
        <v>7232</v>
      </c>
      <c r="E281" s="25">
        <v>1</v>
      </c>
      <c r="F281" s="34">
        <v>44621</v>
      </c>
      <c r="G281" s="35">
        <v>11</v>
      </c>
      <c r="H281" s="35" t="s">
        <v>6729</v>
      </c>
      <c r="I281" s="22">
        <f>9746/12*8</f>
        <v>6497.333333333333</v>
      </c>
      <c r="J281" s="35" t="s">
        <v>6730</v>
      </c>
      <c r="K281" s="23">
        <f>95781/12*4</f>
        <v>31927</v>
      </c>
      <c r="L281" s="23">
        <f t="shared" si="89"/>
        <v>38424.333333333336</v>
      </c>
      <c r="U281" s="80"/>
      <c r="V281" s="23">
        <f t="shared" si="78"/>
        <v>38424.333333333336</v>
      </c>
      <c r="W281" s="25">
        <v>0.85</v>
      </c>
      <c r="X281" s="23">
        <f t="shared" si="90"/>
        <v>32660.683333333334</v>
      </c>
      <c r="Y281" s="20" t="s">
        <v>3756</v>
      </c>
      <c r="Z281" s="35" t="s">
        <v>6731</v>
      </c>
      <c r="AA281" s="35" t="s">
        <v>6804</v>
      </c>
      <c r="AB281" s="35" t="s">
        <v>6733</v>
      </c>
      <c r="AC281" s="35" t="s">
        <v>6822</v>
      </c>
      <c r="AD281" s="35" t="s">
        <v>7224</v>
      </c>
      <c r="AE281" s="37" t="str">
        <f t="shared" si="82"/>
        <v>52</v>
      </c>
      <c r="AG281" s="37">
        <f t="shared" si="94"/>
        <v>7482.5625516666669</v>
      </c>
      <c r="AH281" s="37">
        <f t="shared" si="95"/>
        <v>2024.9623666666666</v>
      </c>
      <c r="AI281" s="37">
        <f t="shared" si="91"/>
        <v>473.57990833333338</v>
      </c>
      <c r="AJ281" s="37">
        <f t="shared" si="92"/>
        <v>401.726405</v>
      </c>
      <c r="AK281" s="37">
        <f t="shared" si="93"/>
        <v>617.54820046666669</v>
      </c>
      <c r="AL281" s="23">
        <v>140.04</v>
      </c>
      <c r="AM281" s="23">
        <f t="shared" si="83"/>
        <v>119.03399999999999</v>
      </c>
      <c r="AN281" s="22">
        <v>79.2</v>
      </c>
      <c r="AO281" s="22">
        <f t="shared" si="79"/>
        <v>67.320000000000007</v>
      </c>
      <c r="AP281" s="23">
        <v>33444</v>
      </c>
      <c r="AQ281" s="23">
        <f t="shared" si="80"/>
        <v>34786.776599999997</v>
      </c>
      <c r="AR281" s="23">
        <f t="shared" si="84"/>
        <v>29568.760109999996</v>
      </c>
      <c r="AS281" s="23">
        <f t="shared" si="87"/>
        <v>29755.114109999995</v>
      </c>
      <c r="AU281" s="20">
        <f t="shared" si="85"/>
        <v>0</v>
      </c>
      <c r="AV281" s="37">
        <f t="shared" si="81"/>
        <v>40755.493542133328</v>
      </c>
      <c r="AW281" s="37">
        <f t="shared" si="88"/>
        <v>73416.176875466655</v>
      </c>
      <c r="AX281" s="20" t="s">
        <v>6675</v>
      </c>
      <c r="AY281" s="20" t="s">
        <v>6820</v>
      </c>
      <c r="AZ281" s="20" t="s">
        <v>6823</v>
      </c>
      <c r="BA281" s="20" t="str">
        <f t="shared" si="86"/>
        <v>0.85 - GRPR_DIR - Ejan, Jihan N</v>
      </c>
    </row>
    <row r="282" spans="1:53" s="39" customFormat="1" ht="12.75" customHeight="1" x14ac:dyDescent="0.25">
      <c r="A282" s="20">
        <v>273</v>
      </c>
      <c r="B282" s="43" t="s">
        <v>7216</v>
      </c>
      <c r="C282" s="39" t="s">
        <v>9962</v>
      </c>
      <c r="D282" s="39" t="s">
        <v>7249</v>
      </c>
      <c r="E282" s="46">
        <v>1</v>
      </c>
      <c r="F282" s="42">
        <v>44652</v>
      </c>
      <c r="G282" s="43">
        <v>1.1000000000000001</v>
      </c>
      <c r="H282" s="43" t="s">
        <v>6730</v>
      </c>
      <c r="I282" s="44">
        <f>168191/12*9</f>
        <v>126143.25</v>
      </c>
      <c r="J282" s="43" t="s">
        <v>6741</v>
      </c>
      <c r="K282" s="45">
        <f>172511/12*3</f>
        <v>43127.75</v>
      </c>
      <c r="L282" s="45">
        <f t="shared" si="89"/>
        <v>169271</v>
      </c>
      <c r="M282" s="45"/>
      <c r="N282" s="45"/>
      <c r="O282" s="46"/>
      <c r="P282" s="45"/>
      <c r="Q282" s="47"/>
      <c r="R282" s="45"/>
      <c r="S282" s="47"/>
      <c r="T282" s="45"/>
      <c r="U282" s="81"/>
      <c r="V282" s="45">
        <f t="shared" si="78"/>
        <v>169271</v>
      </c>
      <c r="W282" s="46">
        <v>1</v>
      </c>
      <c r="X282" s="45">
        <f t="shared" si="90"/>
        <v>169271</v>
      </c>
      <c r="Y282" s="39" t="s">
        <v>3248</v>
      </c>
      <c r="Z282" s="43" t="s">
        <v>6758</v>
      </c>
      <c r="AA282" s="43" t="s">
        <v>7180</v>
      </c>
      <c r="AB282" s="43" t="s">
        <v>6733</v>
      </c>
      <c r="AC282" s="43" t="s">
        <v>7181</v>
      </c>
      <c r="AD282" s="43" t="s">
        <v>7224</v>
      </c>
      <c r="AE282" s="49" t="str">
        <f t="shared" si="82"/>
        <v>52</v>
      </c>
      <c r="AG282" s="49">
        <f t="shared" si="94"/>
        <v>38779.986100000002</v>
      </c>
      <c r="AH282" s="49">
        <f t="shared" si="95"/>
        <v>10494.802</v>
      </c>
      <c r="AI282" s="49">
        <f t="shared" si="91"/>
        <v>2454.4295000000002</v>
      </c>
      <c r="AJ282" s="49">
        <f t="shared" si="92"/>
        <v>2082.0333000000001</v>
      </c>
      <c r="AK282" s="49">
        <f t="shared" si="93"/>
        <v>3200.5760680000003</v>
      </c>
      <c r="AL282" s="45">
        <v>140.04</v>
      </c>
      <c r="AM282" s="45">
        <f t="shared" si="83"/>
        <v>140.04</v>
      </c>
      <c r="AN282" s="44">
        <v>79.2</v>
      </c>
      <c r="AO282" s="44">
        <f t="shared" si="79"/>
        <v>79.2</v>
      </c>
      <c r="AP282" s="45">
        <v>8820</v>
      </c>
      <c r="AQ282" s="45">
        <f t="shared" si="80"/>
        <v>9174.1229999999996</v>
      </c>
      <c r="AR282" s="45">
        <f t="shared" si="84"/>
        <v>9174.1229999999996</v>
      </c>
      <c r="AS282" s="45">
        <f t="shared" si="87"/>
        <v>9393.3629999999994</v>
      </c>
      <c r="AT282" s="49">
        <v>2400</v>
      </c>
      <c r="AU282" s="39">
        <f t="shared" si="85"/>
        <v>2400</v>
      </c>
      <c r="AV282" s="49">
        <f t="shared" si="81"/>
        <v>68805.189968000006</v>
      </c>
      <c r="AW282" s="49">
        <f t="shared" si="88"/>
        <v>238076.18996799999</v>
      </c>
      <c r="BA282" s="39" t="str">
        <f t="shared" si="86"/>
        <v>1 - AVP_HREOO - To be hired - VACANT (Engeldinger, Lyle)</v>
      </c>
    </row>
    <row r="283" spans="1:53" s="39" customFormat="1" ht="12.75" customHeight="1" x14ac:dyDescent="0.25">
      <c r="A283" s="39">
        <v>274</v>
      </c>
      <c r="B283" s="43" t="s">
        <v>7216</v>
      </c>
      <c r="C283" s="216" t="s">
        <v>9965</v>
      </c>
      <c r="D283" s="39" t="s">
        <v>7250</v>
      </c>
      <c r="E283" s="41">
        <v>1</v>
      </c>
      <c r="G283" s="43">
        <v>5</v>
      </c>
      <c r="H283" s="43" t="s">
        <v>6741</v>
      </c>
      <c r="I283" s="44"/>
      <c r="J283" s="43"/>
      <c r="K283" s="45">
        <v>136556</v>
      </c>
      <c r="L283" s="45">
        <f t="shared" si="89"/>
        <v>136556</v>
      </c>
      <c r="M283" s="45"/>
      <c r="N283" s="45"/>
      <c r="O283" s="46"/>
      <c r="P283" s="45"/>
      <c r="Q283" s="47"/>
      <c r="R283" s="45"/>
      <c r="S283" s="47"/>
      <c r="T283" s="45"/>
      <c r="U283" s="81"/>
      <c r="V283" s="45">
        <f t="shared" si="78"/>
        <v>136556</v>
      </c>
      <c r="W283" s="46">
        <v>1</v>
      </c>
      <c r="X283" s="45">
        <f t="shared" si="90"/>
        <v>136556</v>
      </c>
      <c r="Y283" s="39" t="s">
        <v>564</v>
      </c>
      <c r="Z283" s="43" t="s">
        <v>6758</v>
      </c>
      <c r="AA283" s="43" t="s">
        <v>7199</v>
      </c>
      <c r="AB283" s="43" t="s">
        <v>6733</v>
      </c>
      <c r="AC283" s="43" t="s">
        <v>7200</v>
      </c>
      <c r="AD283" s="43" t="s">
        <v>7224</v>
      </c>
      <c r="AE283" s="49" t="str">
        <f t="shared" si="82"/>
        <v>52</v>
      </c>
      <c r="AG283" s="49">
        <f t="shared" si="94"/>
        <v>31284.979599999999</v>
      </c>
      <c r="AH283" s="49">
        <f t="shared" si="95"/>
        <v>8466.4719999999998</v>
      </c>
      <c r="AI283" s="49">
        <f t="shared" si="91"/>
        <v>1980.0620000000001</v>
      </c>
      <c r="AJ283" s="49">
        <f t="shared" si="92"/>
        <v>1679.6387999999999</v>
      </c>
      <c r="AK283" s="49">
        <f t="shared" si="93"/>
        <v>2582.0008480000001</v>
      </c>
      <c r="AL283" s="45">
        <v>140.04</v>
      </c>
      <c r="AM283" s="45">
        <f t="shared" si="83"/>
        <v>140.04</v>
      </c>
      <c r="AN283" s="44">
        <v>79.2</v>
      </c>
      <c r="AO283" s="44">
        <f t="shared" si="79"/>
        <v>79.2</v>
      </c>
      <c r="AP283" s="45">
        <v>33444</v>
      </c>
      <c r="AQ283" s="45">
        <f t="shared" si="80"/>
        <v>34786.776599999997</v>
      </c>
      <c r="AR283" s="45">
        <f t="shared" si="84"/>
        <v>34786.776599999997</v>
      </c>
      <c r="AS283" s="45">
        <f t="shared" si="87"/>
        <v>35006.016599999995</v>
      </c>
      <c r="AU283" s="39">
        <f t="shared" si="85"/>
        <v>0</v>
      </c>
      <c r="AV283" s="49">
        <f t="shared" si="81"/>
        <v>80999.16984799999</v>
      </c>
      <c r="AW283" s="226">
        <f t="shared" si="88"/>
        <v>217555.16984799999</v>
      </c>
      <c r="BA283" s="39" t="str">
        <f t="shared" si="86"/>
        <v>1 - DIR_CMPR - VACANT (Faust, Scott C)</v>
      </c>
    </row>
    <row r="284" spans="1:53" ht="12.75" customHeight="1" x14ac:dyDescent="0.25">
      <c r="A284" s="20">
        <v>275</v>
      </c>
      <c r="B284" s="35" t="s">
        <v>7216</v>
      </c>
      <c r="C284" s="20" t="s">
        <v>7251</v>
      </c>
      <c r="D284" s="20" t="s">
        <v>7252</v>
      </c>
      <c r="E284" s="25">
        <v>1</v>
      </c>
      <c r="F284" s="34">
        <v>44378</v>
      </c>
      <c r="G284" s="35">
        <v>3</v>
      </c>
      <c r="H284" s="35" t="s">
        <v>6741</v>
      </c>
      <c r="J284" s="35"/>
      <c r="K284" s="23">
        <v>148881</v>
      </c>
      <c r="L284" s="23">
        <f t="shared" si="89"/>
        <v>148881</v>
      </c>
      <c r="U284" s="80"/>
      <c r="V284" s="23">
        <f t="shared" si="78"/>
        <v>148881</v>
      </c>
      <c r="W284" s="25">
        <v>1</v>
      </c>
      <c r="X284" s="23">
        <f t="shared" si="90"/>
        <v>148881</v>
      </c>
      <c r="Y284" s="20" t="s">
        <v>476</v>
      </c>
      <c r="Z284" s="35" t="s">
        <v>6758</v>
      </c>
      <c r="AA284" s="35" t="s">
        <v>6869</v>
      </c>
      <c r="AB284" s="35" t="s">
        <v>6870</v>
      </c>
      <c r="AC284" s="35" t="s">
        <v>6805</v>
      </c>
      <c r="AD284" s="35" t="s">
        <v>7219</v>
      </c>
      <c r="AE284" s="37" t="str">
        <f t="shared" si="82"/>
        <v>51</v>
      </c>
      <c r="AF284" s="37">
        <f t="shared" ref="AF284:AF291" si="96">X284*$AF$1</f>
        <v>25190.665199999999</v>
      </c>
      <c r="AI284" s="37">
        <f t="shared" si="91"/>
        <v>2158.7745</v>
      </c>
      <c r="AJ284" s="37">
        <f t="shared" si="92"/>
        <v>1831.2363</v>
      </c>
      <c r="AK284" s="37">
        <f t="shared" si="93"/>
        <v>2815.041948</v>
      </c>
      <c r="AL284" s="23">
        <v>140.04</v>
      </c>
      <c r="AM284" s="23">
        <f t="shared" si="83"/>
        <v>140.04</v>
      </c>
      <c r="AN284" s="22">
        <v>79.2</v>
      </c>
      <c r="AO284" s="22">
        <f t="shared" si="79"/>
        <v>79.2</v>
      </c>
      <c r="AP284" s="23">
        <v>23148.6</v>
      </c>
      <c r="AQ284" s="23">
        <f t="shared" si="80"/>
        <v>24078.01629</v>
      </c>
      <c r="AR284" s="23">
        <f t="shared" si="84"/>
        <v>24078.01629</v>
      </c>
      <c r="AS284" s="23">
        <f t="shared" si="87"/>
        <v>24297.256290000001</v>
      </c>
      <c r="AU284" s="20">
        <f t="shared" si="85"/>
        <v>0</v>
      </c>
      <c r="AV284" s="37">
        <f t="shared" si="81"/>
        <v>56292.974237999995</v>
      </c>
      <c r="AW284" s="37">
        <f t="shared" si="88"/>
        <v>205173.974238</v>
      </c>
      <c r="BA284" s="20" t="str">
        <f t="shared" si="86"/>
        <v>1 - DEAN_AA - Ghous, Mostafa</v>
      </c>
    </row>
    <row r="285" spans="1:53" s="39" customFormat="1" ht="12.75" customHeight="1" x14ac:dyDescent="0.25">
      <c r="A285" s="39">
        <v>276</v>
      </c>
      <c r="B285" s="43" t="s">
        <v>7216</v>
      </c>
      <c r="C285" s="39" t="s">
        <v>7253</v>
      </c>
      <c r="D285" s="40" t="s">
        <v>7254</v>
      </c>
      <c r="E285" s="46">
        <v>1</v>
      </c>
      <c r="F285" s="42"/>
      <c r="G285" s="43" t="s">
        <v>7255</v>
      </c>
      <c r="H285" s="43" t="s">
        <v>6730</v>
      </c>
      <c r="I285" s="45">
        <f>ROUND((108107/12)*5,0)</f>
        <v>45045</v>
      </c>
      <c r="J285" s="43" t="s">
        <v>6741</v>
      </c>
      <c r="K285" s="45">
        <f>ROUND((112132/12)*7,0)</f>
        <v>65410</v>
      </c>
      <c r="L285" s="45">
        <f t="shared" si="89"/>
        <v>110455</v>
      </c>
      <c r="M285" s="45"/>
      <c r="N285" s="45"/>
      <c r="O285" s="46"/>
      <c r="P285" s="45"/>
      <c r="Q285" s="47"/>
      <c r="R285" s="45"/>
      <c r="S285" s="47"/>
      <c r="T285" s="45"/>
      <c r="U285" s="81"/>
      <c r="V285" s="45">
        <f t="shared" si="78"/>
        <v>110455</v>
      </c>
      <c r="W285" s="46">
        <v>0.18</v>
      </c>
      <c r="X285" s="45">
        <f t="shared" si="90"/>
        <v>19881.899999999998</v>
      </c>
      <c r="Y285" s="39" t="s">
        <v>2704</v>
      </c>
      <c r="Z285" s="43" t="s">
        <v>6758</v>
      </c>
      <c r="AA285" s="43" t="s">
        <v>7638</v>
      </c>
      <c r="AB285" s="43" t="s">
        <v>6733</v>
      </c>
      <c r="AC285" s="43" t="s">
        <v>6805</v>
      </c>
      <c r="AD285" s="43" t="s">
        <v>7219</v>
      </c>
      <c r="AE285" s="37" t="str">
        <f t="shared" si="82"/>
        <v>51</v>
      </c>
      <c r="AF285" s="49">
        <f t="shared" si="96"/>
        <v>3364.0174799999995</v>
      </c>
      <c r="AI285" s="49">
        <f t="shared" si="91"/>
        <v>288.28755000000001</v>
      </c>
      <c r="AJ285" s="49">
        <f t="shared" si="92"/>
        <v>244.54736999999997</v>
      </c>
      <c r="AK285" s="49">
        <f t="shared" si="93"/>
        <v>375.92696519999998</v>
      </c>
      <c r="AL285" s="45">
        <v>140.04</v>
      </c>
      <c r="AM285" s="23">
        <f t="shared" si="83"/>
        <v>25.207199999999997</v>
      </c>
      <c r="AN285" s="44">
        <v>79.2</v>
      </c>
      <c r="AO285" s="22">
        <f t="shared" si="79"/>
        <v>14.256</v>
      </c>
      <c r="AP285" s="45">
        <v>23232</v>
      </c>
      <c r="AQ285" s="23">
        <f t="shared" si="80"/>
        <v>24164.764800000001</v>
      </c>
      <c r="AR285" s="23">
        <f t="shared" si="84"/>
        <v>4349.6576640000003</v>
      </c>
      <c r="AS285" s="45">
        <f t="shared" si="87"/>
        <v>4389.1208640000004</v>
      </c>
      <c r="AT285" s="49">
        <v>2400</v>
      </c>
      <c r="AU285" s="20">
        <f t="shared" si="85"/>
        <v>432</v>
      </c>
      <c r="AV285" s="37">
        <f t="shared" si="81"/>
        <v>9093.9002292000005</v>
      </c>
      <c r="AW285" s="49">
        <f t="shared" si="88"/>
        <v>28975.800229199998</v>
      </c>
      <c r="BA285" s="39" t="str">
        <f t="shared" si="86"/>
        <v xml:space="preserve">0.18 - DIR_AEWD/SCES - Gonzalez, Ana </v>
      </c>
    </row>
    <row r="286" spans="1:53" s="39" customFormat="1" ht="12.75" hidden="1" customHeight="1" x14ac:dyDescent="0.25">
      <c r="A286" s="39">
        <v>277</v>
      </c>
      <c r="B286" s="43" t="s">
        <v>7216</v>
      </c>
      <c r="C286" s="39" t="s">
        <v>7253</v>
      </c>
      <c r="D286" s="40" t="s">
        <v>7254</v>
      </c>
      <c r="E286" s="46">
        <v>1</v>
      </c>
      <c r="F286" s="42"/>
      <c r="G286" s="43" t="s">
        <v>7255</v>
      </c>
      <c r="H286" s="43" t="s">
        <v>6730</v>
      </c>
      <c r="I286" s="45">
        <f>ROUND((108107/12)*5,0)</f>
        <v>45045</v>
      </c>
      <c r="J286" s="43" t="s">
        <v>6741</v>
      </c>
      <c r="K286" s="45">
        <f>ROUND((112132/12)*7,0)</f>
        <v>65410</v>
      </c>
      <c r="L286" s="45">
        <f t="shared" si="89"/>
        <v>110455</v>
      </c>
      <c r="M286" s="45"/>
      <c r="N286" s="45"/>
      <c r="O286" s="46"/>
      <c r="P286" s="45"/>
      <c r="Q286" s="47"/>
      <c r="R286" s="45"/>
      <c r="S286" s="47"/>
      <c r="T286" s="45"/>
      <c r="U286" s="81"/>
      <c r="V286" s="45">
        <f t="shared" si="78"/>
        <v>110455</v>
      </c>
      <c r="W286" s="46">
        <v>0.27</v>
      </c>
      <c r="X286" s="45">
        <f t="shared" si="90"/>
        <v>29822.850000000002</v>
      </c>
      <c r="Y286" s="39" t="s">
        <v>4940</v>
      </c>
      <c r="Z286" s="43" t="s">
        <v>6731</v>
      </c>
      <c r="AA286" s="43" t="s">
        <v>6732</v>
      </c>
      <c r="AB286" s="43" t="s">
        <v>6733</v>
      </c>
      <c r="AC286" s="43" t="s">
        <v>6734</v>
      </c>
      <c r="AD286" s="43" t="s">
        <v>7219</v>
      </c>
      <c r="AE286" s="37" t="str">
        <f t="shared" si="82"/>
        <v>51</v>
      </c>
      <c r="AF286" s="49">
        <f t="shared" si="96"/>
        <v>5046.0262199999997</v>
      </c>
      <c r="AI286" s="49">
        <f t="shared" si="91"/>
        <v>432.43132500000007</v>
      </c>
      <c r="AJ286" s="49">
        <f t="shared" si="92"/>
        <v>366.82105500000006</v>
      </c>
      <c r="AK286" s="49">
        <f t="shared" si="93"/>
        <v>563.89044780000006</v>
      </c>
      <c r="AL286" s="45">
        <v>140.04</v>
      </c>
      <c r="AM286" s="23">
        <f t="shared" si="83"/>
        <v>37.8108</v>
      </c>
      <c r="AN286" s="44">
        <v>79.2</v>
      </c>
      <c r="AO286" s="22">
        <f t="shared" si="79"/>
        <v>21.384000000000004</v>
      </c>
      <c r="AP286" s="45">
        <v>23232</v>
      </c>
      <c r="AQ286" s="23">
        <f t="shared" si="80"/>
        <v>24164.764800000001</v>
      </c>
      <c r="AR286" s="23">
        <f t="shared" si="84"/>
        <v>6524.4864960000004</v>
      </c>
      <c r="AS286" s="45">
        <f t="shared" si="87"/>
        <v>6583.6812960000007</v>
      </c>
      <c r="AT286" s="49">
        <v>2400</v>
      </c>
      <c r="AU286" s="20">
        <f t="shared" si="85"/>
        <v>648</v>
      </c>
      <c r="AV286" s="37">
        <f t="shared" si="81"/>
        <v>13640.850343800001</v>
      </c>
      <c r="AW286" s="49">
        <f t="shared" si="88"/>
        <v>43463.700343800003</v>
      </c>
      <c r="AX286" s="39" t="s">
        <v>6675</v>
      </c>
      <c r="AY286" s="39" t="s">
        <v>6736</v>
      </c>
      <c r="AZ286" s="39" t="s">
        <v>6737</v>
      </c>
      <c r="BA286" s="39" t="str">
        <f t="shared" si="86"/>
        <v xml:space="preserve">0.27 - DIR_AEWD/SCES - Gonzalez, Ana </v>
      </c>
    </row>
    <row r="287" spans="1:53" s="39" customFormat="1" ht="12.75" hidden="1" customHeight="1" x14ac:dyDescent="0.25">
      <c r="A287" s="39" t="s">
        <v>7256</v>
      </c>
      <c r="B287" s="43" t="s">
        <v>7216</v>
      </c>
      <c r="C287" s="39" t="s">
        <v>7253</v>
      </c>
      <c r="D287" s="40" t="s">
        <v>7254</v>
      </c>
      <c r="E287" s="46">
        <v>1</v>
      </c>
      <c r="F287" s="42"/>
      <c r="G287" s="43" t="s">
        <v>7255</v>
      </c>
      <c r="H287" s="43" t="s">
        <v>6730</v>
      </c>
      <c r="I287" s="45">
        <f>ROUND((108107/12)*5,0)</f>
        <v>45045</v>
      </c>
      <c r="J287" s="43" t="s">
        <v>6741</v>
      </c>
      <c r="K287" s="45">
        <f>ROUND((112132/12)*7,0)</f>
        <v>65410</v>
      </c>
      <c r="L287" s="45">
        <f t="shared" si="89"/>
        <v>110455</v>
      </c>
      <c r="M287" s="45"/>
      <c r="N287" s="45"/>
      <c r="O287" s="46"/>
      <c r="P287" s="45"/>
      <c r="Q287" s="47"/>
      <c r="R287" s="45"/>
      <c r="S287" s="47"/>
      <c r="T287" s="45"/>
      <c r="U287" s="81"/>
      <c r="V287" s="45">
        <f t="shared" si="78"/>
        <v>110455</v>
      </c>
      <c r="W287" s="46">
        <v>0.12</v>
      </c>
      <c r="X287" s="45">
        <f t="shared" si="90"/>
        <v>13254.6</v>
      </c>
      <c r="Y287" s="39" t="s">
        <v>3895</v>
      </c>
      <c r="Z287" s="43" t="s">
        <v>6731</v>
      </c>
      <c r="AA287" s="43" t="s">
        <v>7257</v>
      </c>
      <c r="AB287" s="43" t="s">
        <v>7258</v>
      </c>
      <c r="AC287" s="43" t="s">
        <v>6805</v>
      </c>
      <c r="AD287" s="43" t="s">
        <v>7219</v>
      </c>
      <c r="AE287" s="37" t="str">
        <f t="shared" si="82"/>
        <v>51</v>
      </c>
      <c r="AF287" s="49">
        <f t="shared" si="96"/>
        <v>2242.67832</v>
      </c>
      <c r="AI287" s="49">
        <f t="shared" si="91"/>
        <v>192.19170000000003</v>
      </c>
      <c r="AJ287" s="49">
        <f t="shared" si="92"/>
        <v>163.03158000000002</v>
      </c>
      <c r="AK287" s="49">
        <f t="shared" si="93"/>
        <v>250.61797680000004</v>
      </c>
      <c r="AL287" s="45">
        <v>140.04</v>
      </c>
      <c r="AM287" s="23">
        <f t="shared" si="83"/>
        <v>16.8048</v>
      </c>
      <c r="AN287" s="44">
        <v>79.2</v>
      </c>
      <c r="AO287" s="22">
        <f t="shared" si="79"/>
        <v>9.5039999999999996</v>
      </c>
      <c r="AP287" s="45">
        <v>23232</v>
      </c>
      <c r="AQ287" s="23">
        <f t="shared" si="80"/>
        <v>24164.764800000001</v>
      </c>
      <c r="AR287" s="23">
        <f t="shared" si="84"/>
        <v>2899.771776</v>
      </c>
      <c r="AS287" s="45">
        <f t="shared" si="87"/>
        <v>2926.0805759999998</v>
      </c>
      <c r="AT287" s="49">
        <v>2400</v>
      </c>
      <c r="AU287" s="20">
        <f t="shared" si="85"/>
        <v>288</v>
      </c>
      <c r="AV287" s="37">
        <f t="shared" si="81"/>
        <v>6062.6001527999997</v>
      </c>
      <c r="AW287" s="49">
        <f t="shared" si="88"/>
        <v>19317.2001528</v>
      </c>
      <c r="AX287" s="39" t="s">
        <v>6675</v>
      </c>
      <c r="AY287" s="39" t="s">
        <v>6673</v>
      </c>
      <c r="AZ287" s="39" t="s">
        <v>7259</v>
      </c>
      <c r="BA287" s="39" t="str">
        <f t="shared" si="86"/>
        <v xml:space="preserve">0.12 - DIR_AEWD/SCES - Gonzalez, Ana </v>
      </c>
    </row>
    <row r="288" spans="1:53" s="39" customFormat="1" ht="12.75" hidden="1" customHeight="1" x14ac:dyDescent="0.25">
      <c r="A288" s="39">
        <v>278</v>
      </c>
      <c r="B288" s="43" t="s">
        <v>7216</v>
      </c>
      <c r="C288" s="39" t="s">
        <v>7253</v>
      </c>
      <c r="D288" s="40" t="s">
        <v>7254</v>
      </c>
      <c r="E288" s="46">
        <v>1</v>
      </c>
      <c r="F288" s="42"/>
      <c r="G288" s="43" t="s">
        <v>7255</v>
      </c>
      <c r="H288" s="43" t="s">
        <v>6730</v>
      </c>
      <c r="I288" s="45">
        <f>ROUND((108107/12)*5,0)</f>
        <v>45045</v>
      </c>
      <c r="J288" s="43" t="s">
        <v>6741</v>
      </c>
      <c r="K288" s="45">
        <f>ROUND((112132/12)*7,0)</f>
        <v>65410</v>
      </c>
      <c r="L288" s="45">
        <f t="shared" si="89"/>
        <v>110455</v>
      </c>
      <c r="M288" s="45"/>
      <c r="N288" s="45"/>
      <c r="O288" s="46"/>
      <c r="P288" s="45"/>
      <c r="Q288" s="47"/>
      <c r="R288" s="45"/>
      <c r="S288" s="47"/>
      <c r="T288" s="45"/>
      <c r="U288" s="81"/>
      <c r="V288" s="45">
        <f t="shared" si="78"/>
        <v>110455</v>
      </c>
      <c r="W288" s="46">
        <v>0.43</v>
      </c>
      <c r="X288" s="45">
        <f t="shared" si="90"/>
        <v>47495.65</v>
      </c>
      <c r="Y288" s="39" t="s">
        <v>5034</v>
      </c>
      <c r="Z288" s="43" t="s">
        <v>6731</v>
      </c>
      <c r="AA288" s="43" t="s">
        <v>6732</v>
      </c>
      <c r="AB288" s="43" t="s">
        <v>6733</v>
      </c>
      <c r="AC288" s="43" t="s">
        <v>7058</v>
      </c>
      <c r="AD288" s="43" t="s">
        <v>7219</v>
      </c>
      <c r="AE288" s="37" t="str">
        <f t="shared" si="82"/>
        <v>51</v>
      </c>
      <c r="AF288" s="49">
        <f t="shared" si="96"/>
        <v>8036.2639799999997</v>
      </c>
      <c r="AI288" s="49">
        <f t="shared" si="91"/>
        <v>688.68692500000009</v>
      </c>
      <c r="AJ288" s="49">
        <f t="shared" si="92"/>
        <v>584.19649500000003</v>
      </c>
      <c r="AK288" s="49">
        <f t="shared" si="93"/>
        <v>898.04775020000011</v>
      </c>
      <c r="AL288" s="45">
        <v>140.04</v>
      </c>
      <c r="AM288" s="23">
        <f t="shared" si="83"/>
        <v>60.217199999999998</v>
      </c>
      <c r="AN288" s="44">
        <v>79.2</v>
      </c>
      <c r="AO288" s="22">
        <f t="shared" si="79"/>
        <v>34.055999999999997</v>
      </c>
      <c r="AP288" s="45">
        <v>23232</v>
      </c>
      <c r="AQ288" s="23">
        <f t="shared" si="80"/>
        <v>24164.764800000001</v>
      </c>
      <c r="AR288" s="23">
        <f t="shared" si="84"/>
        <v>10390.848864</v>
      </c>
      <c r="AS288" s="45">
        <f t="shared" si="87"/>
        <v>10485.122063999999</v>
      </c>
      <c r="AT288" s="49">
        <v>2400</v>
      </c>
      <c r="AU288" s="20">
        <f t="shared" si="85"/>
        <v>1032</v>
      </c>
      <c r="AV288" s="37">
        <f t="shared" si="81"/>
        <v>21724.317214199997</v>
      </c>
      <c r="AW288" s="49">
        <f t="shared" si="88"/>
        <v>69219.967214200005</v>
      </c>
      <c r="AX288" s="39" t="s">
        <v>6675</v>
      </c>
      <c r="AY288" s="39" t="s">
        <v>7081</v>
      </c>
      <c r="AZ288" s="39" t="s">
        <v>7082</v>
      </c>
      <c r="BA288" s="39" t="str">
        <f t="shared" si="86"/>
        <v xml:space="preserve">0.43 - DIR_AEWD/SCES - Gonzalez, Ana </v>
      </c>
    </row>
    <row r="289" spans="1:53" ht="12.75" customHeight="1" x14ac:dyDescent="0.25">
      <c r="A289" s="20">
        <v>279</v>
      </c>
      <c r="B289" s="35" t="s">
        <v>7216</v>
      </c>
      <c r="C289" s="20" t="s">
        <v>7260</v>
      </c>
      <c r="D289" s="20" t="s">
        <v>7261</v>
      </c>
      <c r="E289" s="25">
        <v>1</v>
      </c>
      <c r="G289" s="35">
        <v>1.1000000000000001</v>
      </c>
      <c r="H289" s="35" t="s">
        <v>6741</v>
      </c>
      <c r="J289" s="35"/>
      <c r="K289" s="23">
        <v>172511</v>
      </c>
      <c r="L289" s="23">
        <f t="shared" si="89"/>
        <v>172511</v>
      </c>
      <c r="U289" s="80">
        <v>1500</v>
      </c>
      <c r="V289" s="23">
        <f t="shared" si="78"/>
        <v>174011</v>
      </c>
      <c r="W289" s="25">
        <v>1</v>
      </c>
      <c r="X289" s="23">
        <f t="shared" si="90"/>
        <v>174011</v>
      </c>
      <c r="Y289" s="20" t="s">
        <v>2975</v>
      </c>
      <c r="Z289" s="35" t="s">
        <v>6758</v>
      </c>
      <c r="AA289" s="35" t="s">
        <v>6752</v>
      </c>
      <c r="AB289" s="35" t="s">
        <v>6733</v>
      </c>
      <c r="AC289" s="35" t="s">
        <v>7188</v>
      </c>
      <c r="AD289" s="35" t="s">
        <v>7219</v>
      </c>
      <c r="AE289" s="37" t="str">
        <f t="shared" si="82"/>
        <v>51</v>
      </c>
      <c r="AF289" s="37">
        <f t="shared" si="96"/>
        <v>29442.661199999999</v>
      </c>
      <c r="AI289" s="37">
        <f t="shared" si="91"/>
        <v>2523.1595000000002</v>
      </c>
      <c r="AJ289" s="37">
        <f t="shared" si="92"/>
        <v>2140.3353000000002</v>
      </c>
      <c r="AK289" s="37">
        <f t="shared" si="93"/>
        <v>3290.1999880000003</v>
      </c>
      <c r="AL289" s="23">
        <v>140.04</v>
      </c>
      <c r="AM289" s="23">
        <f t="shared" si="83"/>
        <v>140.04</v>
      </c>
      <c r="AN289" s="22">
        <v>79.2</v>
      </c>
      <c r="AO289" s="22">
        <f t="shared" si="79"/>
        <v>79.2</v>
      </c>
      <c r="AP289" s="23">
        <v>23232</v>
      </c>
      <c r="AQ289" s="23">
        <f t="shared" si="80"/>
        <v>24164.764800000001</v>
      </c>
      <c r="AR289" s="23">
        <f t="shared" si="84"/>
        <v>24164.764800000001</v>
      </c>
      <c r="AS289" s="23">
        <f t="shared" si="87"/>
        <v>24384.004800000002</v>
      </c>
      <c r="AT289" s="37">
        <v>2400</v>
      </c>
      <c r="AU289" s="20">
        <f t="shared" si="85"/>
        <v>2400</v>
      </c>
      <c r="AV289" s="37">
        <f t="shared" si="81"/>
        <v>64180.360788000005</v>
      </c>
      <c r="AW289" s="37">
        <f t="shared" si="88"/>
        <v>238191.36078799999</v>
      </c>
      <c r="BA289" s="20" t="str">
        <f t="shared" si="86"/>
        <v>1 - VP_STUAFF - Jalomo, Romero</v>
      </c>
    </row>
    <row r="290" spans="1:53" ht="12.75" customHeight="1" x14ac:dyDescent="0.25">
      <c r="A290" s="20">
        <v>280</v>
      </c>
      <c r="B290" s="35" t="s">
        <v>7216</v>
      </c>
      <c r="C290" s="20" t="s">
        <v>7262</v>
      </c>
      <c r="D290" s="20" t="s">
        <v>7238</v>
      </c>
      <c r="E290" s="25">
        <v>1</v>
      </c>
      <c r="F290" s="34">
        <v>44562</v>
      </c>
      <c r="G290" s="35">
        <v>3</v>
      </c>
      <c r="H290" s="35" t="s">
        <v>6729</v>
      </c>
      <c r="I290" s="22">
        <f>140603/12*6</f>
        <v>70301.5</v>
      </c>
      <c r="J290" s="35" t="s">
        <v>6730</v>
      </c>
      <c r="K290" s="23">
        <f>144633/12*6</f>
        <v>72316.5</v>
      </c>
      <c r="L290" s="23">
        <f t="shared" si="89"/>
        <v>142618</v>
      </c>
      <c r="U290" s="80"/>
      <c r="V290" s="23">
        <f t="shared" si="78"/>
        <v>142618</v>
      </c>
      <c r="W290" s="25">
        <v>1</v>
      </c>
      <c r="X290" s="23">
        <f t="shared" si="90"/>
        <v>142618</v>
      </c>
      <c r="Y290" s="20" t="s">
        <v>2888</v>
      </c>
      <c r="Z290" s="35" t="s">
        <v>6758</v>
      </c>
      <c r="AA290" s="35" t="s">
        <v>6752</v>
      </c>
      <c r="AB290" s="35" t="s">
        <v>6733</v>
      </c>
      <c r="AC290" s="35" t="s">
        <v>6800</v>
      </c>
      <c r="AD290" s="35" t="s">
        <v>7219</v>
      </c>
      <c r="AE290" s="37" t="str">
        <f t="shared" si="82"/>
        <v>51</v>
      </c>
      <c r="AF290" s="37">
        <f t="shared" si="96"/>
        <v>24130.9656</v>
      </c>
      <c r="AI290" s="37">
        <f t="shared" si="91"/>
        <v>2067.9610000000002</v>
      </c>
      <c r="AJ290" s="37">
        <f t="shared" si="92"/>
        <v>1754.2013999999999</v>
      </c>
      <c r="AK290" s="37">
        <f t="shared" si="93"/>
        <v>2696.6211440000002</v>
      </c>
      <c r="AL290" s="23">
        <v>140.04</v>
      </c>
      <c r="AM290" s="23">
        <f t="shared" si="83"/>
        <v>140.04</v>
      </c>
      <c r="AN290" s="22">
        <v>79.2</v>
      </c>
      <c r="AO290" s="22">
        <f t="shared" si="79"/>
        <v>79.2</v>
      </c>
      <c r="AP290" s="23">
        <v>7584</v>
      </c>
      <c r="AQ290" s="23">
        <f t="shared" si="80"/>
        <v>7888.4975999999997</v>
      </c>
      <c r="AR290" s="23">
        <f t="shared" si="84"/>
        <v>7888.4975999999997</v>
      </c>
      <c r="AS290" s="23">
        <f t="shared" si="87"/>
        <v>8107.7375999999995</v>
      </c>
      <c r="AT290" s="37">
        <v>2400</v>
      </c>
      <c r="AU290" s="20">
        <f t="shared" si="85"/>
        <v>2400</v>
      </c>
      <c r="AV290" s="37">
        <f t="shared" si="81"/>
        <v>41157.486744000002</v>
      </c>
      <c r="AW290" s="37">
        <f t="shared" si="88"/>
        <v>183775.48674399999</v>
      </c>
      <c r="BA290" s="20" t="str">
        <f t="shared" si="86"/>
        <v>1 - DEAN_SA - Johnson, Carla</v>
      </c>
    </row>
    <row r="291" spans="1:53" ht="12.75" customHeight="1" x14ac:dyDescent="0.25">
      <c r="A291" s="20">
        <v>281</v>
      </c>
      <c r="B291" s="35" t="s">
        <v>7216</v>
      </c>
      <c r="C291" s="20" t="s">
        <v>7263</v>
      </c>
      <c r="D291" s="20" t="s">
        <v>7252</v>
      </c>
      <c r="E291" s="25">
        <v>1</v>
      </c>
      <c r="G291" s="35">
        <v>3</v>
      </c>
      <c r="H291" s="35" t="s">
        <v>6741</v>
      </c>
      <c r="J291" s="35"/>
      <c r="K291" s="23">
        <v>148881</v>
      </c>
      <c r="L291" s="23">
        <f t="shared" si="89"/>
        <v>148881</v>
      </c>
      <c r="U291" s="80">
        <v>1500</v>
      </c>
      <c r="V291" s="23">
        <f t="shared" si="78"/>
        <v>150381</v>
      </c>
      <c r="W291" s="25">
        <v>1</v>
      </c>
      <c r="X291" s="23">
        <f t="shared" si="90"/>
        <v>150381</v>
      </c>
      <c r="Y291" s="20" t="s">
        <v>2058</v>
      </c>
      <c r="Z291" s="35" t="s">
        <v>6758</v>
      </c>
      <c r="AA291" s="35" t="s">
        <v>6901</v>
      </c>
      <c r="AB291" s="35" t="s">
        <v>6733</v>
      </c>
      <c r="AC291" s="35" t="s">
        <v>6805</v>
      </c>
      <c r="AD291" s="35" t="s">
        <v>7219</v>
      </c>
      <c r="AE291" s="37" t="str">
        <f t="shared" si="82"/>
        <v>51</v>
      </c>
      <c r="AF291" s="37">
        <f t="shared" si="96"/>
        <v>25444.465199999999</v>
      </c>
      <c r="AI291" s="37">
        <f t="shared" si="91"/>
        <v>2180.5245</v>
      </c>
      <c r="AJ291" s="37">
        <f t="shared" si="92"/>
        <v>1849.6863000000001</v>
      </c>
      <c r="AK291" s="37">
        <f t="shared" si="93"/>
        <v>2843.4039480000001</v>
      </c>
      <c r="AL291" s="23">
        <v>140.04</v>
      </c>
      <c r="AM291" s="23">
        <f t="shared" si="83"/>
        <v>140.04</v>
      </c>
      <c r="AN291" s="22">
        <v>79.2</v>
      </c>
      <c r="AO291" s="22">
        <f t="shared" si="79"/>
        <v>79.2</v>
      </c>
      <c r="AP291" s="23">
        <v>5328</v>
      </c>
      <c r="AQ291" s="23">
        <f t="shared" si="80"/>
        <v>5541.9192000000003</v>
      </c>
      <c r="AR291" s="23">
        <f t="shared" si="84"/>
        <v>5541.9192000000003</v>
      </c>
      <c r="AS291" s="23">
        <f t="shared" si="87"/>
        <v>5761.1592000000001</v>
      </c>
      <c r="AT291" s="37">
        <v>2400</v>
      </c>
      <c r="AU291" s="20">
        <f t="shared" si="85"/>
        <v>2400</v>
      </c>
      <c r="AV291" s="37">
        <f t="shared" si="81"/>
        <v>40479.239148000001</v>
      </c>
      <c r="AW291" s="37">
        <f t="shared" si="88"/>
        <v>190860.23914799999</v>
      </c>
      <c r="BA291" s="20" t="str">
        <f t="shared" si="86"/>
        <v>1 - DEAN_AA - Kaczmar, Debra</v>
      </c>
    </row>
    <row r="292" spans="1:53" ht="12.75" customHeight="1" x14ac:dyDescent="0.25">
      <c r="A292" s="20">
        <v>282</v>
      </c>
      <c r="B292" s="35" t="s">
        <v>7216</v>
      </c>
      <c r="C292" s="20" t="s">
        <v>7264</v>
      </c>
      <c r="D292" s="20" t="s">
        <v>7265</v>
      </c>
      <c r="E292" s="25">
        <v>1</v>
      </c>
      <c r="G292" s="35">
        <v>4</v>
      </c>
      <c r="H292" s="35" t="s">
        <v>6741</v>
      </c>
      <c r="J292" s="35"/>
      <c r="K292" s="23">
        <v>142723</v>
      </c>
      <c r="L292" s="23">
        <f t="shared" si="89"/>
        <v>142723</v>
      </c>
      <c r="U292" s="80"/>
      <c r="V292" s="23">
        <f t="shared" si="78"/>
        <v>142723</v>
      </c>
      <c r="W292" s="25">
        <v>1</v>
      </c>
      <c r="X292" s="23">
        <f t="shared" si="90"/>
        <v>142723</v>
      </c>
      <c r="Y292" s="20" t="s">
        <v>3292</v>
      </c>
      <c r="Z292" s="35" t="s">
        <v>6758</v>
      </c>
      <c r="AA292" s="35" t="s">
        <v>6777</v>
      </c>
      <c r="AB292" s="35" t="s">
        <v>6733</v>
      </c>
      <c r="AC292" s="35" t="s">
        <v>6778</v>
      </c>
      <c r="AD292" s="35" t="s">
        <v>7224</v>
      </c>
      <c r="AE292" s="37" t="str">
        <f t="shared" si="82"/>
        <v>52</v>
      </c>
      <c r="AG292" s="37">
        <f>X292*$AG$1</f>
        <v>32697.8393</v>
      </c>
      <c r="AH292" s="37">
        <f>X292*$AH$1</f>
        <v>8848.8259999999991</v>
      </c>
      <c r="AI292" s="37">
        <f t="shared" si="91"/>
        <v>2069.4835000000003</v>
      </c>
      <c r="AJ292" s="37">
        <f t="shared" si="92"/>
        <v>1755.4929</v>
      </c>
      <c r="AK292" s="37">
        <f t="shared" si="93"/>
        <v>2698.6064840000004</v>
      </c>
      <c r="AL292" s="23">
        <v>140.04</v>
      </c>
      <c r="AM292" s="23">
        <f t="shared" si="83"/>
        <v>140.04</v>
      </c>
      <c r="AN292" s="22">
        <v>79.2</v>
      </c>
      <c r="AO292" s="22">
        <f t="shared" si="79"/>
        <v>79.2</v>
      </c>
      <c r="AP292" s="23">
        <v>23232</v>
      </c>
      <c r="AQ292" s="23">
        <f t="shared" si="80"/>
        <v>24164.764800000001</v>
      </c>
      <c r="AR292" s="23">
        <f t="shared" si="84"/>
        <v>24164.764800000001</v>
      </c>
      <c r="AS292" s="23">
        <f t="shared" si="87"/>
        <v>24384.004800000002</v>
      </c>
      <c r="AT292" s="37">
        <v>2400</v>
      </c>
      <c r="AU292" s="20">
        <f t="shared" si="85"/>
        <v>2400</v>
      </c>
      <c r="AV292" s="37">
        <f t="shared" si="81"/>
        <v>74854.252984000006</v>
      </c>
      <c r="AW292" s="37">
        <f t="shared" si="88"/>
        <v>217577.25298400002</v>
      </c>
      <c r="BA292" s="20" t="str">
        <f t="shared" si="86"/>
        <v>1 - DIR_ITS - Kappagantula, Bala</v>
      </c>
    </row>
    <row r="293" spans="1:53" ht="12.75" customHeight="1" x14ac:dyDescent="0.25">
      <c r="A293" s="20">
        <v>283</v>
      </c>
      <c r="B293" s="35" t="s">
        <v>7216</v>
      </c>
      <c r="C293" s="20" t="s">
        <v>7266</v>
      </c>
      <c r="D293" s="20" t="s">
        <v>7267</v>
      </c>
      <c r="E293" s="25">
        <v>1</v>
      </c>
      <c r="G293" s="35">
        <v>3</v>
      </c>
      <c r="H293" s="35" t="s">
        <v>6741</v>
      </c>
      <c r="J293" s="35"/>
      <c r="K293" s="23">
        <v>148881</v>
      </c>
      <c r="L293" s="23">
        <f t="shared" si="89"/>
        <v>148881</v>
      </c>
      <c r="U293" s="80">
        <v>1500</v>
      </c>
      <c r="V293" s="23">
        <f t="shared" si="78"/>
        <v>150381</v>
      </c>
      <c r="W293" s="25">
        <v>1</v>
      </c>
      <c r="X293" s="23">
        <f t="shared" si="90"/>
        <v>150381</v>
      </c>
      <c r="Y293" s="20" t="s">
        <v>593</v>
      </c>
      <c r="Z293" s="35" t="s">
        <v>6758</v>
      </c>
      <c r="AA293" s="35" t="s">
        <v>6909</v>
      </c>
      <c r="AB293" s="35" t="s">
        <v>6733</v>
      </c>
      <c r="AC293" s="35" t="s">
        <v>6910</v>
      </c>
      <c r="AD293" s="35" t="s">
        <v>7219</v>
      </c>
      <c r="AE293" s="37" t="str">
        <f t="shared" si="82"/>
        <v>51</v>
      </c>
      <c r="AF293" s="37">
        <f>X293*$AF$1</f>
        <v>25444.465199999999</v>
      </c>
      <c r="AI293" s="37">
        <f t="shared" si="91"/>
        <v>2180.5245</v>
      </c>
      <c r="AJ293" s="37">
        <f t="shared" si="92"/>
        <v>1849.6863000000001</v>
      </c>
      <c r="AK293" s="37">
        <f t="shared" si="93"/>
        <v>2843.4039480000001</v>
      </c>
      <c r="AL293" s="23">
        <v>140.04</v>
      </c>
      <c r="AM293" s="23">
        <f t="shared" si="83"/>
        <v>140.04</v>
      </c>
      <c r="AN293" s="22">
        <v>79.2</v>
      </c>
      <c r="AO293" s="22">
        <f t="shared" si="79"/>
        <v>79.2</v>
      </c>
      <c r="AP293" s="23">
        <v>9456</v>
      </c>
      <c r="AQ293" s="23">
        <f t="shared" si="80"/>
        <v>9835.6584000000003</v>
      </c>
      <c r="AR293" s="23">
        <f t="shared" si="84"/>
        <v>9835.6584000000003</v>
      </c>
      <c r="AS293" s="23">
        <f t="shared" si="87"/>
        <v>10054.8984</v>
      </c>
      <c r="AT293" s="37">
        <v>2400</v>
      </c>
      <c r="AU293" s="20">
        <f t="shared" si="85"/>
        <v>2400</v>
      </c>
      <c r="AV293" s="37">
        <f t="shared" si="81"/>
        <v>44772.978348000004</v>
      </c>
      <c r="AW293" s="37">
        <f t="shared" si="88"/>
        <v>195153.978348</v>
      </c>
      <c r="BA293" s="20" t="str">
        <f t="shared" si="86"/>
        <v xml:space="preserve">1 - DEAN_IPR - Lofman, Brian </v>
      </c>
    </row>
    <row r="294" spans="1:53" ht="12.75" hidden="1" customHeight="1" x14ac:dyDescent="0.25">
      <c r="A294" s="20">
        <v>284</v>
      </c>
      <c r="B294" s="35" t="s">
        <v>7216</v>
      </c>
      <c r="C294" s="52" t="s">
        <v>7268</v>
      </c>
      <c r="D294" s="20" t="s">
        <v>7269</v>
      </c>
      <c r="E294" s="25">
        <v>1</v>
      </c>
      <c r="F294" s="34"/>
      <c r="G294" s="35">
        <v>6</v>
      </c>
      <c r="H294" s="35" t="s">
        <v>6782</v>
      </c>
      <c r="J294" s="35"/>
      <c r="K294" s="23">
        <v>114063</v>
      </c>
      <c r="L294" s="23">
        <f t="shared" si="89"/>
        <v>114063</v>
      </c>
      <c r="U294" s="80"/>
      <c r="V294" s="23">
        <f t="shared" si="78"/>
        <v>114063</v>
      </c>
      <c r="W294" s="25">
        <v>0</v>
      </c>
      <c r="X294" s="23">
        <f t="shared" si="90"/>
        <v>0</v>
      </c>
      <c r="Y294" s="20" t="s">
        <v>7270</v>
      </c>
      <c r="Z294" s="35" t="s">
        <v>6731</v>
      </c>
      <c r="AA294" s="35" t="s">
        <v>6742</v>
      </c>
      <c r="AB294" s="35" t="s">
        <v>6733</v>
      </c>
      <c r="AC294" s="35" t="s">
        <v>7271</v>
      </c>
      <c r="AD294" s="35" t="s">
        <v>7224</v>
      </c>
      <c r="AE294" s="37" t="str">
        <f t="shared" si="82"/>
        <v>52</v>
      </c>
      <c r="AG294" s="37">
        <f>X294*$AG$1</f>
        <v>0</v>
      </c>
      <c r="AH294" s="37">
        <f>X294*$AH$1</f>
        <v>0</v>
      </c>
      <c r="AI294" s="37">
        <f t="shared" si="91"/>
        <v>0</v>
      </c>
      <c r="AJ294" s="37">
        <f t="shared" si="92"/>
        <v>0</v>
      </c>
      <c r="AK294" s="37">
        <f t="shared" si="93"/>
        <v>0</v>
      </c>
      <c r="AL294" s="23">
        <v>140.04</v>
      </c>
      <c r="AM294" s="23">
        <f t="shared" si="83"/>
        <v>0</v>
      </c>
      <c r="AN294" s="22">
        <v>79.2</v>
      </c>
      <c r="AO294" s="22">
        <f t="shared" si="79"/>
        <v>0</v>
      </c>
      <c r="AP294" s="23">
        <v>25452.6</v>
      </c>
      <c r="AQ294" s="23">
        <f t="shared" si="80"/>
        <v>26474.521889999996</v>
      </c>
      <c r="AR294" s="23">
        <f t="shared" si="84"/>
        <v>0</v>
      </c>
      <c r="AS294" s="23">
        <f t="shared" si="87"/>
        <v>0</v>
      </c>
      <c r="AU294" s="20">
        <f t="shared" si="85"/>
        <v>0</v>
      </c>
      <c r="AV294" s="37">
        <f t="shared" si="81"/>
        <v>0</v>
      </c>
      <c r="AW294" s="37">
        <f t="shared" si="88"/>
        <v>0</v>
      </c>
      <c r="AX294" s="20" t="s">
        <v>6675</v>
      </c>
      <c r="AY294" s="20" t="s">
        <v>7272</v>
      </c>
      <c r="AZ294" s="20" t="s">
        <v>7273</v>
      </c>
      <c r="BA294" s="20" t="str">
        <f t="shared" si="86"/>
        <v>0 - DIR_ABTI - VACANT (London)</v>
      </c>
    </row>
    <row r="295" spans="1:53" ht="12.75" hidden="1" customHeight="1" x14ac:dyDescent="0.25">
      <c r="A295" s="20">
        <v>285</v>
      </c>
      <c r="B295" s="35" t="s">
        <v>7216</v>
      </c>
      <c r="C295" s="52" t="s">
        <v>7268</v>
      </c>
      <c r="D295" s="20" t="s">
        <v>7269</v>
      </c>
      <c r="E295" s="25">
        <v>1</v>
      </c>
      <c r="F295" s="34"/>
      <c r="G295" s="35">
        <v>6</v>
      </c>
      <c r="H295" s="35" t="s">
        <v>6782</v>
      </c>
      <c r="J295" s="35"/>
      <c r="K295" s="23">
        <v>114063</v>
      </c>
      <c r="L295" s="23">
        <f t="shared" si="89"/>
        <v>114063</v>
      </c>
      <c r="U295" s="80"/>
      <c r="V295" s="23">
        <f t="shared" si="78"/>
        <v>114063</v>
      </c>
      <c r="W295" s="25">
        <v>0</v>
      </c>
      <c r="X295" s="23">
        <f t="shared" si="90"/>
        <v>0</v>
      </c>
      <c r="Y295" s="20" t="s">
        <v>7274</v>
      </c>
      <c r="Z295" s="35" t="s">
        <v>6731</v>
      </c>
      <c r="AA295" s="35" t="s">
        <v>6742</v>
      </c>
      <c r="AB295" s="35" t="s">
        <v>6733</v>
      </c>
      <c r="AC295" s="35" t="s">
        <v>7275</v>
      </c>
      <c r="AD295" s="35" t="s">
        <v>7224</v>
      </c>
      <c r="AE295" s="37" t="str">
        <f t="shared" si="82"/>
        <v>52</v>
      </c>
      <c r="AG295" s="37">
        <f>X295*$AG$1</f>
        <v>0</v>
      </c>
      <c r="AH295" s="37">
        <f>X295*$AH$1</f>
        <v>0</v>
      </c>
      <c r="AI295" s="37">
        <f t="shared" si="91"/>
        <v>0</v>
      </c>
      <c r="AJ295" s="37">
        <f t="shared" si="92"/>
        <v>0</v>
      </c>
      <c r="AK295" s="37">
        <f t="shared" si="93"/>
        <v>0</v>
      </c>
      <c r="AL295" s="23">
        <v>140.04</v>
      </c>
      <c r="AM295" s="23">
        <f t="shared" si="83"/>
        <v>0</v>
      </c>
      <c r="AN295" s="22">
        <v>79.2</v>
      </c>
      <c r="AO295" s="22">
        <f t="shared" si="79"/>
        <v>0</v>
      </c>
      <c r="AP295" s="23">
        <v>25452.6</v>
      </c>
      <c r="AQ295" s="23">
        <f t="shared" si="80"/>
        <v>26474.521889999996</v>
      </c>
      <c r="AR295" s="23">
        <f t="shared" si="84"/>
        <v>0</v>
      </c>
      <c r="AS295" s="23">
        <f t="shared" si="87"/>
        <v>0</v>
      </c>
      <c r="AU295" s="20">
        <f t="shared" si="85"/>
        <v>0</v>
      </c>
      <c r="AV295" s="37">
        <f t="shared" si="81"/>
        <v>0</v>
      </c>
      <c r="AW295" s="37">
        <f t="shared" si="88"/>
        <v>0</v>
      </c>
      <c r="AX295" s="20" t="s">
        <v>6675</v>
      </c>
      <c r="AY295" s="20" t="s">
        <v>7276</v>
      </c>
      <c r="AZ295" s="20" t="s">
        <v>7277</v>
      </c>
      <c r="BA295" s="20" t="str">
        <f t="shared" si="86"/>
        <v>0 - DIR_ABTI - VACANT (London)</v>
      </c>
    </row>
    <row r="296" spans="1:53" ht="12.75" hidden="1" customHeight="1" x14ac:dyDescent="0.25">
      <c r="A296" s="20">
        <v>286</v>
      </c>
      <c r="B296" s="35" t="s">
        <v>7216</v>
      </c>
      <c r="C296" s="52" t="s">
        <v>7268</v>
      </c>
      <c r="D296" s="20" t="s">
        <v>7269</v>
      </c>
      <c r="E296" s="25">
        <v>1</v>
      </c>
      <c r="F296" s="34"/>
      <c r="G296" s="35">
        <v>6</v>
      </c>
      <c r="H296" s="35" t="s">
        <v>6782</v>
      </c>
      <c r="J296" s="35"/>
      <c r="K296" s="23">
        <v>114063</v>
      </c>
      <c r="L296" s="23">
        <f t="shared" si="89"/>
        <v>114063</v>
      </c>
      <c r="U296" s="80"/>
      <c r="V296" s="23">
        <f t="shared" si="78"/>
        <v>114063</v>
      </c>
      <c r="W296" s="25">
        <v>1</v>
      </c>
      <c r="X296" s="23">
        <f t="shared" si="90"/>
        <v>114063</v>
      </c>
      <c r="Y296" s="20" t="s">
        <v>4763</v>
      </c>
      <c r="Z296" s="35" t="s">
        <v>6731</v>
      </c>
      <c r="AA296" s="35" t="s">
        <v>6742</v>
      </c>
      <c r="AB296" s="35" t="s">
        <v>6733</v>
      </c>
      <c r="AC296" s="35" t="s">
        <v>6865</v>
      </c>
      <c r="AD296" s="35" t="s">
        <v>7224</v>
      </c>
      <c r="AE296" s="37" t="str">
        <f t="shared" si="82"/>
        <v>52</v>
      </c>
      <c r="AG296" s="37">
        <f>X296*$AG$1</f>
        <v>26131.833299999998</v>
      </c>
      <c r="AH296" s="37">
        <f>X296*$AH$1</f>
        <v>7071.9059999999999</v>
      </c>
      <c r="AI296" s="37">
        <f t="shared" si="91"/>
        <v>1653.9135000000001</v>
      </c>
      <c r="AJ296" s="37">
        <f t="shared" si="92"/>
        <v>1402.9748999999999</v>
      </c>
      <c r="AK296" s="37">
        <f t="shared" si="93"/>
        <v>2156.7032039999999</v>
      </c>
      <c r="AL296" s="23">
        <v>140.04</v>
      </c>
      <c r="AM296" s="23">
        <f t="shared" si="83"/>
        <v>140.04</v>
      </c>
      <c r="AN296" s="22">
        <v>79.2</v>
      </c>
      <c r="AO296" s="22">
        <f t="shared" si="79"/>
        <v>79.2</v>
      </c>
      <c r="AP296" s="23">
        <v>25452.6</v>
      </c>
      <c r="AQ296" s="23">
        <f t="shared" si="80"/>
        <v>26474.521889999996</v>
      </c>
      <c r="AR296" s="23">
        <f t="shared" si="84"/>
        <v>26474.521889999996</v>
      </c>
      <c r="AS296" s="23">
        <f t="shared" si="87"/>
        <v>26693.761889999998</v>
      </c>
      <c r="AU296" s="20">
        <f t="shared" si="85"/>
        <v>0</v>
      </c>
      <c r="AV296" s="37">
        <f t="shared" si="81"/>
        <v>65111.092793999997</v>
      </c>
      <c r="AW296" s="37">
        <f t="shared" si="88"/>
        <v>179174.092794</v>
      </c>
      <c r="AX296" s="20" t="s">
        <v>6866</v>
      </c>
      <c r="AY296" s="20" t="s">
        <v>6866</v>
      </c>
      <c r="AZ296" s="20" t="s">
        <v>6867</v>
      </c>
      <c r="BA296" s="20" t="str">
        <f t="shared" si="86"/>
        <v>1 - DIR_ABTI - VACANT (London)</v>
      </c>
    </row>
    <row r="297" spans="1:53" s="39" customFormat="1" ht="12.75" customHeight="1" x14ac:dyDescent="0.25">
      <c r="A297" s="39">
        <v>287</v>
      </c>
      <c r="B297" s="43" t="s">
        <v>7216</v>
      </c>
      <c r="C297" s="40" t="s">
        <v>7278</v>
      </c>
      <c r="D297" s="39" t="s">
        <v>7279</v>
      </c>
      <c r="E297" s="46">
        <v>1</v>
      </c>
      <c r="F297" s="42"/>
      <c r="G297" s="43">
        <v>9</v>
      </c>
      <c r="H297" s="43" t="s">
        <v>6782</v>
      </c>
      <c r="I297" s="44"/>
      <c r="J297" s="43"/>
      <c r="K297" s="45">
        <f>ROUND((99828/12)*10+(103861/12)*2,0)</f>
        <v>100500</v>
      </c>
      <c r="L297" s="45">
        <f t="shared" si="89"/>
        <v>100500</v>
      </c>
      <c r="M297" s="45"/>
      <c r="N297" s="45"/>
      <c r="O297" s="46"/>
      <c r="P297" s="45"/>
      <c r="Q297" s="47"/>
      <c r="R297" s="45"/>
      <c r="S297" s="47"/>
      <c r="T297" s="45"/>
      <c r="U297" s="81"/>
      <c r="V297" s="45">
        <f t="shared" si="78"/>
        <v>100500</v>
      </c>
      <c r="W297" s="46">
        <v>0</v>
      </c>
      <c r="X297" s="45">
        <f t="shared" si="90"/>
        <v>0</v>
      </c>
      <c r="Y297" s="39" t="s">
        <v>667</v>
      </c>
      <c r="Z297" s="43" t="s">
        <v>6758</v>
      </c>
      <c r="AA297" s="43" t="s">
        <v>6861</v>
      </c>
      <c r="AB297" s="43" t="s">
        <v>6733</v>
      </c>
      <c r="AC297" s="43" t="s">
        <v>6862</v>
      </c>
      <c r="AD297" s="43" t="s">
        <v>7224</v>
      </c>
      <c r="AE297" s="37" t="str">
        <f t="shared" si="82"/>
        <v>52</v>
      </c>
      <c r="AG297" s="49">
        <f>X297*$AG$1</f>
        <v>0</v>
      </c>
      <c r="AH297" s="49">
        <f>X297*$AH$1</f>
        <v>0</v>
      </c>
      <c r="AI297" s="49">
        <f t="shared" si="91"/>
        <v>0</v>
      </c>
      <c r="AJ297" s="49">
        <f t="shared" si="92"/>
        <v>0</v>
      </c>
      <c r="AK297" s="49">
        <f t="shared" si="93"/>
        <v>0</v>
      </c>
      <c r="AL297" s="45">
        <v>140.04</v>
      </c>
      <c r="AM297" s="23">
        <f t="shared" si="83"/>
        <v>0</v>
      </c>
      <c r="AN297" s="44">
        <v>79.2</v>
      </c>
      <c r="AO297" s="22">
        <f t="shared" si="79"/>
        <v>0</v>
      </c>
      <c r="AP297" s="45">
        <v>25452.6</v>
      </c>
      <c r="AQ297" s="23">
        <f t="shared" si="80"/>
        <v>26474.521889999996</v>
      </c>
      <c r="AR297" s="23">
        <f t="shared" si="84"/>
        <v>0</v>
      </c>
      <c r="AS297" s="45">
        <f t="shared" si="87"/>
        <v>0</v>
      </c>
      <c r="AU297" s="20">
        <f t="shared" si="85"/>
        <v>0</v>
      </c>
      <c r="AV297" s="37">
        <f t="shared" si="81"/>
        <v>0</v>
      </c>
      <c r="AW297" s="49">
        <f t="shared" si="88"/>
        <v>0</v>
      </c>
      <c r="BA297" s="39" t="str">
        <f t="shared" si="86"/>
        <v>0 - ACCT_MGR - Gregory, Alicia</v>
      </c>
    </row>
    <row r="298" spans="1:53" s="39" customFormat="1" ht="12.75" customHeight="1" x14ac:dyDescent="0.25">
      <c r="A298" s="39">
        <v>288</v>
      </c>
      <c r="B298" s="43" t="s">
        <v>7216</v>
      </c>
      <c r="C298" s="40" t="s">
        <v>7278</v>
      </c>
      <c r="D298" s="39" t="s">
        <v>7279</v>
      </c>
      <c r="E298" s="46">
        <v>1</v>
      </c>
      <c r="F298" s="42"/>
      <c r="G298" s="43">
        <v>9</v>
      </c>
      <c r="H298" s="43" t="s">
        <v>6782</v>
      </c>
      <c r="I298" s="44"/>
      <c r="J298" s="43"/>
      <c r="K298" s="45">
        <f>ROUND((99828/12)*10+(103861/12)*2,0)</f>
        <v>100500</v>
      </c>
      <c r="L298" s="45">
        <f t="shared" si="89"/>
        <v>100500</v>
      </c>
      <c r="M298" s="45"/>
      <c r="N298" s="45"/>
      <c r="O298" s="46"/>
      <c r="P298" s="45"/>
      <c r="Q298" s="47"/>
      <c r="R298" s="45"/>
      <c r="S298" s="47"/>
      <c r="T298" s="45"/>
      <c r="U298" s="81"/>
      <c r="V298" s="45">
        <f t="shared" si="78"/>
        <v>100500</v>
      </c>
      <c r="W298" s="46">
        <v>1</v>
      </c>
      <c r="X298" s="45">
        <f t="shared" si="90"/>
        <v>100500</v>
      </c>
      <c r="Y298" s="39" t="s">
        <v>764</v>
      </c>
      <c r="Z298" s="43" t="s">
        <v>6758</v>
      </c>
      <c r="AA298" s="43" t="s">
        <v>6861</v>
      </c>
      <c r="AB298" s="43" t="s">
        <v>6733</v>
      </c>
      <c r="AC298" s="43" t="s">
        <v>6863</v>
      </c>
      <c r="AD298" s="43" t="s">
        <v>7224</v>
      </c>
      <c r="AE298" s="37" t="str">
        <f t="shared" si="82"/>
        <v>52</v>
      </c>
      <c r="AG298" s="49">
        <f>X298*$AG$1</f>
        <v>23024.55</v>
      </c>
      <c r="AH298" s="49">
        <f>X298*$AH$1</f>
        <v>6231</v>
      </c>
      <c r="AI298" s="49">
        <f t="shared" si="91"/>
        <v>1457.25</v>
      </c>
      <c r="AJ298" s="49">
        <f t="shared" si="92"/>
        <v>1236.1500000000001</v>
      </c>
      <c r="AK298" s="49">
        <f t="shared" si="93"/>
        <v>1900.2540000000001</v>
      </c>
      <c r="AL298" s="45">
        <v>140.04</v>
      </c>
      <c r="AM298" s="23">
        <f t="shared" si="83"/>
        <v>140.04</v>
      </c>
      <c r="AN298" s="44">
        <v>79.2</v>
      </c>
      <c r="AO298" s="22">
        <f t="shared" si="79"/>
        <v>79.2</v>
      </c>
      <c r="AP298" s="45">
        <v>25452.6</v>
      </c>
      <c r="AQ298" s="23">
        <f t="shared" si="80"/>
        <v>26474.521889999996</v>
      </c>
      <c r="AR298" s="23">
        <f t="shared" si="84"/>
        <v>26474.521889999996</v>
      </c>
      <c r="AS298" s="45">
        <f t="shared" si="87"/>
        <v>26693.761889999998</v>
      </c>
      <c r="AU298" s="20">
        <f t="shared" si="85"/>
        <v>0</v>
      </c>
      <c r="AV298" s="37">
        <f t="shared" si="81"/>
        <v>60542.965889999992</v>
      </c>
      <c r="AW298" s="49">
        <f t="shared" si="88"/>
        <v>161042.96588999999</v>
      </c>
      <c r="BA298" s="39" t="str">
        <f t="shared" si="86"/>
        <v>1 - ACCT_MGR - Gregory, Alicia</v>
      </c>
    </row>
    <row r="299" spans="1:53" ht="12.75" customHeight="1" x14ac:dyDescent="0.25">
      <c r="A299" s="20">
        <v>289</v>
      </c>
      <c r="B299" s="35" t="s">
        <v>7216</v>
      </c>
      <c r="C299" s="20" t="s">
        <v>7280</v>
      </c>
      <c r="D299" s="20" t="s">
        <v>7252</v>
      </c>
      <c r="E299" s="25">
        <v>1</v>
      </c>
      <c r="F299" s="34">
        <v>44621</v>
      </c>
      <c r="G299" s="35">
        <v>3</v>
      </c>
      <c r="H299" s="35" t="s">
        <v>6730</v>
      </c>
      <c r="I299" s="22">
        <f>144633/12*8</f>
        <v>96422</v>
      </c>
      <c r="J299" s="35" t="s">
        <v>6741</v>
      </c>
      <c r="K299" s="23">
        <f>148881/12*4</f>
        <v>49627</v>
      </c>
      <c r="L299" s="23">
        <f t="shared" si="89"/>
        <v>146049</v>
      </c>
      <c r="U299" s="80">
        <v>1500</v>
      </c>
      <c r="V299" s="23">
        <f t="shared" si="78"/>
        <v>147549</v>
      </c>
      <c r="W299" s="25">
        <v>1</v>
      </c>
      <c r="X299" s="23">
        <f t="shared" si="90"/>
        <v>147549</v>
      </c>
      <c r="Y299" s="20" t="s">
        <v>2541</v>
      </c>
      <c r="Z299" s="35" t="s">
        <v>6758</v>
      </c>
      <c r="AA299" s="35" t="s">
        <v>6847</v>
      </c>
      <c r="AB299" s="35" t="s">
        <v>6733</v>
      </c>
      <c r="AC299" s="35" t="s">
        <v>6805</v>
      </c>
      <c r="AD299" s="35" t="s">
        <v>7219</v>
      </c>
      <c r="AE299" s="37" t="str">
        <f t="shared" si="82"/>
        <v>51</v>
      </c>
      <c r="AF299" s="37">
        <f>X299*$AF$1</f>
        <v>24965.290799999999</v>
      </c>
      <c r="AI299" s="37">
        <f t="shared" si="91"/>
        <v>2139.4605000000001</v>
      </c>
      <c r="AJ299" s="37">
        <f t="shared" si="92"/>
        <v>1814.8526999999999</v>
      </c>
      <c r="AK299" s="37">
        <f t="shared" si="93"/>
        <v>2789.8564920000003</v>
      </c>
      <c r="AL299" s="23">
        <v>140.04</v>
      </c>
      <c r="AM299" s="23">
        <f t="shared" si="83"/>
        <v>140.04</v>
      </c>
      <c r="AN299" s="22">
        <v>79.2</v>
      </c>
      <c r="AO299" s="22">
        <f t="shared" si="79"/>
        <v>79.2</v>
      </c>
      <c r="AP299" s="23">
        <v>0</v>
      </c>
      <c r="AQ299" s="23">
        <f t="shared" si="80"/>
        <v>0</v>
      </c>
      <c r="AR299" s="23">
        <f t="shared" si="84"/>
        <v>0</v>
      </c>
      <c r="AS299" s="23">
        <f t="shared" si="87"/>
        <v>219.24</v>
      </c>
      <c r="AT299" s="37">
        <v>2400</v>
      </c>
      <c r="AU299" s="20">
        <f t="shared" si="85"/>
        <v>2400</v>
      </c>
      <c r="AV299" s="37">
        <f t="shared" si="81"/>
        <v>34328.700492000004</v>
      </c>
      <c r="AW299" s="37">
        <f t="shared" si="88"/>
        <v>181877.700492</v>
      </c>
      <c r="BA299" s="20" t="str">
        <f t="shared" si="86"/>
        <v>1 - DEAN_AA - Matsunaga, Sachiko</v>
      </c>
    </row>
    <row r="300" spans="1:53" ht="12.75" customHeight="1" x14ac:dyDescent="0.25">
      <c r="A300" s="20">
        <v>290</v>
      </c>
      <c r="B300" s="35" t="s">
        <v>7216</v>
      </c>
      <c r="C300" s="20" t="s">
        <v>7281</v>
      </c>
      <c r="D300" s="20" t="s">
        <v>7282</v>
      </c>
      <c r="E300" s="25">
        <v>1</v>
      </c>
      <c r="G300" s="35">
        <v>9</v>
      </c>
      <c r="H300" s="35" t="s">
        <v>6741</v>
      </c>
      <c r="J300" s="35"/>
      <c r="K300" s="23">
        <v>112132</v>
      </c>
      <c r="L300" s="23">
        <f t="shared" si="89"/>
        <v>112132</v>
      </c>
      <c r="U300" s="80"/>
      <c r="V300" s="23">
        <f t="shared" si="78"/>
        <v>112132</v>
      </c>
      <c r="W300" s="25">
        <v>1</v>
      </c>
      <c r="X300" s="23">
        <f t="shared" si="90"/>
        <v>112132</v>
      </c>
      <c r="Y300" s="20" t="s">
        <v>2843</v>
      </c>
      <c r="Z300" s="35" t="s">
        <v>6758</v>
      </c>
      <c r="AA300" s="35" t="s">
        <v>6904</v>
      </c>
      <c r="AB300" s="35" t="s">
        <v>6733</v>
      </c>
      <c r="AC300" s="35" t="s">
        <v>7073</v>
      </c>
      <c r="AD300" s="35" t="s">
        <v>7224</v>
      </c>
      <c r="AE300" s="37" t="str">
        <f t="shared" si="82"/>
        <v>52</v>
      </c>
      <c r="AG300" s="37">
        <f>X300*$AG$1</f>
        <v>25689.441200000001</v>
      </c>
      <c r="AH300" s="37">
        <f>X300*$AH$1</f>
        <v>6952.1840000000002</v>
      </c>
      <c r="AI300" s="37">
        <f t="shared" si="91"/>
        <v>1625.914</v>
      </c>
      <c r="AJ300" s="37">
        <f t="shared" si="92"/>
        <v>1379.2236</v>
      </c>
      <c r="AK300" s="37">
        <f t="shared" si="93"/>
        <v>2120.1918559999999</v>
      </c>
      <c r="AL300" s="23">
        <v>140.04</v>
      </c>
      <c r="AM300" s="23">
        <f t="shared" si="83"/>
        <v>140.04</v>
      </c>
      <c r="AN300" s="22">
        <v>79.2</v>
      </c>
      <c r="AO300" s="22">
        <f t="shared" si="79"/>
        <v>79.2</v>
      </c>
      <c r="AP300" s="23">
        <v>23232</v>
      </c>
      <c r="AQ300" s="23">
        <f t="shared" si="80"/>
        <v>24164.764800000001</v>
      </c>
      <c r="AR300" s="23">
        <f t="shared" si="84"/>
        <v>24164.764800000001</v>
      </c>
      <c r="AS300" s="23">
        <f t="shared" si="87"/>
        <v>24384.004800000002</v>
      </c>
      <c r="AT300" s="37">
        <v>2400</v>
      </c>
      <c r="AU300" s="20">
        <f t="shared" si="85"/>
        <v>2400</v>
      </c>
      <c r="AV300" s="37">
        <f t="shared" si="81"/>
        <v>64550.959455999997</v>
      </c>
      <c r="AW300" s="37">
        <f t="shared" si="88"/>
        <v>176682.95945600001</v>
      </c>
      <c r="BA300" s="20" t="str">
        <f t="shared" si="86"/>
        <v>1 - DIR_SA - Moreno, Bronwyn</v>
      </c>
    </row>
    <row r="301" spans="1:53" ht="12.75" customHeight="1" x14ac:dyDescent="0.25">
      <c r="A301" s="20">
        <v>291</v>
      </c>
      <c r="B301" s="35" t="s">
        <v>7216</v>
      </c>
      <c r="C301" s="20" t="s">
        <v>7283</v>
      </c>
      <c r="D301" s="20" t="s">
        <v>7282</v>
      </c>
      <c r="E301" s="25">
        <v>1</v>
      </c>
      <c r="G301" s="35">
        <v>9</v>
      </c>
      <c r="H301" s="35" t="s">
        <v>6741</v>
      </c>
      <c r="J301" s="35"/>
      <c r="K301" s="23">
        <v>112132</v>
      </c>
      <c r="L301" s="23">
        <f t="shared" si="89"/>
        <v>112132</v>
      </c>
      <c r="U301" s="80"/>
      <c r="V301" s="23">
        <f t="shared" si="78"/>
        <v>112132</v>
      </c>
      <c r="W301" s="25">
        <v>1</v>
      </c>
      <c r="X301" s="23">
        <f t="shared" si="90"/>
        <v>112132</v>
      </c>
      <c r="Y301" s="20" t="s">
        <v>3015</v>
      </c>
      <c r="Z301" s="35" t="s">
        <v>6758</v>
      </c>
      <c r="AA301" s="35" t="s">
        <v>6752</v>
      </c>
      <c r="AB301" s="35" t="s">
        <v>6733</v>
      </c>
      <c r="AC301" s="35" t="s">
        <v>7073</v>
      </c>
      <c r="AD301" s="35" t="s">
        <v>7224</v>
      </c>
      <c r="AE301" s="37" t="str">
        <f t="shared" si="82"/>
        <v>52</v>
      </c>
      <c r="AG301" s="37">
        <f>X301*$AG$1</f>
        <v>25689.441200000001</v>
      </c>
      <c r="AH301" s="37">
        <f>X301*$AH$1</f>
        <v>6952.1840000000002</v>
      </c>
      <c r="AI301" s="37">
        <f t="shared" si="91"/>
        <v>1625.914</v>
      </c>
      <c r="AJ301" s="37">
        <f t="shared" si="92"/>
        <v>1379.2236</v>
      </c>
      <c r="AK301" s="37">
        <f t="shared" si="93"/>
        <v>2120.1918559999999</v>
      </c>
      <c r="AL301" s="23">
        <v>140.04</v>
      </c>
      <c r="AM301" s="23">
        <f t="shared" si="83"/>
        <v>140.04</v>
      </c>
      <c r="AN301" s="22">
        <v>79.2</v>
      </c>
      <c r="AO301" s="22">
        <f t="shared" si="79"/>
        <v>79.2</v>
      </c>
      <c r="AP301" s="23">
        <v>25452.6</v>
      </c>
      <c r="AQ301" s="23">
        <f t="shared" si="80"/>
        <v>26474.521889999996</v>
      </c>
      <c r="AR301" s="23">
        <f t="shared" si="84"/>
        <v>26474.521889999996</v>
      </c>
      <c r="AS301" s="23">
        <f t="shared" si="87"/>
        <v>26693.761889999998</v>
      </c>
      <c r="AT301" s="37"/>
      <c r="AU301" s="20">
        <f t="shared" si="85"/>
        <v>0</v>
      </c>
      <c r="AV301" s="37">
        <f t="shared" si="81"/>
        <v>64460.716545999989</v>
      </c>
      <c r="AW301" s="37">
        <f t="shared" si="88"/>
        <v>176592.71654599998</v>
      </c>
      <c r="BA301" s="20" t="str">
        <f t="shared" si="86"/>
        <v>1 - DIR_SA - Nevarez, Augustine</v>
      </c>
    </row>
    <row r="302" spans="1:53" ht="12.75" hidden="1" customHeight="1" x14ac:dyDescent="0.25">
      <c r="A302" s="20">
        <v>292</v>
      </c>
      <c r="B302" s="35" t="s">
        <v>7216</v>
      </c>
      <c r="C302" s="20" t="s">
        <v>7284</v>
      </c>
      <c r="D302" s="20" t="s">
        <v>7285</v>
      </c>
      <c r="E302" s="25">
        <v>1</v>
      </c>
      <c r="F302" s="34">
        <v>44565</v>
      </c>
      <c r="G302" s="35">
        <v>9</v>
      </c>
      <c r="H302" s="35" t="s">
        <v>6782</v>
      </c>
      <c r="I302" s="22">
        <f>95781/12*6</f>
        <v>47890.5</v>
      </c>
      <c r="J302" s="35" t="s">
        <v>6783</v>
      </c>
      <c r="K302" s="23">
        <f>99828/12*6</f>
        <v>49914</v>
      </c>
      <c r="L302" s="23">
        <f t="shared" si="89"/>
        <v>97804.5</v>
      </c>
      <c r="U302" s="80"/>
      <c r="V302" s="23">
        <f t="shared" si="78"/>
        <v>97804.5</v>
      </c>
      <c r="W302" s="25">
        <v>1</v>
      </c>
      <c r="X302" s="23">
        <f t="shared" si="90"/>
        <v>97804.5</v>
      </c>
      <c r="Y302" s="20" t="s">
        <v>5076</v>
      </c>
      <c r="Z302" s="35" t="s">
        <v>6731</v>
      </c>
      <c r="AA302" s="35" t="s">
        <v>6732</v>
      </c>
      <c r="AB302" s="35" t="s">
        <v>6733</v>
      </c>
      <c r="AC302" s="35" t="s">
        <v>6828</v>
      </c>
      <c r="AD302" s="35" t="s">
        <v>7219</v>
      </c>
      <c r="AE302" s="37" t="str">
        <f t="shared" si="82"/>
        <v>51</v>
      </c>
      <c r="AF302" s="37">
        <f>X302*$AF$1</f>
        <v>16548.521399999998</v>
      </c>
      <c r="AI302" s="37">
        <f t="shared" si="91"/>
        <v>1418.16525</v>
      </c>
      <c r="AJ302" s="37">
        <f t="shared" si="92"/>
        <v>1202.9953499999999</v>
      </c>
      <c r="AK302" s="37">
        <f t="shared" si="93"/>
        <v>1849.2874860000002</v>
      </c>
      <c r="AL302" s="23">
        <v>140.04</v>
      </c>
      <c r="AM302" s="23">
        <f t="shared" si="83"/>
        <v>140.04</v>
      </c>
      <c r="AN302" s="22">
        <v>79.2</v>
      </c>
      <c r="AO302" s="22">
        <f t="shared" si="79"/>
        <v>79.2</v>
      </c>
      <c r="AP302" s="23">
        <v>13152</v>
      </c>
      <c r="AQ302" s="23">
        <f t="shared" si="80"/>
        <v>13680.052799999999</v>
      </c>
      <c r="AR302" s="23">
        <f t="shared" si="84"/>
        <v>13680.052799999999</v>
      </c>
      <c r="AS302" s="23">
        <f t="shared" si="87"/>
        <v>13899.292799999999</v>
      </c>
      <c r="AU302" s="20">
        <f t="shared" si="85"/>
        <v>0</v>
      </c>
      <c r="AV302" s="37">
        <f t="shared" si="81"/>
        <v>34918.262285999997</v>
      </c>
      <c r="AW302" s="37">
        <f t="shared" si="88"/>
        <v>132722.76228600001</v>
      </c>
      <c r="AX302" s="20" t="s">
        <v>6675</v>
      </c>
      <c r="AY302" s="20" t="s">
        <v>6829</v>
      </c>
      <c r="AZ302" s="20" t="s">
        <v>6830</v>
      </c>
      <c r="BA302" s="20" t="str">
        <f t="shared" si="86"/>
        <v>1 - DIR_SVAEC - Pagan, Ivan</v>
      </c>
    </row>
    <row r="303" spans="1:53" s="39" customFormat="1" ht="12.75" customHeight="1" x14ac:dyDescent="0.25">
      <c r="A303" s="39">
        <v>293</v>
      </c>
      <c r="B303" s="43" t="s">
        <v>7216</v>
      </c>
      <c r="C303" s="40" t="s">
        <v>7286</v>
      </c>
      <c r="D303" s="39" t="s">
        <v>7287</v>
      </c>
      <c r="E303" s="46">
        <v>1</v>
      </c>
      <c r="G303" s="43">
        <v>13</v>
      </c>
      <c r="H303" s="43" t="s">
        <v>6741</v>
      </c>
      <c r="I303" s="44"/>
      <c r="J303" s="43"/>
      <c r="K303" s="45">
        <v>87705</v>
      </c>
      <c r="L303" s="45">
        <f t="shared" si="89"/>
        <v>87705</v>
      </c>
      <c r="M303" s="45"/>
      <c r="N303" s="45"/>
      <c r="O303" s="46"/>
      <c r="P303" s="45"/>
      <c r="Q303" s="47"/>
      <c r="R303" s="45"/>
      <c r="S303" s="47"/>
      <c r="T303" s="45"/>
      <c r="U303" s="81"/>
      <c r="V303" s="45">
        <f t="shared" si="78"/>
        <v>87705</v>
      </c>
      <c r="W303" s="46">
        <v>0.5</v>
      </c>
      <c r="X303" s="45">
        <f t="shared" si="90"/>
        <v>43852.5</v>
      </c>
      <c r="Y303" s="39" t="s">
        <v>2069</v>
      </c>
      <c r="Z303" s="43" t="s">
        <v>6758</v>
      </c>
      <c r="AA303" s="43" t="s">
        <v>7288</v>
      </c>
      <c r="AB303" s="43" t="s">
        <v>6733</v>
      </c>
      <c r="AC303" s="43" t="s">
        <v>7289</v>
      </c>
      <c r="AD303" s="43" t="s">
        <v>7219</v>
      </c>
      <c r="AE303" s="37" t="str">
        <f t="shared" si="82"/>
        <v>51</v>
      </c>
      <c r="AF303" s="49">
        <f>X303*$AF$1</f>
        <v>7419.8429999999998</v>
      </c>
      <c r="AI303" s="49">
        <f t="shared" si="91"/>
        <v>635.86125000000004</v>
      </c>
      <c r="AJ303" s="49">
        <f t="shared" si="92"/>
        <v>539.38575000000003</v>
      </c>
      <c r="AK303" s="49">
        <f t="shared" si="93"/>
        <v>829.16307000000006</v>
      </c>
      <c r="AL303" s="45">
        <v>140.04</v>
      </c>
      <c r="AM303" s="23">
        <f t="shared" si="83"/>
        <v>70.02</v>
      </c>
      <c r="AN303" s="44">
        <v>79.2</v>
      </c>
      <c r="AO303" s="22">
        <f t="shared" si="79"/>
        <v>39.6</v>
      </c>
      <c r="AP303" s="45">
        <v>25452.6</v>
      </c>
      <c r="AQ303" s="23">
        <f t="shared" si="80"/>
        <v>26474.521889999996</v>
      </c>
      <c r="AR303" s="23">
        <f t="shared" si="84"/>
        <v>13237.260944999998</v>
      </c>
      <c r="AS303" s="45">
        <f t="shared" si="87"/>
        <v>13346.880944999999</v>
      </c>
      <c r="AU303" s="20">
        <f t="shared" si="85"/>
        <v>0</v>
      </c>
      <c r="AV303" s="37">
        <f t="shared" si="81"/>
        <v>22771.134015</v>
      </c>
      <c r="AW303" s="49">
        <f t="shared" si="88"/>
        <v>66623.634015000003</v>
      </c>
      <c r="BA303" s="39" t="str">
        <f t="shared" si="86"/>
        <v>0.5 - ED_ART_PG - Parker, Melissa (return 1/1/22)</v>
      </c>
    </row>
    <row r="304" spans="1:53" s="39" customFormat="1" ht="12.75" customHeight="1" x14ac:dyDescent="0.25">
      <c r="A304" s="39">
        <v>294</v>
      </c>
      <c r="B304" s="43" t="s">
        <v>7216</v>
      </c>
      <c r="C304" s="39" t="s">
        <v>7290</v>
      </c>
      <c r="D304" s="39" t="s">
        <v>7291</v>
      </c>
      <c r="E304" s="46">
        <v>1</v>
      </c>
      <c r="G304" s="43" t="s">
        <v>7292</v>
      </c>
      <c r="H304" s="43" t="s">
        <v>6783</v>
      </c>
      <c r="I304" s="44">
        <f>ROUND((124252/12)*9,0)</f>
        <v>93189</v>
      </c>
      <c r="J304" s="43" t="s">
        <v>6729</v>
      </c>
      <c r="K304" s="45">
        <f>ROUND((128482/12)*3,0)</f>
        <v>32121</v>
      </c>
      <c r="L304" s="45">
        <f t="shared" si="89"/>
        <v>125310</v>
      </c>
      <c r="M304" s="45"/>
      <c r="N304" s="45"/>
      <c r="O304" s="46"/>
      <c r="P304" s="45"/>
      <c r="Q304" s="47"/>
      <c r="R304" s="45"/>
      <c r="S304" s="47"/>
      <c r="T304" s="45"/>
      <c r="U304" s="81"/>
      <c r="V304" s="45">
        <f t="shared" si="78"/>
        <v>125310</v>
      </c>
      <c r="W304" s="46">
        <v>1</v>
      </c>
      <c r="X304" s="45">
        <f t="shared" si="90"/>
        <v>125310</v>
      </c>
      <c r="Y304" s="39" t="s">
        <v>564</v>
      </c>
      <c r="Z304" s="43" t="s">
        <v>6758</v>
      </c>
      <c r="AA304" s="43" t="s">
        <v>7199</v>
      </c>
      <c r="AB304" s="43" t="s">
        <v>6733</v>
      </c>
      <c r="AC304" s="43" t="s">
        <v>7200</v>
      </c>
      <c r="AD304" s="43" t="s">
        <v>7224</v>
      </c>
      <c r="AE304" s="37" t="str">
        <f t="shared" si="82"/>
        <v>52</v>
      </c>
      <c r="AG304" s="49">
        <f>X304*$AG$1</f>
        <v>28708.521000000001</v>
      </c>
      <c r="AH304" s="49">
        <f>X304*$AH$1</f>
        <v>7769.22</v>
      </c>
      <c r="AI304" s="49">
        <f t="shared" si="91"/>
        <v>1816.9950000000001</v>
      </c>
      <c r="AJ304" s="49">
        <f t="shared" si="92"/>
        <v>1541.3130000000001</v>
      </c>
      <c r="AK304" s="49">
        <f t="shared" si="93"/>
        <v>2369.36148</v>
      </c>
      <c r="AL304" s="45">
        <v>140.04</v>
      </c>
      <c r="AM304" s="23">
        <f t="shared" si="83"/>
        <v>140.04</v>
      </c>
      <c r="AN304" s="44">
        <v>79.2</v>
      </c>
      <c r="AO304" s="22">
        <f t="shared" si="79"/>
        <v>79.2</v>
      </c>
      <c r="AP304" s="45">
        <v>26443</v>
      </c>
      <c r="AQ304" s="23">
        <f t="shared" si="80"/>
        <v>27504.686450000001</v>
      </c>
      <c r="AR304" s="23">
        <f t="shared" si="84"/>
        <v>27504.686450000001</v>
      </c>
      <c r="AS304" s="45">
        <f t="shared" si="87"/>
        <v>27723.926450000003</v>
      </c>
      <c r="AU304" s="20">
        <f t="shared" si="85"/>
        <v>0</v>
      </c>
      <c r="AV304" s="37">
        <f t="shared" si="81"/>
        <v>69929.336930000005</v>
      </c>
      <c r="AW304" s="49">
        <f t="shared" si="88"/>
        <v>195239.33692999999</v>
      </c>
      <c r="BA304" s="39" t="str">
        <f t="shared" si="86"/>
        <v>1 - DIR_DVLP&amp;INNOV - Peregrin, Michelle</v>
      </c>
    </row>
    <row r="305" spans="1:53" ht="12.75" customHeight="1" x14ac:dyDescent="0.25">
      <c r="A305" s="20">
        <v>295</v>
      </c>
      <c r="B305" s="35" t="s">
        <v>7216</v>
      </c>
      <c r="C305" s="20" t="s">
        <v>7293</v>
      </c>
      <c r="D305" s="20" t="s">
        <v>7282</v>
      </c>
      <c r="E305" s="25">
        <v>1</v>
      </c>
      <c r="F305" s="34">
        <v>44593</v>
      </c>
      <c r="G305" s="35">
        <v>7</v>
      </c>
      <c r="H305" s="35" t="s">
        <v>6730</v>
      </c>
      <c r="I305" s="22">
        <f>120213/12*7</f>
        <v>70124.25</v>
      </c>
      <c r="J305" s="35" t="s">
        <v>6741</v>
      </c>
      <c r="K305" s="23">
        <f>124252/12*5</f>
        <v>51771.666666666672</v>
      </c>
      <c r="L305" s="23">
        <f t="shared" si="89"/>
        <v>121895.91666666667</v>
      </c>
      <c r="U305" s="80"/>
      <c r="V305" s="23">
        <f t="shared" ref="V305:V368" si="97">L305+N305+P305+R305+T305+U305</f>
        <v>121895.91666666667</v>
      </c>
      <c r="W305" s="25">
        <v>0.6</v>
      </c>
      <c r="X305" s="23">
        <f t="shared" si="90"/>
        <v>73137.55</v>
      </c>
      <c r="Y305" s="20" t="s">
        <v>3202</v>
      </c>
      <c r="Z305" s="35" t="s">
        <v>6758</v>
      </c>
      <c r="AA305" s="35" t="s">
        <v>6834</v>
      </c>
      <c r="AB305" s="35" t="s">
        <v>6733</v>
      </c>
      <c r="AC305" s="35" t="s">
        <v>7294</v>
      </c>
      <c r="AD305" s="35" t="s">
        <v>7219</v>
      </c>
      <c r="AE305" s="37" t="str">
        <f t="shared" si="82"/>
        <v>51</v>
      </c>
      <c r="AF305" s="37">
        <f>X305*$AF$1</f>
        <v>12374.873459999999</v>
      </c>
      <c r="AI305" s="37">
        <f t="shared" si="91"/>
        <v>1060.4944750000002</v>
      </c>
      <c r="AJ305" s="37">
        <f t="shared" si="92"/>
        <v>899.5918650000001</v>
      </c>
      <c r="AK305" s="37">
        <f t="shared" si="93"/>
        <v>1382.8847954</v>
      </c>
      <c r="AL305" s="23">
        <v>140.04</v>
      </c>
      <c r="AM305" s="23">
        <f t="shared" si="83"/>
        <v>84.023999999999987</v>
      </c>
      <c r="AN305" s="22">
        <v>79.2</v>
      </c>
      <c r="AO305" s="22">
        <f t="shared" si="79"/>
        <v>47.52</v>
      </c>
      <c r="AP305" s="23">
        <v>13152</v>
      </c>
      <c r="AQ305" s="23">
        <f t="shared" si="80"/>
        <v>13680.052799999999</v>
      </c>
      <c r="AR305" s="23">
        <f t="shared" si="84"/>
        <v>8208.0316800000001</v>
      </c>
      <c r="AS305" s="23">
        <f t="shared" si="87"/>
        <v>8339.5756799999999</v>
      </c>
      <c r="AU305" s="20">
        <f t="shared" si="85"/>
        <v>0</v>
      </c>
      <c r="AV305" s="37">
        <f t="shared" si="81"/>
        <v>24057.4202754</v>
      </c>
      <c r="AW305" s="37">
        <f t="shared" si="88"/>
        <v>97194.970275400003</v>
      </c>
      <c r="BA305" s="20" t="str">
        <f t="shared" si="86"/>
        <v>0.6 - DIR_SA - Peters, Michelle</v>
      </c>
    </row>
    <row r="306" spans="1:53" ht="12.75" hidden="1" customHeight="1" x14ac:dyDescent="0.25">
      <c r="A306" s="20">
        <v>296</v>
      </c>
      <c r="B306" s="35" t="s">
        <v>7216</v>
      </c>
      <c r="C306" s="20" t="s">
        <v>7293</v>
      </c>
      <c r="D306" s="20" t="s">
        <v>7282</v>
      </c>
      <c r="E306" s="25">
        <v>1</v>
      </c>
      <c r="F306" s="34">
        <v>44593</v>
      </c>
      <c r="G306" s="35">
        <v>7</v>
      </c>
      <c r="H306" s="35" t="s">
        <v>6730</v>
      </c>
      <c r="I306" s="22">
        <f>120213/12*7</f>
        <v>70124.25</v>
      </c>
      <c r="J306" s="35" t="s">
        <v>6741</v>
      </c>
      <c r="K306" s="23">
        <f>124252/12*5</f>
        <v>51771.666666666672</v>
      </c>
      <c r="L306" s="23">
        <f t="shared" si="89"/>
        <v>121895.91666666667</v>
      </c>
      <c r="U306" s="80"/>
      <c r="V306" s="23">
        <f t="shared" si="97"/>
        <v>121895.91666666667</v>
      </c>
      <c r="W306" s="25">
        <v>0.4</v>
      </c>
      <c r="X306" s="23">
        <f t="shared" si="90"/>
        <v>48758.366666666669</v>
      </c>
      <c r="Y306" s="20" t="s">
        <v>6021</v>
      </c>
      <c r="Z306" s="35" t="s">
        <v>6731</v>
      </c>
      <c r="AA306" s="35" t="s">
        <v>6834</v>
      </c>
      <c r="AB306" s="35" t="s">
        <v>6733</v>
      </c>
      <c r="AC306" s="35" t="s">
        <v>6835</v>
      </c>
      <c r="AD306" s="35" t="s">
        <v>7219</v>
      </c>
      <c r="AE306" s="37" t="str">
        <f t="shared" si="82"/>
        <v>51</v>
      </c>
      <c r="AF306" s="37">
        <f>X306*$AF$1</f>
        <v>8249.9156399999993</v>
      </c>
      <c r="AI306" s="37">
        <f t="shared" si="91"/>
        <v>706.99631666666676</v>
      </c>
      <c r="AJ306" s="37">
        <f t="shared" si="92"/>
        <v>599.72791000000007</v>
      </c>
      <c r="AK306" s="37">
        <f t="shared" si="93"/>
        <v>921.92319693333343</v>
      </c>
      <c r="AL306" s="23">
        <v>140.04</v>
      </c>
      <c r="AM306" s="23">
        <f t="shared" si="83"/>
        <v>56.015999999999998</v>
      </c>
      <c r="AN306" s="22">
        <v>79.2</v>
      </c>
      <c r="AO306" s="22">
        <f t="shared" si="79"/>
        <v>31.680000000000003</v>
      </c>
      <c r="AP306" s="23">
        <v>13152</v>
      </c>
      <c r="AQ306" s="23">
        <f t="shared" si="80"/>
        <v>13680.052799999999</v>
      </c>
      <c r="AR306" s="23">
        <f t="shared" si="84"/>
        <v>5472.0211200000003</v>
      </c>
      <c r="AS306" s="23">
        <f t="shared" si="87"/>
        <v>5559.7171200000003</v>
      </c>
      <c r="AU306" s="20">
        <f t="shared" si="85"/>
        <v>0</v>
      </c>
      <c r="AV306" s="37">
        <f t="shared" si="81"/>
        <v>16038.2801836</v>
      </c>
      <c r="AW306" s="37">
        <f t="shared" si="88"/>
        <v>64796.646850266668</v>
      </c>
      <c r="AX306" s="20" t="s">
        <v>6754</v>
      </c>
      <c r="AY306" s="20" t="s">
        <v>6836</v>
      </c>
      <c r="AZ306" s="20" t="s">
        <v>6837</v>
      </c>
      <c r="BA306" s="20" t="str">
        <f t="shared" si="86"/>
        <v>0.4 - DIR_SA - Peters, Michelle</v>
      </c>
    </row>
    <row r="307" spans="1:53" ht="12.75" customHeight="1" x14ac:dyDescent="0.25">
      <c r="A307" s="20">
        <v>297</v>
      </c>
      <c r="B307" s="35" t="s">
        <v>7216</v>
      </c>
      <c r="C307" s="20" t="s">
        <v>7295</v>
      </c>
      <c r="D307" s="20" t="s">
        <v>7296</v>
      </c>
      <c r="E307" s="25">
        <v>1</v>
      </c>
      <c r="G307" s="35">
        <v>1.1000000000000001</v>
      </c>
      <c r="H307" s="35" t="s">
        <v>6741</v>
      </c>
      <c r="J307" s="35"/>
      <c r="K307" s="23">
        <v>172511</v>
      </c>
      <c r="L307" s="23">
        <f t="shared" si="89"/>
        <v>172511</v>
      </c>
      <c r="U307" s="80"/>
      <c r="V307" s="23">
        <f t="shared" si="97"/>
        <v>172511</v>
      </c>
      <c r="W307" s="25">
        <v>1</v>
      </c>
      <c r="X307" s="23">
        <f t="shared" si="90"/>
        <v>172511</v>
      </c>
      <c r="Y307" s="20" t="s">
        <v>3292</v>
      </c>
      <c r="Z307" s="35" t="s">
        <v>6758</v>
      </c>
      <c r="AA307" s="35" t="s">
        <v>6777</v>
      </c>
      <c r="AB307" s="35" t="s">
        <v>6733</v>
      </c>
      <c r="AC307" s="35" t="s">
        <v>6778</v>
      </c>
      <c r="AD307" s="35" t="s">
        <v>7224</v>
      </c>
      <c r="AE307" s="37" t="str">
        <f t="shared" si="82"/>
        <v>52</v>
      </c>
      <c r="AG307" s="37">
        <f t="shared" ref="AG307:AG314" si="98">X307*$AG$1</f>
        <v>39522.270100000002</v>
      </c>
      <c r="AH307" s="37">
        <f t="shared" ref="AH307:AH314" si="99">X307*$AH$1</f>
        <v>10695.682000000001</v>
      </c>
      <c r="AI307" s="37">
        <f t="shared" si="91"/>
        <v>2501.4095000000002</v>
      </c>
      <c r="AJ307" s="37">
        <f t="shared" si="92"/>
        <v>2121.8852999999999</v>
      </c>
      <c r="AK307" s="37">
        <f t="shared" si="93"/>
        <v>3261.8379880000002</v>
      </c>
      <c r="AL307" s="23">
        <v>140.04</v>
      </c>
      <c r="AM307" s="23">
        <f t="shared" si="83"/>
        <v>140.04</v>
      </c>
      <c r="AN307" s="22">
        <v>79.2</v>
      </c>
      <c r="AO307" s="22">
        <f t="shared" si="79"/>
        <v>79.2</v>
      </c>
      <c r="AP307" s="23">
        <v>8820</v>
      </c>
      <c r="AQ307" s="23">
        <f t="shared" si="80"/>
        <v>9174.1229999999996</v>
      </c>
      <c r="AR307" s="23">
        <f t="shared" si="84"/>
        <v>9174.1229999999996</v>
      </c>
      <c r="AS307" s="23">
        <f t="shared" si="87"/>
        <v>9393.3629999999994</v>
      </c>
      <c r="AT307" s="37">
        <v>2400</v>
      </c>
      <c r="AU307" s="20">
        <f t="shared" si="85"/>
        <v>2400</v>
      </c>
      <c r="AV307" s="37">
        <f t="shared" si="81"/>
        <v>69896.447887999995</v>
      </c>
      <c r="AW307" s="37">
        <f t="shared" si="88"/>
        <v>242407.447888</v>
      </c>
      <c r="BA307" s="20" t="str">
        <f t="shared" si="86"/>
        <v>1 - VP_INFTCH - Phillips, David</v>
      </c>
    </row>
    <row r="308" spans="1:53" ht="12.75" customHeight="1" x14ac:dyDescent="0.25">
      <c r="A308" s="20">
        <v>298</v>
      </c>
      <c r="B308" s="35" t="s">
        <v>7216</v>
      </c>
      <c r="C308" s="20" t="s">
        <v>7297</v>
      </c>
      <c r="D308" s="20" t="s">
        <v>7298</v>
      </c>
      <c r="E308" s="25">
        <v>1</v>
      </c>
      <c r="G308" s="35">
        <v>2</v>
      </c>
      <c r="H308" s="35" t="s">
        <v>6741</v>
      </c>
      <c r="J308" s="35"/>
      <c r="K308" s="23">
        <v>154837</v>
      </c>
      <c r="L308" s="23">
        <f t="shared" si="89"/>
        <v>154837</v>
      </c>
      <c r="U308" s="80"/>
      <c r="V308" s="23">
        <f t="shared" si="97"/>
        <v>154837</v>
      </c>
      <c r="W308" s="25">
        <v>0.1</v>
      </c>
      <c r="X308" s="23">
        <f t="shared" si="90"/>
        <v>15483.7</v>
      </c>
      <c r="Y308" s="20" t="s">
        <v>910</v>
      </c>
      <c r="Z308" s="35" t="s">
        <v>6758</v>
      </c>
      <c r="AA308" s="35" t="s">
        <v>6964</v>
      </c>
      <c r="AB308" s="35" t="s">
        <v>6733</v>
      </c>
      <c r="AC308" s="35" t="s">
        <v>6978</v>
      </c>
      <c r="AD308" s="35" t="s">
        <v>7224</v>
      </c>
      <c r="AE308" s="37" t="str">
        <f t="shared" si="82"/>
        <v>52</v>
      </c>
      <c r="AG308" s="37">
        <f t="shared" si="98"/>
        <v>3547.31567</v>
      </c>
      <c r="AH308" s="37">
        <f t="shared" si="99"/>
        <v>959.98940000000005</v>
      </c>
      <c r="AI308" s="37">
        <f t="shared" si="91"/>
        <v>224.51365000000001</v>
      </c>
      <c r="AJ308" s="37">
        <f t="shared" si="92"/>
        <v>190.44951</v>
      </c>
      <c r="AK308" s="37">
        <f t="shared" si="93"/>
        <v>292.76579960000004</v>
      </c>
      <c r="AL308" s="23">
        <v>140.04</v>
      </c>
      <c r="AM308" s="23">
        <f t="shared" si="83"/>
        <v>14.004</v>
      </c>
      <c r="AN308" s="22">
        <v>79.2</v>
      </c>
      <c r="AO308" s="22">
        <f t="shared" si="79"/>
        <v>7.9200000000000008</v>
      </c>
      <c r="AP308" s="23">
        <v>25452.6</v>
      </c>
      <c r="AQ308" s="23">
        <f t="shared" si="80"/>
        <v>26474.521889999996</v>
      </c>
      <c r="AR308" s="23">
        <f t="shared" si="84"/>
        <v>2647.4521889999996</v>
      </c>
      <c r="AS308" s="23">
        <f t="shared" si="87"/>
        <v>2669.3761889999996</v>
      </c>
      <c r="AU308" s="20">
        <f t="shared" si="85"/>
        <v>0</v>
      </c>
      <c r="AV308" s="37">
        <f t="shared" si="81"/>
        <v>7884.4102186</v>
      </c>
      <c r="AW308" s="37">
        <f t="shared" si="88"/>
        <v>23368.110218599999</v>
      </c>
      <c r="BA308" s="20" t="str">
        <f t="shared" si="86"/>
        <v>0.1 - EXDIR_FPC - Reyes, Joe L</v>
      </c>
    </row>
    <row r="309" spans="1:53" ht="12.75" hidden="1" customHeight="1" x14ac:dyDescent="0.25">
      <c r="A309" s="20">
        <v>299</v>
      </c>
      <c r="B309" s="35" t="s">
        <v>7216</v>
      </c>
      <c r="C309" s="20" t="s">
        <v>7297</v>
      </c>
      <c r="D309" s="20" t="s">
        <v>7298</v>
      </c>
      <c r="E309" s="25">
        <v>1</v>
      </c>
      <c r="G309" s="35">
        <v>2</v>
      </c>
      <c r="H309" s="35" t="s">
        <v>6741</v>
      </c>
      <c r="J309" s="35"/>
      <c r="K309" s="23">
        <v>154837</v>
      </c>
      <c r="L309" s="23">
        <f t="shared" si="89"/>
        <v>154837</v>
      </c>
      <c r="U309" s="80"/>
      <c r="V309" s="23">
        <f t="shared" si="97"/>
        <v>154837</v>
      </c>
      <c r="W309" s="25">
        <v>0.9</v>
      </c>
      <c r="X309" s="23">
        <f t="shared" si="90"/>
        <v>139353.30000000002</v>
      </c>
      <c r="Y309" s="20" t="s">
        <v>6290</v>
      </c>
      <c r="Z309" s="35" t="s">
        <v>6928</v>
      </c>
      <c r="AA309" s="35" t="s">
        <v>6929</v>
      </c>
      <c r="AB309" s="35" t="s">
        <v>6733</v>
      </c>
      <c r="AC309" s="35" t="s">
        <v>6930</v>
      </c>
      <c r="AD309" s="35" t="s">
        <v>7224</v>
      </c>
      <c r="AE309" s="37" t="str">
        <f t="shared" si="82"/>
        <v>52</v>
      </c>
      <c r="AG309" s="37">
        <f t="shared" si="98"/>
        <v>31925.841030000003</v>
      </c>
      <c r="AH309" s="37">
        <f t="shared" si="99"/>
        <v>8639.9046000000017</v>
      </c>
      <c r="AI309" s="37">
        <f t="shared" si="91"/>
        <v>2020.6228500000004</v>
      </c>
      <c r="AJ309" s="37">
        <f t="shared" si="92"/>
        <v>1714.0455900000002</v>
      </c>
      <c r="AK309" s="37">
        <f t="shared" si="93"/>
        <v>2634.8921964000006</v>
      </c>
      <c r="AL309" s="23">
        <v>140.04</v>
      </c>
      <c r="AM309" s="23">
        <f t="shared" si="83"/>
        <v>126.036</v>
      </c>
      <c r="AN309" s="22">
        <v>79.2</v>
      </c>
      <c r="AO309" s="22">
        <f t="shared" si="79"/>
        <v>71.28</v>
      </c>
      <c r="AP309" s="23">
        <v>25452.6</v>
      </c>
      <c r="AQ309" s="23">
        <f t="shared" si="80"/>
        <v>26474.521889999996</v>
      </c>
      <c r="AR309" s="23">
        <f t="shared" si="84"/>
        <v>23827.069700999997</v>
      </c>
      <c r="AS309" s="23">
        <f t="shared" si="87"/>
        <v>24024.385700999996</v>
      </c>
      <c r="AU309" s="20">
        <f t="shared" si="85"/>
        <v>0</v>
      </c>
      <c r="AV309" s="37">
        <f t="shared" si="81"/>
        <v>70959.691967400009</v>
      </c>
      <c r="AW309" s="37">
        <f t="shared" si="88"/>
        <v>210312.99196740001</v>
      </c>
      <c r="BA309" s="20" t="str">
        <f t="shared" si="86"/>
        <v>0.9 - EXDIR_FPC - Reyes, Joe L</v>
      </c>
    </row>
    <row r="310" spans="1:53" ht="12.75" customHeight="1" x14ac:dyDescent="0.25">
      <c r="A310" s="20">
        <v>300</v>
      </c>
      <c r="B310" s="35" t="s">
        <v>7216</v>
      </c>
      <c r="C310" s="20" t="s">
        <v>7299</v>
      </c>
      <c r="D310" s="20" t="s">
        <v>7300</v>
      </c>
      <c r="E310" s="25">
        <v>1</v>
      </c>
      <c r="G310" s="35">
        <v>7</v>
      </c>
      <c r="H310" s="35" t="s">
        <v>6741</v>
      </c>
      <c r="J310" s="35"/>
      <c r="K310" s="23">
        <v>124252</v>
      </c>
      <c r="L310" s="23">
        <f t="shared" si="89"/>
        <v>124252</v>
      </c>
      <c r="U310" s="80"/>
      <c r="V310" s="23">
        <f t="shared" si="97"/>
        <v>124252</v>
      </c>
      <c r="W310" s="25">
        <v>1</v>
      </c>
      <c r="X310" s="23">
        <f t="shared" si="90"/>
        <v>124252</v>
      </c>
      <c r="Y310" s="20" t="s">
        <v>910</v>
      </c>
      <c r="Z310" s="35" t="s">
        <v>6758</v>
      </c>
      <c r="AA310" s="35" t="s">
        <v>6964</v>
      </c>
      <c r="AB310" s="35" t="s">
        <v>6733</v>
      </c>
      <c r="AC310" s="35" t="s">
        <v>6978</v>
      </c>
      <c r="AD310" s="35" t="s">
        <v>7224</v>
      </c>
      <c r="AE310" s="37" t="str">
        <f t="shared" si="82"/>
        <v>52</v>
      </c>
      <c r="AG310" s="37">
        <f t="shared" si="98"/>
        <v>28466.1332</v>
      </c>
      <c r="AH310" s="37">
        <f t="shared" si="99"/>
        <v>7703.6239999999998</v>
      </c>
      <c r="AI310" s="37">
        <f t="shared" si="91"/>
        <v>1801.654</v>
      </c>
      <c r="AJ310" s="37">
        <f t="shared" si="92"/>
        <v>1528.2996000000001</v>
      </c>
      <c r="AK310" s="37">
        <f t="shared" si="93"/>
        <v>2349.356816</v>
      </c>
      <c r="AL310" s="23">
        <v>140.04</v>
      </c>
      <c r="AM310" s="23">
        <f t="shared" si="83"/>
        <v>140.04</v>
      </c>
      <c r="AN310" s="22">
        <v>79.2</v>
      </c>
      <c r="AO310" s="22">
        <f t="shared" si="79"/>
        <v>79.2</v>
      </c>
      <c r="AP310" s="23">
        <v>25452.6</v>
      </c>
      <c r="AQ310" s="23">
        <f t="shared" si="80"/>
        <v>26474.521889999996</v>
      </c>
      <c r="AR310" s="23">
        <f t="shared" si="84"/>
        <v>26474.521889999996</v>
      </c>
      <c r="AS310" s="23">
        <f t="shared" si="87"/>
        <v>26693.761889999998</v>
      </c>
      <c r="AU310" s="20">
        <f t="shared" si="85"/>
        <v>0</v>
      </c>
      <c r="AV310" s="37">
        <f t="shared" si="81"/>
        <v>68542.829505999995</v>
      </c>
      <c r="AW310" s="37">
        <f t="shared" si="88"/>
        <v>192794.82950599998</v>
      </c>
      <c r="BA310" s="20" t="str">
        <f t="shared" si="86"/>
        <v>1 - DIR_FM - Riggillo, Marc</v>
      </c>
    </row>
    <row r="311" spans="1:53" ht="12.75" customHeight="1" x14ac:dyDescent="0.25">
      <c r="A311" s="20">
        <v>301</v>
      </c>
      <c r="B311" s="35" t="s">
        <v>7216</v>
      </c>
      <c r="C311" s="20" t="s">
        <v>7301</v>
      </c>
      <c r="D311" s="20" t="s">
        <v>7302</v>
      </c>
      <c r="E311" s="25">
        <v>1</v>
      </c>
      <c r="F311" s="34">
        <v>44757</v>
      </c>
      <c r="G311" s="35"/>
      <c r="H311" s="35" t="s">
        <v>6783</v>
      </c>
      <c r="J311" s="35"/>
      <c r="K311" s="23">
        <v>316200</v>
      </c>
      <c r="L311" s="23">
        <f t="shared" si="89"/>
        <v>316200</v>
      </c>
      <c r="U311" s="80"/>
      <c r="V311" s="23">
        <f t="shared" si="97"/>
        <v>316200</v>
      </c>
      <c r="W311" s="25">
        <v>0.3</v>
      </c>
      <c r="X311" s="23">
        <f t="shared" si="90"/>
        <v>94860</v>
      </c>
      <c r="Y311" s="20" t="s">
        <v>144</v>
      </c>
      <c r="Z311" s="35" t="s">
        <v>6758</v>
      </c>
      <c r="AA311" s="35" t="s">
        <v>6954</v>
      </c>
      <c r="AB311" s="35" t="s">
        <v>6733</v>
      </c>
      <c r="AC311" s="35" t="s">
        <v>7198</v>
      </c>
      <c r="AD311" s="35" t="s">
        <v>7303</v>
      </c>
      <c r="AE311" s="37" t="str">
        <f t="shared" si="82"/>
        <v>51</v>
      </c>
      <c r="AG311" s="37">
        <f t="shared" si="98"/>
        <v>21732.425999999999</v>
      </c>
      <c r="AH311" s="37">
        <f t="shared" si="99"/>
        <v>5881.32</v>
      </c>
      <c r="AI311" s="37">
        <f t="shared" si="91"/>
        <v>1375.47</v>
      </c>
      <c r="AJ311" s="37">
        <f t="shared" si="92"/>
        <v>1166.778</v>
      </c>
      <c r="AK311" s="37">
        <f t="shared" si="93"/>
        <v>1793.6128800000001</v>
      </c>
      <c r="AL311" s="23">
        <v>140.04</v>
      </c>
      <c r="AM311" s="23">
        <f t="shared" si="83"/>
        <v>42.011999999999993</v>
      </c>
      <c r="AN311" s="22">
        <v>79.2</v>
      </c>
      <c r="AO311" s="22">
        <f t="shared" si="79"/>
        <v>23.76</v>
      </c>
      <c r="AP311" s="23">
        <v>33444</v>
      </c>
      <c r="AQ311" s="23">
        <f t="shared" si="80"/>
        <v>34786.776599999997</v>
      </c>
      <c r="AR311" s="23">
        <f t="shared" si="84"/>
        <v>10436.032979999998</v>
      </c>
      <c r="AS311" s="23">
        <f t="shared" si="87"/>
        <v>10501.804979999999</v>
      </c>
      <c r="AU311" s="20">
        <f t="shared" si="85"/>
        <v>0</v>
      </c>
      <c r="AV311" s="37">
        <f t="shared" si="81"/>
        <v>42451.411859999993</v>
      </c>
      <c r="AW311" s="37">
        <f t="shared" si="88"/>
        <v>137311.41185999999</v>
      </c>
      <c r="BA311" s="20" t="str">
        <f t="shared" si="86"/>
        <v>0.3 - PRESIDENT/SUPT - Rodriguez, Raul (Russell)</v>
      </c>
    </row>
    <row r="312" spans="1:53" ht="12.75" customHeight="1" x14ac:dyDescent="0.25">
      <c r="A312" s="20">
        <v>302</v>
      </c>
      <c r="B312" s="35" t="s">
        <v>7216</v>
      </c>
      <c r="C312" s="20" t="s">
        <v>7301</v>
      </c>
      <c r="D312" s="20" t="s">
        <v>7302</v>
      </c>
      <c r="E312" s="25">
        <v>1</v>
      </c>
      <c r="G312" s="35"/>
      <c r="H312" s="35"/>
      <c r="J312" s="35"/>
      <c r="K312" s="23">
        <v>316200</v>
      </c>
      <c r="L312" s="23">
        <f t="shared" si="89"/>
        <v>316200</v>
      </c>
      <c r="U312" s="80"/>
      <c r="V312" s="23">
        <f t="shared" si="97"/>
        <v>316200</v>
      </c>
      <c r="W312" s="25">
        <v>0.4</v>
      </c>
      <c r="X312" s="23">
        <f t="shared" si="90"/>
        <v>126480</v>
      </c>
      <c r="Y312" s="20" t="s">
        <v>58</v>
      </c>
      <c r="Z312" s="35" t="s">
        <v>6758</v>
      </c>
      <c r="AA312" s="35" t="s">
        <v>6954</v>
      </c>
      <c r="AB312" s="35" t="s">
        <v>6733</v>
      </c>
      <c r="AC312" s="35" t="s">
        <v>7197</v>
      </c>
      <c r="AD312" s="35" t="s">
        <v>7303</v>
      </c>
      <c r="AE312" s="37" t="str">
        <f t="shared" si="82"/>
        <v>51</v>
      </c>
      <c r="AG312" s="37">
        <f t="shared" si="98"/>
        <v>28976.567999999999</v>
      </c>
      <c r="AH312" s="37">
        <f t="shared" si="99"/>
        <v>7841.76</v>
      </c>
      <c r="AI312" s="37">
        <f t="shared" si="91"/>
        <v>1833.96</v>
      </c>
      <c r="AJ312" s="37">
        <f t="shared" si="92"/>
        <v>1555.704</v>
      </c>
      <c r="AK312" s="37">
        <f t="shared" si="93"/>
        <v>2391.4838400000003</v>
      </c>
      <c r="AL312" s="23">
        <v>140.04</v>
      </c>
      <c r="AM312" s="23">
        <f t="shared" si="83"/>
        <v>56.015999999999998</v>
      </c>
      <c r="AN312" s="22">
        <v>79.2</v>
      </c>
      <c r="AO312" s="22">
        <f t="shared" si="79"/>
        <v>31.680000000000003</v>
      </c>
      <c r="AP312" s="23">
        <v>33444</v>
      </c>
      <c r="AQ312" s="23">
        <f t="shared" si="80"/>
        <v>34786.776599999997</v>
      </c>
      <c r="AR312" s="23">
        <f t="shared" si="84"/>
        <v>13914.710639999999</v>
      </c>
      <c r="AS312" s="23">
        <f t="shared" si="87"/>
        <v>14002.406639999999</v>
      </c>
      <c r="AU312" s="20">
        <f t="shared" si="85"/>
        <v>0</v>
      </c>
      <c r="AV312" s="37">
        <f t="shared" si="81"/>
        <v>56601.88248</v>
      </c>
      <c r="AW312" s="37">
        <f t="shared" si="88"/>
        <v>183081.88248</v>
      </c>
      <c r="BA312" s="20" t="str">
        <f t="shared" si="86"/>
        <v>0.4 - PRESIDENT/SUPT - Rodriguez, Raul (Russell)</v>
      </c>
    </row>
    <row r="313" spans="1:53" ht="12.75" customHeight="1" x14ac:dyDescent="0.25">
      <c r="A313" s="20">
        <v>303</v>
      </c>
      <c r="B313" s="35" t="s">
        <v>7216</v>
      </c>
      <c r="C313" s="20" t="s">
        <v>7301</v>
      </c>
      <c r="D313" s="20" t="s">
        <v>7302</v>
      </c>
      <c r="E313" s="25">
        <v>1</v>
      </c>
      <c r="G313" s="35"/>
      <c r="H313" s="35"/>
      <c r="J313" s="35"/>
      <c r="K313" s="23">
        <v>316200</v>
      </c>
      <c r="L313" s="23">
        <f t="shared" si="89"/>
        <v>316200</v>
      </c>
      <c r="U313" s="80"/>
      <c r="V313" s="23">
        <f t="shared" si="97"/>
        <v>316200</v>
      </c>
      <c r="W313" s="25">
        <v>0.3</v>
      </c>
      <c r="X313" s="23">
        <f t="shared" si="90"/>
        <v>94860</v>
      </c>
      <c r="Y313" s="20" t="s">
        <v>192</v>
      </c>
      <c r="Z313" s="35" t="s">
        <v>6758</v>
      </c>
      <c r="AA313" s="35" t="s">
        <v>6954</v>
      </c>
      <c r="AB313" s="35" t="s">
        <v>6733</v>
      </c>
      <c r="AC313" s="35" t="s">
        <v>7200</v>
      </c>
      <c r="AD313" s="35" t="s">
        <v>7303</v>
      </c>
      <c r="AE313" s="37" t="str">
        <f t="shared" si="82"/>
        <v>51</v>
      </c>
      <c r="AG313" s="37">
        <f t="shared" si="98"/>
        <v>21732.425999999999</v>
      </c>
      <c r="AH313" s="37">
        <f t="shared" si="99"/>
        <v>5881.32</v>
      </c>
      <c r="AI313" s="37">
        <f t="shared" si="91"/>
        <v>1375.47</v>
      </c>
      <c r="AJ313" s="37">
        <f t="shared" si="92"/>
        <v>1166.778</v>
      </c>
      <c r="AK313" s="37">
        <f t="shared" si="93"/>
        <v>1793.6128800000001</v>
      </c>
      <c r="AL313" s="23">
        <v>140.04</v>
      </c>
      <c r="AM313" s="23">
        <f t="shared" si="83"/>
        <v>42.011999999999993</v>
      </c>
      <c r="AN313" s="22">
        <v>79.2</v>
      </c>
      <c r="AO313" s="22">
        <f t="shared" si="79"/>
        <v>23.76</v>
      </c>
      <c r="AP313" s="23">
        <v>33444</v>
      </c>
      <c r="AQ313" s="23">
        <f t="shared" si="80"/>
        <v>34786.776599999997</v>
      </c>
      <c r="AR313" s="23">
        <f t="shared" si="84"/>
        <v>10436.032979999998</v>
      </c>
      <c r="AS313" s="23">
        <f t="shared" si="87"/>
        <v>10501.804979999999</v>
      </c>
      <c r="AU313" s="20">
        <f t="shared" si="85"/>
        <v>0</v>
      </c>
      <c r="AV313" s="37">
        <f t="shared" si="81"/>
        <v>42451.411859999993</v>
      </c>
      <c r="AW313" s="37">
        <f t="shared" si="88"/>
        <v>137311.41185999999</v>
      </c>
      <c r="BA313" s="20" t="str">
        <f t="shared" si="86"/>
        <v>0.3 - PRESIDENT/SUPT - Rodriguez, Raul (Russell)</v>
      </c>
    </row>
    <row r="314" spans="1:53" ht="12.75" customHeight="1" x14ac:dyDescent="0.25">
      <c r="A314" s="20">
        <v>304</v>
      </c>
      <c r="B314" s="35" t="s">
        <v>7216</v>
      </c>
      <c r="C314" s="20" t="s">
        <v>7304</v>
      </c>
      <c r="D314" s="20" t="s">
        <v>7305</v>
      </c>
      <c r="E314" s="25">
        <v>1</v>
      </c>
      <c r="F314" s="34"/>
      <c r="G314" s="35">
        <v>7</v>
      </c>
      <c r="H314" s="35" t="s">
        <v>6741</v>
      </c>
      <c r="J314" s="35"/>
      <c r="K314" s="23">
        <v>124252</v>
      </c>
      <c r="L314" s="23">
        <f t="shared" si="89"/>
        <v>124252</v>
      </c>
      <c r="U314" s="80"/>
      <c r="V314" s="23">
        <f t="shared" si="97"/>
        <v>124252</v>
      </c>
      <c r="W314" s="25">
        <v>1</v>
      </c>
      <c r="X314" s="23">
        <f t="shared" si="90"/>
        <v>124252</v>
      </c>
      <c r="Y314" s="20" t="s">
        <v>705</v>
      </c>
      <c r="Z314" s="35" t="s">
        <v>6758</v>
      </c>
      <c r="AA314" s="35" t="s">
        <v>6861</v>
      </c>
      <c r="AB314" s="35" t="s">
        <v>6733</v>
      </c>
      <c r="AC314" s="35" t="s">
        <v>7306</v>
      </c>
      <c r="AD314" s="35" t="s">
        <v>7224</v>
      </c>
      <c r="AE314" s="37" t="str">
        <f t="shared" si="82"/>
        <v>52</v>
      </c>
      <c r="AG314" s="37">
        <f t="shared" si="98"/>
        <v>28466.1332</v>
      </c>
      <c r="AH314" s="37">
        <f t="shared" si="99"/>
        <v>7703.6239999999998</v>
      </c>
      <c r="AI314" s="37">
        <f t="shared" si="91"/>
        <v>1801.654</v>
      </c>
      <c r="AJ314" s="37">
        <f t="shared" si="92"/>
        <v>1528.2996000000001</v>
      </c>
      <c r="AK314" s="37">
        <f t="shared" si="93"/>
        <v>2349.356816</v>
      </c>
      <c r="AL314" s="23">
        <v>140.04</v>
      </c>
      <c r="AM314" s="23">
        <f t="shared" si="83"/>
        <v>140.04</v>
      </c>
      <c r="AN314" s="22">
        <v>79.2</v>
      </c>
      <c r="AO314" s="22">
        <f t="shared" si="79"/>
        <v>79.2</v>
      </c>
      <c r="AP314" s="23">
        <v>33444</v>
      </c>
      <c r="AQ314" s="23">
        <f t="shared" si="80"/>
        <v>34786.776599999997</v>
      </c>
      <c r="AR314" s="23">
        <f t="shared" si="84"/>
        <v>34786.776599999997</v>
      </c>
      <c r="AS314" s="23">
        <f t="shared" si="87"/>
        <v>35006.016599999995</v>
      </c>
      <c r="AU314" s="20">
        <f t="shared" si="85"/>
        <v>0</v>
      </c>
      <c r="AV314" s="37">
        <f t="shared" si="81"/>
        <v>76855.084215999988</v>
      </c>
      <c r="AW314" s="37">
        <f t="shared" si="88"/>
        <v>201107.08421599999</v>
      </c>
      <c r="BA314" s="20" t="str">
        <f t="shared" si="86"/>
        <v xml:space="preserve">1 - DIR_PSEM - Scott, Daniel </v>
      </c>
    </row>
    <row r="315" spans="1:53" ht="12.75" hidden="1" customHeight="1" x14ac:dyDescent="0.25">
      <c r="B315" s="35" t="s">
        <v>7216</v>
      </c>
      <c r="C315" s="20" t="s">
        <v>7307</v>
      </c>
      <c r="D315" s="20" t="s">
        <v>7308</v>
      </c>
      <c r="E315" s="25">
        <v>0.5</v>
      </c>
      <c r="F315" s="34">
        <v>44470</v>
      </c>
      <c r="G315" s="35" t="s">
        <v>7292</v>
      </c>
      <c r="H315" s="35" t="s">
        <v>6730</v>
      </c>
      <c r="I315" s="22">
        <f>132516/12*3*E315</f>
        <v>16564.5</v>
      </c>
      <c r="J315" s="35" t="s">
        <v>6741</v>
      </c>
      <c r="K315" s="23">
        <f>136556/12*9*E315</f>
        <v>51208.5</v>
      </c>
      <c r="L315" s="23">
        <f t="shared" si="89"/>
        <v>67773</v>
      </c>
      <c r="U315" s="80">
        <v>750</v>
      </c>
      <c r="V315" s="23">
        <f t="shared" si="97"/>
        <v>68523</v>
      </c>
      <c r="W315" s="25">
        <v>1</v>
      </c>
      <c r="X315" s="23">
        <f t="shared" si="90"/>
        <v>68523</v>
      </c>
      <c r="Y315" s="20" t="s">
        <v>4388</v>
      </c>
      <c r="Z315" s="35" t="s">
        <v>6731</v>
      </c>
      <c r="AA315" s="35" t="s">
        <v>6901</v>
      </c>
      <c r="AB315" s="35" t="s">
        <v>6733</v>
      </c>
      <c r="AC315" s="35" t="s">
        <v>7309</v>
      </c>
      <c r="AD315" s="35" t="s">
        <v>7219</v>
      </c>
      <c r="AE315" s="37" t="str">
        <f t="shared" si="82"/>
        <v>51</v>
      </c>
      <c r="AF315" s="37">
        <f>X315*$AF$1</f>
        <v>11594.0916</v>
      </c>
      <c r="AH315" s="37"/>
      <c r="AI315" s="37">
        <f t="shared" si="91"/>
        <v>993.58350000000007</v>
      </c>
      <c r="AJ315" s="37">
        <f t="shared" si="92"/>
        <v>842.8329</v>
      </c>
      <c r="AK315" s="37">
        <f t="shared" si="93"/>
        <v>1295.6328840000001</v>
      </c>
      <c r="AL315" s="23">
        <v>140.04</v>
      </c>
      <c r="AM315" s="23">
        <f t="shared" si="83"/>
        <v>140.04</v>
      </c>
      <c r="AN315" s="22">
        <v>79.2</v>
      </c>
      <c r="AO315" s="22">
        <f t="shared" si="79"/>
        <v>79.2</v>
      </c>
      <c r="AP315" s="23">
        <v>8820</v>
      </c>
      <c r="AQ315" s="23">
        <f t="shared" si="80"/>
        <v>9174.1229999999996</v>
      </c>
      <c r="AR315" s="23">
        <f t="shared" si="84"/>
        <v>9174.1229999999996</v>
      </c>
      <c r="AS315" s="23">
        <f t="shared" si="87"/>
        <v>9393.3629999999994</v>
      </c>
      <c r="AT315" s="23">
        <v>2400</v>
      </c>
      <c r="AU315" s="20">
        <f t="shared" si="85"/>
        <v>2400</v>
      </c>
      <c r="AV315" s="37">
        <f t="shared" si="81"/>
        <v>26519.503884000002</v>
      </c>
      <c r="AW315" s="37">
        <f t="shared" si="88"/>
        <v>95042.503884000005</v>
      </c>
      <c r="AX315" s="20" t="s">
        <v>6675</v>
      </c>
      <c r="AY315" s="20" t="s">
        <v>6677</v>
      </c>
      <c r="AZ315" s="20" t="s">
        <v>7310</v>
      </c>
      <c r="BA315" s="20" t="str">
        <f t="shared" si="86"/>
        <v>1 - ASSTDIRNURN - Sheppard, Sonja</v>
      </c>
    </row>
    <row r="316" spans="1:53" ht="12.75" customHeight="1" x14ac:dyDescent="0.25">
      <c r="A316" s="20">
        <v>305</v>
      </c>
      <c r="B316" s="35" t="s">
        <v>7216</v>
      </c>
      <c r="C316" s="52" t="s">
        <v>7311</v>
      </c>
      <c r="D316" s="20" t="s">
        <v>7312</v>
      </c>
      <c r="E316" s="25">
        <v>1</v>
      </c>
      <c r="G316" s="35">
        <v>9</v>
      </c>
      <c r="H316" s="35" t="s">
        <v>6741</v>
      </c>
      <c r="J316" s="35"/>
      <c r="K316" s="23">
        <v>112132</v>
      </c>
      <c r="L316" s="23">
        <f t="shared" si="89"/>
        <v>112132</v>
      </c>
      <c r="U316" s="80"/>
      <c r="V316" s="23">
        <f t="shared" si="97"/>
        <v>112132</v>
      </c>
      <c r="W316" s="25">
        <v>1</v>
      </c>
      <c r="X316" s="23">
        <f t="shared" si="90"/>
        <v>112132</v>
      </c>
      <c r="Y316" s="20" t="s">
        <v>2069</v>
      </c>
      <c r="Z316" s="35" t="s">
        <v>6758</v>
      </c>
      <c r="AA316" s="35" t="s">
        <v>7288</v>
      </c>
      <c r="AB316" s="35" t="s">
        <v>6733</v>
      </c>
      <c r="AC316" s="35" t="s">
        <v>7289</v>
      </c>
      <c r="AD316" s="35" t="s">
        <v>7219</v>
      </c>
      <c r="AE316" s="37" t="str">
        <f t="shared" si="82"/>
        <v>51</v>
      </c>
      <c r="AF316" s="37">
        <f>X316*$AF$1</f>
        <v>18972.734399999998</v>
      </c>
      <c r="AI316" s="37">
        <f t="shared" si="91"/>
        <v>1625.914</v>
      </c>
      <c r="AJ316" s="37">
        <f t="shared" si="92"/>
        <v>1379.2236</v>
      </c>
      <c r="AK316" s="37">
        <f t="shared" si="93"/>
        <v>2120.1918559999999</v>
      </c>
      <c r="AL316" s="23">
        <v>140.04</v>
      </c>
      <c r="AM316" s="23">
        <f t="shared" si="83"/>
        <v>140.04</v>
      </c>
      <c r="AN316" s="22">
        <v>79.2</v>
      </c>
      <c r="AO316" s="22">
        <f t="shared" si="79"/>
        <v>79.2</v>
      </c>
      <c r="AP316" s="23">
        <v>25452.6</v>
      </c>
      <c r="AQ316" s="23">
        <f t="shared" si="80"/>
        <v>26474.521889999996</v>
      </c>
      <c r="AR316" s="23">
        <f t="shared" si="84"/>
        <v>26474.521889999996</v>
      </c>
      <c r="AS316" s="23">
        <f t="shared" si="87"/>
        <v>26693.761889999998</v>
      </c>
      <c r="AT316" s="37"/>
      <c r="AU316" s="20">
        <f t="shared" si="85"/>
        <v>0</v>
      </c>
      <c r="AV316" s="37">
        <f t="shared" si="81"/>
        <v>50791.825746000002</v>
      </c>
      <c r="AW316" s="225">
        <f t="shared" si="88"/>
        <v>162923.82574599999</v>
      </c>
      <c r="BA316" s="20" t="str">
        <f t="shared" si="86"/>
        <v>1 - DIR_TWS - VACANT (Selover)</v>
      </c>
    </row>
    <row r="317" spans="1:53" ht="12.75" hidden="1" customHeight="1" x14ac:dyDescent="0.25">
      <c r="A317" s="20">
        <v>306</v>
      </c>
      <c r="B317" s="35" t="s">
        <v>7216</v>
      </c>
      <c r="C317" s="20" t="s">
        <v>7313</v>
      </c>
      <c r="D317" s="20" t="s">
        <v>7314</v>
      </c>
      <c r="E317" s="25">
        <v>1</v>
      </c>
      <c r="F317" s="34">
        <v>44501</v>
      </c>
      <c r="G317" s="35">
        <v>7</v>
      </c>
      <c r="H317" s="35" t="s">
        <v>6729</v>
      </c>
      <c r="I317" s="22">
        <f>116179/12*4</f>
        <v>38726.333333333336</v>
      </c>
      <c r="J317" s="35" t="s">
        <v>6730</v>
      </c>
      <c r="K317" s="23">
        <f>120213/12*8</f>
        <v>80142</v>
      </c>
      <c r="L317" s="23">
        <f t="shared" si="89"/>
        <v>118868.33333333334</v>
      </c>
      <c r="U317" s="80">
        <v>1500</v>
      </c>
      <c r="V317" s="23">
        <f t="shared" si="97"/>
        <v>120368.33333333334</v>
      </c>
      <c r="W317" s="25">
        <v>0.5</v>
      </c>
      <c r="X317" s="23">
        <f t="shared" si="90"/>
        <v>60184.166666666672</v>
      </c>
      <c r="Y317" s="20" t="s">
        <v>4940</v>
      </c>
      <c r="Z317" s="35" t="s">
        <v>6731</v>
      </c>
      <c r="AA317" s="35" t="s">
        <v>6732</v>
      </c>
      <c r="AB317" s="35" t="s">
        <v>6733</v>
      </c>
      <c r="AC317" s="35" t="s">
        <v>6734</v>
      </c>
      <c r="AD317" s="35" t="s">
        <v>7219</v>
      </c>
      <c r="AE317" s="37" t="str">
        <f t="shared" si="82"/>
        <v>51</v>
      </c>
      <c r="AF317" s="37">
        <f>X317*$AF$1</f>
        <v>10183.161</v>
      </c>
      <c r="AI317" s="37">
        <f t="shared" si="91"/>
        <v>872.67041666666682</v>
      </c>
      <c r="AJ317" s="37">
        <f t="shared" si="92"/>
        <v>740.26525000000004</v>
      </c>
      <c r="AK317" s="37">
        <f t="shared" si="93"/>
        <v>1137.9622233333334</v>
      </c>
      <c r="AL317" s="23">
        <v>140.04</v>
      </c>
      <c r="AM317" s="23">
        <f t="shared" si="83"/>
        <v>70.02</v>
      </c>
      <c r="AN317" s="22">
        <v>79.2</v>
      </c>
      <c r="AO317" s="22">
        <f t="shared" si="79"/>
        <v>39.6</v>
      </c>
      <c r="AP317" s="23">
        <v>8820</v>
      </c>
      <c r="AQ317" s="23">
        <f t="shared" si="80"/>
        <v>9174.1229999999996</v>
      </c>
      <c r="AR317" s="23">
        <f t="shared" si="84"/>
        <v>4587.0614999999998</v>
      </c>
      <c r="AS317" s="23">
        <f t="shared" si="87"/>
        <v>4696.6814999999997</v>
      </c>
      <c r="AT317" s="37">
        <v>2400</v>
      </c>
      <c r="AU317" s="20">
        <f t="shared" si="85"/>
        <v>1200</v>
      </c>
      <c r="AV317" s="37">
        <f t="shared" si="81"/>
        <v>18830.740390000003</v>
      </c>
      <c r="AW317" s="37">
        <f t="shared" si="88"/>
        <v>79014.907056666678</v>
      </c>
      <c r="AX317" s="20" t="s">
        <v>6675</v>
      </c>
      <c r="AY317" s="20" t="s">
        <v>6736</v>
      </c>
      <c r="AZ317" s="20" t="s">
        <v>6737</v>
      </c>
      <c r="BA317" s="20" t="str">
        <f t="shared" si="86"/>
        <v>0.5 - DIR_SAS - Singh, Jainesh</v>
      </c>
    </row>
    <row r="318" spans="1:53" ht="12.75" hidden="1" customHeight="1" x14ac:dyDescent="0.25">
      <c r="A318" s="20">
        <v>307</v>
      </c>
      <c r="B318" s="35" t="s">
        <v>7216</v>
      </c>
      <c r="C318" s="20" t="s">
        <v>7313</v>
      </c>
      <c r="D318" s="20" t="s">
        <v>7314</v>
      </c>
      <c r="E318" s="25">
        <v>1</v>
      </c>
      <c r="F318" s="34">
        <v>44501</v>
      </c>
      <c r="G318" s="35">
        <v>7</v>
      </c>
      <c r="H318" s="35" t="s">
        <v>6729</v>
      </c>
      <c r="I318" s="22">
        <f>116179/12*4</f>
        <v>38726.333333333336</v>
      </c>
      <c r="J318" s="35" t="s">
        <v>6730</v>
      </c>
      <c r="K318" s="23">
        <f>120213/12*8</f>
        <v>80142</v>
      </c>
      <c r="L318" s="23">
        <f t="shared" si="89"/>
        <v>118868.33333333334</v>
      </c>
      <c r="U318" s="80">
        <v>1500</v>
      </c>
      <c r="V318" s="23">
        <f t="shared" si="97"/>
        <v>120368.33333333334</v>
      </c>
      <c r="W318" s="25">
        <v>0.5</v>
      </c>
      <c r="X318" s="23">
        <f t="shared" si="90"/>
        <v>60184.166666666672</v>
      </c>
      <c r="Y318" s="20" t="s">
        <v>4136</v>
      </c>
      <c r="Z318" s="35" t="s">
        <v>6731</v>
      </c>
      <c r="AA318" s="35" t="s">
        <v>6772</v>
      </c>
      <c r="AB318" s="35" t="s">
        <v>6733</v>
      </c>
      <c r="AC318" s="35" t="s">
        <v>6849</v>
      </c>
      <c r="AD318" s="35" t="s">
        <v>7219</v>
      </c>
      <c r="AE318" s="37" t="str">
        <f t="shared" si="82"/>
        <v>51</v>
      </c>
      <c r="AF318" s="37">
        <f>X318*$AF$1</f>
        <v>10183.161</v>
      </c>
      <c r="AI318" s="37">
        <f t="shared" si="91"/>
        <v>872.67041666666682</v>
      </c>
      <c r="AJ318" s="37">
        <f t="shared" si="92"/>
        <v>740.26525000000004</v>
      </c>
      <c r="AK318" s="37">
        <f t="shared" si="93"/>
        <v>1137.9622233333334</v>
      </c>
      <c r="AL318" s="23">
        <v>140.04</v>
      </c>
      <c r="AM318" s="23">
        <f t="shared" si="83"/>
        <v>70.02</v>
      </c>
      <c r="AN318" s="22">
        <v>79.2</v>
      </c>
      <c r="AO318" s="22">
        <f t="shared" si="79"/>
        <v>39.6</v>
      </c>
      <c r="AP318" s="23">
        <v>8820</v>
      </c>
      <c r="AQ318" s="23">
        <f t="shared" si="80"/>
        <v>9174.1229999999996</v>
      </c>
      <c r="AR318" s="23">
        <f t="shared" si="84"/>
        <v>4587.0614999999998</v>
      </c>
      <c r="AS318" s="23">
        <f t="shared" si="87"/>
        <v>4696.6814999999997</v>
      </c>
      <c r="AT318" s="37">
        <v>2400</v>
      </c>
      <c r="AU318" s="20">
        <f t="shared" si="85"/>
        <v>1200</v>
      </c>
      <c r="AV318" s="37">
        <f t="shared" si="81"/>
        <v>18830.740390000003</v>
      </c>
      <c r="AW318" s="37">
        <f t="shared" si="88"/>
        <v>79014.907056666678</v>
      </c>
      <c r="AX318" s="20" t="s">
        <v>6850</v>
      </c>
      <c r="AY318" s="20" t="s">
        <v>6851</v>
      </c>
      <c r="AZ318" s="20" t="s">
        <v>6852</v>
      </c>
      <c r="BA318" s="20" t="str">
        <f t="shared" si="86"/>
        <v>0.5 - DIR_SAS - Singh, Jainesh</v>
      </c>
    </row>
    <row r="319" spans="1:53" ht="12.75" hidden="1" customHeight="1" x14ac:dyDescent="0.25">
      <c r="A319" s="20">
        <v>308</v>
      </c>
      <c r="B319" s="35" t="s">
        <v>7216</v>
      </c>
      <c r="C319" s="20" t="s">
        <v>7315</v>
      </c>
      <c r="D319" s="20" t="s">
        <v>7316</v>
      </c>
      <c r="E319" s="25">
        <v>1</v>
      </c>
      <c r="F319" s="34"/>
      <c r="G319" s="35">
        <v>11</v>
      </c>
      <c r="H319" s="35" t="s">
        <v>6741</v>
      </c>
      <c r="J319" s="35"/>
      <c r="K319" s="23">
        <v>99828</v>
      </c>
      <c r="L319" s="23">
        <f t="shared" si="89"/>
        <v>99828</v>
      </c>
      <c r="U319" s="80"/>
      <c r="V319" s="23">
        <f t="shared" si="97"/>
        <v>99828</v>
      </c>
      <c r="W319" s="25">
        <v>1</v>
      </c>
      <c r="X319" s="23">
        <f t="shared" si="90"/>
        <v>99828</v>
      </c>
      <c r="Y319" s="20" t="s">
        <v>3597</v>
      </c>
      <c r="Z319" s="35" t="s">
        <v>6731</v>
      </c>
      <c r="AA319" s="35" t="s">
        <v>7001</v>
      </c>
      <c r="AB319" s="35" t="s">
        <v>6733</v>
      </c>
      <c r="AC319" s="35" t="s">
        <v>7002</v>
      </c>
      <c r="AD319" s="35" t="s">
        <v>7224</v>
      </c>
      <c r="AE319" s="37" t="str">
        <f t="shared" si="82"/>
        <v>52</v>
      </c>
      <c r="AG319" s="37">
        <f>X319*$AG$1</f>
        <v>22870.594799999999</v>
      </c>
      <c r="AH319" s="37">
        <f>X319*$AH$1</f>
        <v>6189.3360000000002</v>
      </c>
      <c r="AI319" s="37">
        <f t="shared" si="91"/>
        <v>1447.5060000000001</v>
      </c>
      <c r="AJ319" s="37">
        <f t="shared" si="92"/>
        <v>1227.8843999999999</v>
      </c>
      <c r="AK319" s="37">
        <f t="shared" si="93"/>
        <v>1887.5478240000002</v>
      </c>
      <c r="AL319" s="23">
        <v>140.04</v>
      </c>
      <c r="AM319" s="23">
        <f t="shared" si="83"/>
        <v>140.04</v>
      </c>
      <c r="AN319" s="22">
        <v>79.2</v>
      </c>
      <c r="AO319" s="22">
        <f t="shared" si="79"/>
        <v>79.2</v>
      </c>
      <c r="AP319" s="23">
        <v>33444</v>
      </c>
      <c r="AQ319" s="23">
        <f t="shared" si="80"/>
        <v>34786.776599999997</v>
      </c>
      <c r="AR319" s="23">
        <f t="shared" si="84"/>
        <v>34786.776599999997</v>
      </c>
      <c r="AS319" s="23">
        <f t="shared" si="87"/>
        <v>35006.016599999995</v>
      </c>
      <c r="AU319" s="20">
        <f t="shared" si="85"/>
        <v>0</v>
      </c>
      <c r="AV319" s="37">
        <f t="shared" si="81"/>
        <v>68628.885623999988</v>
      </c>
      <c r="AW319" s="37">
        <f t="shared" si="88"/>
        <v>168456.88562399999</v>
      </c>
      <c r="AX319" s="20" t="s">
        <v>7003</v>
      </c>
      <c r="AY319" s="20" t="s">
        <v>6671</v>
      </c>
      <c r="AZ319" s="20" t="s">
        <v>7004</v>
      </c>
      <c r="BA319" s="20" t="str">
        <f t="shared" si="86"/>
        <v>1 - MGR_FDSRV - Skinner, Kenneth</v>
      </c>
    </row>
    <row r="320" spans="1:53" ht="12.75" hidden="1" customHeight="1" x14ac:dyDescent="0.25">
      <c r="A320" s="20">
        <v>309</v>
      </c>
      <c r="B320" s="35" t="s">
        <v>7216</v>
      </c>
      <c r="C320" s="20" t="s">
        <v>7317</v>
      </c>
      <c r="D320" s="20" t="s">
        <v>7318</v>
      </c>
      <c r="E320" s="25">
        <v>1</v>
      </c>
      <c r="G320" s="35">
        <v>9</v>
      </c>
      <c r="H320" s="35" t="s">
        <v>6741</v>
      </c>
      <c r="J320" s="35"/>
      <c r="K320" s="23">
        <v>112132</v>
      </c>
      <c r="L320" s="23">
        <f t="shared" si="89"/>
        <v>112132</v>
      </c>
      <c r="U320" s="80"/>
      <c r="V320" s="23">
        <f t="shared" si="97"/>
        <v>112132</v>
      </c>
      <c r="W320" s="25">
        <v>0.5</v>
      </c>
      <c r="X320" s="23">
        <f t="shared" si="90"/>
        <v>56066</v>
      </c>
      <c r="Y320" s="20" t="s">
        <v>3810</v>
      </c>
      <c r="Z320" s="35" t="s">
        <v>6731</v>
      </c>
      <c r="AA320" s="35" t="s">
        <v>7008</v>
      </c>
      <c r="AB320" s="35" t="s">
        <v>6733</v>
      </c>
      <c r="AC320" s="35" t="s">
        <v>7009</v>
      </c>
      <c r="AD320" s="35" t="s">
        <v>7224</v>
      </c>
      <c r="AE320" s="37" t="str">
        <f t="shared" si="82"/>
        <v>52</v>
      </c>
      <c r="AG320" s="37">
        <f>X320*$AG$1</f>
        <v>12844.720600000001</v>
      </c>
      <c r="AH320" s="37">
        <f>X320*$AH$1</f>
        <v>3476.0920000000001</v>
      </c>
      <c r="AI320" s="37">
        <f t="shared" si="91"/>
        <v>812.95699999999999</v>
      </c>
      <c r="AJ320" s="37">
        <f t="shared" si="92"/>
        <v>689.61180000000002</v>
      </c>
      <c r="AK320" s="37">
        <f t="shared" si="93"/>
        <v>1060.095928</v>
      </c>
      <c r="AL320" s="23">
        <v>140.04</v>
      </c>
      <c r="AM320" s="23">
        <f t="shared" si="83"/>
        <v>70.02</v>
      </c>
      <c r="AN320" s="22">
        <v>79.2</v>
      </c>
      <c r="AO320" s="22">
        <f t="shared" si="79"/>
        <v>39.6</v>
      </c>
      <c r="AP320" s="23">
        <v>33444</v>
      </c>
      <c r="AQ320" s="23">
        <f t="shared" si="80"/>
        <v>34786.776599999997</v>
      </c>
      <c r="AR320" s="23">
        <f t="shared" si="84"/>
        <v>17393.388299999999</v>
      </c>
      <c r="AS320" s="23">
        <f t="shared" si="87"/>
        <v>17503.008299999998</v>
      </c>
      <c r="AU320" s="20">
        <f t="shared" si="85"/>
        <v>0</v>
      </c>
      <c r="AV320" s="37">
        <f t="shared" si="81"/>
        <v>36386.485627999995</v>
      </c>
      <c r="AW320" s="37">
        <f t="shared" si="88"/>
        <v>92452.485627999995</v>
      </c>
      <c r="AX320" s="20" t="s">
        <v>6675</v>
      </c>
      <c r="AY320" s="20" t="s">
        <v>7010</v>
      </c>
      <c r="AZ320" s="20" t="s">
        <v>7011</v>
      </c>
      <c r="BA320" s="20" t="str">
        <f t="shared" si="86"/>
        <v>0.5 - DIR_K12 - Stephens Carrillo, Julie</v>
      </c>
    </row>
    <row r="321" spans="1:53" ht="12.75" hidden="1" customHeight="1" x14ac:dyDescent="0.25">
      <c r="A321" s="20">
        <v>310</v>
      </c>
      <c r="B321" s="35" t="s">
        <v>7216</v>
      </c>
      <c r="C321" s="20" t="s">
        <v>7317</v>
      </c>
      <c r="D321" s="20" t="s">
        <v>7318</v>
      </c>
      <c r="E321" s="25">
        <v>1</v>
      </c>
      <c r="G321" s="35">
        <v>9</v>
      </c>
      <c r="H321" s="35" t="s">
        <v>6741</v>
      </c>
      <c r="J321" s="35"/>
      <c r="K321" s="23">
        <v>112132</v>
      </c>
      <c r="L321" s="23">
        <f t="shared" si="89"/>
        <v>112132</v>
      </c>
      <c r="U321" s="80"/>
      <c r="V321" s="23">
        <f t="shared" si="97"/>
        <v>112132</v>
      </c>
      <c r="W321" s="25">
        <v>0.5</v>
      </c>
      <c r="X321" s="23">
        <f t="shared" si="90"/>
        <v>56066</v>
      </c>
      <c r="Y321" s="20" t="s">
        <v>3854</v>
      </c>
      <c r="Z321" s="35" t="s">
        <v>6731</v>
      </c>
      <c r="AA321" s="35" t="s">
        <v>7008</v>
      </c>
      <c r="AB321" s="35" t="s">
        <v>6733</v>
      </c>
      <c r="AC321" s="35" t="s">
        <v>7319</v>
      </c>
      <c r="AD321" s="35" t="s">
        <v>7224</v>
      </c>
      <c r="AE321" s="37" t="str">
        <f t="shared" si="82"/>
        <v>52</v>
      </c>
      <c r="AG321" s="37">
        <f>X321*$AG$1</f>
        <v>12844.720600000001</v>
      </c>
      <c r="AH321" s="37">
        <f>X321*$AH$1</f>
        <v>3476.0920000000001</v>
      </c>
      <c r="AI321" s="37">
        <f t="shared" si="91"/>
        <v>812.95699999999999</v>
      </c>
      <c r="AJ321" s="37">
        <f t="shared" si="92"/>
        <v>689.61180000000002</v>
      </c>
      <c r="AK321" s="37">
        <f t="shared" si="93"/>
        <v>1060.095928</v>
      </c>
      <c r="AL321" s="23">
        <v>140.04</v>
      </c>
      <c r="AM321" s="23">
        <f t="shared" si="83"/>
        <v>70.02</v>
      </c>
      <c r="AN321" s="22">
        <v>79.2</v>
      </c>
      <c r="AO321" s="22">
        <f t="shared" si="79"/>
        <v>39.6</v>
      </c>
      <c r="AP321" s="23">
        <v>33444</v>
      </c>
      <c r="AQ321" s="23">
        <f t="shared" si="80"/>
        <v>34786.776599999997</v>
      </c>
      <c r="AR321" s="23">
        <f t="shared" si="84"/>
        <v>17393.388299999999</v>
      </c>
      <c r="AS321" s="23">
        <f t="shared" si="87"/>
        <v>17503.008299999998</v>
      </c>
      <c r="AU321" s="20">
        <f t="shared" si="85"/>
        <v>0</v>
      </c>
      <c r="AV321" s="37">
        <f t="shared" si="81"/>
        <v>36386.485627999995</v>
      </c>
      <c r="AW321" s="37">
        <f t="shared" si="88"/>
        <v>92452.485627999995</v>
      </c>
      <c r="AX321" s="20" t="s">
        <v>6675</v>
      </c>
      <c r="AY321" s="20" t="s">
        <v>7010</v>
      </c>
      <c r="AZ321" s="20" t="s">
        <v>7320</v>
      </c>
      <c r="BA321" s="20" t="str">
        <f t="shared" si="86"/>
        <v>0.5 - DIR_K12 - Stephens Carrillo, Julie</v>
      </c>
    </row>
    <row r="322" spans="1:53" ht="12.75" customHeight="1" x14ac:dyDescent="0.25">
      <c r="A322" s="20">
        <v>311</v>
      </c>
      <c r="B322" s="35" t="s">
        <v>7216</v>
      </c>
      <c r="C322" s="20" t="s">
        <v>7321</v>
      </c>
      <c r="D322" s="20" t="s">
        <v>7322</v>
      </c>
      <c r="E322" s="25">
        <v>1</v>
      </c>
      <c r="F322" s="34">
        <v>44501</v>
      </c>
      <c r="G322" s="35">
        <v>5</v>
      </c>
      <c r="H322" s="35" t="s">
        <v>6783</v>
      </c>
      <c r="I322" s="22">
        <f>124252/12*4</f>
        <v>41417.333333333336</v>
      </c>
      <c r="J322" s="35" t="s">
        <v>6729</v>
      </c>
      <c r="K322" s="23">
        <f>128482/12*8</f>
        <v>85654.666666666672</v>
      </c>
      <c r="L322" s="23">
        <f t="shared" si="89"/>
        <v>127072</v>
      </c>
      <c r="U322" s="80"/>
      <c r="V322" s="23">
        <f t="shared" si="97"/>
        <v>127072</v>
      </c>
      <c r="W322" s="25">
        <v>1</v>
      </c>
      <c r="X322" s="23">
        <f t="shared" si="90"/>
        <v>127072</v>
      </c>
      <c r="Y322" s="20" t="s">
        <v>667</v>
      </c>
      <c r="Z322" s="35" t="s">
        <v>6758</v>
      </c>
      <c r="AA322" s="35" t="s">
        <v>6861</v>
      </c>
      <c r="AB322" s="35" t="s">
        <v>6733</v>
      </c>
      <c r="AC322" s="35" t="s">
        <v>6862</v>
      </c>
      <c r="AD322" s="35" t="s">
        <v>7224</v>
      </c>
      <c r="AE322" s="37" t="str">
        <f t="shared" si="82"/>
        <v>52</v>
      </c>
      <c r="AG322" s="37">
        <f>X322*$AG$1</f>
        <v>29112.195199999998</v>
      </c>
      <c r="AH322" s="37">
        <f>X322*$AH$1</f>
        <v>7878.4639999999999</v>
      </c>
      <c r="AI322" s="37">
        <f t="shared" si="91"/>
        <v>1842.5440000000001</v>
      </c>
      <c r="AJ322" s="37">
        <f t="shared" si="92"/>
        <v>1562.9856</v>
      </c>
      <c r="AK322" s="37">
        <f t="shared" si="93"/>
        <v>2402.6773760000001</v>
      </c>
      <c r="AL322" s="23">
        <v>140.04</v>
      </c>
      <c r="AM322" s="23">
        <f t="shared" si="83"/>
        <v>140.04</v>
      </c>
      <c r="AN322" s="22">
        <v>79.2</v>
      </c>
      <c r="AO322" s="22">
        <f t="shared" ref="AO322:AO385" si="100">AN322*W322</f>
        <v>79.2</v>
      </c>
      <c r="AP322" s="23">
        <v>33444</v>
      </c>
      <c r="AQ322" s="23">
        <f t="shared" ref="AQ322:AQ385" si="101">AP322/2+(((AP322/2)*$AQ$1)+AP322/2)</f>
        <v>34786.776599999997</v>
      </c>
      <c r="AR322" s="23">
        <f t="shared" si="84"/>
        <v>34786.776599999997</v>
      </c>
      <c r="AS322" s="23">
        <f t="shared" si="87"/>
        <v>35006.016599999995</v>
      </c>
      <c r="AU322" s="20">
        <f t="shared" si="85"/>
        <v>0</v>
      </c>
      <c r="AV322" s="37">
        <f t="shared" ref="AV322:AV385" si="102">+AF322+AG322+AH322+AI322+AJ322+AK322+AM322+AO322+AR322+AU322</f>
        <v>77804.882775999984</v>
      </c>
      <c r="AW322" s="37">
        <f t="shared" si="88"/>
        <v>204876.88277599998</v>
      </c>
      <c r="BA322" s="20" t="str">
        <f t="shared" si="86"/>
        <v>1 - CNTRLLR - Techaira, David</v>
      </c>
    </row>
    <row r="323" spans="1:53" ht="12.75" customHeight="1" x14ac:dyDescent="0.25">
      <c r="A323" s="20">
        <v>312</v>
      </c>
      <c r="B323" s="35" t="s">
        <v>7216</v>
      </c>
      <c r="C323" s="20" t="s">
        <v>7323</v>
      </c>
      <c r="D323" s="20" t="s">
        <v>7324</v>
      </c>
      <c r="E323" s="25">
        <v>1</v>
      </c>
      <c r="G323" s="35">
        <v>3</v>
      </c>
      <c r="H323" s="35" t="s">
        <v>6741</v>
      </c>
      <c r="J323" s="35"/>
      <c r="K323" s="23">
        <v>148881</v>
      </c>
      <c r="L323" s="23">
        <f t="shared" si="89"/>
        <v>148881</v>
      </c>
      <c r="U323" s="80"/>
      <c r="V323" s="23">
        <f t="shared" si="97"/>
        <v>148881</v>
      </c>
      <c r="W323" s="25">
        <v>0.25</v>
      </c>
      <c r="X323" s="23">
        <f t="shared" si="90"/>
        <v>37220.25</v>
      </c>
      <c r="Y323" s="20" t="s">
        <v>1551</v>
      </c>
      <c r="Z323" s="35" t="s">
        <v>6758</v>
      </c>
      <c r="AA323" s="35" t="s">
        <v>6941</v>
      </c>
      <c r="AB323" s="35" t="s">
        <v>6733</v>
      </c>
      <c r="AC323" s="35" t="s">
        <v>6805</v>
      </c>
      <c r="AD323" s="35" t="s">
        <v>7219</v>
      </c>
      <c r="AE323" s="37" t="str">
        <f t="shared" ref="AE323:AE386" si="103">LEFT(AD323,2)</f>
        <v>51</v>
      </c>
      <c r="AF323" s="37">
        <f>X323*$AF$1</f>
        <v>6297.6662999999999</v>
      </c>
      <c r="AI323" s="37">
        <f t="shared" si="91"/>
        <v>539.693625</v>
      </c>
      <c r="AJ323" s="37">
        <f t="shared" si="92"/>
        <v>457.80907500000001</v>
      </c>
      <c r="AK323" s="37">
        <f t="shared" si="93"/>
        <v>703.76048700000001</v>
      </c>
      <c r="AL323" s="23">
        <v>140.04</v>
      </c>
      <c r="AM323" s="23">
        <f t="shared" ref="AM323:AM386" si="104">AL323*W323</f>
        <v>35.01</v>
      </c>
      <c r="AN323" s="22">
        <v>79.2</v>
      </c>
      <c r="AO323" s="22">
        <f t="shared" si="100"/>
        <v>19.8</v>
      </c>
      <c r="AP323" s="23">
        <v>25452.6</v>
      </c>
      <c r="AQ323" s="23">
        <f t="shared" si="101"/>
        <v>26474.521889999996</v>
      </c>
      <c r="AR323" s="23">
        <f t="shared" ref="AR323:AR386" si="105">AQ323*W323</f>
        <v>6618.6304724999991</v>
      </c>
      <c r="AS323" s="23">
        <f t="shared" si="87"/>
        <v>6673.4404724999995</v>
      </c>
      <c r="AT323" s="37"/>
      <c r="AU323" s="20">
        <f t="shared" ref="AU323:AU386" si="106">AT323*W323</f>
        <v>0</v>
      </c>
      <c r="AV323" s="37">
        <f t="shared" si="102"/>
        <v>14672.3699595</v>
      </c>
      <c r="AW323" s="37">
        <f t="shared" si="88"/>
        <v>51892.6199595</v>
      </c>
      <c r="BA323" s="20" t="str">
        <f t="shared" si="86"/>
        <v>0.25 - ATHL_DIR - Teresa, Dan</v>
      </c>
    </row>
    <row r="324" spans="1:53" ht="12.75" customHeight="1" x14ac:dyDescent="0.25">
      <c r="A324" s="20">
        <v>313</v>
      </c>
      <c r="B324" s="35" t="s">
        <v>7216</v>
      </c>
      <c r="C324" s="20" t="s">
        <v>7323</v>
      </c>
      <c r="D324" s="20" t="s">
        <v>7324</v>
      </c>
      <c r="E324" s="25">
        <v>1</v>
      </c>
      <c r="G324" s="35">
        <v>3</v>
      </c>
      <c r="H324" s="35" t="s">
        <v>6741</v>
      </c>
      <c r="J324" s="35"/>
      <c r="K324" s="23">
        <v>148881</v>
      </c>
      <c r="L324" s="23">
        <f t="shared" si="89"/>
        <v>148881</v>
      </c>
      <c r="U324" s="80"/>
      <c r="V324" s="23">
        <f t="shared" si="97"/>
        <v>148881</v>
      </c>
      <c r="W324" s="25">
        <v>0.75</v>
      </c>
      <c r="X324" s="23">
        <f t="shared" si="90"/>
        <v>111660.75</v>
      </c>
      <c r="Y324" s="20" t="s">
        <v>1563</v>
      </c>
      <c r="Z324" s="35" t="s">
        <v>6758</v>
      </c>
      <c r="AA324" s="35" t="s">
        <v>6941</v>
      </c>
      <c r="AB324" s="35" t="s">
        <v>6733</v>
      </c>
      <c r="AC324" s="35" t="s">
        <v>6942</v>
      </c>
      <c r="AD324" s="35" t="s">
        <v>7219</v>
      </c>
      <c r="AE324" s="37" t="str">
        <f t="shared" si="103"/>
        <v>51</v>
      </c>
      <c r="AF324" s="37">
        <f>X324*$AF$1</f>
        <v>18892.998899999999</v>
      </c>
      <c r="AI324" s="37">
        <f t="shared" si="91"/>
        <v>1619.0808750000001</v>
      </c>
      <c r="AJ324" s="37">
        <f t="shared" si="92"/>
        <v>1373.4272249999999</v>
      </c>
      <c r="AK324" s="37">
        <f t="shared" si="93"/>
        <v>2111.281461</v>
      </c>
      <c r="AL324" s="23">
        <v>140.04</v>
      </c>
      <c r="AM324" s="23">
        <f t="shared" si="104"/>
        <v>105.03</v>
      </c>
      <c r="AN324" s="22">
        <v>79.2</v>
      </c>
      <c r="AO324" s="22">
        <f t="shared" si="100"/>
        <v>59.400000000000006</v>
      </c>
      <c r="AP324" s="23">
        <v>25452.6</v>
      </c>
      <c r="AQ324" s="23">
        <f t="shared" si="101"/>
        <v>26474.521889999996</v>
      </c>
      <c r="AR324" s="23">
        <f t="shared" si="105"/>
        <v>19855.891417499995</v>
      </c>
      <c r="AS324" s="23">
        <f t="shared" si="87"/>
        <v>20020.321417499996</v>
      </c>
      <c r="AT324" s="37"/>
      <c r="AU324" s="20">
        <f t="shared" si="106"/>
        <v>0</v>
      </c>
      <c r="AV324" s="37">
        <f t="shared" si="102"/>
        <v>44017.109878499992</v>
      </c>
      <c r="AW324" s="37">
        <f t="shared" si="88"/>
        <v>155677.85987849999</v>
      </c>
      <c r="BA324" s="20" t="str">
        <f t="shared" si="86"/>
        <v>0.75 - ATHL_DIR - Teresa, Dan</v>
      </c>
    </row>
    <row r="325" spans="1:53" ht="12.75" customHeight="1" x14ac:dyDescent="0.25">
      <c r="A325" s="20">
        <v>314</v>
      </c>
      <c r="B325" s="35" t="s">
        <v>7216</v>
      </c>
      <c r="C325" s="20" t="s">
        <v>7325</v>
      </c>
      <c r="D325" s="20" t="s">
        <v>7326</v>
      </c>
      <c r="E325" s="25">
        <v>1</v>
      </c>
      <c r="F325" s="34">
        <v>44565</v>
      </c>
      <c r="G325" s="35">
        <v>9</v>
      </c>
      <c r="H325" s="35" t="s">
        <v>6783</v>
      </c>
      <c r="I325" s="22">
        <f>99828/12*6</f>
        <v>49914</v>
      </c>
      <c r="J325" s="35" t="s">
        <v>6729</v>
      </c>
      <c r="K325" s="23">
        <f>103861/12*6</f>
        <v>51930.5</v>
      </c>
      <c r="L325" s="23">
        <f t="shared" si="89"/>
        <v>101844.5</v>
      </c>
      <c r="U325" s="80"/>
      <c r="V325" s="23">
        <f t="shared" si="97"/>
        <v>101844.5</v>
      </c>
      <c r="W325" s="25">
        <v>1</v>
      </c>
      <c r="X325" s="23">
        <f t="shared" si="90"/>
        <v>101844.5</v>
      </c>
      <c r="Y325" s="20" t="s">
        <v>1097</v>
      </c>
      <c r="Z325" s="35" t="s">
        <v>6758</v>
      </c>
      <c r="AA325" s="35" t="s">
        <v>7008</v>
      </c>
      <c r="AB325" s="35" t="s">
        <v>6733</v>
      </c>
      <c r="AC325" s="35" t="s">
        <v>7013</v>
      </c>
      <c r="AD325" s="35" t="s">
        <v>7224</v>
      </c>
      <c r="AE325" s="37" t="str">
        <f t="shared" si="103"/>
        <v>52</v>
      </c>
      <c r="AG325" s="37">
        <f t="shared" ref="AG325:AG335" si="107">X325*$AG$1</f>
        <v>23332.574949999998</v>
      </c>
      <c r="AH325" s="37">
        <f t="shared" ref="AH325:AH335" si="108">X325*$AH$1</f>
        <v>6314.3590000000004</v>
      </c>
      <c r="AI325" s="37">
        <f t="shared" si="91"/>
        <v>1476.7452500000002</v>
      </c>
      <c r="AJ325" s="37">
        <f t="shared" si="92"/>
        <v>1252.6873499999999</v>
      </c>
      <c r="AK325" s="37">
        <f t="shared" si="93"/>
        <v>1925.6758060000002</v>
      </c>
      <c r="AL325" s="23">
        <v>140.04</v>
      </c>
      <c r="AM325" s="23">
        <f t="shared" si="104"/>
        <v>140.04</v>
      </c>
      <c r="AN325" s="22">
        <v>79.2</v>
      </c>
      <c r="AO325" s="22">
        <f t="shared" si="100"/>
        <v>79.2</v>
      </c>
      <c r="AP325" s="23">
        <v>25452.6</v>
      </c>
      <c r="AQ325" s="23">
        <f t="shared" si="101"/>
        <v>26474.521889999996</v>
      </c>
      <c r="AR325" s="23">
        <f t="shared" si="105"/>
        <v>26474.521889999996</v>
      </c>
      <c r="AS325" s="23">
        <f t="shared" si="87"/>
        <v>26693.761889999998</v>
      </c>
      <c r="AT325" s="37"/>
      <c r="AU325" s="20">
        <f t="shared" si="106"/>
        <v>0</v>
      </c>
      <c r="AV325" s="37">
        <f t="shared" si="102"/>
        <v>60995.804245999992</v>
      </c>
      <c r="AW325" s="37">
        <f t="shared" si="88"/>
        <v>162840.30424599999</v>
      </c>
      <c r="BA325" s="20" t="str">
        <f t="shared" ref="BA325:BA389" si="109">CONCATENATE(W325," - ",D325," - ",C325)</f>
        <v>1 - INERIM DIR_SMI - Thompson, Joel</v>
      </c>
    </row>
    <row r="326" spans="1:53" ht="12.75" hidden="1" customHeight="1" x14ac:dyDescent="0.25">
      <c r="A326" s="20">
        <v>315</v>
      </c>
      <c r="B326" s="35" t="s">
        <v>7216</v>
      </c>
      <c r="C326" s="20" t="s">
        <v>7325</v>
      </c>
      <c r="D326" s="20" t="s">
        <v>7326</v>
      </c>
      <c r="E326" s="25">
        <v>1</v>
      </c>
      <c r="F326" s="34">
        <v>44565</v>
      </c>
      <c r="G326" s="35">
        <v>9</v>
      </c>
      <c r="H326" s="35" t="s">
        <v>6783</v>
      </c>
      <c r="I326" s="22">
        <f>99828/12*6</f>
        <v>49914</v>
      </c>
      <c r="J326" s="35" t="s">
        <v>6729</v>
      </c>
      <c r="K326" s="23">
        <f>103861/12*6</f>
        <v>51930.5</v>
      </c>
      <c r="L326" s="23">
        <f t="shared" si="89"/>
        <v>101844.5</v>
      </c>
      <c r="U326" s="80"/>
      <c r="V326" s="23">
        <f t="shared" si="97"/>
        <v>101844.5</v>
      </c>
      <c r="W326" s="25">
        <v>0</v>
      </c>
      <c r="X326" s="23">
        <f t="shared" si="90"/>
        <v>0</v>
      </c>
      <c r="Y326" s="20" t="s">
        <v>4142</v>
      </c>
      <c r="Z326" s="35" t="s">
        <v>6731</v>
      </c>
      <c r="AA326" s="35" t="s">
        <v>6772</v>
      </c>
      <c r="AB326" s="35" t="s">
        <v>6733</v>
      </c>
      <c r="AC326" s="35" t="s">
        <v>6849</v>
      </c>
      <c r="AD326" s="35" t="s">
        <v>7224</v>
      </c>
      <c r="AE326" s="37" t="str">
        <f t="shared" si="103"/>
        <v>52</v>
      </c>
      <c r="AG326" s="37">
        <f t="shared" si="107"/>
        <v>0</v>
      </c>
      <c r="AH326" s="37">
        <f t="shared" si="108"/>
        <v>0</v>
      </c>
      <c r="AI326" s="37">
        <f t="shared" si="91"/>
        <v>0</v>
      </c>
      <c r="AJ326" s="37">
        <f t="shared" si="92"/>
        <v>0</v>
      </c>
      <c r="AK326" s="37">
        <f t="shared" si="93"/>
        <v>0</v>
      </c>
      <c r="AL326" s="23">
        <v>140.04</v>
      </c>
      <c r="AM326" s="23">
        <f t="shared" si="104"/>
        <v>0</v>
      </c>
      <c r="AN326" s="22">
        <v>79.2</v>
      </c>
      <c r="AO326" s="22">
        <f t="shared" si="100"/>
        <v>0</v>
      </c>
      <c r="AP326" s="23">
        <v>25452.6</v>
      </c>
      <c r="AQ326" s="23">
        <f t="shared" si="101"/>
        <v>26474.521889999996</v>
      </c>
      <c r="AR326" s="23">
        <f t="shared" si="105"/>
        <v>0</v>
      </c>
      <c r="AS326" s="23">
        <f t="shared" ref="AS326:AS390" si="110">+AM326+AO326+AR326</f>
        <v>0</v>
      </c>
      <c r="AT326" s="37"/>
      <c r="AU326" s="20">
        <f t="shared" si="106"/>
        <v>0</v>
      </c>
      <c r="AV326" s="37">
        <f t="shared" si="102"/>
        <v>0</v>
      </c>
      <c r="AW326" s="37">
        <f t="shared" ref="AW326:AW390" si="111">+X326+AV326</f>
        <v>0</v>
      </c>
      <c r="AX326" s="20" t="s">
        <v>6850</v>
      </c>
      <c r="AY326" s="20" t="s">
        <v>6851</v>
      </c>
      <c r="AZ326" s="20" t="s">
        <v>6852</v>
      </c>
      <c r="BA326" s="20" t="str">
        <f t="shared" si="109"/>
        <v>0 - INERIM DIR_SMI - Thompson, Joel</v>
      </c>
    </row>
    <row r="327" spans="1:53" ht="12.75" customHeight="1" x14ac:dyDescent="0.25">
      <c r="A327" s="20">
        <v>316</v>
      </c>
      <c r="B327" s="35" t="s">
        <v>7216</v>
      </c>
      <c r="C327" s="20" t="s">
        <v>7327</v>
      </c>
      <c r="D327" s="20" t="s">
        <v>7328</v>
      </c>
      <c r="E327" s="25">
        <v>1</v>
      </c>
      <c r="F327" s="34">
        <v>44501</v>
      </c>
      <c r="G327" s="35">
        <v>7</v>
      </c>
      <c r="H327" s="35" t="s">
        <v>6729</v>
      </c>
      <c r="I327" s="22">
        <f>116179/12*4</f>
        <v>38726.333333333336</v>
      </c>
      <c r="J327" s="35" t="s">
        <v>6730</v>
      </c>
      <c r="K327" s="23">
        <f>120213/12*8</f>
        <v>80142</v>
      </c>
      <c r="L327" s="23">
        <f t="shared" si="89"/>
        <v>118868.33333333334</v>
      </c>
      <c r="U327" s="80"/>
      <c r="V327" s="23">
        <f t="shared" si="97"/>
        <v>118868.33333333334</v>
      </c>
      <c r="W327" s="25">
        <v>1</v>
      </c>
      <c r="X327" s="23">
        <f t="shared" si="90"/>
        <v>118868.33333333334</v>
      </c>
      <c r="Y327" s="20" t="s">
        <v>3092</v>
      </c>
      <c r="Z327" s="35" t="s">
        <v>6758</v>
      </c>
      <c r="AA327" s="35" t="s">
        <v>6761</v>
      </c>
      <c r="AB327" s="35" t="s">
        <v>6733</v>
      </c>
      <c r="AC327" s="35" t="s">
        <v>6762</v>
      </c>
      <c r="AD327" s="35" t="s">
        <v>7224</v>
      </c>
      <c r="AE327" s="37" t="str">
        <f t="shared" si="103"/>
        <v>52</v>
      </c>
      <c r="AG327" s="37">
        <f t="shared" si="107"/>
        <v>27232.735166666669</v>
      </c>
      <c r="AH327" s="37">
        <f t="shared" si="108"/>
        <v>7369.836666666667</v>
      </c>
      <c r="AI327" s="37">
        <f t="shared" si="91"/>
        <v>1723.5908333333336</v>
      </c>
      <c r="AJ327" s="37">
        <f t="shared" si="92"/>
        <v>1462.0805</v>
      </c>
      <c r="AK327" s="37">
        <f t="shared" si="93"/>
        <v>2247.5624466666668</v>
      </c>
      <c r="AL327" s="23">
        <v>140.04</v>
      </c>
      <c r="AM327" s="23">
        <f t="shared" si="104"/>
        <v>140.04</v>
      </c>
      <c r="AN327" s="22">
        <v>79.2</v>
      </c>
      <c r="AO327" s="22">
        <f t="shared" si="100"/>
        <v>79.2</v>
      </c>
      <c r="AP327" s="23">
        <v>33444</v>
      </c>
      <c r="AQ327" s="23">
        <f t="shared" si="101"/>
        <v>34786.776599999997</v>
      </c>
      <c r="AR327" s="23">
        <f t="shared" si="105"/>
        <v>34786.776599999997</v>
      </c>
      <c r="AS327" s="23">
        <f t="shared" si="110"/>
        <v>35006.016599999995</v>
      </c>
      <c r="AU327" s="20">
        <f t="shared" si="106"/>
        <v>0</v>
      </c>
      <c r="AV327" s="37">
        <f t="shared" si="102"/>
        <v>75041.822213333333</v>
      </c>
      <c r="AW327" s="37">
        <f t="shared" si="111"/>
        <v>193910.15554666668</v>
      </c>
      <c r="BA327" s="20" t="str">
        <f t="shared" si="109"/>
        <v>1 - DIR_SA_FA - Tovar, Jessica</v>
      </c>
    </row>
    <row r="328" spans="1:53" ht="12.75" customHeight="1" x14ac:dyDescent="0.25">
      <c r="A328" s="20">
        <v>317</v>
      </c>
      <c r="B328" s="35" t="s">
        <v>7216</v>
      </c>
      <c r="C328" s="20" t="s">
        <v>7329</v>
      </c>
      <c r="D328" s="20" t="s">
        <v>7330</v>
      </c>
      <c r="E328" s="25">
        <v>1</v>
      </c>
      <c r="G328" s="35">
        <v>7</v>
      </c>
      <c r="H328" s="35" t="s">
        <v>6741</v>
      </c>
      <c r="J328" s="35"/>
      <c r="K328" s="23">
        <v>124252</v>
      </c>
      <c r="L328" s="23">
        <f t="shared" si="89"/>
        <v>124252</v>
      </c>
      <c r="U328" s="80">
        <v>1500</v>
      </c>
      <c r="V328" s="23">
        <f t="shared" si="97"/>
        <v>125752</v>
      </c>
      <c r="W328" s="25">
        <v>0.65</v>
      </c>
      <c r="X328" s="23">
        <f t="shared" si="90"/>
        <v>81738.8</v>
      </c>
      <c r="Y328" s="20" t="s">
        <v>597</v>
      </c>
      <c r="Z328" s="35" t="s">
        <v>6758</v>
      </c>
      <c r="AA328" s="35" t="s">
        <v>6909</v>
      </c>
      <c r="AB328" s="35" t="s">
        <v>6733</v>
      </c>
      <c r="AC328" s="35" t="s">
        <v>6910</v>
      </c>
      <c r="AD328" s="35" t="s">
        <v>7224</v>
      </c>
      <c r="AE328" s="37" t="str">
        <f t="shared" si="103"/>
        <v>52</v>
      </c>
      <c r="AG328" s="37">
        <f t="shared" si="107"/>
        <v>18726.359080000002</v>
      </c>
      <c r="AH328" s="37">
        <f t="shared" si="108"/>
        <v>5067.8056000000006</v>
      </c>
      <c r="AI328" s="37">
        <f t="shared" si="91"/>
        <v>1185.2126000000001</v>
      </c>
      <c r="AJ328" s="37">
        <f t="shared" si="92"/>
        <v>1005.38724</v>
      </c>
      <c r="AK328" s="37">
        <f t="shared" si="93"/>
        <v>1545.5172304000002</v>
      </c>
      <c r="AL328" s="23">
        <v>140.04</v>
      </c>
      <c r="AM328" s="23">
        <f t="shared" si="104"/>
        <v>91.025999999999996</v>
      </c>
      <c r="AN328" s="22">
        <v>79.2</v>
      </c>
      <c r="AO328" s="22">
        <f t="shared" si="100"/>
        <v>51.480000000000004</v>
      </c>
      <c r="AP328" s="23">
        <v>13152</v>
      </c>
      <c r="AQ328" s="23">
        <f t="shared" si="101"/>
        <v>13680.052799999999</v>
      </c>
      <c r="AR328" s="23">
        <f t="shared" si="105"/>
        <v>8892.0343200000007</v>
      </c>
      <c r="AS328" s="23">
        <f t="shared" si="110"/>
        <v>9034.5403200000001</v>
      </c>
      <c r="AU328" s="20">
        <f t="shared" si="106"/>
        <v>0</v>
      </c>
      <c r="AV328" s="37">
        <f t="shared" si="102"/>
        <v>36564.822070400005</v>
      </c>
      <c r="AW328" s="37">
        <f t="shared" si="111"/>
        <v>118303.62207040002</v>
      </c>
      <c r="BA328" s="20" t="str">
        <f t="shared" si="109"/>
        <v>0.65 - DIR_IR - Trengove, Matthew</v>
      </c>
    </row>
    <row r="329" spans="1:53" ht="12.75" hidden="1" customHeight="1" x14ac:dyDescent="0.25">
      <c r="A329" s="20">
        <v>318</v>
      </c>
      <c r="B329" s="35" t="s">
        <v>7216</v>
      </c>
      <c r="C329" s="20" t="s">
        <v>7329</v>
      </c>
      <c r="D329" s="20" t="s">
        <v>7330</v>
      </c>
      <c r="E329" s="25">
        <v>1</v>
      </c>
      <c r="G329" s="35">
        <v>7</v>
      </c>
      <c r="H329" s="35" t="s">
        <v>6741</v>
      </c>
      <c r="J329" s="35"/>
      <c r="K329" s="23">
        <v>124252</v>
      </c>
      <c r="L329" s="23">
        <f t="shared" si="89"/>
        <v>124252</v>
      </c>
      <c r="U329" s="80">
        <v>1500</v>
      </c>
      <c r="V329" s="23">
        <f t="shared" si="97"/>
        <v>125752</v>
      </c>
      <c r="W329" s="25">
        <v>0.35</v>
      </c>
      <c r="X329" s="23">
        <f t="shared" si="90"/>
        <v>44013.2</v>
      </c>
      <c r="Y329" s="20" t="s">
        <v>3979</v>
      </c>
      <c r="Z329" s="35" t="s">
        <v>6731</v>
      </c>
      <c r="AA329" s="35" t="s">
        <v>6772</v>
      </c>
      <c r="AB329" s="35" t="s">
        <v>6733</v>
      </c>
      <c r="AC329" s="35" t="s">
        <v>7046</v>
      </c>
      <c r="AD329" s="35" t="s">
        <v>7224</v>
      </c>
      <c r="AE329" s="37" t="str">
        <f t="shared" si="103"/>
        <v>52</v>
      </c>
      <c r="AG329" s="37">
        <f t="shared" si="107"/>
        <v>10083.42412</v>
      </c>
      <c r="AH329" s="37">
        <f t="shared" si="108"/>
        <v>2728.8183999999997</v>
      </c>
      <c r="AI329" s="37">
        <f t="shared" si="91"/>
        <v>638.19140000000004</v>
      </c>
      <c r="AJ329" s="37">
        <f t="shared" si="92"/>
        <v>541.36235999999997</v>
      </c>
      <c r="AK329" s="37">
        <f t="shared" si="93"/>
        <v>832.20158560000004</v>
      </c>
      <c r="AL329" s="23">
        <v>140.04</v>
      </c>
      <c r="AM329" s="23">
        <f t="shared" si="104"/>
        <v>49.013999999999996</v>
      </c>
      <c r="AN329" s="22">
        <v>79.2</v>
      </c>
      <c r="AO329" s="22">
        <f t="shared" si="100"/>
        <v>27.72</v>
      </c>
      <c r="AP329" s="23">
        <v>13152</v>
      </c>
      <c r="AQ329" s="23">
        <f t="shared" si="101"/>
        <v>13680.052799999999</v>
      </c>
      <c r="AR329" s="23">
        <f t="shared" si="105"/>
        <v>4788.0184799999997</v>
      </c>
      <c r="AS329" s="23">
        <f t="shared" si="110"/>
        <v>4864.7524800000001</v>
      </c>
      <c r="AU329" s="20">
        <f t="shared" si="106"/>
        <v>0</v>
      </c>
      <c r="AV329" s="37">
        <f t="shared" si="102"/>
        <v>19688.750345599998</v>
      </c>
      <c r="AW329" s="37">
        <f t="shared" si="111"/>
        <v>63701.950345599995</v>
      </c>
      <c r="AX329" s="20" t="s">
        <v>6850</v>
      </c>
      <c r="AY329" s="20" t="s">
        <v>6851</v>
      </c>
      <c r="AZ329" s="20" t="s">
        <v>7047</v>
      </c>
      <c r="BA329" s="20" t="str">
        <f t="shared" si="109"/>
        <v>0.35 - DIR_IR - Trengove, Matthew</v>
      </c>
    </row>
    <row r="330" spans="1:53" ht="12.75" hidden="1" customHeight="1" x14ac:dyDescent="0.25">
      <c r="A330" s="20">
        <v>319</v>
      </c>
      <c r="B330" s="35" t="s">
        <v>7216</v>
      </c>
      <c r="C330" s="20" t="s">
        <v>7331</v>
      </c>
      <c r="D330" s="20" t="s">
        <v>7232</v>
      </c>
      <c r="E330" s="25">
        <v>1</v>
      </c>
      <c r="G330" s="35">
        <v>11</v>
      </c>
      <c r="H330" s="35" t="s">
        <v>6741</v>
      </c>
      <c r="J330" s="35"/>
      <c r="K330" s="23">
        <v>99828</v>
      </c>
      <c r="L330" s="23">
        <f t="shared" ref="L330:L395" si="112">I330+K330</f>
        <v>99828</v>
      </c>
      <c r="U330" s="80"/>
      <c r="V330" s="23">
        <f t="shared" si="97"/>
        <v>99828</v>
      </c>
      <c r="W330" s="25">
        <v>0.5</v>
      </c>
      <c r="X330" s="23">
        <f t="shared" ref="X330:X395" si="113">V330*W330</f>
        <v>49914</v>
      </c>
      <c r="Y330" s="20" t="s">
        <v>5652</v>
      </c>
      <c r="Z330" s="35" t="s">
        <v>6731</v>
      </c>
      <c r="AA330" s="35" t="s">
        <v>6752</v>
      </c>
      <c r="AB330" s="35" t="s">
        <v>6733</v>
      </c>
      <c r="AC330" s="35" t="s">
        <v>7026</v>
      </c>
      <c r="AD330" s="35" t="s">
        <v>7224</v>
      </c>
      <c r="AE330" s="37" t="str">
        <f t="shared" si="103"/>
        <v>52</v>
      </c>
      <c r="AG330" s="37">
        <f t="shared" si="107"/>
        <v>11435.297399999999</v>
      </c>
      <c r="AH330" s="37">
        <f t="shared" si="108"/>
        <v>3094.6680000000001</v>
      </c>
      <c r="AI330" s="37">
        <f t="shared" ref="AI330:AI395" si="114">X330*$AI$1</f>
        <v>723.75300000000004</v>
      </c>
      <c r="AJ330" s="37">
        <f t="shared" ref="AJ330:AJ395" si="115">X330*$AJ$1</f>
        <v>613.94219999999996</v>
      </c>
      <c r="AK330" s="37">
        <f t="shared" ref="AK330:AK395" si="116">X330*$AK$1</f>
        <v>943.77391200000011</v>
      </c>
      <c r="AL330" s="23">
        <v>140.04</v>
      </c>
      <c r="AM330" s="23">
        <f t="shared" si="104"/>
        <v>70.02</v>
      </c>
      <c r="AN330" s="22">
        <v>79.2</v>
      </c>
      <c r="AO330" s="22">
        <f t="shared" si="100"/>
        <v>39.6</v>
      </c>
      <c r="AP330" s="23">
        <v>7584</v>
      </c>
      <c r="AQ330" s="23">
        <f t="shared" si="101"/>
        <v>7888.4975999999997</v>
      </c>
      <c r="AR330" s="23">
        <f t="shared" si="105"/>
        <v>3944.2487999999998</v>
      </c>
      <c r="AS330" s="23">
        <f t="shared" si="110"/>
        <v>4053.8687999999997</v>
      </c>
      <c r="AT330" s="37">
        <v>2400</v>
      </c>
      <c r="AU330" s="20">
        <f t="shared" si="106"/>
        <v>1200</v>
      </c>
      <c r="AV330" s="37">
        <f t="shared" si="102"/>
        <v>22065.303312</v>
      </c>
      <c r="AW330" s="37">
        <f t="shared" si="111"/>
        <v>71979.303312000004</v>
      </c>
      <c r="AX330" s="20" t="s">
        <v>6754</v>
      </c>
      <c r="AY330" s="56" t="s">
        <v>7027</v>
      </c>
      <c r="AZ330" s="56" t="s">
        <v>7028</v>
      </c>
      <c r="BA330" s="20" t="str">
        <f t="shared" si="109"/>
        <v>0.5 - GRPR_DIR - Velasquez, Cesar</v>
      </c>
    </row>
    <row r="331" spans="1:53" ht="12.75" hidden="1" customHeight="1" x14ac:dyDescent="0.25">
      <c r="A331" s="20">
        <v>320</v>
      </c>
      <c r="B331" s="35" t="s">
        <v>7216</v>
      </c>
      <c r="C331" s="20" t="s">
        <v>7331</v>
      </c>
      <c r="D331" s="20" t="s">
        <v>7232</v>
      </c>
      <c r="E331" s="25">
        <v>1</v>
      </c>
      <c r="G331" s="35">
        <v>11</v>
      </c>
      <c r="H331" s="35" t="s">
        <v>6741</v>
      </c>
      <c r="J331" s="35"/>
      <c r="K331" s="23">
        <v>99828</v>
      </c>
      <c r="L331" s="23">
        <f t="shared" si="112"/>
        <v>99828</v>
      </c>
      <c r="U331" s="80"/>
      <c r="V331" s="23">
        <f t="shared" si="97"/>
        <v>99828</v>
      </c>
      <c r="W331" s="25">
        <v>0.5</v>
      </c>
      <c r="X331" s="23">
        <f t="shared" si="113"/>
        <v>49914</v>
      </c>
      <c r="Y331" s="20" t="s">
        <v>5714</v>
      </c>
      <c r="Z331" s="35" t="s">
        <v>6731</v>
      </c>
      <c r="AA331" s="35" t="s">
        <v>6752</v>
      </c>
      <c r="AB331" s="35" t="s">
        <v>6733</v>
      </c>
      <c r="AC331" s="35" t="s">
        <v>7122</v>
      </c>
      <c r="AD331" s="35" t="s">
        <v>7224</v>
      </c>
      <c r="AE331" s="37" t="str">
        <f t="shared" si="103"/>
        <v>52</v>
      </c>
      <c r="AG331" s="37">
        <f t="shared" si="107"/>
        <v>11435.297399999999</v>
      </c>
      <c r="AH331" s="37">
        <f t="shared" si="108"/>
        <v>3094.6680000000001</v>
      </c>
      <c r="AI331" s="37">
        <f t="shared" si="114"/>
        <v>723.75300000000004</v>
      </c>
      <c r="AJ331" s="37">
        <f t="shared" si="115"/>
        <v>613.94219999999996</v>
      </c>
      <c r="AK331" s="37">
        <f t="shared" si="116"/>
        <v>943.77391200000011</v>
      </c>
      <c r="AL331" s="23">
        <v>140.04</v>
      </c>
      <c r="AM331" s="23">
        <f t="shared" si="104"/>
        <v>70.02</v>
      </c>
      <c r="AN331" s="22">
        <v>79.2</v>
      </c>
      <c r="AO331" s="22">
        <f t="shared" si="100"/>
        <v>39.6</v>
      </c>
      <c r="AP331" s="23">
        <v>7584</v>
      </c>
      <c r="AQ331" s="23">
        <f t="shared" si="101"/>
        <v>7888.4975999999997</v>
      </c>
      <c r="AR331" s="23">
        <f t="shared" si="105"/>
        <v>3944.2487999999998</v>
      </c>
      <c r="AS331" s="23">
        <f t="shared" si="110"/>
        <v>4053.8687999999997</v>
      </c>
      <c r="AT331" s="37">
        <v>2400</v>
      </c>
      <c r="AU331" s="20">
        <f t="shared" si="106"/>
        <v>1200</v>
      </c>
      <c r="AV331" s="37">
        <f t="shared" si="102"/>
        <v>22065.303312</v>
      </c>
      <c r="AW331" s="37">
        <f t="shared" si="111"/>
        <v>71979.303312000004</v>
      </c>
      <c r="AX331" s="20" t="s">
        <v>6754</v>
      </c>
      <c r="AY331" s="56" t="s">
        <v>7027</v>
      </c>
      <c r="AZ331" s="20" t="s">
        <v>7123</v>
      </c>
      <c r="BA331" s="20" t="str">
        <f t="shared" si="109"/>
        <v>0.5 - GRPR_DIR - Velasquez, Cesar</v>
      </c>
    </row>
    <row r="332" spans="1:53" ht="12.75" hidden="1" customHeight="1" x14ac:dyDescent="0.25">
      <c r="A332" s="20">
        <v>321</v>
      </c>
      <c r="B332" s="35" t="s">
        <v>7216</v>
      </c>
      <c r="C332" s="20" t="s">
        <v>7332</v>
      </c>
      <c r="D332" s="20" t="s">
        <v>7282</v>
      </c>
      <c r="E332" s="25">
        <v>1</v>
      </c>
      <c r="F332" s="34">
        <v>44682</v>
      </c>
      <c r="G332" s="35">
        <v>9</v>
      </c>
      <c r="H332" s="35" t="s">
        <v>6730</v>
      </c>
      <c r="I332" s="22">
        <f>108107/12*10</f>
        <v>90089.166666666657</v>
      </c>
      <c r="J332" s="35" t="s">
        <v>6741</v>
      </c>
      <c r="K332" s="23">
        <f>112132/12*2</f>
        <v>18688.666666666668</v>
      </c>
      <c r="L332" s="23">
        <f t="shared" si="112"/>
        <v>108777.83333333333</v>
      </c>
      <c r="U332" s="80"/>
      <c r="V332" s="23">
        <f t="shared" si="97"/>
        <v>108777.83333333333</v>
      </c>
      <c r="W332" s="25">
        <v>1</v>
      </c>
      <c r="X332" s="23">
        <f t="shared" si="113"/>
        <v>108777.83333333333</v>
      </c>
      <c r="Y332" s="20" t="s">
        <v>3345</v>
      </c>
      <c r="Z332" s="35" t="s">
        <v>6731</v>
      </c>
      <c r="AA332" s="35" t="s">
        <v>6954</v>
      </c>
      <c r="AB332" s="35" t="s">
        <v>6733</v>
      </c>
      <c r="AC332" s="35" t="s">
        <v>6955</v>
      </c>
      <c r="AD332" s="35" t="s">
        <v>7224</v>
      </c>
      <c r="AE332" s="37" t="str">
        <f t="shared" si="103"/>
        <v>52</v>
      </c>
      <c r="AG332" s="37">
        <f t="shared" si="107"/>
        <v>24921.001616666665</v>
      </c>
      <c r="AH332" s="37">
        <f t="shared" si="108"/>
        <v>6744.2256666666663</v>
      </c>
      <c r="AI332" s="37">
        <f t="shared" si="114"/>
        <v>1577.2785833333332</v>
      </c>
      <c r="AJ332" s="37">
        <f t="shared" si="115"/>
        <v>1337.9673499999999</v>
      </c>
      <c r="AK332" s="37">
        <f t="shared" si="116"/>
        <v>2056.7712726666668</v>
      </c>
      <c r="AL332" s="23">
        <v>140.04</v>
      </c>
      <c r="AM332" s="23">
        <f t="shared" si="104"/>
        <v>140.04</v>
      </c>
      <c r="AN332" s="22">
        <v>79.2</v>
      </c>
      <c r="AO332" s="22">
        <f t="shared" si="100"/>
        <v>79.2</v>
      </c>
      <c r="AP332" s="23">
        <v>13152</v>
      </c>
      <c r="AQ332" s="23">
        <f t="shared" si="101"/>
        <v>13680.052799999999</v>
      </c>
      <c r="AR332" s="23">
        <f t="shared" si="105"/>
        <v>13680.052799999999</v>
      </c>
      <c r="AS332" s="23">
        <f t="shared" si="110"/>
        <v>13899.292799999999</v>
      </c>
      <c r="AU332" s="20">
        <f t="shared" si="106"/>
        <v>0</v>
      </c>
      <c r="AV332" s="37">
        <f t="shared" si="102"/>
        <v>50536.537289333326</v>
      </c>
      <c r="AW332" s="37">
        <f t="shared" si="111"/>
        <v>159314.37062266667</v>
      </c>
      <c r="AX332" s="20" t="s">
        <v>6850</v>
      </c>
      <c r="AY332" s="20" t="s">
        <v>6851</v>
      </c>
      <c r="AZ332" s="20" t="s">
        <v>6956</v>
      </c>
      <c r="BA332" s="20" t="str">
        <f t="shared" si="109"/>
        <v>1 - DIR_SA - Walker, Laurencia</v>
      </c>
    </row>
    <row r="333" spans="1:53" ht="12.75" hidden="1" customHeight="1" x14ac:dyDescent="0.25">
      <c r="A333" s="20">
        <v>322</v>
      </c>
      <c r="B333" s="35" t="s">
        <v>7216</v>
      </c>
      <c r="C333" s="20" t="s">
        <v>7333</v>
      </c>
      <c r="D333" s="20" t="s">
        <v>7232</v>
      </c>
      <c r="E333" s="25">
        <v>1</v>
      </c>
      <c r="G333" s="35">
        <v>11</v>
      </c>
      <c r="H333" s="35" t="s">
        <v>6741</v>
      </c>
      <c r="J333" s="35"/>
      <c r="K333" s="23">
        <v>99828</v>
      </c>
      <c r="L333" s="23">
        <f t="shared" si="112"/>
        <v>99828</v>
      </c>
      <c r="U333" s="80"/>
      <c r="V333" s="23">
        <f t="shared" si="97"/>
        <v>99828</v>
      </c>
      <c r="W333" s="25">
        <v>0.25</v>
      </c>
      <c r="X333" s="23">
        <f t="shared" si="113"/>
        <v>24957</v>
      </c>
      <c r="Y333" s="20" t="s">
        <v>5186</v>
      </c>
      <c r="Z333" s="35" t="s">
        <v>6731</v>
      </c>
      <c r="AA333" s="35" t="s">
        <v>6840</v>
      </c>
      <c r="AB333" s="35" t="s">
        <v>6733</v>
      </c>
      <c r="AC333" s="35" t="s">
        <v>6841</v>
      </c>
      <c r="AD333" s="35" t="s">
        <v>7224</v>
      </c>
      <c r="AE333" s="37" t="str">
        <f t="shared" si="103"/>
        <v>52</v>
      </c>
      <c r="AG333" s="37">
        <f t="shared" si="107"/>
        <v>5717.6486999999997</v>
      </c>
      <c r="AH333" s="37">
        <f t="shared" si="108"/>
        <v>1547.3340000000001</v>
      </c>
      <c r="AI333" s="37">
        <f t="shared" si="114"/>
        <v>361.87650000000002</v>
      </c>
      <c r="AJ333" s="37">
        <f t="shared" si="115"/>
        <v>306.97109999999998</v>
      </c>
      <c r="AK333" s="37">
        <f t="shared" si="116"/>
        <v>471.88695600000005</v>
      </c>
      <c r="AL333" s="23">
        <v>140.04</v>
      </c>
      <c r="AM333" s="23">
        <f t="shared" si="104"/>
        <v>35.01</v>
      </c>
      <c r="AN333" s="22">
        <v>79.2</v>
      </c>
      <c r="AO333" s="22">
        <f t="shared" si="100"/>
        <v>19.8</v>
      </c>
      <c r="AP333" s="23">
        <v>13152</v>
      </c>
      <c r="AQ333" s="23">
        <f t="shared" si="101"/>
        <v>13680.052799999999</v>
      </c>
      <c r="AR333" s="23">
        <f t="shared" si="105"/>
        <v>3420.0131999999999</v>
      </c>
      <c r="AS333" s="23">
        <f t="shared" si="110"/>
        <v>3474.8231999999998</v>
      </c>
      <c r="AU333" s="20">
        <f t="shared" si="106"/>
        <v>0</v>
      </c>
      <c r="AV333" s="37">
        <f t="shared" si="102"/>
        <v>11880.540455999999</v>
      </c>
      <c r="AW333" s="37">
        <f t="shared" si="111"/>
        <v>36837.540456000002</v>
      </c>
      <c r="AX333" s="20" t="s">
        <v>6675</v>
      </c>
      <c r="AY333" s="20" t="s">
        <v>6842</v>
      </c>
      <c r="AZ333" s="20" t="s">
        <v>6843</v>
      </c>
      <c r="BA333" s="20" t="str">
        <f t="shared" si="109"/>
        <v>0.25 - GRPR_DIR - Wiebusch, Margaret</v>
      </c>
    </row>
    <row r="334" spans="1:53" ht="12.75" customHeight="1" x14ac:dyDescent="0.25">
      <c r="A334" s="20">
        <v>323</v>
      </c>
      <c r="B334" s="35" t="s">
        <v>7216</v>
      </c>
      <c r="C334" s="20" t="s">
        <v>7333</v>
      </c>
      <c r="D334" s="20" t="s">
        <v>7232</v>
      </c>
      <c r="E334" s="25">
        <v>1</v>
      </c>
      <c r="G334" s="35">
        <v>11</v>
      </c>
      <c r="H334" s="35" t="s">
        <v>6741</v>
      </c>
      <c r="J334" s="35"/>
      <c r="K334" s="23">
        <v>99828</v>
      </c>
      <c r="L334" s="23">
        <f t="shared" si="112"/>
        <v>99828</v>
      </c>
      <c r="U334" s="80"/>
      <c r="V334" s="23">
        <f t="shared" si="97"/>
        <v>99828</v>
      </c>
      <c r="W334" s="25">
        <v>0.1875</v>
      </c>
      <c r="X334" s="23">
        <f t="shared" si="113"/>
        <v>18717.75</v>
      </c>
      <c r="Y334" s="20" t="s">
        <v>2660</v>
      </c>
      <c r="Z334" s="35" t="s">
        <v>6758</v>
      </c>
      <c r="AA334" s="35" t="s">
        <v>6840</v>
      </c>
      <c r="AB334" s="35" t="s">
        <v>6733</v>
      </c>
      <c r="AC334" s="35" t="s">
        <v>6844</v>
      </c>
      <c r="AD334" s="35" t="s">
        <v>7224</v>
      </c>
      <c r="AE334" s="37" t="str">
        <f t="shared" si="103"/>
        <v>52</v>
      </c>
      <c r="AG334" s="37">
        <f t="shared" si="107"/>
        <v>4288.2365250000003</v>
      </c>
      <c r="AH334" s="37">
        <f t="shared" si="108"/>
        <v>1160.5005000000001</v>
      </c>
      <c r="AI334" s="37">
        <f t="shared" si="114"/>
        <v>271.407375</v>
      </c>
      <c r="AJ334" s="37">
        <f t="shared" si="115"/>
        <v>230.22832500000001</v>
      </c>
      <c r="AK334" s="37">
        <f t="shared" si="116"/>
        <v>353.91521700000004</v>
      </c>
      <c r="AL334" s="23">
        <v>140.04</v>
      </c>
      <c r="AM334" s="23">
        <f t="shared" si="104"/>
        <v>26.2575</v>
      </c>
      <c r="AN334" s="22">
        <v>79.2</v>
      </c>
      <c r="AO334" s="22">
        <f t="shared" si="100"/>
        <v>14.850000000000001</v>
      </c>
      <c r="AP334" s="23">
        <v>13152</v>
      </c>
      <c r="AQ334" s="23">
        <f t="shared" si="101"/>
        <v>13680.052799999999</v>
      </c>
      <c r="AR334" s="23">
        <f t="shared" si="105"/>
        <v>2565.0099</v>
      </c>
      <c r="AS334" s="23">
        <f t="shared" si="110"/>
        <v>2606.1174000000001</v>
      </c>
      <c r="AU334" s="20">
        <f t="shared" si="106"/>
        <v>0</v>
      </c>
      <c r="AV334" s="37">
        <f t="shared" si="102"/>
        <v>8910.405342</v>
      </c>
      <c r="AW334" s="37">
        <f t="shared" si="111"/>
        <v>27628.155341999998</v>
      </c>
      <c r="BA334" s="20" t="str">
        <f t="shared" si="109"/>
        <v>0.1875 - GRPR_DIR - Wiebusch, Margaret</v>
      </c>
    </row>
    <row r="335" spans="1:53" ht="12.75" hidden="1" customHeight="1" x14ac:dyDescent="0.25">
      <c r="A335" s="20">
        <v>324</v>
      </c>
      <c r="B335" s="35" t="s">
        <v>7216</v>
      </c>
      <c r="C335" s="20" t="s">
        <v>7333</v>
      </c>
      <c r="D335" s="20" t="s">
        <v>7232</v>
      </c>
      <c r="E335" s="25">
        <v>1</v>
      </c>
      <c r="G335" s="35">
        <v>11</v>
      </c>
      <c r="H335" s="35" t="s">
        <v>6741</v>
      </c>
      <c r="J335" s="35"/>
      <c r="K335" s="23">
        <v>99828</v>
      </c>
      <c r="L335" s="23">
        <f t="shared" si="112"/>
        <v>99828</v>
      </c>
      <c r="U335" s="80"/>
      <c r="V335" s="23">
        <f t="shared" si="97"/>
        <v>99828</v>
      </c>
      <c r="W335" s="25">
        <v>0.5625</v>
      </c>
      <c r="X335" s="23">
        <f t="shared" si="113"/>
        <v>56153.25</v>
      </c>
      <c r="Y335" s="20" t="s">
        <v>5271</v>
      </c>
      <c r="Z335" s="35" t="s">
        <v>6731</v>
      </c>
      <c r="AA335" s="35" t="s">
        <v>6840</v>
      </c>
      <c r="AB335" s="35" t="s">
        <v>6733</v>
      </c>
      <c r="AC335" s="35" t="s">
        <v>6844</v>
      </c>
      <c r="AD335" s="35" t="s">
        <v>7224</v>
      </c>
      <c r="AE335" s="37" t="str">
        <f t="shared" si="103"/>
        <v>52</v>
      </c>
      <c r="AG335" s="37">
        <f t="shared" si="107"/>
        <v>12864.709575000001</v>
      </c>
      <c r="AH335" s="37">
        <f t="shared" si="108"/>
        <v>3481.5014999999999</v>
      </c>
      <c r="AI335" s="37">
        <f t="shared" si="114"/>
        <v>814.22212500000001</v>
      </c>
      <c r="AJ335" s="37">
        <f t="shared" si="115"/>
        <v>690.68497500000001</v>
      </c>
      <c r="AK335" s="37">
        <f t="shared" si="116"/>
        <v>1061.7456510000002</v>
      </c>
      <c r="AL335" s="23">
        <v>140.04</v>
      </c>
      <c r="AM335" s="23">
        <f t="shared" si="104"/>
        <v>78.772499999999994</v>
      </c>
      <c r="AN335" s="22">
        <v>79.2</v>
      </c>
      <c r="AO335" s="22">
        <f t="shared" si="100"/>
        <v>44.550000000000004</v>
      </c>
      <c r="AP335" s="23">
        <v>13152</v>
      </c>
      <c r="AQ335" s="23">
        <f t="shared" si="101"/>
        <v>13680.052799999999</v>
      </c>
      <c r="AR335" s="23">
        <f t="shared" si="105"/>
        <v>7695.0297</v>
      </c>
      <c r="AS335" s="23">
        <f t="shared" si="110"/>
        <v>7818.3522000000003</v>
      </c>
      <c r="AU335" s="20">
        <f t="shared" si="106"/>
        <v>0</v>
      </c>
      <c r="AV335" s="37">
        <f t="shared" si="102"/>
        <v>26731.216025999998</v>
      </c>
      <c r="AW335" s="37">
        <f t="shared" si="111"/>
        <v>82884.466025999995</v>
      </c>
      <c r="AX335" s="20" t="s">
        <v>6675</v>
      </c>
      <c r="AY335" s="20" t="s">
        <v>6842</v>
      </c>
      <c r="AZ335" s="20" t="s">
        <v>6845</v>
      </c>
      <c r="BA335" s="20" t="str">
        <f t="shared" si="109"/>
        <v>0.5625 - GRPR_DIR - Wiebusch, Margaret</v>
      </c>
    </row>
    <row r="336" spans="1:53" ht="12.75" customHeight="1" x14ac:dyDescent="0.25">
      <c r="A336" s="20">
        <v>325</v>
      </c>
      <c r="B336" s="35" t="s">
        <v>7216</v>
      </c>
      <c r="C336" s="20" t="s">
        <v>7334</v>
      </c>
      <c r="D336" s="20" t="s">
        <v>7335</v>
      </c>
      <c r="E336" s="25">
        <v>1</v>
      </c>
      <c r="F336" s="34">
        <v>44531</v>
      </c>
      <c r="G336" s="35">
        <v>1.1000000000000001</v>
      </c>
      <c r="H336" s="35" t="s">
        <v>6730</v>
      </c>
      <c r="I336" s="22">
        <f>168191/12*5</f>
        <v>70079.583333333328</v>
      </c>
      <c r="J336" s="35" t="s">
        <v>6741</v>
      </c>
      <c r="K336" s="23">
        <f>172511/12*7</f>
        <v>100631.41666666666</v>
      </c>
      <c r="L336" s="23">
        <f t="shared" si="112"/>
        <v>170711</v>
      </c>
      <c r="U336" s="80">
        <v>1500</v>
      </c>
      <c r="V336" s="23">
        <f t="shared" si="97"/>
        <v>172211</v>
      </c>
      <c r="W336" s="25">
        <v>1</v>
      </c>
      <c r="X336" s="23">
        <f t="shared" si="113"/>
        <v>172211</v>
      </c>
      <c r="Y336" s="20" t="s">
        <v>999</v>
      </c>
      <c r="Z336" s="35" t="s">
        <v>6758</v>
      </c>
      <c r="AA336" s="35" t="s">
        <v>6826</v>
      </c>
      <c r="AB336" s="35" t="s">
        <v>6733</v>
      </c>
      <c r="AC336" s="35" t="s">
        <v>6805</v>
      </c>
      <c r="AD336" s="35" t="s">
        <v>7219</v>
      </c>
      <c r="AE336" s="37" t="str">
        <f t="shared" si="103"/>
        <v>51</v>
      </c>
      <c r="AF336" s="37">
        <f>X336*$AF$1</f>
        <v>29138.101199999997</v>
      </c>
      <c r="AI336" s="37">
        <f t="shared" si="114"/>
        <v>2497.0595000000003</v>
      </c>
      <c r="AJ336" s="37">
        <f t="shared" si="115"/>
        <v>2118.1952999999999</v>
      </c>
      <c r="AK336" s="37">
        <f t="shared" si="116"/>
        <v>3256.1655880000003</v>
      </c>
      <c r="AL336" s="23">
        <v>140.04</v>
      </c>
      <c r="AM336" s="23">
        <f t="shared" si="104"/>
        <v>140.04</v>
      </c>
      <c r="AN336" s="22">
        <v>79.2</v>
      </c>
      <c r="AO336" s="22">
        <f t="shared" si="100"/>
        <v>79.2</v>
      </c>
      <c r="AP336" s="23">
        <v>23232</v>
      </c>
      <c r="AQ336" s="23">
        <f t="shared" si="101"/>
        <v>24164.764800000001</v>
      </c>
      <c r="AR336" s="23">
        <f t="shared" si="105"/>
        <v>24164.764800000001</v>
      </c>
      <c r="AS336" s="23">
        <f t="shared" si="110"/>
        <v>24384.004800000002</v>
      </c>
      <c r="AT336" s="37">
        <v>2400</v>
      </c>
      <c r="AU336" s="20">
        <f t="shared" si="106"/>
        <v>2400</v>
      </c>
      <c r="AV336" s="37">
        <f t="shared" si="102"/>
        <v>63793.526387999998</v>
      </c>
      <c r="AW336" s="37">
        <f t="shared" si="111"/>
        <v>236004.526388</v>
      </c>
      <c r="BA336" s="20" t="str">
        <f t="shared" si="109"/>
        <v>1 - VP_ACDAF - Wilkinson, Catherine</v>
      </c>
    </row>
    <row r="337" spans="1:53" ht="12.75" customHeight="1" x14ac:dyDescent="0.25">
      <c r="A337" s="20">
        <v>326</v>
      </c>
      <c r="B337" s="35" t="s">
        <v>7216</v>
      </c>
      <c r="C337" s="20" t="s">
        <v>7336</v>
      </c>
      <c r="D337" s="20" t="s">
        <v>7242</v>
      </c>
      <c r="E337" s="25">
        <v>1</v>
      </c>
      <c r="G337" s="35">
        <v>3</v>
      </c>
      <c r="H337" s="35" t="s">
        <v>6741</v>
      </c>
      <c r="J337" s="35"/>
      <c r="K337" s="23">
        <v>148881</v>
      </c>
      <c r="L337" s="23">
        <f t="shared" si="112"/>
        <v>148881</v>
      </c>
      <c r="U337" s="80"/>
      <c r="V337" s="23">
        <f t="shared" si="97"/>
        <v>148881</v>
      </c>
      <c r="W337" s="25">
        <v>1</v>
      </c>
      <c r="X337" s="23">
        <f t="shared" si="113"/>
        <v>148881</v>
      </c>
      <c r="Y337" s="20" t="s">
        <v>1071</v>
      </c>
      <c r="Z337" s="35" t="s">
        <v>6758</v>
      </c>
      <c r="AA337" s="35" t="s">
        <v>7008</v>
      </c>
      <c r="AB337" s="35" t="s">
        <v>6733</v>
      </c>
      <c r="AC337" s="35" t="s">
        <v>6805</v>
      </c>
      <c r="AD337" s="35" t="s">
        <v>7219</v>
      </c>
      <c r="AE337" s="37" t="str">
        <f t="shared" si="103"/>
        <v>51</v>
      </c>
      <c r="AF337" s="37">
        <f>X337*$AF$1</f>
        <v>25190.665199999999</v>
      </c>
      <c r="AI337" s="37">
        <f t="shared" si="114"/>
        <v>2158.7745</v>
      </c>
      <c r="AJ337" s="37">
        <f t="shared" si="115"/>
        <v>1831.2363</v>
      </c>
      <c r="AK337" s="37">
        <f t="shared" si="116"/>
        <v>2815.041948</v>
      </c>
      <c r="AL337" s="23">
        <v>140.04</v>
      </c>
      <c r="AM337" s="23">
        <f t="shared" si="104"/>
        <v>140.04</v>
      </c>
      <c r="AN337" s="22">
        <v>79.2</v>
      </c>
      <c r="AO337" s="22">
        <f t="shared" si="100"/>
        <v>79.2</v>
      </c>
      <c r="AP337" s="23">
        <v>7584</v>
      </c>
      <c r="AQ337" s="23">
        <f t="shared" si="101"/>
        <v>7888.4975999999997</v>
      </c>
      <c r="AR337" s="23">
        <f t="shared" si="105"/>
        <v>7888.4975999999997</v>
      </c>
      <c r="AS337" s="23">
        <f t="shared" si="110"/>
        <v>8107.7375999999995</v>
      </c>
      <c r="AT337" s="37">
        <v>2400</v>
      </c>
      <c r="AU337" s="20">
        <f t="shared" si="106"/>
        <v>2400</v>
      </c>
      <c r="AV337" s="37">
        <f t="shared" si="102"/>
        <v>42503.455547999998</v>
      </c>
      <c r="AW337" s="37">
        <f t="shared" si="111"/>
        <v>191384.455548</v>
      </c>
      <c r="BA337" s="20" t="str">
        <f t="shared" si="109"/>
        <v>1 - INTERIM-DEAN_AA - Yahdi, Mohammed</v>
      </c>
    </row>
    <row r="338" spans="1:53" ht="12.75" hidden="1" customHeight="1" x14ac:dyDescent="0.25">
      <c r="A338" s="20">
        <v>327</v>
      </c>
      <c r="B338" s="35" t="s">
        <v>7216</v>
      </c>
      <c r="C338" s="20" t="s">
        <v>7337</v>
      </c>
      <c r="D338" s="20" t="s">
        <v>7232</v>
      </c>
      <c r="E338" s="25">
        <v>1</v>
      </c>
      <c r="F338" s="34">
        <v>44470</v>
      </c>
      <c r="G338" s="35">
        <v>11</v>
      </c>
      <c r="H338" s="35" t="s">
        <v>6730</v>
      </c>
      <c r="I338" s="22">
        <f>95781/12*3</f>
        <v>23945.25</v>
      </c>
      <c r="J338" s="35" t="s">
        <v>6741</v>
      </c>
      <c r="K338" s="23">
        <f>99828/12*9</f>
        <v>74871</v>
      </c>
      <c r="L338" s="23">
        <f t="shared" si="112"/>
        <v>98816.25</v>
      </c>
      <c r="U338" s="80"/>
      <c r="V338" s="23">
        <f t="shared" si="97"/>
        <v>98816.25</v>
      </c>
      <c r="W338" s="25">
        <v>1</v>
      </c>
      <c r="X338" s="23">
        <f t="shared" si="113"/>
        <v>98816.25</v>
      </c>
      <c r="Y338" s="20" t="s">
        <v>5600</v>
      </c>
      <c r="Z338" s="35" t="s">
        <v>6731</v>
      </c>
      <c r="AA338" s="35" t="s">
        <v>6752</v>
      </c>
      <c r="AB338" s="35" t="s">
        <v>6733</v>
      </c>
      <c r="AC338" s="35" t="s">
        <v>6915</v>
      </c>
      <c r="AD338" s="35" t="s">
        <v>7224</v>
      </c>
      <c r="AE338" s="37" t="str">
        <f t="shared" si="103"/>
        <v>52</v>
      </c>
      <c r="AG338" s="37">
        <f>X338*$AG$1</f>
        <v>22638.802875000001</v>
      </c>
      <c r="AH338" s="37">
        <f>X338*$AH$1</f>
        <v>6126.6075000000001</v>
      </c>
      <c r="AI338" s="37">
        <f t="shared" si="114"/>
        <v>1432.8356250000002</v>
      </c>
      <c r="AJ338" s="37">
        <f t="shared" si="115"/>
        <v>1215.439875</v>
      </c>
      <c r="AK338" s="37">
        <f t="shared" si="116"/>
        <v>1868.4176550000002</v>
      </c>
      <c r="AL338" s="23">
        <v>140.04</v>
      </c>
      <c r="AM338" s="23">
        <f t="shared" si="104"/>
        <v>140.04</v>
      </c>
      <c r="AN338" s="22">
        <v>79.2</v>
      </c>
      <c r="AO338" s="22">
        <f t="shared" si="100"/>
        <v>79.2</v>
      </c>
      <c r="AP338" s="23">
        <v>13152</v>
      </c>
      <c r="AQ338" s="23">
        <f t="shared" si="101"/>
        <v>13680.052799999999</v>
      </c>
      <c r="AR338" s="23">
        <f t="shared" si="105"/>
        <v>13680.052799999999</v>
      </c>
      <c r="AS338" s="23">
        <f t="shared" si="110"/>
        <v>13899.292799999999</v>
      </c>
      <c r="AU338" s="20">
        <f t="shared" si="106"/>
        <v>0</v>
      </c>
      <c r="AV338" s="37">
        <f t="shared" si="102"/>
        <v>47181.396329999996</v>
      </c>
      <c r="AW338" s="37">
        <f t="shared" si="111"/>
        <v>145997.64632999999</v>
      </c>
      <c r="AX338" s="20" t="s">
        <v>6754</v>
      </c>
      <c r="AY338" s="20" t="s">
        <v>6916</v>
      </c>
      <c r="AZ338" s="20" t="s">
        <v>6917</v>
      </c>
      <c r="BA338" s="20" t="str">
        <f t="shared" si="109"/>
        <v xml:space="preserve">1 - GRPR_DIR - Zavala, Laura </v>
      </c>
    </row>
    <row r="339" spans="1:53" ht="12.75" customHeight="1" x14ac:dyDescent="0.25">
      <c r="A339" s="20">
        <v>328</v>
      </c>
      <c r="B339" s="78" t="s">
        <v>7338</v>
      </c>
      <c r="C339" s="20" t="s">
        <v>7339</v>
      </c>
      <c r="D339" s="20" t="s">
        <v>7340</v>
      </c>
      <c r="E339" s="82">
        <v>100</v>
      </c>
      <c r="F339" s="34">
        <v>44378</v>
      </c>
      <c r="G339" s="20" t="s">
        <v>6783</v>
      </c>
      <c r="H339" s="20">
        <v>20</v>
      </c>
      <c r="K339" s="23">
        <v>105238</v>
      </c>
      <c r="L339" s="23">
        <f t="shared" si="112"/>
        <v>105238</v>
      </c>
      <c r="N339" s="82"/>
      <c r="V339" s="23">
        <f t="shared" si="97"/>
        <v>105238</v>
      </c>
      <c r="W339" s="25">
        <v>1</v>
      </c>
      <c r="X339" s="23">
        <f t="shared" si="113"/>
        <v>105238</v>
      </c>
      <c r="Y339" s="20" t="s">
        <v>1407</v>
      </c>
      <c r="Z339" s="35" t="s">
        <v>6758</v>
      </c>
      <c r="AA339" s="35" t="s">
        <v>6989</v>
      </c>
      <c r="AB339" s="35" t="s">
        <v>6733</v>
      </c>
      <c r="AC339" s="35" t="s">
        <v>7341</v>
      </c>
      <c r="AD339" s="35" t="s">
        <v>7342</v>
      </c>
      <c r="AE339" s="37" t="str">
        <f t="shared" si="103"/>
        <v>51</v>
      </c>
      <c r="AF339" s="37">
        <f t="shared" ref="AF339:AF356" si="117">X339*$AF$1</f>
        <v>17806.2696</v>
      </c>
      <c r="AI339" s="37">
        <f t="shared" si="114"/>
        <v>1525.951</v>
      </c>
      <c r="AJ339" s="37">
        <f t="shared" si="115"/>
        <v>1294.4274</v>
      </c>
      <c r="AK339" s="37">
        <f t="shared" si="116"/>
        <v>1989.8401040000001</v>
      </c>
      <c r="AL339" s="23">
        <v>140.04</v>
      </c>
      <c r="AM339" s="23">
        <f t="shared" si="104"/>
        <v>140.04</v>
      </c>
      <c r="AN339" s="22">
        <v>79.2</v>
      </c>
      <c r="AO339" s="22">
        <f t="shared" si="100"/>
        <v>79.2</v>
      </c>
      <c r="AP339" s="23">
        <v>33443.96</v>
      </c>
      <c r="AQ339" s="23">
        <f t="shared" si="101"/>
        <v>34786.734993999999</v>
      </c>
      <c r="AR339" s="23">
        <f t="shared" si="105"/>
        <v>34786.734993999999</v>
      </c>
      <c r="AS339" s="23">
        <f t="shared" si="110"/>
        <v>35005.974993999997</v>
      </c>
      <c r="AU339" s="20">
        <f t="shared" si="106"/>
        <v>0</v>
      </c>
      <c r="AV339" s="37">
        <f t="shared" si="102"/>
        <v>57622.463098</v>
      </c>
      <c r="AW339" s="37">
        <f t="shared" si="111"/>
        <v>162860.46309800001</v>
      </c>
      <c r="BA339" s="20" t="str">
        <f t="shared" si="109"/>
        <v>1 - POLSCI_INS - Adams, Lawrence J</v>
      </c>
    </row>
    <row r="340" spans="1:53" ht="12.75" customHeight="1" x14ac:dyDescent="0.25">
      <c r="A340" s="20">
        <v>329</v>
      </c>
      <c r="B340" s="78" t="s">
        <v>7338</v>
      </c>
      <c r="C340" s="20" t="s">
        <v>7343</v>
      </c>
      <c r="D340" s="20" t="s">
        <v>7344</v>
      </c>
      <c r="E340" s="82">
        <v>100</v>
      </c>
      <c r="F340" s="34">
        <v>44378</v>
      </c>
      <c r="G340" s="20" t="s">
        <v>6729</v>
      </c>
      <c r="H340" s="20">
        <v>10</v>
      </c>
      <c r="K340" s="23">
        <v>91049</v>
      </c>
      <c r="L340" s="23">
        <f t="shared" si="112"/>
        <v>91049</v>
      </c>
      <c r="N340" s="82"/>
      <c r="V340" s="23">
        <f t="shared" si="97"/>
        <v>91049</v>
      </c>
      <c r="W340" s="25">
        <v>1</v>
      </c>
      <c r="X340" s="23">
        <f t="shared" si="113"/>
        <v>91049</v>
      </c>
      <c r="Y340" s="20" t="s">
        <v>2509</v>
      </c>
      <c r="Z340" s="35" t="s">
        <v>6758</v>
      </c>
      <c r="AA340" s="35" t="s">
        <v>6847</v>
      </c>
      <c r="AB340" s="35" t="s">
        <v>6733</v>
      </c>
      <c r="AC340" s="35" t="s">
        <v>7345</v>
      </c>
      <c r="AD340" s="35" t="s">
        <v>7342</v>
      </c>
      <c r="AE340" s="37" t="str">
        <f t="shared" si="103"/>
        <v>51</v>
      </c>
      <c r="AF340" s="37">
        <f t="shared" si="117"/>
        <v>15405.4908</v>
      </c>
      <c r="AI340" s="37">
        <f t="shared" si="114"/>
        <v>1320.2105000000001</v>
      </c>
      <c r="AJ340" s="37">
        <f t="shared" si="115"/>
        <v>1119.9027000000001</v>
      </c>
      <c r="AK340" s="37">
        <f t="shared" si="116"/>
        <v>1721.5544920000002</v>
      </c>
      <c r="AL340" s="23">
        <v>140.04</v>
      </c>
      <c r="AM340" s="23">
        <f t="shared" si="104"/>
        <v>140.04</v>
      </c>
      <c r="AN340" s="22">
        <v>79.2</v>
      </c>
      <c r="AO340" s="22">
        <f t="shared" si="100"/>
        <v>79.2</v>
      </c>
      <c r="AP340" s="23">
        <v>25452.57</v>
      </c>
      <c r="AQ340" s="23">
        <f t="shared" si="101"/>
        <v>26474.490685500001</v>
      </c>
      <c r="AR340" s="23">
        <f t="shared" si="105"/>
        <v>26474.490685500001</v>
      </c>
      <c r="AS340" s="23">
        <f t="shared" si="110"/>
        <v>26693.730685500002</v>
      </c>
      <c r="AU340" s="20">
        <f t="shared" si="106"/>
        <v>0</v>
      </c>
      <c r="AV340" s="37">
        <f t="shared" si="102"/>
        <v>46260.889177500001</v>
      </c>
      <c r="AW340" s="37">
        <f t="shared" si="111"/>
        <v>137309.88917750001</v>
      </c>
      <c r="BA340" s="20" t="str">
        <f t="shared" si="109"/>
        <v>1 - SS_LIBRAR - Ainsworth, Cynthia G</v>
      </c>
    </row>
    <row r="341" spans="1:53" ht="12.75" hidden="1" customHeight="1" x14ac:dyDescent="0.25">
      <c r="A341" s="20">
        <v>330</v>
      </c>
      <c r="B341" s="78" t="s">
        <v>7338</v>
      </c>
      <c r="C341" s="20" t="s">
        <v>7346</v>
      </c>
      <c r="D341" s="20" t="s">
        <v>7347</v>
      </c>
      <c r="E341" s="82">
        <v>100</v>
      </c>
      <c r="F341" s="34">
        <v>44378</v>
      </c>
      <c r="G341" s="20" t="s">
        <v>6783</v>
      </c>
      <c r="H341" s="20">
        <v>20</v>
      </c>
      <c r="K341" s="23">
        <v>111252</v>
      </c>
      <c r="L341" s="23">
        <f t="shared" si="112"/>
        <v>111252</v>
      </c>
      <c r="N341" s="82"/>
      <c r="V341" s="23">
        <f t="shared" si="97"/>
        <v>111252</v>
      </c>
      <c r="W341" s="25">
        <v>0.8</v>
      </c>
      <c r="X341" s="23">
        <f t="shared" si="113"/>
        <v>89001.600000000006</v>
      </c>
      <c r="Y341" s="20" t="s">
        <v>5934</v>
      </c>
      <c r="Z341" s="35" t="s">
        <v>6731</v>
      </c>
      <c r="AA341" s="35" t="s">
        <v>6788</v>
      </c>
      <c r="AB341" s="35" t="s">
        <v>6733</v>
      </c>
      <c r="AC341" s="35" t="s">
        <v>6789</v>
      </c>
      <c r="AD341" s="35" t="s">
        <v>7348</v>
      </c>
      <c r="AE341" s="37" t="str">
        <f t="shared" si="103"/>
        <v>51</v>
      </c>
      <c r="AF341" s="37">
        <f t="shared" si="117"/>
        <v>15059.07072</v>
      </c>
      <c r="AI341" s="37">
        <f t="shared" si="114"/>
        <v>1290.5232000000001</v>
      </c>
      <c r="AJ341" s="37">
        <f t="shared" si="115"/>
        <v>1094.7196800000002</v>
      </c>
      <c r="AK341" s="37">
        <f t="shared" si="116"/>
        <v>1682.8422528000003</v>
      </c>
      <c r="AL341" s="23">
        <v>140.04</v>
      </c>
      <c r="AM341" s="23">
        <f t="shared" si="104"/>
        <v>112.032</v>
      </c>
      <c r="AN341" s="22">
        <v>79.2</v>
      </c>
      <c r="AO341" s="22">
        <f t="shared" si="100"/>
        <v>63.360000000000007</v>
      </c>
      <c r="AP341" s="23">
        <v>25452.57</v>
      </c>
      <c r="AQ341" s="23">
        <f t="shared" si="101"/>
        <v>26474.490685500001</v>
      </c>
      <c r="AR341" s="23">
        <f t="shared" si="105"/>
        <v>21179.592548400004</v>
      </c>
      <c r="AS341" s="23">
        <f t="shared" si="110"/>
        <v>21354.984548400003</v>
      </c>
      <c r="AU341" s="20">
        <f t="shared" si="106"/>
        <v>0</v>
      </c>
      <c r="AV341" s="37">
        <f t="shared" si="102"/>
        <v>40482.140401200006</v>
      </c>
      <c r="AW341" s="37">
        <f t="shared" si="111"/>
        <v>129483.74040120002</v>
      </c>
      <c r="AX341" s="20" t="s">
        <v>6754</v>
      </c>
      <c r="AY341" s="20" t="s">
        <v>6790</v>
      </c>
      <c r="AZ341" s="20" t="s">
        <v>6791</v>
      </c>
      <c r="BA341" s="20" t="str">
        <f t="shared" si="109"/>
        <v>0.8 - EOPS_CARE - Alexander, Mitzi C</v>
      </c>
    </row>
    <row r="342" spans="1:53" ht="12.75" hidden="1" customHeight="1" x14ac:dyDescent="0.25">
      <c r="A342" s="20">
        <v>331</v>
      </c>
      <c r="B342" s="78" t="s">
        <v>7338</v>
      </c>
      <c r="C342" s="20" t="s">
        <v>7346</v>
      </c>
      <c r="D342" s="20" t="s">
        <v>7347</v>
      </c>
      <c r="E342" s="82">
        <v>100</v>
      </c>
      <c r="F342" s="34">
        <v>44378</v>
      </c>
      <c r="G342" s="20" t="s">
        <v>6783</v>
      </c>
      <c r="H342" s="20">
        <v>20</v>
      </c>
      <c r="K342" s="23">
        <v>111252</v>
      </c>
      <c r="L342" s="23">
        <f t="shared" si="112"/>
        <v>111252</v>
      </c>
      <c r="N342" s="82"/>
      <c r="V342" s="23">
        <f t="shared" si="97"/>
        <v>111252</v>
      </c>
      <c r="W342" s="25">
        <v>0.2</v>
      </c>
      <c r="X342" s="23">
        <f t="shared" si="113"/>
        <v>22250.400000000001</v>
      </c>
      <c r="Y342" s="20" t="s">
        <v>5975</v>
      </c>
      <c r="Z342" s="35" t="s">
        <v>6731</v>
      </c>
      <c r="AA342" s="35" t="s">
        <v>6788</v>
      </c>
      <c r="AB342" s="35" t="s">
        <v>6733</v>
      </c>
      <c r="AC342" s="35" t="s">
        <v>6792</v>
      </c>
      <c r="AD342" s="35" t="s">
        <v>7348</v>
      </c>
      <c r="AE342" s="37" t="str">
        <f t="shared" si="103"/>
        <v>51</v>
      </c>
      <c r="AF342" s="37">
        <f t="shared" si="117"/>
        <v>3764.7676799999999</v>
      </c>
      <c r="AI342" s="37">
        <f t="shared" si="114"/>
        <v>322.63080000000002</v>
      </c>
      <c r="AJ342" s="37">
        <f t="shared" si="115"/>
        <v>273.67992000000004</v>
      </c>
      <c r="AK342" s="37">
        <f t="shared" si="116"/>
        <v>420.71056320000008</v>
      </c>
      <c r="AL342" s="23">
        <v>140.04</v>
      </c>
      <c r="AM342" s="23">
        <f t="shared" si="104"/>
        <v>28.007999999999999</v>
      </c>
      <c r="AN342" s="22">
        <v>79.2</v>
      </c>
      <c r="AO342" s="22">
        <f t="shared" si="100"/>
        <v>15.840000000000002</v>
      </c>
      <c r="AP342" s="23">
        <v>25452.57</v>
      </c>
      <c r="AQ342" s="23">
        <f t="shared" si="101"/>
        <v>26474.490685500001</v>
      </c>
      <c r="AR342" s="23">
        <f t="shared" si="105"/>
        <v>5294.8981371000009</v>
      </c>
      <c r="AS342" s="23">
        <f t="shared" si="110"/>
        <v>5338.7461371000009</v>
      </c>
      <c r="AU342" s="20">
        <f t="shared" si="106"/>
        <v>0</v>
      </c>
      <c r="AV342" s="37">
        <f t="shared" si="102"/>
        <v>10120.535100300001</v>
      </c>
      <c r="AW342" s="37">
        <f t="shared" si="111"/>
        <v>32370.935100300005</v>
      </c>
      <c r="AX342" s="20" t="s">
        <v>6754</v>
      </c>
      <c r="AY342" s="20" t="s">
        <v>6790</v>
      </c>
      <c r="AZ342" s="20" t="s">
        <v>6793</v>
      </c>
      <c r="BA342" s="20" t="str">
        <f t="shared" si="109"/>
        <v>0.2 - EOPS_CARE - Alexander, Mitzi C</v>
      </c>
    </row>
    <row r="343" spans="1:53" ht="12.75" customHeight="1" x14ac:dyDescent="0.25">
      <c r="A343" s="20">
        <v>332</v>
      </c>
      <c r="B343" s="78" t="s">
        <v>7338</v>
      </c>
      <c r="C343" s="20" t="s">
        <v>7349</v>
      </c>
      <c r="D343" s="20" t="s">
        <v>7350</v>
      </c>
      <c r="E343" s="82">
        <v>100</v>
      </c>
      <c r="F343" s="34">
        <v>44378</v>
      </c>
      <c r="G343" s="20" t="s">
        <v>6741</v>
      </c>
      <c r="H343" s="20">
        <v>15</v>
      </c>
      <c r="K343" s="23">
        <v>112934</v>
      </c>
      <c r="L343" s="23">
        <f t="shared" si="112"/>
        <v>112934</v>
      </c>
      <c r="N343" s="82"/>
      <c r="V343" s="23">
        <f t="shared" si="97"/>
        <v>112934</v>
      </c>
      <c r="W343" s="25">
        <v>1</v>
      </c>
      <c r="X343" s="23">
        <f t="shared" si="113"/>
        <v>112934</v>
      </c>
      <c r="Y343" s="20" t="s">
        <v>2134</v>
      </c>
      <c r="Z343" s="35" t="s">
        <v>6758</v>
      </c>
      <c r="AA343" s="35" t="s">
        <v>6742</v>
      </c>
      <c r="AB343" s="35" t="s">
        <v>6733</v>
      </c>
      <c r="AC343" s="35" t="s">
        <v>6898</v>
      </c>
      <c r="AD343" s="35" t="s">
        <v>7342</v>
      </c>
      <c r="AE343" s="37" t="str">
        <f t="shared" si="103"/>
        <v>51</v>
      </c>
      <c r="AF343" s="37">
        <f t="shared" si="117"/>
        <v>19108.432799999999</v>
      </c>
      <c r="AI343" s="37">
        <f t="shared" si="114"/>
        <v>1637.5430000000001</v>
      </c>
      <c r="AJ343" s="37">
        <f t="shared" si="115"/>
        <v>1389.0881999999999</v>
      </c>
      <c r="AK343" s="37">
        <f t="shared" si="116"/>
        <v>2135.356072</v>
      </c>
      <c r="AL343" s="23">
        <v>140.04</v>
      </c>
      <c r="AM343" s="23">
        <f t="shared" si="104"/>
        <v>140.04</v>
      </c>
      <c r="AN343" s="22">
        <v>79.2</v>
      </c>
      <c r="AO343" s="22">
        <f t="shared" si="100"/>
        <v>79.2</v>
      </c>
      <c r="AP343" s="23">
        <v>13756.16</v>
      </c>
      <c r="AQ343" s="23">
        <f t="shared" si="101"/>
        <v>14308.469824</v>
      </c>
      <c r="AR343" s="23">
        <f t="shared" si="105"/>
        <v>14308.469824</v>
      </c>
      <c r="AS343" s="23">
        <f t="shared" si="110"/>
        <v>14527.709824</v>
      </c>
      <c r="AU343" s="20">
        <f t="shared" si="106"/>
        <v>0</v>
      </c>
      <c r="AV343" s="37">
        <f t="shared" si="102"/>
        <v>38798.129895999999</v>
      </c>
      <c r="AW343" s="37">
        <f t="shared" si="111"/>
        <v>151732.129896</v>
      </c>
      <c r="BA343" s="20" t="str">
        <f t="shared" si="109"/>
        <v>1 - ECE_INS - Almodovar, Mayra</v>
      </c>
    </row>
    <row r="344" spans="1:53" ht="12.75" customHeight="1" x14ac:dyDescent="0.25">
      <c r="A344" s="20">
        <v>333</v>
      </c>
      <c r="B344" s="78" t="s">
        <v>7338</v>
      </c>
      <c r="C344" s="20" t="s">
        <v>7351</v>
      </c>
      <c r="D344" s="20" t="s">
        <v>7352</v>
      </c>
      <c r="E344" s="82">
        <v>100</v>
      </c>
      <c r="F344" s="34">
        <v>44378</v>
      </c>
      <c r="G344" s="20" t="s">
        <v>6729</v>
      </c>
      <c r="H344" s="20">
        <v>20</v>
      </c>
      <c r="K344" s="23">
        <v>118516</v>
      </c>
      <c r="L344" s="23">
        <f t="shared" si="112"/>
        <v>118516</v>
      </c>
      <c r="N344" s="82"/>
      <c r="V344" s="23">
        <f t="shared" si="97"/>
        <v>118516</v>
      </c>
      <c r="W344" s="25">
        <v>1</v>
      </c>
      <c r="X344" s="23">
        <f t="shared" si="113"/>
        <v>118516</v>
      </c>
      <c r="Y344" s="20" t="s">
        <v>2886</v>
      </c>
      <c r="Z344" s="35" t="s">
        <v>6758</v>
      </c>
      <c r="AA344" s="35" t="s">
        <v>6752</v>
      </c>
      <c r="AB344" s="35" t="s">
        <v>6733</v>
      </c>
      <c r="AC344" s="35" t="s">
        <v>6800</v>
      </c>
      <c r="AD344" s="35" t="s">
        <v>7348</v>
      </c>
      <c r="AE344" s="37" t="str">
        <f t="shared" si="103"/>
        <v>51</v>
      </c>
      <c r="AF344" s="37">
        <f t="shared" si="117"/>
        <v>20052.907199999998</v>
      </c>
      <c r="AI344" s="37">
        <f t="shared" si="114"/>
        <v>1718.4820000000002</v>
      </c>
      <c r="AJ344" s="37">
        <f t="shared" si="115"/>
        <v>1457.7468000000001</v>
      </c>
      <c r="AK344" s="37">
        <f t="shared" si="116"/>
        <v>2240.9005280000001</v>
      </c>
      <c r="AL344" s="23">
        <v>140.04</v>
      </c>
      <c r="AM344" s="23">
        <f t="shared" si="104"/>
        <v>140.04</v>
      </c>
      <c r="AN344" s="22">
        <v>79.2</v>
      </c>
      <c r="AO344" s="22">
        <f t="shared" si="100"/>
        <v>79.2</v>
      </c>
      <c r="AP344" s="23">
        <v>17423.89</v>
      </c>
      <c r="AQ344" s="23">
        <f t="shared" si="101"/>
        <v>18123.459183499999</v>
      </c>
      <c r="AR344" s="23">
        <f t="shared" si="105"/>
        <v>18123.459183499999</v>
      </c>
      <c r="AS344" s="23">
        <f t="shared" si="110"/>
        <v>18342.699183500001</v>
      </c>
      <c r="AT344" s="37">
        <v>2400</v>
      </c>
      <c r="AU344" s="20">
        <f t="shared" si="106"/>
        <v>2400</v>
      </c>
      <c r="AV344" s="37">
        <f t="shared" si="102"/>
        <v>46212.735711499998</v>
      </c>
      <c r="AW344" s="37">
        <f t="shared" si="111"/>
        <v>164728.73571149999</v>
      </c>
      <c r="BA344" s="20" t="str">
        <f t="shared" si="109"/>
        <v>1 - COU_GEN - Anderson, J. Tony</v>
      </c>
    </row>
    <row r="345" spans="1:53" ht="12.75" customHeight="1" x14ac:dyDescent="0.25">
      <c r="A345" s="20">
        <v>334</v>
      </c>
      <c r="B345" s="78" t="s">
        <v>7338</v>
      </c>
      <c r="C345" s="20" t="s">
        <v>7353</v>
      </c>
      <c r="D345" s="20" t="s">
        <v>7354</v>
      </c>
      <c r="E345" s="82">
        <v>100</v>
      </c>
      <c r="F345" s="34">
        <v>44378</v>
      </c>
      <c r="G345" s="20" t="s">
        <v>6741</v>
      </c>
      <c r="H345" s="20">
        <v>13</v>
      </c>
      <c r="K345" s="23">
        <v>106918</v>
      </c>
      <c r="L345" s="23">
        <f t="shared" si="112"/>
        <v>106918</v>
      </c>
      <c r="N345" s="82"/>
      <c r="V345" s="23">
        <f t="shared" si="97"/>
        <v>106918</v>
      </c>
      <c r="W345" s="25">
        <v>1</v>
      </c>
      <c r="X345" s="23">
        <f t="shared" si="113"/>
        <v>106918</v>
      </c>
      <c r="Y345" s="20" t="s">
        <v>1891</v>
      </c>
      <c r="Z345" s="35" t="s">
        <v>6758</v>
      </c>
      <c r="AA345" s="35" t="s">
        <v>6772</v>
      </c>
      <c r="AB345" s="35" t="s">
        <v>6974</v>
      </c>
      <c r="AC345" s="35" t="s">
        <v>7355</v>
      </c>
      <c r="AD345" s="35" t="s">
        <v>7342</v>
      </c>
      <c r="AE345" s="37" t="str">
        <f t="shared" si="103"/>
        <v>51</v>
      </c>
      <c r="AF345" s="37">
        <f t="shared" si="117"/>
        <v>18090.525599999997</v>
      </c>
      <c r="AI345" s="37">
        <f t="shared" si="114"/>
        <v>1550.3110000000001</v>
      </c>
      <c r="AJ345" s="37">
        <f t="shared" si="115"/>
        <v>1315.0914</v>
      </c>
      <c r="AK345" s="37">
        <f t="shared" si="116"/>
        <v>2021.6055440000002</v>
      </c>
      <c r="AL345" s="23">
        <v>140.04</v>
      </c>
      <c r="AM345" s="23">
        <f t="shared" si="104"/>
        <v>140.04</v>
      </c>
      <c r="AN345" s="22">
        <v>79.2</v>
      </c>
      <c r="AO345" s="22">
        <f t="shared" si="100"/>
        <v>79.2</v>
      </c>
      <c r="AP345" s="23">
        <v>13152</v>
      </c>
      <c r="AQ345" s="23">
        <f t="shared" si="101"/>
        <v>13680.052799999999</v>
      </c>
      <c r="AR345" s="23">
        <f t="shared" si="105"/>
        <v>13680.052799999999</v>
      </c>
      <c r="AS345" s="23">
        <f t="shared" si="110"/>
        <v>13899.292799999999</v>
      </c>
      <c r="AU345" s="20">
        <f t="shared" si="106"/>
        <v>0</v>
      </c>
      <c r="AV345" s="37">
        <f t="shared" si="102"/>
        <v>36876.826344000001</v>
      </c>
      <c r="AW345" s="37">
        <f t="shared" si="111"/>
        <v>143794.826344</v>
      </c>
      <c r="BA345" s="20" t="str">
        <f t="shared" si="109"/>
        <v>1 - CSS_INS - Arteaga, Sonia M</v>
      </c>
    </row>
    <row r="346" spans="1:53" ht="12.75" customHeight="1" x14ac:dyDescent="0.25">
      <c r="A346" s="20">
        <v>335</v>
      </c>
      <c r="B346" s="78" t="s">
        <v>7338</v>
      </c>
      <c r="C346" s="20" t="s">
        <v>7356</v>
      </c>
      <c r="D346" s="20" t="s">
        <v>7357</v>
      </c>
      <c r="E346" s="82">
        <v>100</v>
      </c>
      <c r="F346" s="34">
        <v>44378</v>
      </c>
      <c r="G346" s="20" t="s">
        <v>6783</v>
      </c>
      <c r="H346" s="20">
        <v>20</v>
      </c>
      <c r="K346" s="23">
        <v>105238</v>
      </c>
      <c r="L346" s="23">
        <f t="shared" si="112"/>
        <v>105238</v>
      </c>
      <c r="N346" s="82"/>
      <c r="V346" s="23">
        <f t="shared" si="97"/>
        <v>105238</v>
      </c>
      <c r="W346" s="25">
        <v>0.8</v>
      </c>
      <c r="X346" s="23">
        <f t="shared" si="113"/>
        <v>84190.400000000009</v>
      </c>
      <c r="Y346" s="20" t="s">
        <v>1819</v>
      </c>
      <c r="Z346" s="35" t="s">
        <v>6758</v>
      </c>
      <c r="AA346" s="35" t="s">
        <v>6772</v>
      </c>
      <c r="AB346" s="35" t="s">
        <v>6733</v>
      </c>
      <c r="AC346" s="35" t="s">
        <v>7053</v>
      </c>
      <c r="AD346" s="35" t="s">
        <v>7342</v>
      </c>
      <c r="AE346" s="37" t="str">
        <f t="shared" si="103"/>
        <v>51</v>
      </c>
      <c r="AF346" s="37">
        <f t="shared" si="117"/>
        <v>14245.01568</v>
      </c>
      <c r="AI346" s="37">
        <f t="shared" si="114"/>
        <v>1220.7608000000002</v>
      </c>
      <c r="AJ346" s="37">
        <f t="shared" si="115"/>
        <v>1035.5419200000001</v>
      </c>
      <c r="AK346" s="37">
        <f t="shared" si="116"/>
        <v>1591.8720832000004</v>
      </c>
      <c r="AL346" s="23">
        <v>140.04</v>
      </c>
      <c r="AM346" s="23">
        <f t="shared" si="104"/>
        <v>112.032</v>
      </c>
      <c r="AN346" s="22">
        <v>79.2</v>
      </c>
      <c r="AO346" s="22">
        <f t="shared" si="100"/>
        <v>63.360000000000007</v>
      </c>
      <c r="AP346" s="23">
        <v>25452.57</v>
      </c>
      <c r="AQ346" s="23">
        <f t="shared" si="101"/>
        <v>26474.490685500001</v>
      </c>
      <c r="AR346" s="23">
        <f t="shared" si="105"/>
        <v>21179.592548400004</v>
      </c>
      <c r="AS346" s="23">
        <f t="shared" si="110"/>
        <v>21354.984548400003</v>
      </c>
      <c r="AU346" s="20">
        <f t="shared" si="106"/>
        <v>0</v>
      </c>
      <c r="AV346" s="37">
        <f t="shared" si="102"/>
        <v>39448.175031600003</v>
      </c>
      <c r="AW346" s="37">
        <f t="shared" si="111"/>
        <v>123638.57503160002</v>
      </c>
      <c r="BA346" s="20" t="str">
        <f t="shared" si="109"/>
        <v>0.8 - GEO_INS - Barminski Jr, Robert F</v>
      </c>
    </row>
    <row r="347" spans="1:53" ht="12.75" customHeight="1" x14ac:dyDescent="0.25">
      <c r="A347" s="20">
        <v>336</v>
      </c>
      <c r="B347" s="78" t="s">
        <v>7338</v>
      </c>
      <c r="C347" s="20" t="s">
        <v>7356</v>
      </c>
      <c r="D347" s="20" t="s">
        <v>7358</v>
      </c>
      <c r="E347" s="82">
        <v>100</v>
      </c>
      <c r="F347" s="34">
        <v>44378</v>
      </c>
      <c r="G347" s="20" t="s">
        <v>6783</v>
      </c>
      <c r="H347" s="20">
        <v>20</v>
      </c>
      <c r="K347" s="23">
        <v>105238</v>
      </c>
      <c r="L347" s="23">
        <f t="shared" si="112"/>
        <v>105238</v>
      </c>
      <c r="N347" s="82"/>
      <c r="V347" s="23">
        <f t="shared" si="97"/>
        <v>105238</v>
      </c>
      <c r="W347" s="25">
        <v>0.2</v>
      </c>
      <c r="X347" s="23">
        <f t="shared" si="113"/>
        <v>21047.600000000002</v>
      </c>
      <c r="Y347" s="20" t="s">
        <v>1855</v>
      </c>
      <c r="Z347" s="35" t="s">
        <v>6758</v>
      </c>
      <c r="AA347" s="35" t="s">
        <v>6772</v>
      </c>
      <c r="AB347" s="35" t="s">
        <v>6733</v>
      </c>
      <c r="AC347" s="35" t="s">
        <v>7359</v>
      </c>
      <c r="AD347" s="35" t="s">
        <v>7342</v>
      </c>
      <c r="AE347" s="37" t="str">
        <f t="shared" si="103"/>
        <v>51</v>
      </c>
      <c r="AF347" s="37">
        <f t="shared" si="117"/>
        <v>3561.2539200000001</v>
      </c>
      <c r="AI347" s="37">
        <f t="shared" si="114"/>
        <v>305.19020000000006</v>
      </c>
      <c r="AJ347" s="37">
        <f t="shared" si="115"/>
        <v>258.88548000000003</v>
      </c>
      <c r="AK347" s="37">
        <f t="shared" si="116"/>
        <v>397.96802080000009</v>
      </c>
      <c r="AL347" s="23">
        <v>140.04</v>
      </c>
      <c r="AM347" s="23">
        <f t="shared" si="104"/>
        <v>28.007999999999999</v>
      </c>
      <c r="AN347" s="22">
        <v>79.2</v>
      </c>
      <c r="AO347" s="22">
        <f t="shared" si="100"/>
        <v>15.840000000000002</v>
      </c>
      <c r="AP347" s="23">
        <v>25452.57</v>
      </c>
      <c r="AQ347" s="23">
        <f t="shared" si="101"/>
        <v>26474.490685500001</v>
      </c>
      <c r="AR347" s="23">
        <f t="shared" si="105"/>
        <v>5294.8981371000009</v>
      </c>
      <c r="AS347" s="23">
        <f t="shared" si="110"/>
        <v>5338.7461371000009</v>
      </c>
      <c r="AU347" s="20">
        <f t="shared" si="106"/>
        <v>0</v>
      </c>
      <c r="AV347" s="37">
        <f t="shared" si="102"/>
        <v>9862.0437579000009</v>
      </c>
      <c r="AW347" s="37">
        <f t="shared" si="111"/>
        <v>30909.643757900005</v>
      </c>
      <c r="BA347" s="20" t="str">
        <f t="shared" si="109"/>
        <v>0.2 - OCN_INS - Barminski Jr, Robert F</v>
      </c>
    </row>
    <row r="348" spans="1:53" ht="12.75" customHeight="1" x14ac:dyDescent="0.25">
      <c r="A348" s="20">
        <v>337</v>
      </c>
      <c r="B348" s="78" t="s">
        <v>7338</v>
      </c>
      <c r="C348" s="20" t="s">
        <v>7360</v>
      </c>
      <c r="D348" s="20" t="s">
        <v>7361</v>
      </c>
      <c r="E348" s="82">
        <v>100</v>
      </c>
      <c r="F348" s="34">
        <v>44378</v>
      </c>
      <c r="G348" s="20" t="s">
        <v>6730</v>
      </c>
      <c r="H348" s="20">
        <v>20</v>
      </c>
      <c r="K348" s="23">
        <v>118541</v>
      </c>
      <c r="L348" s="23">
        <f t="shared" si="112"/>
        <v>118541</v>
      </c>
      <c r="N348" s="82"/>
      <c r="V348" s="23">
        <f t="shared" si="97"/>
        <v>118541</v>
      </c>
      <c r="W348" s="25">
        <v>1</v>
      </c>
      <c r="X348" s="23">
        <f t="shared" si="113"/>
        <v>118541</v>
      </c>
      <c r="Y348" s="20" t="s">
        <v>2790</v>
      </c>
      <c r="Z348" s="35" t="s">
        <v>6758</v>
      </c>
      <c r="AA348" s="35" t="s">
        <v>7362</v>
      </c>
      <c r="AB348" s="35" t="s">
        <v>6733</v>
      </c>
      <c r="AC348" s="35" t="s">
        <v>7363</v>
      </c>
      <c r="AD348" s="35" t="s">
        <v>7342</v>
      </c>
      <c r="AE348" s="37" t="str">
        <f t="shared" si="103"/>
        <v>51</v>
      </c>
      <c r="AF348" s="37">
        <f t="shared" si="117"/>
        <v>20057.137199999997</v>
      </c>
      <c r="AI348" s="37">
        <f t="shared" si="114"/>
        <v>1718.8445000000002</v>
      </c>
      <c r="AJ348" s="37">
        <f t="shared" si="115"/>
        <v>1458.0543</v>
      </c>
      <c r="AK348" s="37">
        <f t="shared" si="116"/>
        <v>2241.3732279999999</v>
      </c>
      <c r="AL348" s="23">
        <v>140.04</v>
      </c>
      <c r="AM348" s="23">
        <f t="shared" si="104"/>
        <v>140.04</v>
      </c>
      <c r="AN348" s="22">
        <v>79.2</v>
      </c>
      <c r="AO348" s="22">
        <f t="shared" si="100"/>
        <v>79.2</v>
      </c>
      <c r="AP348" s="23">
        <v>14347.68</v>
      </c>
      <c r="AQ348" s="23">
        <f t="shared" si="101"/>
        <v>14923.739352000001</v>
      </c>
      <c r="AR348" s="23">
        <f t="shared" si="105"/>
        <v>14923.739352000001</v>
      </c>
      <c r="AS348" s="23">
        <f t="shared" si="110"/>
        <v>15142.979352</v>
      </c>
      <c r="AU348" s="20">
        <f t="shared" si="106"/>
        <v>0</v>
      </c>
      <c r="AV348" s="37">
        <f t="shared" si="102"/>
        <v>40618.388579999999</v>
      </c>
      <c r="AW348" s="37">
        <f t="shared" si="111"/>
        <v>159159.38858</v>
      </c>
      <c r="BA348" s="20" t="str">
        <f t="shared" si="109"/>
        <v>1 - ESL_INS - Beck, James C</v>
      </c>
    </row>
    <row r="349" spans="1:53" ht="12.75" customHeight="1" x14ac:dyDescent="0.25">
      <c r="A349" s="20">
        <v>338</v>
      </c>
      <c r="B349" s="78" t="s">
        <v>7338</v>
      </c>
      <c r="C349" s="20" t="s">
        <v>7364</v>
      </c>
      <c r="D349" s="20" t="s">
        <v>7365</v>
      </c>
      <c r="E349" s="82">
        <v>100</v>
      </c>
      <c r="F349" s="34">
        <v>44378</v>
      </c>
      <c r="G349" s="20" t="s">
        <v>6783</v>
      </c>
      <c r="H349" s="20">
        <v>20</v>
      </c>
      <c r="K349" s="23">
        <v>118541</v>
      </c>
      <c r="L349" s="23">
        <f t="shared" si="112"/>
        <v>118541</v>
      </c>
      <c r="N349" s="82"/>
      <c r="V349" s="23">
        <f t="shared" si="97"/>
        <v>118541</v>
      </c>
      <c r="W349" s="25">
        <v>1</v>
      </c>
      <c r="X349" s="23">
        <f t="shared" si="113"/>
        <v>118541</v>
      </c>
      <c r="Y349" s="20" t="s">
        <v>2169</v>
      </c>
      <c r="Z349" s="35" t="s">
        <v>6758</v>
      </c>
      <c r="AA349" s="35" t="s">
        <v>6742</v>
      </c>
      <c r="AB349" s="35" t="s">
        <v>6733</v>
      </c>
      <c r="AC349" s="35" t="s">
        <v>7366</v>
      </c>
      <c r="AD349" s="35" t="s">
        <v>7342</v>
      </c>
      <c r="AE349" s="37" t="str">
        <f t="shared" si="103"/>
        <v>51</v>
      </c>
      <c r="AF349" s="37">
        <f t="shared" si="117"/>
        <v>20057.137199999997</v>
      </c>
      <c r="AI349" s="37">
        <f t="shared" si="114"/>
        <v>1718.8445000000002</v>
      </c>
      <c r="AJ349" s="37">
        <f t="shared" si="115"/>
        <v>1458.0543</v>
      </c>
      <c r="AK349" s="37">
        <f t="shared" si="116"/>
        <v>2241.3732279999999</v>
      </c>
      <c r="AL349" s="23">
        <v>140.04</v>
      </c>
      <c r="AM349" s="23">
        <f t="shared" si="104"/>
        <v>140.04</v>
      </c>
      <c r="AN349" s="22">
        <v>79.2</v>
      </c>
      <c r="AO349" s="22">
        <f t="shared" si="100"/>
        <v>79.2</v>
      </c>
      <c r="AP349" s="23">
        <v>25452.57</v>
      </c>
      <c r="AQ349" s="23">
        <f t="shared" si="101"/>
        <v>26474.490685500001</v>
      </c>
      <c r="AR349" s="23">
        <f t="shared" si="105"/>
        <v>26474.490685500001</v>
      </c>
      <c r="AS349" s="23">
        <f t="shared" si="110"/>
        <v>26693.730685500002</v>
      </c>
      <c r="AU349" s="20">
        <f t="shared" si="106"/>
        <v>0</v>
      </c>
      <c r="AV349" s="37">
        <f t="shared" si="102"/>
        <v>52169.139913499996</v>
      </c>
      <c r="AW349" s="37">
        <f t="shared" si="111"/>
        <v>170710.1399135</v>
      </c>
      <c r="BA349" s="20" t="str">
        <f t="shared" si="109"/>
        <v>1 - ADJ_INS - Bertomen, Lindsey J</v>
      </c>
    </row>
    <row r="350" spans="1:53" ht="12.75" customHeight="1" x14ac:dyDescent="0.25">
      <c r="A350" s="20">
        <v>339</v>
      </c>
      <c r="B350" s="78" t="s">
        <v>7338</v>
      </c>
      <c r="C350" s="20" t="s">
        <v>7367</v>
      </c>
      <c r="D350" s="20" t="s">
        <v>7066</v>
      </c>
      <c r="E350" s="82">
        <v>100</v>
      </c>
      <c r="F350" s="34">
        <v>44378</v>
      </c>
      <c r="G350" s="20" t="s">
        <v>6783</v>
      </c>
      <c r="H350" s="20">
        <v>20</v>
      </c>
      <c r="K350" s="23">
        <v>119671</v>
      </c>
      <c r="L350" s="23">
        <f t="shared" si="112"/>
        <v>119671</v>
      </c>
      <c r="N350" s="82"/>
      <c r="V350" s="23">
        <f t="shared" si="97"/>
        <v>119671</v>
      </c>
      <c r="W350" s="25">
        <v>0.6</v>
      </c>
      <c r="X350" s="23">
        <f t="shared" si="113"/>
        <v>71802.599999999991</v>
      </c>
      <c r="Y350" s="20" t="s">
        <v>1433</v>
      </c>
      <c r="Z350" s="35" t="s">
        <v>6758</v>
      </c>
      <c r="AA350" s="35" t="s">
        <v>6941</v>
      </c>
      <c r="AB350" s="35" t="s">
        <v>6733</v>
      </c>
      <c r="AC350" s="35" t="s">
        <v>7368</v>
      </c>
      <c r="AD350" s="35" t="s">
        <v>7342</v>
      </c>
      <c r="AE350" s="37" t="str">
        <f t="shared" si="103"/>
        <v>51</v>
      </c>
      <c r="AF350" s="37">
        <f t="shared" si="117"/>
        <v>12148.999919999998</v>
      </c>
      <c r="AI350" s="37">
        <f t="shared" si="114"/>
        <v>1041.1377</v>
      </c>
      <c r="AJ350" s="37">
        <f t="shared" si="115"/>
        <v>883.17197999999985</v>
      </c>
      <c r="AK350" s="37">
        <f t="shared" si="116"/>
        <v>1357.6435607999999</v>
      </c>
      <c r="AL350" s="23">
        <v>140.04</v>
      </c>
      <c r="AM350" s="23">
        <f t="shared" si="104"/>
        <v>84.023999999999987</v>
      </c>
      <c r="AN350" s="22">
        <v>79.2</v>
      </c>
      <c r="AO350" s="22">
        <f t="shared" si="100"/>
        <v>47.52</v>
      </c>
      <c r="AP350" s="23">
        <v>33443.96</v>
      </c>
      <c r="AQ350" s="23">
        <f t="shared" si="101"/>
        <v>34786.734993999999</v>
      </c>
      <c r="AR350" s="23">
        <f t="shared" si="105"/>
        <v>20872.040996399999</v>
      </c>
      <c r="AS350" s="23">
        <f t="shared" si="110"/>
        <v>21003.584996400001</v>
      </c>
      <c r="AU350" s="20">
        <f t="shared" si="106"/>
        <v>0</v>
      </c>
      <c r="AV350" s="37">
        <f t="shared" si="102"/>
        <v>36434.538157199997</v>
      </c>
      <c r="AW350" s="37">
        <f t="shared" si="111"/>
        <v>108237.13815719998</v>
      </c>
      <c r="BA350" s="20" t="str">
        <f t="shared" si="109"/>
        <v>0.6 - ATH_TRNR - Beymer, David S</v>
      </c>
    </row>
    <row r="351" spans="1:53" ht="12.75" customHeight="1" x14ac:dyDescent="0.25">
      <c r="A351" s="20">
        <v>340</v>
      </c>
      <c r="B351" s="78" t="s">
        <v>7338</v>
      </c>
      <c r="C351" s="20" t="s">
        <v>7367</v>
      </c>
      <c r="D351" s="20" t="s">
        <v>7066</v>
      </c>
      <c r="E351" s="82">
        <v>100</v>
      </c>
      <c r="F351" s="34">
        <v>44378</v>
      </c>
      <c r="G351" s="20" t="s">
        <v>6783</v>
      </c>
      <c r="H351" s="20">
        <v>20</v>
      </c>
      <c r="K351" s="23">
        <v>119671</v>
      </c>
      <c r="L351" s="23">
        <f t="shared" si="112"/>
        <v>119671</v>
      </c>
      <c r="N351" s="82"/>
      <c r="V351" s="23">
        <f t="shared" si="97"/>
        <v>119671</v>
      </c>
      <c r="W351" s="25">
        <v>0.4</v>
      </c>
      <c r="X351" s="23">
        <f t="shared" si="113"/>
        <v>47868.4</v>
      </c>
      <c r="Y351" s="20" t="s">
        <v>1503</v>
      </c>
      <c r="Z351" s="35" t="s">
        <v>6758</v>
      </c>
      <c r="AA351" s="35" t="s">
        <v>6941</v>
      </c>
      <c r="AB351" s="35" t="s">
        <v>6733</v>
      </c>
      <c r="AC351" s="35" t="s">
        <v>7369</v>
      </c>
      <c r="AD351" s="35" t="s">
        <v>7342</v>
      </c>
      <c r="AE351" s="37" t="str">
        <f t="shared" si="103"/>
        <v>51</v>
      </c>
      <c r="AF351" s="37">
        <f t="shared" si="117"/>
        <v>8099.3332799999998</v>
      </c>
      <c r="AI351" s="37">
        <f t="shared" si="114"/>
        <v>694.09180000000003</v>
      </c>
      <c r="AJ351" s="37">
        <f t="shared" si="115"/>
        <v>588.78132000000005</v>
      </c>
      <c r="AK351" s="37">
        <f t="shared" si="116"/>
        <v>905.09570720000011</v>
      </c>
      <c r="AL351" s="23">
        <v>140.04</v>
      </c>
      <c r="AM351" s="23">
        <f t="shared" si="104"/>
        <v>56.015999999999998</v>
      </c>
      <c r="AN351" s="22">
        <v>79.2</v>
      </c>
      <c r="AO351" s="22">
        <f t="shared" si="100"/>
        <v>31.680000000000003</v>
      </c>
      <c r="AP351" s="23">
        <v>33443.96</v>
      </c>
      <c r="AQ351" s="23">
        <f t="shared" si="101"/>
        <v>34786.734993999999</v>
      </c>
      <c r="AR351" s="23">
        <f t="shared" si="105"/>
        <v>13914.693997599999</v>
      </c>
      <c r="AS351" s="23">
        <f t="shared" si="110"/>
        <v>14002.389997599999</v>
      </c>
      <c r="AU351" s="20">
        <f t="shared" si="106"/>
        <v>0</v>
      </c>
      <c r="AV351" s="37">
        <f t="shared" si="102"/>
        <v>24289.6921048</v>
      </c>
      <c r="AW351" s="37">
        <f t="shared" si="111"/>
        <v>72158.092104800002</v>
      </c>
      <c r="BA351" s="20" t="str">
        <f t="shared" si="109"/>
        <v>0.4 - ATH_TRNR - Beymer, David S</v>
      </c>
    </row>
    <row r="352" spans="1:53" ht="12.75" customHeight="1" x14ac:dyDescent="0.25">
      <c r="A352" s="20">
        <v>341</v>
      </c>
      <c r="B352" s="78" t="s">
        <v>7338</v>
      </c>
      <c r="C352" s="20" t="s">
        <v>7370</v>
      </c>
      <c r="D352" s="20" t="s">
        <v>7350</v>
      </c>
      <c r="E352" s="82">
        <v>100</v>
      </c>
      <c r="F352" s="34">
        <v>44378</v>
      </c>
      <c r="G352" s="20" t="s">
        <v>6730</v>
      </c>
      <c r="H352" s="20">
        <v>9</v>
      </c>
      <c r="K352" s="23">
        <v>91462</v>
      </c>
      <c r="L352" s="23">
        <f t="shared" si="112"/>
        <v>91462</v>
      </c>
      <c r="N352" s="82"/>
      <c r="V352" s="23">
        <f t="shared" si="97"/>
        <v>91462</v>
      </c>
      <c r="W352" s="25">
        <v>1</v>
      </c>
      <c r="X352" s="23">
        <f t="shared" si="113"/>
        <v>91462</v>
      </c>
      <c r="Y352" s="20" t="s">
        <v>2134</v>
      </c>
      <c r="Z352" s="35" t="s">
        <v>6758</v>
      </c>
      <c r="AA352" s="35" t="s">
        <v>6742</v>
      </c>
      <c r="AB352" s="35" t="s">
        <v>6733</v>
      </c>
      <c r="AC352" s="35" t="s">
        <v>6898</v>
      </c>
      <c r="AD352" s="35" t="s">
        <v>7342</v>
      </c>
      <c r="AE352" s="37" t="str">
        <f t="shared" si="103"/>
        <v>51</v>
      </c>
      <c r="AF352" s="37">
        <f t="shared" si="117"/>
        <v>15475.3704</v>
      </c>
      <c r="AI352" s="37">
        <f t="shared" si="114"/>
        <v>1326.1990000000001</v>
      </c>
      <c r="AJ352" s="37">
        <f t="shared" si="115"/>
        <v>1124.9826</v>
      </c>
      <c r="AK352" s="37">
        <f t="shared" si="116"/>
        <v>1729.3634960000002</v>
      </c>
      <c r="AL352" s="23">
        <v>140.04</v>
      </c>
      <c r="AM352" s="23">
        <f t="shared" si="104"/>
        <v>140.04</v>
      </c>
      <c r="AN352" s="22">
        <v>79.2</v>
      </c>
      <c r="AO352" s="22">
        <f t="shared" si="100"/>
        <v>79.2</v>
      </c>
      <c r="AP352" s="23">
        <v>33443.96</v>
      </c>
      <c r="AQ352" s="23">
        <f t="shared" si="101"/>
        <v>34786.734993999999</v>
      </c>
      <c r="AR352" s="23">
        <f t="shared" si="105"/>
        <v>34786.734993999999</v>
      </c>
      <c r="AS352" s="23">
        <f t="shared" si="110"/>
        <v>35005.974993999997</v>
      </c>
      <c r="AU352" s="20">
        <f t="shared" si="106"/>
        <v>0</v>
      </c>
      <c r="AV352" s="37">
        <f t="shared" si="102"/>
        <v>54661.890490000005</v>
      </c>
      <c r="AW352" s="37">
        <f t="shared" si="111"/>
        <v>146123.89049000002</v>
      </c>
      <c r="BA352" s="20" t="str">
        <f t="shared" si="109"/>
        <v>1 - ECE_INS - Boates, Tammy L</v>
      </c>
    </row>
    <row r="353" spans="1:53" ht="12.75" customHeight="1" x14ac:dyDescent="0.25">
      <c r="A353" s="20">
        <v>342</v>
      </c>
      <c r="B353" s="78" t="s">
        <v>7338</v>
      </c>
      <c r="C353" s="52" t="s">
        <v>7371</v>
      </c>
      <c r="D353" s="20" t="s">
        <v>7372</v>
      </c>
      <c r="E353" s="82">
        <v>100</v>
      </c>
      <c r="F353" s="34">
        <v>44378</v>
      </c>
      <c r="G353" s="51" t="s">
        <v>6729</v>
      </c>
      <c r="H353" s="20">
        <v>6</v>
      </c>
      <c r="K353" s="23">
        <v>79012</v>
      </c>
      <c r="L353" s="23">
        <f t="shared" si="112"/>
        <v>79012</v>
      </c>
      <c r="N353" s="82"/>
      <c r="V353" s="23">
        <f t="shared" si="97"/>
        <v>79012</v>
      </c>
      <c r="W353" s="25">
        <v>0.5</v>
      </c>
      <c r="X353" s="23">
        <f t="shared" si="113"/>
        <v>39506</v>
      </c>
      <c r="Y353" s="20" t="s">
        <v>1139</v>
      </c>
      <c r="Z353" s="35" t="s">
        <v>6758</v>
      </c>
      <c r="AA353" s="35" t="s">
        <v>6989</v>
      </c>
      <c r="AB353" s="35" t="s">
        <v>6733</v>
      </c>
      <c r="AC353" s="35" t="s">
        <v>6990</v>
      </c>
      <c r="AD353" s="35" t="s">
        <v>7342</v>
      </c>
      <c r="AE353" s="37" t="str">
        <f t="shared" si="103"/>
        <v>51</v>
      </c>
      <c r="AF353" s="37">
        <f t="shared" si="117"/>
        <v>6684.4151999999995</v>
      </c>
      <c r="AI353" s="37">
        <f t="shared" si="114"/>
        <v>572.83699999999999</v>
      </c>
      <c r="AJ353" s="37">
        <f t="shared" si="115"/>
        <v>485.92380000000003</v>
      </c>
      <c r="AK353" s="37">
        <f t="shared" si="116"/>
        <v>746.97944800000005</v>
      </c>
      <c r="AL353" s="23">
        <v>140.04</v>
      </c>
      <c r="AM353" s="23">
        <f t="shared" si="104"/>
        <v>70.02</v>
      </c>
      <c r="AN353" s="22">
        <v>79.2</v>
      </c>
      <c r="AO353" s="22">
        <f t="shared" si="100"/>
        <v>39.6</v>
      </c>
      <c r="AP353" s="23">
        <v>25452.6</v>
      </c>
      <c r="AQ353" s="23">
        <f t="shared" si="101"/>
        <v>26474.521889999996</v>
      </c>
      <c r="AR353" s="23">
        <f t="shared" si="105"/>
        <v>13237.260944999998</v>
      </c>
      <c r="AS353" s="23">
        <f t="shared" si="110"/>
        <v>13346.880944999999</v>
      </c>
      <c r="AU353" s="20">
        <f t="shared" si="106"/>
        <v>0</v>
      </c>
      <c r="AV353" s="37">
        <f t="shared" si="102"/>
        <v>21837.036392999998</v>
      </c>
      <c r="AW353" s="225">
        <f t="shared" si="111"/>
        <v>61343.036393000002</v>
      </c>
      <c r="BA353" s="20" t="str">
        <f t="shared" si="109"/>
        <v>0.5 - ART_INS - VACANT (Bosler)</v>
      </c>
    </row>
    <row r="354" spans="1:53" ht="12.75" customHeight="1" x14ac:dyDescent="0.25">
      <c r="A354" s="20">
        <v>343</v>
      </c>
      <c r="B354" s="78" t="s">
        <v>7338</v>
      </c>
      <c r="C354" s="52" t="s">
        <v>7371</v>
      </c>
      <c r="D354" s="20" t="s">
        <v>7373</v>
      </c>
      <c r="E354" s="82">
        <v>100</v>
      </c>
      <c r="F354" s="34">
        <v>44378</v>
      </c>
      <c r="G354" s="51" t="s">
        <v>6729</v>
      </c>
      <c r="H354" s="20">
        <v>6</v>
      </c>
      <c r="K354" s="23">
        <v>79012</v>
      </c>
      <c r="L354" s="23">
        <f t="shared" si="112"/>
        <v>79012</v>
      </c>
      <c r="N354" s="82"/>
      <c r="V354" s="23">
        <f t="shared" si="97"/>
        <v>79012</v>
      </c>
      <c r="W354" s="25">
        <v>0.5</v>
      </c>
      <c r="X354" s="23">
        <f t="shared" si="113"/>
        <v>39506</v>
      </c>
      <c r="Y354" s="20" t="s">
        <v>7374</v>
      </c>
      <c r="Z354" s="35" t="s">
        <v>6758</v>
      </c>
      <c r="AA354" s="35" t="s">
        <v>6989</v>
      </c>
      <c r="AB354" s="35" t="s">
        <v>6733</v>
      </c>
      <c r="AC354" s="35" t="s">
        <v>6991</v>
      </c>
      <c r="AD354" s="35" t="s">
        <v>7342</v>
      </c>
      <c r="AE354" s="37" t="str">
        <f t="shared" si="103"/>
        <v>51</v>
      </c>
      <c r="AF354" s="37">
        <f t="shared" si="117"/>
        <v>6684.4151999999995</v>
      </c>
      <c r="AI354" s="37">
        <f t="shared" si="114"/>
        <v>572.83699999999999</v>
      </c>
      <c r="AJ354" s="37">
        <f t="shared" si="115"/>
        <v>485.92380000000003</v>
      </c>
      <c r="AK354" s="37">
        <f t="shared" si="116"/>
        <v>746.97944800000005</v>
      </c>
      <c r="AL354" s="23">
        <v>140.04</v>
      </c>
      <c r="AM354" s="23">
        <f t="shared" si="104"/>
        <v>70.02</v>
      </c>
      <c r="AN354" s="22">
        <v>79.2</v>
      </c>
      <c r="AO354" s="22">
        <f t="shared" si="100"/>
        <v>39.6</v>
      </c>
      <c r="AP354" s="23">
        <v>25452.6</v>
      </c>
      <c r="AQ354" s="23">
        <f t="shared" si="101"/>
        <v>26474.521889999996</v>
      </c>
      <c r="AR354" s="23">
        <f t="shared" si="105"/>
        <v>13237.260944999998</v>
      </c>
      <c r="AS354" s="23">
        <f t="shared" si="110"/>
        <v>13346.880944999999</v>
      </c>
      <c r="AU354" s="20">
        <f t="shared" si="106"/>
        <v>0</v>
      </c>
      <c r="AV354" s="37">
        <f t="shared" si="102"/>
        <v>21837.036392999998</v>
      </c>
      <c r="AW354" s="225">
        <f t="shared" si="111"/>
        <v>61343.036393000002</v>
      </c>
      <c r="BA354" s="20" t="str">
        <f t="shared" si="109"/>
        <v>0.5 - PHOTO_INS - VACANT (Bosler)</v>
      </c>
    </row>
    <row r="355" spans="1:53" s="39" customFormat="1" ht="12.75" customHeight="1" x14ac:dyDescent="0.25">
      <c r="A355" s="39">
        <v>344</v>
      </c>
      <c r="B355" s="83" t="s">
        <v>7338</v>
      </c>
      <c r="C355" s="39" t="s">
        <v>7375</v>
      </c>
      <c r="D355" s="39" t="s">
        <v>7376</v>
      </c>
      <c r="E355" s="84">
        <v>100</v>
      </c>
      <c r="F355" s="42">
        <v>44378</v>
      </c>
      <c r="G355" s="39" t="s">
        <v>6783</v>
      </c>
      <c r="H355" s="39">
        <v>20</v>
      </c>
      <c r="I355" s="44"/>
      <c r="K355" s="45">
        <v>105238</v>
      </c>
      <c r="L355" s="45">
        <f t="shared" si="112"/>
        <v>105238</v>
      </c>
      <c r="M355" s="45"/>
      <c r="N355" s="84">
        <v>4641</v>
      </c>
      <c r="O355" s="46"/>
      <c r="P355" s="45"/>
      <c r="Q355" s="47"/>
      <c r="R355" s="45"/>
      <c r="S355" s="47"/>
      <c r="T355" s="45"/>
      <c r="U355" s="45"/>
      <c r="V355" s="45">
        <f t="shared" si="97"/>
        <v>109879</v>
      </c>
      <c r="W355" s="46">
        <v>0.85</v>
      </c>
      <c r="X355" s="45">
        <f t="shared" si="113"/>
        <v>93397.15</v>
      </c>
      <c r="Y355" s="39" t="s">
        <v>1984</v>
      </c>
      <c r="Z355" s="43" t="s">
        <v>6758</v>
      </c>
      <c r="AA355" s="43" t="s">
        <v>6901</v>
      </c>
      <c r="AB355" s="43" t="s">
        <v>6733</v>
      </c>
      <c r="AC355" s="43" t="s">
        <v>7377</v>
      </c>
      <c r="AD355" s="43" t="s">
        <v>7342</v>
      </c>
      <c r="AE355" s="37" t="str">
        <f t="shared" si="103"/>
        <v>51</v>
      </c>
      <c r="AF355" s="49">
        <f t="shared" si="117"/>
        <v>15802.797779999997</v>
      </c>
      <c r="AI355" s="49">
        <f t="shared" si="114"/>
        <v>1354.258675</v>
      </c>
      <c r="AJ355" s="49">
        <f t="shared" si="115"/>
        <v>1148.7849449999999</v>
      </c>
      <c r="AK355" s="49">
        <f t="shared" si="116"/>
        <v>1765.9533122</v>
      </c>
      <c r="AL355" s="45">
        <v>140.04</v>
      </c>
      <c r="AM355" s="23">
        <f t="shared" si="104"/>
        <v>119.03399999999999</v>
      </c>
      <c r="AN355" s="44">
        <v>79.2</v>
      </c>
      <c r="AO355" s="22">
        <f t="shared" si="100"/>
        <v>67.320000000000007</v>
      </c>
      <c r="AP355" s="45">
        <v>25452.57</v>
      </c>
      <c r="AQ355" s="23">
        <f t="shared" si="101"/>
        <v>26474.490685500001</v>
      </c>
      <c r="AR355" s="23">
        <f t="shared" si="105"/>
        <v>22503.317082674999</v>
      </c>
      <c r="AS355" s="45">
        <f t="shared" si="110"/>
        <v>22689.671082674999</v>
      </c>
      <c r="AU355" s="20">
        <f t="shared" si="106"/>
        <v>0</v>
      </c>
      <c r="AV355" s="37">
        <f t="shared" si="102"/>
        <v>42761.465794874995</v>
      </c>
      <c r="AW355" s="49">
        <f t="shared" si="111"/>
        <v>136158.61579487499</v>
      </c>
      <c r="BA355" s="39" t="str">
        <f t="shared" si="109"/>
        <v>0.85 - RCP_COORD - Brandt, Emily R</v>
      </c>
    </row>
    <row r="356" spans="1:53" s="39" customFormat="1" ht="12.75" customHeight="1" x14ac:dyDescent="0.25">
      <c r="A356" s="39">
        <v>345</v>
      </c>
      <c r="B356" s="83" t="s">
        <v>7338</v>
      </c>
      <c r="C356" s="39" t="s">
        <v>7375</v>
      </c>
      <c r="D356" s="39" t="s">
        <v>7376</v>
      </c>
      <c r="E356" s="84">
        <v>100</v>
      </c>
      <c r="F356" s="42">
        <v>44378</v>
      </c>
      <c r="G356" s="39" t="s">
        <v>6783</v>
      </c>
      <c r="H356" s="39">
        <v>20</v>
      </c>
      <c r="I356" s="44"/>
      <c r="K356" s="45">
        <v>105238</v>
      </c>
      <c r="L356" s="45">
        <f t="shared" si="112"/>
        <v>105238</v>
      </c>
      <c r="M356" s="45"/>
      <c r="N356" s="84">
        <v>4641</v>
      </c>
      <c r="O356" s="46"/>
      <c r="P356" s="45"/>
      <c r="Q356" s="47"/>
      <c r="R356" s="45"/>
      <c r="S356" s="47"/>
      <c r="T356" s="45"/>
      <c r="U356" s="45"/>
      <c r="V356" s="45">
        <f t="shared" si="97"/>
        <v>109879</v>
      </c>
      <c r="W356" s="46">
        <v>0.15</v>
      </c>
      <c r="X356" s="45">
        <f t="shared" si="113"/>
        <v>16481.849999999999</v>
      </c>
      <c r="Y356" s="39" t="s">
        <v>7378</v>
      </c>
      <c r="Z356" s="43" t="s">
        <v>6758</v>
      </c>
      <c r="AA356" s="43" t="s">
        <v>6901</v>
      </c>
      <c r="AB356" s="43" t="s">
        <v>6733</v>
      </c>
      <c r="AC356" s="43" t="s">
        <v>7377</v>
      </c>
      <c r="AD356" s="43" t="s">
        <v>7348</v>
      </c>
      <c r="AE356" s="37" t="str">
        <f t="shared" si="103"/>
        <v>51</v>
      </c>
      <c r="AF356" s="49">
        <f t="shared" si="117"/>
        <v>2788.7290199999998</v>
      </c>
      <c r="AI356" s="49">
        <f t="shared" si="114"/>
        <v>238.98682499999998</v>
      </c>
      <c r="AJ356" s="49">
        <f t="shared" si="115"/>
        <v>202.726755</v>
      </c>
      <c r="AK356" s="49">
        <f t="shared" si="116"/>
        <v>311.63881979999996</v>
      </c>
      <c r="AL356" s="45">
        <v>140.04</v>
      </c>
      <c r="AM356" s="23">
        <f t="shared" si="104"/>
        <v>21.005999999999997</v>
      </c>
      <c r="AN356" s="44">
        <v>79.2</v>
      </c>
      <c r="AO356" s="22">
        <f t="shared" si="100"/>
        <v>11.88</v>
      </c>
      <c r="AP356" s="45">
        <v>25452.57</v>
      </c>
      <c r="AQ356" s="23">
        <f t="shared" si="101"/>
        <v>26474.490685500001</v>
      </c>
      <c r="AR356" s="23">
        <f t="shared" si="105"/>
        <v>3971.1736028249998</v>
      </c>
      <c r="AS356" s="45">
        <f t="shared" si="110"/>
        <v>4004.0596028249997</v>
      </c>
      <c r="AU356" s="20">
        <f t="shared" si="106"/>
        <v>0</v>
      </c>
      <c r="AV356" s="37">
        <f t="shared" si="102"/>
        <v>7546.1410226249991</v>
      </c>
      <c r="AW356" s="49">
        <f t="shared" si="111"/>
        <v>24027.991022624999</v>
      </c>
      <c r="BA356" s="39" t="str">
        <f t="shared" si="109"/>
        <v>0.15 - RCP_COORD - Brandt, Emily R</v>
      </c>
    </row>
    <row r="357" spans="1:53" ht="12.75" customHeight="1" x14ac:dyDescent="0.25">
      <c r="A357" s="20">
        <v>346</v>
      </c>
      <c r="B357" s="78" t="s">
        <v>7338</v>
      </c>
      <c r="C357" s="56" t="s">
        <v>7379</v>
      </c>
      <c r="D357" s="20" t="s">
        <v>7352</v>
      </c>
      <c r="E357" s="82">
        <v>100</v>
      </c>
      <c r="F357" s="34">
        <v>44378</v>
      </c>
      <c r="G357" s="20" t="s">
        <v>6729</v>
      </c>
      <c r="H357" s="20">
        <v>13</v>
      </c>
      <c r="K357" s="23">
        <v>105793</v>
      </c>
      <c r="L357" s="23">
        <f t="shared" si="112"/>
        <v>105793</v>
      </c>
      <c r="N357" s="82"/>
      <c r="V357" s="23">
        <f t="shared" si="97"/>
        <v>105793</v>
      </c>
      <c r="W357" s="25">
        <v>1</v>
      </c>
      <c r="X357" s="23">
        <f t="shared" si="113"/>
        <v>105793</v>
      </c>
      <c r="Y357" s="20" t="s">
        <v>2886</v>
      </c>
      <c r="Z357" s="35" t="s">
        <v>6758</v>
      </c>
      <c r="AA357" s="35" t="s">
        <v>6752</v>
      </c>
      <c r="AB357" s="35" t="s">
        <v>6733</v>
      </c>
      <c r="AC357" s="35" t="s">
        <v>6800</v>
      </c>
      <c r="AD357" s="35" t="s">
        <v>7348</v>
      </c>
      <c r="AE357" s="37" t="str">
        <f t="shared" si="103"/>
        <v>51</v>
      </c>
      <c r="AF357" s="37"/>
      <c r="AG357" s="37">
        <f>X357*$AG$1</f>
        <v>24237.176299999999</v>
      </c>
      <c r="AH357" s="37">
        <f>X357*$AH$1</f>
        <v>6559.1660000000002</v>
      </c>
      <c r="AI357" s="37">
        <f t="shared" si="114"/>
        <v>1533.9985000000001</v>
      </c>
      <c r="AJ357" s="37">
        <f t="shared" si="115"/>
        <v>1301.2538999999999</v>
      </c>
      <c r="AK357" s="37">
        <f t="shared" si="116"/>
        <v>2000.3340440000002</v>
      </c>
      <c r="AL357" s="23">
        <v>140.04</v>
      </c>
      <c r="AM357" s="23">
        <f t="shared" si="104"/>
        <v>140.04</v>
      </c>
      <c r="AN357" s="22">
        <v>79.2</v>
      </c>
      <c r="AO357" s="22">
        <f t="shared" si="100"/>
        <v>79.2</v>
      </c>
      <c r="AP357" s="23">
        <v>13152.04</v>
      </c>
      <c r="AQ357" s="23">
        <f t="shared" si="101"/>
        <v>13680.094406</v>
      </c>
      <c r="AR357" s="23">
        <f t="shared" si="105"/>
        <v>13680.094406</v>
      </c>
      <c r="AS357" s="23">
        <f t="shared" si="110"/>
        <v>13899.334406</v>
      </c>
      <c r="AU357" s="20">
        <f t="shared" si="106"/>
        <v>0</v>
      </c>
      <c r="AV357" s="37">
        <f t="shared" si="102"/>
        <v>49531.263149999999</v>
      </c>
      <c r="AW357" s="37">
        <f t="shared" si="111"/>
        <v>155324.26315000001</v>
      </c>
      <c r="BA357" s="20" t="str">
        <f t="shared" si="109"/>
        <v>1 - COU_GEN - Bravo, Gabriel S</v>
      </c>
    </row>
    <row r="358" spans="1:53" ht="12.75" hidden="1" customHeight="1" x14ac:dyDescent="0.25">
      <c r="A358" s="20">
        <v>347</v>
      </c>
      <c r="B358" s="78" t="s">
        <v>7338</v>
      </c>
      <c r="C358" s="20" t="s">
        <v>7380</v>
      </c>
      <c r="D358" s="20" t="s">
        <v>7381</v>
      </c>
      <c r="E358" s="82">
        <v>100</v>
      </c>
      <c r="F358" s="34">
        <v>44378</v>
      </c>
      <c r="G358" s="20" t="s">
        <v>6783</v>
      </c>
      <c r="H358" s="20">
        <v>14</v>
      </c>
      <c r="K358" s="23">
        <v>111053</v>
      </c>
      <c r="L358" s="23">
        <f t="shared" si="112"/>
        <v>111053</v>
      </c>
      <c r="N358" s="82"/>
      <c r="V358" s="23">
        <f t="shared" si="97"/>
        <v>111053</v>
      </c>
      <c r="W358" s="25">
        <v>1</v>
      </c>
      <c r="X358" s="23">
        <f t="shared" si="113"/>
        <v>111053</v>
      </c>
      <c r="Y358" s="20" t="s">
        <v>4471</v>
      </c>
      <c r="Z358" s="35" t="s">
        <v>6731</v>
      </c>
      <c r="AA358" s="35" t="s">
        <v>6742</v>
      </c>
      <c r="AB358" s="35" t="s">
        <v>6733</v>
      </c>
      <c r="AC358" s="35" t="s">
        <v>7382</v>
      </c>
      <c r="AD358" s="35" t="s">
        <v>7342</v>
      </c>
      <c r="AE358" s="37" t="str">
        <f t="shared" si="103"/>
        <v>51</v>
      </c>
      <c r="AF358" s="37">
        <f t="shared" ref="AF358:AF389" si="118">X358*$AF$1</f>
        <v>18790.167599999997</v>
      </c>
      <c r="AI358" s="37">
        <f t="shared" si="114"/>
        <v>1610.2685000000001</v>
      </c>
      <c r="AJ358" s="37">
        <f t="shared" si="115"/>
        <v>1365.9519</v>
      </c>
      <c r="AK358" s="37">
        <f t="shared" si="116"/>
        <v>2099.7901240000001</v>
      </c>
      <c r="AL358" s="23">
        <v>140.04</v>
      </c>
      <c r="AM358" s="23">
        <f t="shared" si="104"/>
        <v>140.04</v>
      </c>
      <c r="AN358" s="22">
        <v>79.2</v>
      </c>
      <c r="AO358" s="22">
        <f t="shared" si="100"/>
        <v>79.2</v>
      </c>
      <c r="AP358" s="23">
        <v>13152.04</v>
      </c>
      <c r="AQ358" s="23">
        <f t="shared" si="101"/>
        <v>13680.094406</v>
      </c>
      <c r="AR358" s="23">
        <f t="shared" si="105"/>
        <v>13680.094406</v>
      </c>
      <c r="AS358" s="23">
        <f t="shared" si="110"/>
        <v>13899.334406</v>
      </c>
      <c r="AU358" s="20">
        <f t="shared" si="106"/>
        <v>0</v>
      </c>
      <c r="AV358" s="37">
        <f t="shared" si="102"/>
        <v>37765.51253</v>
      </c>
      <c r="AW358" s="37">
        <f t="shared" si="111"/>
        <v>148818.51253000001</v>
      </c>
      <c r="AX358" s="20" t="s">
        <v>6675</v>
      </c>
      <c r="AY358" s="20" t="s">
        <v>6745</v>
      </c>
      <c r="AZ358" s="20" t="s">
        <v>6748</v>
      </c>
      <c r="BA358" s="20" t="str">
        <f t="shared" si="109"/>
        <v>1 - NRS_INS - Brozada, Lisa</v>
      </c>
    </row>
    <row r="359" spans="1:53" ht="12.75" customHeight="1" x14ac:dyDescent="0.25">
      <c r="A359" s="20">
        <v>348</v>
      </c>
      <c r="B359" s="78" t="s">
        <v>7338</v>
      </c>
      <c r="C359" s="20" t="s">
        <v>7383</v>
      </c>
      <c r="D359" s="20" t="s">
        <v>7384</v>
      </c>
      <c r="E359" s="82">
        <v>100</v>
      </c>
      <c r="F359" s="34">
        <v>44378</v>
      </c>
      <c r="G359" s="20" t="s">
        <v>6729</v>
      </c>
      <c r="H359" s="20">
        <v>20</v>
      </c>
      <c r="K359" s="23">
        <v>112110</v>
      </c>
      <c r="L359" s="23">
        <f t="shared" si="112"/>
        <v>112110</v>
      </c>
      <c r="N359" s="82"/>
      <c r="V359" s="23">
        <f t="shared" si="97"/>
        <v>112110</v>
      </c>
      <c r="W359" s="25">
        <v>1</v>
      </c>
      <c r="X359" s="23">
        <f t="shared" si="113"/>
        <v>112110</v>
      </c>
      <c r="Y359" s="20" t="s">
        <v>1697</v>
      </c>
      <c r="Z359" s="35" t="s">
        <v>6758</v>
      </c>
      <c r="AA359" s="35" t="s">
        <v>6772</v>
      </c>
      <c r="AB359" s="35" t="s">
        <v>6733</v>
      </c>
      <c r="AC359" s="35" t="s">
        <v>7385</v>
      </c>
      <c r="AD359" s="35" t="s">
        <v>7342</v>
      </c>
      <c r="AE359" s="37" t="str">
        <f t="shared" si="103"/>
        <v>51</v>
      </c>
      <c r="AF359" s="37">
        <f t="shared" si="118"/>
        <v>18969.011999999999</v>
      </c>
      <c r="AI359" s="37">
        <f t="shared" si="114"/>
        <v>1625.595</v>
      </c>
      <c r="AJ359" s="37">
        <f t="shared" si="115"/>
        <v>1378.953</v>
      </c>
      <c r="AK359" s="37">
        <f t="shared" si="116"/>
        <v>2119.7758800000001</v>
      </c>
      <c r="AL359" s="23">
        <v>140.04</v>
      </c>
      <c r="AM359" s="23">
        <f t="shared" si="104"/>
        <v>140.04</v>
      </c>
      <c r="AN359" s="22">
        <v>79.2</v>
      </c>
      <c r="AO359" s="22">
        <f t="shared" si="100"/>
        <v>79.2</v>
      </c>
      <c r="AP359" s="23">
        <v>36484.32</v>
      </c>
      <c r="AQ359" s="23">
        <f t="shared" si="101"/>
        <v>37949.165448</v>
      </c>
      <c r="AR359" s="23">
        <f t="shared" si="105"/>
        <v>37949.165448</v>
      </c>
      <c r="AS359" s="23">
        <f t="shared" si="110"/>
        <v>38168.405447999998</v>
      </c>
      <c r="AU359" s="20">
        <f t="shared" si="106"/>
        <v>0</v>
      </c>
      <c r="AV359" s="37">
        <f t="shared" si="102"/>
        <v>62261.741328000004</v>
      </c>
      <c r="AW359" s="37">
        <f t="shared" si="111"/>
        <v>174371.741328</v>
      </c>
      <c r="BA359" s="20" t="str">
        <f t="shared" si="109"/>
        <v>1 - MATH_INS - Butler Jr, James J</v>
      </c>
    </row>
    <row r="360" spans="1:53" ht="12.75" customHeight="1" x14ac:dyDescent="0.25">
      <c r="A360" s="20">
        <v>349</v>
      </c>
      <c r="B360" s="78" t="s">
        <v>7338</v>
      </c>
      <c r="C360" s="20" t="s">
        <v>7386</v>
      </c>
      <c r="D360" s="20" t="s">
        <v>7387</v>
      </c>
      <c r="E360" s="82">
        <v>100</v>
      </c>
      <c r="F360" s="34">
        <v>44378</v>
      </c>
      <c r="G360" s="20" t="s">
        <v>6729</v>
      </c>
      <c r="H360" s="20">
        <v>20</v>
      </c>
      <c r="K360" s="23">
        <v>112110</v>
      </c>
      <c r="L360" s="23">
        <f t="shared" si="112"/>
        <v>112110</v>
      </c>
      <c r="N360" s="82"/>
      <c r="V360" s="23">
        <f t="shared" si="97"/>
        <v>112110</v>
      </c>
      <c r="W360" s="25">
        <v>1</v>
      </c>
      <c r="X360" s="23">
        <f t="shared" si="113"/>
        <v>112110</v>
      </c>
      <c r="Y360" s="20" t="s">
        <v>2113</v>
      </c>
      <c r="Z360" s="35" t="s">
        <v>6758</v>
      </c>
      <c r="AA360" s="35" t="s">
        <v>6742</v>
      </c>
      <c r="AB360" s="35" t="s">
        <v>6733</v>
      </c>
      <c r="AC360" s="35" t="s">
        <v>7388</v>
      </c>
      <c r="AD360" s="35" t="s">
        <v>7342</v>
      </c>
      <c r="AE360" s="37" t="str">
        <f t="shared" si="103"/>
        <v>51</v>
      </c>
      <c r="AF360" s="37">
        <f t="shared" si="118"/>
        <v>18969.011999999999</v>
      </c>
      <c r="AI360" s="37">
        <f t="shared" si="114"/>
        <v>1625.595</v>
      </c>
      <c r="AJ360" s="37">
        <f t="shared" si="115"/>
        <v>1378.953</v>
      </c>
      <c r="AK360" s="37">
        <f t="shared" si="116"/>
        <v>2119.7758800000001</v>
      </c>
      <c r="AL360" s="23">
        <v>140.04</v>
      </c>
      <c r="AM360" s="23">
        <f t="shared" si="104"/>
        <v>140.04</v>
      </c>
      <c r="AN360" s="22">
        <v>79.2</v>
      </c>
      <c r="AO360" s="22">
        <f t="shared" si="100"/>
        <v>79.2</v>
      </c>
      <c r="AP360" s="23">
        <v>13152</v>
      </c>
      <c r="AQ360" s="23">
        <f t="shared" si="101"/>
        <v>13680.052799999999</v>
      </c>
      <c r="AR360" s="23">
        <f t="shared" si="105"/>
        <v>13680.052799999999</v>
      </c>
      <c r="AS360" s="23">
        <f t="shared" si="110"/>
        <v>13899.292799999999</v>
      </c>
      <c r="AU360" s="20">
        <f t="shared" si="106"/>
        <v>0</v>
      </c>
      <c r="AV360" s="37">
        <f t="shared" si="102"/>
        <v>37992.628680000002</v>
      </c>
      <c r="AW360" s="37">
        <f t="shared" si="111"/>
        <v>150102.62867999999</v>
      </c>
      <c r="BA360" s="20" t="str">
        <f t="shared" si="109"/>
        <v>1 - BUS_INS - Calvert, Peter K</v>
      </c>
    </row>
    <row r="361" spans="1:53" s="39" customFormat="1" ht="12.75" hidden="1" customHeight="1" x14ac:dyDescent="0.25">
      <c r="A361" s="39">
        <v>350</v>
      </c>
      <c r="B361" s="83" t="s">
        <v>7338</v>
      </c>
      <c r="C361" s="39" t="s">
        <v>7389</v>
      </c>
      <c r="D361" s="39" t="s">
        <v>7390</v>
      </c>
      <c r="E361" s="84">
        <v>100</v>
      </c>
      <c r="F361" s="42">
        <v>44378</v>
      </c>
      <c r="G361" s="40" t="s">
        <v>6729</v>
      </c>
      <c r="H361" s="39">
        <v>6</v>
      </c>
      <c r="I361" s="44">
        <f>ROUND((79012/12)*6,0)</f>
        <v>39506</v>
      </c>
      <c r="J361" s="39">
        <v>7</v>
      </c>
      <c r="K361" s="44">
        <f>ROUND((82021/12)*6,0)</f>
        <v>41011</v>
      </c>
      <c r="L361" s="45">
        <f t="shared" si="112"/>
        <v>80517</v>
      </c>
      <c r="M361" s="45"/>
      <c r="N361" s="84"/>
      <c r="O361" s="46"/>
      <c r="P361" s="45"/>
      <c r="Q361" s="47"/>
      <c r="R361" s="45"/>
      <c r="S361" s="47"/>
      <c r="T361" s="45"/>
      <c r="U361" s="45"/>
      <c r="V361" s="45">
        <f t="shared" si="97"/>
        <v>80517</v>
      </c>
      <c r="W361" s="46">
        <v>1</v>
      </c>
      <c r="X361" s="45">
        <f t="shared" si="113"/>
        <v>80517</v>
      </c>
      <c r="Y361" s="39" t="s">
        <v>3612</v>
      </c>
      <c r="Z361" s="43" t="s">
        <v>6731</v>
      </c>
      <c r="AA361" s="43" t="s">
        <v>6826</v>
      </c>
      <c r="AB361" s="43" t="s">
        <v>6733</v>
      </c>
      <c r="AC361" s="43" t="s">
        <v>7391</v>
      </c>
      <c r="AD361" s="43" t="s">
        <v>7342</v>
      </c>
      <c r="AE361" s="37" t="str">
        <f t="shared" si="103"/>
        <v>51</v>
      </c>
      <c r="AF361" s="49">
        <f t="shared" si="118"/>
        <v>13623.4764</v>
      </c>
      <c r="AI361" s="49">
        <f t="shared" si="114"/>
        <v>1167.4965</v>
      </c>
      <c r="AJ361" s="49">
        <f t="shared" si="115"/>
        <v>990.35910000000001</v>
      </c>
      <c r="AK361" s="49">
        <f t="shared" si="116"/>
        <v>1522.415436</v>
      </c>
      <c r="AL361" s="45">
        <v>140.04</v>
      </c>
      <c r="AM361" s="23">
        <f t="shared" si="104"/>
        <v>140.04</v>
      </c>
      <c r="AN361" s="44">
        <v>79.2</v>
      </c>
      <c r="AO361" s="22">
        <f t="shared" si="100"/>
        <v>79.2</v>
      </c>
      <c r="AP361" s="45">
        <v>25452.57</v>
      </c>
      <c r="AQ361" s="23">
        <f t="shared" si="101"/>
        <v>26474.490685500001</v>
      </c>
      <c r="AR361" s="23">
        <f t="shared" si="105"/>
        <v>26474.490685500001</v>
      </c>
      <c r="AS361" s="45">
        <f t="shared" si="110"/>
        <v>26693.730685500002</v>
      </c>
      <c r="AU361" s="20">
        <f t="shared" si="106"/>
        <v>0</v>
      </c>
      <c r="AV361" s="37">
        <f t="shared" si="102"/>
        <v>43997.478121499997</v>
      </c>
      <c r="AW361" s="49">
        <f t="shared" si="111"/>
        <v>124514.4781215</v>
      </c>
      <c r="AX361" s="39" t="s">
        <v>6675</v>
      </c>
      <c r="AY361" s="39" t="s">
        <v>7276</v>
      </c>
      <c r="AZ361" s="39" t="s">
        <v>7392</v>
      </c>
      <c r="BA361" s="39" t="str">
        <f t="shared" si="109"/>
        <v>1 - AG_INS - Chappman, Richard</v>
      </c>
    </row>
    <row r="362" spans="1:53" s="39" customFormat="1" ht="12.75" customHeight="1" x14ac:dyDescent="0.25">
      <c r="A362" s="39">
        <v>351</v>
      </c>
      <c r="B362" s="83" t="s">
        <v>7338</v>
      </c>
      <c r="C362" s="40" t="s">
        <v>7613</v>
      </c>
      <c r="D362" s="39" t="s">
        <v>7393</v>
      </c>
      <c r="E362" s="84">
        <v>100</v>
      </c>
      <c r="F362" s="42">
        <v>44378</v>
      </c>
      <c r="G362" s="40" t="s">
        <v>6741</v>
      </c>
      <c r="H362" s="39">
        <v>8</v>
      </c>
      <c r="I362" s="44"/>
      <c r="K362" s="45">
        <v>90964</v>
      </c>
      <c r="L362" s="45">
        <f t="shared" si="112"/>
        <v>90964</v>
      </c>
      <c r="M362" s="45"/>
      <c r="N362" s="84"/>
      <c r="O362" s="46"/>
      <c r="P362" s="45"/>
      <c r="Q362" s="47"/>
      <c r="R362" s="45"/>
      <c r="S362" s="47"/>
      <c r="T362" s="45"/>
      <c r="U362" s="45"/>
      <c r="V362" s="45">
        <f t="shared" si="97"/>
        <v>90964</v>
      </c>
      <c r="W362" s="46">
        <v>1</v>
      </c>
      <c r="X362" s="45">
        <f t="shared" si="113"/>
        <v>90964</v>
      </c>
      <c r="Y362" s="39" t="s">
        <v>1299</v>
      </c>
      <c r="Z362" s="43" t="s">
        <v>6758</v>
      </c>
      <c r="AA362" s="43" t="s">
        <v>6989</v>
      </c>
      <c r="AB362" s="43" t="s">
        <v>6733</v>
      </c>
      <c r="AC362" s="43" t="s">
        <v>7394</v>
      </c>
      <c r="AD362" s="43" t="s">
        <v>7342</v>
      </c>
      <c r="AE362" s="49" t="str">
        <f t="shared" si="103"/>
        <v>51</v>
      </c>
      <c r="AF362" s="49">
        <f t="shared" si="118"/>
        <v>15391.108799999998</v>
      </c>
      <c r="AI362" s="49">
        <f t="shared" si="114"/>
        <v>1318.9780000000001</v>
      </c>
      <c r="AJ362" s="49">
        <f t="shared" si="115"/>
        <v>1118.8571999999999</v>
      </c>
      <c r="AK362" s="49">
        <f t="shared" si="116"/>
        <v>1719.947312</v>
      </c>
      <c r="AL362" s="45">
        <v>140.04</v>
      </c>
      <c r="AM362" s="45">
        <f t="shared" si="104"/>
        <v>140.04</v>
      </c>
      <c r="AN362" s="44">
        <v>79.2</v>
      </c>
      <c r="AO362" s="44">
        <f t="shared" si="100"/>
        <v>79.2</v>
      </c>
      <c r="AP362" s="45">
        <v>25452.6</v>
      </c>
      <c r="AQ362" s="45">
        <f t="shared" si="101"/>
        <v>26474.521889999996</v>
      </c>
      <c r="AR362" s="45">
        <f t="shared" si="105"/>
        <v>26474.521889999996</v>
      </c>
      <c r="AS362" s="45">
        <f t="shared" si="110"/>
        <v>26693.761889999998</v>
      </c>
      <c r="AU362" s="39">
        <f t="shared" si="106"/>
        <v>0</v>
      </c>
      <c r="AV362" s="49">
        <f t="shared" si="102"/>
        <v>46242.653201999994</v>
      </c>
      <c r="AW362" s="49">
        <f t="shared" si="111"/>
        <v>137206.65320199999</v>
      </c>
      <c r="BA362" s="39" t="str">
        <f t="shared" si="109"/>
        <v>1 - PSYCH_INS - Taylor, Jennifer Hilda</v>
      </c>
    </row>
    <row r="363" spans="1:53" ht="12.75" customHeight="1" x14ac:dyDescent="0.25">
      <c r="A363" s="20">
        <v>352</v>
      </c>
      <c r="B363" s="78" t="s">
        <v>7338</v>
      </c>
      <c r="C363" s="20" t="s">
        <v>7395</v>
      </c>
      <c r="D363" s="20" t="s">
        <v>7381</v>
      </c>
      <c r="E363" s="82">
        <v>100</v>
      </c>
      <c r="F363" s="34">
        <v>44378</v>
      </c>
      <c r="G363" s="20" t="s">
        <v>6783</v>
      </c>
      <c r="H363" s="20">
        <v>15</v>
      </c>
      <c r="K363" s="23">
        <v>114406</v>
      </c>
      <c r="L363" s="23">
        <f t="shared" si="112"/>
        <v>114406</v>
      </c>
      <c r="N363" s="82"/>
      <c r="V363" s="23">
        <f t="shared" si="97"/>
        <v>114406</v>
      </c>
      <c r="W363" s="25">
        <v>1</v>
      </c>
      <c r="X363" s="23">
        <f t="shared" si="113"/>
        <v>114406</v>
      </c>
      <c r="Y363" s="20" t="s">
        <v>1916</v>
      </c>
      <c r="Z363" s="35" t="s">
        <v>6758</v>
      </c>
      <c r="AA363" s="35" t="s">
        <v>6901</v>
      </c>
      <c r="AB363" s="35" t="s">
        <v>6733</v>
      </c>
      <c r="AC363" s="35" t="s">
        <v>7396</v>
      </c>
      <c r="AD363" s="35" t="s">
        <v>7342</v>
      </c>
      <c r="AE363" s="37" t="str">
        <f t="shared" si="103"/>
        <v>51</v>
      </c>
      <c r="AF363" s="37">
        <f t="shared" si="118"/>
        <v>19357.495199999998</v>
      </c>
      <c r="AI363" s="37">
        <f t="shared" si="114"/>
        <v>1658.8870000000002</v>
      </c>
      <c r="AJ363" s="37">
        <f t="shared" si="115"/>
        <v>1407.1938</v>
      </c>
      <c r="AK363" s="37">
        <f t="shared" si="116"/>
        <v>2163.1886480000003</v>
      </c>
      <c r="AL363" s="23">
        <v>140.04</v>
      </c>
      <c r="AM363" s="23">
        <f t="shared" si="104"/>
        <v>140.04</v>
      </c>
      <c r="AN363" s="22">
        <v>79.2</v>
      </c>
      <c r="AO363" s="22">
        <f t="shared" si="100"/>
        <v>79.2</v>
      </c>
      <c r="AP363" s="23">
        <v>13152.04</v>
      </c>
      <c r="AQ363" s="23">
        <f t="shared" si="101"/>
        <v>13680.094406</v>
      </c>
      <c r="AR363" s="23">
        <f t="shared" si="105"/>
        <v>13680.094406</v>
      </c>
      <c r="AS363" s="23">
        <f t="shared" si="110"/>
        <v>13899.334406</v>
      </c>
      <c r="AU363" s="20">
        <f t="shared" si="106"/>
        <v>0</v>
      </c>
      <c r="AV363" s="37">
        <f t="shared" si="102"/>
        <v>38486.099053999998</v>
      </c>
      <c r="AW363" s="37">
        <f t="shared" si="111"/>
        <v>152892.09905399999</v>
      </c>
      <c r="BA363" s="20" t="str">
        <f t="shared" si="109"/>
        <v>1 - NRS_INS - Clark, Angela</v>
      </c>
    </row>
    <row r="364" spans="1:53" ht="12.75" customHeight="1" x14ac:dyDescent="0.25">
      <c r="A364" s="20">
        <v>353</v>
      </c>
      <c r="B364" s="78" t="s">
        <v>7338</v>
      </c>
      <c r="C364" s="20" t="s">
        <v>7397</v>
      </c>
      <c r="D364" s="20" t="s">
        <v>7398</v>
      </c>
      <c r="E364" s="82">
        <v>100</v>
      </c>
      <c r="F364" s="34">
        <v>44378</v>
      </c>
      <c r="G364" s="20" t="s">
        <v>6783</v>
      </c>
      <c r="H364" s="20">
        <v>20</v>
      </c>
      <c r="K364" s="23">
        <v>111252</v>
      </c>
      <c r="L364" s="23">
        <f t="shared" si="112"/>
        <v>111252</v>
      </c>
      <c r="N364" s="82"/>
      <c r="V364" s="23">
        <f t="shared" si="97"/>
        <v>111252</v>
      </c>
      <c r="W364" s="25">
        <v>0.8</v>
      </c>
      <c r="X364" s="23">
        <f t="shared" si="113"/>
        <v>89001.600000000006</v>
      </c>
      <c r="Y364" s="20" t="s">
        <v>1503</v>
      </c>
      <c r="Z364" s="35" t="s">
        <v>6758</v>
      </c>
      <c r="AA364" s="35" t="s">
        <v>6941</v>
      </c>
      <c r="AB364" s="35" t="s">
        <v>6733</v>
      </c>
      <c r="AC364" s="35" t="s">
        <v>7369</v>
      </c>
      <c r="AD364" s="35" t="s">
        <v>7342</v>
      </c>
      <c r="AE364" s="37" t="str">
        <f t="shared" si="103"/>
        <v>51</v>
      </c>
      <c r="AF364" s="37">
        <f t="shared" si="118"/>
        <v>15059.07072</v>
      </c>
      <c r="AI364" s="37">
        <f t="shared" si="114"/>
        <v>1290.5232000000001</v>
      </c>
      <c r="AJ364" s="37">
        <f t="shared" si="115"/>
        <v>1094.7196800000002</v>
      </c>
      <c r="AK364" s="37">
        <f t="shared" si="116"/>
        <v>1682.8422528000003</v>
      </c>
      <c r="AL364" s="23">
        <v>140.04</v>
      </c>
      <c r="AM364" s="23">
        <f t="shared" si="104"/>
        <v>112.032</v>
      </c>
      <c r="AN364" s="22">
        <v>79.2</v>
      </c>
      <c r="AO364" s="22">
        <f t="shared" si="100"/>
        <v>63.360000000000007</v>
      </c>
      <c r="AP364" s="23">
        <v>13152.04</v>
      </c>
      <c r="AQ364" s="23">
        <f t="shared" si="101"/>
        <v>13680.094406</v>
      </c>
      <c r="AR364" s="23">
        <f t="shared" si="105"/>
        <v>10944.0755248</v>
      </c>
      <c r="AS364" s="23">
        <f t="shared" si="110"/>
        <v>11119.4675248</v>
      </c>
      <c r="AU364" s="20">
        <f t="shared" si="106"/>
        <v>0</v>
      </c>
      <c r="AV364" s="37">
        <f t="shared" si="102"/>
        <v>30246.623377600001</v>
      </c>
      <c r="AW364" s="37">
        <f t="shared" si="111"/>
        <v>119248.22337760001</v>
      </c>
      <c r="BA364" s="20" t="str">
        <f t="shared" si="109"/>
        <v>0.8 - COACH - Collins, Matt P</v>
      </c>
    </row>
    <row r="365" spans="1:53" ht="12.75" customHeight="1" x14ac:dyDescent="0.25">
      <c r="A365" s="20">
        <v>354</v>
      </c>
      <c r="B365" s="78" t="s">
        <v>7338</v>
      </c>
      <c r="C365" s="20" t="s">
        <v>7397</v>
      </c>
      <c r="D365" s="20" t="s">
        <v>7398</v>
      </c>
      <c r="E365" s="82">
        <v>100</v>
      </c>
      <c r="F365" s="34">
        <v>44378</v>
      </c>
      <c r="G365" s="20" t="s">
        <v>6783</v>
      </c>
      <c r="H365" s="20">
        <v>20</v>
      </c>
      <c r="K365" s="23">
        <v>111252</v>
      </c>
      <c r="L365" s="23">
        <f t="shared" si="112"/>
        <v>111252</v>
      </c>
      <c r="N365" s="82"/>
      <c r="V365" s="23">
        <f t="shared" si="97"/>
        <v>111252</v>
      </c>
      <c r="W365" s="25">
        <v>0.2</v>
      </c>
      <c r="X365" s="23">
        <f t="shared" si="113"/>
        <v>22250.400000000001</v>
      </c>
      <c r="Y365" s="20" t="s">
        <v>1503</v>
      </c>
      <c r="Z365" s="35" t="s">
        <v>6758</v>
      </c>
      <c r="AA365" s="35" t="s">
        <v>6941</v>
      </c>
      <c r="AB365" s="35" t="s">
        <v>6733</v>
      </c>
      <c r="AC365" s="35" t="s">
        <v>7369</v>
      </c>
      <c r="AD365" s="35" t="s">
        <v>7342</v>
      </c>
      <c r="AE365" s="37" t="str">
        <f t="shared" si="103"/>
        <v>51</v>
      </c>
      <c r="AF365" s="37">
        <f t="shared" si="118"/>
        <v>3764.7676799999999</v>
      </c>
      <c r="AI365" s="37">
        <f t="shared" si="114"/>
        <v>322.63080000000002</v>
      </c>
      <c r="AJ365" s="37">
        <f t="shared" si="115"/>
        <v>273.67992000000004</v>
      </c>
      <c r="AK365" s="37">
        <f t="shared" si="116"/>
        <v>420.71056320000008</v>
      </c>
      <c r="AL365" s="23">
        <v>140.04</v>
      </c>
      <c r="AM365" s="23">
        <f t="shared" si="104"/>
        <v>28.007999999999999</v>
      </c>
      <c r="AN365" s="22">
        <v>79.2</v>
      </c>
      <c r="AO365" s="22">
        <f t="shared" si="100"/>
        <v>15.840000000000002</v>
      </c>
      <c r="AP365" s="23">
        <v>13152.04</v>
      </c>
      <c r="AQ365" s="23">
        <f t="shared" si="101"/>
        <v>13680.094406</v>
      </c>
      <c r="AR365" s="23">
        <f t="shared" si="105"/>
        <v>2736.0188812000001</v>
      </c>
      <c r="AS365" s="23">
        <f t="shared" si="110"/>
        <v>2779.8668812000001</v>
      </c>
      <c r="AU365" s="20">
        <f t="shared" si="106"/>
        <v>0</v>
      </c>
      <c r="AV365" s="37">
        <f t="shared" si="102"/>
        <v>7561.6558444000002</v>
      </c>
      <c r="AW365" s="37">
        <f t="shared" si="111"/>
        <v>29812.055844400002</v>
      </c>
      <c r="BA365" s="20" t="str">
        <f t="shared" si="109"/>
        <v>0.2 - COACH - Collins, Matt P</v>
      </c>
    </row>
    <row r="366" spans="1:53" ht="12.75" customHeight="1" x14ac:dyDescent="0.25">
      <c r="A366" s="20">
        <v>355</v>
      </c>
      <c r="B366" s="78" t="s">
        <v>7338</v>
      </c>
      <c r="C366" s="20" t="s">
        <v>7399</v>
      </c>
      <c r="D366" s="20" t="s">
        <v>7384</v>
      </c>
      <c r="E366" s="82">
        <v>100</v>
      </c>
      <c r="F366" s="34">
        <v>44378</v>
      </c>
      <c r="G366" s="20" t="s">
        <v>6729</v>
      </c>
      <c r="H366" s="20">
        <v>20</v>
      </c>
      <c r="K366" s="23">
        <v>112110</v>
      </c>
      <c r="L366" s="23">
        <f t="shared" si="112"/>
        <v>112110</v>
      </c>
      <c r="N366" s="82"/>
      <c r="V366" s="23">
        <f t="shared" si="97"/>
        <v>112110</v>
      </c>
      <c r="W366" s="25">
        <v>1</v>
      </c>
      <c r="X366" s="23">
        <f t="shared" si="113"/>
        <v>112110</v>
      </c>
      <c r="Y366" s="20" t="s">
        <v>1697</v>
      </c>
      <c r="Z366" s="35" t="s">
        <v>6758</v>
      </c>
      <c r="AA366" s="35" t="s">
        <v>6772</v>
      </c>
      <c r="AB366" s="35" t="s">
        <v>6733</v>
      </c>
      <c r="AC366" s="35" t="s">
        <v>7385</v>
      </c>
      <c r="AD366" s="35" t="s">
        <v>7342</v>
      </c>
      <c r="AE366" s="37" t="str">
        <f t="shared" si="103"/>
        <v>51</v>
      </c>
      <c r="AF366" s="37">
        <f t="shared" si="118"/>
        <v>18969.011999999999</v>
      </c>
      <c r="AI366" s="37">
        <f t="shared" si="114"/>
        <v>1625.595</v>
      </c>
      <c r="AJ366" s="37">
        <f t="shared" si="115"/>
        <v>1378.953</v>
      </c>
      <c r="AK366" s="37">
        <f t="shared" si="116"/>
        <v>2119.7758800000001</v>
      </c>
      <c r="AL366" s="23">
        <v>140.04</v>
      </c>
      <c r="AM366" s="23">
        <f t="shared" si="104"/>
        <v>140.04</v>
      </c>
      <c r="AN366" s="22">
        <v>79.2</v>
      </c>
      <c r="AO366" s="22">
        <f t="shared" si="100"/>
        <v>79.2</v>
      </c>
      <c r="AP366" s="23">
        <v>7584.06</v>
      </c>
      <c r="AQ366" s="23">
        <f t="shared" si="101"/>
        <v>7888.5600090000007</v>
      </c>
      <c r="AR366" s="23">
        <f t="shared" si="105"/>
        <v>7888.5600090000007</v>
      </c>
      <c r="AS366" s="23">
        <f t="shared" si="110"/>
        <v>8107.8000090000005</v>
      </c>
      <c r="AU366" s="20">
        <f t="shared" si="106"/>
        <v>0</v>
      </c>
      <c r="AV366" s="37">
        <f t="shared" si="102"/>
        <v>32201.135889000005</v>
      </c>
      <c r="AW366" s="37">
        <f t="shared" si="111"/>
        <v>144311.135889</v>
      </c>
      <c r="BA366" s="20" t="str">
        <f t="shared" si="109"/>
        <v>1 - MATH_INS - Contreras, Leticia</v>
      </c>
    </row>
    <row r="367" spans="1:53" ht="12.75" customHeight="1" x14ac:dyDescent="0.25">
      <c r="A367" s="20">
        <v>356</v>
      </c>
      <c r="B367" s="78" t="s">
        <v>7338</v>
      </c>
      <c r="C367" s="20" t="s">
        <v>7400</v>
      </c>
      <c r="D367" s="20" t="s">
        <v>7354</v>
      </c>
      <c r="E367" s="82">
        <v>100</v>
      </c>
      <c r="F367" s="34">
        <v>44378</v>
      </c>
      <c r="G367" s="20" t="s">
        <v>6783</v>
      </c>
      <c r="H367" s="20">
        <v>11</v>
      </c>
      <c r="K367" s="23">
        <v>90635</v>
      </c>
      <c r="L367" s="23">
        <f t="shared" si="112"/>
        <v>90635</v>
      </c>
      <c r="N367" s="82"/>
      <c r="V367" s="23">
        <f t="shared" si="97"/>
        <v>90635</v>
      </c>
      <c r="W367" s="25">
        <v>1</v>
      </c>
      <c r="X367" s="23">
        <f t="shared" si="113"/>
        <v>90635</v>
      </c>
      <c r="Y367" s="20" t="s">
        <v>1891</v>
      </c>
      <c r="Z367" s="35" t="s">
        <v>6758</v>
      </c>
      <c r="AA367" s="35" t="s">
        <v>6772</v>
      </c>
      <c r="AB367" s="35" t="s">
        <v>6974</v>
      </c>
      <c r="AC367" s="35" t="s">
        <v>7355</v>
      </c>
      <c r="AD367" s="35" t="s">
        <v>7342</v>
      </c>
      <c r="AE367" s="37" t="str">
        <f t="shared" si="103"/>
        <v>51</v>
      </c>
      <c r="AF367" s="37">
        <f t="shared" si="118"/>
        <v>15335.441999999999</v>
      </c>
      <c r="AI367" s="37">
        <f t="shared" si="114"/>
        <v>1314.2075</v>
      </c>
      <c r="AJ367" s="37">
        <f t="shared" si="115"/>
        <v>1114.8105</v>
      </c>
      <c r="AK367" s="37">
        <f t="shared" si="116"/>
        <v>1713.72658</v>
      </c>
      <c r="AL367" s="23">
        <v>140.04</v>
      </c>
      <c r="AM367" s="23">
        <f t="shared" si="104"/>
        <v>140.04</v>
      </c>
      <c r="AN367" s="22">
        <v>79.2</v>
      </c>
      <c r="AO367" s="22">
        <f t="shared" si="100"/>
        <v>79.2</v>
      </c>
      <c r="AP367" s="23">
        <v>25452.57</v>
      </c>
      <c r="AQ367" s="23">
        <f t="shared" si="101"/>
        <v>26474.490685500001</v>
      </c>
      <c r="AR367" s="23">
        <f t="shared" si="105"/>
        <v>26474.490685500001</v>
      </c>
      <c r="AS367" s="23">
        <f t="shared" si="110"/>
        <v>26693.730685500002</v>
      </c>
      <c r="AU367" s="20">
        <f t="shared" si="106"/>
        <v>0</v>
      </c>
      <c r="AV367" s="37">
        <f t="shared" si="102"/>
        <v>46171.9172655</v>
      </c>
      <c r="AW367" s="37">
        <f t="shared" si="111"/>
        <v>136806.9172655</v>
      </c>
      <c r="BA367" s="20" t="str">
        <f t="shared" si="109"/>
        <v>1 - CSS_INS - Coria, Jose C</v>
      </c>
    </row>
    <row r="368" spans="1:53" ht="12.75" customHeight="1" x14ac:dyDescent="0.25">
      <c r="A368" s="20">
        <v>357</v>
      </c>
      <c r="B368" s="78" t="s">
        <v>7338</v>
      </c>
      <c r="C368" s="20" t="s">
        <v>7401</v>
      </c>
      <c r="D368" s="20" t="s">
        <v>7381</v>
      </c>
      <c r="E368" s="82">
        <v>100</v>
      </c>
      <c r="F368" s="34">
        <v>44378</v>
      </c>
      <c r="G368" s="20" t="s">
        <v>6783</v>
      </c>
      <c r="H368" s="20">
        <v>17</v>
      </c>
      <c r="K368" s="23">
        <v>114406</v>
      </c>
      <c r="L368" s="23">
        <f t="shared" si="112"/>
        <v>114406</v>
      </c>
      <c r="N368" s="82"/>
      <c r="V368" s="23">
        <f t="shared" si="97"/>
        <v>114406</v>
      </c>
      <c r="W368" s="25">
        <v>1</v>
      </c>
      <c r="X368" s="23">
        <f t="shared" si="113"/>
        <v>114406</v>
      </c>
      <c r="Y368" s="20" t="s">
        <v>1916</v>
      </c>
      <c r="Z368" s="35" t="s">
        <v>6758</v>
      </c>
      <c r="AA368" s="35" t="s">
        <v>6901</v>
      </c>
      <c r="AB368" s="35" t="s">
        <v>6733</v>
      </c>
      <c r="AC368" s="35" t="s">
        <v>7396</v>
      </c>
      <c r="AD368" s="35" t="s">
        <v>7342</v>
      </c>
      <c r="AE368" s="37" t="str">
        <f t="shared" si="103"/>
        <v>51</v>
      </c>
      <c r="AF368" s="37">
        <f t="shared" si="118"/>
        <v>19357.495199999998</v>
      </c>
      <c r="AI368" s="37">
        <f t="shared" si="114"/>
        <v>1658.8870000000002</v>
      </c>
      <c r="AJ368" s="37">
        <f t="shared" si="115"/>
        <v>1407.1938</v>
      </c>
      <c r="AK368" s="37">
        <f t="shared" si="116"/>
        <v>2163.1886480000003</v>
      </c>
      <c r="AL368" s="23">
        <v>140.04</v>
      </c>
      <c r="AM368" s="23">
        <f t="shared" si="104"/>
        <v>140.04</v>
      </c>
      <c r="AN368" s="22">
        <v>79.2</v>
      </c>
      <c r="AO368" s="22">
        <f t="shared" si="100"/>
        <v>79.2</v>
      </c>
      <c r="AP368" s="23">
        <v>25452.57</v>
      </c>
      <c r="AQ368" s="23">
        <f t="shared" si="101"/>
        <v>26474.490685500001</v>
      </c>
      <c r="AR368" s="23">
        <f t="shared" si="105"/>
        <v>26474.490685500001</v>
      </c>
      <c r="AS368" s="23">
        <f t="shared" si="110"/>
        <v>26693.730685500002</v>
      </c>
      <c r="AU368" s="20">
        <f t="shared" si="106"/>
        <v>0</v>
      </c>
      <c r="AV368" s="37">
        <f t="shared" si="102"/>
        <v>51280.495333500003</v>
      </c>
      <c r="AW368" s="37">
        <f t="shared" si="111"/>
        <v>165686.4953335</v>
      </c>
      <c r="BA368" s="20" t="str">
        <f t="shared" si="109"/>
        <v>1 - NRS_INS - Davis, Lisa M</v>
      </c>
    </row>
    <row r="369" spans="1:53" ht="12.75" customHeight="1" x14ac:dyDescent="0.25">
      <c r="A369" s="20">
        <v>358</v>
      </c>
      <c r="B369" s="78" t="s">
        <v>7338</v>
      </c>
      <c r="C369" s="20" t="s">
        <v>7402</v>
      </c>
      <c r="D369" s="20" t="s">
        <v>7403</v>
      </c>
      <c r="E369" s="82">
        <v>100</v>
      </c>
      <c r="F369" s="34">
        <v>44378</v>
      </c>
      <c r="G369" s="20" t="s">
        <v>6782</v>
      </c>
      <c r="H369" s="20">
        <v>14</v>
      </c>
      <c r="K369" s="23">
        <v>96241</v>
      </c>
      <c r="L369" s="23">
        <f t="shared" si="112"/>
        <v>96241</v>
      </c>
      <c r="N369" s="82"/>
      <c r="V369" s="23">
        <f t="shared" ref="V369:V436" si="119">L369+N369+P369+R369+T369+U369</f>
        <v>96241</v>
      </c>
      <c r="W369" s="25">
        <v>1</v>
      </c>
      <c r="X369" s="23">
        <f t="shared" si="113"/>
        <v>96241</v>
      </c>
      <c r="Y369" s="20" t="s">
        <v>2450</v>
      </c>
      <c r="Z369" s="35" t="s">
        <v>6758</v>
      </c>
      <c r="AA369" s="35" t="s">
        <v>6742</v>
      </c>
      <c r="AB369" s="35" t="s">
        <v>6974</v>
      </c>
      <c r="AC369" s="35" t="s">
        <v>6976</v>
      </c>
      <c r="AD369" s="35" t="s">
        <v>7342</v>
      </c>
      <c r="AE369" s="37" t="str">
        <f t="shared" si="103"/>
        <v>51</v>
      </c>
      <c r="AF369" s="37">
        <f t="shared" si="118"/>
        <v>16283.977199999999</v>
      </c>
      <c r="AI369" s="37">
        <f t="shared" si="114"/>
        <v>1395.4945</v>
      </c>
      <c r="AJ369" s="37">
        <f t="shared" si="115"/>
        <v>1183.7643</v>
      </c>
      <c r="AK369" s="37">
        <f t="shared" si="116"/>
        <v>1819.7248280000001</v>
      </c>
      <c r="AL369" s="23">
        <v>140.04</v>
      </c>
      <c r="AM369" s="23">
        <f t="shared" si="104"/>
        <v>140.04</v>
      </c>
      <c r="AN369" s="22">
        <v>79.2</v>
      </c>
      <c r="AO369" s="22">
        <f t="shared" si="100"/>
        <v>79.2</v>
      </c>
      <c r="AP369" s="23">
        <v>25452.57</v>
      </c>
      <c r="AQ369" s="23">
        <f t="shared" si="101"/>
        <v>26474.490685500001</v>
      </c>
      <c r="AR369" s="23">
        <f t="shared" si="105"/>
        <v>26474.490685500001</v>
      </c>
      <c r="AS369" s="23">
        <f t="shared" si="110"/>
        <v>26693.730685500002</v>
      </c>
      <c r="AU369" s="20">
        <f t="shared" si="106"/>
        <v>0</v>
      </c>
      <c r="AV369" s="37">
        <f t="shared" si="102"/>
        <v>47376.691513500002</v>
      </c>
      <c r="AW369" s="37">
        <f t="shared" si="111"/>
        <v>143617.6915135</v>
      </c>
      <c r="BA369" s="20" t="str">
        <f t="shared" si="109"/>
        <v>1 - WELD_INS - Davis, Michael L</v>
      </c>
    </row>
    <row r="370" spans="1:53" ht="12.75" customHeight="1" x14ac:dyDescent="0.25">
      <c r="A370" s="20">
        <v>359</v>
      </c>
      <c r="B370" s="78" t="s">
        <v>7338</v>
      </c>
      <c r="C370" s="20" t="s">
        <v>7404</v>
      </c>
      <c r="D370" s="20" t="s">
        <v>7405</v>
      </c>
      <c r="E370" s="82">
        <v>100</v>
      </c>
      <c r="F370" s="34">
        <v>44378</v>
      </c>
      <c r="G370" s="20" t="s">
        <v>6729</v>
      </c>
      <c r="H370" s="20">
        <v>10</v>
      </c>
      <c r="K370" s="23">
        <v>91049</v>
      </c>
      <c r="L370" s="23">
        <f t="shared" si="112"/>
        <v>91049</v>
      </c>
      <c r="N370" s="82"/>
      <c r="V370" s="23">
        <f t="shared" si="119"/>
        <v>91049</v>
      </c>
      <c r="W370" s="25">
        <v>1</v>
      </c>
      <c r="X370" s="23">
        <f t="shared" si="113"/>
        <v>91049</v>
      </c>
      <c r="Y370" s="20" t="s">
        <v>2313</v>
      </c>
      <c r="Z370" s="35" t="s">
        <v>6758</v>
      </c>
      <c r="AA370" s="35" t="s">
        <v>6742</v>
      </c>
      <c r="AB370" s="35" t="s">
        <v>6974</v>
      </c>
      <c r="AC370" s="35" t="s">
        <v>6997</v>
      </c>
      <c r="AD370" s="35" t="s">
        <v>7342</v>
      </c>
      <c r="AE370" s="37" t="str">
        <f t="shared" si="103"/>
        <v>51</v>
      </c>
      <c r="AF370" s="37">
        <f t="shared" si="118"/>
        <v>15405.4908</v>
      </c>
      <c r="AI370" s="37">
        <f t="shared" si="114"/>
        <v>1320.2105000000001</v>
      </c>
      <c r="AJ370" s="37">
        <f t="shared" si="115"/>
        <v>1119.9027000000001</v>
      </c>
      <c r="AK370" s="37">
        <f t="shared" si="116"/>
        <v>1721.5544920000002</v>
      </c>
      <c r="AL370" s="23">
        <v>140.04</v>
      </c>
      <c r="AM370" s="23">
        <f t="shared" si="104"/>
        <v>140.04</v>
      </c>
      <c r="AN370" s="22">
        <v>79.2</v>
      </c>
      <c r="AO370" s="22">
        <f t="shared" si="100"/>
        <v>79.2</v>
      </c>
      <c r="AP370" s="23">
        <v>33443.96</v>
      </c>
      <c r="AQ370" s="23">
        <f t="shared" si="101"/>
        <v>34786.734993999999</v>
      </c>
      <c r="AR370" s="23">
        <f t="shared" si="105"/>
        <v>34786.734993999999</v>
      </c>
      <c r="AS370" s="23">
        <f t="shared" si="110"/>
        <v>35005.974993999997</v>
      </c>
      <c r="AU370" s="20">
        <f t="shared" si="106"/>
        <v>0</v>
      </c>
      <c r="AV370" s="37">
        <f t="shared" si="102"/>
        <v>54573.133485999999</v>
      </c>
      <c r="AW370" s="37">
        <f t="shared" si="111"/>
        <v>145622.13348600001</v>
      </c>
      <c r="BA370" s="20" t="str">
        <f t="shared" si="109"/>
        <v>1 - DSLTEC_INS - DeHart, Mark A</v>
      </c>
    </row>
    <row r="371" spans="1:53" ht="12.75" customHeight="1" x14ac:dyDescent="0.25">
      <c r="A371" s="20">
        <v>360</v>
      </c>
      <c r="B371" s="78" t="s">
        <v>7338</v>
      </c>
      <c r="C371" s="20" t="s">
        <v>7406</v>
      </c>
      <c r="D371" s="20" t="s">
        <v>7407</v>
      </c>
      <c r="E371" s="82">
        <v>100</v>
      </c>
      <c r="F371" s="34">
        <v>44378</v>
      </c>
      <c r="G371" s="20" t="s">
        <v>6729</v>
      </c>
      <c r="H371" s="20">
        <v>10</v>
      </c>
      <c r="K371" s="23">
        <v>92633</v>
      </c>
      <c r="L371" s="23">
        <f t="shared" si="112"/>
        <v>92633</v>
      </c>
      <c r="N371" s="82"/>
      <c r="V371" s="23">
        <f t="shared" si="119"/>
        <v>92633</v>
      </c>
      <c r="W371" s="25">
        <v>1</v>
      </c>
      <c r="X371" s="23">
        <f t="shared" si="113"/>
        <v>92633</v>
      </c>
      <c r="Y371" s="20" t="s">
        <v>2947</v>
      </c>
      <c r="Z371" s="35" t="s">
        <v>6758</v>
      </c>
      <c r="AA371" s="35" t="s">
        <v>6752</v>
      </c>
      <c r="AB371" s="35" t="s">
        <v>6733</v>
      </c>
      <c r="AC371" s="35" t="s">
        <v>6768</v>
      </c>
      <c r="AD371" s="35" t="s">
        <v>7348</v>
      </c>
      <c r="AE371" s="37" t="str">
        <f t="shared" si="103"/>
        <v>51</v>
      </c>
      <c r="AF371" s="37">
        <f t="shared" si="118"/>
        <v>15673.503599999998</v>
      </c>
      <c r="AI371" s="37">
        <f t="shared" si="114"/>
        <v>1343.1785</v>
      </c>
      <c r="AJ371" s="37">
        <f t="shared" si="115"/>
        <v>1139.3859</v>
      </c>
      <c r="AK371" s="37">
        <f t="shared" si="116"/>
        <v>1751.504764</v>
      </c>
      <c r="AL371" s="23">
        <v>140.04</v>
      </c>
      <c r="AM371" s="23">
        <f t="shared" si="104"/>
        <v>140.04</v>
      </c>
      <c r="AN371" s="22">
        <v>79.2</v>
      </c>
      <c r="AO371" s="22">
        <f t="shared" si="100"/>
        <v>79.2</v>
      </c>
      <c r="AP371" s="23">
        <v>23232</v>
      </c>
      <c r="AQ371" s="23">
        <f t="shared" si="101"/>
        <v>24164.764800000001</v>
      </c>
      <c r="AR371" s="23">
        <f t="shared" si="105"/>
        <v>24164.764800000001</v>
      </c>
      <c r="AS371" s="23">
        <f t="shared" si="110"/>
        <v>24384.004800000002</v>
      </c>
      <c r="AT371" s="37">
        <v>2400</v>
      </c>
      <c r="AU371" s="20">
        <f t="shared" si="106"/>
        <v>2400</v>
      </c>
      <c r="AV371" s="37">
        <f t="shared" si="102"/>
        <v>46691.577564000007</v>
      </c>
      <c r="AW371" s="37">
        <f t="shared" si="111"/>
        <v>139324.57756400001</v>
      </c>
      <c r="BA371" s="20" t="str">
        <f t="shared" si="109"/>
        <v>1 - COU_CTCC - Del Real, Mercedes</v>
      </c>
    </row>
    <row r="372" spans="1:53" s="39" customFormat="1" ht="12.75" customHeight="1" x14ac:dyDescent="0.25">
      <c r="A372" s="39">
        <v>361</v>
      </c>
      <c r="B372" s="83" t="s">
        <v>7338</v>
      </c>
      <c r="C372" s="39" t="s">
        <v>7408</v>
      </c>
      <c r="D372" s="39" t="s">
        <v>7381</v>
      </c>
      <c r="E372" s="84">
        <v>100</v>
      </c>
      <c r="F372" s="42">
        <v>44378</v>
      </c>
      <c r="G372" s="39" t="s">
        <v>6783</v>
      </c>
      <c r="H372" s="39">
        <v>15</v>
      </c>
      <c r="I372" s="44"/>
      <c r="K372" s="45">
        <v>114406</v>
      </c>
      <c r="L372" s="45">
        <f t="shared" si="112"/>
        <v>114406</v>
      </c>
      <c r="M372" s="45"/>
      <c r="N372" s="84"/>
      <c r="O372" s="46"/>
      <c r="P372" s="45"/>
      <c r="Q372" s="47"/>
      <c r="R372" s="45"/>
      <c r="S372" s="47"/>
      <c r="T372" s="45"/>
      <c r="U372" s="45"/>
      <c r="V372" s="45">
        <f t="shared" si="119"/>
        <v>114406</v>
      </c>
      <c r="W372" s="46">
        <v>0.5</v>
      </c>
      <c r="X372" s="45">
        <f t="shared" si="113"/>
        <v>57203</v>
      </c>
      <c r="Y372" s="39" t="s">
        <v>1916</v>
      </c>
      <c r="Z372" s="43" t="s">
        <v>6758</v>
      </c>
      <c r="AA372" s="43" t="s">
        <v>6901</v>
      </c>
      <c r="AB372" s="43" t="s">
        <v>6733</v>
      </c>
      <c r="AC372" s="43" t="s">
        <v>7396</v>
      </c>
      <c r="AD372" s="43" t="s">
        <v>7342</v>
      </c>
      <c r="AE372" s="37" t="str">
        <f t="shared" si="103"/>
        <v>51</v>
      </c>
      <c r="AF372" s="49">
        <f t="shared" si="118"/>
        <v>9678.7475999999988</v>
      </c>
      <c r="AI372" s="49">
        <f t="shared" si="114"/>
        <v>829.44350000000009</v>
      </c>
      <c r="AJ372" s="49">
        <f t="shared" si="115"/>
        <v>703.59690000000001</v>
      </c>
      <c r="AK372" s="49">
        <f t="shared" si="116"/>
        <v>1081.5943240000001</v>
      </c>
      <c r="AL372" s="45">
        <v>140.04</v>
      </c>
      <c r="AM372" s="23">
        <f t="shared" si="104"/>
        <v>70.02</v>
      </c>
      <c r="AN372" s="44">
        <v>79.2</v>
      </c>
      <c r="AO372" s="22">
        <f t="shared" si="100"/>
        <v>39.6</v>
      </c>
      <c r="AP372" s="45">
        <v>25452.57</v>
      </c>
      <c r="AQ372" s="23">
        <f t="shared" si="101"/>
        <v>26474.490685500001</v>
      </c>
      <c r="AR372" s="23">
        <f t="shared" si="105"/>
        <v>13237.24534275</v>
      </c>
      <c r="AS372" s="45">
        <f t="shared" si="110"/>
        <v>13346.865342750001</v>
      </c>
      <c r="AU372" s="20">
        <f t="shared" si="106"/>
        <v>0</v>
      </c>
      <c r="AV372" s="37">
        <f t="shared" si="102"/>
        <v>25640.247666750001</v>
      </c>
      <c r="AW372" s="49">
        <f t="shared" si="111"/>
        <v>82843.247666750001</v>
      </c>
      <c r="AX372" s="39" t="s">
        <v>6675</v>
      </c>
      <c r="AY372" s="39" t="s">
        <v>6745</v>
      </c>
      <c r="AZ372" s="39" t="s">
        <v>6748</v>
      </c>
      <c r="BA372" s="39" t="str">
        <f t="shared" si="109"/>
        <v>0.5 - NRS_INS - Diamond, Denise J</v>
      </c>
    </row>
    <row r="373" spans="1:53" s="39" customFormat="1" ht="12.75" customHeight="1" x14ac:dyDescent="0.25">
      <c r="A373" s="39">
        <v>361</v>
      </c>
      <c r="B373" s="83" t="s">
        <v>7338</v>
      </c>
      <c r="C373" s="39" t="s">
        <v>7408</v>
      </c>
      <c r="D373" s="39" t="s">
        <v>7381</v>
      </c>
      <c r="E373" s="84">
        <v>100</v>
      </c>
      <c r="F373" s="42">
        <v>44378</v>
      </c>
      <c r="G373" s="39" t="s">
        <v>6783</v>
      </c>
      <c r="H373" s="39">
        <v>15</v>
      </c>
      <c r="I373" s="44"/>
      <c r="K373" s="45">
        <v>114406</v>
      </c>
      <c r="L373" s="45">
        <f t="shared" si="112"/>
        <v>114406</v>
      </c>
      <c r="M373" s="45"/>
      <c r="N373" s="84"/>
      <c r="O373" s="46"/>
      <c r="P373" s="45"/>
      <c r="Q373" s="47"/>
      <c r="R373" s="45"/>
      <c r="S373" s="47"/>
      <c r="T373" s="45"/>
      <c r="U373" s="45"/>
      <c r="V373" s="45">
        <f t="shared" si="119"/>
        <v>114406</v>
      </c>
      <c r="W373" s="46">
        <v>0.5</v>
      </c>
      <c r="X373" s="45">
        <f t="shared" si="113"/>
        <v>57203</v>
      </c>
      <c r="Y373" s="39" t="s">
        <v>1962</v>
      </c>
      <c r="Z373" s="43" t="s">
        <v>6758</v>
      </c>
      <c r="AA373" s="43" t="s">
        <v>6901</v>
      </c>
      <c r="AB373" s="43" t="s">
        <v>6733</v>
      </c>
      <c r="AC373" s="43" t="s">
        <v>7409</v>
      </c>
      <c r="AD373" s="43" t="s">
        <v>7342</v>
      </c>
      <c r="AE373" s="37" t="str">
        <f t="shared" si="103"/>
        <v>51</v>
      </c>
      <c r="AF373" s="49">
        <f t="shared" si="118"/>
        <v>9678.7475999999988</v>
      </c>
      <c r="AI373" s="49">
        <f t="shared" si="114"/>
        <v>829.44350000000009</v>
      </c>
      <c r="AJ373" s="49">
        <f t="shared" si="115"/>
        <v>703.59690000000001</v>
      </c>
      <c r="AK373" s="49">
        <f t="shared" si="116"/>
        <v>1081.5943240000001</v>
      </c>
      <c r="AL373" s="45">
        <v>140.04</v>
      </c>
      <c r="AM373" s="23">
        <f t="shared" si="104"/>
        <v>70.02</v>
      </c>
      <c r="AN373" s="44">
        <v>79.2</v>
      </c>
      <c r="AO373" s="22">
        <f t="shared" si="100"/>
        <v>39.6</v>
      </c>
      <c r="AP373" s="45">
        <v>25452.57</v>
      </c>
      <c r="AQ373" s="23">
        <f t="shared" si="101"/>
        <v>26474.490685500001</v>
      </c>
      <c r="AR373" s="23">
        <f t="shared" si="105"/>
        <v>13237.24534275</v>
      </c>
      <c r="AS373" s="45">
        <f t="shared" si="110"/>
        <v>13346.865342750001</v>
      </c>
      <c r="AU373" s="20">
        <f t="shared" si="106"/>
        <v>0</v>
      </c>
      <c r="AV373" s="37">
        <f t="shared" si="102"/>
        <v>25640.247666750001</v>
      </c>
      <c r="AW373" s="49">
        <f t="shared" si="111"/>
        <v>82843.247666750001</v>
      </c>
      <c r="AX373" s="39" t="s">
        <v>6675</v>
      </c>
      <c r="AY373" s="39" t="s">
        <v>6745</v>
      </c>
      <c r="AZ373" s="39" t="s">
        <v>6748</v>
      </c>
      <c r="BA373" s="39" t="str">
        <f t="shared" si="109"/>
        <v>0.5 - NRS_INS - Diamond, Denise J</v>
      </c>
    </row>
    <row r="374" spans="1:53" ht="12.75" customHeight="1" x14ac:dyDescent="0.25">
      <c r="A374" s="20">
        <v>362</v>
      </c>
      <c r="B374" s="78" t="s">
        <v>7338</v>
      </c>
      <c r="C374" s="20" t="s">
        <v>7410</v>
      </c>
      <c r="D374" s="20" t="s">
        <v>7411</v>
      </c>
      <c r="E374" s="82">
        <v>100</v>
      </c>
      <c r="F374" s="34">
        <v>44378</v>
      </c>
      <c r="G374" s="20" t="s">
        <v>6730</v>
      </c>
      <c r="H374" s="20">
        <v>13</v>
      </c>
      <c r="K374" s="23">
        <v>109409</v>
      </c>
      <c r="L374" s="23">
        <f t="shared" si="112"/>
        <v>109409</v>
      </c>
      <c r="N374" s="82"/>
      <c r="V374" s="23">
        <f t="shared" si="119"/>
        <v>109409</v>
      </c>
      <c r="W374" s="25">
        <v>1</v>
      </c>
      <c r="X374" s="23">
        <f t="shared" si="113"/>
        <v>109409</v>
      </c>
      <c r="Y374" s="20" t="s">
        <v>2886</v>
      </c>
      <c r="Z374" s="35" t="s">
        <v>6758</v>
      </c>
      <c r="AA374" s="35" t="s">
        <v>6752</v>
      </c>
      <c r="AB374" s="35" t="s">
        <v>6733</v>
      </c>
      <c r="AC374" s="35" t="s">
        <v>6800</v>
      </c>
      <c r="AD374" s="35" t="s">
        <v>7348</v>
      </c>
      <c r="AE374" s="37" t="str">
        <f t="shared" si="103"/>
        <v>51</v>
      </c>
      <c r="AF374" s="37">
        <f t="shared" si="118"/>
        <v>18512.002799999998</v>
      </c>
      <c r="AI374" s="37">
        <f t="shared" si="114"/>
        <v>1586.4305000000002</v>
      </c>
      <c r="AJ374" s="37">
        <f t="shared" si="115"/>
        <v>1345.7307000000001</v>
      </c>
      <c r="AK374" s="37">
        <f t="shared" si="116"/>
        <v>2068.7053720000004</v>
      </c>
      <c r="AL374" s="23">
        <v>140.04</v>
      </c>
      <c r="AM374" s="23">
        <f t="shared" si="104"/>
        <v>140.04</v>
      </c>
      <c r="AN374" s="22">
        <v>79.2</v>
      </c>
      <c r="AO374" s="22">
        <f t="shared" si="100"/>
        <v>79.2</v>
      </c>
      <c r="AP374" s="23">
        <v>33443.96</v>
      </c>
      <c r="AQ374" s="23">
        <f t="shared" si="101"/>
        <v>34786.734993999999</v>
      </c>
      <c r="AR374" s="23">
        <f t="shared" si="105"/>
        <v>34786.734993999999</v>
      </c>
      <c r="AS374" s="23">
        <f t="shared" si="110"/>
        <v>35005.974993999997</v>
      </c>
      <c r="AU374" s="20">
        <f t="shared" si="106"/>
        <v>0</v>
      </c>
      <c r="AV374" s="37">
        <f t="shared" si="102"/>
        <v>58518.844365999998</v>
      </c>
      <c r="AW374" s="37">
        <f t="shared" si="111"/>
        <v>167927.844366</v>
      </c>
      <c r="BA374" s="20" t="str">
        <f t="shared" si="109"/>
        <v>1 - ECE_FIRST5 - Diaz, Sergio S</v>
      </c>
    </row>
    <row r="375" spans="1:53" ht="12.75" hidden="1" customHeight="1" x14ac:dyDescent="0.25">
      <c r="A375" s="20">
        <v>363</v>
      </c>
      <c r="B375" s="78" t="s">
        <v>7338</v>
      </c>
      <c r="C375" s="20" t="s">
        <v>7410</v>
      </c>
      <c r="D375" s="20" t="s">
        <v>7411</v>
      </c>
      <c r="E375" s="82">
        <v>100</v>
      </c>
      <c r="F375" s="34">
        <v>44378</v>
      </c>
      <c r="G375" s="20" t="s">
        <v>6730</v>
      </c>
      <c r="H375" s="20">
        <v>13</v>
      </c>
      <c r="K375" s="23">
        <v>109409</v>
      </c>
      <c r="L375" s="23">
        <f t="shared" si="112"/>
        <v>109409</v>
      </c>
      <c r="N375" s="82"/>
      <c r="V375" s="23">
        <f t="shared" si="119"/>
        <v>109409</v>
      </c>
      <c r="W375" s="25">
        <v>0</v>
      </c>
      <c r="X375" s="23">
        <f t="shared" si="113"/>
        <v>0</v>
      </c>
      <c r="Y375" s="20" t="s">
        <v>5770</v>
      </c>
      <c r="Z375" s="35" t="s">
        <v>6731</v>
      </c>
      <c r="AA375" s="35" t="s">
        <v>6752</v>
      </c>
      <c r="AB375" s="35" t="s">
        <v>6733</v>
      </c>
      <c r="AC375" s="35" t="s">
        <v>7412</v>
      </c>
      <c r="AD375" s="35" t="s">
        <v>7348</v>
      </c>
      <c r="AE375" s="37" t="str">
        <f t="shared" si="103"/>
        <v>51</v>
      </c>
      <c r="AF375" s="37">
        <f t="shared" si="118"/>
        <v>0</v>
      </c>
      <c r="AI375" s="37">
        <f t="shared" si="114"/>
        <v>0</v>
      </c>
      <c r="AJ375" s="37">
        <f t="shared" si="115"/>
        <v>0</v>
      </c>
      <c r="AK375" s="37">
        <f t="shared" si="116"/>
        <v>0</v>
      </c>
      <c r="AL375" s="23">
        <v>140.04</v>
      </c>
      <c r="AM375" s="23">
        <f t="shared" si="104"/>
        <v>0</v>
      </c>
      <c r="AN375" s="22">
        <v>79.2</v>
      </c>
      <c r="AO375" s="22">
        <f t="shared" si="100"/>
        <v>0</v>
      </c>
      <c r="AP375" s="23">
        <v>33443.96</v>
      </c>
      <c r="AQ375" s="23">
        <f t="shared" si="101"/>
        <v>34786.734993999999</v>
      </c>
      <c r="AR375" s="23">
        <f t="shared" si="105"/>
        <v>0</v>
      </c>
      <c r="AS375" s="23">
        <f t="shared" si="110"/>
        <v>0</v>
      </c>
      <c r="AU375" s="20">
        <f t="shared" si="106"/>
        <v>0</v>
      </c>
      <c r="AV375" s="37">
        <f t="shared" si="102"/>
        <v>0</v>
      </c>
      <c r="AW375" s="37">
        <f t="shared" si="111"/>
        <v>0</v>
      </c>
      <c r="AX375" s="20" t="s">
        <v>6754</v>
      </c>
      <c r="AY375" s="20" t="s">
        <v>6680</v>
      </c>
      <c r="AZ375" s="20" t="s">
        <v>7413</v>
      </c>
      <c r="BA375" s="20" t="str">
        <f t="shared" si="109"/>
        <v>0 - ECE_FIRST5 - Diaz, Sergio S</v>
      </c>
    </row>
    <row r="376" spans="1:53" ht="12.75" customHeight="1" x14ac:dyDescent="0.25">
      <c r="A376" s="20">
        <v>364</v>
      </c>
      <c r="B376" s="78" t="s">
        <v>7338</v>
      </c>
      <c r="C376" s="20" t="s">
        <v>7414</v>
      </c>
      <c r="D376" s="20" t="s">
        <v>7393</v>
      </c>
      <c r="E376" s="82">
        <v>100</v>
      </c>
      <c r="F376" s="34">
        <v>44378</v>
      </c>
      <c r="G376" s="20" t="s">
        <v>6783</v>
      </c>
      <c r="H376" s="20">
        <v>7</v>
      </c>
      <c r="K376" s="23">
        <v>78600</v>
      </c>
      <c r="L376" s="23">
        <f t="shared" si="112"/>
        <v>78600</v>
      </c>
      <c r="N376" s="82"/>
      <c r="V376" s="23">
        <f t="shared" si="119"/>
        <v>78600</v>
      </c>
      <c r="W376" s="25">
        <v>1</v>
      </c>
      <c r="X376" s="23">
        <f t="shared" si="113"/>
        <v>78600</v>
      </c>
      <c r="Y376" s="20" t="s">
        <v>1299</v>
      </c>
      <c r="Z376" s="35" t="s">
        <v>6758</v>
      </c>
      <c r="AA376" s="35" t="s">
        <v>6989</v>
      </c>
      <c r="AB376" s="35" t="s">
        <v>6733</v>
      </c>
      <c r="AC376" s="35" t="s">
        <v>7394</v>
      </c>
      <c r="AD376" s="35" t="s">
        <v>7342</v>
      </c>
      <c r="AE376" s="37" t="str">
        <f t="shared" si="103"/>
        <v>51</v>
      </c>
      <c r="AF376" s="37">
        <f t="shared" si="118"/>
        <v>13299.119999999999</v>
      </c>
      <c r="AI376" s="37">
        <f t="shared" si="114"/>
        <v>1139.7</v>
      </c>
      <c r="AJ376" s="37">
        <f t="shared" si="115"/>
        <v>966.78</v>
      </c>
      <c r="AK376" s="37">
        <f t="shared" si="116"/>
        <v>1486.1688000000001</v>
      </c>
      <c r="AL376" s="23">
        <v>140.04</v>
      </c>
      <c r="AM376" s="23">
        <f t="shared" si="104"/>
        <v>140.04</v>
      </c>
      <c r="AN376" s="22">
        <v>79.2</v>
      </c>
      <c r="AO376" s="22">
        <f t="shared" si="100"/>
        <v>79.2</v>
      </c>
      <c r="AP376" s="23">
        <v>5916.02</v>
      </c>
      <c r="AQ376" s="23">
        <f t="shared" si="101"/>
        <v>6153.5482030000003</v>
      </c>
      <c r="AR376" s="23">
        <f t="shared" si="105"/>
        <v>6153.5482030000003</v>
      </c>
      <c r="AS376" s="23">
        <f t="shared" si="110"/>
        <v>6372.7882030000001</v>
      </c>
      <c r="AT376" s="37">
        <v>2400</v>
      </c>
      <c r="AU376" s="20">
        <f t="shared" si="106"/>
        <v>2400</v>
      </c>
      <c r="AV376" s="37">
        <f t="shared" si="102"/>
        <v>25664.557003000002</v>
      </c>
      <c r="AW376" s="37">
        <f t="shared" si="111"/>
        <v>104264.55700299999</v>
      </c>
      <c r="BA376" s="20" t="str">
        <f t="shared" si="109"/>
        <v>1 - PSYCH_INS - Edelen, Alicia</v>
      </c>
    </row>
    <row r="377" spans="1:53" ht="12.75" customHeight="1" x14ac:dyDescent="0.25">
      <c r="A377" s="20">
        <v>365</v>
      </c>
      <c r="B377" s="78" t="s">
        <v>7338</v>
      </c>
      <c r="C377" s="20" t="s">
        <v>7415</v>
      </c>
      <c r="D377" s="20" t="s">
        <v>7416</v>
      </c>
      <c r="E377" s="82">
        <v>100</v>
      </c>
      <c r="F377" s="34">
        <v>44378</v>
      </c>
      <c r="G377" s="20" t="s">
        <v>6741</v>
      </c>
      <c r="H377" s="20">
        <v>20</v>
      </c>
      <c r="K377" s="23">
        <v>121962</v>
      </c>
      <c r="L377" s="23">
        <f t="shared" si="112"/>
        <v>121962</v>
      </c>
      <c r="N377" s="82"/>
      <c r="V377" s="23">
        <f t="shared" si="119"/>
        <v>121962</v>
      </c>
      <c r="W377" s="25">
        <v>1</v>
      </c>
      <c r="X377" s="23">
        <f t="shared" si="113"/>
        <v>121962</v>
      </c>
      <c r="Y377" s="20" t="s">
        <v>1619</v>
      </c>
      <c r="Z377" s="35" t="s">
        <v>6758</v>
      </c>
      <c r="AA377" s="35" t="s">
        <v>6772</v>
      </c>
      <c r="AB377" s="35" t="s">
        <v>6733</v>
      </c>
      <c r="AC377" s="35" t="s">
        <v>6773</v>
      </c>
      <c r="AD377" s="35" t="s">
        <v>7342</v>
      </c>
      <c r="AE377" s="37" t="str">
        <f t="shared" si="103"/>
        <v>51</v>
      </c>
      <c r="AF377" s="37">
        <f t="shared" si="118"/>
        <v>20635.970399999998</v>
      </c>
      <c r="AI377" s="37">
        <f t="shared" si="114"/>
        <v>1768.4490000000001</v>
      </c>
      <c r="AJ377" s="37">
        <f t="shared" si="115"/>
        <v>1500.1325999999999</v>
      </c>
      <c r="AK377" s="37">
        <f t="shared" si="116"/>
        <v>2306.0574960000004</v>
      </c>
      <c r="AL377" s="23">
        <v>140.04</v>
      </c>
      <c r="AM377" s="23">
        <f t="shared" si="104"/>
        <v>140.04</v>
      </c>
      <c r="AN377" s="22">
        <v>79.2</v>
      </c>
      <c r="AO377" s="22">
        <f t="shared" si="100"/>
        <v>79.2</v>
      </c>
      <c r="AP377" s="23">
        <v>33444</v>
      </c>
      <c r="AQ377" s="23">
        <f t="shared" si="101"/>
        <v>34786.776599999997</v>
      </c>
      <c r="AR377" s="23">
        <f t="shared" si="105"/>
        <v>34786.776599999997</v>
      </c>
      <c r="AS377" s="23">
        <f t="shared" si="110"/>
        <v>35006.016599999995</v>
      </c>
      <c r="AU377" s="20">
        <f t="shared" si="106"/>
        <v>0</v>
      </c>
      <c r="AV377" s="37">
        <f t="shared" si="102"/>
        <v>61216.626096</v>
      </c>
      <c r="AW377" s="37">
        <f t="shared" si="111"/>
        <v>183178.62609599999</v>
      </c>
      <c r="BA377" s="20" t="str">
        <f t="shared" si="109"/>
        <v>1 - BIO_INS - Edens, Alexander S</v>
      </c>
    </row>
    <row r="378" spans="1:53" ht="12.75" customHeight="1" x14ac:dyDescent="0.25">
      <c r="A378" s="20">
        <v>366</v>
      </c>
      <c r="B378" s="78" t="s">
        <v>7338</v>
      </c>
      <c r="C378" s="20" t="s">
        <v>7417</v>
      </c>
      <c r="D378" s="20" t="s">
        <v>7418</v>
      </c>
      <c r="E378" s="82">
        <v>100</v>
      </c>
      <c r="F378" s="34">
        <v>44378</v>
      </c>
      <c r="G378" s="20" t="s">
        <v>6783</v>
      </c>
      <c r="H378" s="20">
        <v>20</v>
      </c>
      <c r="K378" s="23">
        <v>105238</v>
      </c>
      <c r="L378" s="23">
        <f t="shared" si="112"/>
        <v>105238</v>
      </c>
      <c r="N378" s="82"/>
      <c r="V378" s="23">
        <f t="shared" si="119"/>
        <v>105238</v>
      </c>
      <c r="W378" s="25">
        <v>0.2</v>
      </c>
      <c r="X378" s="23">
        <f t="shared" si="113"/>
        <v>21047.600000000002</v>
      </c>
      <c r="Y378" s="20" t="s">
        <v>1909</v>
      </c>
      <c r="Z378" s="35" t="s">
        <v>6758</v>
      </c>
      <c r="AA378" s="35" t="s">
        <v>6772</v>
      </c>
      <c r="AB378" s="35" t="s">
        <v>6974</v>
      </c>
      <c r="AC378" s="35" t="s">
        <v>7051</v>
      </c>
      <c r="AD378" s="35" t="s">
        <v>7342</v>
      </c>
      <c r="AE378" s="37" t="str">
        <f t="shared" si="103"/>
        <v>51</v>
      </c>
      <c r="AF378" s="37">
        <f t="shared" si="118"/>
        <v>3561.2539200000001</v>
      </c>
      <c r="AI378" s="37">
        <f t="shared" si="114"/>
        <v>305.19020000000006</v>
      </c>
      <c r="AJ378" s="37">
        <f t="shared" si="115"/>
        <v>258.88548000000003</v>
      </c>
      <c r="AK378" s="37">
        <f t="shared" si="116"/>
        <v>397.96802080000009</v>
      </c>
      <c r="AL378" s="23">
        <v>140.04</v>
      </c>
      <c r="AM378" s="23">
        <f t="shared" si="104"/>
        <v>28.007999999999999</v>
      </c>
      <c r="AN378" s="22">
        <v>79.2</v>
      </c>
      <c r="AO378" s="22">
        <f t="shared" si="100"/>
        <v>15.840000000000002</v>
      </c>
      <c r="AP378" s="23">
        <v>33443.96</v>
      </c>
      <c r="AQ378" s="23">
        <f t="shared" si="101"/>
        <v>34786.734993999999</v>
      </c>
      <c r="AR378" s="23">
        <f t="shared" si="105"/>
        <v>6957.3469987999997</v>
      </c>
      <c r="AS378" s="23">
        <f t="shared" si="110"/>
        <v>7001.1949987999997</v>
      </c>
      <c r="AU378" s="20">
        <f t="shared" si="106"/>
        <v>0</v>
      </c>
      <c r="AV378" s="37">
        <f t="shared" si="102"/>
        <v>11524.4926196</v>
      </c>
      <c r="AW378" s="37">
        <f t="shared" si="111"/>
        <v>32572.0926196</v>
      </c>
      <c r="BA378" s="20" t="str">
        <f t="shared" si="109"/>
        <v>0.2 - ENGR_INS - Entekhabi, Parviz</v>
      </c>
    </row>
    <row r="379" spans="1:53" ht="12.75" customHeight="1" x14ac:dyDescent="0.25">
      <c r="A379" s="20">
        <v>367</v>
      </c>
      <c r="B379" s="78" t="s">
        <v>7338</v>
      </c>
      <c r="C379" s="20" t="s">
        <v>7417</v>
      </c>
      <c r="D379" s="20" t="s">
        <v>7419</v>
      </c>
      <c r="E379" s="82">
        <v>100</v>
      </c>
      <c r="F379" s="34">
        <v>44378</v>
      </c>
      <c r="G379" s="20" t="s">
        <v>6783</v>
      </c>
      <c r="H379" s="20">
        <v>20</v>
      </c>
      <c r="K379" s="23">
        <v>105238</v>
      </c>
      <c r="L379" s="23">
        <f t="shared" si="112"/>
        <v>105238</v>
      </c>
      <c r="N379" s="82"/>
      <c r="V379" s="23">
        <f t="shared" si="119"/>
        <v>105238</v>
      </c>
      <c r="W379" s="25">
        <v>0.8</v>
      </c>
      <c r="X379" s="23">
        <f t="shared" si="113"/>
        <v>84190.400000000009</v>
      </c>
      <c r="Y379" s="20" t="s">
        <v>2430</v>
      </c>
      <c r="Z379" s="35" t="s">
        <v>6758</v>
      </c>
      <c r="AA379" s="35" t="s">
        <v>6742</v>
      </c>
      <c r="AB379" s="35" t="s">
        <v>6974</v>
      </c>
      <c r="AC379" s="35" t="s">
        <v>7420</v>
      </c>
      <c r="AD379" s="35" t="s">
        <v>7342</v>
      </c>
      <c r="AE379" s="37" t="str">
        <f t="shared" si="103"/>
        <v>51</v>
      </c>
      <c r="AF379" s="37">
        <f t="shared" si="118"/>
        <v>14245.01568</v>
      </c>
      <c r="AI379" s="37">
        <f t="shared" si="114"/>
        <v>1220.7608000000002</v>
      </c>
      <c r="AJ379" s="37">
        <f t="shared" si="115"/>
        <v>1035.5419200000001</v>
      </c>
      <c r="AK379" s="37">
        <f t="shared" si="116"/>
        <v>1591.8720832000004</v>
      </c>
      <c r="AL379" s="23">
        <v>140.04</v>
      </c>
      <c r="AM379" s="23">
        <f t="shared" si="104"/>
        <v>112.032</v>
      </c>
      <c r="AN379" s="22">
        <v>79.2</v>
      </c>
      <c r="AO379" s="22">
        <f t="shared" si="100"/>
        <v>63.360000000000007</v>
      </c>
      <c r="AP379" s="23">
        <v>33443.96</v>
      </c>
      <c r="AQ379" s="23">
        <f t="shared" si="101"/>
        <v>34786.734993999999</v>
      </c>
      <c r="AR379" s="23">
        <f t="shared" si="105"/>
        <v>27829.387995199999</v>
      </c>
      <c r="AS379" s="23">
        <f t="shared" si="110"/>
        <v>28004.779995199999</v>
      </c>
      <c r="AU379" s="20">
        <f t="shared" si="106"/>
        <v>0</v>
      </c>
      <c r="AV379" s="37">
        <f t="shared" si="102"/>
        <v>46097.970478399999</v>
      </c>
      <c r="AW379" s="37">
        <f t="shared" si="111"/>
        <v>130288.3704784</v>
      </c>
      <c r="BA379" s="20" t="str">
        <f t="shared" si="109"/>
        <v>0.8 - DRFT_INS - Entekhabi, Parviz</v>
      </c>
    </row>
    <row r="380" spans="1:53" ht="12.75" hidden="1" customHeight="1" x14ac:dyDescent="0.25">
      <c r="A380" s="20">
        <v>368</v>
      </c>
      <c r="B380" s="78" t="s">
        <v>7338</v>
      </c>
      <c r="C380" s="20" t="s">
        <v>7421</v>
      </c>
      <c r="D380" s="20" t="s">
        <v>7422</v>
      </c>
      <c r="E380" s="82">
        <v>100</v>
      </c>
      <c r="F380" s="34">
        <v>44378</v>
      </c>
      <c r="G380" s="20" t="s">
        <v>6782</v>
      </c>
      <c r="H380" s="20">
        <v>10</v>
      </c>
      <c r="K380" s="23">
        <v>84205</v>
      </c>
      <c r="L380" s="23">
        <f t="shared" si="112"/>
        <v>84205</v>
      </c>
      <c r="N380" s="82"/>
      <c r="V380" s="23">
        <f t="shared" si="119"/>
        <v>84205</v>
      </c>
      <c r="W380" s="25">
        <v>1</v>
      </c>
      <c r="X380" s="23">
        <f t="shared" si="113"/>
        <v>84205</v>
      </c>
      <c r="Y380" s="20" t="s">
        <v>4813</v>
      </c>
      <c r="Z380" s="35" t="s">
        <v>6731</v>
      </c>
      <c r="AA380" s="35" t="s">
        <v>6742</v>
      </c>
      <c r="AB380" s="35" t="s">
        <v>7423</v>
      </c>
      <c r="AC380" s="35" t="s">
        <v>7424</v>
      </c>
      <c r="AD380" s="35" t="s">
        <v>7342</v>
      </c>
      <c r="AE380" s="37" t="str">
        <f t="shared" si="103"/>
        <v>51</v>
      </c>
      <c r="AF380" s="37">
        <f t="shared" si="118"/>
        <v>14247.485999999999</v>
      </c>
      <c r="AI380" s="37">
        <f t="shared" si="114"/>
        <v>1220.9725000000001</v>
      </c>
      <c r="AJ380" s="37">
        <f t="shared" si="115"/>
        <v>1035.7215000000001</v>
      </c>
      <c r="AK380" s="37">
        <f t="shared" si="116"/>
        <v>1592.14814</v>
      </c>
      <c r="AL380" s="23">
        <v>140.04</v>
      </c>
      <c r="AM380" s="23">
        <f t="shared" si="104"/>
        <v>140.04</v>
      </c>
      <c r="AN380" s="22">
        <v>79.2</v>
      </c>
      <c r="AO380" s="22">
        <f t="shared" si="100"/>
        <v>79.2</v>
      </c>
      <c r="AP380" s="23">
        <v>23232</v>
      </c>
      <c r="AQ380" s="23">
        <f t="shared" si="101"/>
        <v>24164.764800000001</v>
      </c>
      <c r="AR380" s="23">
        <f t="shared" si="105"/>
        <v>24164.764800000001</v>
      </c>
      <c r="AS380" s="23">
        <f t="shared" si="110"/>
        <v>24384.004800000002</v>
      </c>
      <c r="AT380" s="37">
        <v>2400</v>
      </c>
      <c r="AU380" s="20">
        <f t="shared" si="106"/>
        <v>2400</v>
      </c>
      <c r="AV380" s="37">
        <f t="shared" si="102"/>
        <v>44880.332940000008</v>
      </c>
      <c r="AW380" s="37">
        <f t="shared" si="111"/>
        <v>129085.33294000001</v>
      </c>
      <c r="AX380" s="20" t="s">
        <v>6675</v>
      </c>
      <c r="AY380" s="20" t="s">
        <v>6745</v>
      </c>
      <c r="AZ380" s="20" t="s">
        <v>6748</v>
      </c>
      <c r="BA380" s="20" t="str">
        <f t="shared" si="109"/>
        <v>1 - AUTO_INS - Escoto, Pedro</v>
      </c>
    </row>
    <row r="381" spans="1:53" ht="12.75" customHeight="1" x14ac:dyDescent="0.25">
      <c r="A381" s="20">
        <v>369</v>
      </c>
      <c r="B381" s="78" t="s">
        <v>7338</v>
      </c>
      <c r="C381" s="20" t="s">
        <v>7425</v>
      </c>
      <c r="D381" s="20" t="s">
        <v>7426</v>
      </c>
      <c r="E381" s="82">
        <v>100</v>
      </c>
      <c r="F381" s="34">
        <v>44378</v>
      </c>
      <c r="G381" s="20" t="s">
        <v>6729</v>
      </c>
      <c r="H381" s="20">
        <v>16</v>
      </c>
      <c r="K381" s="23">
        <v>109102</v>
      </c>
      <c r="L381" s="23">
        <f t="shared" si="112"/>
        <v>109102</v>
      </c>
      <c r="N381" s="82"/>
      <c r="V381" s="23">
        <f t="shared" si="119"/>
        <v>109102</v>
      </c>
      <c r="W381" s="25">
        <v>1</v>
      </c>
      <c r="X381" s="23">
        <f t="shared" si="113"/>
        <v>109102</v>
      </c>
      <c r="Y381" s="20" t="s">
        <v>1375</v>
      </c>
      <c r="Z381" s="35" t="s">
        <v>6758</v>
      </c>
      <c r="AA381" s="35" t="s">
        <v>6989</v>
      </c>
      <c r="AB381" s="35" t="s">
        <v>6733</v>
      </c>
      <c r="AC381" s="35" t="s">
        <v>7427</v>
      </c>
      <c r="AD381" s="35" t="s">
        <v>7342</v>
      </c>
      <c r="AE381" s="37" t="str">
        <f t="shared" si="103"/>
        <v>51</v>
      </c>
      <c r="AF381" s="37">
        <f t="shared" si="118"/>
        <v>18460.058399999998</v>
      </c>
      <c r="AI381" s="37">
        <f t="shared" si="114"/>
        <v>1581.979</v>
      </c>
      <c r="AJ381" s="37">
        <f t="shared" si="115"/>
        <v>1341.9546</v>
      </c>
      <c r="AK381" s="37">
        <f t="shared" si="116"/>
        <v>2062.9006160000004</v>
      </c>
      <c r="AL381" s="23">
        <v>140.04</v>
      </c>
      <c r="AM381" s="23">
        <f t="shared" si="104"/>
        <v>140.04</v>
      </c>
      <c r="AN381" s="22">
        <v>79.2</v>
      </c>
      <c r="AO381" s="22">
        <f t="shared" si="100"/>
        <v>79.2</v>
      </c>
      <c r="AP381" s="23">
        <v>33443.96</v>
      </c>
      <c r="AQ381" s="23">
        <f t="shared" si="101"/>
        <v>34786.734993999999</v>
      </c>
      <c r="AR381" s="23">
        <f t="shared" si="105"/>
        <v>34786.734993999999</v>
      </c>
      <c r="AS381" s="23">
        <f t="shared" si="110"/>
        <v>35005.974993999997</v>
      </c>
      <c r="AU381" s="20">
        <f t="shared" si="106"/>
        <v>0</v>
      </c>
      <c r="AV381" s="37">
        <f t="shared" si="102"/>
        <v>58452.867610000001</v>
      </c>
      <c r="AW381" s="37">
        <f t="shared" si="111"/>
        <v>167554.86761000002</v>
      </c>
      <c r="BA381" s="20" t="str">
        <f t="shared" si="109"/>
        <v>1 - ECON_INS - Esparza, Christina M</v>
      </c>
    </row>
    <row r="382" spans="1:53" ht="12.75" customHeight="1" x14ac:dyDescent="0.25">
      <c r="A382" s="20">
        <v>370</v>
      </c>
      <c r="B382" s="78" t="s">
        <v>7338</v>
      </c>
      <c r="C382" s="20" t="s">
        <v>7428</v>
      </c>
      <c r="D382" s="20" t="s">
        <v>7352</v>
      </c>
      <c r="E382" s="82">
        <v>100</v>
      </c>
      <c r="F382" s="34">
        <v>44378</v>
      </c>
      <c r="G382" s="20" t="s">
        <v>6741</v>
      </c>
      <c r="H382" s="20">
        <v>20</v>
      </c>
      <c r="K382" s="23">
        <v>128931</v>
      </c>
      <c r="L382" s="23">
        <f t="shared" si="112"/>
        <v>128931</v>
      </c>
      <c r="N382" s="82"/>
      <c r="V382" s="23">
        <f t="shared" si="119"/>
        <v>128931</v>
      </c>
      <c r="W382" s="25">
        <v>1</v>
      </c>
      <c r="X382" s="23">
        <f t="shared" si="113"/>
        <v>128931</v>
      </c>
      <c r="Y382" s="20" t="s">
        <v>2886</v>
      </c>
      <c r="Z382" s="35" t="s">
        <v>6758</v>
      </c>
      <c r="AA382" s="35" t="s">
        <v>6752</v>
      </c>
      <c r="AB382" s="35" t="s">
        <v>6733</v>
      </c>
      <c r="AC382" s="35" t="s">
        <v>6800</v>
      </c>
      <c r="AD382" s="35" t="s">
        <v>7348</v>
      </c>
      <c r="AE382" s="37" t="str">
        <f t="shared" si="103"/>
        <v>51</v>
      </c>
      <c r="AF382" s="37">
        <f t="shared" si="118"/>
        <v>21815.125199999999</v>
      </c>
      <c r="AI382" s="37">
        <f t="shared" si="114"/>
        <v>1869.4995000000001</v>
      </c>
      <c r="AJ382" s="37">
        <f t="shared" si="115"/>
        <v>1585.8513</v>
      </c>
      <c r="AK382" s="37">
        <f t="shared" si="116"/>
        <v>2437.8273480000003</v>
      </c>
      <c r="AL382" s="23">
        <v>140.04</v>
      </c>
      <c r="AM382" s="23">
        <f t="shared" si="104"/>
        <v>140.04</v>
      </c>
      <c r="AN382" s="22">
        <v>79.2</v>
      </c>
      <c r="AO382" s="22">
        <f t="shared" si="100"/>
        <v>79.2</v>
      </c>
      <c r="AP382" s="23">
        <v>25452.57</v>
      </c>
      <c r="AQ382" s="23">
        <f t="shared" si="101"/>
        <v>26474.490685500001</v>
      </c>
      <c r="AR382" s="23">
        <f t="shared" si="105"/>
        <v>26474.490685500001</v>
      </c>
      <c r="AS382" s="23">
        <f t="shared" si="110"/>
        <v>26693.730685500002</v>
      </c>
      <c r="AU382" s="20">
        <f t="shared" si="106"/>
        <v>0</v>
      </c>
      <c r="AV382" s="37">
        <f t="shared" si="102"/>
        <v>54402.0340335</v>
      </c>
      <c r="AW382" s="37">
        <f t="shared" si="111"/>
        <v>183333.03403350001</v>
      </c>
      <c r="BA382" s="20" t="str">
        <f t="shared" si="109"/>
        <v>1 - COU_GEN - Estrella, Elizabeth A</v>
      </c>
    </row>
    <row r="383" spans="1:53" ht="12.75" customHeight="1" x14ac:dyDescent="0.25">
      <c r="A383" s="20">
        <v>371</v>
      </c>
      <c r="B383" s="78" t="s">
        <v>7338</v>
      </c>
      <c r="C383" s="20" t="s">
        <v>7429</v>
      </c>
      <c r="D383" s="20" t="s">
        <v>7430</v>
      </c>
      <c r="E383" s="82">
        <v>100</v>
      </c>
      <c r="F383" s="34">
        <v>44378</v>
      </c>
      <c r="G383" s="20" t="s">
        <v>6730</v>
      </c>
      <c r="H383" s="20">
        <v>15</v>
      </c>
      <c r="K383" s="23">
        <v>109513</v>
      </c>
      <c r="L383" s="23">
        <f t="shared" si="112"/>
        <v>109513</v>
      </c>
      <c r="N383" s="82"/>
      <c r="V383" s="23">
        <f t="shared" si="119"/>
        <v>109513</v>
      </c>
      <c r="W383" s="25">
        <v>1</v>
      </c>
      <c r="X383" s="23">
        <f t="shared" si="113"/>
        <v>109513</v>
      </c>
      <c r="Y383" s="20" t="s">
        <v>1176</v>
      </c>
      <c r="Z383" s="35" t="s">
        <v>6758</v>
      </c>
      <c r="AA383" s="35" t="s">
        <v>6989</v>
      </c>
      <c r="AB383" s="35" t="s">
        <v>6733</v>
      </c>
      <c r="AC383" s="35" t="s">
        <v>7431</v>
      </c>
      <c r="AD383" s="35" t="s">
        <v>7342</v>
      </c>
      <c r="AE383" s="37" t="str">
        <f t="shared" si="103"/>
        <v>51</v>
      </c>
      <c r="AF383" s="37">
        <f t="shared" si="118"/>
        <v>18529.599599999998</v>
      </c>
      <c r="AI383" s="37">
        <f t="shared" si="114"/>
        <v>1587.9385</v>
      </c>
      <c r="AJ383" s="37">
        <f t="shared" si="115"/>
        <v>1347.0099</v>
      </c>
      <c r="AK383" s="37">
        <f t="shared" si="116"/>
        <v>2070.6718040000001</v>
      </c>
      <c r="AL383" s="23">
        <v>140.04</v>
      </c>
      <c r="AM383" s="23">
        <f t="shared" si="104"/>
        <v>140.04</v>
      </c>
      <c r="AN383" s="22">
        <v>79.2</v>
      </c>
      <c r="AO383" s="22">
        <f t="shared" si="100"/>
        <v>79.2</v>
      </c>
      <c r="AP383" s="23">
        <v>33443.96</v>
      </c>
      <c r="AQ383" s="23">
        <f t="shared" si="101"/>
        <v>34786.734993999999</v>
      </c>
      <c r="AR383" s="23">
        <f t="shared" si="105"/>
        <v>34786.734993999999</v>
      </c>
      <c r="AS383" s="23">
        <f t="shared" si="110"/>
        <v>35005.974993999997</v>
      </c>
      <c r="AU383" s="20">
        <f t="shared" si="106"/>
        <v>0</v>
      </c>
      <c r="AV383" s="37">
        <f t="shared" si="102"/>
        <v>58541.194797999997</v>
      </c>
      <c r="AW383" s="37">
        <f t="shared" si="111"/>
        <v>168054.19479799998</v>
      </c>
      <c r="BA383" s="20" t="str">
        <f t="shared" si="109"/>
        <v>1 - MUS_INS - Ettinger, Steve J</v>
      </c>
    </row>
    <row r="384" spans="1:53" ht="12.75" customHeight="1" x14ac:dyDescent="0.25">
      <c r="A384" s="20">
        <v>372</v>
      </c>
      <c r="B384" s="78" t="s">
        <v>7338</v>
      </c>
      <c r="C384" s="20" t="s">
        <v>7432</v>
      </c>
      <c r="D384" s="20" t="s">
        <v>7433</v>
      </c>
      <c r="E384" s="82">
        <v>100</v>
      </c>
      <c r="F384" s="34">
        <v>44378</v>
      </c>
      <c r="G384" s="20" t="s">
        <v>6783</v>
      </c>
      <c r="H384" s="20">
        <v>14</v>
      </c>
      <c r="K384" s="23">
        <v>99663</v>
      </c>
      <c r="L384" s="23">
        <f t="shared" si="112"/>
        <v>99663</v>
      </c>
      <c r="N384" s="82"/>
      <c r="V384" s="23">
        <f t="shared" si="119"/>
        <v>99663</v>
      </c>
      <c r="W384" s="25">
        <v>1</v>
      </c>
      <c r="X384" s="23">
        <f t="shared" si="113"/>
        <v>99663</v>
      </c>
      <c r="Y384" s="20" t="s">
        <v>1727</v>
      </c>
      <c r="Z384" s="35" t="s">
        <v>6758</v>
      </c>
      <c r="AA384" s="35" t="s">
        <v>6772</v>
      </c>
      <c r="AB384" s="35" t="s">
        <v>6733</v>
      </c>
      <c r="AC384" s="35" t="s">
        <v>7052</v>
      </c>
      <c r="AD384" s="35" t="s">
        <v>7342</v>
      </c>
      <c r="AE384" s="37" t="str">
        <f t="shared" si="103"/>
        <v>51</v>
      </c>
      <c r="AF384" s="37">
        <f t="shared" si="118"/>
        <v>16862.979599999999</v>
      </c>
      <c r="AI384" s="37">
        <f t="shared" si="114"/>
        <v>1445.1135000000002</v>
      </c>
      <c r="AJ384" s="37">
        <f t="shared" si="115"/>
        <v>1225.8549</v>
      </c>
      <c r="AK384" s="37">
        <f t="shared" si="116"/>
        <v>1884.4280040000001</v>
      </c>
      <c r="AL384" s="23">
        <v>140.04</v>
      </c>
      <c r="AM384" s="23">
        <f t="shared" si="104"/>
        <v>140.04</v>
      </c>
      <c r="AN384" s="22">
        <v>79.2</v>
      </c>
      <c r="AO384" s="22">
        <f t="shared" si="100"/>
        <v>79.2</v>
      </c>
      <c r="AP384" s="23">
        <v>1415.92</v>
      </c>
      <c r="AQ384" s="23">
        <f t="shared" si="101"/>
        <v>1472.7691880000002</v>
      </c>
      <c r="AR384" s="23">
        <f t="shared" si="105"/>
        <v>1472.7691880000002</v>
      </c>
      <c r="AS384" s="23">
        <f t="shared" si="110"/>
        <v>1692.0091880000002</v>
      </c>
      <c r="AT384" s="37">
        <v>2400</v>
      </c>
      <c r="AU384" s="20">
        <f t="shared" si="106"/>
        <v>2400</v>
      </c>
      <c r="AV384" s="37">
        <f t="shared" si="102"/>
        <v>25510.385192000002</v>
      </c>
      <c r="AW384" s="37">
        <f t="shared" si="111"/>
        <v>125173.385192</v>
      </c>
      <c r="BA384" s="20" t="str">
        <f t="shared" si="109"/>
        <v>1 - PHYS_INS - Fatuzzo, Laura M</v>
      </c>
    </row>
    <row r="385" spans="1:53" ht="12.75" customHeight="1" x14ac:dyDescent="0.25">
      <c r="A385" s="20">
        <v>373</v>
      </c>
      <c r="B385" s="78" t="s">
        <v>7338</v>
      </c>
      <c r="C385" s="20" t="s">
        <v>7434</v>
      </c>
      <c r="D385" s="20" t="s">
        <v>7416</v>
      </c>
      <c r="E385" s="82">
        <v>100</v>
      </c>
      <c r="F385" s="34">
        <v>44378</v>
      </c>
      <c r="G385" s="20" t="s">
        <v>6741</v>
      </c>
      <c r="H385" s="20">
        <v>16</v>
      </c>
      <c r="K385" s="23">
        <v>115944</v>
      </c>
      <c r="L385" s="23">
        <f t="shared" si="112"/>
        <v>115944</v>
      </c>
      <c r="N385" s="82"/>
      <c r="V385" s="23">
        <f t="shared" si="119"/>
        <v>115944</v>
      </c>
      <c r="W385" s="25">
        <v>1</v>
      </c>
      <c r="X385" s="23">
        <f t="shared" si="113"/>
        <v>115944</v>
      </c>
      <c r="Y385" s="20" t="s">
        <v>1619</v>
      </c>
      <c r="Z385" s="35" t="s">
        <v>6758</v>
      </c>
      <c r="AA385" s="35" t="s">
        <v>6772</v>
      </c>
      <c r="AB385" s="35" t="s">
        <v>6733</v>
      </c>
      <c r="AC385" s="35" t="s">
        <v>6773</v>
      </c>
      <c r="AD385" s="35" t="s">
        <v>7342</v>
      </c>
      <c r="AE385" s="37" t="str">
        <f t="shared" si="103"/>
        <v>51</v>
      </c>
      <c r="AF385" s="37">
        <f t="shared" si="118"/>
        <v>19617.7248</v>
      </c>
      <c r="AI385" s="37">
        <f t="shared" si="114"/>
        <v>1681.1880000000001</v>
      </c>
      <c r="AJ385" s="37">
        <f t="shared" si="115"/>
        <v>1426.1112000000001</v>
      </c>
      <c r="AK385" s="37">
        <f t="shared" si="116"/>
        <v>2192.2691520000003</v>
      </c>
      <c r="AL385" s="23">
        <v>140.04</v>
      </c>
      <c r="AM385" s="23">
        <f t="shared" si="104"/>
        <v>140.04</v>
      </c>
      <c r="AN385" s="22">
        <v>79.2</v>
      </c>
      <c r="AO385" s="22">
        <f t="shared" si="100"/>
        <v>79.2</v>
      </c>
      <c r="AP385" s="23">
        <v>13152.04</v>
      </c>
      <c r="AQ385" s="23">
        <f t="shared" si="101"/>
        <v>13680.094406</v>
      </c>
      <c r="AR385" s="23">
        <f t="shared" si="105"/>
        <v>13680.094406</v>
      </c>
      <c r="AS385" s="23">
        <f t="shared" si="110"/>
        <v>13899.334406</v>
      </c>
      <c r="AU385" s="20">
        <f t="shared" si="106"/>
        <v>0</v>
      </c>
      <c r="AV385" s="37">
        <f t="shared" si="102"/>
        <v>38816.627558</v>
      </c>
      <c r="AW385" s="37">
        <f t="shared" si="111"/>
        <v>154760.62755800001</v>
      </c>
      <c r="BA385" s="20" t="str">
        <f t="shared" si="109"/>
        <v>1 - BIO_INS - Fields, Rebecca D</v>
      </c>
    </row>
    <row r="386" spans="1:53" ht="12.75" customHeight="1" x14ac:dyDescent="0.25">
      <c r="A386" s="20">
        <v>374</v>
      </c>
      <c r="B386" s="78" t="s">
        <v>7338</v>
      </c>
      <c r="C386" s="20" t="s">
        <v>7435</v>
      </c>
      <c r="D386" s="20" t="s">
        <v>7436</v>
      </c>
      <c r="E386" s="82">
        <v>100</v>
      </c>
      <c r="F386" s="34">
        <v>44378</v>
      </c>
      <c r="G386" s="20" t="s">
        <v>6783</v>
      </c>
      <c r="H386" s="20">
        <v>12</v>
      </c>
      <c r="K386" s="23">
        <v>93644</v>
      </c>
      <c r="L386" s="23">
        <f t="shared" si="112"/>
        <v>93644</v>
      </c>
      <c r="N386" s="82"/>
      <c r="V386" s="23">
        <f t="shared" si="119"/>
        <v>93644</v>
      </c>
      <c r="W386" s="25">
        <v>1</v>
      </c>
      <c r="X386" s="23">
        <f t="shared" si="113"/>
        <v>93644</v>
      </c>
      <c r="Y386" s="20" t="s">
        <v>2736</v>
      </c>
      <c r="Z386" s="35" t="s">
        <v>6758</v>
      </c>
      <c r="AA386" s="35" t="s">
        <v>7362</v>
      </c>
      <c r="AB386" s="35" t="s">
        <v>6733</v>
      </c>
      <c r="AC386" s="35" t="s">
        <v>7437</v>
      </c>
      <c r="AD386" s="35" t="s">
        <v>7342</v>
      </c>
      <c r="AE386" s="37" t="str">
        <f t="shared" si="103"/>
        <v>51</v>
      </c>
      <c r="AF386" s="37">
        <f t="shared" si="118"/>
        <v>15844.564799999998</v>
      </c>
      <c r="AI386" s="37">
        <f t="shared" si="114"/>
        <v>1357.838</v>
      </c>
      <c r="AJ386" s="37">
        <f t="shared" si="115"/>
        <v>1151.8212000000001</v>
      </c>
      <c r="AK386" s="37">
        <f t="shared" si="116"/>
        <v>1770.620752</v>
      </c>
      <c r="AL386" s="23">
        <v>140.04</v>
      </c>
      <c r="AM386" s="23">
        <f t="shared" si="104"/>
        <v>140.04</v>
      </c>
      <c r="AN386" s="22">
        <v>79.2</v>
      </c>
      <c r="AO386" s="22">
        <f t="shared" ref="AO386:AO450" si="120">AN386*W386</f>
        <v>79.2</v>
      </c>
      <c r="AP386" s="23">
        <v>33443.96</v>
      </c>
      <c r="AQ386" s="23">
        <f t="shared" ref="AQ386:AQ450" si="121">AP386/2+(((AP386/2)*$AQ$1)+AP386/2)</f>
        <v>34786.734993999999</v>
      </c>
      <c r="AR386" s="23">
        <f t="shared" si="105"/>
        <v>34786.734993999999</v>
      </c>
      <c r="AS386" s="23">
        <f t="shared" si="110"/>
        <v>35005.974993999997</v>
      </c>
      <c r="AU386" s="20">
        <f t="shared" si="106"/>
        <v>0</v>
      </c>
      <c r="AV386" s="37">
        <f t="shared" ref="AV386:AV450" si="122">+AF386+AG386+AH386+AI386+AJ386+AK386+AM386+AO386+AR386+AU386</f>
        <v>55130.819745999994</v>
      </c>
      <c r="AW386" s="37">
        <f t="shared" si="111"/>
        <v>148774.81974599999</v>
      </c>
      <c r="BA386" s="20" t="str">
        <f t="shared" si="109"/>
        <v>1 - SPAN_INS - Flores, Janet</v>
      </c>
    </row>
    <row r="387" spans="1:53" ht="12.75" hidden="1" customHeight="1" x14ac:dyDescent="0.25">
      <c r="A387" s="20">
        <v>375</v>
      </c>
      <c r="B387" s="78" t="s">
        <v>7338</v>
      </c>
      <c r="C387" s="20" t="s">
        <v>7438</v>
      </c>
      <c r="D387" s="20" t="s">
        <v>7439</v>
      </c>
      <c r="E387" s="82">
        <v>100</v>
      </c>
      <c r="F387" s="34">
        <v>44378</v>
      </c>
      <c r="G387" s="20" t="s">
        <v>6730</v>
      </c>
      <c r="H387" s="20">
        <v>10</v>
      </c>
      <c r="K387" s="23">
        <v>99869</v>
      </c>
      <c r="L387" s="23">
        <f t="shared" si="112"/>
        <v>99869</v>
      </c>
      <c r="N387" s="82"/>
      <c r="V387" s="23">
        <f t="shared" si="119"/>
        <v>99869</v>
      </c>
      <c r="W387" s="25">
        <v>0.25</v>
      </c>
      <c r="X387" s="23">
        <f t="shared" si="113"/>
        <v>24967.25</v>
      </c>
      <c r="Y387" s="20" t="s">
        <v>4134</v>
      </c>
      <c r="Z387" s="35" t="s">
        <v>6731</v>
      </c>
      <c r="AA387" s="35" t="s">
        <v>6772</v>
      </c>
      <c r="AB387" s="35" t="s">
        <v>6733</v>
      </c>
      <c r="AC387" s="35" t="s">
        <v>6849</v>
      </c>
      <c r="AD387" s="35" t="s">
        <v>7348</v>
      </c>
      <c r="AE387" s="37" t="str">
        <f t="shared" ref="AE387:AE451" si="123">LEFT(AD387,2)</f>
        <v>51</v>
      </c>
      <c r="AF387" s="37">
        <f t="shared" si="118"/>
        <v>4224.4587000000001</v>
      </c>
      <c r="AI387" s="37">
        <f t="shared" si="114"/>
        <v>362.025125</v>
      </c>
      <c r="AJ387" s="37">
        <f t="shared" si="115"/>
        <v>307.09717499999999</v>
      </c>
      <c r="AK387" s="37">
        <f t="shared" si="116"/>
        <v>472.08076300000005</v>
      </c>
      <c r="AL387" s="23">
        <v>140.04</v>
      </c>
      <c r="AM387" s="23">
        <f t="shared" ref="AM387:AM451" si="124">AL387*W387</f>
        <v>35.01</v>
      </c>
      <c r="AN387" s="22">
        <v>79.2</v>
      </c>
      <c r="AO387" s="22">
        <f t="shared" si="120"/>
        <v>19.8</v>
      </c>
      <c r="AP387" s="23">
        <v>7584.06</v>
      </c>
      <c r="AQ387" s="23">
        <f t="shared" si="121"/>
        <v>7888.5600090000007</v>
      </c>
      <c r="AR387" s="23">
        <f t="shared" ref="AR387:AR451" si="125">AQ387*W387</f>
        <v>1972.1400022500002</v>
      </c>
      <c r="AS387" s="23">
        <f t="shared" si="110"/>
        <v>2026.9500022500001</v>
      </c>
      <c r="AT387" s="37">
        <v>2400</v>
      </c>
      <c r="AU387" s="20">
        <f t="shared" ref="AU387:AU451" si="126">AT387*W387</f>
        <v>600</v>
      </c>
      <c r="AV387" s="37">
        <f t="shared" si="122"/>
        <v>7992.6117652500006</v>
      </c>
      <c r="AW387" s="37">
        <f t="shared" si="111"/>
        <v>32959.861765250003</v>
      </c>
      <c r="AX387" s="20" t="s">
        <v>6850</v>
      </c>
      <c r="AY387" s="20" t="s">
        <v>6851</v>
      </c>
      <c r="AZ387" s="20" t="s">
        <v>6852</v>
      </c>
      <c r="BA387" s="20" t="str">
        <f t="shared" si="109"/>
        <v>0.25 - COU_STEM - Foley, Brooksley L</v>
      </c>
    </row>
    <row r="388" spans="1:53" s="39" customFormat="1" ht="12.75" customHeight="1" x14ac:dyDescent="0.25">
      <c r="A388" s="39" t="s">
        <v>7440</v>
      </c>
      <c r="B388" s="83" t="s">
        <v>7338</v>
      </c>
      <c r="C388" s="39" t="s">
        <v>7438</v>
      </c>
      <c r="D388" s="39" t="s">
        <v>7439</v>
      </c>
      <c r="E388" s="84">
        <v>100</v>
      </c>
      <c r="F388" s="42">
        <v>44378</v>
      </c>
      <c r="G388" s="39" t="s">
        <v>6730</v>
      </c>
      <c r="H388" s="39">
        <v>10</v>
      </c>
      <c r="I388" s="44"/>
      <c r="K388" s="45">
        <v>99869</v>
      </c>
      <c r="L388" s="45">
        <f t="shared" si="112"/>
        <v>99869</v>
      </c>
      <c r="M388" s="45"/>
      <c r="N388" s="84"/>
      <c r="O388" s="46"/>
      <c r="P388" s="45"/>
      <c r="Q388" s="47"/>
      <c r="R388" s="45"/>
      <c r="S388" s="47"/>
      <c r="T388" s="45"/>
      <c r="U388" s="45"/>
      <c r="V388" s="45">
        <f t="shared" si="119"/>
        <v>99869</v>
      </c>
      <c r="W388" s="46">
        <v>0.75</v>
      </c>
      <c r="X388" s="45">
        <f t="shared" si="113"/>
        <v>74901.75</v>
      </c>
      <c r="Y388" s="39" t="s">
        <v>2886</v>
      </c>
      <c r="Z388" s="43" t="s">
        <v>6758</v>
      </c>
      <c r="AA388" s="43" t="s">
        <v>6752</v>
      </c>
      <c r="AB388" s="43" t="s">
        <v>6733</v>
      </c>
      <c r="AC388" s="43" t="s">
        <v>6800</v>
      </c>
      <c r="AD388" s="43" t="s">
        <v>7348</v>
      </c>
      <c r="AE388" s="37" t="str">
        <f t="shared" si="123"/>
        <v>51</v>
      </c>
      <c r="AF388" s="49">
        <f t="shared" si="118"/>
        <v>12673.376099999999</v>
      </c>
      <c r="AI388" s="49">
        <f t="shared" si="114"/>
        <v>1086.0753750000001</v>
      </c>
      <c r="AJ388" s="49">
        <f t="shared" si="115"/>
        <v>921.29152499999998</v>
      </c>
      <c r="AK388" s="49">
        <f t="shared" si="116"/>
        <v>1416.242289</v>
      </c>
      <c r="AL388" s="45">
        <v>140.04</v>
      </c>
      <c r="AM388" s="23">
        <f t="shared" si="124"/>
        <v>105.03</v>
      </c>
      <c r="AN388" s="44">
        <v>79.2</v>
      </c>
      <c r="AO388" s="22">
        <f t="shared" si="120"/>
        <v>59.400000000000006</v>
      </c>
      <c r="AP388" s="45">
        <v>7584.06</v>
      </c>
      <c r="AQ388" s="23">
        <f t="shared" si="121"/>
        <v>7888.5600090000007</v>
      </c>
      <c r="AR388" s="23">
        <f t="shared" si="125"/>
        <v>5916.4200067500005</v>
      </c>
      <c r="AS388" s="45">
        <f t="shared" si="110"/>
        <v>6080.8500067500008</v>
      </c>
      <c r="AT388" s="49">
        <v>2400</v>
      </c>
      <c r="AU388" s="20">
        <f t="shared" si="126"/>
        <v>1800</v>
      </c>
      <c r="AV388" s="37">
        <f t="shared" si="122"/>
        <v>23977.835295750003</v>
      </c>
      <c r="AW388" s="49">
        <f t="shared" si="111"/>
        <v>98879.585295750003</v>
      </c>
      <c r="BA388" s="39" t="str">
        <f t="shared" si="109"/>
        <v>0.75 - COU_STEM - Foley, Brooksley L</v>
      </c>
    </row>
    <row r="389" spans="1:53" ht="12.75" customHeight="1" x14ac:dyDescent="0.25">
      <c r="A389" s="20">
        <v>376</v>
      </c>
      <c r="B389" s="78" t="s">
        <v>7338</v>
      </c>
      <c r="C389" s="20" t="s">
        <v>7441</v>
      </c>
      <c r="D389" s="20" t="s">
        <v>7442</v>
      </c>
      <c r="E389" s="82">
        <v>100</v>
      </c>
      <c r="F389" s="34">
        <v>44378</v>
      </c>
      <c r="G389" s="20" t="s">
        <v>6783</v>
      </c>
      <c r="H389" s="20">
        <v>11</v>
      </c>
      <c r="K389" s="23">
        <v>90635</v>
      </c>
      <c r="L389" s="23">
        <f t="shared" si="112"/>
        <v>90635</v>
      </c>
      <c r="N389" s="82"/>
      <c r="V389" s="23">
        <f t="shared" si="119"/>
        <v>90635</v>
      </c>
      <c r="W389" s="25">
        <v>1</v>
      </c>
      <c r="X389" s="23">
        <f t="shared" si="113"/>
        <v>90635</v>
      </c>
      <c r="Y389" s="20" t="s">
        <v>1475</v>
      </c>
      <c r="Z389" s="35" t="s">
        <v>6758</v>
      </c>
      <c r="AA389" s="35" t="s">
        <v>6941</v>
      </c>
      <c r="AB389" s="35" t="s">
        <v>6733</v>
      </c>
      <c r="AC389" s="35" t="s">
        <v>7443</v>
      </c>
      <c r="AD389" s="35" t="s">
        <v>7342</v>
      </c>
      <c r="AE389" s="37" t="str">
        <f t="shared" si="123"/>
        <v>51</v>
      </c>
      <c r="AF389" s="37">
        <f t="shared" si="118"/>
        <v>15335.441999999999</v>
      </c>
      <c r="AI389" s="37">
        <f t="shared" si="114"/>
        <v>1314.2075</v>
      </c>
      <c r="AJ389" s="37">
        <f t="shared" si="115"/>
        <v>1114.8105</v>
      </c>
      <c r="AK389" s="37">
        <f t="shared" si="116"/>
        <v>1713.72658</v>
      </c>
      <c r="AL389" s="23">
        <v>140.04</v>
      </c>
      <c r="AM389" s="23">
        <f t="shared" si="124"/>
        <v>140.04</v>
      </c>
      <c r="AN389" s="22">
        <v>79.2</v>
      </c>
      <c r="AO389" s="22">
        <f t="shared" si="120"/>
        <v>79.2</v>
      </c>
      <c r="AP389" s="23">
        <v>33443.96</v>
      </c>
      <c r="AQ389" s="23">
        <f t="shared" si="121"/>
        <v>34786.734993999999</v>
      </c>
      <c r="AR389" s="23">
        <f t="shared" si="125"/>
        <v>34786.734993999999</v>
      </c>
      <c r="AS389" s="23">
        <f t="shared" si="110"/>
        <v>35005.974993999997</v>
      </c>
      <c r="AU389" s="20">
        <f t="shared" si="126"/>
        <v>0</v>
      </c>
      <c r="AV389" s="37">
        <f t="shared" si="122"/>
        <v>54484.161573999998</v>
      </c>
      <c r="AW389" s="37">
        <f t="shared" si="111"/>
        <v>145119.161574</v>
      </c>
      <c r="BA389" s="20" t="str">
        <f t="shared" si="109"/>
        <v>1 - ADTPE_INS - Gabriel, Ashley K</v>
      </c>
    </row>
    <row r="390" spans="1:53" ht="12.75" hidden="1" customHeight="1" x14ac:dyDescent="0.25">
      <c r="A390" s="20">
        <v>377</v>
      </c>
      <c r="B390" s="78" t="s">
        <v>7338</v>
      </c>
      <c r="C390" s="52" t="s">
        <v>7444</v>
      </c>
      <c r="D390" s="20" t="s">
        <v>7445</v>
      </c>
      <c r="E390" s="82">
        <v>100</v>
      </c>
      <c r="F390" s="34">
        <v>44378</v>
      </c>
      <c r="G390" s="20" t="s">
        <v>6729</v>
      </c>
      <c r="H390" s="20">
        <v>6</v>
      </c>
      <c r="K390" s="23">
        <v>79012</v>
      </c>
      <c r="L390" s="23">
        <f t="shared" si="112"/>
        <v>79012</v>
      </c>
      <c r="N390" s="82"/>
      <c r="V390" s="23">
        <f t="shared" si="119"/>
        <v>79012</v>
      </c>
      <c r="W390" s="25">
        <v>1</v>
      </c>
      <c r="X390" s="23">
        <f t="shared" si="113"/>
        <v>79012</v>
      </c>
      <c r="Y390" s="20" t="s">
        <v>7446</v>
      </c>
      <c r="Z390" s="35" t="s">
        <v>6731</v>
      </c>
      <c r="AA390" s="35" t="s">
        <v>6742</v>
      </c>
      <c r="AB390" s="35" t="s">
        <v>6733</v>
      </c>
      <c r="AC390" s="35" t="s">
        <v>7447</v>
      </c>
      <c r="AD390" s="35" t="s">
        <v>7342</v>
      </c>
      <c r="AE390" s="37" t="str">
        <f t="shared" si="123"/>
        <v>51</v>
      </c>
      <c r="AF390" s="37"/>
      <c r="AG390" s="37">
        <f>X390*$AG$1</f>
        <v>18101.6492</v>
      </c>
      <c r="AH390" s="37">
        <f>X390*$AH$1</f>
        <v>4898.7439999999997</v>
      </c>
      <c r="AI390" s="37">
        <f t="shared" si="114"/>
        <v>1145.674</v>
      </c>
      <c r="AJ390" s="37">
        <f t="shared" si="115"/>
        <v>971.84760000000006</v>
      </c>
      <c r="AK390" s="37">
        <f t="shared" si="116"/>
        <v>1493.9588960000001</v>
      </c>
      <c r="AL390" s="23">
        <v>140.04</v>
      </c>
      <c r="AM390" s="23">
        <f t="shared" si="124"/>
        <v>140.04</v>
      </c>
      <c r="AN390" s="22">
        <v>79.2</v>
      </c>
      <c r="AO390" s="22">
        <f t="shared" si="120"/>
        <v>79.2</v>
      </c>
      <c r="AP390" s="23">
        <v>25452.6</v>
      </c>
      <c r="AQ390" s="23">
        <f t="shared" si="121"/>
        <v>26474.521889999996</v>
      </c>
      <c r="AR390" s="23">
        <f t="shared" si="125"/>
        <v>26474.521889999996</v>
      </c>
      <c r="AS390" s="23">
        <f t="shared" si="110"/>
        <v>26693.761889999998</v>
      </c>
      <c r="AT390" s="37"/>
      <c r="AU390" s="20">
        <f t="shared" si="126"/>
        <v>0</v>
      </c>
      <c r="AV390" s="37">
        <f t="shared" si="122"/>
        <v>53305.635585999997</v>
      </c>
      <c r="AW390" s="37">
        <f t="shared" si="111"/>
        <v>132317.63558599999</v>
      </c>
      <c r="AX390" s="20" t="s">
        <v>6675</v>
      </c>
      <c r="AY390" s="20" t="s">
        <v>6745</v>
      </c>
      <c r="AZ390" s="20" t="s">
        <v>6748</v>
      </c>
      <c r="BA390" s="20" t="str">
        <f t="shared" ref="BA390:BA454" si="127">CONCATENATE(W390," - ",D390," - ",C390)</f>
        <v>1 - CWEX_INS - VACANT (Garcia)</v>
      </c>
    </row>
    <row r="391" spans="1:53" s="39" customFormat="1" ht="12.75" hidden="1" customHeight="1" x14ac:dyDescent="0.25">
      <c r="A391" s="39">
        <v>378</v>
      </c>
      <c r="B391" s="83" t="s">
        <v>7338</v>
      </c>
      <c r="C391" s="39" t="s">
        <v>7614</v>
      </c>
      <c r="D391" s="39" t="s">
        <v>7381</v>
      </c>
      <c r="E391" s="41">
        <v>1</v>
      </c>
      <c r="F391" s="42">
        <v>44378</v>
      </c>
      <c r="G391" s="39" t="s">
        <v>6783</v>
      </c>
      <c r="H391" s="39">
        <v>20</v>
      </c>
      <c r="I391" s="44"/>
      <c r="K391" s="45">
        <v>117266</v>
      </c>
      <c r="L391" s="45">
        <f t="shared" si="112"/>
        <v>117266</v>
      </c>
      <c r="M391" s="45"/>
      <c r="N391" s="84"/>
      <c r="O391" s="46"/>
      <c r="P391" s="45"/>
      <c r="Q391" s="47"/>
      <c r="R391" s="45"/>
      <c r="S391" s="47"/>
      <c r="T391" s="45"/>
      <c r="U391" s="45"/>
      <c r="V391" s="45">
        <f t="shared" si="119"/>
        <v>117266</v>
      </c>
      <c r="W391" s="46">
        <v>1</v>
      </c>
      <c r="X391" s="45">
        <f t="shared" si="113"/>
        <v>117266</v>
      </c>
      <c r="Y391" s="39" t="s">
        <v>7446</v>
      </c>
      <c r="Z391" s="43" t="s">
        <v>6731</v>
      </c>
      <c r="AA391" s="43" t="s">
        <v>6742</v>
      </c>
      <c r="AB391" s="43" t="s">
        <v>6733</v>
      </c>
      <c r="AC391" s="43" t="s">
        <v>7382</v>
      </c>
      <c r="AD391" s="43" t="s">
        <v>7342</v>
      </c>
      <c r="AE391" s="49" t="str">
        <f t="shared" si="123"/>
        <v>51</v>
      </c>
      <c r="AF391" s="49">
        <f t="shared" ref="AF391:AF423" si="128">X391*$AF$1</f>
        <v>19841.407199999998</v>
      </c>
      <c r="AI391" s="49">
        <f t="shared" si="114"/>
        <v>1700.3570000000002</v>
      </c>
      <c r="AJ391" s="49">
        <f t="shared" si="115"/>
        <v>1442.3718000000001</v>
      </c>
      <c r="AK391" s="49">
        <f t="shared" si="116"/>
        <v>2217.2655280000004</v>
      </c>
      <c r="AL391" s="45">
        <v>140.04</v>
      </c>
      <c r="AM391" s="45">
        <f t="shared" si="124"/>
        <v>140.04</v>
      </c>
      <c r="AN391" s="44">
        <v>79.2</v>
      </c>
      <c r="AO391" s="44">
        <f t="shared" si="120"/>
        <v>79.2</v>
      </c>
      <c r="AP391" s="45">
        <v>33443.96</v>
      </c>
      <c r="AQ391" s="45">
        <f t="shared" si="121"/>
        <v>34786.734993999999</v>
      </c>
      <c r="AR391" s="45">
        <f t="shared" si="125"/>
        <v>34786.734993999999</v>
      </c>
      <c r="AS391" s="45">
        <f t="shared" ref="AS391:AS455" si="129">+AM391+AO391+AR391</f>
        <v>35005.974993999997</v>
      </c>
      <c r="AU391" s="39">
        <f t="shared" si="126"/>
        <v>0</v>
      </c>
      <c r="AV391" s="49">
        <f t="shared" si="122"/>
        <v>60207.376521999999</v>
      </c>
      <c r="AW391" s="49">
        <f t="shared" ref="AW391:AW455" si="130">+X391+AV391</f>
        <v>177473.37652200001</v>
      </c>
      <c r="BA391" s="39" t="str">
        <f t="shared" si="127"/>
        <v>1 - NRS_INS - To be hired - VACANT (Gifford, Toni M)</v>
      </c>
    </row>
    <row r="392" spans="1:53" s="39" customFormat="1" ht="12.75" customHeight="1" x14ac:dyDescent="0.25">
      <c r="A392" s="39">
        <v>379</v>
      </c>
      <c r="B392" s="83" t="s">
        <v>7338</v>
      </c>
      <c r="C392" s="39" t="s">
        <v>7614</v>
      </c>
      <c r="D392" s="39" t="s">
        <v>7381</v>
      </c>
      <c r="E392" s="41">
        <v>1</v>
      </c>
      <c r="F392" s="42">
        <v>44378</v>
      </c>
      <c r="G392" s="39" t="s">
        <v>6783</v>
      </c>
      <c r="H392" s="39">
        <v>20</v>
      </c>
      <c r="I392" s="44"/>
      <c r="K392" s="45">
        <v>117266</v>
      </c>
      <c r="L392" s="45">
        <f t="shared" si="112"/>
        <v>117266</v>
      </c>
      <c r="M392" s="45"/>
      <c r="N392" s="84"/>
      <c r="O392" s="46"/>
      <c r="P392" s="45"/>
      <c r="Q392" s="47"/>
      <c r="R392" s="45"/>
      <c r="S392" s="47"/>
      <c r="T392" s="45"/>
      <c r="U392" s="45"/>
      <c r="V392" s="45">
        <f t="shared" si="119"/>
        <v>117266</v>
      </c>
      <c r="W392" s="46">
        <v>0</v>
      </c>
      <c r="X392" s="45">
        <f t="shared" si="113"/>
        <v>0</v>
      </c>
      <c r="Y392" s="39" t="s">
        <v>1962</v>
      </c>
      <c r="Z392" s="43" t="s">
        <v>6758</v>
      </c>
      <c r="AA392" s="43" t="s">
        <v>6901</v>
      </c>
      <c r="AB392" s="43" t="s">
        <v>6733</v>
      </c>
      <c r="AC392" s="43" t="s">
        <v>7409</v>
      </c>
      <c r="AD392" s="43" t="s">
        <v>7342</v>
      </c>
      <c r="AE392" s="49" t="str">
        <f t="shared" si="123"/>
        <v>51</v>
      </c>
      <c r="AF392" s="49">
        <f t="shared" si="128"/>
        <v>0</v>
      </c>
      <c r="AI392" s="49">
        <f t="shared" si="114"/>
        <v>0</v>
      </c>
      <c r="AJ392" s="49">
        <f t="shared" si="115"/>
        <v>0</v>
      </c>
      <c r="AK392" s="49">
        <f t="shared" si="116"/>
        <v>0</v>
      </c>
      <c r="AL392" s="45">
        <v>140.04</v>
      </c>
      <c r="AM392" s="45">
        <f t="shared" si="124"/>
        <v>0</v>
      </c>
      <c r="AN392" s="44">
        <v>79.2</v>
      </c>
      <c r="AO392" s="44">
        <f t="shared" si="120"/>
        <v>0</v>
      </c>
      <c r="AP392" s="45">
        <v>33443.96</v>
      </c>
      <c r="AQ392" s="45">
        <f t="shared" si="121"/>
        <v>34786.734993999999</v>
      </c>
      <c r="AR392" s="45">
        <f t="shared" si="125"/>
        <v>0</v>
      </c>
      <c r="AS392" s="45">
        <f t="shared" si="129"/>
        <v>0</v>
      </c>
      <c r="AU392" s="39">
        <f t="shared" si="126"/>
        <v>0</v>
      </c>
      <c r="AV392" s="49">
        <f t="shared" si="122"/>
        <v>0</v>
      </c>
      <c r="AW392" s="49">
        <f t="shared" si="130"/>
        <v>0</v>
      </c>
      <c r="BA392" s="39" t="str">
        <f t="shared" si="127"/>
        <v>0 - NRS_INS - To be hired - VACANT (Gifford, Toni M)</v>
      </c>
    </row>
    <row r="393" spans="1:53" ht="12.75" customHeight="1" x14ac:dyDescent="0.25">
      <c r="A393" s="20">
        <v>380</v>
      </c>
      <c r="B393" s="78" t="s">
        <v>7338</v>
      </c>
      <c r="C393" s="20" t="s">
        <v>7448</v>
      </c>
      <c r="D393" s="20" t="s">
        <v>7449</v>
      </c>
      <c r="E393" s="82">
        <v>100</v>
      </c>
      <c r="F393" s="34">
        <v>44378</v>
      </c>
      <c r="G393" s="20" t="s">
        <v>6741</v>
      </c>
      <c r="H393" s="20">
        <v>13</v>
      </c>
      <c r="K393" s="23">
        <v>106918</v>
      </c>
      <c r="L393" s="23">
        <f t="shared" si="112"/>
        <v>106918</v>
      </c>
      <c r="N393" s="82"/>
      <c r="V393" s="23">
        <f t="shared" si="119"/>
        <v>106918</v>
      </c>
      <c r="W393" s="25">
        <v>1</v>
      </c>
      <c r="X393" s="23">
        <f t="shared" si="113"/>
        <v>106918</v>
      </c>
      <c r="Y393" s="20" t="s">
        <v>1197</v>
      </c>
      <c r="Z393" s="35" t="s">
        <v>6758</v>
      </c>
      <c r="AA393" s="35" t="s">
        <v>6989</v>
      </c>
      <c r="AB393" s="35" t="s">
        <v>6733</v>
      </c>
      <c r="AC393" s="35" t="s">
        <v>7450</v>
      </c>
      <c r="AD393" s="35" t="s">
        <v>7342</v>
      </c>
      <c r="AE393" s="37" t="str">
        <f t="shared" si="123"/>
        <v>51</v>
      </c>
      <c r="AF393" s="37">
        <f t="shared" si="128"/>
        <v>18090.525599999997</v>
      </c>
      <c r="AI393" s="37">
        <f t="shared" si="114"/>
        <v>1550.3110000000001</v>
      </c>
      <c r="AJ393" s="37">
        <f t="shared" si="115"/>
        <v>1315.0914</v>
      </c>
      <c r="AK393" s="37">
        <f t="shared" si="116"/>
        <v>2021.6055440000002</v>
      </c>
      <c r="AL393" s="23">
        <v>140.04</v>
      </c>
      <c r="AM393" s="23">
        <f t="shared" si="124"/>
        <v>140.04</v>
      </c>
      <c r="AN393" s="22">
        <v>79.2</v>
      </c>
      <c r="AO393" s="22">
        <f t="shared" si="120"/>
        <v>79.2</v>
      </c>
      <c r="AP393" s="23">
        <v>33443.96</v>
      </c>
      <c r="AQ393" s="23">
        <f t="shared" si="121"/>
        <v>34786.734993999999</v>
      </c>
      <c r="AR393" s="23">
        <f t="shared" si="125"/>
        <v>34786.734993999999</v>
      </c>
      <c r="AS393" s="23">
        <f t="shared" si="129"/>
        <v>35005.974993999997</v>
      </c>
      <c r="AU393" s="20">
        <f t="shared" si="126"/>
        <v>0</v>
      </c>
      <c r="AV393" s="37">
        <f t="shared" si="122"/>
        <v>57983.508538000002</v>
      </c>
      <c r="AW393" s="37">
        <f t="shared" si="130"/>
        <v>164901.50853799999</v>
      </c>
      <c r="BA393" s="20" t="str">
        <f t="shared" si="127"/>
        <v>1 - TH_ART_INS - Glazier, Marnie J</v>
      </c>
    </row>
    <row r="394" spans="1:53" ht="12.75" customHeight="1" x14ac:dyDescent="0.25">
      <c r="A394" s="20">
        <v>381</v>
      </c>
      <c r="B394" s="78" t="s">
        <v>7338</v>
      </c>
      <c r="C394" s="20" t="s">
        <v>7448</v>
      </c>
      <c r="D394" s="20" t="s">
        <v>7451</v>
      </c>
      <c r="E394" s="82">
        <v>100</v>
      </c>
      <c r="F394" s="34">
        <v>44378</v>
      </c>
      <c r="G394" s="20" t="s">
        <v>6741</v>
      </c>
      <c r="H394" s="20">
        <v>13</v>
      </c>
      <c r="K394" s="23">
        <v>106918</v>
      </c>
      <c r="L394" s="23">
        <f t="shared" si="112"/>
        <v>106918</v>
      </c>
      <c r="N394" s="82"/>
      <c r="V394" s="23">
        <f t="shared" si="119"/>
        <v>106918</v>
      </c>
      <c r="W394" s="25">
        <v>0</v>
      </c>
      <c r="X394" s="23">
        <f t="shared" si="113"/>
        <v>0</v>
      </c>
      <c r="Y394" s="20" t="s">
        <v>2772</v>
      </c>
      <c r="Z394" s="35" t="s">
        <v>6758</v>
      </c>
      <c r="AA394" s="35" t="s">
        <v>7362</v>
      </c>
      <c r="AB394" s="35" t="s">
        <v>6733</v>
      </c>
      <c r="AC394" s="35" t="s">
        <v>7452</v>
      </c>
      <c r="AD394" s="35" t="s">
        <v>7342</v>
      </c>
      <c r="AE394" s="37" t="str">
        <f t="shared" si="123"/>
        <v>51</v>
      </c>
      <c r="AF394" s="37">
        <f t="shared" si="128"/>
        <v>0</v>
      </c>
      <c r="AI394" s="37">
        <f t="shared" si="114"/>
        <v>0</v>
      </c>
      <c r="AJ394" s="37">
        <f t="shared" si="115"/>
        <v>0</v>
      </c>
      <c r="AK394" s="37">
        <f t="shared" si="116"/>
        <v>0</v>
      </c>
      <c r="AL394" s="23">
        <v>140.04</v>
      </c>
      <c r="AM394" s="23">
        <f t="shared" si="124"/>
        <v>0</v>
      </c>
      <c r="AN394" s="22">
        <v>79.2</v>
      </c>
      <c r="AO394" s="22">
        <f t="shared" si="120"/>
        <v>0</v>
      </c>
      <c r="AP394" s="23">
        <v>33443.96</v>
      </c>
      <c r="AQ394" s="23">
        <f t="shared" si="121"/>
        <v>34786.734993999999</v>
      </c>
      <c r="AR394" s="23">
        <f t="shared" si="125"/>
        <v>0</v>
      </c>
      <c r="AS394" s="23">
        <f t="shared" si="129"/>
        <v>0</v>
      </c>
      <c r="AU394" s="20">
        <f t="shared" si="126"/>
        <v>0</v>
      </c>
      <c r="AV394" s="37">
        <f t="shared" si="122"/>
        <v>0</v>
      </c>
      <c r="AW394" s="37">
        <f t="shared" si="130"/>
        <v>0</v>
      </c>
      <c r="BA394" s="20" t="str">
        <f t="shared" si="127"/>
        <v>0 - COMM_INS - Glazier, Marnie J</v>
      </c>
    </row>
    <row r="395" spans="1:53" ht="12.75" customHeight="1" x14ac:dyDescent="0.25">
      <c r="A395" s="20">
        <v>382</v>
      </c>
      <c r="B395" s="78" t="s">
        <v>7338</v>
      </c>
      <c r="C395" s="20" t="s">
        <v>7453</v>
      </c>
      <c r="D395" s="20" t="s">
        <v>7454</v>
      </c>
      <c r="E395" s="82">
        <v>100</v>
      </c>
      <c r="F395" s="34">
        <v>44378</v>
      </c>
      <c r="G395" s="20" t="s">
        <v>6741</v>
      </c>
      <c r="H395" s="20">
        <v>16</v>
      </c>
      <c r="K395" s="23">
        <v>115944</v>
      </c>
      <c r="L395" s="23">
        <f t="shared" si="112"/>
        <v>115944</v>
      </c>
      <c r="N395" s="82"/>
      <c r="V395" s="23">
        <f t="shared" si="119"/>
        <v>115944</v>
      </c>
      <c r="W395" s="25">
        <v>1</v>
      </c>
      <c r="X395" s="23">
        <f t="shared" si="113"/>
        <v>115944</v>
      </c>
      <c r="Y395" s="20" t="s">
        <v>2753</v>
      </c>
      <c r="Z395" s="35" t="s">
        <v>6758</v>
      </c>
      <c r="AA395" s="35" t="s">
        <v>7362</v>
      </c>
      <c r="AB395" s="35" t="s">
        <v>6733</v>
      </c>
      <c r="AC395" s="35" t="s">
        <v>7455</v>
      </c>
      <c r="AD395" s="35" t="s">
        <v>7342</v>
      </c>
      <c r="AE395" s="37" t="str">
        <f t="shared" si="123"/>
        <v>51</v>
      </c>
      <c r="AF395" s="37">
        <f t="shared" si="128"/>
        <v>19617.7248</v>
      </c>
      <c r="AI395" s="37">
        <f t="shared" si="114"/>
        <v>1681.1880000000001</v>
      </c>
      <c r="AJ395" s="37">
        <f t="shared" si="115"/>
        <v>1426.1112000000001</v>
      </c>
      <c r="AK395" s="37">
        <f t="shared" si="116"/>
        <v>2192.2691520000003</v>
      </c>
      <c r="AL395" s="23">
        <v>140.04</v>
      </c>
      <c r="AM395" s="23">
        <f t="shared" si="124"/>
        <v>140.04</v>
      </c>
      <c r="AN395" s="22">
        <v>79.2</v>
      </c>
      <c r="AO395" s="22">
        <f t="shared" si="120"/>
        <v>79.2</v>
      </c>
      <c r="AP395" s="23">
        <v>25452.57</v>
      </c>
      <c r="AQ395" s="23">
        <f t="shared" si="121"/>
        <v>26474.490685500001</v>
      </c>
      <c r="AR395" s="23">
        <f t="shared" si="125"/>
        <v>26474.490685500001</v>
      </c>
      <c r="AS395" s="23">
        <f t="shared" si="129"/>
        <v>26693.730685500002</v>
      </c>
      <c r="AU395" s="20">
        <f t="shared" si="126"/>
        <v>0</v>
      </c>
      <c r="AV395" s="37">
        <f t="shared" si="122"/>
        <v>51611.023837500004</v>
      </c>
      <c r="AW395" s="37">
        <f t="shared" si="130"/>
        <v>167555.02383750002</v>
      </c>
      <c r="BA395" s="20" t="str">
        <f t="shared" si="127"/>
        <v>1 - ENG_INS - Gray, Peter M</v>
      </c>
    </row>
    <row r="396" spans="1:53" ht="12.75" customHeight="1" x14ac:dyDescent="0.25">
      <c r="A396" s="20">
        <v>383</v>
      </c>
      <c r="B396" s="78" t="s">
        <v>7338</v>
      </c>
      <c r="C396" s="20" t="s">
        <v>7456</v>
      </c>
      <c r="D396" s="20" t="s">
        <v>7398</v>
      </c>
      <c r="E396" s="82">
        <v>100</v>
      </c>
      <c r="F396" s="34">
        <v>44378</v>
      </c>
      <c r="G396" s="20" t="s">
        <v>6783</v>
      </c>
      <c r="H396" s="20">
        <v>7</v>
      </c>
      <c r="K396" s="23">
        <v>79475</v>
      </c>
      <c r="L396" s="23">
        <f t="shared" ref="L396:L461" si="131">I396+K396</f>
        <v>79475</v>
      </c>
      <c r="N396" s="82"/>
      <c r="V396" s="23">
        <f t="shared" si="119"/>
        <v>79475</v>
      </c>
      <c r="W396" s="25">
        <v>0.5</v>
      </c>
      <c r="X396" s="23">
        <f t="shared" ref="X396:X461" si="132">V396*W396</f>
        <v>39737.5</v>
      </c>
      <c r="Y396" s="20" t="s">
        <v>1503</v>
      </c>
      <c r="Z396" s="35" t="s">
        <v>6758</v>
      </c>
      <c r="AA396" s="35" t="s">
        <v>6941</v>
      </c>
      <c r="AB396" s="35" t="s">
        <v>6733</v>
      </c>
      <c r="AC396" s="35" t="s">
        <v>7369</v>
      </c>
      <c r="AD396" s="35" t="s">
        <v>7342</v>
      </c>
      <c r="AE396" s="37" t="str">
        <f t="shared" si="123"/>
        <v>51</v>
      </c>
      <c r="AF396" s="37">
        <f t="shared" si="128"/>
        <v>6723.5849999999991</v>
      </c>
      <c r="AI396" s="37">
        <f t="shared" ref="AI396:AI461" si="133">X396*$AI$1</f>
        <v>576.19375000000002</v>
      </c>
      <c r="AJ396" s="37">
        <f t="shared" ref="AJ396:AJ461" si="134">X396*$AJ$1</f>
        <v>488.77125000000001</v>
      </c>
      <c r="AK396" s="37">
        <f t="shared" ref="AK396:AK461" si="135">X396*$AK$1</f>
        <v>751.35665000000006</v>
      </c>
      <c r="AL396" s="23">
        <v>140.04</v>
      </c>
      <c r="AM396" s="23">
        <f t="shared" si="124"/>
        <v>70.02</v>
      </c>
      <c r="AN396" s="22">
        <v>79.2</v>
      </c>
      <c r="AO396" s="22">
        <f t="shared" si="120"/>
        <v>39.6</v>
      </c>
      <c r="AP396" s="23">
        <v>33443.96</v>
      </c>
      <c r="AQ396" s="23">
        <f t="shared" si="121"/>
        <v>34786.734993999999</v>
      </c>
      <c r="AR396" s="23">
        <f t="shared" si="125"/>
        <v>17393.367496999999</v>
      </c>
      <c r="AS396" s="23">
        <f t="shared" si="129"/>
        <v>17502.987496999998</v>
      </c>
      <c r="AU396" s="20">
        <f t="shared" si="126"/>
        <v>0</v>
      </c>
      <c r="AV396" s="37">
        <f t="shared" si="122"/>
        <v>26042.894146999999</v>
      </c>
      <c r="AW396" s="37">
        <f t="shared" si="130"/>
        <v>65780.394146999999</v>
      </c>
      <c r="BA396" s="20" t="str">
        <f t="shared" si="127"/>
        <v>0.5 - COACH - Guerrero, Albar I</v>
      </c>
    </row>
    <row r="397" spans="1:53" ht="12.75" customHeight="1" x14ac:dyDescent="0.25">
      <c r="A397" s="20">
        <v>384</v>
      </c>
      <c r="B397" s="78" t="s">
        <v>7338</v>
      </c>
      <c r="C397" s="20" t="s">
        <v>7456</v>
      </c>
      <c r="D397" s="20" t="s">
        <v>7398</v>
      </c>
      <c r="E397" s="82">
        <v>100</v>
      </c>
      <c r="F397" s="34">
        <v>44378</v>
      </c>
      <c r="G397" s="20" t="s">
        <v>6783</v>
      </c>
      <c r="H397" s="20">
        <v>7</v>
      </c>
      <c r="K397" s="23">
        <v>79475</v>
      </c>
      <c r="L397" s="23">
        <f t="shared" si="131"/>
        <v>79475</v>
      </c>
      <c r="N397" s="82"/>
      <c r="V397" s="23">
        <f t="shared" si="119"/>
        <v>79475</v>
      </c>
      <c r="W397" s="25">
        <v>0.5</v>
      </c>
      <c r="X397" s="23">
        <f t="shared" si="132"/>
        <v>39737.5</v>
      </c>
      <c r="Y397" s="20" t="s">
        <v>1503</v>
      </c>
      <c r="Z397" s="35" t="s">
        <v>6758</v>
      </c>
      <c r="AA397" s="35" t="s">
        <v>6941</v>
      </c>
      <c r="AB397" s="35" t="s">
        <v>6733</v>
      </c>
      <c r="AC397" s="35" t="s">
        <v>7369</v>
      </c>
      <c r="AD397" s="35" t="s">
        <v>7342</v>
      </c>
      <c r="AE397" s="37" t="str">
        <f t="shared" si="123"/>
        <v>51</v>
      </c>
      <c r="AF397" s="37">
        <f t="shared" si="128"/>
        <v>6723.5849999999991</v>
      </c>
      <c r="AI397" s="37">
        <f t="shared" si="133"/>
        <v>576.19375000000002</v>
      </c>
      <c r="AJ397" s="37">
        <f t="shared" si="134"/>
        <v>488.77125000000001</v>
      </c>
      <c r="AK397" s="37">
        <f t="shared" si="135"/>
        <v>751.35665000000006</v>
      </c>
      <c r="AL397" s="23">
        <v>140.04</v>
      </c>
      <c r="AM397" s="23">
        <f t="shared" si="124"/>
        <v>70.02</v>
      </c>
      <c r="AN397" s="22">
        <v>79.2</v>
      </c>
      <c r="AO397" s="22">
        <f t="shared" si="120"/>
        <v>39.6</v>
      </c>
      <c r="AP397" s="23">
        <v>33443.96</v>
      </c>
      <c r="AQ397" s="23">
        <f t="shared" si="121"/>
        <v>34786.734993999999</v>
      </c>
      <c r="AR397" s="23">
        <f t="shared" si="125"/>
        <v>17393.367496999999</v>
      </c>
      <c r="AS397" s="23">
        <f t="shared" si="129"/>
        <v>17502.987496999998</v>
      </c>
      <c r="AU397" s="20">
        <f t="shared" si="126"/>
        <v>0</v>
      </c>
      <c r="AV397" s="37">
        <f t="shared" si="122"/>
        <v>26042.894146999999</v>
      </c>
      <c r="AW397" s="37">
        <f t="shared" si="130"/>
        <v>65780.394146999999</v>
      </c>
      <c r="BA397" s="20" t="str">
        <f t="shared" si="127"/>
        <v>0.5 - COACH - Guerrero, Albar I</v>
      </c>
    </row>
    <row r="398" spans="1:53" ht="12.75" customHeight="1" x14ac:dyDescent="0.25">
      <c r="A398" s="20">
        <v>385</v>
      </c>
      <c r="B398" s="78" t="s">
        <v>7338</v>
      </c>
      <c r="C398" s="20" t="s">
        <v>7457</v>
      </c>
      <c r="D398" s="20" t="s">
        <v>7354</v>
      </c>
      <c r="E398" s="82">
        <v>100</v>
      </c>
      <c r="F398" s="34">
        <v>44378</v>
      </c>
      <c r="G398" s="20" t="s">
        <v>6783</v>
      </c>
      <c r="H398" s="20">
        <v>5</v>
      </c>
      <c r="K398" s="23">
        <v>72583</v>
      </c>
      <c r="L398" s="23">
        <f t="shared" si="131"/>
        <v>72583</v>
      </c>
      <c r="N398" s="82"/>
      <c r="V398" s="23">
        <f t="shared" si="119"/>
        <v>72583</v>
      </c>
      <c r="W398" s="25">
        <v>1</v>
      </c>
      <c r="X398" s="23">
        <f t="shared" si="132"/>
        <v>72583</v>
      </c>
      <c r="Y398" s="20" t="s">
        <v>1891</v>
      </c>
      <c r="Z398" s="35" t="s">
        <v>6758</v>
      </c>
      <c r="AA398" s="35" t="s">
        <v>6772</v>
      </c>
      <c r="AB398" s="35" t="s">
        <v>6974</v>
      </c>
      <c r="AC398" s="35" t="s">
        <v>7355</v>
      </c>
      <c r="AD398" s="35" t="s">
        <v>7342</v>
      </c>
      <c r="AE398" s="37" t="str">
        <f t="shared" si="123"/>
        <v>51</v>
      </c>
      <c r="AF398" s="37">
        <f t="shared" si="128"/>
        <v>12281.043599999999</v>
      </c>
      <c r="AI398" s="37">
        <f t="shared" si="133"/>
        <v>1052.4535000000001</v>
      </c>
      <c r="AJ398" s="37">
        <f t="shared" si="134"/>
        <v>892.77089999999998</v>
      </c>
      <c r="AK398" s="37">
        <f t="shared" si="135"/>
        <v>1372.3993640000001</v>
      </c>
      <c r="AL398" s="23">
        <v>140.04</v>
      </c>
      <c r="AM398" s="23">
        <f t="shared" si="124"/>
        <v>140.04</v>
      </c>
      <c r="AN398" s="22">
        <v>79.2</v>
      </c>
      <c r="AO398" s="22">
        <f t="shared" si="120"/>
        <v>79.2</v>
      </c>
      <c r="AP398" s="23">
        <v>23232</v>
      </c>
      <c r="AQ398" s="23">
        <f t="shared" si="121"/>
        <v>24164.764800000001</v>
      </c>
      <c r="AR398" s="23">
        <f t="shared" si="125"/>
        <v>24164.764800000001</v>
      </c>
      <c r="AS398" s="23">
        <f t="shared" si="129"/>
        <v>24384.004800000002</v>
      </c>
      <c r="AT398" s="37">
        <v>2400</v>
      </c>
      <c r="AU398" s="20">
        <f t="shared" si="126"/>
        <v>2400</v>
      </c>
      <c r="AV398" s="37">
        <f t="shared" si="122"/>
        <v>42382.672164000003</v>
      </c>
      <c r="AW398" s="37">
        <f t="shared" si="130"/>
        <v>114965.672164</v>
      </c>
      <c r="BA398" s="20" t="str">
        <f t="shared" si="127"/>
        <v>1 - CSS_INS - Gutierrez, Emily</v>
      </c>
    </row>
    <row r="399" spans="1:53" ht="12.75" customHeight="1" x14ac:dyDescent="0.25">
      <c r="A399" s="20">
        <v>386</v>
      </c>
      <c r="B399" s="78" t="s">
        <v>7338</v>
      </c>
      <c r="C399" s="20" t="s">
        <v>7458</v>
      </c>
      <c r="D399" s="20" t="s">
        <v>7361</v>
      </c>
      <c r="E399" s="82">
        <v>100</v>
      </c>
      <c r="F399" s="34">
        <v>44378</v>
      </c>
      <c r="G399" s="20" t="s">
        <v>6741</v>
      </c>
      <c r="H399" s="20">
        <v>12</v>
      </c>
      <c r="K399" s="23">
        <v>103909</v>
      </c>
      <c r="L399" s="23">
        <f t="shared" si="131"/>
        <v>103909</v>
      </c>
      <c r="N399" s="82"/>
      <c r="V399" s="23">
        <f t="shared" si="119"/>
        <v>103909</v>
      </c>
      <c r="W399" s="25">
        <v>1</v>
      </c>
      <c r="X399" s="23">
        <f t="shared" si="132"/>
        <v>103909</v>
      </c>
      <c r="Y399" s="20" t="s">
        <v>2790</v>
      </c>
      <c r="Z399" s="35" t="s">
        <v>6758</v>
      </c>
      <c r="AA399" s="35" t="s">
        <v>7362</v>
      </c>
      <c r="AB399" s="35" t="s">
        <v>6733</v>
      </c>
      <c r="AC399" s="35" t="s">
        <v>7363</v>
      </c>
      <c r="AD399" s="35" t="s">
        <v>7342</v>
      </c>
      <c r="AE399" s="37" t="str">
        <f t="shared" si="123"/>
        <v>51</v>
      </c>
      <c r="AF399" s="37">
        <f t="shared" si="128"/>
        <v>17581.4028</v>
      </c>
      <c r="AI399" s="37">
        <f t="shared" si="133"/>
        <v>1506.6805000000002</v>
      </c>
      <c r="AJ399" s="37">
        <f t="shared" si="134"/>
        <v>1278.0807</v>
      </c>
      <c r="AK399" s="37">
        <f t="shared" si="135"/>
        <v>1964.7113720000002</v>
      </c>
      <c r="AL399" s="23">
        <v>140.04</v>
      </c>
      <c r="AM399" s="23">
        <f t="shared" si="124"/>
        <v>140.04</v>
      </c>
      <c r="AN399" s="22">
        <v>79.2</v>
      </c>
      <c r="AO399" s="22">
        <f t="shared" si="120"/>
        <v>79.2</v>
      </c>
      <c r="AP399" s="23">
        <v>13152.04</v>
      </c>
      <c r="AQ399" s="23">
        <f t="shared" si="121"/>
        <v>13680.094406</v>
      </c>
      <c r="AR399" s="23">
        <f t="shared" si="125"/>
        <v>13680.094406</v>
      </c>
      <c r="AS399" s="23">
        <f t="shared" si="129"/>
        <v>13899.334406</v>
      </c>
      <c r="AU399" s="20">
        <f t="shared" si="126"/>
        <v>0</v>
      </c>
      <c r="AV399" s="37">
        <f t="shared" si="122"/>
        <v>36230.209778000004</v>
      </c>
      <c r="AW399" s="37">
        <f t="shared" si="130"/>
        <v>140139.20977800002</v>
      </c>
      <c r="BA399" s="20" t="str">
        <f t="shared" si="127"/>
        <v>1 - ESL_INS - Harley, Diane J</v>
      </c>
    </row>
    <row r="400" spans="1:53" ht="12.75" customHeight="1" x14ac:dyDescent="0.25">
      <c r="A400" s="20">
        <v>387</v>
      </c>
      <c r="B400" s="78" t="s">
        <v>7338</v>
      </c>
      <c r="C400" s="20" t="s">
        <v>7459</v>
      </c>
      <c r="D400" s="20" t="s">
        <v>7352</v>
      </c>
      <c r="E400" s="82">
        <v>100</v>
      </c>
      <c r="F400" s="34">
        <v>44378</v>
      </c>
      <c r="G400" s="20" t="s">
        <v>6729</v>
      </c>
      <c r="H400" s="20">
        <v>10</v>
      </c>
      <c r="K400" s="23">
        <v>96252</v>
      </c>
      <c r="L400" s="23">
        <f t="shared" si="131"/>
        <v>96252</v>
      </c>
      <c r="N400" s="82"/>
      <c r="V400" s="23">
        <f t="shared" si="119"/>
        <v>96252</v>
      </c>
      <c r="W400" s="25">
        <v>1</v>
      </c>
      <c r="X400" s="23">
        <f t="shared" si="132"/>
        <v>96252</v>
      </c>
      <c r="Y400" s="20" t="s">
        <v>2886</v>
      </c>
      <c r="Z400" s="35" t="s">
        <v>6758</v>
      </c>
      <c r="AA400" s="35" t="s">
        <v>6752</v>
      </c>
      <c r="AB400" s="35" t="s">
        <v>6733</v>
      </c>
      <c r="AC400" s="35" t="s">
        <v>6800</v>
      </c>
      <c r="AD400" s="35" t="s">
        <v>7348</v>
      </c>
      <c r="AE400" s="37" t="str">
        <f t="shared" si="123"/>
        <v>51</v>
      </c>
      <c r="AF400" s="37">
        <f t="shared" si="128"/>
        <v>16285.838399999999</v>
      </c>
      <c r="AI400" s="37">
        <f t="shared" si="133"/>
        <v>1395.654</v>
      </c>
      <c r="AJ400" s="37">
        <f t="shared" si="134"/>
        <v>1183.8996</v>
      </c>
      <c r="AK400" s="37">
        <f t="shared" si="135"/>
        <v>1819.932816</v>
      </c>
      <c r="AL400" s="23">
        <v>140.04</v>
      </c>
      <c r="AM400" s="23">
        <f t="shared" si="124"/>
        <v>140.04</v>
      </c>
      <c r="AN400" s="22">
        <v>79.2</v>
      </c>
      <c r="AO400" s="22">
        <f t="shared" si="120"/>
        <v>79.2</v>
      </c>
      <c r="AP400" s="23">
        <v>13152</v>
      </c>
      <c r="AQ400" s="23">
        <f t="shared" si="121"/>
        <v>13680.052799999999</v>
      </c>
      <c r="AR400" s="23">
        <f t="shared" si="125"/>
        <v>13680.052799999999</v>
      </c>
      <c r="AS400" s="23">
        <f t="shared" si="129"/>
        <v>13899.292799999999</v>
      </c>
      <c r="AT400" s="37"/>
      <c r="AU400" s="20">
        <f t="shared" si="126"/>
        <v>0</v>
      </c>
      <c r="AV400" s="37">
        <f t="shared" si="122"/>
        <v>34584.617616000003</v>
      </c>
      <c r="AW400" s="37">
        <f t="shared" si="130"/>
        <v>130836.617616</v>
      </c>
      <c r="BA400" s="20" t="str">
        <f t="shared" si="127"/>
        <v>1 - COU_GEN - Hernandez, Norma Isela C</v>
      </c>
    </row>
    <row r="401" spans="1:53" s="39" customFormat="1" ht="12.75" customHeight="1" x14ac:dyDescent="0.25">
      <c r="A401" s="39">
        <v>388</v>
      </c>
      <c r="B401" s="83" t="s">
        <v>7338</v>
      </c>
      <c r="C401" s="39" t="s">
        <v>7460</v>
      </c>
      <c r="D401" s="39" t="s">
        <v>7461</v>
      </c>
      <c r="E401" s="84">
        <v>100</v>
      </c>
      <c r="F401" s="42">
        <v>44378</v>
      </c>
      <c r="G401" s="39" t="s">
        <v>6783</v>
      </c>
      <c r="H401" s="39">
        <v>20</v>
      </c>
      <c r="I401" s="44"/>
      <c r="K401" s="45">
        <v>105238</v>
      </c>
      <c r="L401" s="45">
        <f t="shared" si="131"/>
        <v>105238</v>
      </c>
      <c r="M401" s="45"/>
      <c r="N401" s="84">
        <v>9640</v>
      </c>
      <c r="O401" s="46"/>
      <c r="P401" s="45"/>
      <c r="Q401" s="47"/>
      <c r="R401" s="45"/>
      <c r="S401" s="47"/>
      <c r="T401" s="45"/>
      <c r="U401" s="45"/>
      <c r="V401" s="45">
        <f t="shared" si="119"/>
        <v>114878</v>
      </c>
      <c r="W401" s="46">
        <v>0.85</v>
      </c>
      <c r="X401" s="45">
        <f t="shared" si="132"/>
        <v>97646.3</v>
      </c>
      <c r="Y401" s="39" t="s">
        <v>1984</v>
      </c>
      <c r="Z401" s="43" t="s">
        <v>6758</v>
      </c>
      <c r="AA401" s="43" t="s">
        <v>6901</v>
      </c>
      <c r="AB401" s="43" t="s">
        <v>6733</v>
      </c>
      <c r="AC401" s="43" t="s">
        <v>7377</v>
      </c>
      <c r="AD401" s="43" t="s">
        <v>7342</v>
      </c>
      <c r="AE401" s="37" t="str">
        <f t="shared" si="123"/>
        <v>51</v>
      </c>
      <c r="AF401" s="49">
        <f t="shared" si="128"/>
        <v>16521.753959999998</v>
      </c>
      <c r="AI401" s="49">
        <f t="shared" si="133"/>
        <v>1415.8713500000001</v>
      </c>
      <c r="AJ401" s="49">
        <f t="shared" si="134"/>
        <v>1201.0494900000001</v>
      </c>
      <c r="AK401" s="49">
        <f t="shared" si="135"/>
        <v>1846.2962404000002</v>
      </c>
      <c r="AL401" s="45">
        <v>140.04</v>
      </c>
      <c r="AM401" s="23">
        <f t="shared" si="124"/>
        <v>119.03399999999999</v>
      </c>
      <c r="AN401" s="44">
        <v>79.2</v>
      </c>
      <c r="AO401" s="22">
        <f t="shared" si="120"/>
        <v>67.320000000000007</v>
      </c>
      <c r="AP401" s="45">
        <v>25452.57</v>
      </c>
      <c r="AQ401" s="23">
        <f t="shared" si="121"/>
        <v>26474.490685500001</v>
      </c>
      <c r="AR401" s="23">
        <f t="shared" si="125"/>
        <v>22503.317082674999</v>
      </c>
      <c r="AS401" s="45">
        <f t="shared" si="129"/>
        <v>22689.671082674999</v>
      </c>
      <c r="AU401" s="20">
        <f t="shared" si="126"/>
        <v>0</v>
      </c>
      <c r="AV401" s="37">
        <f t="shared" si="122"/>
        <v>43674.642123074998</v>
      </c>
      <c r="AW401" s="49">
        <f t="shared" si="130"/>
        <v>141320.94212307502</v>
      </c>
      <c r="BA401" s="39" t="str">
        <f t="shared" si="127"/>
        <v>0.85 - RSCR_PR - Ho, Tanya</v>
      </c>
    </row>
    <row r="402" spans="1:53" s="39" customFormat="1" ht="12.75" customHeight="1" x14ac:dyDescent="0.25">
      <c r="A402" s="39">
        <v>389</v>
      </c>
      <c r="B402" s="83" t="s">
        <v>7338</v>
      </c>
      <c r="C402" s="39" t="s">
        <v>7460</v>
      </c>
      <c r="D402" s="39" t="s">
        <v>7461</v>
      </c>
      <c r="E402" s="84">
        <v>100</v>
      </c>
      <c r="F402" s="42">
        <v>44378</v>
      </c>
      <c r="G402" s="39" t="s">
        <v>6783</v>
      </c>
      <c r="H402" s="39">
        <v>20</v>
      </c>
      <c r="I402" s="44"/>
      <c r="K402" s="45">
        <v>105238</v>
      </c>
      <c r="L402" s="45">
        <f t="shared" si="131"/>
        <v>105238</v>
      </c>
      <c r="M402" s="45"/>
      <c r="N402" s="84">
        <v>9640</v>
      </c>
      <c r="O402" s="46"/>
      <c r="P402" s="45"/>
      <c r="Q402" s="47"/>
      <c r="R402" s="45"/>
      <c r="S402" s="47"/>
      <c r="T402" s="45"/>
      <c r="U402" s="45"/>
      <c r="V402" s="45">
        <f t="shared" si="119"/>
        <v>114878</v>
      </c>
      <c r="W402" s="46">
        <v>0.15</v>
      </c>
      <c r="X402" s="45">
        <f t="shared" si="132"/>
        <v>17231.7</v>
      </c>
      <c r="Y402" s="39" t="s">
        <v>7378</v>
      </c>
      <c r="Z402" s="43" t="s">
        <v>6758</v>
      </c>
      <c r="AA402" s="43" t="s">
        <v>6901</v>
      </c>
      <c r="AB402" s="43" t="s">
        <v>6733</v>
      </c>
      <c r="AC402" s="43" t="s">
        <v>7377</v>
      </c>
      <c r="AD402" s="43" t="s">
        <v>7348</v>
      </c>
      <c r="AE402" s="37" t="str">
        <f t="shared" si="123"/>
        <v>51</v>
      </c>
      <c r="AF402" s="49">
        <f t="shared" si="128"/>
        <v>2915.6036399999998</v>
      </c>
      <c r="AI402" s="49">
        <f t="shared" si="133"/>
        <v>249.85965000000002</v>
      </c>
      <c r="AJ402" s="49">
        <f t="shared" si="134"/>
        <v>211.94991000000002</v>
      </c>
      <c r="AK402" s="49">
        <f t="shared" si="135"/>
        <v>325.81698360000001</v>
      </c>
      <c r="AL402" s="45">
        <v>140.04</v>
      </c>
      <c r="AM402" s="23">
        <f t="shared" si="124"/>
        <v>21.005999999999997</v>
      </c>
      <c r="AN402" s="44">
        <v>79.2</v>
      </c>
      <c r="AO402" s="22">
        <f t="shared" si="120"/>
        <v>11.88</v>
      </c>
      <c r="AP402" s="45">
        <v>25452.57</v>
      </c>
      <c r="AQ402" s="23">
        <f t="shared" si="121"/>
        <v>26474.490685500001</v>
      </c>
      <c r="AR402" s="23">
        <f t="shared" si="125"/>
        <v>3971.1736028249998</v>
      </c>
      <c r="AS402" s="45">
        <f t="shared" si="129"/>
        <v>4004.0596028249997</v>
      </c>
      <c r="AU402" s="20">
        <f t="shared" si="126"/>
        <v>0</v>
      </c>
      <c r="AV402" s="37">
        <f t="shared" si="122"/>
        <v>7707.289786424999</v>
      </c>
      <c r="AW402" s="49">
        <f t="shared" si="130"/>
        <v>24938.989786425002</v>
      </c>
      <c r="BA402" s="39" t="str">
        <f t="shared" si="127"/>
        <v>0.15 - RSCR_PR - Ho, Tanya</v>
      </c>
    </row>
    <row r="403" spans="1:53" ht="12.75" customHeight="1" x14ac:dyDescent="0.25">
      <c r="A403" s="20">
        <v>390</v>
      </c>
      <c r="B403" s="78" t="s">
        <v>7338</v>
      </c>
      <c r="C403" s="20" t="s">
        <v>7462</v>
      </c>
      <c r="D403" s="20" t="s">
        <v>7387</v>
      </c>
      <c r="E403" s="82">
        <v>100</v>
      </c>
      <c r="F403" s="34">
        <v>44378</v>
      </c>
      <c r="G403" s="20" t="s">
        <v>6730</v>
      </c>
      <c r="H403" s="20">
        <v>20</v>
      </c>
      <c r="K403" s="23">
        <v>118541</v>
      </c>
      <c r="L403" s="23">
        <f t="shared" si="131"/>
        <v>118541</v>
      </c>
      <c r="N403" s="82"/>
      <c r="V403" s="23">
        <f t="shared" si="119"/>
        <v>118541</v>
      </c>
      <c r="W403" s="25">
        <v>1</v>
      </c>
      <c r="X403" s="23">
        <f t="shared" si="132"/>
        <v>118541</v>
      </c>
      <c r="Y403" s="20" t="s">
        <v>2113</v>
      </c>
      <c r="Z403" s="35" t="s">
        <v>6758</v>
      </c>
      <c r="AA403" s="35" t="s">
        <v>6742</v>
      </c>
      <c r="AB403" s="35" t="s">
        <v>6733</v>
      </c>
      <c r="AC403" s="35" t="s">
        <v>7388</v>
      </c>
      <c r="AD403" s="35" t="s">
        <v>7342</v>
      </c>
      <c r="AE403" s="37" t="str">
        <f t="shared" si="123"/>
        <v>51</v>
      </c>
      <c r="AF403" s="37">
        <f t="shared" si="128"/>
        <v>20057.137199999997</v>
      </c>
      <c r="AI403" s="37">
        <f t="shared" si="133"/>
        <v>1718.8445000000002</v>
      </c>
      <c r="AJ403" s="37">
        <f t="shared" si="134"/>
        <v>1458.0543</v>
      </c>
      <c r="AK403" s="37">
        <f t="shared" si="135"/>
        <v>2241.3732279999999</v>
      </c>
      <c r="AL403" s="23">
        <v>140.04</v>
      </c>
      <c r="AM403" s="23">
        <f t="shared" si="124"/>
        <v>140.04</v>
      </c>
      <c r="AN403" s="22">
        <v>79.2</v>
      </c>
      <c r="AO403" s="22">
        <f t="shared" si="120"/>
        <v>79.2</v>
      </c>
      <c r="AP403" s="23">
        <v>13152.04</v>
      </c>
      <c r="AQ403" s="23">
        <f t="shared" si="121"/>
        <v>13680.094406</v>
      </c>
      <c r="AR403" s="23">
        <f t="shared" si="125"/>
        <v>13680.094406</v>
      </c>
      <c r="AS403" s="23">
        <f t="shared" si="129"/>
        <v>13899.334406</v>
      </c>
      <c r="AU403" s="20">
        <f t="shared" si="126"/>
        <v>0</v>
      </c>
      <c r="AV403" s="37">
        <f t="shared" si="122"/>
        <v>39374.743633999999</v>
      </c>
      <c r="AW403" s="37">
        <f t="shared" si="130"/>
        <v>157915.74363400001</v>
      </c>
      <c r="BA403" s="20" t="str">
        <f t="shared" si="127"/>
        <v>1 - BUS_INS - Hobson, Carol A</v>
      </c>
    </row>
    <row r="404" spans="1:53" ht="12.75" customHeight="1" x14ac:dyDescent="0.25">
      <c r="A404" s="20">
        <v>391</v>
      </c>
      <c r="B404" s="78" t="s">
        <v>7338</v>
      </c>
      <c r="C404" s="20" t="s">
        <v>7463</v>
      </c>
      <c r="D404" s="20" t="s">
        <v>7454</v>
      </c>
      <c r="E404" s="82">
        <v>100</v>
      </c>
      <c r="F404" s="34">
        <v>44378</v>
      </c>
      <c r="G404" s="20" t="s">
        <v>6783</v>
      </c>
      <c r="H404" s="20">
        <v>13</v>
      </c>
      <c r="K404" s="23">
        <v>96653</v>
      </c>
      <c r="L404" s="23">
        <f t="shared" si="131"/>
        <v>96653</v>
      </c>
      <c r="N404" s="82"/>
      <c r="V404" s="23">
        <f t="shared" si="119"/>
        <v>96653</v>
      </c>
      <c r="W404" s="25">
        <v>1</v>
      </c>
      <c r="X404" s="23">
        <f t="shared" si="132"/>
        <v>96653</v>
      </c>
      <c r="Y404" s="20" t="s">
        <v>2753</v>
      </c>
      <c r="Z404" s="35" t="s">
        <v>6758</v>
      </c>
      <c r="AA404" s="35" t="s">
        <v>7362</v>
      </c>
      <c r="AB404" s="35" t="s">
        <v>6733</v>
      </c>
      <c r="AC404" s="35" t="s">
        <v>7455</v>
      </c>
      <c r="AD404" s="35" t="s">
        <v>7342</v>
      </c>
      <c r="AE404" s="37" t="str">
        <f t="shared" si="123"/>
        <v>51</v>
      </c>
      <c r="AF404" s="37">
        <f t="shared" si="128"/>
        <v>16353.687599999999</v>
      </c>
      <c r="AI404" s="37">
        <f t="shared" si="133"/>
        <v>1401.4685000000002</v>
      </c>
      <c r="AJ404" s="37">
        <f t="shared" si="134"/>
        <v>1188.8318999999999</v>
      </c>
      <c r="AK404" s="37">
        <f t="shared" si="135"/>
        <v>1827.5149240000001</v>
      </c>
      <c r="AL404" s="23">
        <v>140.04</v>
      </c>
      <c r="AM404" s="23">
        <f t="shared" si="124"/>
        <v>140.04</v>
      </c>
      <c r="AN404" s="22">
        <v>79.2</v>
      </c>
      <c r="AO404" s="22">
        <f t="shared" si="120"/>
        <v>79.2</v>
      </c>
      <c r="AP404" s="23">
        <v>33295.79</v>
      </c>
      <c r="AQ404" s="23">
        <f t="shared" si="121"/>
        <v>34632.615968500002</v>
      </c>
      <c r="AR404" s="23">
        <f t="shared" si="125"/>
        <v>34632.615968500002</v>
      </c>
      <c r="AS404" s="23">
        <f t="shared" si="129"/>
        <v>34851.8559685</v>
      </c>
      <c r="AU404" s="20">
        <f t="shared" si="126"/>
        <v>0</v>
      </c>
      <c r="AV404" s="37">
        <f t="shared" si="122"/>
        <v>55623.358892500008</v>
      </c>
      <c r="AW404" s="37">
        <f t="shared" si="130"/>
        <v>152276.35889249999</v>
      </c>
      <c r="BA404" s="20" t="str">
        <f t="shared" si="127"/>
        <v>1 - ENG_INS - Hooper, Michael F</v>
      </c>
    </row>
    <row r="405" spans="1:53" ht="12.75" customHeight="1" x14ac:dyDescent="0.25">
      <c r="A405" s="20">
        <v>392</v>
      </c>
      <c r="B405" s="78" t="s">
        <v>7338</v>
      </c>
      <c r="C405" s="20" t="s">
        <v>7464</v>
      </c>
      <c r="D405" s="20" t="s">
        <v>7418</v>
      </c>
      <c r="E405" s="82">
        <v>100</v>
      </c>
      <c r="F405" s="34">
        <v>44378</v>
      </c>
      <c r="G405" s="20" t="s">
        <v>6741</v>
      </c>
      <c r="H405" s="20">
        <v>20</v>
      </c>
      <c r="K405" s="23">
        <v>121962</v>
      </c>
      <c r="L405" s="23">
        <f t="shared" si="131"/>
        <v>121962</v>
      </c>
      <c r="N405" s="82"/>
      <c r="V405" s="23">
        <f t="shared" si="119"/>
        <v>121962</v>
      </c>
      <c r="W405" s="25">
        <v>1</v>
      </c>
      <c r="X405" s="23">
        <f t="shared" si="132"/>
        <v>121962</v>
      </c>
      <c r="Y405" s="20" t="s">
        <v>1655</v>
      </c>
      <c r="Z405" s="35" t="s">
        <v>6758</v>
      </c>
      <c r="AA405" s="35" t="s">
        <v>6772</v>
      </c>
      <c r="AB405" s="35" t="s">
        <v>6733</v>
      </c>
      <c r="AC405" s="35" t="s">
        <v>7051</v>
      </c>
      <c r="AD405" s="35" t="s">
        <v>7342</v>
      </c>
      <c r="AE405" s="37" t="str">
        <f t="shared" si="123"/>
        <v>51</v>
      </c>
      <c r="AF405" s="37">
        <f t="shared" si="128"/>
        <v>20635.970399999998</v>
      </c>
      <c r="AI405" s="37">
        <f t="shared" si="133"/>
        <v>1768.4490000000001</v>
      </c>
      <c r="AJ405" s="37">
        <f t="shared" si="134"/>
        <v>1500.1325999999999</v>
      </c>
      <c r="AK405" s="37">
        <f t="shared" si="135"/>
        <v>2306.0574960000004</v>
      </c>
      <c r="AL405" s="23">
        <v>140.04</v>
      </c>
      <c r="AM405" s="23">
        <f t="shared" si="124"/>
        <v>140.04</v>
      </c>
      <c r="AN405" s="22">
        <v>79.2</v>
      </c>
      <c r="AO405" s="22">
        <f t="shared" si="120"/>
        <v>79.2</v>
      </c>
      <c r="AP405" s="23">
        <v>33443.96</v>
      </c>
      <c r="AQ405" s="23">
        <f t="shared" si="121"/>
        <v>34786.734993999999</v>
      </c>
      <c r="AR405" s="23">
        <f t="shared" si="125"/>
        <v>34786.734993999999</v>
      </c>
      <c r="AS405" s="23">
        <f t="shared" si="129"/>
        <v>35005.974993999997</v>
      </c>
      <c r="AU405" s="20">
        <f t="shared" si="126"/>
        <v>0</v>
      </c>
      <c r="AV405" s="37">
        <f t="shared" si="122"/>
        <v>61216.584490000001</v>
      </c>
      <c r="AW405" s="37">
        <f t="shared" si="130"/>
        <v>183178.58449000001</v>
      </c>
      <c r="BA405" s="20" t="str">
        <f t="shared" si="127"/>
        <v>1 - ENGR_INS - Hornstein, Melissa K</v>
      </c>
    </row>
    <row r="406" spans="1:53" ht="12.75" customHeight="1" x14ac:dyDescent="0.25">
      <c r="A406" s="20">
        <v>393</v>
      </c>
      <c r="B406" s="78" t="s">
        <v>7338</v>
      </c>
      <c r="C406" s="20" t="s">
        <v>7465</v>
      </c>
      <c r="D406" s="20" t="s">
        <v>7451</v>
      </c>
      <c r="E406" s="82">
        <v>100</v>
      </c>
      <c r="F406" s="34">
        <v>44378</v>
      </c>
      <c r="G406" s="20" t="s">
        <v>6741</v>
      </c>
      <c r="H406" s="20">
        <v>16</v>
      </c>
      <c r="K406" s="23">
        <v>115944</v>
      </c>
      <c r="L406" s="23">
        <f t="shared" si="131"/>
        <v>115944</v>
      </c>
      <c r="N406" s="82"/>
      <c r="V406" s="23">
        <f t="shared" si="119"/>
        <v>115944</v>
      </c>
      <c r="W406" s="25">
        <v>1</v>
      </c>
      <c r="X406" s="23">
        <f t="shared" si="132"/>
        <v>115944</v>
      </c>
      <c r="Y406" s="20" t="s">
        <v>2772</v>
      </c>
      <c r="Z406" s="35" t="s">
        <v>6758</v>
      </c>
      <c r="AA406" s="35" t="s">
        <v>7362</v>
      </c>
      <c r="AB406" s="35" t="s">
        <v>6733</v>
      </c>
      <c r="AC406" s="35" t="s">
        <v>7452</v>
      </c>
      <c r="AD406" s="35" t="s">
        <v>7342</v>
      </c>
      <c r="AE406" s="37" t="str">
        <f t="shared" si="123"/>
        <v>51</v>
      </c>
      <c r="AF406" s="37">
        <f t="shared" si="128"/>
        <v>19617.7248</v>
      </c>
      <c r="AI406" s="37">
        <f t="shared" si="133"/>
        <v>1681.1880000000001</v>
      </c>
      <c r="AJ406" s="37">
        <f t="shared" si="134"/>
        <v>1426.1112000000001</v>
      </c>
      <c r="AK406" s="37">
        <f t="shared" si="135"/>
        <v>2192.2691520000003</v>
      </c>
      <c r="AL406" s="23">
        <v>140.04</v>
      </c>
      <c r="AM406" s="23">
        <f t="shared" si="124"/>
        <v>140.04</v>
      </c>
      <c r="AN406" s="22">
        <v>79.2</v>
      </c>
      <c r="AO406" s="22">
        <f t="shared" si="120"/>
        <v>79.2</v>
      </c>
      <c r="AP406" s="23">
        <v>33443.96</v>
      </c>
      <c r="AQ406" s="23">
        <f t="shared" si="121"/>
        <v>34786.734993999999</v>
      </c>
      <c r="AR406" s="23">
        <f t="shared" si="125"/>
        <v>34786.734993999999</v>
      </c>
      <c r="AS406" s="23">
        <f t="shared" si="129"/>
        <v>35005.974993999997</v>
      </c>
      <c r="AU406" s="20">
        <f t="shared" si="126"/>
        <v>0</v>
      </c>
      <c r="AV406" s="37">
        <f t="shared" si="122"/>
        <v>59923.268146000002</v>
      </c>
      <c r="AW406" s="37">
        <f t="shared" si="130"/>
        <v>175867.26814599999</v>
      </c>
      <c r="BA406" s="20" t="str">
        <f t="shared" si="127"/>
        <v>1 - COMM_INS - Hough, Jason</v>
      </c>
    </row>
    <row r="407" spans="1:53" ht="12.75" customHeight="1" x14ac:dyDescent="0.25">
      <c r="A407" s="20">
        <v>394</v>
      </c>
      <c r="B407" s="78" t="s">
        <v>7338</v>
      </c>
      <c r="C407" s="20" t="s">
        <v>7466</v>
      </c>
      <c r="D407" s="20" t="s">
        <v>7416</v>
      </c>
      <c r="E407" s="82">
        <v>100</v>
      </c>
      <c r="F407" s="34">
        <v>44378</v>
      </c>
      <c r="G407" s="20" t="s">
        <v>6741</v>
      </c>
      <c r="H407" s="20">
        <v>20</v>
      </c>
      <c r="K407" s="23">
        <v>121962</v>
      </c>
      <c r="L407" s="23">
        <f t="shared" si="131"/>
        <v>121962</v>
      </c>
      <c r="N407" s="82"/>
      <c r="V407" s="23">
        <f t="shared" si="119"/>
        <v>121962</v>
      </c>
      <c r="W407" s="25">
        <v>1</v>
      </c>
      <c r="X407" s="23">
        <f t="shared" si="132"/>
        <v>121962</v>
      </c>
      <c r="Y407" s="20" t="s">
        <v>1619</v>
      </c>
      <c r="Z407" s="35" t="s">
        <v>6758</v>
      </c>
      <c r="AA407" s="35" t="s">
        <v>6772</v>
      </c>
      <c r="AB407" s="35" t="s">
        <v>6733</v>
      </c>
      <c r="AC407" s="35" t="s">
        <v>6773</v>
      </c>
      <c r="AD407" s="35" t="s">
        <v>7342</v>
      </c>
      <c r="AE407" s="37" t="str">
        <f t="shared" si="123"/>
        <v>51</v>
      </c>
      <c r="AF407" s="37">
        <f t="shared" si="128"/>
        <v>20635.970399999998</v>
      </c>
      <c r="AI407" s="37">
        <f t="shared" si="133"/>
        <v>1768.4490000000001</v>
      </c>
      <c r="AJ407" s="37">
        <f t="shared" si="134"/>
        <v>1500.1325999999999</v>
      </c>
      <c r="AK407" s="37">
        <f t="shared" si="135"/>
        <v>2306.0574960000004</v>
      </c>
      <c r="AL407" s="23">
        <v>140.04</v>
      </c>
      <c r="AM407" s="23">
        <f t="shared" si="124"/>
        <v>140.04</v>
      </c>
      <c r="AN407" s="22">
        <v>79.2</v>
      </c>
      <c r="AO407" s="22">
        <f t="shared" si="120"/>
        <v>79.2</v>
      </c>
      <c r="AP407" s="23">
        <v>33443.96</v>
      </c>
      <c r="AQ407" s="23">
        <f t="shared" si="121"/>
        <v>34786.734993999999</v>
      </c>
      <c r="AR407" s="23">
        <f t="shared" si="125"/>
        <v>34786.734993999999</v>
      </c>
      <c r="AS407" s="23">
        <f t="shared" si="129"/>
        <v>35005.974993999997</v>
      </c>
      <c r="AU407" s="20">
        <f t="shared" si="126"/>
        <v>0</v>
      </c>
      <c r="AV407" s="37">
        <f t="shared" si="122"/>
        <v>61216.584490000001</v>
      </c>
      <c r="AW407" s="37">
        <f t="shared" si="130"/>
        <v>183178.58449000001</v>
      </c>
      <c r="BA407" s="20" t="str">
        <f t="shared" si="127"/>
        <v>1 - BIO_INS - Hughey, Jeffery R</v>
      </c>
    </row>
    <row r="408" spans="1:53" ht="12.75" customHeight="1" x14ac:dyDescent="0.25">
      <c r="A408" s="20">
        <v>395</v>
      </c>
      <c r="B408" s="78" t="s">
        <v>7338</v>
      </c>
      <c r="C408" s="20" t="s">
        <v>7467</v>
      </c>
      <c r="D408" s="20" t="s">
        <v>7384</v>
      </c>
      <c r="E408" s="82">
        <v>100</v>
      </c>
      <c r="F408" s="34">
        <v>44378</v>
      </c>
      <c r="G408" s="20" t="s">
        <v>6730</v>
      </c>
      <c r="H408" s="20">
        <v>18</v>
      </c>
      <c r="K408" s="23">
        <v>118541</v>
      </c>
      <c r="L408" s="23">
        <f t="shared" si="131"/>
        <v>118541</v>
      </c>
      <c r="N408" s="82"/>
      <c r="V408" s="23">
        <f t="shared" si="119"/>
        <v>118541</v>
      </c>
      <c r="W408" s="25">
        <v>1</v>
      </c>
      <c r="X408" s="23">
        <f t="shared" si="132"/>
        <v>118541</v>
      </c>
      <c r="Y408" s="20" t="s">
        <v>1697</v>
      </c>
      <c r="Z408" s="35" t="s">
        <v>6758</v>
      </c>
      <c r="AA408" s="35" t="s">
        <v>6772</v>
      </c>
      <c r="AB408" s="35" t="s">
        <v>6733</v>
      </c>
      <c r="AC408" s="35" t="s">
        <v>7385</v>
      </c>
      <c r="AD408" s="35" t="s">
        <v>7342</v>
      </c>
      <c r="AE408" s="37" t="str">
        <f t="shared" si="123"/>
        <v>51</v>
      </c>
      <c r="AF408" s="37">
        <f t="shared" si="128"/>
        <v>20057.137199999997</v>
      </c>
      <c r="AI408" s="37">
        <f t="shared" si="133"/>
        <v>1718.8445000000002</v>
      </c>
      <c r="AJ408" s="37">
        <f t="shared" si="134"/>
        <v>1458.0543</v>
      </c>
      <c r="AK408" s="37">
        <f t="shared" si="135"/>
        <v>2241.3732279999999</v>
      </c>
      <c r="AL408" s="23">
        <v>140.04</v>
      </c>
      <c r="AM408" s="23">
        <f t="shared" si="124"/>
        <v>140.04</v>
      </c>
      <c r="AN408" s="22">
        <v>79.2</v>
      </c>
      <c r="AO408" s="22">
        <f t="shared" si="120"/>
        <v>79.2</v>
      </c>
      <c r="AP408" s="23">
        <v>23221.11</v>
      </c>
      <c r="AQ408" s="23">
        <f t="shared" si="121"/>
        <v>24153.437566500001</v>
      </c>
      <c r="AR408" s="23">
        <f t="shared" si="125"/>
        <v>24153.437566500001</v>
      </c>
      <c r="AS408" s="23">
        <f t="shared" si="129"/>
        <v>24372.677566500002</v>
      </c>
      <c r="AU408" s="20">
        <f t="shared" si="126"/>
        <v>0</v>
      </c>
      <c r="AV408" s="37">
        <f t="shared" si="122"/>
        <v>49848.086794499999</v>
      </c>
      <c r="AW408" s="37">
        <f t="shared" si="130"/>
        <v>168389.08679450001</v>
      </c>
      <c r="BA408" s="20" t="str">
        <f t="shared" si="127"/>
        <v>1 - MATH_INS - Hussain, Mohammad T</v>
      </c>
    </row>
    <row r="409" spans="1:53" ht="12.75" customHeight="1" x14ac:dyDescent="0.25">
      <c r="A409" s="20">
        <v>396</v>
      </c>
      <c r="B409" s="78" t="s">
        <v>7338</v>
      </c>
      <c r="C409" s="20" t="s">
        <v>7468</v>
      </c>
      <c r="D409" s="20" t="s">
        <v>7469</v>
      </c>
      <c r="E409" s="82">
        <v>100</v>
      </c>
      <c r="F409" s="34">
        <v>44378</v>
      </c>
      <c r="G409" s="20" t="s">
        <v>6741</v>
      </c>
      <c r="H409" s="20">
        <v>12</v>
      </c>
      <c r="K409" s="23">
        <v>103909</v>
      </c>
      <c r="L409" s="23">
        <f t="shared" si="131"/>
        <v>103909</v>
      </c>
      <c r="N409" s="82"/>
      <c r="V409" s="23">
        <f t="shared" si="119"/>
        <v>103909</v>
      </c>
      <c r="W409" s="25">
        <v>1</v>
      </c>
      <c r="X409" s="23">
        <f t="shared" si="132"/>
        <v>103909</v>
      </c>
      <c r="Y409" s="20" t="s">
        <v>1419</v>
      </c>
      <c r="Z409" s="35" t="s">
        <v>6758</v>
      </c>
      <c r="AA409" s="35" t="s">
        <v>6989</v>
      </c>
      <c r="AB409" s="35" t="s">
        <v>6733</v>
      </c>
      <c r="AC409" s="35" t="s">
        <v>7470</v>
      </c>
      <c r="AD409" s="35" t="s">
        <v>7342</v>
      </c>
      <c r="AE409" s="37" t="str">
        <f t="shared" si="123"/>
        <v>51</v>
      </c>
      <c r="AF409" s="37">
        <f t="shared" si="128"/>
        <v>17581.4028</v>
      </c>
      <c r="AI409" s="37">
        <f t="shared" si="133"/>
        <v>1506.6805000000002</v>
      </c>
      <c r="AJ409" s="37">
        <f t="shared" si="134"/>
        <v>1278.0807</v>
      </c>
      <c r="AK409" s="37">
        <f t="shared" si="135"/>
        <v>1964.7113720000002</v>
      </c>
      <c r="AL409" s="23">
        <v>140.04</v>
      </c>
      <c r="AM409" s="23">
        <f t="shared" si="124"/>
        <v>140.04</v>
      </c>
      <c r="AN409" s="22">
        <v>79.2</v>
      </c>
      <c r="AO409" s="22">
        <f t="shared" si="120"/>
        <v>79.2</v>
      </c>
      <c r="AP409" s="23">
        <v>33443.96</v>
      </c>
      <c r="AQ409" s="23">
        <f t="shared" si="121"/>
        <v>34786.734993999999</v>
      </c>
      <c r="AR409" s="23">
        <f t="shared" si="125"/>
        <v>34786.734993999999</v>
      </c>
      <c r="AS409" s="23">
        <f t="shared" si="129"/>
        <v>35005.974993999997</v>
      </c>
      <c r="AU409" s="20">
        <f t="shared" si="126"/>
        <v>0</v>
      </c>
      <c r="AV409" s="37">
        <f t="shared" si="122"/>
        <v>57336.850365999999</v>
      </c>
      <c r="AW409" s="37">
        <f t="shared" si="130"/>
        <v>161245.850366</v>
      </c>
      <c r="BA409" s="20" t="str">
        <f t="shared" si="127"/>
        <v>1 - SOCI_INS - Jimenez, Hortencia</v>
      </c>
    </row>
    <row r="410" spans="1:53" ht="12.75" hidden="1" customHeight="1" x14ac:dyDescent="0.25">
      <c r="A410" s="20">
        <v>397</v>
      </c>
      <c r="B410" s="78" t="s">
        <v>7338</v>
      </c>
      <c r="C410" s="20" t="s">
        <v>7471</v>
      </c>
      <c r="D410" s="20" t="s">
        <v>7472</v>
      </c>
      <c r="E410" s="82">
        <v>100</v>
      </c>
      <c r="F410" s="34">
        <v>44378</v>
      </c>
      <c r="G410" s="20" t="s">
        <v>6783</v>
      </c>
      <c r="H410" s="20">
        <v>11</v>
      </c>
      <c r="K410" s="23">
        <v>90635</v>
      </c>
      <c r="L410" s="23">
        <f t="shared" si="131"/>
        <v>90635</v>
      </c>
      <c r="N410" s="82"/>
      <c r="V410" s="23">
        <f t="shared" si="119"/>
        <v>90635</v>
      </c>
      <c r="W410" s="25">
        <v>1</v>
      </c>
      <c r="X410" s="23">
        <f t="shared" si="132"/>
        <v>90635</v>
      </c>
      <c r="Y410" s="20" t="s">
        <v>5394</v>
      </c>
      <c r="Z410" s="35" t="s">
        <v>6731</v>
      </c>
      <c r="AA410" s="35" t="s">
        <v>6752</v>
      </c>
      <c r="AB410" s="35" t="s">
        <v>6733</v>
      </c>
      <c r="AC410" s="35" t="s">
        <v>6753</v>
      </c>
      <c r="AD410" s="35" t="s">
        <v>7348</v>
      </c>
      <c r="AE410" s="37" t="str">
        <f t="shared" si="123"/>
        <v>51</v>
      </c>
      <c r="AF410" s="37">
        <f t="shared" si="128"/>
        <v>15335.441999999999</v>
      </c>
      <c r="AI410" s="37">
        <f t="shared" si="133"/>
        <v>1314.2075</v>
      </c>
      <c r="AJ410" s="37">
        <f t="shared" si="134"/>
        <v>1114.8105</v>
      </c>
      <c r="AK410" s="37">
        <f t="shared" si="135"/>
        <v>1713.72658</v>
      </c>
      <c r="AL410" s="23">
        <v>140.04</v>
      </c>
      <c r="AM410" s="23">
        <f t="shared" si="124"/>
        <v>140.04</v>
      </c>
      <c r="AN410" s="22">
        <v>79.2</v>
      </c>
      <c r="AO410" s="22">
        <f t="shared" si="120"/>
        <v>79.2</v>
      </c>
      <c r="AP410" s="23">
        <v>33443.96</v>
      </c>
      <c r="AQ410" s="23">
        <f t="shared" si="121"/>
        <v>34786.734993999999</v>
      </c>
      <c r="AR410" s="23">
        <f t="shared" si="125"/>
        <v>34786.734993999999</v>
      </c>
      <c r="AS410" s="23">
        <f t="shared" si="129"/>
        <v>35005.974993999997</v>
      </c>
      <c r="AU410" s="20">
        <f t="shared" si="126"/>
        <v>0</v>
      </c>
      <c r="AV410" s="37">
        <f t="shared" si="122"/>
        <v>54484.161573999998</v>
      </c>
      <c r="AW410" s="37">
        <f t="shared" si="130"/>
        <v>145119.161574</v>
      </c>
      <c r="AX410" s="20" t="s">
        <v>6754</v>
      </c>
      <c r="AY410" s="20" t="s">
        <v>6680</v>
      </c>
      <c r="AZ410" s="20" t="s">
        <v>6755</v>
      </c>
      <c r="BA410" s="20" t="str">
        <f t="shared" si="127"/>
        <v>1 - F-ASERV - Jimenez, Melvin P</v>
      </c>
    </row>
    <row r="411" spans="1:53" ht="12.75" customHeight="1" x14ac:dyDescent="0.25">
      <c r="A411" s="20">
        <v>398</v>
      </c>
      <c r="B411" s="78" t="s">
        <v>7338</v>
      </c>
      <c r="C411" s="20" t="s">
        <v>7473</v>
      </c>
      <c r="D411" s="20" t="s">
        <v>7361</v>
      </c>
      <c r="E411" s="82">
        <v>100</v>
      </c>
      <c r="F411" s="34">
        <v>44378</v>
      </c>
      <c r="G411" s="20" t="s">
        <v>6783</v>
      </c>
      <c r="H411" s="20">
        <v>20</v>
      </c>
      <c r="K411" s="23">
        <v>105238</v>
      </c>
      <c r="L411" s="23">
        <f t="shared" si="131"/>
        <v>105238</v>
      </c>
      <c r="N411" s="82"/>
      <c r="V411" s="23">
        <f t="shared" si="119"/>
        <v>105238</v>
      </c>
      <c r="W411" s="25">
        <v>1</v>
      </c>
      <c r="X411" s="23">
        <f t="shared" si="132"/>
        <v>105238</v>
      </c>
      <c r="Y411" s="20" t="s">
        <v>2790</v>
      </c>
      <c r="Z411" s="35" t="s">
        <v>6758</v>
      </c>
      <c r="AA411" s="35" t="s">
        <v>7362</v>
      </c>
      <c r="AB411" s="35" t="s">
        <v>6733</v>
      </c>
      <c r="AC411" s="35" t="s">
        <v>7363</v>
      </c>
      <c r="AD411" s="35" t="s">
        <v>7342</v>
      </c>
      <c r="AE411" s="37" t="str">
        <f t="shared" si="123"/>
        <v>51</v>
      </c>
      <c r="AF411" s="37">
        <f t="shared" si="128"/>
        <v>17806.2696</v>
      </c>
      <c r="AI411" s="37">
        <f t="shared" si="133"/>
        <v>1525.951</v>
      </c>
      <c r="AJ411" s="37">
        <f t="shared" si="134"/>
        <v>1294.4274</v>
      </c>
      <c r="AK411" s="37">
        <f t="shared" si="135"/>
        <v>1989.8401040000001</v>
      </c>
      <c r="AL411" s="23">
        <v>140.04</v>
      </c>
      <c r="AM411" s="23">
        <f t="shared" si="124"/>
        <v>140.04</v>
      </c>
      <c r="AN411" s="22">
        <v>79.2</v>
      </c>
      <c r="AO411" s="22">
        <f t="shared" si="120"/>
        <v>79.2</v>
      </c>
      <c r="AP411" s="23">
        <v>13152.04</v>
      </c>
      <c r="AQ411" s="23">
        <f t="shared" si="121"/>
        <v>13680.094406</v>
      </c>
      <c r="AR411" s="23">
        <f t="shared" si="125"/>
        <v>13680.094406</v>
      </c>
      <c r="AS411" s="23">
        <f t="shared" si="129"/>
        <v>13899.334406</v>
      </c>
      <c r="AU411" s="20">
        <f t="shared" si="126"/>
        <v>0</v>
      </c>
      <c r="AV411" s="37">
        <f t="shared" si="122"/>
        <v>36515.822509999998</v>
      </c>
      <c r="AW411" s="37">
        <f t="shared" si="130"/>
        <v>141753.82251</v>
      </c>
      <c r="BA411" s="20" t="str">
        <f t="shared" si="127"/>
        <v>1 - ESL_INS - King, Carol</v>
      </c>
    </row>
    <row r="412" spans="1:53" ht="12.75" customHeight="1" x14ac:dyDescent="0.25">
      <c r="A412" s="20">
        <v>399</v>
      </c>
      <c r="B412" s="78" t="s">
        <v>7338</v>
      </c>
      <c r="C412" s="20" t="s">
        <v>7474</v>
      </c>
      <c r="D412" s="20" t="s">
        <v>7475</v>
      </c>
      <c r="E412" s="82">
        <v>100</v>
      </c>
      <c r="F412" s="34">
        <v>44378</v>
      </c>
      <c r="G412" s="20" t="s">
        <v>6741</v>
      </c>
      <c r="H412" s="20">
        <v>6</v>
      </c>
      <c r="K412" s="23">
        <v>85856</v>
      </c>
      <c r="L412" s="23">
        <f t="shared" si="131"/>
        <v>85856</v>
      </c>
      <c r="N412" s="82"/>
      <c r="V412" s="23">
        <f t="shared" si="119"/>
        <v>85856</v>
      </c>
      <c r="W412" s="25">
        <v>1</v>
      </c>
      <c r="X412" s="23">
        <f t="shared" si="132"/>
        <v>85856</v>
      </c>
      <c r="Y412" s="20" t="s">
        <v>1759</v>
      </c>
      <c r="Z412" s="35" t="s">
        <v>6758</v>
      </c>
      <c r="AA412" s="35" t="s">
        <v>6772</v>
      </c>
      <c r="AB412" s="35" t="s">
        <v>6733</v>
      </c>
      <c r="AC412" s="35" t="s">
        <v>6815</v>
      </c>
      <c r="AD412" s="35" t="s">
        <v>7342</v>
      </c>
      <c r="AE412" s="37" t="str">
        <f t="shared" si="123"/>
        <v>51</v>
      </c>
      <c r="AF412" s="37">
        <f t="shared" si="128"/>
        <v>14526.8352</v>
      </c>
      <c r="AI412" s="37">
        <f t="shared" si="133"/>
        <v>1244.912</v>
      </c>
      <c r="AJ412" s="37">
        <f t="shared" si="134"/>
        <v>1056.0288</v>
      </c>
      <c r="AK412" s="37">
        <f t="shared" si="135"/>
        <v>1623.3652480000001</v>
      </c>
      <c r="AL412" s="23">
        <v>140.04</v>
      </c>
      <c r="AM412" s="23">
        <f t="shared" si="124"/>
        <v>140.04</v>
      </c>
      <c r="AN412" s="22">
        <v>79.2</v>
      </c>
      <c r="AO412" s="22">
        <f t="shared" si="120"/>
        <v>79.2</v>
      </c>
      <c r="AP412" s="23">
        <v>13152.04</v>
      </c>
      <c r="AQ412" s="23">
        <f t="shared" si="121"/>
        <v>13680.094406</v>
      </c>
      <c r="AR412" s="23">
        <f t="shared" si="125"/>
        <v>13680.094406</v>
      </c>
      <c r="AS412" s="23">
        <f t="shared" si="129"/>
        <v>13899.334406</v>
      </c>
      <c r="AU412" s="20">
        <f t="shared" si="126"/>
        <v>0</v>
      </c>
      <c r="AV412" s="37">
        <f t="shared" si="122"/>
        <v>32350.475654000002</v>
      </c>
      <c r="AW412" s="37">
        <f t="shared" si="130"/>
        <v>118206.47565400001</v>
      </c>
      <c r="BA412" s="20" t="str">
        <f t="shared" si="127"/>
        <v>1 - CHEM_INS - Lampart, Wendy</v>
      </c>
    </row>
    <row r="413" spans="1:53" ht="12.75" customHeight="1" x14ac:dyDescent="0.25">
      <c r="A413" s="20">
        <v>400</v>
      </c>
      <c r="B413" s="78" t="s">
        <v>7338</v>
      </c>
      <c r="C413" s="20" t="s">
        <v>7476</v>
      </c>
      <c r="D413" s="20" t="s">
        <v>7454</v>
      </c>
      <c r="E413" s="82">
        <v>100</v>
      </c>
      <c r="F413" s="34">
        <v>44378</v>
      </c>
      <c r="G413" s="20" t="s">
        <v>6741</v>
      </c>
      <c r="H413" s="20">
        <v>19</v>
      </c>
      <c r="K413" s="23">
        <v>121962</v>
      </c>
      <c r="L413" s="23">
        <f t="shared" si="131"/>
        <v>121962</v>
      </c>
      <c r="N413" s="82"/>
      <c r="V413" s="23">
        <f t="shared" si="119"/>
        <v>121962</v>
      </c>
      <c r="W413" s="25">
        <v>1</v>
      </c>
      <c r="X413" s="23">
        <f t="shared" si="132"/>
        <v>121962</v>
      </c>
      <c r="Y413" s="20" t="s">
        <v>2753</v>
      </c>
      <c r="Z413" s="35" t="s">
        <v>6758</v>
      </c>
      <c r="AA413" s="35" t="s">
        <v>7362</v>
      </c>
      <c r="AB413" s="35" t="s">
        <v>6733</v>
      </c>
      <c r="AC413" s="35" t="s">
        <v>7455</v>
      </c>
      <c r="AD413" s="35" t="s">
        <v>7342</v>
      </c>
      <c r="AE413" s="37" t="str">
        <f t="shared" si="123"/>
        <v>51</v>
      </c>
      <c r="AF413" s="37">
        <f t="shared" si="128"/>
        <v>20635.970399999998</v>
      </c>
      <c r="AI413" s="37">
        <f t="shared" si="133"/>
        <v>1768.4490000000001</v>
      </c>
      <c r="AJ413" s="37">
        <f t="shared" si="134"/>
        <v>1500.1325999999999</v>
      </c>
      <c r="AK413" s="37">
        <f t="shared" si="135"/>
        <v>2306.0574960000004</v>
      </c>
      <c r="AL413" s="23">
        <v>140.04</v>
      </c>
      <c r="AM413" s="23">
        <f t="shared" si="124"/>
        <v>140.04</v>
      </c>
      <c r="AN413" s="22">
        <v>79.2</v>
      </c>
      <c r="AO413" s="22">
        <f t="shared" si="120"/>
        <v>79.2</v>
      </c>
      <c r="AP413" s="23">
        <v>25452.57</v>
      </c>
      <c r="AQ413" s="23">
        <f t="shared" si="121"/>
        <v>26474.490685500001</v>
      </c>
      <c r="AR413" s="23">
        <f t="shared" si="125"/>
        <v>26474.490685500001</v>
      </c>
      <c r="AS413" s="23">
        <f t="shared" si="129"/>
        <v>26693.730685500002</v>
      </c>
      <c r="AU413" s="20">
        <f t="shared" si="126"/>
        <v>0</v>
      </c>
      <c r="AV413" s="37">
        <f t="shared" si="122"/>
        <v>52904.340181500003</v>
      </c>
      <c r="AW413" s="37">
        <f t="shared" si="130"/>
        <v>174866.34018150001</v>
      </c>
      <c r="BA413" s="20" t="str">
        <f t="shared" si="127"/>
        <v>1 - ENG_INS - Lanka, Sunita V</v>
      </c>
    </row>
    <row r="414" spans="1:53" ht="12.75" customHeight="1" x14ac:dyDescent="0.25">
      <c r="A414" s="20">
        <v>401</v>
      </c>
      <c r="B414" s="78" t="s">
        <v>7338</v>
      </c>
      <c r="C414" s="20" t="s">
        <v>7477</v>
      </c>
      <c r="D414" s="20" t="s">
        <v>7384</v>
      </c>
      <c r="E414" s="82">
        <v>100</v>
      </c>
      <c r="F414" s="34">
        <v>44378</v>
      </c>
      <c r="G414" s="20" t="s">
        <v>6741</v>
      </c>
      <c r="H414" s="20">
        <v>20</v>
      </c>
      <c r="K414" s="23">
        <v>121962</v>
      </c>
      <c r="L414" s="23">
        <f t="shared" si="131"/>
        <v>121962</v>
      </c>
      <c r="N414" s="82"/>
      <c r="V414" s="23">
        <f t="shared" si="119"/>
        <v>121962</v>
      </c>
      <c r="W414" s="25">
        <v>1</v>
      </c>
      <c r="X414" s="23">
        <f t="shared" si="132"/>
        <v>121962</v>
      </c>
      <c r="Y414" s="20" t="s">
        <v>1697</v>
      </c>
      <c r="Z414" s="35" t="s">
        <v>6758</v>
      </c>
      <c r="AA414" s="35" t="s">
        <v>6772</v>
      </c>
      <c r="AB414" s="35" t="s">
        <v>6733</v>
      </c>
      <c r="AC414" s="35" t="s">
        <v>7385</v>
      </c>
      <c r="AD414" s="35" t="s">
        <v>7342</v>
      </c>
      <c r="AE414" s="37" t="str">
        <f t="shared" si="123"/>
        <v>51</v>
      </c>
      <c r="AF414" s="37">
        <f t="shared" si="128"/>
        <v>20635.970399999998</v>
      </c>
      <c r="AI414" s="37">
        <f t="shared" si="133"/>
        <v>1768.4490000000001</v>
      </c>
      <c r="AJ414" s="37">
        <f t="shared" si="134"/>
        <v>1500.1325999999999</v>
      </c>
      <c r="AK414" s="37">
        <f t="shared" si="135"/>
        <v>2306.0574960000004</v>
      </c>
      <c r="AL414" s="23">
        <v>140.04</v>
      </c>
      <c r="AM414" s="23">
        <f t="shared" si="124"/>
        <v>140.04</v>
      </c>
      <c r="AN414" s="22">
        <v>79.2</v>
      </c>
      <c r="AO414" s="22">
        <f t="shared" si="120"/>
        <v>79.2</v>
      </c>
      <c r="AP414" s="23">
        <v>25452.57</v>
      </c>
      <c r="AQ414" s="23">
        <f t="shared" si="121"/>
        <v>26474.490685500001</v>
      </c>
      <c r="AR414" s="23">
        <f t="shared" si="125"/>
        <v>26474.490685500001</v>
      </c>
      <c r="AS414" s="23">
        <f t="shared" si="129"/>
        <v>26693.730685500002</v>
      </c>
      <c r="AU414" s="20">
        <f t="shared" si="126"/>
        <v>0</v>
      </c>
      <c r="AV414" s="37">
        <f t="shared" si="122"/>
        <v>52904.340181500003</v>
      </c>
      <c r="AW414" s="37">
        <f t="shared" si="130"/>
        <v>174866.34018150001</v>
      </c>
      <c r="BA414" s="20" t="str">
        <f t="shared" si="127"/>
        <v>1 - MATH_INS - Locke, Kelly M</v>
      </c>
    </row>
    <row r="415" spans="1:53" ht="12.75" customHeight="1" x14ac:dyDescent="0.25">
      <c r="A415" s="20">
        <v>402</v>
      </c>
      <c r="B415" s="78" t="s">
        <v>7338</v>
      </c>
      <c r="C415" s="20" t="s">
        <v>7478</v>
      </c>
      <c r="D415" s="20" t="s">
        <v>7451</v>
      </c>
      <c r="E415" s="82">
        <v>100</v>
      </c>
      <c r="F415" s="34">
        <v>44378</v>
      </c>
      <c r="G415" s="20" t="s">
        <v>6783</v>
      </c>
      <c r="H415" s="20">
        <v>10</v>
      </c>
      <c r="K415" s="23">
        <v>87626</v>
      </c>
      <c r="L415" s="23">
        <f t="shared" si="131"/>
        <v>87626</v>
      </c>
      <c r="N415" s="82"/>
      <c r="V415" s="23">
        <f t="shared" si="119"/>
        <v>87626</v>
      </c>
      <c r="W415" s="25">
        <v>1</v>
      </c>
      <c r="X415" s="23">
        <f t="shared" si="132"/>
        <v>87626</v>
      </c>
      <c r="Y415" s="20" t="s">
        <v>2772</v>
      </c>
      <c r="Z415" s="35" t="s">
        <v>6758</v>
      </c>
      <c r="AA415" s="35" t="s">
        <v>7362</v>
      </c>
      <c r="AB415" s="35" t="s">
        <v>6733</v>
      </c>
      <c r="AC415" s="35" t="s">
        <v>7452</v>
      </c>
      <c r="AD415" s="35" t="s">
        <v>7342</v>
      </c>
      <c r="AE415" s="37" t="str">
        <f t="shared" si="123"/>
        <v>51</v>
      </c>
      <c r="AF415" s="37">
        <f t="shared" si="128"/>
        <v>14826.3192</v>
      </c>
      <c r="AI415" s="37">
        <f t="shared" si="133"/>
        <v>1270.577</v>
      </c>
      <c r="AJ415" s="37">
        <f t="shared" si="134"/>
        <v>1077.7998</v>
      </c>
      <c r="AK415" s="37">
        <f t="shared" si="135"/>
        <v>1656.8324080000002</v>
      </c>
      <c r="AL415" s="23">
        <v>140.04</v>
      </c>
      <c r="AM415" s="23">
        <f t="shared" si="124"/>
        <v>140.04</v>
      </c>
      <c r="AN415" s="22">
        <v>79.2</v>
      </c>
      <c r="AO415" s="22">
        <f t="shared" si="120"/>
        <v>79.2</v>
      </c>
      <c r="AP415" s="23">
        <v>25452.57</v>
      </c>
      <c r="AQ415" s="23">
        <f t="shared" si="121"/>
        <v>26474.490685500001</v>
      </c>
      <c r="AR415" s="23">
        <f t="shared" si="125"/>
        <v>26474.490685500001</v>
      </c>
      <c r="AS415" s="23">
        <f t="shared" si="129"/>
        <v>26693.730685500002</v>
      </c>
      <c r="AU415" s="20">
        <f t="shared" si="126"/>
        <v>0</v>
      </c>
      <c r="AV415" s="37">
        <f t="shared" si="122"/>
        <v>45525.259093500004</v>
      </c>
      <c r="AW415" s="37">
        <f t="shared" si="130"/>
        <v>133151.2590935</v>
      </c>
      <c r="BA415" s="20" t="str">
        <f t="shared" si="127"/>
        <v>1 - COMM_INS - Lopez, Daniel R</v>
      </c>
    </row>
    <row r="416" spans="1:53" ht="12.75" customHeight="1" x14ac:dyDescent="0.25">
      <c r="A416" s="20">
        <v>403</v>
      </c>
      <c r="B416" s="78" t="s">
        <v>7338</v>
      </c>
      <c r="C416" s="20" t="s">
        <v>7479</v>
      </c>
      <c r="D416" s="20" t="s">
        <v>7352</v>
      </c>
      <c r="E416" s="82">
        <v>100</v>
      </c>
      <c r="F416" s="34">
        <v>44378</v>
      </c>
      <c r="G416" s="20" t="s">
        <v>6783</v>
      </c>
      <c r="H416" s="20">
        <v>8</v>
      </c>
      <c r="K416" s="23">
        <v>86272</v>
      </c>
      <c r="L416" s="23">
        <f t="shared" si="131"/>
        <v>86272</v>
      </c>
      <c r="N416" s="82"/>
      <c r="V416" s="23">
        <f t="shared" si="119"/>
        <v>86272</v>
      </c>
      <c r="W416" s="25">
        <v>0.6</v>
      </c>
      <c r="X416" s="23">
        <f t="shared" si="132"/>
        <v>51763.199999999997</v>
      </c>
      <c r="Y416" s="20" t="s">
        <v>2886</v>
      </c>
      <c r="Z416" s="35" t="s">
        <v>6758</v>
      </c>
      <c r="AA416" s="35" t="s">
        <v>6752</v>
      </c>
      <c r="AB416" s="35" t="s">
        <v>6733</v>
      </c>
      <c r="AC416" s="35" t="s">
        <v>6800</v>
      </c>
      <c r="AD416" s="35" t="s">
        <v>7348</v>
      </c>
      <c r="AE416" s="37" t="str">
        <f t="shared" si="123"/>
        <v>51</v>
      </c>
      <c r="AF416" s="37">
        <f t="shared" si="128"/>
        <v>8758.3334399999985</v>
      </c>
      <c r="AI416" s="37">
        <f t="shared" si="133"/>
        <v>750.56640000000004</v>
      </c>
      <c r="AJ416" s="37">
        <f t="shared" si="134"/>
        <v>636.68736000000001</v>
      </c>
      <c r="AK416" s="37">
        <f t="shared" si="135"/>
        <v>978.73858559999996</v>
      </c>
      <c r="AL416" s="23">
        <v>140.04</v>
      </c>
      <c r="AM416" s="23">
        <f t="shared" si="124"/>
        <v>84.023999999999987</v>
      </c>
      <c r="AN416" s="22">
        <v>79.2</v>
      </c>
      <c r="AO416" s="22">
        <f t="shared" si="120"/>
        <v>47.52</v>
      </c>
      <c r="AP416" s="23">
        <v>13152.04</v>
      </c>
      <c r="AQ416" s="23">
        <f t="shared" si="121"/>
        <v>13680.094406</v>
      </c>
      <c r="AR416" s="23">
        <f t="shared" si="125"/>
        <v>8208.056643599999</v>
      </c>
      <c r="AS416" s="23">
        <f t="shared" si="129"/>
        <v>8339.6006435999989</v>
      </c>
      <c r="AU416" s="20">
        <f t="shared" si="126"/>
        <v>0</v>
      </c>
      <c r="AV416" s="37">
        <f t="shared" si="122"/>
        <v>19463.926429199997</v>
      </c>
      <c r="AW416" s="37">
        <f t="shared" si="130"/>
        <v>71227.126429199998</v>
      </c>
      <c r="BA416" s="20" t="str">
        <f t="shared" si="127"/>
        <v>0.6 - COU_GEN - Lopez, Gabriela F</v>
      </c>
    </row>
    <row r="417" spans="1:53" ht="12.75" hidden="1" customHeight="1" x14ac:dyDescent="0.25">
      <c r="A417" s="20">
        <v>404</v>
      </c>
      <c r="B417" s="78" t="s">
        <v>7338</v>
      </c>
      <c r="C417" s="20" t="s">
        <v>7479</v>
      </c>
      <c r="D417" s="20" t="s">
        <v>7439</v>
      </c>
      <c r="E417" s="82">
        <v>100</v>
      </c>
      <c r="F417" s="34">
        <v>44378</v>
      </c>
      <c r="G417" s="20" t="s">
        <v>6783</v>
      </c>
      <c r="H417" s="20">
        <v>8</v>
      </c>
      <c r="K417" s="23">
        <v>86272</v>
      </c>
      <c r="L417" s="23">
        <f t="shared" si="131"/>
        <v>86272</v>
      </c>
      <c r="N417" s="82"/>
      <c r="V417" s="23">
        <f t="shared" si="119"/>
        <v>86272</v>
      </c>
      <c r="W417" s="25">
        <v>0.2</v>
      </c>
      <c r="X417" s="23">
        <f t="shared" si="132"/>
        <v>17254.400000000001</v>
      </c>
      <c r="Y417" s="20" t="s">
        <v>4134</v>
      </c>
      <c r="Z417" s="35" t="s">
        <v>6731</v>
      </c>
      <c r="AA417" s="35" t="s">
        <v>6772</v>
      </c>
      <c r="AB417" s="35" t="s">
        <v>6733</v>
      </c>
      <c r="AC417" s="35" t="s">
        <v>6849</v>
      </c>
      <c r="AD417" s="35" t="s">
        <v>7348</v>
      </c>
      <c r="AE417" s="37" t="str">
        <f t="shared" si="123"/>
        <v>51</v>
      </c>
      <c r="AF417" s="37">
        <f t="shared" si="128"/>
        <v>2919.4444800000001</v>
      </c>
      <c r="AI417" s="37">
        <f t="shared" si="133"/>
        <v>250.18880000000004</v>
      </c>
      <c r="AJ417" s="37">
        <f t="shared" si="134"/>
        <v>212.22912000000002</v>
      </c>
      <c r="AK417" s="37">
        <f t="shared" si="135"/>
        <v>326.24619520000005</v>
      </c>
      <c r="AL417" s="23">
        <v>140.04</v>
      </c>
      <c r="AM417" s="23">
        <f t="shared" si="124"/>
        <v>28.007999999999999</v>
      </c>
      <c r="AN417" s="22">
        <v>79.2</v>
      </c>
      <c r="AO417" s="22">
        <f t="shared" si="120"/>
        <v>15.840000000000002</v>
      </c>
      <c r="AP417" s="23">
        <v>13152.04</v>
      </c>
      <c r="AQ417" s="23">
        <f t="shared" si="121"/>
        <v>13680.094406</v>
      </c>
      <c r="AR417" s="23">
        <f t="shared" si="125"/>
        <v>2736.0188812000001</v>
      </c>
      <c r="AS417" s="23">
        <f t="shared" si="129"/>
        <v>2779.8668812000001</v>
      </c>
      <c r="AU417" s="20">
        <f t="shared" si="126"/>
        <v>0</v>
      </c>
      <c r="AV417" s="37">
        <f t="shared" si="122"/>
        <v>6487.9754763999999</v>
      </c>
      <c r="AW417" s="37">
        <f t="shared" si="130"/>
        <v>23742.3754764</v>
      </c>
      <c r="AX417" s="20" t="s">
        <v>6850</v>
      </c>
      <c r="AY417" s="20" t="s">
        <v>6851</v>
      </c>
      <c r="AZ417" s="20" t="s">
        <v>6852</v>
      </c>
      <c r="BA417" s="20" t="str">
        <f t="shared" si="127"/>
        <v>0.2 - COU_STEM - Lopez, Gabriela F</v>
      </c>
    </row>
    <row r="418" spans="1:53" s="39" customFormat="1" ht="12.75" hidden="1" customHeight="1" x14ac:dyDescent="0.25">
      <c r="A418" s="39" t="s">
        <v>7480</v>
      </c>
      <c r="B418" s="83" t="s">
        <v>7338</v>
      </c>
      <c r="C418" s="39" t="s">
        <v>7479</v>
      </c>
      <c r="D418" s="39" t="s">
        <v>7439</v>
      </c>
      <c r="E418" s="84">
        <v>100</v>
      </c>
      <c r="F418" s="42">
        <v>44378</v>
      </c>
      <c r="G418" s="39" t="s">
        <v>6783</v>
      </c>
      <c r="H418" s="39">
        <v>8</v>
      </c>
      <c r="I418" s="44"/>
      <c r="K418" s="45">
        <v>86272</v>
      </c>
      <c r="L418" s="45">
        <f t="shared" si="131"/>
        <v>86272</v>
      </c>
      <c r="M418" s="45"/>
      <c r="N418" s="84"/>
      <c r="O418" s="46"/>
      <c r="P418" s="45"/>
      <c r="Q418" s="47"/>
      <c r="R418" s="45"/>
      <c r="S418" s="47"/>
      <c r="T418" s="45"/>
      <c r="U418" s="45"/>
      <c r="V418" s="45">
        <f t="shared" si="119"/>
        <v>86272</v>
      </c>
      <c r="W418" s="46">
        <v>0.2</v>
      </c>
      <c r="X418" s="45">
        <f t="shared" si="132"/>
        <v>17254.400000000001</v>
      </c>
      <c r="Y418" s="39" t="s">
        <v>3337</v>
      </c>
      <c r="Z418" s="43" t="s">
        <v>6731</v>
      </c>
      <c r="AA418" s="43" t="s">
        <v>6954</v>
      </c>
      <c r="AB418" s="43" t="s">
        <v>6733</v>
      </c>
      <c r="AC418" s="43" t="s">
        <v>6955</v>
      </c>
      <c r="AD418" s="43" t="s">
        <v>7348</v>
      </c>
      <c r="AE418" s="37" t="str">
        <f t="shared" si="123"/>
        <v>51</v>
      </c>
      <c r="AF418" s="49">
        <f t="shared" si="128"/>
        <v>2919.4444800000001</v>
      </c>
      <c r="AI418" s="49">
        <f t="shared" si="133"/>
        <v>250.18880000000004</v>
      </c>
      <c r="AJ418" s="49">
        <f t="shared" si="134"/>
        <v>212.22912000000002</v>
      </c>
      <c r="AK418" s="49">
        <f t="shared" si="135"/>
        <v>326.24619520000005</v>
      </c>
      <c r="AL418" s="45">
        <v>140.04</v>
      </c>
      <c r="AM418" s="23">
        <f t="shared" si="124"/>
        <v>28.007999999999999</v>
      </c>
      <c r="AN418" s="44">
        <v>79.2</v>
      </c>
      <c r="AO418" s="22">
        <f t="shared" si="120"/>
        <v>15.840000000000002</v>
      </c>
      <c r="AP418" s="45">
        <v>13152.04</v>
      </c>
      <c r="AQ418" s="23">
        <f t="shared" si="121"/>
        <v>13680.094406</v>
      </c>
      <c r="AR418" s="23">
        <f t="shared" si="125"/>
        <v>2736.0188812000001</v>
      </c>
      <c r="AS418" s="45">
        <f t="shared" si="129"/>
        <v>2779.8668812000001</v>
      </c>
      <c r="AU418" s="20">
        <f t="shared" si="126"/>
        <v>0</v>
      </c>
      <c r="AV418" s="37">
        <f t="shared" si="122"/>
        <v>6487.9754763999999</v>
      </c>
      <c r="AW418" s="49">
        <f t="shared" si="130"/>
        <v>23742.3754764</v>
      </c>
      <c r="AX418" s="39" t="s">
        <v>6850</v>
      </c>
      <c r="AY418" s="39" t="s">
        <v>6851</v>
      </c>
      <c r="AZ418" s="39" t="s">
        <v>6956</v>
      </c>
      <c r="BA418" s="39" t="str">
        <f t="shared" si="127"/>
        <v>0.2 - COU_STEM - Lopez, Gabriela F</v>
      </c>
    </row>
    <row r="419" spans="1:53" ht="12.75" hidden="1" customHeight="1" x14ac:dyDescent="0.25">
      <c r="A419" s="20">
        <v>405</v>
      </c>
      <c r="B419" s="78" t="s">
        <v>7338</v>
      </c>
      <c r="C419" s="20" t="s">
        <v>7481</v>
      </c>
      <c r="D419" s="20" t="s">
        <v>7482</v>
      </c>
      <c r="E419" s="82">
        <v>100</v>
      </c>
      <c r="F419" s="34">
        <v>44378</v>
      </c>
      <c r="G419" s="20" t="s">
        <v>6783</v>
      </c>
      <c r="H419" s="20">
        <v>20</v>
      </c>
      <c r="K419" s="23">
        <v>111252</v>
      </c>
      <c r="L419" s="23">
        <f t="shared" si="131"/>
        <v>111252</v>
      </c>
      <c r="N419" s="82"/>
      <c r="V419" s="23">
        <f t="shared" si="119"/>
        <v>111252</v>
      </c>
      <c r="W419" s="25">
        <v>1</v>
      </c>
      <c r="X419" s="23">
        <f t="shared" si="132"/>
        <v>111252</v>
      </c>
      <c r="Y419" s="20" t="s">
        <v>5934</v>
      </c>
      <c r="Z419" s="35" t="s">
        <v>6731</v>
      </c>
      <c r="AA419" s="35" t="s">
        <v>6788</v>
      </c>
      <c r="AB419" s="35" t="s">
        <v>6733</v>
      </c>
      <c r="AC419" s="35" t="s">
        <v>6789</v>
      </c>
      <c r="AD419" s="35" t="s">
        <v>7348</v>
      </c>
      <c r="AE419" s="37" t="str">
        <f t="shared" si="123"/>
        <v>51</v>
      </c>
      <c r="AF419" s="37">
        <f t="shared" si="128"/>
        <v>18823.838400000001</v>
      </c>
      <c r="AI419" s="37">
        <f t="shared" si="133"/>
        <v>1613.154</v>
      </c>
      <c r="AJ419" s="37">
        <f t="shared" si="134"/>
        <v>1368.3996</v>
      </c>
      <c r="AK419" s="37">
        <f t="shared" si="135"/>
        <v>2103.5528160000003</v>
      </c>
      <c r="AL419" s="23">
        <v>140.04</v>
      </c>
      <c r="AM419" s="23">
        <f t="shared" si="124"/>
        <v>140.04</v>
      </c>
      <c r="AN419" s="22">
        <v>79.2</v>
      </c>
      <c r="AO419" s="22">
        <f t="shared" si="120"/>
        <v>79.2</v>
      </c>
      <c r="AP419" s="23">
        <v>33443.96</v>
      </c>
      <c r="AQ419" s="23">
        <f t="shared" si="121"/>
        <v>34786.734993999999</v>
      </c>
      <c r="AR419" s="23">
        <f t="shared" si="125"/>
        <v>34786.734993999999</v>
      </c>
      <c r="AS419" s="23">
        <f t="shared" si="129"/>
        <v>35005.974993999997</v>
      </c>
      <c r="AU419" s="20">
        <f t="shared" si="126"/>
        <v>0</v>
      </c>
      <c r="AV419" s="37">
        <f t="shared" si="122"/>
        <v>58914.919809999999</v>
      </c>
      <c r="AW419" s="37">
        <f t="shared" si="130"/>
        <v>170166.91980999999</v>
      </c>
      <c r="AX419" s="20" t="s">
        <v>6754</v>
      </c>
      <c r="AY419" s="20" t="s">
        <v>6790</v>
      </c>
      <c r="AZ419" s="20" t="s">
        <v>6791</v>
      </c>
      <c r="BA419" s="20" t="str">
        <f t="shared" si="127"/>
        <v>1 - COU_DSPS - Madrigal, Millicent</v>
      </c>
    </row>
    <row r="420" spans="1:53" ht="12.75" customHeight="1" x14ac:dyDescent="0.25">
      <c r="A420" s="20">
        <v>406</v>
      </c>
      <c r="B420" s="78" t="s">
        <v>7338</v>
      </c>
      <c r="C420" s="20" t="s">
        <v>7483</v>
      </c>
      <c r="D420" s="20" t="s">
        <v>7384</v>
      </c>
      <c r="E420" s="82">
        <v>100</v>
      </c>
      <c r="F420" s="34">
        <v>44378</v>
      </c>
      <c r="G420" s="20" t="s">
        <v>6783</v>
      </c>
      <c r="H420" s="20">
        <v>9</v>
      </c>
      <c r="K420" s="23">
        <v>84618</v>
      </c>
      <c r="L420" s="23">
        <f t="shared" si="131"/>
        <v>84618</v>
      </c>
      <c r="N420" s="82"/>
      <c r="V420" s="23">
        <f t="shared" si="119"/>
        <v>84618</v>
      </c>
      <c r="W420" s="25">
        <v>1</v>
      </c>
      <c r="X420" s="23">
        <f t="shared" si="132"/>
        <v>84618</v>
      </c>
      <c r="Y420" s="20" t="s">
        <v>1697</v>
      </c>
      <c r="Z420" s="35" t="s">
        <v>6758</v>
      </c>
      <c r="AA420" s="35" t="s">
        <v>6772</v>
      </c>
      <c r="AB420" s="35" t="s">
        <v>6733</v>
      </c>
      <c r="AC420" s="35" t="s">
        <v>7385</v>
      </c>
      <c r="AD420" s="35" t="s">
        <v>7342</v>
      </c>
      <c r="AE420" s="37" t="str">
        <f t="shared" si="123"/>
        <v>51</v>
      </c>
      <c r="AF420" s="37">
        <f t="shared" si="128"/>
        <v>14317.365599999999</v>
      </c>
      <c r="AI420" s="37">
        <f t="shared" si="133"/>
        <v>1226.961</v>
      </c>
      <c r="AJ420" s="37">
        <f t="shared" si="134"/>
        <v>1040.8014000000001</v>
      </c>
      <c r="AK420" s="37">
        <f t="shared" si="135"/>
        <v>1599.9571440000002</v>
      </c>
      <c r="AL420" s="23">
        <v>140.04</v>
      </c>
      <c r="AM420" s="23">
        <f t="shared" si="124"/>
        <v>140.04</v>
      </c>
      <c r="AN420" s="22">
        <v>79.2</v>
      </c>
      <c r="AO420" s="22">
        <f t="shared" si="120"/>
        <v>79.2</v>
      </c>
      <c r="AP420" s="23">
        <v>33443.96</v>
      </c>
      <c r="AQ420" s="23">
        <f t="shared" si="121"/>
        <v>34786.734993999999</v>
      </c>
      <c r="AR420" s="23">
        <f t="shared" si="125"/>
        <v>34786.734993999999</v>
      </c>
      <c r="AS420" s="23">
        <f t="shared" si="129"/>
        <v>35005.974993999997</v>
      </c>
      <c r="AU420" s="20">
        <f t="shared" si="126"/>
        <v>0</v>
      </c>
      <c r="AV420" s="37">
        <f t="shared" si="122"/>
        <v>53191.060138000001</v>
      </c>
      <c r="AW420" s="37">
        <f t="shared" si="130"/>
        <v>137809.060138</v>
      </c>
      <c r="BA420" s="20" t="str">
        <f t="shared" si="127"/>
        <v>1 - MATH_INS - Manrique, Miguel-Angel</v>
      </c>
    </row>
    <row r="421" spans="1:53" ht="12.75" customHeight="1" x14ac:dyDescent="0.25">
      <c r="A421" s="20">
        <v>407</v>
      </c>
      <c r="B421" s="78" t="s">
        <v>7338</v>
      </c>
      <c r="C421" s="20" t="s">
        <v>7484</v>
      </c>
      <c r="D421" s="20" t="s">
        <v>7485</v>
      </c>
      <c r="E421" s="82">
        <v>100</v>
      </c>
      <c r="F421" s="34">
        <v>44378</v>
      </c>
      <c r="G421" s="20" t="s">
        <v>6729</v>
      </c>
      <c r="H421" s="20">
        <v>9</v>
      </c>
      <c r="K421" s="23">
        <v>88039</v>
      </c>
      <c r="L421" s="23">
        <f t="shared" si="131"/>
        <v>88039</v>
      </c>
      <c r="N421" s="82"/>
      <c r="V421" s="23">
        <f t="shared" si="119"/>
        <v>88039</v>
      </c>
      <c r="W421" s="25">
        <v>1</v>
      </c>
      <c r="X421" s="23">
        <f t="shared" si="132"/>
        <v>88039</v>
      </c>
      <c r="Y421" s="20" t="s">
        <v>1325</v>
      </c>
      <c r="Z421" s="35" t="s">
        <v>6758</v>
      </c>
      <c r="AA421" s="35" t="s">
        <v>6989</v>
      </c>
      <c r="AB421" s="35" t="s">
        <v>6733</v>
      </c>
      <c r="AC421" s="35" t="s">
        <v>7486</v>
      </c>
      <c r="AD421" s="35" t="s">
        <v>7342</v>
      </c>
      <c r="AE421" s="37" t="str">
        <f t="shared" si="123"/>
        <v>51</v>
      </c>
      <c r="AF421" s="37">
        <f t="shared" si="128"/>
        <v>14896.198799999998</v>
      </c>
      <c r="AI421" s="37">
        <f t="shared" si="133"/>
        <v>1276.5655000000002</v>
      </c>
      <c r="AJ421" s="37">
        <f t="shared" si="134"/>
        <v>1082.8797</v>
      </c>
      <c r="AK421" s="37">
        <f t="shared" si="135"/>
        <v>1664.6414120000002</v>
      </c>
      <c r="AL421" s="23">
        <v>140.04</v>
      </c>
      <c r="AM421" s="23">
        <f t="shared" si="124"/>
        <v>140.04</v>
      </c>
      <c r="AN421" s="22">
        <v>79.2</v>
      </c>
      <c r="AO421" s="22">
        <f t="shared" si="120"/>
        <v>79.2</v>
      </c>
      <c r="AP421" s="23">
        <v>13152.04</v>
      </c>
      <c r="AQ421" s="23">
        <f t="shared" si="121"/>
        <v>13680.094406</v>
      </c>
      <c r="AR421" s="23">
        <f t="shared" si="125"/>
        <v>13680.094406</v>
      </c>
      <c r="AS421" s="23">
        <f t="shared" si="129"/>
        <v>13899.334406</v>
      </c>
      <c r="AU421" s="20">
        <f t="shared" si="126"/>
        <v>0</v>
      </c>
      <c r="AV421" s="37">
        <f t="shared" si="122"/>
        <v>32819.619818000006</v>
      </c>
      <c r="AW421" s="37">
        <f t="shared" si="130"/>
        <v>120858.61981800001</v>
      </c>
      <c r="BA421" s="20" t="str">
        <f t="shared" si="127"/>
        <v>1 - AOD_INST - Marciel, Jacob</v>
      </c>
    </row>
    <row r="422" spans="1:53" ht="12.75" customHeight="1" x14ac:dyDescent="0.25">
      <c r="A422" s="20">
        <v>408</v>
      </c>
      <c r="B422" s="78" t="s">
        <v>7338</v>
      </c>
      <c r="C422" s="20" t="s">
        <v>7487</v>
      </c>
      <c r="D422" s="20" t="s">
        <v>7436</v>
      </c>
      <c r="E422" s="82">
        <v>100</v>
      </c>
      <c r="F422" s="34">
        <v>44378</v>
      </c>
      <c r="G422" s="20" t="s">
        <v>6729</v>
      </c>
      <c r="H422" s="20">
        <v>9</v>
      </c>
      <c r="K422" s="23">
        <v>88039</v>
      </c>
      <c r="L422" s="23">
        <f t="shared" si="131"/>
        <v>88039</v>
      </c>
      <c r="N422" s="82"/>
      <c r="V422" s="23">
        <f t="shared" si="119"/>
        <v>88039</v>
      </c>
      <c r="W422" s="25">
        <v>1</v>
      </c>
      <c r="X422" s="23">
        <f t="shared" si="132"/>
        <v>88039</v>
      </c>
      <c r="Y422" s="20" t="s">
        <v>2736</v>
      </c>
      <c r="Z422" s="35" t="s">
        <v>6758</v>
      </c>
      <c r="AA422" s="35" t="s">
        <v>7362</v>
      </c>
      <c r="AB422" s="35" t="s">
        <v>6733</v>
      </c>
      <c r="AC422" s="35" t="s">
        <v>7437</v>
      </c>
      <c r="AD422" s="35" t="s">
        <v>7342</v>
      </c>
      <c r="AE422" s="37" t="str">
        <f t="shared" si="123"/>
        <v>51</v>
      </c>
      <c r="AF422" s="37">
        <f t="shared" si="128"/>
        <v>14896.198799999998</v>
      </c>
      <c r="AI422" s="37">
        <f t="shared" si="133"/>
        <v>1276.5655000000002</v>
      </c>
      <c r="AJ422" s="37">
        <f t="shared" si="134"/>
        <v>1082.8797</v>
      </c>
      <c r="AK422" s="37">
        <f t="shared" si="135"/>
        <v>1664.6414120000002</v>
      </c>
      <c r="AL422" s="23">
        <v>140.04</v>
      </c>
      <c r="AM422" s="23">
        <f t="shared" si="124"/>
        <v>140.04</v>
      </c>
      <c r="AN422" s="22">
        <v>79.2</v>
      </c>
      <c r="AO422" s="22">
        <f t="shared" si="120"/>
        <v>79.2</v>
      </c>
      <c r="AP422" s="23">
        <v>13152.04</v>
      </c>
      <c r="AQ422" s="23">
        <f t="shared" si="121"/>
        <v>13680.094406</v>
      </c>
      <c r="AR422" s="23">
        <f t="shared" si="125"/>
        <v>13680.094406</v>
      </c>
      <c r="AS422" s="23">
        <f t="shared" si="129"/>
        <v>13899.334406</v>
      </c>
      <c r="AU422" s="20">
        <f t="shared" si="126"/>
        <v>0</v>
      </c>
      <c r="AV422" s="37">
        <f t="shared" si="122"/>
        <v>32819.619818000006</v>
      </c>
      <c r="AW422" s="37">
        <f t="shared" si="130"/>
        <v>120858.61981800001</v>
      </c>
      <c r="BA422" s="20" t="str">
        <f t="shared" si="127"/>
        <v>1 - SPAN_INS - Marquez, Maria C</v>
      </c>
    </row>
    <row r="423" spans="1:53" ht="12.75" customHeight="1" x14ac:dyDescent="0.25">
      <c r="A423" s="20">
        <v>409</v>
      </c>
      <c r="B423" s="78" t="s">
        <v>7338</v>
      </c>
      <c r="C423" s="20" t="s">
        <v>7488</v>
      </c>
      <c r="D423" s="20" t="s">
        <v>7393</v>
      </c>
      <c r="E423" s="82">
        <v>100</v>
      </c>
      <c r="F423" s="34">
        <v>44378</v>
      </c>
      <c r="G423" s="20" t="s">
        <v>6741</v>
      </c>
      <c r="H423" s="20">
        <v>20</v>
      </c>
      <c r="K423" s="23">
        <v>121962</v>
      </c>
      <c r="L423" s="23">
        <f t="shared" si="131"/>
        <v>121962</v>
      </c>
      <c r="N423" s="82"/>
      <c r="V423" s="23">
        <f t="shared" si="119"/>
        <v>121962</v>
      </c>
      <c r="W423" s="25">
        <v>1</v>
      </c>
      <c r="X423" s="23">
        <f t="shared" si="132"/>
        <v>121962</v>
      </c>
      <c r="Y423" s="20" t="s">
        <v>1299</v>
      </c>
      <c r="Z423" s="35" t="s">
        <v>6758</v>
      </c>
      <c r="AA423" s="35" t="s">
        <v>6989</v>
      </c>
      <c r="AB423" s="35" t="s">
        <v>6733</v>
      </c>
      <c r="AC423" s="35" t="s">
        <v>7394</v>
      </c>
      <c r="AD423" s="35" t="s">
        <v>7342</v>
      </c>
      <c r="AE423" s="37" t="str">
        <f t="shared" si="123"/>
        <v>51</v>
      </c>
      <c r="AF423" s="37">
        <f t="shared" si="128"/>
        <v>20635.970399999998</v>
      </c>
      <c r="AI423" s="37">
        <f t="shared" si="133"/>
        <v>1768.4490000000001</v>
      </c>
      <c r="AJ423" s="37">
        <f t="shared" si="134"/>
        <v>1500.1325999999999</v>
      </c>
      <c r="AK423" s="37">
        <f t="shared" si="135"/>
        <v>2306.0574960000004</v>
      </c>
      <c r="AL423" s="23">
        <v>140.04</v>
      </c>
      <c r="AM423" s="23">
        <f t="shared" si="124"/>
        <v>140.04</v>
      </c>
      <c r="AN423" s="22">
        <v>79.2</v>
      </c>
      <c r="AO423" s="22">
        <f t="shared" si="120"/>
        <v>79.2</v>
      </c>
      <c r="AP423" s="23">
        <v>33443.96</v>
      </c>
      <c r="AQ423" s="23">
        <f t="shared" si="121"/>
        <v>34786.734993999999</v>
      </c>
      <c r="AR423" s="23">
        <f t="shared" si="125"/>
        <v>34786.734993999999</v>
      </c>
      <c r="AS423" s="23">
        <f t="shared" si="129"/>
        <v>35005.974993999997</v>
      </c>
      <c r="AU423" s="20">
        <f t="shared" si="126"/>
        <v>0</v>
      </c>
      <c r="AV423" s="37">
        <f t="shared" si="122"/>
        <v>61216.584490000001</v>
      </c>
      <c r="AW423" s="37">
        <f t="shared" si="130"/>
        <v>183178.58449000001</v>
      </c>
      <c r="BA423" s="20" t="str">
        <f t="shared" si="127"/>
        <v>1 - PSYCH_INS - Matsushita-Arao, Yoshiko J</v>
      </c>
    </row>
    <row r="424" spans="1:53" ht="12.75" hidden="1" customHeight="1" x14ac:dyDescent="0.25">
      <c r="A424" s="20">
        <v>410</v>
      </c>
      <c r="B424" s="78" t="s">
        <v>7338</v>
      </c>
      <c r="C424" s="56" t="s">
        <v>7489</v>
      </c>
      <c r="D424" s="20" t="s">
        <v>7482</v>
      </c>
      <c r="E424" s="82">
        <v>100</v>
      </c>
      <c r="F424" s="34">
        <v>44378</v>
      </c>
      <c r="G424" s="20" t="s">
        <v>6783</v>
      </c>
      <c r="H424" s="20">
        <v>10</v>
      </c>
      <c r="K424" s="23">
        <v>92633</v>
      </c>
      <c r="L424" s="23">
        <f t="shared" si="131"/>
        <v>92633</v>
      </c>
      <c r="N424" s="82"/>
      <c r="V424" s="23">
        <f t="shared" si="119"/>
        <v>92633</v>
      </c>
      <c r="W424" s="25">
        <v>0.25</v>
      </c>
      <c r="X424" s="23">
        <f t="shared" si="132"/>
        <v>23158.25</v>
      </c>
      <c r="Y424" s="20" t="s">
        <v>4938</v>
      </c>
      <c r="Z424" s="35" t="s">
        <v>6731</v>
      </c>
      <c r="AA424" s="35" t="s">
        <v>6732</v>
      </c>
      <c r="AB424" s="35" t="s">
        <v>6733</v>
      </c>
      <c r="AC424" s="35" t="s">
        <v>6734</v>
      </c>
      <c r="AD424" s="35" t="s">
        <v>7348</v>
      </c>
      <c r="AE424" s="37" t="str">
        <f t="shared" si="123"/>
        <v>51</v>
      </c>
      <c r="AF424" s="37"/>
      <c r="AG424" s="37">
        <f>X424*$AG$1</f>
        <v>5305.5550750000002</v>
      </c>
      <c r="AH424" s="37">
        <f>X424*$AH$1</f>
        <v>1435.8115</v>
      </c>
      <c r="AI424" s="37">
        <f t="shared" si="133"/>
        <v>335.794625</v>
      </c>
      <c r="AJ424" s="37">
        <f t="shared" si="134"/>
        <v>284.846475</v>
      </c>
      <c r="AK424" s="37">
        <f t="shared" si="135"/>
        <v>437.87619100000001</v>
      </c>
      <c r="AL424" s="23">
        <v>140.04</v>
      </c>
      <c r="AM424" s="23">
        <f t="shared" si="124"/>
        <v>35.01</v>
      </c>
      <c r="AN424" s="22">
        <v>79.2</v>
      </c>
      <c r="AO424" s="22">
        <f t="shared" si="120"/>
        <v>19.8</v>
      </c>
      <c r="AP424" s="23">
        <v>33443.96</v>
      </c>
      <c r="AQ424" s="23">
        <f t="shared" si="121"/>
        <v>34786.734993999999</v>
      </c>
      <c r="AR424" s="23">
        <f t="shared" si="125"/>
        <v>8696.6837484999996</v>
      </c>
      <c r="AS424" s="23">
        <f t="shared" si="129"/>
        <v>8751.4937484999991</v>
      </c>
      <c r="AU424" s="20">
        <f t="shared" si="126"/>
        <v>0</v>
      </c>
      <c r="AV424" s="37">
        <f t="shared" si="122"/>
        <v>16551.377614500001</v>
      </c>
      <c r="AW424" s="37">
        <f t="shared" si="130"/>
        <v>39709.627614500001</v>
      </c>
      <c r="AX424" s="20" t="s">
        <v>6675</v>
      </c>
      <c r="AY424" s="20" t="s">
        <v>6736</v>
      </c>
      <c r="AZ424" s="20" t="s">
        <v>6737</v>
      </c>
      <c r="BA424" s="20" t="str">
        <f t="shared" si="127"/>
        <v>0.25 - COU_DSPS - Maturino, Valerie K</v>
      </c>
    </row>
    <row r="425" spans="1:53" ht="12.75" hidden="1" customHeight="1" x14ac:dyDescent="0.25">
      <c r="A425" s="20">
        <v>411</v>
      </c>
      <c r="B425" s="78" t="s">
        <v>7338</v>
      </c>
      <c r="C425" s="56" t="s">
        <v>7489</v>
      </c>
      <c r="D425" s="20" t="s">
        <v>7482</v>
      </c>
      <c r="E425" s="82">
        <v>100</v>
      </c>
      <c r="F425" s="34">
        <v>44378</v>
      </c>
      <c r="G425" s="20" t="s">
        <v>6783</v>
      </c>
      <c r="H425" s="20">
        <v>10</v>
      </c>
      <c r="K425" s="23">
        <v>92633</v>
      </c>
      <c r="L425" s="23">
        <f t="shared" si="131"/>
        <v>92633</v>
      </c>
      <c r="N425" s="82"/>
      <c r="V425" s="23">
        <f t="shared" si="119"/>
        <v>92633</v>
      </c>
      <c r="W425" s="25">
        <v>0.75</v>
      </c>
      <c r="X425" s="23">
        <f t="shared" si="132"/>
        <v>69474.75</v>
      </c>
      <c r="Y425" s="20" t="s">
        <v>6019</v>
      </c>
      <c r="Z425" s="35" t="s">
        <v>6731</v>
      </c>
      <c r="AA425" s="35" t="s">
        <v>6834</v>
      </c>
      <c r="AB425" s="35" t="s">
        <v>6733</v>
      </c>
      <c r="AC425" s="35" t="s">
        <v>6835</v>
      </c>
      <c r="AD425" s="35" t="s">
        <v>7348</v>
      </c>
      <c r="AE425" s="37" t="str">
        <f t="shared" si="123"/>
        <v>51</v>
      </c>
      <c r="AF425" s="37"/>
      <c r="AG425" s="37">
        <f>X425*$AG$1</f>
        <v>15916.665225000001</v>
      </c>
      <c r="AH425" s="37">
        <f>X425*$AH$1</f>
        <v>4307.4345000000003</v>
      </c>
      <c r="AI425" s="37">
        <f t="shared" si="133"/>
        <v>1007.3838750000001</v>
      </c>
      <c r="AJ425" s="37">
        <f t="shared" si="134"/>
        <v>854.53942500000005</v>
      </c>
      <c r="AK425" s="37">
        <f t="shared" si="135"/>
        <v>1313.6285730000002</v>
      </c>
      <c r="AL425" s="23">
        <v>140.04</v>
      </c>
      <c r="AM425" s="23">
        <f t="shared" si="124"/>
        <v>105.03</v>
      </c>
      <c r="AN425" s="22">
        <v>79.2</v>
      </c>
      <c r="AO425" s="22">
        <f t="shared" si="120"/>
        <v>59.400000000000006</v>
      </c>
      <c r="AP425" s="23">
        <v>33443.96</v>
      </c>
      <c r="AQ425" s="23">
        <f t="shared" si="121"/>
        <v>34786.734993999999</v>
      </c>
      <c r="AR425" s="23">
        <f t="shared" si="125"/>
        <v>26090.051245499999</v>
      </c>
      <c r="AS425" s="23">
        <f t="shared" si="129"/>
        <v>26254.481245499999</v>
      </c>
      <c r="AU425" s="20">
        <f t="shared" si="126"/>
        <v>0</v>
      </c>
      <c r="AV425" s="37">
        <f t="shared" si="122"/>
        <v>49654.132843500003</v>
      </c>
      <c r="AW425" s="37">
        <f t="shared" si="130"/>
        <v>119128.8828435</v>
      </c>
      <c r="AX425" s="20" t="s">
        <v>6754</v>
      </c>
      <c r="AY425" s="20" t="s">
        <v>6836</v>
      </c>
      <c r="AZ425" s="20" t="s">
        <v>6837</v>
      </c>
      <c r="BA425" s="20" t="str">
        <f t="shared" si="127"/>
        <v>0.75 - COU_DSPS - Maturino, Valerie K</v>
      </c>
    </row>
    <row r="426" spans="1:53" ht="12.75" hidden="1" customHeight="1" x14ac:dyDescent="0.25">
      <c r="A426" s="20">
        <v>412</v>
      </c>
      <c r="B426" s="78" t="s">
        <v>7338</v>
      </c>
      <c r="C426" s="56" t="s">
        <v>7489</v>
      </c>
      <c r="D426" s="20" t="s">
        <v>7482</v>
      </c>
      <c r="E426" s="82">
        <v>100</v>
      </c>
      <c r="F426" s="34">
        <v>44378</v>
      </c>
      <c r="G426" s="20" t="s">
        <v>6783</v>
      </c>
      <c r="H426" s="20">
        <v>10</v>
      </c>
      <c r="K426" s="23">
        <v>92633</v>
      </c>
      <c r="L426" s="23">
        <f t="shared" si="131"/>
        <v>92633</v>
      </c>
      <c r="N426" s="82"/>
      <c r="V426" s="23">
        <f t="shared" si="119"/>
        <v>92633</v>
      </c>
      <c r="W426" s="25">
        <v>0</v>
      </c>
      <c r="X426" s="23">
        <f t="shared" si="132"/>
        <v>0</v>
      </c>
      <c r="Y426" s="20" t="s">
        <v>5032</v>
      </c>
      <c r="Z426" s="35" t="s">
        <v>6731</v>
      </c>
      <c r="AA426" s="35" t="s">
        <v>6732</v>
      </c>
      <c r="AB426" s="35" t="s">
        <v>6733</v>
      </c>
      <c r="AC426" s="35" t="s">
        <v>7058</v>
      </c>
      <c r="AD426" s="35" t="s">
        <v>7348</v>
      </c>
      <c r="AE426" s="37" t="str">
        <f t="shared" si="123"/>
        <v>51</v>
      </c>
      <c r="AF426" s="37"/>
      <c r="AG426" s="37">
        <f>X426*$AG$1</f>
        <v>0</v>
      </c>
      <c r="AH426" s="37">
        <f>X426*$AH$1</f>
        <v>0</v>
      </c>
      <c r="AI426" s="37">
        <f t="shared" si="133"/>
        <v>0</v>
      </c>
      <c r="AJ426" s="37">
        <f t="shared" si="134"/>
        <v>0</v>
      </c>
      <c r="AK426" s="37">
        <f t="shared" si="135"/>
        <v>0</v>
      </c>
      <c r="AL426" s="23">
        <v>140.04</v>
      </c>
      <c r="AM426" s="23">
        <f t="shared" si="124"/>
        <v>0</v>
      </c>
      <c r="AN426" s="22">
        <v>79.2</v>
      </c>
      <c r="AO426" s="22">
        <f t="shared" si="120"/>
        <v>0</v>
      </c>
      <c r="AP426" s="23">
        <v>33443.96</v>
      </c>
      <c r="AQ426" s="23">
        <f t="shared" si="121"/>
        <v>34786.734993999999</v>
      </c>
      <c r="AR426" s="23">
        <f t="shared" si="125"/>
        <v>0</v>
      </c>
      <c r="AS426" s="23">
        <f t="shared" si="129"/>
        <v>0</v>
      </c>
      <c r="AU426" s="20">
        <f t="shared" si="126"/>
        <v>0</v>
      </c>
      <c r="AV426" s="37">
        <f t="shared" si="122"/>
        <v>0</v>
      </c>
      <c r="AW426" s="37">
        <f t="shared" si="130"/>
        <v>0</v>
      </c>
      <c r="AX426" s="20" t="s">
        <v>6675</v>
      </c>
      <c r="AY426" s="20" t="s">
        <v>7081</v>
      </c>
      <c r="AZ426" s="20" t="s">
        <v>7082</v>
      </c>
      <c r="BA426" s="20" t="str">
        <f t="shared" si="127"/>
        <v>0 - COU_DSPS - Maturino, Valerie K</v>
      </c>
    </row>
    <row r="427" spans="1:53" s="39" customFormat="1" ht="12.75" customHeight="1" x14ac:dyDescent="0.25">
      <c r="A427" s="39" t="s">
        <v>7636</v>
      </c>
      <c r="B427" s="83" t="s">
        <v>7338</v>
      </c>
      <c r="C427" s="39" t="s">
        <v>9966</v>
      </c>
      <c r="D427" s="39" t="s">
        <v>7390</v>
      </c>
      <c r="E427" s="41">
        <v>1</v>
      </c>
      <c r="F427" s="42">
        <v>44378</v>
      </c>
      <c r="G427" s="39" t="s">
        <v>6783</v>
      </c>
      <c r="H427" s="39">
        <v>9</v>
      </c>
      <c r="I427" s="44"/>
      <c r="K427" s="45">
        <v>84618</v>
      </c>
      <c r="L427" s="45">
        <f t="shared" si="131"/>
        <v>84618</v>
      </c>
      <c r="M427" s="45"/>
      <c r="N427" s="84"/>
      <c r="O427" s="46"/>
      <c r="P427" s="45"/>
      <c r="Q427" s="47"/>
      <c r="R427" s="45"/>
      <c r="S427" s="47"/>
      <c r="T427" s="45"/>
      <c r="U427" s="45"/>
      <c r="V427" s="45">
        <f t="shared" ref="V427" si="136">L427+N427+P427+R427+T427+U427</f>
        <v>84618</v>
      </c>
      <c r="W427" s="46">
        <v>1</v>
      </c>
      <c r="X427" s="45">
        <f t="shared" si="132"/>
        <v>84618</v>
      </c>
      <c r="Y427" s="39" t="s">
        <v>7637</v>
      </c>
      <c r="Z427" s="43" t="s">
        <v>6758</v>
      </c>
      <c r="AA427" s="43" t="s">
        <v>6742</v>
      </c>
      <c r="AB427" s="43" t="s">
        <v>6733</v>
      </c>
      <c r="AC427" s="43" t="s">
        <v>6975</v>
      </c>
      <c r="AD427" s="43" t="s">
        <v>7342</v>
      </c>
      <c r="AE427" s="49" t="str">
        <f t="shared" ref="AE427" si="137">LEFT(AD427,2)</f>
        <v>51</v>
      </c>
      <c r="AF427" s="49">
        <f t="shared" ref="AF427" si="138">X427*$AF$1</f>
        <v>14317.365599999999</v>
      </c>
      <c r="AI427" s="49">
        <f t="shared" si="133"/>
        <v>1226.961</v>
      </c>
      <c r="AJ427" s="49">
        <f t="shared" si="134"/>
        <v>1040.8014000000001</v>
      </c>
      <c r="AK427" s="49">
        <f t="shared" si="135"/>
        <v>1599.9571440000002</v>
      </c>
      <c r="AL427" s="45">
        <v>140.04</v>
      </c>
      <c r="AM427" s="45">
        <f t="shared" ref="AM427" si="139">AL427*W427</f>
        <v>140.04</v>
      </c>
      <c r="AN427" s="44">
        <v>79.2</v>
      </c>
      <c r="AO427" s="44">
        <f t="shared" ref="AO427" si="140">AN427*W427</f>
        <v>79.2</v>
      </c>
      <c r="AP427" s="45">
        <v>33443.96</v>
      </c>
      <c r="AQ427" s="45">
        <f t="shared" ref="AQ427" si="141">AP427/2+(((AP427/2)*$AQ$1)+AP427/2)</f>
        <v>34786.734993999999</v>
      </c>
      <c r="AR427" s="45">
        <f t="shared" ref="AR427" si="142">AQ427*W427</f>
        <v>34786.734993999999</v>
      </c>
      <c r="AS427" s="45">
        <f t="shared" ref="AS427" si="143">+AM427+AO427+AR427</f>
        <v>35005.974993999997</v>
      </c>
      <c r="AU427" s="39">
        <f t="shared" ref="AU427" si="144">AT427*W427</f>
        <v>0</v>
      </c>
      <c r="AV427" s="49">
        <f t="shared" ref="AV427" si="145">+AF427+AG427+AH427+AI427+AJ427+AK427+AM427+AO427+AR427+AU427</f>
        <v>53191.060138000001</v>
      </c>
      <c r="AW427" s="226">
        <f t="shared" ref="AW427" si="146">+X427+AV427</f>
        <v>137809.060138</v>
      </c>
      <c r="BA427" s="39" t="str">
        <f t="shared" ref="BA427" si="147">CONCATENATE(W427," - ",D427," - ",C427)</f>
        <v>1 - AG_INS - VACANT (Graham, Albert)</v>
      </c>
    </row>
    <row r="428" spans="1:53" ht="12.75" customHeight="1" x14ac:dyDescent="0.25">
      <c r="A428" s="20">
        <v>413</v>
      </c>
      <c r="B428" s="78" t="s">
        <v>7338</v>
      </c>
      <c r="C428" s="52" t="s">
        <v>7490</v>
      </c>
      <c r="D428" s="20" t="s">
        <v>7491</v>
      </c>
      <c r="E428" s="82">
        <v>100</v>
      </c>
      <c r="F428" s="34">
        <v>44378</v>
      </c>
      <c r="G428" s="51" t="s">
        <v>6729</v>
      </c>
      <c r="H428" s="20">
        <v>6</v>
      </c>
      <c r="K428" s="23">
        <v>88043</v>
      </c>
      <c r="L428" s="23">
        <f t="shared" si="131"/>
        <v>88043</v>
      </c>
      <c r="N428" s="82"/>
      <c r="V428" s="23">
        <f t="shared" si="119"/>
        <v>88043</v>
      </c>
      <c r="W428" s="25">
        <v>0.1</v>
      </c>
      <c r="X428" s="23">
        <f t="shared" si="132"/>
        <v>8804.3000000000011</v>
      </c>
      <c r="Y428" s="20" t="s">
        <v>2509</v>
      </c>
      <c r="Z428" s="35" t="s">
        <v>6758</v>
      </c>
      <c r="AA428" s="35" t="s">
        <v>6847</v>
      </c>
      <c r="AB428" s="35" t="s">
        <v>6733</v>
      </c>
      <c r="AC428" s="35" t="s">
        <v>7345</v>
      </c>
      <c r="AD428" s="35" t="s">
        <v>7342</v>
      </c>
      <c r="AE428" s="37" t="str">
        <f t="shared" si="123"/>
        <v>51</v>
      </c>
      <c r="AF428" s="37">
        <f>X428*$AF$1</f>
        <v>1489.6875600000001</v>
      </c>
      <c r="AI428" s="37">
        <f t="shared" si="133"/>
        <v>127.66235000000002</v>
      </c>
      <c r="AJ428" s="37">
        <f t="shared" si="134"/>
        <v>108.29289000000001</v>
      </c>
      <c r="AK428" s="37">
        <f t="shared" si="135"/>
        <v>166.47170440000002</v>
      </c>
      <c r="AL428" s="23">
        <v>140.04</v>
      </c>
      <c r="AM428" s="23">
        <f t="shared" si="124"/>
        <v>14.004</v>
      </c>
      <c r="AN428" s="22">
        <v>79.2</v>
      </c>
      <c r="AO428" s="22">
        <f t="shared" si="120"/>
        <v>7.9200000000000008</v>
      </c>
      <c r="AP428" s="23">
        <v>25452.6</v>
      </c>
      <c r="AQ428" s="23">
        <f t="shared" si="121"/>
        <v>26474.521889999996</v>
      </c>
      <c r="AR428" s="23">
        <f t="shared" si="125"/>
        <v>2647.4521889999996</v>
      </c>
      <c r="AS428" s="23">
        <f t="shared" si="129"/>
        <v>2669.3761889999996</v>
      </c>
      <c r="AU428" s="20">
        <f t="shared" si="126"/>
        <v>0</v>
      </c>
      <c r="AV428" s="37">
        <f t="shared" si="122"/>
        <v>4561.4906933999991</v>
      </c>
      <c r="AW428" s="225">
        <f t="shared" si="130"/>
        <v>13365.7906934</v>
      </c>
      <c r="BA428" s="20" t="str">
        <f t="shared" si="127"/>
        <v>0.1 - HD_LIB - VACANT (Mayfield)</v>
      </c>
    </row>
    <row r="429" spans="1:53" ht="12.75" customHeight="1" x14ac:dyDescent="0.25">
      <c r="A429" s="20">
        <v>414</v>
      </c>
      <c r="B429" s="78" t="s">
        <v>7338</v>
      </c>
      <c r="C429" s="52" t="s">
        <v>7490</v>
      </c>
      <c r="D429" s="20" t="s">
        <v>7491</v>
      </c>
      <c r="E429" s="82">
        <v>100</v>
      </c>
      <c r="F429" s="34">
        <v>44378</v>
      </c>
      <c r="G429" s="51" t="s">
        <v>6729</v>
      </c>
      <c r="H429" s="20">
        <v>6</v>
      </c>
      <c r="K429" s="23">
        <v>88043</v>
      </c>
      <c r="L429" s="23">
        <f t="shared" si="131"/>
        <v>88043</v>
      </c>
      <c r="N429" s="82"/>
      <c r="V429" s="23">
        <f t="shared" si="119"/>
        <v>88043</v>
      </c>
      <c r="W429" s="25">
        <v>0.9</v>
      </c>
      <c r="X429" s="23">
        <f t="shared" si="132"/>
        <v>79238.7</v>
      </c>
      <c r="Y429" s="20" t="s">
        <v>2555</v>
      </c>
      <c r="Z429" s="35" t="s">
        <v>6758</v>
      </c>
      <c r="AA429" s="35" t="s">
        <v>6847</v>
      </c>
      <c r="AB429" s="35" t="s">
        <v>6733</v>
      </c>
      <c r="AC429" s="35" t="s">
        <v>7031</v>
      </c>
      <c r="AD429" s="35" t="s">
        <v>7348</v>
      </c>
      <c r="AE429" s="37" t="str">
        <f t="shared" si="123"/>
        <v>51</v>
      </c>
      <c r="AF429" s="37">
        <f>X429*$AF$1</f>
        <v>13407.188039999999</v>
      </c>
      <c r="AI429" s="37">
        <f t="shared" si="133"/>
        <v>1148.9611500000001</v>
      </c>
      <c r="AJ429" s="37">
        <f t="shared" si="134"/>
        <v>974.63600999999994</v>
      </c>
      <c r="AK429" s="37">
        <f t="shared" si="135"/>
        <v>1498.2453396000001</v>
      </c>
      <c r="AL429" s="23">
        <v>140.04</v>
      </c>
      <c r="AM429" s="23">
        <f t="shared" si="124"/>
        <v>126.036</v>
      </c>
      <c r="AN429" s="22">
        <v>79.2</v>
      </c>
      <c r="AO429" s="22">
        <f t="shared" si="120"/>
        <v>71.28</v>
      </c>
      <c r="AP429" s="23">
        <v>25452.6</v>
      </c>
      <c r="AQ429" s="23">
        <f t="shared" si="121"/>
        <v>26474.521889999996</v>
      </c>
      <c r="AR429" s="23">
        <f t="shared" si="125"/>
        <v>23827.069700999997</v>
      </c>
      <c r="AS429" s="23">
        <f t="shared" si="129"/>
        <v>24024.385700999996</v>
      </c>
      <c r="AU429" s="20">
        <f t="shared" si="126"/>
        <v>0</v>
      </c>
      <c r="AV429" s="37">
        <f t="shared" si="122"/>
        <v>41053.416240599996</v>
      </c>
      <c r="AW429" s="225">
        <f t="shared" si="130"/>
        <v>120292.11624059999</v>
      </c>
      <c r="BA429" s="20" t="str">
        <f t="shared" si="127"/>
        <v>0.9 - HD_LIB - VACANT (Mayfield)</v>
      </c>
    </row>
    <row r="430" spans="1:53" ht="12.75" customHeight="1" x14ac:dyDescent="0.25">
      <c r="A430" s="20">
        <v>415</v>
      </c>
      <c r="B430" s="78" t="s">
        <v>7338</v>
      </c>
      <c r="C430" s="20" t="s">
        <v>7492</v>
      </c>
      <c r="D430" s="20" t="s">
        <v>7475</v>
      </c>
      <c r="E430" s="82">
        <v>100</v>
      </c>
      <c r="F430" s="34">
        <v>44378</v>
      </c>
      <c r="G430" s="20" t="s">
        <v>6730</v>
      </c>
      <c r="H430" s="20">
        <v>9</v>
      </c>
      <c r="K430" s="23">
        <v>91462</v>
      </c>
      <c r="L430" s="23">
        <f t="shared" si="131"/>
        <v>91462</v>
      </c>
      <c r="N430" s="82"/>
      <c r="V430" s="23">
        <f t="shared" si="119"/>
        <v>91462</v>
      </c>
      <c r="W430" s="25">
        <v>1</v>
      </c>
      <c r="X430" s="23">
        <f t="shared" si="132"/>
        <v>91462</v>
      </c>
      <c r="Y430" s="20" t="s">
        <v>1759</v>
      </c>
      <c r="Z430" s="35" t="s">
        <v>6758</v>
      </c>
      <c r="AA430" s="35" t="s">
        <v>6772</v>
      </c>
      <c r="AB430" s="35" t="s">
        <v>6733</v>
      </c>
      <c r="AC430" s="35" t="s">
        <v>6815</v>
      </c>
      <c r="AD430" s="35" t="s">
        <v>7342</v>
      </c>
      <c r="AE430" s="37" t="str">
        <f t="shared" si="123"/>
        <v>51</v>
      </c>
      <c r="AF430" s="37">
        <f>X430*$AF$1</f>
        <v>15475.3704</v>
      </c>
      <c r="AI430" s="37">
        <f t="shared" si="133"/>
        <v>1326.1990000000001</v>
      </c>
      <c r="AJ430" s="37">
        <f t="shared" si="134"/>
        <v>1124.9826</v>
      </c>
      <c r="AK430" s="37">
        <f t="shared" si="135"/>
        <v>1729.3634960000002</v>
      </c>
      <c r="AL430" s="23">
        <v>140.04</v>
      </c>
      <c r="AM430" s="23">
        <f t="shared" si="124"/>
        <v>140.04</v>
      </c>
      <c r="AN430" s="22">
        <v>79.2</v>
      </c>
      <c r="AO430" s="22">
        <f t="shared" si="120"/>
        <v>79.2</v>
      </c>
      <c r="AP430" s="23">
        <v>6520.14</v>
      </c>
      <c r="AQ430" s="23">
        <f t="shared" si="121"/>
        <v>6781.9236209999999</v>
      </c>
      <c r="AR430" s="23">
        <f t="shared" si="125"/>
        <v>6781.9236209999999</v>
      </c>
      <c r="AS430" s="23">
        <f t="shared" si="129"/>
        <v>7001.1636209999997</v>
      </c>
      <c r="AT430" s="37">
        <v>2400</v>
      </c>
      <c r="AU430" s="20">
        <f t="shared" si="126"/>
        <v>2400</v>
      </c>
      <c r="AV430" s="37">
        <f t="shared" si="122"/>
        <v>29057.079117000001</v>
      </c>
      <c r="AW430" s="37">
        <f t="shared" si="130"/>
        <v>120519.079117</v>
      </c>
      <c r="BA430" s="20" t="str">
        <f t="shared" si="127"/>
        <v>1 - CHEM_INS - McCarthy, Michael R</v>
      </c>
    </row>
    <row r="431" spans="1:53" ht="12.75" customHeight="1" x14ac:dyDescent="0.25">
      <c r="A431" s="20">
        <v>416</v>
      </c>
      <c r="B431" s="78" t="s">
        <v>7338</v>
      </c>
      <c r="C431" s="20" t="s">
        <v>7493</v>
      </c>
      <c r="D431" s="20" t="s">
        <v>7454</v>
      </c>
      <c r="E431" s="82">
        <v>100</v>
      </c>
      <c r="F431" s="34">
        <v>44378</v>
      </c>
      <c r="G431" s="20" t="s">
        <v>6730</v>
      </c>
      <c r="H431" s="20">
        <v>9</v>
      </c>
      <c r="K431" s="23">
        <v>91462</v>
      </c>
      <c r="L431" s="23">
        <f t="shared" si="131"/>
        <v>91462</v>
      </c>
      <c r="N431" s="82"/>
      <c r="V431" s="23">
        <f t="shared" si="119"/>
        <v>91462</v>
      </c>
      <c r="W431" s="25">
        <v>1</v>
      </c>
      <c r="X431" s="23">
        <f t="shared" si="132"/>
        <v>91462</v>
      </c>
      <c r="Y431" s="20" t="s">
        <v>2753</v>
      </c>
      <c r="Z431" s="35" t="s">
        <v>6758</v>
      </c>
      <c r="AA431" s="35" t="s">
        <v>7362</v>
      </c>
      <c r="AB431" s="35" t="s">
        <v>6733</v>
      </c>
      <c r="AC431" s="35" t="s">
        <v>7455</v>
      </c>
      <c r="AD431" s="35" t="s">
        <v>7342</v>
      </c>
      <c r="AE431" s="37" t="str">
        <f t="shared" si="123"/>
        <v>51</v>
      </c>
      <c r="AF431" s="37">
        <f>X431*$AF$1</f>
        <v>15475.3704</v>
      </c>
      <c r="AI431" s="37">
        <f t="shared" si="133"/>
        <v>1326.1990000000001</v>
      </c>
      <c r="AJ431" s="37">
        <f t="shared" si="134"/>
        <v>1124.9826</v>
      </c>
      <c r="AK431" s="37">
        <f t="shared" si="135"/>
        <v>1729.3634960000002</v>
      </c>
      <c r="AL431" s="23">
        <v>140.04</v>
      </c>
      <c r="AM431" s="23">
        <f t="shared" si="124"/>
        <v>140.04</v>
      </c>
      <c r="AN431" s="22">
        <v>79.2</v>
      </c>
      <c r="AO431" s="22">
        <f t="shared" si="120"/>
        <v>79.2</v>
      </c>
      <c r="AP431" s="23">
        <v>13152.04</v>
      </c>
      <c r="AQ431" s="23">
        <f t="shared" si="121"/>
        <v>13680.094406</v>
      </c>
      <c r="AR431" s="23">
        <f t="shared" si="125"/>
        <v>13680.094406</v>
      </c>
      <c r="AS431" s="23">
        <f t="shared" si="129"/>
        <v>13899.334406</v>
      </c>
      <c r="AU431" s="20">
        <f t="shared" si="126"/>
        <v>0</v>
      </c>
      <c r="AV431" s="37">
        <f t="shared" si="122"/>
        <v>33555.249902000003</v>
      </c>
      <c r="AW431" s="37">
        <f t="shared" si="130"/>
        <v>125017.24990200001</v>
      </c>
      <c r="BA431" s="20" t="str">
        <f t="shared" si="127"/>
        <v>1 - ENG_INS - McClary, Kelley A</v>
      </c>
    </row>
    <row r="432" spans="1:53" ht="12.75" hidden="1" customHeight="1" x14ac:dyDescent="0.25">
      <c r="A432" s="20">
        <v>417</v>
      </c>
      <c r="B432" s="78" t="s">
        <v>7338</v>
      </c>
      <c r="C432" s="56" t="s">
        <v>7494</v>
      </c>
      <c r="D432" s="20" t="s">
        <v>7495</v>
      </c>
      <c r="E432" s="82">
        <v>100</v>
      </c>
      <c r="F432" s="34">
        <v>44378</v>
      </c>
      <c r="G432" s="20" t="s">
        <v>6729</v>
      </c>
      <c r="H432" s="20">
        <v>14</v>
      </c>
      <c r="K432" s="23">
        <v>103084</v>
      </c>
      <c r="L432" s="23">
        <f t="shared" si="131"/>
        <v>103084</v>
      </c>
      <c r="N432" s="82"/>
      <c r="V432" s="23">
        <f t="shared" si="119"/>
        <v>103084</v>
      </c>
      <c r="W432" s="25">
        <v>1</v>
      </c>
      <c r="X432" s="23">
        <f t="shared" si="132"/>
        <v>103084</v>
      </c>
      <c r="Y432" s="20" t="s">
        <v>4861</v>
      </c>
      <c r="Z432" s="35" t="s">
        <v>6731</v>
      </c>
      <c r="AA432" s="35" t="s">
        <v>6742</v>
      </c>
      <c r="AB432" s="35" t="s">
        <v>7423</v>
      </c>
      <c r="AC432" s="35" t="s">
        <v>7496</v>
      </c>
      <c r="AD432" s="35" t="s">
        <v>7342</v>
      </c>
      <c r="AE432" s="37" t="str">
        <f t="shared" si="123"/>
        <v>51</v>
      </c>
      <c r="AF432" s="37"/>
      <c r="AG432" s="37">
        <f>X432*$AG$1</f>
        <v>23616.544399999999</v>
      </c>
      <c r="AH432" s="37">
        <f>X432*$AH$1</f>
        <v>6391.2079999999996</v>
      </c>
      <c r="AI432" s="37">
        <f t="shared" si="133"/>
        <v>1494.7180000000001</v>
      </c>
      <c r="AJ432" s="37">
        <f t="shared" si="134"/>
        <v>1267.9331999999999</v>
      </c>
      <c r="AK432" s="37">
        <f t="shared" si="135"/>
        <v>1949.1122720000001</v>
      </c>
      <c r="AL432" s="23">
        <v>140.04</v>
      </c>
      <c r="AM432" s="23">
        <f t="shared" si="124"/>
        <v>140.04</v>
      </c>
      <c r="AN432" s="22">
        <v>79.2</v>
      </c>
      <c r="AO432" s="22">
        <f t="shared" si="120"/>
        <v>79.2</v>
      </c>
      <c r="AP432" s="23">
        <v>23232</v>
      </c>
      <c r="AQ432" s="23">
        <f t="shared" si="121"/>
        <v>24164.764800000001</v>
      </c>
      <c r="AR432" s="23">
        <f t="shared" si="125"/>
        <v>24164.764800000001</v>
      </c>
      <c r="AS432" s="23">
        <f t="shared" si="129"/>
        <v>24384.004800000002</v>
      </c>
      <c r="AU432" s="20">
        <f t="shared" si="126"/>
        <v>0</v>
      </c>
      <c r="AV432" s="37">
        <f t="shared" si="122"/>
        <v>59103.520671999999</v>
      </c>
      <c r="AW432" s="37">
        <f t="shared" si="130"/>
        <v>162187.52067200001</v>
      </c>
      <c r="AX432" s="20" t="s">
        <v>6675</v>
      </c>
      <c r="AY432" s="20" t="s">
        <v>6745</v>
      </c>
      <c r="AZ432" s="20" t="s">
        <v>6748</v>
      </c>
      <c r="BA432" s="20" t="str">
        <f t="shared" si="127"/>
        <v>1 - EMT_INS - McElhenie, Matthew M</v>
      </c>
    </row>
    <row r="433" spans="1:53" ht="12.75" customHeight="1" x14ac:dyDescent="0.25">
      <c r="A433" s="20">
        <v>418</v>
      </c>
      <c r="B433" s="78" t="s">
        <v>7338</v>
      </c>
      <c r="C433" s="56" t="s">
        <v>7497</v>
      </c>
      <c r="D433" s="20" t="s">
        <v>7498</v>
      </c>
      <c r="E433" s="82">
        <v>100</v>
      </c>
      <c r="F433" s="34">
        <v>44378</v>
      </c>
      <c r="G433" s="20" t="s">
        <v>6783</v>
      </c>
      <c r="H433" s="20">
        <v>8</v>
      </c>
      <c r="K433" s="23">
        <v>86272</v>
      </c>
      <c r="L433" s="23">
        <f t="shared" si="131"/>
        <v>86272</v>
      </c>
      <c r="N433" s="82"/>
      <c r="V433" s="23">
        <f t="shared" si="119"/>
        <v>86272</v>
      </c>
      <c r="W433" s="25">
        <v>0.8</v>
      </c>
      <c r="X433" s="23">
        <f t="shared" si="132"/>
        <v>69017.600000000006</v>
      </c>
      <c r="Y433" s="20" t="s">
        <v>1433</v>
      </c>
      <c r="Z433" s="35" t="s">
        <v>6758</v>
      </c>
      <c r="AA433" s="35" t="s">
        <v>6941</v>
      </c>
      <c r="AB433" s="35" t="s">
        <v>6733</v>
      </c>
      <c r="AC433" s="35" t="s">
        <v>7368</v>
      </c>
      <c r="AD433" s="35" t="s">
        <v>7342</v>
      </c>
      <c r="AE433" s="37" t="str">
        <f t="shared" si="123"/>
        <v>51</v>
      </c>
      <c r="AF433" s="37">
        <f t="shared" ref="AF433:AF465" si="148">X433*$AF$1</f>
        <v>11677.77792</v>
      </c>
      <c r="AG433" s="37"/>
      <c r="AH433" s="37"/>
      <c r="AI433" s="37">
        <f t="shared" si="133"/>
        <v>1000.7552000000002</v>
      </c>
      <c r="AJ433" s="37">
        <f t="shared" si="134"/>
        <v>848.91648000000009</v>
      </c>
      <c r="AK433" s="37">
        <f t="shared" si="135"/>
        <v>1304.9847808000002</v>
      </c>
      <c r="AL433" s="23">
        <v>140.04</v>
      </c>
      <c r="AM433" s="23">
        <f t="shared" si="124"/>
        <v>112.032</v>
      </c>
      <c r="AN433" s="22">
        <v>79.2</v>
      </c>
      <c r="AO433" s="22">
        <f t="shared" si="120"/>
        <v>63.360000000000007</v>
      </c>
      <c r="AP433" s="23">
        <v>25452.57</v>
      </c>
      <c r="AQ433" s="23">
        <f t="shared" si="121"/>
        <v>26474.490685500001</v>
      </c>
      <c r="AR433" s="23">
        <f t="shared" si="125"/>
        <v>21179.592548400004</v>
      </c>
      <c r="AS433" s="23">
        <f t="shared" si="129"/>
        <v>21354.984548400003</v>
      </c>
      <c r="AU433" s="20">
        <f t="shared" si="126"/>
        <v>0</v>
      </c>
      <c r="AV433" s="37">
        <f t="shared" si="122"/>
        <v>36187.418929200001</v>
      </c>
      <c r="AW433" s="37">
        <f t="shared" si="130"/>
        <v>105205.01892920001</v>
      </c>
      <c r="BA433" s="20" t="str">
        <f t="shared" si="127"/>
        <v>0.8 - SAOSFO - McKown, Joel</v>
      </c>
    </row>
    <row r="434" spans="1:53" ht="12.75" customHeight="1" x14ac:dyDescent="0.25">
      <c r="A434" s="20">
        <v>419</v>
      </c>
      <c r="B434" s="78" t="s">
        <v>7338</v>
      </c>
      <c r="C434" s="56" t="s">
        <v>7497</v>
      </c>
      <c r="D434" s="20" t="s">
        <v>7498</v>
      </c>
      <c r="E434" s="82">
        <v>100</v>
      </c>
      <c r="F434" s="34">
        <v>44378</v>
      </c>
      <c r="G434" s="20" t="s">
        <v>6783</v>
      </c>
      <c r="H434" s="20">
        <v>8</v>
      </c>
      <c r="K434" s="23">
        <v>86272</v>
      </c>
      <c r="L434" s="23">
        <f t="shared" si="131"/>
        <v>86272</v>
      </c>
      <c r="N434" s="82"/>
      <c r="V434" s="23">
        <f t="shared" si="119"/>
        <v>86272</v>
      </c>
      <c r="W434" s="25">
        <v>0.2</v>
      </c>
      <c r="X434" s="23">
        <f t="shared" si="132"/>
        <v>17254.400000000001</v>
      </c>
      <c r="Y434" s="20" t="s">
        <v>1503</v>
      </c>
      <c r="Z434" s="35" t="s">
        <v>6758</v>
      </c>
      <c r="AA434" s="35" t="s">
        <v>6941</v>
      </c>
      <c r="AB434" s="35" t="s">
        <v>6733</v>
      </c>
      <c r="AC434" s="35" t="s">
        <v>7369</v>
      </c>
      <c r="AD434" s="35" t="s">
        <v>7342</v>
      </c>
      <c r="AE434" s="37" t="str">
        <f t="shared" si="123"/>
        <v>51</v>
      </c>
      <c r="AF434" s="37">
        <f t="shared" si="148"/>
        <v>2919.4444800000001</v>
      </c>
      <c r="AG434" s="37"/>
      <c r="AH434" s="37"/>
      <c r="AI434" s="37">
        <f t="shared" si="133"/>
        <v>250.18880000000004</v>
      </c>
      <c r="AJ434" s="37">
        <f t="shared" si="134"/>
        <v>212.22912000000002</v>
      </c>
      <c r="AK434" s="37">
        <f t="shared" si="135"/>
        <v>326.24619520000005</v>
      </c>
      <c r="AL434" s="23">
        <v>140.04</v>
      </c>
      <c r="AM434" s="23">
        <f t="shared" si="124"/>
        <v>28.007999999999999</v>
      </c>
      <c r="AN434" s="22">
        <v>79.2</v>
      </c>
      <c r="AO434" s="22">
        <f t="shared" si="120"/>
        <v>15.840000000000002</v>
      </c>
      <c r="AP434" s="23">
        <v>25452.57</v>
      </c>
      <c r="AQ434" s="23">
        <f t="shared" si="121"/>
        <v>26474.490685500001</v>
      </c>
      <c r="AR434" s="23">
        <f t="shared" si="125"/>
        <v>5294.8981371000009</v>
      </c>
      <c r="AS434" s="23">
        <f t="shared" si="129"/>
        <v>5338.7461371000009</v>
      </c>
      <c r="AU434" s="20">
        <f t="shared" si="126"/>
        <v>0</v>
      </c>
      <c r="AV434" s="37">
        <f t="shared" si="122"/>
        <v>9046.8547323000003</v>
      </c>
      <c r="AW434" s="37">
        <f t="shared" si="130"/>
        <v>26301.254732300004</v>
      </c>
      <c r="BA434" s="20" t="str">
        <f t="shared" si="127"/>
        <v>0.2 - SAOSFO - McKown, Joel</v>
      </c>
    </row>
    <row r="435" spans="1:53" ht="12.75" customHeight="1" x14ac:dyDescent="0.25">
      <c r="A435" s="20">
        <v>420</v>
      </c>
      <c r="B435" s="78" t="s">
        <v>7338</v>
      </c>
      <c r="C435" s="20" t="s">
        <v>7499</v>
      </c>
      <c r="D435" s="20" t="s">
        <v>7454</v>
      </c>
      <c r="E435" s="82">
        <v>100</v>
      </c>
      <c r="F435" s="34">
        <v>44378</v>
      </c>
      <c r="G435" s="20" t="s">
        <v>6783</v>
      </c>
      <c r="H435" s="20">
        <v>20</v>
      </c>
      <c r="K435" s="23">
        <v>105238</v>
      </c>
      <c r="L435" s="23">
        <f t="shared" si="131"/>
        <v>105238</v>
      </c>
      <c r="N435" s="82"/>
      <c r="V435" s="23">
        <f t="shared" si="119"/>
        <v>105238</v>
      </c>
      <c r="W435" s="25">
        <v>1</v>
      </c>
      <c r="X435" s="23">
        <f t="shared" si="132"/>
        <v>105238</v>
      </c>
      <c r="Y435" s="20" t="s">
        <v>2753</v>
      </c>
      <c r="Z435" s="35" t="s">
        <v>6758</v>
      </c>
      <c r="AA435" s="35" t="s">
        <v>7362</v>
      </c>
      <c r="AB435" s="35" t="s">
        <v>6733</v>
      </c>
      <c r="AC435" s="35" t="s">
        <v>7455</v>
      </c>
      <c r="AD435" s="35" t="s">
        <v>7342</v>
      </c>
      <c r="AE435" s="37" t="str">
        <f t="shared" si="123"/>
        <v>51</v>
      </c>
      <c r="AF435" s="37">
        <f t="shared" si="148"/>
        <v>17806.2696</v>
      </c>
      <c r="AI435" s="37">
        <f t="shared" si="133"/>
        <v>1525.951</v>
      </c>
      <c r="AJ435" s="37">
        <f t="shared" si="134"/>
        <v>1294.4274</v>
      </c>
      <c r="AK435" s="37">
        <f t="shared" si="135"/>
        <v>1989.8401040000001</v>
      </c>
      <c r="AL435" s="23">
        <v>140.04</v>
      </c>
      <c r="AM435" s="23">
        <f t="shared" si="124"/>
        <v>140.04</v>
      </c>
      <c r="AN435" s="22">
        <v>79.2</v>
      </c>
      <c r="AO435" s="22">
        <f t="shared" si="120"/>
        <v>79.2</v>
      </c>
      <c r="AP435" s="23">
        <v>33443.96</v>
      </c>
      <c r="AQ435" s="23">
        <f t="shared" si="121"/>
        <v>34786.734993999999</v>
      </c>
      <c r="AR435" s="23">
        <f t="shared" si="125"/>
        <v>34786.734993999999</v>
      </c>
      <c r="AS435" s="23">
        <f t="shared" si="129"/>
        <v>35005.974993999997</v>
      </c>
      <c r="AU435" s="20">
        <f t="shared" si="126"/>
        <v>0</v>
      </c>
      <c r="AV435" s="37">
        <f t="shared" si="122"/>
        <v>57622.463098</v>
      </c>
      <c r="AW435" s="37">
        <f t="shared" si="130"/>
        <v>162860.46309800001</v>
      </c>
      <c r="BA435" s="20" t="str">
        <f t="shared" si="127"/>
        <v>1 - ENG_INS - Mendoza-Lewis, Rhea L</v>
      </c>
    </row>
    <row r="436" spans="1:53" ht="12.75" customHeight="1" x14ac:dyDescent="0.25">
      <c r="A436" s="20">
        <v>421</v>
      </c>
      <c r="B436" s="78" t="s">
        <v>7338</v>
      </c>
      <c r="C436" s="20" t="s">
        <v>7500</v>
      </c>
      <c r="D436" s="20" t="s">
        <v>7384</v>
      </c>
      <c r="E436" s="82">
        <v>100</v>
      </c>
      <c r="F436" s="34">
        <v>44378</v>
      </c>
      <c r="G436" s="20" t="s">
        <v>6741</v>
      </c>
      <c r="H436" s="20">
        <v>11</v>
      </c>
      <c r="K436" s="23">
        <v>100899</v>
      </c>
      <c r="L436" s="23">
        <f t="shared" si="131"/>
        <v>100899</v>
      </c>
      <c r="N436" s="82"/>
      <c r="V436" s="23">
        <f t="shared" si="119"/>
        <v>100899</v>
      </c>
      <c r="W436" s="25">
        <v>1</v>
      </c>
      <c r="X436" s="23">
        <f t="shared" si="132"/>
        <v>100899</v>
      </c>
      <c r="Y436" s="20" t="s">
        <v>1697</v>
      </c>
      <c r="Z436" s="35" t="s">
        <v>6758</v>
      </c>
      <c r="AA436" s="35" t="s">
        <v>6772</v>
      </c>
      <c r="AB436" s="35" t="s">
        <v>6733</v>
      </c>
      <c r="AC436" s="35" t="s">
        <v>7385</v>
      </c>
      <c r="AD436" s="35" t="s">
        <v>7342</v>
      </c>
      <c r="AE436" s="37" t="str">
        <f t="shared" si="123"/>
        <v>51</v>
      </c>
      <c r="AF436" s="37">
        <f t="shared" si="148"/>
        <v>17072.110799999999</v>
      </c>
      <c r="AI436" s="37">
        <f t="shared" si="133"/>
        <v>1463.0355000000002</v>
      </c>
      <c r="AJ436" s="37">
        <f t="shared" si="134"/>
        <v>1241.0577000000001</v>
      </c>
      <c r="AK436" s="37">
        <f t="shared" si="135"/>
        <v>1907.7982920000002</v>
      </c>
      <c r="AL436" s="23">
        <v>140.04</v>
      </c>
      <c r="AM436" s="23">
        <f t="shared" si="124"/>
        <v>140.04</v>
      </c>
      <c r="AN436" s="22">
        <v>79.2</v>
      </c>
      <c r="AO436" s="22">
        <f t="shared" si="120"/>
        <v>79.2</v>
      </c>
      <c r="AP436" s="23">
        <v>33443.96</v>
      </c>
      <c r="AQ436" s="23">
        <f t="shared" si="121"/>
        <v>34786.734993999999</v>
      </c>
      <c r="AR436" s="23">
        <f t="shared" si="125"/>
        <v>34786.734993999999</v>
      </c>
      <c r="AS436" s="23">
        <f t="shared" si="129"/>
        <v>35005.974993999997</v>
      </c>
      <c r="AU436" s="20">
        <f t="shared" si="126"/>
        <v>0</v>
      </c>
      <c r="AV436" s="37">
        <f t="shared" si="122"/>
        <v>56689.977286000001</v>
      </c>
      <c r="AW436" s="37">
        <f t="shared" si="130"/>
        <v>157588.97728600001</v>
      </c>
      <c r="BA436" s="20" t="str">
        <f t="shared" si="127"/>
        <v>1 - MATH_INS - Moorhouse, Jennifer L</v>
      </c>
    </row>
    <row r="437" spans="1:53" ht="12.75" customHeight="1" x14ac:dyDescent="0.25">
      <c r="A437" s="20">
        <v>422</v>
      </c>
      <c r="B437" s="78" t="s">
        <v>7338</v>
      </c>
      <c r="C437" s="20" t="s">
        <v>7501</v>
      </c>
      <c r="D437" s="20" t="s">
        <v>7384</v>
      </c>
      <c r="E437" s="82">
        <v>100</v>
      </c>
      <c r="F437" s="34">
        <v>44378</v>
      </c>
      <c r="G437" s="20" t="s">
        <v>6783</v>
      </c>
      <c r="H437" s="20">
        <v>20</v>
      </c>
      <c r="K437" s="23">
        <v>105238</v>
      </c>
      <c r="L437" s="23">
        <f t="shared" si="131"/>
        <v>105238</v>
      </c>
      <c r="N437" s="82"/>
      <c r="V437" s="23">
        <f t="shared" ref="V437:V501" si="149">L437+N437+P437+R437+T437+U437</f>
        <v>105238</v>
      </c>
      <c r="W437" s="25">
        <v>1</v>
      </c>
      <c r="X437" s="23">
        <f t="shared" si="132"/>
        <v>105238</v>
      </c>
      <c r="Y437" s="20" t="s">
        <v>1697</v>
      </c>
      <c r="Z437" s="35" t="s">
        <v>6758</v>
      </c>
      <c r="AA437" s="35" t="s">
        <v>6772</v>
      </c>
      <c r="AB437" s="35" t="s">
        <v>6733</v>
      </c>
      <c r="AC437" s="35" t="s">
        <v>7385</v>
      </c>
      <c r="AD437" s="35" t="s">
        <v>7342</v>
      </c>
      <c r="AE437" s="37" t="str">
        <f t="shared" si="123"/>
        <v>51</v>
      </c>
      <c r="AF437" s="37">
        <f t="shared" si="148"/>
        <v>17806.2696</v>
      </c>
      <c r="AI437" s="37">
        <f t="shared" si="133"/>
        <v>1525.951</v>
      </c>
      <c r="AJ437" s="37">
        <f t="shared" si="134"/>
        <v>1294.4274</v>
      </c>
      <c r="AK437" s="37">
        <f t="shared" si="135"/>
        <v>1989.8401040000001</v>
      </c>
      <c r="AL437" s="23">
        <v>140.04</v>
      </c>
      <c r="AM437" s="23">
        <f t="shared" si="124"/>
        <v>140.04</v>
      </c>
      <c r="AN437" s="22">
        <v>79.2</v>
      </c>
      <c r="AO437" s="22">
        <f t="shared" si="120"/>
        <v>79.2</v>
      </c>
      <c r="AP437" s="23">
        <v>33443.96</v>
      </c>
      <c r="AQ437" s="23">
        <f t="shared" si="121"/>
        <v>34786.734993999999</v>
      </c>
      <c r="AR437" s="23">
        <f t="shared" si="125"/>
        <v>34786.734993999999</v>
      </c>
      <c r="AS437" s="23">
        <f t="shared" si="129"/>
        <v>35005.974993999997</v>
      </c>
      <c r="AU437" s="20">
        <f t="shared" si="126"/>
        <v>0</v>
      </c>
      <c r="AV437" s="37">
        <f t="shared" si="122"/>
        <v>57622.463098</v>
      </c>
      <c r="AW437" s="37">
        <f t="shared" si="130"/>
        <v>162860.46309800001</v>
      </c>
      <c r="BA437" s="20" t="str">
        <f t="shared" si="127"/>
        <v>1 - MATH_INS - Moss, Christopher R</v>
      </c>
    </row>
    <row r="438" spans="1:53" ht="12.75" customHeight="1" x14ac:dyDescent="0.25">
      <c r="A438" s="20">
        <v>423</v>
      </c>
      <c r="B438" s="78" t="s">
        <v>7338</v>
      </c>
      <c r="C438" s="20" t="s">
        <v>7502</v>
      </c>
      <c r="D438" s="20" t="s">
        <v>7503</v>
      </c>
      <c r="E438" s="82">
        <v>100</v>
      </c>
      <c r="F438" s="34">
        <v>44378</v>
      </c>
      <c r="G438" s="20" t="s">
        <v>6741</v>
      </c>
      <c r="H438" s="20">
        <v>18</v>
      </c>
      <c r="K438" s="23">
        <v>121962</v>
      </c>
      <c r="L438" s="23">
        <f t="shared" si="131"/>
        <v>121962</v>
      </c>
      <c r="N438" s="82"/>
      <c r="V438" s="23">
        <f t="shared" si="149"/>
        <v>121962</v>
      </c>
      <c r="W438" s="25">
        <v>1</v>
      </c>
      <c r="X438" s="23">
        <f t="shared" si="132"/>
        <v>121962</v>
      </c>
      <c r="Y438" s="20" t="s">
        <v>1799</v>
      </c>
      <c r="Z438" s="35" t="s">
        <v>6758</v>
      </c>
      <c r="AA438" s="35" t="s">
        <v>6772</v>
      </c>
      <c r="AB438" s="35" t="s">
        <v>6733</v>
      </c>
      <c r="AC438" s="35" t="s">
        <v>7504</v>
      </c>
      <c r="AD438" s="35" t="s">
        <v>7342</v>
      </c>
      <c r="AE438" s="37" t="str">
        <f t="shared" si="123"/>
        <v>51</v>
      </c>
      <c r="AF438" s="37">
        <f t="shared" si="148"/>
        <v>20635.970399999998</v>
      </c>
      <c r="AI438" s="37">
        <f t="shared" si="133"/>
        <v>1768.4490000000001</v>
      </c>
      <c r="AJ438" s="37">
        <f t="shared" si="134"/>
        <v>1500.1325999999999</v>
      </c>
      <c r="AK438" s="37">
        <f t="shared" si="135"/>
        <v>2306.0574960000004</v>
      </c>
      <c r="AL438" s="23">
        <v>140.04</v>
      </c>
      <c r="AM438" s="23">
        <f t="shared" si="124"/>
        <v>140.04</v>
      </c>
      <c r="AN438" s="22">
        <v>79.2</v>
      </c>
      <c r="AO438" s="22">
        <f t="shared" si="120"/>
        <v>79.2</v>
      </c>
      <c r="AP438" s="23">
        <v>33443.96</v>
      </c>
      <c r="AQ438" s="23">
        <f t="shared" si="121"/>
        <v>34786.734993999999</v>
      </c>
      <c r="AR438" s="23">
        <f t="shared" si="125"/>
        <v>34786.734993999999</v>
      </c>
      <c r="AS438" s="23">
        <f t="shared" si="129"/>
        <v>35005.974993999997</v>
      </c>
      <c r="AU438" s="20">
        <f t="shared" si="126"/>
        <v>0</v>
      </c>
      <c r="AV438" s="37">
        <f t="shared" si="122"/>
        <v>61216.584490000001</v>
      </c>
      <c r="AW438" s="37">
        <f t="shared" si="130"/>
        <v>183178.58449000001</v>
      </c>
      <c r="BA438" s="20" t="str">
        <f t="shared" si="127"/>
        <v>1 - ASTRON_INS - Moth, Pimol</v>
      </c>
    </row>
    <row r="439" spans="1:53" ht="12.75" customHeight="1" x14ac:dyDescent="0.25">
      <c r="A439" s="20">
        <v>424</v>
      </c>
      <c r="B439" s="78" t="s">
        <v>7338</v>
      </c>
      <c r="C439" s="20" t="s">
        <v>7505</v>
      </c>
      <c r="D439" s="20" t="s">
        <v>7387</v>
      </c>
      <c r="E439" s="82">
        <v>100</v>
      </c>
      <c r="F439" s="34">
        <v>44378</v>
      </c>
      <c r="G439" s="20" t="s">
        <v>6729</v>
      </c>
      <c r="H439" s="20">
        <v>20</v>
      </c>
      <c r="K439" s="23">
        <v>112110</v>
      </c>
      <c r="L439" s="23">
        <f t="shared" si="131"/>
        <v>112110</v>
      </c>
      <c r="N439" s="82"/>
      <c r="V439" s="23">
        <f t="shared" si="149"/>
        <v>112110</v>
      </c>
      <c r="W439" s="25">
        <v>1</v>
      </c>
      <c r="X439" s="23">
        <f t="shared" si="132"/>
        <v>112110</v>
      </c>
      <c r="Y439" s="20" t="s">
        <v>2113</v>
      </c>
      <c r="Z439" s="35" t="s">
        <v>6758</v>
      </c>
      <c r="AA439" s="35" t="s">
        <v>6742</v>
      </c>
      <c r="AB439" s="35" t="s">
        <v>6733</v>
      </c>
      <c r="AC439" s="35" t="s">
        <v>7388</v>
      </c>
      <c r="AD439" s="35" t="s">
        <v>7342</v>
      </c>
      <c r="AE439" s="37" t="str">
        <f t="shared" si="123"/>
        <v>51</v>
      </c>
      <c r="AF439" s="37">
        <f t="shared" si="148"/>
        <v>18969.011999999999</v>
      </c>
      <c r="AI439" s="37">
        <f t="shared" si="133"/>
        <v>1625.595</v>
      </c>
      <c r="AJ439" s="37">
        <f t="shared" si="134"/>
        <v>1378.953</v>
      </c>
      <c r="AK439" s="37">
        <f t="shared" si="135"/>
        <v>2119.7758800000001</v>
      </c>
      <c r="AL439" s="23">
        <v>140.04</v>
      </c>
      <c r="AM439" s="23">
        <f t="shared" si="124"/>
        <v>140.04</v>
      </c>
      <c r="AN439" s="22">
        <v>79.2</v>
      </c>
      <c r="AO439" s="22">
        <f t="shared" si="120"/>
        <v>79.2</v>
      </c>
      <c r="AP439" s="23">
        <v>25452.6</v>
      </c>
      <c r="AQ439" s="23">
        <f t="shared" si="121"/>
        <v>26474.521889999996</v>
      </c>
      <c r="AR439" s="23">
        <f t="shared" si="125"/>
        <v>26474.521889999996</v>
      </c>
      <c r="AS439" s="23">
        <f t="shared" si="129"/>
        <v>26693.761889999998</v>
      </c>
      <c r="AU439" s="20">
        <f t="shared" si="126"/>
        <v>0</v>
      </c>
      <c r="AV439" s="37">
        <f t="shared" si="122"/>
        <v>50787.09777</v>
      </c>
      <c r="AW439" s="37">
        <f t="shared" si="130"/>
        <v>162897.09776999999</v>
      </c>
      <c r="BA439" s="20" t="str">
        <f t="shared" si="127"/>
        <v>1 - BUS_INS - O'Donnell, Cheryl E</v>
      </c>
    </row>
    <row r="440" spans="1:53" ht="12.75" customHeight="1" x14ac:dyDescent="0.25">
      <c r="A440" s="20">
        <v>425</v>
      </c>
      <c r="B440" s="78" t="s">
        <v>7338</v>
      </c>
      <c r="C440" s="20" t="s">
        <v>7506</v>
      </c>
      <c r="D440" s="20" t="s">
        <v>7398</v>
      </c>
      <c r="E440" s="82">
        <v>100</v>
      </c>
      <c r="F440" s="34">
        <v>44378</v>
      </c>
      <c r="G440" s="20" t="s">
        <v>6729</v>
      </c>
      <c r="H440" s="20">
        <v>14</v>
      </c>
      <c r="K440" s="23">
        <v>105357</v>
      </c>
      <c r="L440" s="23">
        <f t="shared" si="131"/>
        <v>105357</v>
      </c>
      <c r="N440" s="82"/>
      <c r="V440" s="23">
        <f t="shared" si="149"/>
        <v>105357</v>
      </c>
      <c r="W440" s="25">
        <v>0.8</v>
      </c>
      <c r="X440" s="23">
        <f t="shared" si="132"/>
        <v>84285.6</v>
      </c>
      <c r="Y440" s="20" t="s">
        <v>1503</v>
      </c>
      <c r="Z440" s="35" t="s">
        <v>6758</v>
      </c>
      <c r="AA440" s="35" t="s">
        <v>6941</v>
      </c>
      <c r="AB440" s="35" t="s">
        <v>6733</v>
      </c>
      <c r="AC440" s="35" t="s">
        <v>7368</v>
      </c>
      <c r="AD440" s="35" t="s">
        <v>7342</v>
      </c>
      <c r="AE440" s="37" t="str">
        <f t="shared" si="123"/>
        <v>51</v>
      </c>
      <c r="AF440" s="37">
        <f t="shared" si="148"/>
        <v>14261.123519999999</v>
      </c>
      <c r="AI440" s="37">
        <f t="shared" si="133"/>
        <v>1222.1412000000003</v>
      </c>
      <c r="AJ440" s="37">
        <f t="shared" si="134"/>
        <v>1036.71288</v>
      </c>
      <c r="AK440" s="37">
        <f t="shared" si="135"/>
        <v>1593.6721248000001</v>
      </c>
      <c r="AL440" s="23">
        <v>140.04</v>
      </c>
      <c r="AM440" s="23">
        <f t="shared" si="124"/>
        <v>112.032</v>
      </c>
      <c r="AN440" s="22">
        <v>79.2</v>
      </c>
      <c r="AO440" s="22">
        <f t="shared" si="120"/>
        <v>63.360000000000007</v>
      </c>
      <c r="AP440" s="23">
        <v>33443.96</v>
      </c>
      <c r="AQ440" s="23">
        <f t="shared" si="121"/>
        <v>34786.734993999999</v>
      </c>
      <c r="AR440" s="23">
        <f t="shared" si="125"/>
        <v>27829.387995199999</v>
      </c>
      <c r="AS440" s="23">
        <f t="shared" si="129"/>
        <v>28004.779995199999</v>
      </c>
      <c r="AU440" s="20">
        <f t="shared" si="126"/>
        <v>0</v>
      </c>
      <c r="AV440" s="37">
        <f t="shared" si="122"/>
        <v>46118.42972</v>
      </c>
      <c r="AW440" s="37">
        <f t="shared" si="130"/>
        <v>130404.02972000001</v>
      </c>
      <c r="BA440" s="20" t="str">
        <f t="shared" si="127"/>
        <v>0.8 - COACH - Ortega, Daniel</v>
      </c>
    </row>
    <row r="441" spans="1:53" ht="12.75" customHeight="1" x14ac:dyDescent="0.25">
      <c r="A441" s="20">
        <v>426</v>
      </c>
      <c r="B441" s="78" t="s">
        <v>7338</v>
      </c>
      <c r="C441" s="20" t="s">
        <v>7506</v>
      </c>
      <c r="D441" s="20" t="s">
        <v>7398</v>
      </c>
      <c r="E441" s="82">
        <v>100</v>
      </c>
      <c r="F441" s="34">
        <v>44378</v>
      </c>
      <c r="G441" s="20" t="s">
        <v>6729</v>
      </c>
      <c r="H441" s="20">
        <v>14</v>
      </c>
      <c r="K441" s="23">
        <v>105357</v>
      </c>
      <c r="L441" s="23">
        <f t="shared" si="131"/>
        <v>105357</v>
      </c>
      <c r="N441" s="82"/>
      <c r="V441" s="23">
        <f t="shared" si="149"/>
        <v>105357</v>
      </c>
      <c r="W441" s="25">
        <v>0.2</v>
      </c>
      <c r="X441" s="23">
        <f t="shared" si="132"/>
        <v>21071.4</v>
      </c>
      <c r="Y441" s="20" t="s">
        <v>1503</v>
      </c>
      <c r="Z441" s="35" t="s">
        <v>6758</v>
      </c>
      <c r="AA441" s="35" t="s">
        <v>6941</v>
      </c>
      <c r="AB441" s="35" t="s">
        <v>6733</v>
      </c>
      <c r="AC441" s="35" t="s">
        <v>7369</v>
      </c>
      <c r="AD441" s="35" t="s">
        <v>7342</v>
      </c>
      <c r="AE441" s="37" t="str">
        <f t="shared" si="123"/>
        <v>51</v>
      </c>
      <c r="AF441" s="37">
        <f t="shared" si="148"/>
        <v>3565.2808799999998</v>
      </c>
      <c r="AI441" s="37">
        <f t="shared" si="133"/>
        <v>305.53530000000006</v>
      </c>
      <c r="AJ441" s="37">
        <f t="shared" si="134"/>
        <v>259.17822000000001</v>
      </c>
      <c r="AK441" s="37">
        <f t="shared" si="135"/>
        <v>398.41803120000003</v>
      </c>
      <c r="AL441" s="23">
        <v>140.04</v>
      </c>
      <c r="AM441" s="23">
        <f t="shared" si="124"/>
        <v>28.007999999999999</v>
      </c>
      <c r="AN441" s="22">
        <v>79.2</v>
      </c>
      <c r="AO441" s="22">
        <f t="shared" si="120"/>
        <v>15.840000000000002</v>
      </c>
      <c r="AP441" s="23">
        <v>33443.96</v>
      </c>
      <c r="AQ441" s="23">
        <f t="shared" si="121"/>
        <v>34786.734993999999</v>
      </c>
      <c r="AR441" s="23">
        <f t="shared" si="125"/>
        <v>6957.3469987999997</v>
      </c>
      <c r="AS441" s="23">
        <f t="shared" si="129"/>
        <v>7001.1949987999997</v>
      </c>
      <c r="AU441" s="20">
        <f t="shared" si="126"/>
        <v>0</v>
      </c>
      <c r="AV441" s="37">
        <f t="shared" si="122"/>
        <v>11529.60743</v>
      </c>
      <c r="AW441" s="37">
        <f t="shared" si="130"/>
        <v>32601.007430000001</v>
      </c>
      <c r="BA441" s="20" t="str">
        <f t="shared" si="127"/>
        <v>0.2 - COACH - Ortega, Daniel</v>
      </c>
    </row>
    <row r="442" spans="1:53" ht="12.75" customHeight="1" x14ac:dyDescent="0.25">
      <c r="A442" s="20">
        <v>427</v>
      </c>
      <c r="B442" s="78" t="s">
        <v>7338</v>
      </c>
      <c r="C442" s="20" t="s">
        <v>7507</v>
      </c>
      <c r="D442" s="20" t="s">
        <v>7508</v>
      </c>
      <c r="E442" s="82">
        <v>100</v>
      </c>
      <c r="F442" s="34">
        <v>44378</v>
      </c>
      <c r="G442" s="20" t="s">
        <v>6783</v>
      </c>
      <c r="H442" s="20">
        <v>13</v>
      </c>
      <c r="K442" s="23">
        <v>96653</v>
      </c>
      <c r="L442" s="23">
        <f t="shared" si="131"/>
        <v>96653</v>
      </c>
      <c r="N442" s="82"/>
      <c r="V442" s="23">
        <f t="shared" si="149"/>
        <v>96653</v>
      </c>
      <c r="W442" s="25">
        <v>1</v>
      </c>
      <c r="X442" s="23">
        <f t="shared" si="132"/>
        <v>96653</v>
      </c>
      <c r="Y442" s="20" t="s">
        <v>1393</v>
      </c>
      <c r="Z442" s="35" t="s">
        <v>6758</v>
      </c>
      <c r="AA442" s="35" t="s">
        <v>6989</v>
      </c>
      <c r="AB442" s="35" t="s">
        <v>6733</v>
      </c>
      <c r="AC442" s="35" t="s">
        <v>7509</v>
      </c>
      <c r="AD442" s="35" t="s">
        <v>7342</v>
      </c>
      <c r="AE442" s="37" t="str">
        <f t="shared" si="123"/>
        <v>51</v>
      </c>
      <c r="AF442" s="37">
        <f t="shared" si="148"/>
        <v>16353.687599999999</v>
      </c>
      <c r="AI442" s="37">
        <f t="shared" si="133"/>
        <v>1401.4685000000002</v>
      </c>
      <c r="AJ442" s="37">
        <f t="shared" si="134"/>
        <v>1188.8318999999999</v>
      </c>
      <c r="AK442" s="37">
        <f t="shared" si="135"/>
        <v>1827.5149240000001</v>
      </c>
      <c r="AL442" s="23">
        <v>140.04</v>
      </c>
      <c r="AM442" s="23">
        <f t="shared" si="124"/>
        <v>140.04</v>
      </c>
      <c r="AN442" s="22">
        <v>79.2</v>
      </c>
      <c r="AO442" s="22">
        <f t="shared" si="120"/>
        <v>79.2</v>
      </c>
      <c r="AP442" s="23">
        <v>33443.96</v>
      </c>
      <c r="AQ442" s="23">
        <f t="shared" si="121"/>
        <v>34786.734993999999</v>
      </c>
      <c r="AR442" s="23">
        <f t="shared" si="125"/>
        <v>34786.734993999999</v>
      </c>
      <c r="AS442" s="23">
        <f t="shared" si="129"/>
        <v>35005.974993999997</v>
      </c>
      <c r="AU442" s="20">
        <f t="shared" si="126"/>
        <v>0</v>
      </c>
      <c r="AV442" s="37">
        <f t="shared" si="122"/>
        <v>55777.477918000004</v>
      </c>
      <c r="AW442" s="37">
        <f t="shared" si="130"/>
        <v>152430.47791800002</v>
      </c>
      <c r="BA442" s="20" t="str">
        <f t="shared" si="127"/>
        <v>1 - HIS_INS - Pacheco, Samuel J</v>
      </c>
    </row>
    <row r="443" spans="1:53" ht="12.75" customHeight="1" x14ac:dyDescent="0.25">
      <c r="A443" s="20">
        <v>428</v>
      </c>
      <c r="B443" s="78" t="s">
        <v>7338</v>
      </c>
      <c r="C443" s="20" t="s">
        <v>7510</v>
      </c>
      <c r="D443" s="20" t="s">
        <v>7384</v>
      </c>
      <c r="E443" s="82">
        <v>100</v>
      </c>
      <c r="F443" s="34">
        <v>44378</v>
      </c>
      <c r="G443" s="20" t="s">
        <v>6730</v>
      </c>
      <c r="H443" s="20">
        <v>10</v>
      </c>
      <c r="K443" s="23">
        <v>94470</v>
      </c>
      <c r="L443" s="23">
        <f t="shared" si="131"/>
        <v>94470</v>
      </c>
      <c r="N443" s="82"/>
      <c r="V443" s="23">
        <f t="shared" si="149"/>
        <v>94470</v>
      </c>
      <c r="W443" s="25">
        <v>1</v>
      </c>
      <c r="X443" s="23">
        <f t="shared" si="132"/>
        <v>94470</v>
      </c>
      <c r="Y443" s="20" t="s">
        <v>1697</v>
      </c>
      <c r="Z443" s="35" t="s">
        <v>6758</v>
      </c>
      <c r="AA443" s="35" t="s">
        <v>6772</v>
      </c>
      <c r="AB443" s="35" t="s">
        <v>6733</v>
      </c>
      <c r="AC443" s="35" t="s">
        <v>7385</v>
      </c>
      <c r="AD443" s="35" t="s">
        <v>7342</v>
      </c>
      <c r="AE443" s="37" t="str">
        <f t="shared" si="123"/>
        <v>51</v>
      </c>
      <c r="AF443" s="37">
        <f t="shared" si="148"/>
        <v>15984.323999999999</v>
      </c>
      <c r="AI443" s="37">
        <f t="shared" si="133"/>
        <v>1369.8150000000001</v>
      </c>
      <c r="AJ443" s="37">
        <f t="shared" si="134"/>
        <v>1161.981</v>
      </c>
      <c r="AK443" s="37">
        <f t="shared" si="135"/>
        <v>1786.2387600000002</v>
      </c>
      <c r="AL443" s="23">
        <v>140.04</v>
      </c>
      <c r="AM443" s="23">
        <f t="shared" si="124"/>
        <v>140.04</v>
      </c>
      <c r="AN443" s="22">
        <v>79.2</v>
      </c>
      <c r="AO443" s="22">
        <f t="shared" si="120"/>
        <v>79.2</v>
      </c>
      <c r="AP443" s="23">
        <v>33443.96</v>
      </c>
      <c r="AQ443" s="23">
        <f t="shared" si="121"/>
        <v>34786.734993999999</v>
      </c>
      <c r="AR443" s="23">
        <f t="shared" si="125"/>
        <v>34786.734993999999</v>
      </c>
      <c r="AS443" s="23">
        <f t="shared" si="129"/>
        <v>35005.974993999997</v>
      </c>
      <c r="AU443" s="20">
        <f t="shared" si="126"/>
        <v>0</v>
      </c>
      <c r="AV443" s="37">
        <f t="shared" si="122"/>
        <v>55308.333753999999</v>
      </c>
      <c r="AW443" s="37">
        <f t="shared" si="130"/>
        <v>149778.33375399999</v>
      </c>
      <c r="BA443" s="20" t="str">
        <f t="shared" si="127"/>
        <v>1 - MATH_INS - Palmer, Brian R</v>
      </c>
    </row>
    <row r="444" spans="1:53" ht="12.75" customHeight="1" x14ac:dyDescent="0.25">
      <c r="A444" s="20">
        <v>429</v>
      </c>
      <c r="B444" s="78" t="s">
        <v>7338</v>
      </c>
      <c r="C444" s="20" t="s">
        <v>7511</v>
      </c>
      <c r="D444" s="20" t="s">
        <v>7416</v>
      </c>
      <c r="E444" s="82">
        <v>100</v>
      </c>
      <c r="F444" s="34">
        <v>44378</v>
      </c>
      <c r="G444" s="20" t="s">
        <v>6741</v>
      </c>
      <c r="H444" s="20">
        <v>8</v>
      </c>
      <c r="K444" s="23">
        <v>91874</v>
      </c>
      <c r="L444" s="23">
        <f t="shared" si="131"/>
        <v>91874</v>
      </c>
      <c r="N444" s="82"/>
      <c r="V444" s="23">
        <f t="shared" si="149"/>
        <v>91874</v>
      </c>
      <c r="W444" s="25">
        <v>1</v>
      </c>
      <c r="X444" s="23">
        <f t="shared" si="132"/>
        <v>91874</v>
      </c>
      <c r="Y444" s="20" t="s">
        <v>1619</v>
      </c>
      <c r="Z444" s="35" t="s">
        <v>6758</v>
      </c>
      <c r="AA444" s="35" t="s">
        <v>6772</v>
      </c>
      <c r="AB444" s="35" t="s">
        <v>6733</v>
      </c>
      <c r="AC444" s="35" t="s">
        <v>6773</v>
      </c>
      <c r="AD444" s="35" t="s">
        <v>7342</v>
      </c>
      <c r="AE444" s="37" t="str">
        <f t="shared" si="123"/>
        <v>51</v>
      </c>
      <c r="AF444" s="37">
        <f t="shared" si="148"/>
        <v>15545.0808</v>
      </c>
      <c r="AI444" s="37">
        <f t="shared" si="133"/>
        <v>1332.173</v>
      </c>
      <c r="AJ444" s="37">
        <f t="shared" si="134"/>
        <v>1130.0501999999999</v>
      </c>
      <c r="AK444" s="37">
        <f t="shared" si="135"/>
        <v>1737.1535920000001</v>
      </c>
      <c r="AL444" s="23">
        <v>140.04</v>
      </c>
      <c r="AM444" s="23">
        <f t="shared" si="124"/>
        <v>140.04</v>
      </c>
      <c r="AN444" s="22">
        <v>79.2</v>
      </c>
      <c r="AO444" s="22">
        <f t="shared" si="120"/>
        <v>79.2</v>
      </c>
      <c r="AP444" s="23">
        <v>23232</v>
      </c>
      <c r="AQ444" s="23">
        <f t="shared" si="121"/>
        <v>24164.764800000001</v>
      </c>
      <c r="AR444" s="23">
        <f t="shared" si="125"/>
        <v>24164.764800000001</v>
      </c>
      <c r="AS444" s="23">
        <f t="shared" si="129"/>
        <v>24384.004800000002</v>
      </c>
      <c r="AT444" s="37">
        <v>2400</v>
      </c>
      <c r="AU444" s="20">
        <f t="shared" si="126"/>
        <v>2400</v>
      </c>
      <c r="AV444" s="37">
        <f t="shared" si="122"/>
        <v>46528.462392000001</v>
      </c>
      <c r="AW444" s="37">
        <f t="shared" si="130"/>
        <v>138402.46239200002</v>
      </c>
      <c r="BA444" s="20" t="str">
        <f t="shared" si="127"/>
        <v>1 - BIO_INS - Panggat, Rosser O</v>
      </c>
    </row>
    <row r="445" spans="1:53" ht="12.75" customHeight="1" x14ac:dyDescent="0.25">
      <c r="A445" s="20">
        <v>430</v>
      </c>
      <c r="B445" s="78" t="s">
        <v>7338</v>
      </c>
      <c r="C445" s="20" t="s">
        <v>7512</v>
      </c>
      <c r="D445" s="20" t="s">
        <v>7384</v>
      </c>
      <c r="E445" s="82">
        <v>100</v>
      </c>
      <c r="F445" s="34">
        <v>44378</v>
      </c>
      <c r="G445" s="20" t="s">
        <v>6783</v>
      </c>
      <c r="H445" s="20">
        <v>13</v>
      </c>
      <c r="K445" s="23">
        <v>96653</v>
      </c>
      <c r="L445" s="23">
        <f t="shared" si="131"/>
        <v>96653</v>
      </c>
      <c r="N445" s="82"/>
      <c r="V445" s="23">
        <f t="shared" si="149"/>
        <v>96653</v>
      </c>
      <c r="W445" s="25">
        <v>1</v>
      </c>
      <c r="X445" s="23">
        <f t="shared" si="132"/>
        <v>96653</v>
      </c>
      <c r="Y445" s="20" t="s">
        <v>1697</v>
      </c>
      <c r="Z445" s="35" t="s">
        <v>6758</v>
      </c>
      <c r="AA445" s="35" t="s">
        <v>6772</v>
      </c>
      <c r="AB445" s="35" t="s">
        <v>6733</v>
      </c>
      <c r="AC445" s="35" t="s">
        <v>7385</v>
      </c>
      <c r="AD445" s="35" t="s">
        <v>7342</v>
      </c>
      <c r="AE445" s="37" t="str">
        <f t="shared" si="123"/>
        <v>51</v>
      </c>
      <c r="AF445" s="37">
        <f t="shared" si="148"/>
        <v>16353.687599999999</v>
      </c>
      <c r="AI445" s="37">
        <f t="shared" si="133"/>
        <v>1401.4685000000002</v>
      </c>
      <c r="AJ445" s="37">
        <f t="shared" si="134"/>
        <v>1188.8318999999999</v>
      </c>
      <c r="AK445" s="37">
        <f t="shared" si="135"/>
        <v>1827.5149240000001</v>
      </c>
      <c r="AL445" s="23">
        <v>140.04</v>
      </c>
      <c r="AM445" s="23">
        <f t="shared" si="124"/>
        <v>140.04</v>
      </c>
      <c r="AN445" s="22">
        <v>79.2</v>
      </c>
      <c r="AO445" s="22">
        <f t="shared" si="120"/>
        <v>79.2</v>
      </c>
      <c r="AP445" s="23">
        <v>13152.04</v>
      </c>
      <c r="AQ445" s="23">
        <f t="shared" si="121"/>
        <v>13680.094406</v>
      </c>
      <c r="AR445" s="23">
        <f t="shared" si="125"/>
        <v>13680.094406</v>
      </c>
      <c r="AS445" s="23">
        <f t="shared" si="129"/>
        <v>13899.334406</v>
      </c>
      <c r="AU445" s="20">
        <f t="shared" si="126"/>
        <v>0</v>
      </c>
      <c r="AV445" s="37">
        <f t="shared" si="122"/>
        <v>34670.837330000002</v>
      </c>
      <c r="AW445" s="37">
        <f t="shared" si="130"/>
        <v>131323.83733000001</v>
      </c>
      <c r="BA445" s="20" t="str">
        <f t="shared" si="127"/>
        <v>1 - MATH_INS - Pasquale, Nicholas D</v>
      </c>
    </row>
    <row r="446" spans="1:53" ht="12.75" customHeight="1" x14ac:dyDescent="0.25">
      <c r="A446" s="20">
        <v>431</v>
      </c>
      <c r="B446" s="78" t="s">
        <v>7338</v>
      </c>
      <c r="C446" s="20" t="s">
        <v>7513</v>
      </c>
      <c r="D446" s="20" t="s">
        <v>7514</v>
      </c>
      <c r="E446" s="82">
        <v>100</v>
      </c>
      <c r="F446" s="34">
        <v>44378</v>
      </c>
      <c r="G446" s="20" t="s">
        <v>6783</v>
      </c>
      <c r="H446" s="20">
        <v>12</v>
      </c>
      <c r="K446" s="23">
        <v>98995</v>
      </c>
      <c r="L446" s="23">
        <f t="shared" si="131"/>
        <v>98995</v>
      </c>
      <c r="N446" s="82"/>
      <c r="V446" s="23">
        <f t="shared" si="149"/>
        <v>98995</v>
      </c>
      <c r="W446" s="25">
        <v>0.8</v>
      </c>
      <c r="X446" s="23">
        <f t="shared" si="132"/>
        <v>79196</v>
      </c>
      <c r="Y446" s="20" t="s">
        <v>1433</v>
      </c>
      <c r="Z446" s="35" t="s">
        <v>6758</v>
      </c>
      <c r="AA446" s="35" t="s">
        <v>6941</v>
      </c>
      <c r="AB446" s="35" t="s">
        <v>6733</v>
      </c>
      <c r="AC446" s="35" t="s">
        <v>7368</v>
      </c>
      <c r="AD446" s="35" t="s">
        <v>7342</v>
      </c>
      <c r="AE446" s="37" t="str">
        <f t="shared" si="123"/>
        <v>51</v>
      </c>
      <c r="AF446" s="37">
        <f t="shared" si="148"/>
        <v>13399.963199999998</v>
      </c>
      <c r="AI446" s="37">
        <f t="shared" si="133"/>
        <v>1148.3420000000001</v>
      </c>
      <c r="AJ446" s="37">
        <f t="shared" si="134"/>
        <v>974.11080000000004</v>
      </c>
      <c r="AK446" s="37">
        <f t="shared" si="135"/>
        <v>1497.4379680000002</v>
      </c>
      <c r="AL446" s="23">
        <v>140.04</v>
      </c>
      <c r="AM446" s="23">
        <f t="shared" si="124"/>
        <v>112.032</v>
      </c>
      <c r="AN446" s="22">
        <v>79.2</v>
      </c>
      <c r="AO446" s="22">
        <f t="shared" si="120"/>
        <v>63.360000000000007</v>
      </c>
      <c r="AP446" s="23">
        <v>33443.96</v>
      </c>
      <c r="AQ446" s="23">
        <f t="shared" si="121"/>
        <v>34786.734993999999</v>
      </c>
      <c r="AR446" s="23">
        <f t="shared" si="125"/>
        <v>27829.387995199999</v>
      </c>
      <c r="AS446" s="23">
        <f t="shared" si="129"/>
        <v>28004.779995199999</v>
      </c>
      <c r="AU446" s="20">
        <f t="shared" si="126"/>
        <v>0</v>
      </c>
      <c r="AV446" s="37">
        <f t="shared" si="122"/>
        <v>45024.633963200002</v>
      </c>
      <c r="AW446" s="37">
        <f t="shared" si="130"/>
        <v>124220.6339632</v>
      </c>
      <c r="BA446" s="20" t="str">
        <f t="shared" si="127"/>
        <v>0.8 - PE_INST - Pedroza, Jamie L</v>
      </c>
    </row>
    <row r="447" spans="1:53" ht="12.75" customHeight="1" x14ac:dyDescent="0.25">
      <c r="A447" s="20">
        <v>432</v>
      </c>
      <c r="B447" s="78" t="s">
        <v>7338</v>
      </c>
      <c r="C447" s="20" t="s">
        <v>7513</v>
      </c>
      <c r="D447" s="20" t="s">
        <v>7514</v>
      </c>
      <c r="E447" s="82">
        <v>100</v>
      </c>
      <c r="F447" s="34">
        <v>44378</v>
      </c>
      <c r="G447" s="20" t="s">
        <v>6783</v>
      </c>
      <c r="H447" s="20">
        <v>12</v>
      </c>
      <c r="K447" s="23">
        <v>98995</v>
      </c>
      <c r="L447" s="23">
        <f t="shared" si="131"/>
        <v>98995</v>
      </c>
      <c r="N447" s="82"/>
      <c r="V447" s="23">
        <f t="shared" si="149"/>
        <v>98995</v>
      </c>
      <c r="W447" s="25">
        <v>0.2</v>
      </c>
      <c r="X447" s="23">
        <f t="shared" si="132"/>
        <v>19799</v>
      </c>
      <c r="Y447" s="20" t="s">
        <v>1503</v>
      </c>
      <c r="Z447" s="35" t="s">
        <v>6758</v>
      </c>
      <c r="AA447" s="35" t="s">
        <v>6941</v>
      </c>
      <c r="AB447" s="35" t="s">
        <v>6733</v>
      </c>
      <c r="AC447" s="35" t="s">
        <v>7369</v>
      </c>
      <c r="AD447" s="35" t="s">
        <v>7342</v>
      </c>
      <c r="AE447" s="37" t="str">
        <f t="shared" si="123"/>
        <v>51</v>
      </c>
      <c r="AF447" s="37">
        <f t="shared" si="148"/>
        <v>3349.9907999999996</v>
      </c>
      <c r="AI447" s="37">
        <f t="shared" si="133"/>
        <v>287.08550000000002</v>
      </c>
      <c r="AJ447" s="37">
        <f t="shared" si="134"/>
        <v>243.52770000000001</v>
      </c>
      <c r="AK447" s="37">
        <f t="shared" si="135"/>
        <v>374.35949200000005</v>
      </c>
      <c r="AL447" s="23">
        <v>140.04</v>
      </c>
      <c r="AM447" s="23">
        <f t="shared" si="124"/>
        <v>28.007999999999999</v>
      </c>
      <c r="AN447" s="22">
        <v>79.2</v>
      </c>
      <c r="AO447" s="22">
        <f t="shared" si="120"/>
        <v>15.840000000000002</v>
      </c>
      <c r="AP447" s="23">
        <v>33443.96</v>
      </c>
      <c r="AQ447" s="23">
        <f t="shared" si="121"/>
        <v>34786.734993999999</v>
      </c>
      <c r="AR447" s="23">
        <f t="shared" si="125"/>
        <v>6957.3469987999997</v>
      </c>
      <c r="AS447" s="23">
        <f t="shared" si="129"/>
        <v>7001.1949987999997</v>
      </c>
      <c r="AU447" s="20">
        <f t="shared" si="126"/>
        <v>0</v>
      </c>
      <c r="AV447" s="37">
        <f t="shared" si="122"/>
        <v>11256.1584908</v>
      </c>
      <c r="AW447" s="37">
        <f t="shared" si="130"/>
        <v>31055.1584908</v>
      </c>
      <c r="BA447" s="20" t="str">
        <f t="shared" si="127"/>
        <v>0.2 - PE_INST - Pedroza, Jamie L</v>
      </c>
    </row>
    <row r="448" spans="1:53" ht="12.75" customHeight="1" x14ac:dyDescent="0.25">
      <c r="A448" s="20">
        <v>433</v>
      </c>
      <c r="B448" s="78" t="s">
        <v>7338</v>
      </c>
      <c r="C448" s="20" t="s">
        <v>7515</v>
      </c>
      <c r="D448" s="20" t="s">
        <v>7384</v>
      </c>
      <c r="E448" s="82">
        <v>100</v>
      </c>
      <c r="F448" s="34">
        <v>44378</v>
      </c>
      <c r="G448" s="20" t="s">
        <v>6783</v>
      </c>
      <c r="H448" s="20">
        <v>12</v>
      </c>
      <c r="K448" s="23">
        <v>93644</v>
      </c>
      <c r="L448" s="23">
        <f t="shared" si="131"/>
        <v>93644</v>
      </c>
      <c r="N448" s="82"/>
      <c r="V448" s="23">
        <f t="shared" si="149"/>
        <v>93644</v>
      </c>
      <c r="W448" s="25">
        <v>1</v>
      </c>
      <c r="X448" s="23">
        <f t="shared" si="132"/>
        <v>93644</v>
      </c>
      <c r="Y448" s="20" t="s">
        <v>1697</v>
      </c>
      <c r="Z448" s="35" t="s">
        <v>6758</v>
      </c>
      <c r="AA448" s="35" t="s">
        <v>6772</v>
      </c>
      <c r="AB448" s="35" t="s">
        <v>6733</v>
      </c>
      <c r="AC448" s="35" t="s">
        <v>7385</v>
      </c>
      <c r="AD448" s="35" t="s">
        <v>7342</v>
      </c>
      <c r="AE448" s="37" t="str">
        <f t="shared" si="123"/>
        <v>51</v>
      </c>
      <c r="AF448" s="37">
        <f t="shared" si="148"/>
        <v>15844.564799999998</v>
      </c>
      <c r="AI448" s="37">
        <f t="shared" si="133"/>
        <v>1357.838</v>
      </c>
      <c r="AJ448" s="37">
        <f t="shared" si="134"/>
        <v>1151.8212000000001</v>
      </c>
      <c r="AK448" s="37">
        <f t="shared" si="135"/>
        <v>1770.620752</v>
      </c>
      <c r="AL448" s="23">
        <v>140.04</v>
      </c>
      <c r="AM448" s="23">
        <f t="shared" si="124"/>
        <v>140.04</v>
      </c>
      <c r="AN448" s="22">
        <v>79.2</v>
      </c>
      <c r="AO448" s="22">
        <f t="shared" si="120"/>
        <v>79.2</v>
      </c>
      <c r="AP448" s="23">
        <v>33443.96</v>
      </c>
      <c r="AQ448" s="23">
        <f t="shared" si="121"/>
        <v>34786.734993999999</v>
      </c>
      <c r="AR448" s="23">
        <f t="shared" si="125"/>
        <v>34786.734993999999</v>
      </c>
      <c r="AS448" s="23">
        <f t="shared" si="129"/>
        <v>35005.974993999997</v>
      </c>
      <c r="AU448" s="20">
        <f t="shared" si="126"/>
        <v>0</v>
      </c>
      <c r="AV448" s="37">
        <f t="shared" si="122"/>
        <v>55130.819745999994</v>
      </c>
      <c r="AW448" s="37">
        <f t="shared" si="130"/>
        <v>148774.81974599999</v>
      </c>
      <c r="BA448" s="20" t="str">
        <f t="shared" si="127"/>
        <v>1 - MATH_INS - Perez Jr., John R</v>
      </c>
    </row>
    <row r="449" spans="1:53" ht="12.75" customHeight="1" x14ac:dyDescent="0.25">
      <c r="A449" s="20">
        <v>434</v>
      </c>
      <c r="B449" s="78" t="s">
        <v>7338</v>
      </c>
      <c r="C449" s="20" t="s">
        <v>7516</v>
      </c>
      <c r="D449" s="20" t="s">
        <v>7517</v>
      </c>
      <c r="E449" s="82">
        <v>100</v>
      </c>
      <c r="F449" s="34">
        <v>44378</v>
      </c>
      <c r="G449" s="20" t="s">
        <v>6783</v>
      </c>
      <c r="H449" s="20">
        <v>20</v>
      </c>
      <c r="K449" s="23">
        <v>105238</v>
      </c>
      <c r="L449" s="23">
        <f t="shared" si="131"/>
        <v>105238</v>
      </c>
      <c r="N449" s="82"/>
      <c r="V449" s="23">
        <f t="shared" si="149"/>
        <v>105238</v>
      </c>
      <c r="W449" s="25">
        <v>1</v>
      </c>
      <c r="X449" s="23">
        <f t="shared" si="132"/>
        <v>105238</v>
      </c>
      <c r="Y449" s="20" t="s">
        <v>2753</v>
      </c>
      <c r="Z449" s="35" t="s">
        <v>6758</v>
      </c>
      <c r="AA449" s="35" t="s">
        <v>7362</v>
      </c>
      <c r="AB449" s="35" t="s">
        <v>6733</v>
      </c>
      <c r="AC449" s="35" t="s">
        <v>7455</v>
      </c>
      <c r="AD449" s="35" t="s">
        <v>7342</v>
      </c>
      <c r="AE449" s="37" t="str">
        <f t="shared" si="123"/>
        <v>51</v>
      </c>
      <c r="AF449" s="37">
        <f t="shared" si="148"/>
        <v>17806.2696</v>
      </c>
      <c r="AI449" s="37">
        <f t="shared" si="133"/>
        <v>1525.951</v>
      </c>
      <c r="AJ449" s="37">
        <f t="shared" si="134"/>
        <v>1294.4274</v>
      </c>
      <c r="AK449" s="37">
        <f t="shared" si="135"/>
        <v>1989.8401040000001</v>
      </c>
      <c r="AL449" s="23">
        <v>140.04</v>
      </c>
      <c r="AM449" s="23">
        <f t="shared" si="124"/>
        <v>140.04</v>
      </c>
      <c r="AN449" s="22">
        <v>79.2</v>
      </c>
      <c r="AO449" s="22">
        <f t="shared" si="120"/>
        <v>79.2</v>
      </c>
      <c r="AP449" s="23">
        <v>25452.6</v>
      </c>
      <c r="AQ449" s="23">
        <f t="shared" si="121"/>
        <v>26474.521889999996</v>
      </c>
      <c r="AR449" s="23">
        <f t="shared" si="125"/>
        <v>26474.521889999996</v>
      </c>
      <c r="AS449" s="23">
        <f t="shared" si="129"/>
        <v>26693.761889999998</v>
      </c>
      <c r="AU449" s="20">
        <f t="shared" si="126"/>
        <v>0</v>
      </c>
      <c r="AV449" s="37">
        <f t="shared" si="122"/>
        <v>49310.249993999998</v>
      </c>
      <c r="AW449" s="37">
        <f t="shared" si="130"/>
        <v>154548.24999400001</v>
      </c>
      <c r="BA449" s="20" t="str">
        <f t="shared" si="127"/>
        <v>1 - LSC_INS - Perez, Daniel</v>
      </c>
    </row>
    <row r="450" spans="1:53" ht="12.75" customHeight="1" x14ac:dyDescent="0.25">
      <c r="A450" s="20">
        <v>435</v>
      </c>
      <c r="B450" s="78" t="s">
        <v>7338</v>
      </c>
      <c r="C450" s="20" t="s">
        <v>7518</v>
      </c>
      <c r="D450" s="20" t="s">
        <v>7384</v>
      </c>
      <c r="E450" s="82">
        <v>100</v>
      </c>
      <c r="F450" s="34">
        <v>44378</v>
      </c>
      <c r="G450" s="20" t="s">
        <v>6730</v>
      </c>
      <c r="H450" s="20">
        <v>20</v>
      </c>
      <c r="K450" s="23">
        <v>118541</v>
      </c>
      <c r="L450" s="23">
        <f t="shared" si="131"/>
        <v>118541</v>
      </c>
      <c r="N450" s="82"/>
      <c r="V450" s="23">
        <f t="shared" si="149"/>
        <v>118541</v>
      </c>
      <c r="W450" s="25">
        <v>1</v>
      </c>
      <c r="X450" s="23">
        <f t="shared" si="132"/>
        <v>118541</v>
      </c>
      <c r="Y450" s="20" t="s">
        <v>1697</v>
      </c>
      <c r="Z450" s="35" t="s">
        <v>6758</v>
      </c>
      <c r="AA450" s="35" t="s">
        <v>6772</v>
      </c>
      <c r="AB450" s="35" t="s">
        <v>6733</v>
      </c>
      <c r="AC450" s="35" t="s">
        <v>7385</v>
      </c>
      <c r="AD450" s="35" t="s">
        <v>7342</v>
      </c>
      <c r="AE450" s="37" t="str">
        <f t="shared" si="123"/>
        <v>51</v>
      </c>
      <c r="AF450" s="37">
        <f t="shared" si="148"/>
        <v>20057.137199999997</v>
      </c>
      <c r="AI450" s="37">
        <f t="shared" si="133"/>
        <v>1718.8445000000002</v>
      </c>
      <c r="AJ450" s="37">
        <f t="shared" si="134"/>
        <v>1458.0543</v>
      </c>
      <c r="AK450" s="37">
        <f t="shared" si="135"/>
        <v>2241.3732279999999</v>
      </c>
      <c r="AL450" s="23">
        <v>140.04</v>
      </c>
      <c r="AM450" s="23">
        <f t="shared" si="124"/>
        <v>140.04</v>
      </c>
      <c r="AN450" s="22">
        <v>79.2</v>
      </c>
      <c r="AO450" s="22">
        <f t="shared" si="120"/>
        <v>79.2</v>
      </c>
      <c r="AP450" s="23">
        <v>33443.96</v>
      </c>
      <c r="AQ450" s="23">
        <f t="shared" si="121"/>
        <v>34786.734993999999</v>
      </c>
      <c r="AR450" s="23">
        <f t="shared" si="125"/>
        <v>34786.734993999999</v>
      </c>
      <c r="AS450" s="23">
        <f t="shared" si="129"/>
        <v>35005.974993999997</v>
      </c>
      <c r="AU450" s="20">
        <f t="shared" si="126"/>
        <v>0</v>
      </c>
      <c r="AV450" s="37">
        <f t="shared" si="122"/>
        <v>60481.384221999993</v>
      </c>
      <c r="AW450" s="37">
        <f t="shared" si="130"/>
        <v>179022.38422199999</v>
      </c>
      <c r="BA450" s="20" t="str">
        <f t="shared" si="127"/>
        <v>1 - MATH_INS - Perkins, Gregory S</v>
      </c>
    </row>
    <row r="451" spans="1:53" ht="12.75" customHeight="1" x14ac:dyDescent="0.25">
      <c r="A451" s="20">
        <v>436</v>
      </c>
      <c r="B451" s="78" t="s">
        <v>7338</v>
      </c>
      <c r="C451" s="20" t="s">
        <v>7519</v>
      </c>
      <c r="D451" s="20" t="s">
        <v>7454</v>
      </c>
      <c r="E451" s="82">
        <v>100</v>
      </c>
      <c r="F451" s="34">
        <v>44378</v>
      </c>
      <c r="G451" s="20" t="s">
        <v>6729</v>
      </c>
      <c r="H451" s="20">
        <v>20</v>
      </c>
      <c r="K451" s="23">
        <v>112110</v>
      </c>
      <c r="L451" s="23">
        <f t="shared" si="131"/>
        <v>112110</v>
      </c>
      <c r="N451" s="82"/>
      <c r="V451" s="23">
        <f t="shared" si="149"/>
        <v>112110</v>
      </c>
      <c r="W451" s="25">
        <v>1</v>
      </c>
      <c r="X451" s="23">
        <f t="shared" si="132"/>
        <v>112110</v>
      </c>
      <c r="Y451" s="20" t="s">
        <v>2753</v>
      </c>
      <c r="Z451" s="35" t="s">
        <v>6758</v>
      </c>
      <c r="AA451" s="35" t="s">
        <v>7362</v>
      </c>
      <c r="AB451" s="35" t="s">
        <v>6733</v>
      </c>
      <c r="AC451" s="35" t="s">
        <v>7455</v>
      </c>
      <c r="AD451" s="35" t="s">
        <v>7342</v>
      </c>
      <c r="AE451" s="37" t="str">
        <f t="shared" si="123"/>
        <v>51</v>
      </c>
      <c r="AF451" s="37">
        <f t="shared" si="148"/>
        <v>18969.011999999999</v>
      </c>
      <c r="AI451" s="37">
        <f t="shared" si="133"/>
        <v>1625.595</v>
      </c>
      <c r="AJ451" s="37">
        <f t="shared" si="134"/>
        <v>1378.953</v>
      </c>
      <c r="AK451" s="37">
        <f t="shared" si="135"/>
        <v>2119.7758800000001</v>
      </c>
      <c r="AL451" s="23">
        <v>140.04</v>
      </c>
      <c r="AM451" s="23">
        <f t="shared" si="124"/>
        <v>140.04</v>
      </c>
      <c r="AN451" s="22">
        <v>79.2</v>
      </c>
      <c r="AO451" s="22">
        <f t="shared" ref="AO451:AO515" si="150">AN451*W451</f>
        <v>79.2</v>
      </c>
      <c r="AP451" s="23">
        <v>33443.96</v>
      </c>
      <c r="AQ451" s="23">
        <f t="shared" ref="AQ451:AQ515" si="151">AP451/2+(((AP451/2)*$AQ$1)+AP451/2)</f>
        <v>34786.734993999999</v>
      </c>
      <c r="AR451" s="23">
        <f t="shared" si="125"/>
        <v>34786.734993999999</v>
      </c>
      <c r="AS451" s="23">
        <f t="shared" si="129"/>
        <v>35005.974993999997</v>
      </c>
      <c r="AU451" s="20">
        <f t="shared" si="126"/>
        <v>0</v>
      </c>
      <c r="AV451" s="37">
        <f t="shared" ref="AV451:AV515" si="152">+AF451+AG451+AH451+AI451+AJ451+AK451+AM451+AO451+AR451+AU451</f>
        <v>59099.310874000003</v>
      </c>
      <c r="AW451" s="37">
        <f t="shared" si="130"/>
        <v>171209.31087400002</v>
      </c>
      <c r="BA451" s="20" t="str">
        <f t="shared" si="127"/>
        <v>1 - ENG_INS - Petersen, Daniel L</v>
      </c>
    </row>
    <row r="452" spans="1:53" ht="12.75" customHeight="1" x14ac:dyDescent="0.25">
      <c r="A452" s="20">
        <v>437</v>
      </c>
      <c r="B452" s="78" t="s">
        <v>7338</v>
      </c>
      <c r="C452" s="20" t="s">
        <v>7520</v>
      </c>
      <c r="D452" s="20" t="s">
        <v>7454</v>
      </c>
      <c r="E452" s="82">
        <v>100</v>
      </c>
      <c r="F452" s="34">
        <v>44378</v>
      </c>
      <c r="G452" s="20" t="s">
        <v>6783</v>
      </c>
      <c r="H452" s="20">
        <v>10</v>
      </c>
      <c r="K452" s="23">
        <v>87626</v>
      </c>
      <c r="L452" s="23">
        <f t="shared" si="131"/>
        <v>87626</v>
      </c>
      <c r="N452" s="82"/>
      <c r="V452" s="23">
        <f t="shared" si="149"/>
        <v>87626</v>
      </c>
      <c r="W452" s="25">
        <v>1</v>
      </c>
      <c r="X452" s="23">
        <f t="shared" si="132"/>
        <v>87626</v>
      </c>
      <c r="Y452" s="20" t="s">
        <v>2753</v>
      </c>
      <c r="Z452" s="35" t="s">
        <v>6758</v>
      </c>
      <c r="AA452" s="35" t="s">
        <v>7362</v>
      </c>
      <c r="AB452" s="35" t="s">
        <v>6733</v>
      </c>
      <c r="AC452" s="35" t="s">
        <v>7455</v>
      </c>
      <c r="AD452" s="35" t="s">
        <v>7342</v>
      </c>
      <c r="AE452" s="37" t="str">
        <f t="shared" ref="AE452:AE515" si="153">LEFT(AD452,2)</f>
        <v>51</v>
      </c>
      <c r="AF452" s="37">
        <f t="shared" si="148"/>
        <v>14826.3192</v>
      </c>
      <c r="AI452" s="37">
        <f t="shared" si="133"/>
        <v>1270.577</v>
      </c>
      <c r="AJ452" s="37">
        <f t="shared" si="134"/>
        <v>1077.7998</v>
      </c>
      <c r="AK452" s="37">
        <f t="shared" si="135"/>
        <v>1656.8324080000002</v>
      </c>
      <c r="AL452" s="23">
        <v>140.04</v>
      </c>
      <c r="AM452" s="23">
        <f t="shared" ref="AM452:AM515" si="154">AL452*W452</f>
        <v>140.04</v>
      </c>
      <c r="AN452" s="22">
        <v>79.2</v>
      </c>
      <c r="AO452" s="22">
        <f t="shared" si="150"/>
        <v>79.2</v>
      </c>
      <c r="AP452" s="23">
        <v>23232</v>
      </c>
      <c r="AQ452" s="23">
        <f t="shared" si="151"/>
        <v>24164.764800000001</v>
      </c>
      <c r="AR452" s="23">
        <f t="shared" ref="AR452:AR515" si="155">AQ452*W452</f>
        <v>24164.764800000001</v>
      </c>
      <c r="AS452" s="23">
        <f t="shared" si="129"/>
        <v>24384.004800000002</v>
      </c>
      <c r="AT452" s="37">
        <v>2400</v>
      </c>
      <c r="AU452" s="20">
        <f t="shared" ref="AU452:AU515" si="156">AT452*W452</f>
        <v>2400</v>
      </c>
      <c r="AV452" s="37">
        <f t="shared" si="152"/>
        <v>45615.533208000001</v>
      </c>
      <c r="AW452" s="37">
        <f t="shared" si="130"/>
        <v>133241.53320800001</v>
      </c>
      <c r="BA452" s="20" t="str">
        <f t="shared" si="127"/>
        <v>1 - ENG_INS - Plumb, Meagan B</v>
      </c>
    </row>
    <row r="453" spans="1:53" ht="12.75" customHeight="1" x14ac:dyDescent="0.25">
      <c r="A453" s="20">
        <v>438</v>
      </c>
      <c r="B453" s="78" t="s">
        <v>7338</v>
      </c>
      <c r="C453" s="20" t="s">
        <v>7521</v>
      </c>
      <c r="D453" s="20" t="s">
        <v>7384</v>
      </c>
      <c r="E453" s="82">
        <v>100</v>
      </c>
      <c r="F453" s="34">
        <v>44378</v>
      </c>
      <c r="G453" s="20" t="s">
        <v>6741</v>
      </c>
      <c r="H453" s="20">
        <v>14</v>
      </c>
      <c r="K453" s="23">
        <v>109926</v>
      </c>
      <c r="L453" s="23">
        <f t="shared" si="131"/>
        <v>109926</v>
      </c>
      <c r="N453" s="82"/>
      <c r="V453" s="23">
        <f t="shared" si="149"/>
        <v>109926</v>
      </c>
      <c r="W453" s="25">
        <v>1</v>
      </c>
      <c r="X453" s="23">
        <f t="shared" si="132"/>
        <v>109926</v>
      </c>
      <c r="Y453" s="20" t="s">
        <v>1697</v>
      </c>
      <c r="Z453" s="35" t="s">
        <v>6758</v>
      </c>
      <c r="AA453" s="35" t="s">
        <v>6772</v>
      </c>
      <c r="AB453" s="35" t="s">
        <v>6733</v>
      </c>
      <c r="AC453" s="35" t="s">
        <v>7385</v>
      </c>
      <c r="AD453" s="35" t="s">
        <v>7342</v>
      </c>
      <c r="AE453" s="37" t="str">
        <f t="shared" si="153"/>
        <v>51</v>
      </c>
      <c r="AF453" s="37">
        <f t="shared" si="148"/>
        <v>18599.479199999998</v>
      </c>
      <c r="AI453" s="37">
        <f t="shared" si="133"/>
        <v>1593.9270000000001</v>
      </c>
      <c r="AJ453" s="37">
        <f t="shared" si="134"/>
        <v>1352.0898</v>
      </c>
      <c r="AK453" s="37">
        <f t="shared" si="135"/>
        <v>2078.4808080000003</v>
      </c>
      <c r="AL453" s="23">
        <v>140.04</v>
      </c>
      <c r="AM453" s="23">
        <f t="shared" si="154"/>
        <v>140.04</v>
      </c>
      <c r="AN453" s="22">
        <v>79.2</v>
      </c>
      <c r="AO453" s="22">
        <f t="shared" si="150"/>
        <v>79.2</v>
      </c>
      <c r="AP453" s="23">
        <v>23232</v>
      </c>
      <c r="AQ453" s="23">
        <f t="shared" si="151"/>
        <v>24164.764800000001</v>
      </c>
      <c r="AR453" s="23">
        <f t="shared" si="155"/>
        <v>24164.764800000001</v>
      </c>
      <c r="AS453" s="23">
        <f t="shared" si="129"/>
        <v>24384.004800000002</v>
      </c>
      <c r="AT453" s="37">
        <v>2400</v>
      </c>
      <c r="AU453" s="20">
        <f t="shared" si="156"/>
        <v>2400</v>
      </c>
      <c r="AV453" s="37">
        <f t="shared" si="152"/>
        <v>50407.981608000002</v>
      </c>
      <c r="AW453" s="37">
        <f t="shared" si="130"/>
        <v>160333.981608</v>
      </c>
      <c r="BA453" s="20" t="str">
        <f t="shared" si="127"/>
        <v>1 - MATH_INS - Rayappan, Sagayamary V</v>
      </c>
    </row>
    <row r="454" spans="1:53" ht="12.75" hidden="1" customHeight="1" x14ac:dyDescent="0.25">
      <c r="A454" s="20">
        <v>439</v>
      </c>
      <c r="B454" s="78" t="s">
        <v>7338</v>
      </c>
      <c r="C454" s="20" t="s">
        <v>7522</v>
      </c>
      <c r="D454" s="20" t="s">
        <v>7523</v>
      </c>
      <c r="E454" s="82">
        <v>100</v>
      </c>
      <c r="F454" s="34">
        <v>44378</v>
      </c>
      <c r="G454" s="20" t="s">
        <v>6741</v>
      </c>
      <c r="H454" s="20">
        <v>11</v>
      </c>
      <c r="K454" s="23">
        <v>106664</v>
      </c>
      <c r="L454" s="23">
        <f t="shared" si="131"/>
        <v>106664</v>
      </c>
      <c r="N454" s="82"/>
      <c r="V454" s="23">
        <f t="shared" si="149"/>
        <v>106664</v>
      </c>
      <c r="W454" s="25">
        <v>0.65</v>
      </c>
      <c r="X454" s="23">
        <f t="shared" si="132"/>
        <v>69331.600000000006</v>
      </c>
      <c r="Y454" s="20" t="s">
        <v>5782</v>
      </c>
      <c r="Z454" s="35" t="s">
        <v>6731</v>
      </c>
      <c r="AA454" s="35" t="s">
        <v>6752</v>
      </c>
      <c r="AB454" s="35" t="s">
        <v>6733</v>
      </c>
      <c r="AC454" s="35" t="s">
        <v>7103</v>
      </c>
      <c r="AD454" s="35" t="s">
        <v>7348</v>
      </c>
      <c r="AE454" s="37" t="str">
        <f t="shared" si="153"/>
        <v>51</v>
      </c>
      <c r="AF454" s="37">
        <f t="shared" si="148"/>
        <v>11730.906720000001</v>
      </c>
      <c r="AI454" s="37">
        <f t="shared" si="133"/>
        <v>1005.3082000000002</v>
      </c>
      <c r="AJ454" s="37">
        <f t="shared" si="134"/>
        <v>852.77868000000012</v>
      </c>
      <c r="AK454" s="37">
        <f t="shared" si="135"/>
        <v>1310.9218928000003</v>
      </c>
      <c r="AL454" s="23">
        <v>140.04</v>
      </c>
      <c r="AM454" s="23">
        <f t="shared" si="154"/>
        <v>91.025999999999996</v>
      </c>
      <c r="AN454" s="22">
        <v>79.2</v>
      </c>
      <c r="AO454" s="22">
        <f t="shared" si="150"/>
        <v>51.480000000000004</v>
      </c>
      <c r="AP454" s="23">
        <v>17423.89</v>
      </c>
      <c r="AQ454" s="23">
        <f t="shared" si="151"/>
        <v>18123.459183499999</v>
      </c>
      <c r="AR454" s="23">
        <f t="shared" si="155"/>
        <v>11780.248469275</v>
      </c>
      <c r="AS454" s="23">
        <f t="shared" si="129"/>
        <v>11922.754469275</v>
      </c>
      <c r="AT454" s="37">
        <v>2400</v>
      </c>
      <c r="AU454" s="20">
        <f t="shared" si="156"/>
        <v>1560</v>
      </c>
      <c r="AV454" s="37">
        <f t="shared" si="152"/>
        <v>28382.669962075001</v>
      </c>
      <c r="AW454" s="37">
        <f t="shared" si="130"/>
        <v>97714.269962075006</v>
      </c>
      <c r="AX454" s="20" t="s">
        <v>6754</v>
      </c>
      <c r="AY454" s="20" t="s">
        <v>6790</v>
      </c>
      <c r="AZ454" s="20" t="s">
        <v>7104</v>
      </c>
      <c r="BA454" s="20" t="str">
        <f t="shared" si="127"/>
        <v>0.65 - COU_CLWK - Reyes, Nancy V</v>
      </c>
    </row>
    <row r="455" spans="1:53" ht="12.75" hidden="1" customHeight="1" x14ac:dyDescent="0.25">
      <c r="A455" s="20">
        <v>440</v>
      </c>
      <c r="B455" s="78" t="s">
        <v>7338</v>
      </c>
      <c r="C455" s="20" t="s">
        <v>7522</v>
      </c>
      <c r="D455" s="20" t="s">
        <v>7523</v>
      </c>
      <c r="E455" s="82">
        <v>100</v>
      </c>
      <c r="F455" s="34">
        <v>44378</v>
      </c>
      <c r="G455" s="20" t="s">
        <v>6741</v>
      </c>
      <c r="H455" s="20">
        <v>11</v>
      </c>
      <c r="K455" s="23">
        <v>106664</v>
      </c>
      <c r="L455" s="23">
        <f t="shared" si="131"/>
        <v>106664</v>
      </c>
      <c r="N455" s="82"/>
      <c r="V455" s="23">
        <f t="shared" si="149"/>
        <v>106664</v>
      </c>
      <c r="W455" s="25">
        <v>0.35</v>
      </c>
      <c r="X455" s="23">
        <f t="shared" si="132"/>
        <v>37332.399999999994</v>
      </c>
      <c r="Y455" s="20" t="s">
        <v>5818</v>
      </c>
      <c r="Z455" s="35" t="s">
        <v>6731</v>
      </c>
      <c r="AA455" s="35" t="s">
        <v>6752</v>
      </c>
      <c r="AB455" s="35" t="s">
        <v>6733</v>
      </c>
      <c r="AC455" s="35" t="s">
        <v>7524</v>
      </c>
      <c r="AD455" s="35" t="s">
        <v>7348</v>
      </c>
      <c r="AE455" s="37" t="str">
        <f t="shared" si="153"/>
        <v>51</v>
      </c>
      <c r="AF455" s="37">
        <f t="shared" si="148"/>
        <v>6316.6420799999987</v>
      </c>
      <c r="AI455" s="37">
        <f t="shared" si="133"/>
        <v>541.31979999999999</v>
      </c>
      <c r="AJ455" s="37">
        <f t="shared" si="134"/>
        <v>459.18851999999993</v>
      </c>
      <c r="AK455" s="37">
        <f t="shared" si="135"/>
        <v>705.88101919999997</v>
      </c>
      <c r="AL455" s="23">
        <v>140.04</v>
      </c>
      <c r="AM455" s="23">
        <f t="shared" si="154"/>
        <v>49.013999999999996</v>
      </c>
      <c r="AN455" s="22">
        <v>79.2</v>
      </c>
      <c r="AO455" s="22">
        <f t="shared" si="150"/>
        <v>27.72</v>
      </c>
      <c r="AP455" s="23">
        <v>17423.89</v>
      </c>
      <c r="AQ455" s="23">
        <f t="shared" si="151"/>
        <v>18123.459183499999</v>
      </c>
      <c r="AR455" s="23">
        <f t="shared" si="155"/>
        <v>6343.2107142249997</v>
      </c>
      <c r="AS455" s="23">
        <f t="shared" si="129"/>
        <v>6419.9447142250001</v>
      </c>
      <c r="AT455" s="37">
        <v>2400</v>
      </c>
      <c r="AU455" s="20">
        <f t="shared" si="156"/>
        <v>840</v>
      </c>
      <c r="AV455" s="37">
        <f t="shared" si="152"/>
        <v>15282.976133425</v>
      </c>
      <c r="AW455" s="37">
        <f t="shared" si="130"/>
        <v>52615.376133424994</v>
      </c>
      <c r="AX455" s="20" t="s">
        <v>6754</v>
      </c>
      <c r="AY455" s="20" t="s">
        <v>6790</v>
      </c>
      <c r="AZ455" s="20" t="s">
        <v>7525</v>
      </c>
      <c r="BA455" s="20" t="str">
        <f t="shared" ref="BA455:BA465" si="157">CONCATENATE(W455," - ",D455," - ",C455)</f>
        <v>0.35 - COU_CLWK - Reyes, Nancy V</v>
      </c>
    </row>
    <row r="456" spans="1:53" ht="12.75" customHeight="1" x14ac:dyDescent="0.25">
      <c r="A456" s="20">
        <v>441</v>
      </c>
      <c r="B456" s="78" t="s">
        <v>7338</v>
      </c>
      <c r="C456" s="20" t="s">
        <v>7526</v>
      </c>
      <c r="D456" s="20" t="s">
        <v>7508</v>
      </c>
      <c r="E456" s="82">
        <v>100</v>
      </c>
      <c r="F456" s="34">
        <v>44378</v>
      </c>
      <c r="G456" s="20" t="s">
        <v>6729</v>
      </c>
      <c r="H456" s="20">
        <v>20</v>
      </c>
      <c r="K456" s="23">
        <v>112110</v>
      </c>
      <c r="L456" s="23">
        <f t="shared" si="131"/>
        <v>112110</v>
      </c>
      <c r="N456" s="82"/>
      <c r="V456" s="23">
        <f t="shared" si="149"/>
        <v>112110</v>
      </c>
      <c r="W456" s="25">
        <v>1</v>
      </c>
      <c r="X456" s="23">
        <f t="shared" si="132"/>
        <v>112110</v>
      </c>
      <c r="Y456" s="20" t="s">
        <v>1393</v>
      </c>
      <c r="Z456" s="35" t="s">
        <v>6758</v>
      </c>
      <c r="AA456" s="35" t="s">
        <v>6989</v>
      </c>
      <c r="AB456" s="35" t="s">
        <v>6733</v>
      </c>
      <c r="AC456" s="35" t="s">
        <v>7509</v>
      </c>
      <c r="AD456" s="35" t="s">
        <v>7342</v>
      </c>
      <c r="AE456" s="37" t="str">
        <f t="shared" si="153"/>
        <v>51</v>
      </c>
      <c r="AF456" s="37">
        <f t="shared" si="148"/>
        <v>18969.011999999999</v>
      </c>
      <c r="AI456" s="37">
        <f t="shared" si="133"/>
        <v>1625.595</v>
      </c>
      <c r="AJ456" s="37">
        <f t="shared" si="134"/>
        <v>1378.953</v>
      </c>
      <c r="AK456" s="37">
        <f t="shared" si="135"/>
        <v>2119.7758800000001</v>
      </c>
      <c r="AL456" s="23">
        <v>140.04</v>
      </c>
      <c r="AM456" s="23">
        <f t="shared" si="154"/>
        <v>140.04</v>
      </c>
      <c r="AN456" s="22">
        <v>79.2</v>
      </c>
      <c r="AO456" s="22">
        <f t="shared" si="150"/>
        <v>79.2</v>
      </c>
      <c r="AP456" s="23">
        <v>13152.04</v>
      </c>
      <c r="AQ456" s="23">
        <f t="shared" si="151"/>
        <v>13680.094406</v>
      </c>
      <c r="AR456" s="23">
        <f t="shared" si="155"/>
        <v>13680.094406</v>
      </c>
      <c r="AS456" s="23">
        <f t="shared" ref="AS456:AS510" si="158">+AM456+AO456+AR456</f>
        <v>13899.334406</v>
      </c>
      <c r="AU456" s="20">
        <f t="shared" si="156"/>
        <v>0</v>
      </c>
      <c r="AV456" s="37">
        <f t="shared" si="152"/>
        <v>37992.670286000008</v>
      </c>
      <c r="AW456" s="37">
        <f t="shared" ref="AW456:AW515" si="159">+X456+AV456</f>
        <v>150102.67028600001</v>
      </c>
      <c r="BA456" s="20" t="str">
        <f t="shared" si="157"/>
        <v>1 - HIS_INS - Riley, Ann</v>
      </c>
    </row>
    <row r="457" spans="1:53" s="39" customFormat="1" ht="12.75" customHeight="1" x14ac:dyDescent="0.25">
      <c r="A457" s="39">
        <v>442</v>
      </c>
      <c r="B457" s="83" t="s">
        <v>7338</v>
      </c>
      <c r="C457" s="39" t="s">
        <v>9967</v>
      </c>
      <c r="D457" s="39" t="s">
        <v>7384</v>
      </c>
      <c r="E457" s="41">
        <v>1</v>
      </c>
      <c r="F457" s="42">
        <v>44378</v>
      </c>
      <c r="G457" s="39" t="s">
        <v>6730</v>
      </c>
      <c r="H457" s="39">
        <v>20</v>
      </c>
      <c r="I457" s="44"/>
      <c r="K457" s="45">
        <v>118541</v>
      </c>
      <c r="L457" s="45">
        <f t="shared" si="131"/>
        <v>118541</v>
      </c>
      <c r="M457" s="45"/>
      <c r="N457" s="84"/>
      <c r="O457" s="46"/>
      <c r="P457" s="45"/>
      <c r="Q457" s="47"/>
      <c r="R457" s="45"/>
      <c r="S457" s="47"/>
      <c r="T457" s="45"/>
      <c r="U457" s="45"/>
      <c r="V457" s="45">
        <f t="shared" si="149"/>
        <v>118541</v>
      </c>
      <c r="W457" s="46">
        <v>0.66600000000000004</v>
      </c>
      <c r="X457" s="45">
        <f t="shared" si="132"/>
        <v>78948.306000000011</v>
      </c>
      <c r="Y457" s="39" t="s">
        <v>1697</v>
      </c>
      <c r="Z457" s="43" t="s">
        <v>6758</v>
      </c>
      <c r="AA457" s="43" t="s">
        <v>6772</v>
      </c>
      <c r="AB457" s="43" t="s">
        <v>6733</v>
      </c>
      <c r="AC457" s="43" t="s">
        <v>7385</v>
      </c>
      <c r="AD457" s="43" t="s">
        <v>7342</v>
      </c>
      <c r="AE457" s="49" t="str">
        <f t="shared" si="153"/>
        <v>51</v>
      </c>
      <c r="AF457" s="49">
        <f t="shared" si="148"/>
        <v>13358.053375200001</v>
      </c>
      <c r="AI457" s="49">
        <f t="shared" si="133"/>
        <v>1144.7504370000001</v>
      </c>
      <c r="AJ457" s="49">
        <f t="shared" si="134"/>
        <v>971.06416380000019</v>
      </c>
      <c r="AK457" s="49">
        <f t="shared" si="135"/>
        <v>1492.7545698480003</v>
      </c>
      <c r="AL457" s="45">
        <v>140.04</v>
      </c>
      <c r="AM457" s="45">
        <f t="shared" si="154"/>
        <v>93.266639999999995</v>
      </c>
      <c r="AN457" s="44">
        <v>79.2</v>
      </c>
      <c r="AO457" s="44">
        <f t="shared" si="150"/>
        <v>52.747200000000007</v>
      </c>
      <c r="AP457" s="45">
        <v>25452.57</v>
      </c>
      <c r="AQ457" s="45">
        <f t="shared" si="151"/>
        <v>26474.490685500001</v>
      </c>
      <c r="AR457" s="45">
        <f t="shared" si="155"/>
        <v>17632.010796543</v>
      </c>
      <c r="AS457" s="45">
        <f t="shared" si="158"/>
        <v>17778.024636542999</v>
      </c>
      <c r="AU457" s="39">
        <f t="shared" si="156"/>
        <v>0</v>
      </c>
      <c r="AV457" s="49">
        <f t="shared" si="152"/>
        <v>34744.647182391003</v>
      </c>
      <c r="AW457" s="226">
        <f t="shared" si="159"/>
        <v>113692.95318239101</v>
      </c>
      <c r="BA457" s="39" t="str">
        <f t="shared" si="157"/>
        <v>0.666 - MATH_INS - VACANT (Riley, James A)</v>
      </c>
    </row>
    <row r="458" spans="1:53" ht="12.75" customHeight="1" x14ac:dyDescent="0.25">
      <c r="A458" s="20">
        <v>443</v>
      </c>
      <c r="B458" s="78" t="s">
        <v>7338</v>
      </c>
      <c r="C458" s="20" t="s">
        <v>7527</v>
      </c>
      <c r="D458" s="20" t="s">
        <v>7528</v>
      </c>
      <c r="E458" s="82">
        <v>100</v>
      </c>
      <c r="F458" s="34">
        <v>44378</v>
      </c>
      <c r="G458" s="20" t="s">
        <v>6730</v>
      </c>
      <c r="H458" s="20">
        <v>20</v>
      </c>
      <c r="K458" s="23">
        <v>118541</v>
      </c>
      <c r="L458" s="23">
        <f t="shared" si="131"/>
        <v>118541</v>
      </c>
      <c r="N458" s="82"/>
      <c r="V458" s="23">
        <f t="shared" si="149"/>
        <v>118541</v>
      </c>
      <c r="W458" s="25">
        <v>1</v>
      </c>
      <c r="X458" s="23">
        <f t="shared" si="132"/>
        <v>118541</v>
      </c>
      <c r="Y458" s="20" t="s">
        <v>1360</v>
      </c>
      <c r="Z458" s="35" t="s">
        <v>6758</v>
      </c>
      <c r="AA458" s="35" t="s">
        <v>6989</v>
      </c>
      <c r="AB458" s="35" t="s">
        <v>6733</v>
      </c>
      <c r="AC458" s="35" t="s">
        <v>7529</v>
      </c>
      <c r="AD458" s="35" t="s">
        <v>7342</v>
      </c>
      <c r="AE458" s="37" t="str">
        <f t="shared" si="153"/>
        <v>51</v>
      </c>
      <c r="AF458" s="37">
        <f t="shared" si="148"/>
        <v>20057.137199999997</v>
      </c>
      <c r="AI458" s="37">
        <f t="shared" si="133"/>
        <v>1718.8445000000002</v>
      </c>
      <c r="AJ458" s="37">
        <f t="shared" si="134"/>
        <v>1458.0543</v>
      </c>
      <c r="AK458" s="37">
        <f t="shared" si="135"/>
        <v>2241.3732279999999</v>
      </c>
      <c r="AL458" s="23">
        <v>140.04</v>
      </c>
      <c r="AM458" s="23">
        <f t="shared" si="154"/>
        <v>140.04</v>
      </c>
      <c r="AN458" s="22">
        <v>79.2</v>
      </c>
      <c r="AO458" s="22">
        <f t="shared" si="150"/>
        <v>79.2</v>
      </c>
      <c r="AP458" s="23">
        <v>33443.96</v>
      </c>
      <c r="AQ458" s="23">
        <f t="shared" si="151"/>
        <v>34786.734993999999</v>
      </c>
      <c r="AR458" s="23">
        <f t="shared" si="155"/>
        <v>34786.734993999999</v>
      </c>
      <c r="AS458" s="23">
        <f t="shared" si="158"/>
        <v>35005.974993999997</v>
      </c>
      <c r="AU458" s="20">
        <f t="shared" si="156"/>
        <v>0</v>
      </c>
      <c r="AV458" s="37">
        <f t="shared" si="152"/>
        <v>60481.384221999993</v>
      </c>
      <c r="AW458" s="37">
        <f t="shared" si="159"/>
        <v>179022.38422199999</v>
      </c>
      <c r="BA458" s="20" t="str">
        <f t="shared" si="157"/>
        <v>1 - ETHNIC_INS - Rocha, Hermelinda</v>
      </c>
    </row>
    <row r="459" spans="1:53" ht="12.75" hidden="1" customHeight="1" x14ac:dyDescent="0.25">
      <c r="A459" s="20">
        <v>444</v>
      </c>
      <c r="B459" s="78" t="s">
        <v>7338</v>
      </c>
      <c r="C459" s="20" t="s">
        <v>7530</v>
      </c>
      <c r="D459" s="20" t="s">
        <v>7531</v>
      </c>
      <c r="E459" s="82">
        <v>100</v>
      </c>
      <c r="F459" s="34">
        <v>44378</v>
      </c>
      <c r="G459" s="20" t="s">
        <v>6783</v>
      </c>
      <c r="H459" s="20">
        <v>8</v>
      </c>
      <c r="K459" s="23">
        <v>86272</v>
      </c>
      <c r="L459" s="23">
        <f t="shared" si="131"/>
        <v>86272</v>
      </c>
      <c r="N459" s="82"/>
      <c r="V459" s="23">
        <f t="shared" si="149"/>
        <v>86272</v>
      </c>
      <c r="W459" s="25">
        <v>1</v>
      </c>
      <c r="X459" s="23">
        <f t="shared" si="132"/>
        <v>86272</v>
      </c>
      <c r="Y459" s="20" t="s">
        <v>5394</v>
      </c>
      <c r="Z459" s="35" t="s">
        <v>6731</v>
      </c>
      <c r="AA459" s="35" t="s">
        <v>6752</v>
      </c>
      <c r="AB459" s="35" t="s">
        <v>6733</v>
      </c>
      <c r="AC459" s="35" t="s">
        <v>6753</v>
      </c>
      <c r="AD459" s="35" t="s">
        <v>7348</v>
      </c>
      <c r="AE459" s="37" t="str">
        <f t="shared" si="153"/>
        <v>51</v>
      </c>
      <c r="AF459" s="37">
        <f t="shared" si="148"/>
        <v>14597.222399999999</v>
      </c>
      <c r="AI459" s="37">
        <f t="shared" si="133"/>
        <v>1250.944</v>
      </c>
      <c r="AJ459" s="37">
        <f t="shared" si="134"/>
        <v>1061.1456000000001</v>
      </c>
      <c r="AK459" s="37">
        <f t="shared" si="135"/>
        <v>1631.2309760000001</v>
      </c>
      <c r="AL459" s="23">
        <v>140.04</v>
      </c>
      <c r="AM459" s="23">
        <f t="shared" si="154"/>
        <v>140.04</v>
      </c>
      <c r="AN459" s="22">
        <v>79.2</v>
      </c>
      <c r="AO459" s="22">
        <f t="shared" si="150"/>
        <v>79.2</v>
      </c>
      <c r="AP459" s="23">
        <v>23232</v>
      </c>
      <c r="AQ459" s="23">
        <f t="shared" si="151"/>
        <v>24164.764800000001</v>
      </c>
      <c r="AR459" s="23">
        <f t="shared" si="155"/>
        <v>24164.764800000001</v>
      </c>
      <c r="AS459" s="23">
        <f t="shared" si="158"/>
        <v>24384.004800000002</v>
      </c>
      <c r="AT459" s="37">
        <v>2400</v>
      </c>
      <c r="AU459" s="20">
        <f t="shared" si="156"/>
        <v>2400</v>
      </c>
      <c r="AV459" s="37">
        <f t="shared" si="152"/>
        <v>45324.547775999999</v>
      </c>
      <c r="AW459" s="37">
        <f t="shared" si="159"/>
        <v>131596.54777599999</v>
      </c>
      <c r="AX459" s="20" t="s">
        <v>6754</v>
      </c>
      <c r="AY459" s="20" t="s">
        <v>6680</v>
      </c>
      <c r="AZ459" s="20" t="s">
        <v>6755</v>
      </c>
      <c r="BA459" s="20" t="str">
        <f t="shared" si="157"/>
        <v>1 - COU_SSSP - Rodriguez, Heather T</v>
      </c>
    </row>
    <row r="460" spans="1:53" ht="12.75" customHeight="1" x14ac:dyDescent="0.25">
      <c r="A460" s="20">
        <v>445</v>
      </c>
      <c r="B460" s="78" t="s">
        <v>7338</v>
      </c>
      <c r="C460" s="20" t="s">
        <v>7532</v>
      </c>
      <c r="D460" s="20" t="s">
        <v>7372</v>
      </c>
      <c r="E460" s="82">
        <v>100</v>
      </c>
      <c r="F460" s="34">
        <v>44378</v>
      </c>
      <c r="G460" s="20" t="s">
        <v>6730</v>
      </c>
      <c r="H460" s="20">
        <v>9</v>
      </c>
      <c r="K460" s="23">
        <v>91462</v>
      </c>
      <c r="L460" s="23">
        <f t="shared" si="131"/>
        <v>91462</v>
      </c>
      <c r="N460" s="82"/>
      <c r="V460" s="23">
        <f t="shared" si="149"/>
        <v>91462</v>
      </c>
      <c r="W460" s="25">
        <v>1</v>
      </c>
      <c r="X460" s="23">
        <f t="shared" si="132"/>
        <v>91462</v>
      </c>
      <c r="Y460" s="20" t="s">
        <v>1139</v>
      </c>
      <c r="Z460" s="35" t="s">
        <v>6758</v>
      </c>
      <c r="AA460" s="35" t="s">
        <v>6989</v>
      </c>
      <c r="AB460" s="35" t="s">
        <v>6733</v>
      </c>
      <c r="AC460" s="35" t="s">
        <v>6990</v>
      </c>
      <c r="AD460" s="35" t="s">
        <v>7342</v>
      </c>
      <c r="AE460" s="37" t="str">
        <f t="shared" si="153"/>
        <v>51</v>
      </c>
      <c r="AF460" s="37">
        <f t="shared" si="148"/>
        <v>15475.3704</v>
      </c>
      <c r="AI460" s="37">
        <f t="shared" si="133"/>
        <v>1326.1990000000001</v>
      </c>
      <c r="AJ460" s="37">
        <f t="shared" si="134"/>
        <v>1124.9826</v>
      </c>
      <c r="AK460" s="37">
        <f t="shared" si="135"/>
        <v>1729.3634960000002</v>
      </c>
      <c r="AL460" s="23">
        <v>140.04</v>
      </c>
      <c r="AM460" s="23">
        <f t="shared" si="154"/>
        <v>140.04</v>
      </c>
      <c r="AN460" s="22">
        <v>79.2</v>
      </c>
      <c r="AO460" s="22">
        <f t="shared" si="150"/>
        <v>79.2</v>
      </c>
      <c r="AP460" s="23">
        <v>17392.099999999999</v>
      </c>
      <c r="AQ460" s="23">
        <f t="shared" si="151"/>
        <v>18090.392814999999</v>
      </c>
      <c r="AR460" s="23">
        <f t="shared" si="155"/>
        <v>18090.392814999999</v>
      </c>
      <c r="AS460" s="23">
        <f t="shared" si="158"/>
        <v>18309.632815000001</v>
      </c>
      <c r="AT460" s="37">
        <v>2400</v>
      </c>
      <c r="AU460" s="20">
        <f t="shared" si="156"/>
        <v>2400</v>
      </c>
      <c r="AV460" s="37">
        <f t="shared" si="152"/>
        <v>40365.548311000006</v>
      </c>
      <c r="AW460" s="37">
        <f t="shared" si="159"/>
        <v>131827.54831099999</v>
      </c>
      <c r="BA460" s="20" t="str">
        <f t="shared" si="157"/>
        <v>1 - ART_INS - Rodriguez, Lesha M</v>
      </c>
    </row>
    <row r="461" spans="1:53" ht="12.75" customHeight="1" x14ac:dyDescent="0.25">
      <c r="A461" s="20">
        <v>446</v>
      </c>
      <c r="B461" s="78" t="s">
        <v>7338</v>
      </c>
      <c r="C461" s="20" t="s">
        <v>7533</v>
      </c>
      <c r="D461" s="20" t="s">
        <v>7405</v>
      </c>
      <c r="E461" s="82">
        <v>100</v>
      </c>
      <c r="F461" s="34">
        <v>44378</v>
      </c>
      <c r="G461" s="20" t="s">
        <v>6782</v>
      </c>
      <c r="H461" s="20">
        <v>19</v>
      </c>
      <c r="K461" s="23">
        <v>99251</v>
      </c>
      <c r="L461" s="23">
        <f t="shared" si="131"/>
        <v>99251</v>
      </c>
      <c r="N461" s="82"/>
      <c r="V461" s="23">
        <f t="shared" si="149"/>
        <v>99251</v>
      </c>
      <c r="W461" s="25">
        <v>1</v>
      </c>
      <c r="X461" s="23">
        <f t="shared" si="132"/>
        <v>99251</v>
      </c>
      <c r="Y461" s="20" t="s">
        <v>2313</v>
      </c>
      <c r="Z461" s="35" t="s">
        <v>6758</v>
      </c>
      <c r="AA461" s="35" t="s">
        <v>6742</v>
      </c>
      <c r="AB461" s="35" t="s">
        <v>6974</v>
      </c>
      <c r="AC461" s="35" t="s">
        <v>6997</v>
      </c>
      <c r="AD461" s="35" t="s">
        <v>7342</v>
      </c>
      <c r="AE461" s="37" t="str">
        <f t="shared" si="153"/>
        <v>51</v>
      </c>
      <c r="AF461" s="37">
        <f t="shared" si="148"/>
        <v>16793.269199999999</v>
      </c>
      <c r="AI461" s="37">
        <f t="shared" si="133"/>
        <v>1439.1395</v>
      </c>
      <c r="AJ461" s="37">
        <f t="shared" si="134"/>
        <v>1220.7873</v>
      </c>
      <c r="AK461" s="37">
        <f t="shared" si="135"/>
        <v>1876.6379080000002</v>
      </c>
      <c r="AL461" s="23">
        <v>140.04</v>
      </c>
      <c r="AM461" s="23">
        <f t="shared" si="154"/>
        <v>140.04</v>
      </c>
      <c r="AN461" s="22">
        <v>79.2</v>
      </c>
      <c r="AO461" s="22">
        <f t="shared" si="150"/>
        <v>79.2</v>
      </c>
      <c r="AP461" s="23">
        <v>780.01</v>
      </c>
      <c r="AQ461" s="23">
        <f t="shared" si="151"/>
        <v>811.32740149999995</v>
      </c>
      <c r="AR461" s="23">
        <f t="shared" si="155"/>
        <v>811.32740149999995</v>
      </c>
      <c r="AS461" s="23">
        <f t="shared" si="158"/>
        <v>1030.5674015</v>
      </c>
      <c r="AT461" s="37">
        <v>2400</v>
      </c>
      <c r="AU461" s="20">
        <f t="shared" si="156"/>
        <v>2400</v>
      </c>
      <c r="AV461" s="37">
        <f t="shared" si="152"/>
        <v>24760.401309500001</v>
      </c>
      <c r="AW461" s="37">
        <f t="shared" si="159"/>
        <v>124011.4013095</v>
      </c>
      <c r="BA461" s="20" t="str">
        <f t="shared" si="157"/>
        <v>1 - DSLTEC_INS - Rodriquez, Valentin Rico</v>
      </c>
    </row>
    <row r="462" spans="1:53" ht="12.75" customHeight="1" x14ac:dyDescent="0.25">
      <c r="A462" s="20">
        <v>447</v>
      </c>
      <c r="B462" s="78" t="s">
        <v>7338</v>
      </c>
      <c r="C462" s="20" t="s">
        <v>7534</v>
      </c>
      <c r="D462" s="20" t="s">
        <v>7390</v>
      </c>
      <c r="E462" s="82">
        <v>100</v>
      </c>
      <c r="F462" s="34">
        <v>44378</v>
      </c>
      <c r="G462" s="20" t="s">
        <v>6741</v>
      </c>
      <c r="H462" s="20">
        <v>4</v>
      </c>
      <c r="K462" s="23">
        <v>79837</v>
      </c>
      <c r="L462" s="23">
        <f t="shared" ref="L462:L501" si="160">I462+K462</f>
        <v>79837</v>
      </c>
      <c r="N462" s="82"/>
      <c r="V462" s="23">
        <f t="shared" si="149"/>
        <v>79837</v>
      </c>
      <c r="W462" s="25">
        <v>1</v>
      </c>
      <c r="X462" s="23">
        <f t="shared" ref="X462:X514" si="161">V462*W462</f>
        <v>79837</v>
      </c>
      <c r="Y462" s="20" t="s">
        <v>2220</v>
      </c>
      <c r="Z462" s="35" t="s">
        <v>6758</v>
      </c>
      <c r="AA462" s="35" t="s">
        <v>6742</v>
      </c>
      <c r="AB462" s="35" t="s">
        <v>6974</v>
      </c>
      <c r="AC462" s="35" t="s">
        <v>7535</v>
      </c>
      <c r="AD462" s="35" t="s">
        <v>7342</v>
      </c>
      <c r="AE462" s="37" t="str">
        <f t="shared" si="153"/>
        <v>51</v>
      </c>
      <c r="AF462" s="37">
        <f t="shared" si="148"/>
        <v>13508.420399999999</v>
      </c>
      <c r="AI462" s="37">
        <f t="shared" ref="AI462:AI515" si="162">X462*$AI$1</f>
        <v>1157.6365000000001</v>
      </c>
      <c r="AJ462" s="37">
        <f t="shared" ref="AJ462:AJ515" si="163">X462*$AJ$1</f>
        <v>981.99509999999998</v>
      </c>
      <c r="AK462" s="37">
        <f t="shared" ref="AK462:AK515" si="164">X462*$AK$1</f>
        <v>1509.557996</v>
      </c>
      <c r="AL462" s="23">
        <v>140.04</v>
      </c>
      <c r="AM462" s="23">
        <f t="shared" si="154"/>
        <v>140.04</v>
      </c>
      <c r="AN462" s="22">
        <v>79.2</v>
      </c>
      <c r="AO462" s="22">
        <f t="shared" si="150"/>
        <v>79.2</v>
      </c>
      <c r="AP462" s="23">
        <v>13152.04</v>
      </c>
      <c r="AQ462" s="23">
        <f t="shared" si="151"/>
        <v>13680.094406</v>
      </c>
      <c r="AR462" s="23">
        <f t="shared" si="155"/>
        <v>13680.094406</v>
      </c>
      <c r="AS462" s="23">
        <f t="shared" si="158"/>
        <v>13899.334406</v>
      </c>
      <c r="AU462" s="20">
        <f t="shared" si="156"/>
        <v>0</v>
      </c>
      <c r="AV462" s="37">
        <f t="shared" si="152"/>
        <v>31056.944402000001</v>
      </c>
      <c r="AW462" s="37">
        <f t="shared" si="159"/>
        <v>110893.94440199999</v>
      </c>
      <c r="BA462" s="20" t="str">
        <f t="shared" si="157"/>
        <v>1 - AG_INS - Rustad, Emily K</v>
      </c>
    </row>
    <row r="463" spans="1:53" ht="12.75" customHeight="1" x14ac:dyDescent="0.25">
      <c r="A463" s="20">
        <v>448</v>
      </c>
      <c r="B463" s="78" t="s">
        <v>7338</v>
      </c>
      <c r="C463" s="20" t="s">
        <v>7536</v>
      </c>
      <c r="D463" s="20" t="s">
        <v>7537</v>
      </c>
      <c r="E463" s="82">
        <v>100</v>
      </c>
      <c r="F463" s="34">
        <v>44378</v>
      </c>
      <c r="G463" s="20" t="s">
        <v>6741</v>
      </c>
      <c r="H463" s="20">
        <v>20</v>
      </c>
      <c r="K463" s="23">
        <v>121962</v>
      </c>
      <c r="L463" s="23">
        <f t="shared" si="160"/>
        <v>121962</v>
      </c>
      <c r="N463" s="82"/>
      <c r="V463" s="23">
        <f t="shared" si="149"/>
        <v>121962</v>
      </c>
      <c r="W463" s="25">
        <v>1</v>
      </c>
      <c r="X463" s="23">
        <f t="shared" si="161"/>
        <v>121962</v>
      </c>
      <c r="Y463" s="20" t="s">
        <v>1346</v>
      </c>
      <c r="Z463" s="35" t="s">
        <v>6758</v>
      </c>
      <c r="AA463" s="35" t="s">
        <v>6989</v>
      </c>
      <c r="AB463" s="35" t="s">
        <v>6733</v>
      </c>
      <c r="AC463" s="35" t="s">
        <v>7538</v>
      </c>
      <c r="AD463" s="35" t="s">
        <v>7342</v>
      </c>
      <c r="AE463" s="37" t="str">
        <f t="shared" si="153"/>
        <v>51</v>
      </c>
      <c r="AF463" s="37">
        <f t="shared" si="148"/>
        <v>20635.970399999998</v>
      </c>
      <c r="AI463" s="37">
        <f t="shared" si="162"/>
        <v>1768.4490000000001</v>
      </c>
      <c r="AJ463" s="37">
        <f t="shared" si="163"/>
        <v>1500.1325999999999</v>
      </c>
      <c r="AK463" s="37">
        <f t="shared" si="164"/>
        <v>2306.0574960000004</v>
      </c>
      <c r="AL463" s="23">
        <v>140.04</v>
      </c>
      <c r="AM463" s="23">
        <f t="shared" si="154"/>
        <v>140.04</v>
      </c>
      <c r="AN463" s="22">
        <v>79.2</v>
      </c>
      <c r="AO463" s="22">
        <f t="shared" si="150"/>
        <v>79.2</v>
      </c>
      <c r="AP463" s="23">
        <v>33444</v>
      </c>
      <c r="AQ463" s="23">
        <f t="shared" si="151"/>
        <v>34786.776599999997</v>
      </c>
      <c r="AR463" s="23">
        <f t="shared" si="155"/>
        <v>34786.776599999997</v>
      </c>
      <c r="AS463" s="23">
        <f t="shared" si="158"/>
        <v>35006.016599999995</v>
      </c>
      <c r="AU463" s="20">
        <f t="shared" si="156"/>
        <v>0</v>
      </c>
      <c r="AV463" s="37">
        <f t="shared" si="152"/>
        <v>61216.626096</v>
      </c>
      <c r="AW463" s="37">
        <f t="shared" si="159"/>
        <v>183178.62609599999</v>
      </c>
      <c r="BA463" s="20" t="str">
        <f t="shared" si="157"/>
        <v>1 - ANTH_INS - Sanchez, Jorge</v>
      </c>
    </row>
    <row r="464" spans="1:53" ht="12.75" customHeight="1" x14ac:dyDescent="0.25">
      <c r="A464" s="20">
        <v>449</v>
      </c>
      <c r="B464" s="78" t="s">
        <v>7338</v>
      </c>
      <c r="C464" s="20" t="s">
        <v>7539</v>
      </c>
      <c r="D464" s="20" t="s">
        <v>7381</v>
      </c>
      <c r="E464" s="82">
        <v>100</v>
      </c>
      <c r="F464" s="34">
        <v>44378</v>
      </c>
      <c r="G464" s="20" t="s">
        <v>6783</v>
      </c>
      <c r="H464" s="20">
        <v>20</v>
      </c>
      <c r="K464" s="23">
        <v>117266</v>
      </c>
      <c r="L464" s="23">
        <f t="shared" si="160"/>
        <v>117266</v>
      </c>
      <c r="N464" s="82"/>
      <c r="V464" s="23">
        <f t="shared" si="149"/>
        <v>117266</v>
      </c>
      <c r="W464" s="25">
        <v>1</v>
      </c>
      <c r="X464" s="23">
        <f t="shared" si="161"/>
        <v>117266</v>
      </c>
      <c r="Y464" s="20" t="s">
        <v>1962</v>
      </c>
      <c r="Z464" s="35" t="s">
        <v>6758</v>
      </c>
      <c r="AA464" s="35" t="s">
        <v>6901</v>
      </c>
      <c r="AB464" s="35" t="s">
        <v>6733</v>
      </c>
      <c r="AC464" s="35" t="s">
        <v>7409</v>
      </c>
      <c r="AD464" s="35" t="s">
        <v>7342</v>
      </c>
      <c r="AE464" s="37" t="str">
        <f t="shared" si="153"/>
        <v>51</v>
      </c>
      <c r="AF464" s="37">
        <f t="shared" si="148"/>
        <v>19841.407199999998</v>
      </c>
      <c r="AI464" s="37">
        <f t="shared" si="162"/>
        <v>1700.3570000000002</v>
      </c>
      <c r="AJ464" s="37">
        <f t="shared" si="163"/>
        <v>1442.3718000000001</v>
      </c>
      <c r="AK464" s="37">
        <f t="shared" si="164"/>
        <v>2217.2655280000004</v>
      </c>
      <c r="AL464" s="23">
        <v>140.04</v>
      </c>
      <c r="AM464" s="23">
        <f t="shared" si="154"/>
        <v>140.04</v>
      </c>
      <c r="AN464" s="22">
        <v>79.2</v>
      </c>
      <c r="AO464" s="22">
        <f t="shared" si="150"/>
        <v>79.2</v>
      </c>
      <c r="AP464" s="23">
        <v>33443.96</v>
      </c>
      <c r="AQ464" s="23">
        <f t="shared" si="151"/>
        <v>34786.734993999999</v>
      </c>
      <c r="AR464" s="23">
        <f t="shared" si="155"/>
        <v>34786.734993999999</v>
      </c>
      <c r="AS464" s="23">
        <f t="shared" si="158"/>
        <v>35005.974993999997</v>
      </c>
      <c r="AU464" s="20">
        <f t="shared" si="156"/>
        <v>0</v>
      </c>
      <c r="AV464" s="37">
        <f t="shared" si="152"/>
        <v>60207.376521999999</v>
      </c>
      <c r="AW464" s="37">
        <f t="shared" si="159"/>
        <v>177473.37652200001</v>
      </c>
      <c r="BA464" s="20" t="str">
        <f t="shared" si="157"/>
        <v>1 - NRS_INS - Schur Beymer, Nancy</v>
      </c>
    </row>
    <row r="465" spans="1:53" ht="12.75" customHeight="1" x14ac:dyDescent="0.25">
      <c r="A465" s="20">
        <v>450</v>
      </c>
      <c r="B465" s="78" t="s">
        <v>7338</v>
      </c>
      <c r="C465" s="56" t="s">
        <v>7540</v>
      </c>
      <c r="D465" s="20" t="s">
        <v>7541</v>
      </c>
      <c r="E465" s="82">
        <v>100</v>
      </c>
      <c r="F465" s="34">
        <v>44378</v>
      </c>
      <c r="G465" s="20" t="s">
        <v>6741</v>
      </c>
      <c r="H465" s="20">
        <v>7</v>
      </c>
      <c r="K465" s="23">
        <v>88864</v>
      </c>
      <c r="L465" s="23">
        <f t="shared" si="160"/>
        <v>88864</v>
      </c>
      <c r="N465" s="82"/>
      <c r="V465" s="23">
        <f t="shared" si="149"/>
        <v>88864</v>
      </c>
      <c r="W465" s="25">
        <v>1</v>
      </c>
      <c r="X465" s="23">
        <f t="shared" si="161"/>
        <v>88864</v>
      </c>
      <c r="Y465" s="20" t="s">
        <v>1271</v>
      </c>
      <c r="Z465" s="35" t="s">
        <v>6758</v>
      </c>
      <c r="AA465" s="35" t="s">
        <v>6989</v>
      </c>
      <c r="AB465" s="35" t="s">
        <v>6733</v>
      </c>
      <c r="AC465" s="35" t="s">
        <v>7542</v>
      </c>
      <c r="AD465" s="35" t="s">
        <v>7342</v>
      </c>
      <c r="AE465" s="37" t="str">
        <f t="shared" si="153"/>
        <v>51</v>
      </c>
      <c r="AF465" s="37">
        <f t="shared" si="148"/>
        <v>15035.788799999998</v>
      </c>
      <c r="AI465" s="37">
        <f t="shared" si="162"/>
        <v>1288.528</v>
      </c>
      <c r="AJ465" s="37">
        <f t="shared" si="163"/>
        <v>1093.0272</v>
      </c>
      <c r="AK465" s="37">
        <f t="shared" si="164"/>
        <v>1680.2405120000001</v>
      </c>
      <c r="AL465" s="23">
        <v>140.04</v>
      </c>
      <c r="AM465" s="23">
        <f t="shared" si="154"/>
        <v>140.04</v>
      </c>
      <c r="AN465" s="22">
        <v>79.2</v>
      </c>
      <c r="AO465" s="22">
        <f t="shared" si="150"/>
        <v>79.2</v>
      </c>
      <c r="AP465" s="23">
        <v>25452.57</v>
      </c>
      <c r="AQ465" s="23">
        <f t="shared" si="151"/>
        <v>26474.490685500001</v>
      </c>
      <c r="AR465" s="23">
        <f t="shared" si="155"/>
        <v>26474.490685500001</v>
      </c>
      <c r="AS465" s="23">
        <f t="shared" si="158"/>
        <v>26693.730685500002</v>
      </c>
      <c r="AU465" s="20">
        <f t="shared" si="156"/>
        <v>0</v>
      </c>
      <c r="AV465" s="37">
        <f t="shared" si="152"/>
        <v>45791.3151975</v>
      </c>
      <c r="AW465" s="37">
        <f t="shared" si="159"/>
        <v>134655.31519749999</v>
      </c>
      <c r="BA465" s="20" t="str">
        <f t="shared" si="157"/>
        <v>1 - PHILO_INS - Soto, Andrew C</v>
      </c>
    </row>
    <row r="466" spans="1:53" ht="12.75" customHeight="1" x14ac:dyDescent="0.25">
      <c r="A466" s="20">
        <v>451</v>
      </c>
      <c r="B466" s="78" t="s">
        <v>7338</v>
      </c>
      <c r="C466" s="56" t="s">
        <v>7543</v>
      </c>
      <c r="D466" s="20" t="s">
        <v>7544</v>
      </c>
      <c r="E466" s="82">
        <v>100</v>
      </c>
      <c r="F466" s="34">
        <v>44378</v>
      </c>
      <c r="G466" s="20" t="s">
        <v>6729</v>
      </c>
      <c r="H466" s="20">
        <v>15</v>
      </c>
      <c r="K466" s="23">
        <v>106092</v>
      </c>
      <c r="L466" s="23">
        <f t="shared" si="160"/>
        <v>106092</v>
      </c>
      <c r="N466" s="82"/>
      <c r="V466" s="23">
        <f t="shared" si="149"/>
        <v>106092</v>
      </c>
      <c r="W466" s="25">
        <v>0.3</v>
      </c>
      <c r="X466" s="23">
        <f t="shared" si="161"/>
        <v>31827.599999999999</v>
      </c>
      <c r="Y466" s="20" t="s">
        <v>2509</v>
      </c>
      <c r="Z466" s="35" t="s">
        <v>6758</v>
      </c>
      <c r="AA466" s="35" t="s">
        <v>6847</v>
      </c>
      <c r="AB466" s="35" t="s">
        <v>6733</v>
      </c>
      <c r="AC466" s="35" t="s">
        <v>7345</v>
      </c>
      <c r="AD466" s="35" t="s">
        <v>7342</v>
      </c>
      <c r="AE466" s="37" t="str">
        <f t="shared" si="153"/>
        <v>51</v>
      </c>
      <c r="AF466" s="37"/>
      <c r="AG466" s="37">
        <f>X466*$AG$1</f>
        <v>7291.70316</v>
      </c>
      <c r="AH466" s="37">
        <f>X466*$AH$1</f>
        <v>1973.3111999999999</v>
      </c>
      <c r="AI466" s="37">
        <f t="shared" si="162"/>
        <v>461.50020000000001</v>
      </c>
      <c r="AJ466" s="37">
        <f t="shared" si="163"/>
        <v>391.47947999999997</v>
      </c>
      <c r="AK466" s="37">
        <f t="shared" si="164"/>
        <v>601.79626080000003</v>
      </c>
      <c r="AL466" s="23">
        <v>140.04</v>
      </c>
      <c r="AM466" s="23">
        <f t="shared" si="154"/>
        <v>42.011999999999993</v>
      </c>
      <c r="AN466" s="22">
        <v>79.2</v>
      </c>
      <c r="AO466" s="22">
        <f t="shared" si="150"/>
        <v>23.76</v>
      </c>
      <c r="AP466" s="23">
        <v>25452.57</v>
      </c>
      <c r="AQ466" s="23">
        <f t="shared" si="151"/>
        <v>26474.490685500001</v>
      </c>
      <c r="AR466" s="23">
        <f t="shared" si="155"/>
        <v>7942.3472056499995</v>
      </c>
      <c r="AS466" s="23">
        <f t="shared" si="158"/>
        <v>8008.1192056499995</v>
      </c>
      <c r="AU466" s="20">
        <f t="shared" si="156"/>
        <v>0</v>
      </c>
      <c r="AV466" s="37">
        <f t="shared" si="152"/>
        <v>18727.90950645</v>
      </c>
      <c r="AW466" s="37">
        <f t="shared" si="159"/>
        <v>50555.509506449998</v>
      </c>
      <c r="BA466" s="20" t="str">
        <f>CONCATENATE(W466," - ",D466," - ",C466)</f>
        <v>0.3 - LIBRAR - Stephens, Deborah L</v>
      </c>
    </row>
    <row r="467" spans="1:53" ht="12.75" customHeight="1" x14ac:dyDescent="0.25">
      <c r="A467" s="20">
        <v>452</v>
      </c>
      <c r="B467" s="78" t="s">
        <v>7338</v>
      </c>
      <c r="C467" s="56" t="s">
        <v>7543</v>
      </c>
      <c r="D467" s="20" t="s">
        <v>7544</v>
      </c>
      <c r="E467" s="82">
        <v>100</v>
      </c>
      <c r="F467" s="34">
        <v>44378</v>
      </c>
      <c r="G467" s="20" t="s">
        <v>6729</v>
      </c>
      <c r="H467" s="20">
        <v>15</v>
      </c>
      <c r="K467" s="23">
        <v>106092</v>
      </c>
      <c r="L467" s="23">
        <f t="shared" si="160"/>
        <v>106092</v>
      </c>
      <c r="N467" s="82"/>
      <c r="V467" s="23">
        <f t="shared" si="149"/>
        <v>106092</v>
      </c>
      <c r="W467" s="25">
        <v>0.7</v>
      </c>
      <c r="X467" s="23">
        <f t="shared" si="161"/>
        <v>74264.399999999994</v>
      </c>
      <c r="Y467" s="20" t="s">
        <v>2555</v>
      </c>
      <c r="Z467" s="35" t="s">
        <v>6758</v>
      </c>
      <c r="AA467" s="35" t="s">
        <v>6847</v>
      </c>
      <c r="AB467" s="35" t="s">
        <v>6733</v>
      </c>
      <c r="AC467" s="35" t="s">
        <v>7031</v>
      </c>
      <c r="AD467" s="35" t="s">
        <v>7348</v>
      </c>
      <c r="AE467" s="37" t="str">
        <f t="shared" si="153"/>
        <v>51</v>
      </c>
      <c r="AF467" s="37"/>
      <c r="AG467" s="37">
        <f>X467*$AG$1</f>
        <v>17013.974039999997</v>
      </c>
      <c r="AH467" s="37">
        <f>X467*$AH$1</f>
        <v>4604.3927999999996</v>
      </c>
      <c r="AI467" s="37">
        <f t="shared" si="162"/>
        <v>1076.8337999999999</v>
      </c>
      <c r="AJ467" s="37">
        <f t="shared" si="163"/>
        <v>913.45211999999992</v>
      </c>
      <c r="AK467" s="37">
        <f t="shared" si="164"/>
        <v>1404.1912752000001</v>
      </c>
      <c r="AL467" s="23">
        <v>140.04</v>
      </c>
      <c r="AM467" s="23">
        <f t="shared" si="154"/>
        <v>98.027999999999992</v>
      </c>
      <c r="AN467" s="22">
        <v>79.2</v>
      </c>
      <c r="AO467" s="22">
        <f t="shared" si="150"/>
        <v>55.44</v>
      </c>
      <c r="AP467" s="23">
        <v>25452.57</v>
      </c>
      <c r="AQ467" s="23">
        <f t="shared" si="151"/>
        <v>26474.490685500001</v>
      </c>
      <c r="AR467" s="23">
        <f t="shared" si="155"/>
        <v>18532.143479849998</v>
      </c>
      <c r="AS467" s="23">
        <f t="shared" si="158"/>
        <v>18685.611479849998</v>
      </c>
      <c r="AU467" s="20">
        <f t="shared" si="156"/>
        <v>0</v>
      </c>
      <c r="AV467" s="37">
        <f t="shared" si="152"/>
        <v>43698.455515049995</v>
      </c>
      <c r="AW467" s="37">
        <f t="shared" si="159"/>
        <v>117962.85551504999</v>
      </c>
      <c r="BA467" s="20" t="str">
        <f t="shared" ref="BA467:BA514" si="165">CONCATENATE(W467," - ",D467," - ",C467)</f>
        <v>0.7 - LIBRAR - Stephens, Deborah L</v>
      </c>
    </row>
    <row r="468" spans="1:53" ht="12.75" customHeight="1" x14ac:dyDescent="0.25">
      <c r="A468" s="20">
        <v>453</v>
      </c>
      <c r="B468" s="78" t="s">
        <v>7338</v>
      </c>
      <c r="C468" s="56" t="s">
        <v>7545</v>
      </c>
      <c r="D468" s="20" t="s">
        <v>7365</v>
      </c>
      <c r="E468" s="82">
        <v>100</v>
      </c>
      <c r="F468" s="34">
        <v>44378</v>
      </c>
      <c r="G468" s="20" t="s">
        <v>6741</v>
      </c>
      <c r="H468" s="20">
        <v>20</v>
      </c>
      <c r="K468" s="23">
        <v>121962</v>
      </c>
      <c r="L468" s="23">
        <f t="shared" si="160"/>
        <v>121962</v>
      </c>
      <c r="N468" s="82"/>
      <c r="V468" s="23">
        <f t="shared" si="149"/>
        <v>121962</v>
      </c>
      <c r="W468" s="25">
        <v>1</v>
      </c>
      <c r="X468" s="23">
        <f t="shared" si="161"/>
        <v>121962</v>
      </c>
      <c r="Y468" s="20" t="s">
        <v>2169</v>
      </c>
      <c r="Z468" s="35" t="s">
        <v>6758</v>
      </c>
      <c r="AA468" s="35" t="s">
        <v>6742</v>
      </c>
      <c r="AB468" s="35" t="s">
        <v>6733</v>
      </c>
      <c r="AC468" s="35" t="s">
        <v>7366</v>
      </c>
      <c r="AD468" s="35" t="s">
        <v>7342</v>
      </c>
      <c r="AE468" s="37" t="str">
        <f t="shared" si="153"/>
        <v>51</v>
      </c>
      <c r="AF468" s="37">
        <f t="shared" ref="AF468:AF501" si="166">X468*$AF$1</f>
        <v>20635.970399999998</v>
      </c>
      <c r="AI468" s="37">
        <f t="shared" si="162"/>
        <v>1768.4490000000001</v>
      </c>
      <c r="AJ468" s="37">
        <f t="shared" si="163"/>
        <v>1500.1325999999999</v>
      </c>
      <c r="AK468" s="37">
        <f t="shared" si="164"/>
        <v>2306.0574960000004</v>
      </c>
      <c r="AL468" s="23">
        <v>140.04</v>
      </c>
      <c r="AM468" s="23">
        <f t="shared" si="154"/>
        <v>140.04</v>
      </c>
      <c r="AN468" s="22">
        <v>79.2</v>
      </c>
      <c r="AO468" s="22">
        <f t="shared" si="150"/>
        <v>79.2</v>
      </c>
      <c r="AP468" s="23">
        <v>33443.96</v>
      </c>
      <c r="AQ468" s="23">
        <f t="shared" si="151"/>
        <v>34786.734993999999</v>
      </c>
      <c r="AR468" s="23">
        <f t="shared" si="155"/>
        <v>34786.734993999999</v>
      </c>
      <c r="AS468" s="23">
        <f t="shared" si="158"/>
        <v>35005.974993999997</v>
      </c>
      <c r="AU468" s="20">
        <f t="shared" si="156"/>
        <v>0</v>
      </c>
      <c r="AV468" s="37">
        <f t="shared" si="152"/>
        <v>61216.584490000001</v>
      </c>
      <c r="AW468" s="37">
        <f t="shared" si="159"/>
        <v>183178.58449000001</v>
      </c>
      <c r="BA468" s="20" t="str">
        <f t="shared" si="165"/>
        <v>1 - ADJ_INS - Storm, Lisa M</v>
      </c>
    </row>
    <row r="469" spans="1:53" ht="12.75" customHeight="1" x14ac:dyDescent="0.25">
      <c r="A469" s="20">
        <v>454</v>
      </c>
      <c r="B469" s="78" t="s">
        <v>7338</v>
      </c>
      <c r="C469" s="56" t="s">
        <v>7546</v>
      </c>
      <c r="D469" s="20" t="s">
        <v>7381</v>
      </c>
      <c r="E469" s="82">
        <v>100</v>
      </c>
      <c r="F469" s="34">
        <v>44378</v>
      </c>
      <c r="G469" s="20" t="s">
        <v>6729</v>
      </c>
      <c r="H469" s="20">
        <v>18</v>
      </c>
      <c r="K469" s="23">
        <v>124923</v>
      </c>
      <c r="L469" s="23">
        <f t="shared" si="160"/>
        <v>124923</v>
      </c>
      <c r="N469" s="82"/>
      <c r="V469" s="23">
        <f t="shared" si="149"/>
        <v>124923</v>
      </c>
      <c r="W469" s="25">
        <v>1</v>
      </c>
      <c r="X469" s="23">
        <f t="shared" si="161"/>
        <v>124923</v>
      </c>
      <c r="Y469" s="20" t="s">
        <v>1916</v>
      </c>
      <c r="Z469" s="35" t="s">
        <v>6758</v>
      </c>
      <c r="AA469" s="35" t="s">
        <v>6901</v>
      </c>
      <c r="AB469" s="35" t="s">
        <v>6733</v>
      </c>
      <c r="AC469" s="35" t="s">
        <v>7396</v>
      </c>
      <c r="AD469" s="35" t="s">
        <v>7342</v>
      </c>
      <c r="AE469" s="37" t="str">
        <f t="shared" si="153"/>
        <v>51</v>
      </c>
      <c r="AF469" s="37">
        <f t="shared" si="166"/>
        <v>21136.971599999997</v>
      </c>
      <c r="AI469" s="37">
        <f t="shared" si="162"/>
        <v>1811.3835000000001</v>
      </c>
      <c r="AJ469" s="37">
        <f t="shared" si="163"/>
        <v>1536.5528999999999</v>
      </c>
      <c r="AK469" s="37">
        <f t="shared" si="164"/>
        <v>2362.0440840000001</v>
      </c>
      <c r="AL469" s="23">
        <v>140.04</v>
      </c>
      <c r="AM469" s="23">
        <f t="shared" si="154"/>
        <v>140.04</v>
      </c>
      <c r="AN469" s="22">
        <v>79.2</v>
      </c>
      <c r="AO469" s="22">
        <f t="shared" si="150"/>
        <v>79.2</v>
      </c>
      <c r="AP469" s="23">
        <v>33443.96</v>
      </c>
      <c r="AQ469" s="23">
        <f t="shared" si="151"/>
        <v>34786.734993999999</v>
      </c>
      <c r="AR469" s="23">
        <f t="shared" si="155"/>
        <v>34786.734993999999</v>
      </c>
      <c r="AS469" s="23">
        <f t="shared" si="158"/>
        <v>35005.974993999997</v>
      </c>
      <c r="AU469" s="20">
        <f t="shared" si="156"/>
        <v>0</v>
      </c>
      <c r="AV469" s="37">
        <f t="shared" si="152"/>
        <v>61852.927077999993</v>
      </c>
      <c r="AW469" s="37">
        <f t="shared" si="159"/>
        <v>186775.92707799998</v>
      </c>
      <c r="BA469" s="20" t="str">
        <f t="shared" si="165"/>
        <v>1 - NRS_INS - Sullinger, Seaneen S</v>
      </c>
    </row>
    <row r="470" spans="1:53" s="39" customFormat="1" ht="12.75" customHeight="1" x14ac:dyDescent="0.25">
      <c r="A470" s="39">
        <v>455</v>
      </c>
      <c r="B470" s="83" t="s">
        <v>7338</v>
      </c>
      <c r="C470" s="39" t="s">
        <v>7547</v>
      </c>
      <c r="D470" s="39" t="s">
        <v>7354</v>
      </c>
      <c r="E470" s="84">
        <v>100</v>
      </c>
      <c r="F470" s="42">
        <v>44378</v>
      </c>
      <c r="G470" s="39" t="s">
        <v>6783</v>
      </c>
      <c r="H470" s="39">
        <v>20</v>
      </c>
      <c r="I470" s="44"/>
      <c r="K470" s="45">
        <v>105238</v>
      </c>
      <c r="L470" s="45">
        <f t="shared" si="160"/>
        <v>105238</v>
      </c>
      <c r="M470" s="45"/>
      <c r="N470" s="84"/>
      <c r="O470" s="46"/>
      <c r="P470" s="45"/>
      <c r="Q470" s="47"/>
      <c r="R470" s="45"/>
      <c r="S470" s="47"/>
      <c r="T470" s="45"/>
      <c r="U470" s="45"/>
      <c r="V470" s="45">
        <f t="shared" si="149"/>
        <v>105238</v>
      </c>
      <c r="W470" s="46">
        <v>0.7</v>
      </c>
      <c r="X470" s="45">
        <f t="shared" si="161"/>
        <v>73666.599999999991</v>
      </c>
      <c r="Y470" s="40" t="s">
        <v>7548</v>
      </c>
      <c r="Z470" s="43" t="s">
        <v>6758</v>
      </c>
      <c r="AA470" s="88" t="s">
        <v>6772</v>
      </c>
      <c r="AB470" s="88" t="s">
        <v>6733</v>
      </c>
      <c r="AC470" s="43" t="s">
        <v>7355</v>
      </c>
      <c r="AD470" s="43" t="s">
        <v>7342</v>
      </c>
      <c r="AE470" s="49" t="str">
        <f t="shared" si="153"/>
        <v>51</v>
      </c>
      <c r="AF470" s="49">
        <f t="shared" si="166"/>
        <v>12464.388719999997</v>
      </c>
      <c r="AI470" s="49">
        <f t="shared" si="162"/>
        <v>1068.1657</v>
      </c>
      <c r="AJ470" s="49">
        <f t="shared" si="163"/>
        <v>906.09917999999993</v>
      </c>
      <c r="AK470" s="49">
        <f t="shared" si="164"/>
        <v>1392.8880727999999</v>
      </c>
      <c r="AL470" s="45">
        <v>140.04</v>
      </c>
      <c r="AM470" s="45">
        <f t="shared" si="154"/>
        <v>98.027999999999992</v>
      </c>
      <c r="AN470" s="44">
        <v>79.2</v>
      </c>
      <c r="AO470" s="44">
        <f t="shared" si="150"/>
        <v>55.44</v>
      </c>
      <c r="AP470" s="45">
        <v>25452.57</v>
      </c>
      <c r="AQ470" s="45">
        <f t="shared" si="151"/>
        <v>26474.490685500001</v>
      </c>
      <c r="AR470" s="45">
        <f t="shared" si="155"/>
        <v>18532.143479849998</v>
      </c>
      <c r="AS470" s="45">
        <f t="shared" si="158"/>
        <v>18685.611479849998</v>
      </c>
      <c r="AU470" s="39">
        <f t="shared" si="156"/>
        <v>0</v>
      </c>
      <c r="AV470" s="49">
        <f t="shared" si="152"/>
        <v>34517.153152649997</v>
      </c>
      <c r="AW470" s="49">
        <f t="shared" si="159"/>
        <v>108183.75315265</v>
      </c>
      <c r="BA470" s="39" t="str">
        <f t="shared" si="165"/>
        <v>0.7 - CSS_INS - Svendsen, Christine S</v>
      </c>
    </row>
    <row r="471" spans="1:53" s="39" customFormat="1" ht="12.75" customHeight="1" x14ac:dyDescent="0.25">
      <c r="A471" s="39">
        <v>456</v>
      </c>
      <c r="B471" s="83" t="s">
        <v>7338</v>
      </c>
      <c r="C471" s="39" t="s">
        <v>7547</v>
      </c>
      <c r="D471" s="39" t="s">
        <v>7354</v>
      </c>
      <c r="E471" s="84">
        <v>100</v>
      </c>
      <c r="F471" s="42">
        <v>44378</v>
      </c>
      <c r="G471" s="39" t="s">
        <v>6783</v>
      </c>
      <c r="H471" s="39">
        <v>20</v>
      </c>
      <c r="I471" s="44"/>
      <c r="K471" s="45">
        <v>105238</v>
      </c>
      <c r="L471" s="45">
        <f t="shared" ref="L471" si="167">I471+K471</f>
        <v>105238</v>
      </c>
      <c r="M471" s="45"/>
      <c r="N471" s="84"/>
      <c r="O471" s="46"/>
      <c r="P471" s="45"/>
      <c r="Q471" s="47"/>
      <c r="R471" s="45"/>
      <c r="S471" s="47"/>
      <c r="T471" s="45"/>
      <c r="U471" s="45"/>
      <c r="V471" s="45">
        <f t="shared" ref="V471" si="168">L471+N471+P471+R471+T471+U471</f>
        <v>105238</v>
      </c>
      <c r="W471" s="46">
        <v>0.1</v>
      </c>
      <c r="X471" s="45">
        <f t="shared" ref="X471" si="169">V471*W471</f>
        <v>10523.800000000001</v>
      </c>
      <c r="Y471" s="40" t="s">
        <v>1031</v>
      </c>
      <c r="Z471" s="43" t="s">
        <v>6758</v>
      </c>
      <c r="AA471" s="88" t="s">
        <v>6826</v>
      </c>
      <c r="AB471" s="88" t="s">
        <v>6733</v>
      </c>
      <c r="AC471" s="88" t="s">
        <v>7635</v>
      </c>
      <c r="AD471" s="43" t="s">
        <v>7348</v>
      </c>
      <c r="AE471" s="49" t="str">
        <f t="shared" ref="AE471" si="170">LEFT(AD471,2)</f>
        <v>51</v>
      </c>
      <c r="AF471" s="49">
        <f t="shared" ref="AF471" si="171">X471*$AF$1</f>
        <v>1780.6269600000001</v>
      </c>
      <c r="AI471" s="49">
        <f t="shared" ref="AI471" si="172">X471*$AI$1</f>
        <v>152.59510000000003</v>
      </c>
      <c r="AJ471" s="49">
        <f t="shared" ref="AJ471" si="173">X471*$AJ$1</f>
        <v>129.44274000000001</v>
      </c>
      <c r="AK471" s="49">
        <f t="shared" ref="AK471" si="174">X471*$AK$1</f>
        <v>198.98401040000005</v>
      </c>
      <c r="AL471" s="45">
        <v>140.04</v>
      </c>
      <c r="AM471" s="45">
        <f t="shared" ref="AM471" si="175">AL471*W471</f>
        <v>14.004</v>
      </c>
      <c r="AN471" s="44">
        <v>79.2</v>
      </c>
      <c r="AO471" s="44">
        <f t="shared" ref="AO471" si="176">AN471*W471</f>
        <v>7.9200000000000008</v>
      </c>
      <c r="AP471" s="45">
        <v>25452.57</v>
      </c>
      <c r="AQ471" s="45">
        <f t="shared" ref="AQ471" si="177">AP471/2+(((AP471/2)*$AQ$1)+AP471/2)</f>
        <v>26474.490685500001</v>
      </c>
      <c r="AR471" s="45">
        <f t="shared" ref="AR471" si="178">AQ471*W471</f>
        <v>2647.4490685500004</v>
      </c>
      <c r="AS471" s="45">
        <f t="shared" ref="AS471" si="179">+AM471+AO471+AR471</f>
        <v>2669.3730685500004</v>
      </c>
      <c r="AU471" s="39">
        <f t="shared" ref="AU471" si="180">AT471*W471</f>
        <v>0</v>
      </c>
      <c r="AV471" s="49">
        <f t="shared" ref="AV471" si="181">+AF471+AG471+AH471+AI471+AJ471+AK471+AM471+AO471+AR471+AU471</f>
        <v>4931.0218789500004</v>
      </c>
      <c r="AW471" s="49">
        <f t="shared" ref="AW471" si="182">+X471+AV471</f>
        <v>15454.821878950002</v>
      </c>
      <c r="BA471" s="39" t="str">
        <f t="shared" ref="BA471" si="183">CONCATENATE(W471," - ",D471," - ",C471)</f>
        <v>0.1 - CSS_INS - Svendsen, Christine S</v>
      </c>
    </row>
    <row r="472" spans="1:53" s="39" customFormat="1" ht="12.75" customHeight="1" x14ac:dyDescent="0.25">
      <c r="A472" s="39">
        <v>456</v>
      </c>
      <c r="B472" s="83" t="s">
        <v>7338</v>
      </c>
      <c r="C472" s="39" t="s">
        <v>7547</v>
      </c>
      <c r="D472" s="39" t="s">
        <v>7354</v>
      </c>
      <c r="E472" s="84">
        <v>100</v>
      </c>
      <c r="F472" s="42">
        <v>44378</v>
      </c>
      <c r="G472" s="39" t="s">
        <v>6783</v>
      </c>
      <c r="H472" s="39">
        <v>20</v>
      </c>
      <c r="I472" s="44"/>
      <c r="K472" s="45">
        <v>105238</v>
      </c>
      <c r="L472" s="45">
        <f t="shared" si="160"/>
        <v>105238</v>
      </c>
      <c r="M472" s="45"/>
      <c r="N472" s="84"/>
      <c r="O472" s="46"/>
      <c r="P472" s="45"/>
      <c r="Q472" s="47"/>
      <c r="R472" s="45"/>
      <c r="S472" s="47"/>
      <c r="T472" s="45"/>
      <c r="U472" s="45"/>
      <c r="V472" s="45">
        <f t="shared" si="149"/>
        <v>105238</v>
      </c>
      <c r="W472" s="46">
        <v>0.2</v>
      </c>
      <c r="X472" s="45">
        <f t="shared" si="161"/>
        <v>21047.600000000002</v>
      </c>
      <c r="Y472" s="40" t="s">
        <v>7549</v>
      </c>
      <c r="Z472" s="43" t="s">
        <v>6758</v>
      </c>
      <c r="AA472" s="88" t="s">
        <v>6772</v>
      </c>
      <c r="AB472" s="88" t="s">
        <v>6733</v>
      </c>
      <c r="AC472" s="43" t="s">
        <v>7355</v>
      </c>
      <c r="AD472" s="43" t="s">
        <v>7348</v>
      </c>
      <c r="AE472" s="49" t="str">
        <f t="shared" si="153"/>
        <v>51</v>
      </c>
      <c r="AF472" s="49">
        <f t="shared" si="166"/>
        <v>3561.2539200000001</v>
      </c>
      <c r="AI472" s="49">
        <f t="shared" si="162"/>
        <v>305.19020000000006</v>
      </c>
      <c r="AJ472" s="49">
        <f t="shared" si="163"/>
        <v>258.88548000000003</v>
      </c>
      <c r="AK472" s="49">
        <f t="shared" si="164"/>
        <v>397.96802080000009</v>
      </c>
      <c r="AL472" s="45">
        <v>140.04</v>
      </c>
      <c r="AM472" s="45">
        <f t="shared" si="154"/>
        <v>28.007999999999999</v>
      </c>
      <c r="AN472" s="44">
        <v>79.2</v>
      </c>
      <c r="AO472" s="44">
        <f t="shared" si="150"/>
        <v>15.840000000000002</v>
      </c>
      <c r="AP472" s="45">
        <v>25452.57</v>
      </c>
      <c r="AQ472" s="45">
        <f t="shared" si="151"/>
        <v>26474.490685500001</v>
      </c>
      <c r="AR472" s="45">
        <f t="shared" si="155"/>
        <v>5294.8981371000009</v>
      </c>
      <c r="AS472" s="45">
        <f t="shared" si="158"/>
        <v>5338.7461371000009</v>
      </c>
      <c r="AU472" s="39">
        <f t="shared" si="156"/>
        <v>0</v>
      </c>
      <c r="AV472" s="49">
        <f t="shared" si="152"/>
        <v>9862.0437579000009</v>
      </c>
      <c r="AW472" s="49">
        <f t="shared" si="159"/>
        <v>30909.643757900005</v>
      </c>
      <c r="BA472" s="39" t="str">
        <f t="shared" si="165"/>
        <v>0.2 - CSS_INS - Svendsen, Christine S</v>
      </c>
    </row>
    <row r="473" spans="1:53" ht="12.75" customHeight="1" x14ac:dyDescent="0.25">
      <c r="A473" s="20">
        <v>457</v>
      </c>
      <c r="B473" s="78" t="s">
        <v>7338</v>
      </c>
      <c r="C473" s="20" t="s">
        <v>7550</v>
      </c>
      <c r="D473" s="20" t="s">
        <v>7352</v>
      </c>
      <c r="E473" s="82">
        <v>100</v>
      </c>
      <c r="F473" s="34">
        <v>44378</v>
      </c>
      <c r="G473" s="20" t="s">
        <v>6741</v>
      </c>
      <c r="H473" s="20">
        <v>20</v>
      </c>
      <c r="K473" s="23">
        <v>128931</v>
      </c>
      <c r="L473" s="23">
        <f t="shared" si="160"/>
        <v>128931</v>
      </c>
      <c r="N473" s="82"/>
      <c r="V473" s="23">
        <f t="shared" si="149"/>
        <v>128931</v>
      </c>
      <c r="W473" s="25">
        <v>1</v>
      </c>
      <c r="X473" s="23">
        <f t="shared" si="161"/>
        <v>128931</v>
      </c>
      <c r="Y473" s="20" t="s">
        <v>2886</v>
      </c>
      <c r="Z473" s="35" t="s">
        <v>6758</v>
      </c>
      <c r="AA473" s="35" t="s">
        <v>6752</v>
      </c>
      <c r="AB473" s="35" t="s">
        <v>6733</v>
      </c>
      <c r="AC473" s="35" t="s">
        <v>6800</v>
      </c>
      <c r="AD473" s="35" t="s">
        <v>7348</v>
      </c>
      <c r="AE473" s="37" t="str">
        <f t="shared" si="153"/>
        <v>51</v>
      </c>
      <c r="AF473" s="37">
        <f t="shared" si="166"/>
        <v>21815.125199999999</v>
      </c>
      <c r="AI473" s="37">
        <f t="shared" si="162"/>
        <v>1869.4995000000001</v>
      </c>
      <c r="AJ473" s="37">
        <f t="shared" si="163"/>
        <v>1585.8513</v>
      </c>
      <c r="AK473" s="37">
        <f t="shared" si="164"/>
        <v>2437.8273480000003</v>
      </c>
      <c r="AL473" s="23">
        <v>140.04</v>
      </c>
      <c r="AM473" s="23">
        <f t="shared" si="154"/>
        <v>140.04</v>
      </c>
      <c r="AN473" s="22">
        <v>79.2</v>
      </c>
      <c r="AO473" s="22">
        <f t="shared" si="150"/>
        <v>79.2</v>
      </c>
      <c r="AP473" s="23">
        <v>33443.96</v>
      </c>
      <c r="AQ473" s="23">
        <f t="shared" si="151"/>
        <v>34786.734993999999</v>
      </c>
      <c r="AR473" s="23">
        <f t="shared" si="155"/>
        <v>34786.734993999999</v>
      </c>
      <c r="AS473" s="23">
        <f t="shared" si="158"/>
        <v>35005.974993999997</v>
      </c>
      <c r="AU473" s="20">
        <f t="shared" si="156"/>
        <v>0</v>
      </c>
      <c r="AV473" s="37">
        <f t="shared" si="152"/>
        <v>62714.278341999998</v>
      </c>
      <c r="AW473" s="37">
        <f t="shared" si="159"/>
        <v>191645.27834200001</v>
      </c>
      <c r="BA473" s="20" t="str">
        <f t="shared" si="165"/>
        <v>1 - COU_GEN - Szamos, Aron</v>
      </c>
    </row>
    <row r="474" spans="1:53" ht="12.75" customHeight="1" x14ac:dyDescent="0.25">
      <c r="A474" s="20">
        <v>458</v>
      </c>
      <c r="B474" s="78" t="s">
        <v>7338</v>
      </c>
      <c r="C474" s="20" t="s">
        <v>7551</v>
      </c>
      <c r="D474" s="20" t="s">
        <v>7454</v>
      </c>
      <c r="E474" s="82">
        <v>100</v>
      </c>
      <c r="F474" s="34">
        <v>44378</v>
      </c>
      <c r="G474" s="20" t="s">
        <v>6730</v>
      </c>
      <c r="H474" s="20">
        <v>20</v>
      </c>
      <c r="K474" s="23">
        <v>118541</v>
      </c>
      <c r="L474" s="23">
        <f t="shared" si="160"/>
        <v>118541</v>
      </c>
      <c r="N474" s="82"/>
      <c r="V474" s="23">
        <f t="shared" si="149"/>
        <v>118541</v>
      </c>
      <c r="W474" s="25">
        <v>0.6</v>
      </c>
      <c r="X474" s="23">
        <f t="shared" si="161"/>
        <v>71124.599999999991</v>
      </c>
      <c r="Y474" s="20" t="s">
        <v>2753</v>
      </c>
      <c r="Z474" s="35" t="s">
        <v>6758</v>
      </c>
      <c r="AA474" s="35" t="s">
        <v>7362</v>
      </c>
      <c r="AB474" s="35" t="s">
        <v>6733</v>
      </c>
      <c r="AC474" s="35" t="s">
        <v>7455</v>
      </c>
      <c r="AD474" s="35" t="s">
        <v>7342</v>
      </c>
      <c r="AE474" s="37" t="str">
        <f t="shared" si="153"/>
        <v>51</v>
      </c>
      <c r="AF474" s="37">
        <f t="shared" si="166"/>
        <v>12034.282319999998</v>
      </c>
      <c r="AI474" s="37">
        <f t="shared" si="162"/>
        <v>1031.3066999999999</v>
      </c>
      <c r="AJ474" s="37">
        <f t="shared" si="163"/>
        <v>874.83257999999989</v>
      </c>
      <c r="AK474" s="37">
        <f t="shared" si="164"/>
        <v>1344.8239368</v>
      </c>
      <c r="AL474" s="23">
        <v>140.04</v>
      </c>
      <c r="AM474" s="23">
        <f t="shared" si="154"/>
        <v>84.023999999999987</v>
      </c>
      <c r="AN474" s="22">
        <v>79.2</v>
      </c>
      <c r="AO474" s="22">
        <f t="shared" si="150"/>
        <v>47.52</v>
      </c>
      <c r="AP474" s="23">
        <v>25452.57</v>
      </c>
      <c r="AQ474" s="23">
        <f t="shared" si="151"/>
        <v>26474.490685500001</v>
      </c>
      <c r="AR474" s="23">
        <f t="shared" si="155"/>
        <v>15884.694411299999</v>
      </c>
      <c r="AS474" s="23">
        <f t="shared" si="158"/>
        <v>16016.238411299999</v>
      </c>
      <c r="AU474" s="20">
        <f t="shared" si="156"/>
        <v>0</v>
      </c>
      <c r="AV474" s="37">
        <f t="shared" si="152"/>
        <v>31301.483948099994</v>
      </c>
      <c r="AW474" s="37">
        <f t="shared" si="159"/>
        <v>102426.08394809999</v>
      </c>
      <c r="BA474" s="20" t="str">
        <f t="shared" si="165"/>
        <v>0.6 - ENG_INS - Teutsch, Maria G</v>
      </c>
    </row>
    <row r="475" spans="1:53" ht="12.75" customHeight="1" x14ac:dyDescent="0.25">
      <c r="A475" s="20">
        <v>459</v>
      </c>
      <c r="B475" s="78" t="s">
        <v>7338</v>
      </c>
      <c r="C475" s="20" t="s">
        <v>7552</v>
      </c>
      <c r="D475" s="20" t="s">
        <v>7381</v>
      </c>
      <c r="E475" s="82">
        <v>100</v>
      </c>
      <c r="F475" s="34">
        <v>44378</v>
      </c>
      <c r="G475" s="20" t="s">
        <v>6783</v>
      </c>
      <c r="H475" s="20">
        <v>17</v>
      </c>
      <c r="K475" s="23">
        <v>114406</v>
      </c>
      <c r="L475" s="23">
        <f t="shared" si="160"/>
        <v>114406</v>
      </c>
      <c r="N475" s="82"/>
      <c r="V475" s="23">
        <f t="shared" si="149"/>
        <v>114406</v>
      </c>
      <c r="W475" s="25">
        <v>1</v>
      </c>
      <c r="X475" s="23">
        <f t="shared" si="161"/>
        <v>114406</v>
      </c>
      <c r="Y475" s="20" t="s">
        <v>1916</v>
      </c>
      <c r="Z475" s="35" t="s">
        <v>6758</v>
      </c>
      <c r="AA475" s="35" t="s">
        <v>6901</v>
      </c>
      <c r="AB475" s="35" t="s">
        <v>6733</v>
      </c>
      <c r="AC475" s="35" t="s">
        <v>7396</v>
      </c>
      <c r="AD475" s="35" t="s">
        <v>7342</v>
      </c>
      <c r="AE475" s="37" t="str">
        <f t="shared" si="153"/>
        <v>51</v>
      </c>
      <c r="AF475" s="37">
        <f t="shared" si="166"/>
        <v>19357.495199999998</v>
      </c>
      <c r="AI475" s="37">
        <f t="shared" si="162"/>
        <v>1658.8870000000002</v>
      </c>
      <c r="AJ475" s="37">
        <f t="shared" si="163"/>
        <v>1407.1938</v>
      </c>
      <c r="AK475" s="37">
        <f t="shared" si="164"/>
        <v>2163.1886480000003</v>
      </c>
      <c r="AL475" s="23">
        <v>140.04</v>
      </c>
      <c r="AM475" s="23">
        <f t="shared" si="154"/>
        <v>140.04</v>
      </c>
      <c r="AN475" s="22">
        <v>79.2</v>
      </c>
      <c r="AO475" s="22">
        <f t="shared" si="150"/>
        <v>79.2</v>
      </c>
      <c r="AP475" s="23">
        <v>25452.57</v>
      </c>
      <c r="AQ475" s="23">
        <f t="shared" si="151"/>
        <v>26474.490685500001</v>
      </c>
      <c r="AR475" s="23">
        <f t="shared" si="155"/>
        <v>26474.490685500001</v>
      </c>
      <c r="AS475" s="23">
        <f t="shared" si="158"/>
        <v>26693.730685500002</v>
      </c>
      <c r="AU475" s="20">
        <f t="shared" si="156"/>
        <v>0</v>
      </c>
      <c r="AV475" s="37">
        <f t="shared" si="152"/>
        <v>51280.495333500003</v>
      </c>
      <c r="AW475" s="37">
        <f t="shared" si="159"/>
        <v>165686.4953335</v>
      </c>
      <c r="BA475" s="20" t="str">
        <f t="shared" si="165"/>
        <v>1 - NRS_INS - Thorpe, Deborah M</v>
      </c>
    </row>
    <row r="476" spans="1:53" ht="12.75" hidden="1" customHeight="1" x14ac:dyDescent="0.25">
      <c r="A476" s="20">
        <v>460</v>
      </c>
      <c r="B476" s="78" t="s">
        <v>7338</v>
      </c>
      <c r="C476" s="20" t="s">
        <v>7553</v>
      </c>
      <c r="D476" s="20" t="s">
        <v>7531</v>
      </c>
      <c r="E476" s="82">
        <v>100</v>
      </c>
      <c r="F476" s="34">
        <v>44378</v>
      </c>
      <c r="G476" s="20" t="s">
        <v>6729</v>
      </c>
      <c r="H476" s="20">
        <v>8</v>
      </c>
      <c r="K476" s="23">
        <v>89890</v>
      </c>
      <c r="L476" s="23">
        <f t="shared" si="160"/>
        <v>89890</v>
      </c>
      <c r="N476" s="82"/>
      <c r="V476" s="23">
        <f t="shared" si="149"/>
        <v>89890</v>
      </c>
      <c r="W476" s="25">
        <v>1</v>
      </c>
      <c r="X476" s="23">
        <f t="shared" si="161"/>
        <v>89890</v>
      </c>
      <c r="Y476" s="20" t="s">
        <v>5394</v>
      </c>
      <c r="Z476" s="35" t="s">
        <v>6731</v>
      </c>
      <c r="AA476" s="35" t="s">
        <v>6752</v>
      </c>
      <c r="AB476" s="35" t="s">
        <v>6733</v>
      </c>
      <c r="AC476" s="35" t="s">
        <v>6753</v>
      </c>
      <c r="AD476" s="35" t="s">
        <v>7348</v>
      </c>
      <c r="AE476" s="37" t="str">
        <f t="shared" si="153"/>
        <v>51</v>
      </c>
      <c r="AF476" s="37">
        <f t="shared" si="166"/>
        <v>15209.387999999999</v>
      </c>
      <c r="AI476" s="37">
        <f t="shared" si="162"/>
        <v>1303.405</v>
      </c>
      <c r="AJ476" s="37">
        <f t="shared" si="163"/>
        <v>1105.6469999999999</v>
      </c>
      <c r="AK476" s="37">
        <f t="shared" si="164"/>
        <v>1699.64012</v>
      </c>
      <c r="AL476" s="23">
        <v>140.04</v>
      </c>
      <c r="AM476" s="23">
        <f t="shared" si="154"/>
        <v>140.04</v>
      </c>
      <c r="AN476" s="22">
        <v>79.2</v>
      </c>
      <c r="AO476" s="22">
        <f t="shared" si="150"/>
        <v>79.2</v>
      </c>
      <c r="AP476" s="23">
        <v>13152</v>
      </c>
      <c r="AQ476" s="23">
        <f t="shared" si="151"/>
        <v>13680.052799999999</v>
      </c>
      <c r="AR476" s="23">
        <f t="shared" si="155"/>
        <v>13680.052799999999</v>
      </c>
      <c r="AS476" s="23">
        <f t="shared" si="158"/>
        <v>13899.292799999999</v>
      </c>
      <c r="AT476" s="37"/>
      <c r="AU476" s="20">
        <f t="shared" si="156"/>
        <v>0</v>
      </c>
      <c r="AV476" s="37">
        <f t="shared" si="152"/>
        <v>33217.372920000002</v>
      </c>
      <c r="AW476" s="37">
        <f t="shared" si="159"/>
        <v>123107.37291999999</v>
      </c>
      <c r="AX476" s="20" t="s">
        <v>6754</v>
      </c>
      <c r="AY476" s="20" t="s">
        <v>6680</v>
      </c>
      <c r="AZ476" s="20" t="s">
        <v>6755</v>
      </c>
      <c r="BA476" s="20" t="str">
        <f t="shared" si="165"/>
        <v>1 - COU_SSSP - Torres, Joel</v>
      </c>
    </row>
    <row r="477" spans="1:53" ht="12.75" customHeight="1" x14ac:dyDescent="0.25">
      <c r="A477" s="20">
        <v>461</v>
      </c>
      <c r="B477" s="78" t="s">
        <v>7338</v>
      </c>
      <c r="C477" s="20" t="s">
        <v>7554</v>
      </c>
      <c r="D477" s="20" t="s">
        <v>7390</v>
      </c>
      <c r="E477" s="82">
        <v>100</v>
      </c>
      <c r="F477" s="34">
        <v>44378</v>
      </c>
      <c r="G477" s="20" t="s">
        <v>6741</v>
      </c>
      <c r="H477" s="20">
        <v>16</v>
      </c>
      <c r="K477" s="23">
        <v>115944</v>
      </c>
      <c r="L477" s="23">
        <f t="shared" si="160"/>
        <v>115944</v>
      </c>
      <c r="N477" s="82"/>
      <c r="V477" s="23">
        <f t="shared" si="149"/>
        <v>115944</v>
      </c>
      <c r="W477" s="25">
        <v>1</v>
      </c>
      <c r="X477" s="23">
        <f t="shared" si="161"/>
        <v>115944</v>
      </c>
      <c r="Y477" s="20" t="s">
        <v>2220</v>
      </c>
      <c r="Z477" s="35" t="s">
        <v>6758</v>
      </c>
      <c r="AA477" s="35" t="s">
        <v>6742</v>
      </c>
      <c r="AB477" s="35" t="s">
        <v>6974</v>
      </c>
      <c r="AC477" s="35" t="s">
        <v>7535</v>
      </c>
      <c r="AD477" s="35" t="s">
        <v>7342</v>
      </c>
      <c r="AE477" s="37" t="str">
        <f t="shared" si="153"/>
        <v>51</v>
      </c>
      <c r="AF477" s="37">
        <f t="shared" si="166"/>
        <v>19617.7248</v>
      </c>
      <c r="AI477" s="37">
        <f t="shared" si="162"/>
        <v>1681.1880000000001</v>
      </c>
      <c r="AJ477" s="37">
        <f t="shared" si="163"/>
        <v>1426.1112000000001</v>
      </c>
      <c r="AK477" s="37">
        <f t="shared" si="164"/>
        <v>2192.2691520000003</v>
      </c>
      <c r="AL477" s="23">
        <v>140.04</v>
      </c>
      <c r="AM477" s="23">
        <f t="shared" si="154"/>
        <v>140.04</v>
      </c>
      <c r="AN477" s="22">
        <v>79.2</v>
      </c>
      <c r="AO477" s="22">
        <f t="shared" si="150"/>
        <v>79.2</v>
      </c>
      <c r="AP477" s="23">
        <v>33443.96</v>
      </c>
      <c r="AQ477" s="23">
        <f t="shared" si="151"/>
        <v>34786.734993999999</v>
      </c>
      <c r="AR477" s="23">
        <f t="shared" si="155"/>
        <v>34786.734993999999</v>
      </c>
      <c r="AS477" s="23">
        <f t="shared" si="158"/>
        <v>35005.974993999997</v>
      </c>
      <c r="AU477" s="20">
        <f t="shared" si="156"/>
        <v>0</v>
      </c>
      <c r="AV477" s="37">
        <f t="shared" si="152"/>
        <v>59923.268146000002</v>
      </c>
      <c r="AW477" s="37">
        <f t="shared" si="159"/>
        <v>175867.26814599999</v>
      </c>
      <c r="BA477" s="20" t="str">
        <f t="shared" si="165"/>
        <v>1 - AG_INS - Triano, Steven R</v>
      </c>
    </row>
    <row r="478" spans="1:53" ht="12.75" customHeight="1" x14ac:dyDescent="0.25">
      <c r="A478" s="20">
        <v>462</v>
      </c>
      <c r="B478" s="78" t="s">
        <v>7338</v>
      </c>
      <c r="C478" s="20" t="s">
        <v>7555</v>
      </c>
      <c r="D478" s="20" t="s">
        <v>7556</v>
      </c>
      <c r="E478" s="82">
        <v>100</v>
      </c>
      <c r="F478" s="34">
        <v>44378</v>
      </c>
      <c r="G478" s="20" t="s">
        <v>6729</v>
      </c>
      <c r="H478" s="20">
        <v>11</v>
      </c>
      <c r="K478" s="23">
        <v>99431</v>
      </c>
      <c r="L478" s="23">
        <f t="shared" si="160"/>
        <v>99431</v>
      </c>
      <c r="N478" s="82"/>
      <c r="V478" s="23">
        <f t="shared" si="149"/>
        <v>99431</v>
      </c>
      <c r="W478" s="25">
        <v>0.31</v>
      </c>
      <c r="X478" s="23">
        <f t="shared" si="161"/>
        <v>30823.61</v>
      </c>
      <c r="Y478" s="20" t="s">
        <v>3142</v>
      </c>
      <c r="Z478" s="35" t="s">
        <v>6758</v>
      </c>
      <c r="AA478" s="35" t="s">
        <v>6761</v>
      </c>
      <c r="AB478" s="35" t="s">
        <v>6733</v>
      </c>
      <c r="AC478" s="35" t="s">
        <v>7049</v>
      </c>
      <c r="AD478" s="35" t="s">
        <v>7348</v>
      </c>
      <c r="AE478" s="37" t="str">
        <f t="shared" si="153"/>
        <v>51</v>
      </c>
      <c r="AF478" s="37">
        <f t="shared" si="166"/>
        <v>5215.3548119999996</v>
      </c>
      <c r="AI478" s="37">
        <f t="shared" si="162"/>
        <v>446.94234500000005</v>
      </c>
      <c r="AJ478" s="37">
        <f t="shared" si="163"/>
        <v>379.130403</v>
      </c>
      <c r="AK478" s="37">
        <f t="shared" si="164"/>
        <v>582.81281788000001</v>
      </c>
      <c r="AL478" s="23">
        <v>140.04</v>
      </c>
      <c r="AM478" s="23">
        <f t="shared" si="154"/>
        <v>43.412399999999998</v>
      </c>
      <c r="AN478" s="22">
        <v>79.2</v>
      </c>
      <c r="AO478" s="22">
        <f t="shared" si="150"/>
        <v>24.552</v>
      </c>
      <c r="AP478" s="23">
        <v>33443.96</v>
      </c>
      <c r="AQ478" s="23">
        <f t="shared" si="151"/>
        <v>34786.734993999999</v>
      </c>
      <c r="AR478" s="23">
        <f t="shared" si="155"/>
        <v>10783.887848139999</v>
      </c>
      <c r="AS478" s="23">
        <f t="shared" si="158"/>
        <v>10851.85224814</v>
      </c>
      <c r="AU478" s="20">
        <f t="shared" si="156"/>
        <v>0</v>
      </c>
      <c r="AV478" s="37">
        <f t="shared" si="152"/>
        <v>17476.092626019999</v>
      </c>
      <c r="AW478" s="37">
        <f t="shared" si="159"/>
        <v>48299.70262602</v>
      </c>
      <c r="BA478" s="20" t="str">
        <f t="shared" si="165"/>
        <v>0.31 - COU_VET - Uribe-Cruz, Gemma</v>
      </c>
    </row>
    <row r="479" spans="1:53" ht="12.75" hidden="1" customHeight="1" x14ac:dyDescent="0.25">
      <c r="A479" s="20">
        <v>463</v>
      </c>
      <c r="B479" s="78" t="s">
        <v>7338</v>
      </c>
      <c r="C479" s="20" t="s">
        <v>7555</v>
      </c>
      <c r="D479" s="20" t="s">
        <v>7556</v>
      </c>
      <c r="E479" s="82">
        <v>100</v>
      </c>
      <c r="F479" s="34">
        <v>44378</v>
      </c>
      <c r="G479" s="20" t="s">
        <v>6729</v>
      </c>
      <c r="H479" s="20">
        <v>11</v>
      </c>
      <c r="K479" s="23">
        <v>99431</v>
      </c>
      <c r="L479" s="23">
        <f t="shared" si="160"/>
        <v>99431</v>
      </c>
      <c r="N479" s="82"/>
      <c r="V479" s="23">
        <f t="shared" si="149"/>
        <v>99431</v>
      </c>
      <c r="W479" s="25">
        <v>0.69</v>
      </c>
      <c r="X479" s="23">
        <f t="shared" si="161"/>
        <v>68607.39</v>
      </c>
      <c r="Y479" s="20" t="s">
        <v>4938</v>
      </c>
      <c r="Z479" s="35" t="s">
        <v>6731</v>
      </c>
      <c r="AA479" s="35" t="s">
        <v>6732</v>
      </c>
      <c r="AB479" s="35" t="s">
        <v>6733</v>
      </c>
      <c r="AC479" s="35" t="s">
        <v>6734</v>
      </c>
      <c r="AD479" s="35" t="s">
        <v>7348</v>
      </c>
      <c r="AE479" s="37" t="str">
        <f t="shared" si="153"/>
        <v>51</v>
      </c>
      <c r="AF479" s="37">
        <f t="shared" si="166"/>
        <v>11608.370387999999</v>
      </c>
      <c r="AI479" s="37">
        <f t="shared" si="162"/>
        <v>994.80715500000008</v>
      </c>
      <c r="AJ479" s="37">
        <f t="shared" si="163"/>
        <v>843.87089700000001</v>
      </c>
      <c r="AK479" s="37">
        <f t="shared" si="164"/>
        <v>1297.22853012</v>
      </c>
      <c r="AL479" s="23">
        <v>140.04</v>
      </c>
      <c r="AM479" s="23">
        <f t="shared" si="154"/>
        <v>96.627599999999987</v>
      </c>
      <c r="AN479" s="22">
        <v>79.2</v>
      </c>
      <c r="AO479" s="22">
        <f t="shared" si="150"/>
        <v>54.647999999999996</v>
      </c>
      <c r="AP479" s="23">
        <v>33443.96</v>
      </c>
      <c r="AQ479" s="23">
        <f t="shared" si="151"/>
        <v>34786.734993999999</v>
      </c>
      <c r="AR479" s="23">
        <f t="shared" si="155"/>
        <v>24002.847145859996</v>
      </c>
      <c r="AS479" s="23">
        <f t="shared" si="158"/>
        <v>24154.122745859997</v>
      </c>
      <c r="AU479" s="20">
        <f t="shared" si="156"/>
        <v>0</v>
      </c>
      <c r="AV479" s="37">
        <f t="shared" si="152"/>
        <v>38898.399715979998</v>
      </c>
      <c r="AW479" s="37">
        <f t="shared" si="159"/>
        <v>107505.78971598</v>
      </c>
      <c r="AX479" s="20" t="s">
        <v>6675</v>
      </c>
      <c r="AY479" s="20" t="s">
        <v>6736</v>
      </c>
      <c r="AZ479" s="20" t="s">
        <v>6737</v>
      </c>
      <c r="BA479" s="20" t="str">
        <f t="shared" si="165"/>
        <v>0.69 - COU_VET - Uribe-Cruz, Gemma</v>
      </c>
    </row>
    <row r="480" spans="1:53" ht="12.75" customHeight="1" x14ac:dyDescent="0.25">
      <c r="A480" s="20">
        <v>464</v>
      </c>
      <c r="B480" s="78" t="s">
        <v>7338</v>
      </c>
      <c r="C480" s="52" t="s">
        <v>7557</v>
      </c>
      <c r="D480" s="20" t="s">
        <v>7436</v>
      </c>
      <c r="E480" s="82">
        <v>100</v>
      </c>
      <c r="F480" s="34">
        <v>44378</v>
      </c>
      <c r="G480" s="51" t="s">
        <v>6729</v>
      </c>
      <c r="H480" s="20">
        <v>6</v>
      </c>
      <c r="K480" s="23">
        <v>79012</v>
      </c>
      <c r="L480" s="23">
        <f t="shared" si="160"/>
        <v>79012</v>
      </c>
      <c r="N480" s="82"/>
      <c r="V480" s="23">
        <f t="shared" si="149"/>
        <v>79012</v>
      </c>
      <c r="W480" s="25">
        <v>1</v>
      </c>
      <c r="X480" s="23">
        <f t="shared" si="161"/>
        <v>79012</v>
      </c>
      <c r="Y480" s="20" t="s">
        <v>2736</v>
      </c>
      <c r="Z480" s="35" t="s">
        <v>6758</v>
      </c>
      <c r="AA480" s="35" t="s">
        <v>7362</v>
      </c>
      <c r="AB480" s="35" t="s">
        <v>6733</v>
      </c>
      <c r="AC480" s="35" t="s">
        <v>7437</v>
      </c>
      <c r="AD480" s="35" t="s">
        <v>7342</v>
      </c>
      <c r="AE480" s="37" t="str">
        <f t="shared" si="153"/>
        <v>51</v>
      </c>
      <c r="AF480" s="37">
        <f t="shared" si="166"/>
        <v>13368.830399999999</v>
      </c>
      <c r="AI480" s="37">
        <f t="shared" si="162"/>
        <v>1145.674</v>
      </c>
      <c r="AJ480" s="37">
        <f t="shared" si="163"/>
        <v>971.84760000000006</v>
      </c>
      <c r="AK480" s="37">
        <f t="shared" si="164"/>
        <v>1493.9588960000001</v>
      </c>
      <c r="AL480" s="23">
        <v>140.04</v>
      </c>
      <c r="AM480" s="23">
        <f t="shared" si="154"/>
        <v>140.04</v>
      </c>
      <c r="AN480" s="22">
        <v>79.2</v>
      </c>
      <c r="AO480" s="22">
        <f t="shared" si="150"/>
        <v>79.2</v>
      </c>
      <c r="AP480" s="23">
        <v>25452.6</v>
      </c>
      <c r="AQ480" s="23">
        <f t="shared" si="151"/>
        <v>26474.521889999996</v>
      </c>
      <c r="AR480" s="23">
        <f t="shared" si="155"/>
        <v>26474.521889999996</v>
      </c>
      <c r="AS480" s="23">
        <f t="shared" si="158"/>
        <v>26693.761889999998</v>
      </c>
      <c r="AU480" s="20">
        <f t="shared" si="156"/>
        <v>0</v>
      </c>
      <c r="AV480" s="37">
        <f t="shared" si="152"/>
        <v>43674.072785999997</v>
      </c>
      <c r="AW480" s="225">
        <f t="shared" si="159"/>
        <v>122686.072786</v>
      </c>
      <c r="BA480" s="20" t="str">
        <f t="shared" si="165"/>
        <v>1 - SPAN_INS - VACANT (Vacaflor)</v>
      </c>
    </row>
    <row r="481" spans="1:53" ht="12.75" customHeight="1" x14ac:dyDescent="0.25">
      <c r="A481" s="20">
        <v>465</v>
      </c>
      <c r="B481" s="78" t="s">
        <v>7338</v>
      </c>
      <c r="C481" s="20" t="s">
        <v>7558</v>
      </c>
      <c r="D481" s="20" t="s">
        <v>7398</v>
      </c>
      <c r="E481" s="82">
        <v>100</v>
      </c>
      <c r="F481" s="34">
        <v>44378</v>
      </c>
      <c r="G481" s="20" t="s">
        <v>6729</v>
      </c>
      <c r="H481" s="20">
        <v>20</v>
      </c>
      <c r="K481" s="23">
        <v>118516</v>
      </c>
      <c r="L481" s="23">
        <f t="shared" si="160"/>
        <v>118516</v>
      </c>
      <c r="N481" s="82"/>
      <c r="V481" s="23">
        <f t="shared" si="149"/>
        <v>118516</v>
      </c>
      <c r="W481" s="25">
        <v>0.8</v>
      </c>
      <c r="X481" s="23">
        <f t="shared" si="161"/>
        <v>94812.800000000003</v>
      </c>
      <c r="Y481" s="20" t="s">
        <v>1503</v>
      </c>
      <c r="Z481" s="35" t="s">
        <v>6758</v>
      </c>
      <c r="AA481" s="35" t="s">
        <v>6941</v>
      </c>
      <c r="AB481" s="35" t="s">
        <v>6733</v>
      </c>
      <c r="AC481" s="35" t="s">
        <v>7369</v>
      </c>
      <c r="AD481" s="35" t="s">
        <v>7342</v>
      </c>
      <c r="AE481" s="37" t="str">
        <f t="shared" si="153"/>
        <v>51</v>
      </c>
      <c r="AF481" s="37">
        <f t="shared" si="166"/>
        <v>16042.32576</v>
      </c>
      <c r="AI481" s="37">
        <f t="shared" si="162"/>
        <v>1374.7856000000002</v>
      </c>
      <c r="AJ481" s="37">
        <f t="shared" si="163"/>
        <v>1166.1974400000001</v>
      </c>
      <c r="AK481" s="37">
        <f t="shared" si="164"/>
        <v>1792.7204224000002</v>
      </c>
      <c r="AL481" s="23">
        <v>140.04</v>
      </c>
      <c r="AM481" s="23">
        <f t="shared" si="154"/>
        <v>112.032</v>
      </c>
      <c r="AN481" s="22">
        <v>79.2</v>
      </c>
      <c r="AO481" s="22">
        <f t="shared" si="150"/>
        <v>63.360000000000007</v>
      </c>
      <c r="AP481" s="23">
        <v>33443.96</v>
      </c>
      <c r="AQ481" s="23">
        <f t="shared" si="151"/>
        <v>34786.734993999999</v>
      </c>
      <c r="AR481" s="23">
        <f t="shared" si="155"/>
        <v>27829.387995199999</v>
      </c>
      <c r="AS481" s="23">
        <f t="shared" si="158"/>
        <v>28004.779995199999</v>
      </c>
      <c r="AU481" s="20">
        <f t="shared" si="156"/>
        <v>0</v>
      </c>
      <c r="AV481" s="37">
        <f t="shared" si="152"/>
        <v>48380.809217599999</v>
      </c>
      <c r="AW481" s="37">
        <f t="shared" si="159"/>
        <v>143193.60921759999</v>
      </c>
      <c r="BA481" s="20" t="str">
        <f t="shared" si="165"/>
        <v>0.8 - COACH - Vasher, Andrew M</v>
      </c>
    </row>
    <row r="482" spans="1:53" ht="12.75" customHeight="1" x14ac:dyDescent="0.25">
      <c r="A482" s="20">
        <v>466</v>
      </c>
      <c r="B482" s="78" t="s">
        <v>7338</v>
      </c>
      <c r="C482" s="20" t="s">
        <v>7558</v>
      </c>
      <c r="D482" s="20" t="s">
        <v>7398</v>
      </c>
      <c r="E482" s="82">
        <v>100</v>
      </c>
      <c r="F482" s="34">
        <v>44378</v>
      </c>
      <c r="G482" s="20" t="s">
        <v>6729</v>
      </c>
      <c r="H482" s="20">
        <v>20</v>
      </c>
      <c r="K482" s="23">
        <v>118516</v>
      </c>
      <c r="L482" s="23">
        <f t="shared" si="160"/>
        <v>118516</v>
      </c>
      <c r="N482" s="82"/>
      <c r="V482" s="23">
        <f t="shared" si="149"/>
        <v>118516</v>
      </c>
      <c r="W482" s="25">
        <v>0.2</v>
      </c>
      <c r="X482" s="23">
        <f t="shared" si="161"/>
        <v>23703.200000000001</v>
      </c>
      <c r="Y482" s="20" t="s">
        <v>1503</v>
      </c>
      <c r="Z482" s="35" t="s">
        <v>6758</v>
      </c>
      <c r="AA482" s="35" t="s">
        <v>6941</v>
      </c>
      <c r="AB482" s="35" t="s">
        <v>6733</v>
      </c>
      <c r="AC482" s="35" t="s">
        <v>7369</v>
      </c>
      <c r="AD482" s="35" t="s">
        <v>7342</v>
      </c>
      <c r="AE482" s="37" t="str">
        <f t="shared" si="153"/>
        <v>51</v>
      </c>
      <c r="AF482" s="37">
        <f t="shared" si="166"/>
        <v>4010.5814399999999</v>
      </c>
      <c r="AI482" s="37">
        <f t="shared" si="162"/>
        <v>343.69640000000004</v>
      </c>
      <c r="AJ482" s="37">
        <f t="shared" si="163"/>
        <v>291.54936000000004</v>
      </c>
      <c r="AK482" s="37">
        <f t="shared" si="164"/>
        <v>448.18010560000005</v>
      </c>
      <c r="AL482" s="23">
        <v>140.04</v>
      </c>
      <c r="AM482" s="23">
        <f t="shared" si="154"/>
        <v>28.007999999999999</v>
      </c>
      <c r="AN482" s="22">
        <v>79.2</v>
      </c>
      <c r="AO482" s="22">
        <f t="shared" si="150"/>
        <v>15.840000000000002</v>
      </c>
      <c r="AP482" s="23">
        <v>33443.96</v>
      </c>
      <c r="AQ482" s="23">
        <f t="shared" si="151"/>
        <v>34786.734993999999</v>
      </c>
      <c r="AR482" s="23">
        <f t="shared" si="155"/>
        <v>6957.3469987999997</v>
      </c>
      <c r="AS482" s="23">
        <f t="shared" si="158"/>
        <v>7001.1949987999997</v>
      </c>
      <c r="AU482" s="20">
        <f t="shared" si="156"/>
        <v>0</v>
      </c>
      <c r="AV482" s="37">
        <f t="shared" si="152"/>
        <v>12095.2023044</v>
      </c>
      <c r="AW482" s="37">
        <f t="shared" si="159"/>
        <v>35798.402304399999</v>
      </c>
      <c r="BA482" s="20" t="str">
        <f t="shared" si="165"/>
        <v>0.2 - COACH - Vasher, Andrew M</v>
      </c>
    </row>
    <row r="483" spans="1:53" ht="12.75" customHeight="1" x14ac:dyDescent="0.25">
      <c r="A483" s="20">
        <v>467</v>
      </c>
      <c r="B483" s="78" t="s">
        <v>7338</v>
      </c>
      <c r="C483" s="20" t="s">
        <v>7559</v>
      </c>
      <c r="D483" s="20" t="s">
        <v>7384</v>
      </c>
      <c r="E483" s="82">
        <v>100</v>
      </c>
      <c r="F483" s="34">
        <v>44378</v>
      </c>
      <c r="G483" s="20" t="s">
        <v>6729</v>
      </c>
      <c r="H483" s="20">
        <v>20</v>
      </c>
      <c r="K483" s="23">
        <v>112110</v>
      </c>
      <c r="L483" s="23">
        <f t="shared" si="160"/>
        <v>112110</v>
      </c>
      <c r="N483" s="82"/>
      <c r="V483" s="23">
        <f t="shared" si="149"/>
        <v>112110</v>
      </c>
      <c r="W483" s="25">
        <v>1</v>
      </c>
      <c r="X483" s="23">
        <f t="shared" si="161"/>
        <v>112110</v>
      </c>
      <c r="Y483" s="20" t="s">
        <v>1697</v>
      </c>
      <c r="Z483" s="35" t="s">
        <v>6758</v>
      </c>
      <c r="AA483" s="35" t="s">
        <v>6772</v>
      </c>
      <c r="AB483" s="35" t="s">
        <v>6733</v>
      </c>
      <c r="AC483" s="35" t="s">
        <v>7385</v>
      </c>
      <c r="AD483" s="35" t="s">
        <v>7342</v>
      </c>
      <c r="AE483" s="37" t="str">
        <f t="shared" si="153"/>
        <v>51</v>
      </c>
      <c r="AF483" s="37">
        <f t="shared" si="166"/>
        <v>18969.011999999999</v>
      </c>
      <c r="AI483" s="37">
        <f t="shared" si="162"/>
        <v>1625.595</v>
      </c>
      <c r="AJ483" s="37">
        <f t="shared" si="163"/>
        <v>1378.953</v>
      </c>
      <c r="AK483" s="37">
        <f t="shared" si="164"/>
        <v>2119.7758800000001</v>
      </c>
      <c r="AL483" s="23">
        <v>140.04</v>
      </c>
      <c r="AM483" s="23">
        <f t="shared" si="154"/>
        <v>140.04</v>
      </c>
      <c r="AN483" s="22">
        <v>79.2</v>
      </c>
      <c r="AO483" s="22">
        <f t="shared" si="150"/>
        <v>79.2</v>
      </c>
      <c r="AP483" s="23">
        <v>33443.96</v>
      </c>
      <c r="AQ483" s="23">
        <f t="shared" si="151"/>
        <v>34786.734993999999</v>
      </c>
      <c r="AR483" s="23">
        <f t="shared" si="155"/>
        <v>34786.734993999999</v>
      </c>
      <c r="AS483" s="23">
        <f t="shared" si="158"/>
        <v>35005.974993999997</v>
      </c>
      <c r="AU483" s="20">
        <f t="shared" si="156"/>
        <v>0</v>
      </c>
      <c r="AV483" s="37">
        <f t="shared" si="152"/>
        <v>59099.310874000003</v>
      </c>
      <c r="AW483" s="37">
        <f t="shared" si="159"/>
        <v>171209.31087400002</v>
      </c>
      <c r="BA483" s="20" t="str">
        <f t="shared" si="165"/>
        <v>1 - MATH_INS - Vazquez, Senorina R</v>
      </c>
    </row>
    <row r="484" spans="1:53" ht="12.75" customHeight="1" x14ac:dyDescent="0.25">
      <c r="A484" s="20">
        <v>468</v>
      </c>
      <c r="B484" s="78" t="s">
        <v>7338</v>
      </c>
      <c r="C484" s="20" t="s">
        <v>7560</v>
      </c>
      <c r="D484" s="20" t="s">
        <v>7454</v>
      </c>
      <c r="E484" s="82">
        <v>100</v>
      </c>
      <c r="F484" s="34">
        <v>44378</v>
      </c>
      <c r="G484" s="20" t="s">
        <v>6783</v>
      </c>
      <c r="H484" s="20">
        <v>20</v>
      </c>
      <c r="K484" s="23">
        <v>105238</v>
      </c>
      <c r="L484" s="23">
        <f t="shared" si="160"/>
        <v>105238</v>
      </c>
      <c r="N484" s="82"/>
      <c r="V484" s="23">
        <f t="shared" si="149"/>
        <v>105238</v>
      </c>
      <c r="W484" s="25">
        <v>1</v>
      </c>
      <c r="X484" s="23">
        <f t="shared" si="161"/>
        <v>105238</v>
      </c>
      <c r="Y484" s="20" t="s">
        <v>2753</v>
      </c>
      <c r="Z484" s="35" t="s">
        <v>6758</v>
      </c>
      <c r="AA484" s="35" t="s">
        <v>7362</v>
      </c>
      <c r="AB484" s="35" t="s">
        <v>6733</v>
      </c>
      <c r="AC484" s="35" t="s">
        <v>7455</v>
      </c>
      <c r="AD484" s="35" t="s">
        <v>7342</v>
      </c>
      <c r="AE484" s="37" t="str">
        <f t="shared" si="153"/>
        <v>51</v>
      </c>
      <c r="AF484" s="37">
        <f t="shared" si="166"/>
        <v>17806.2696</v>
      </c>
      <c r="AI484" s="37">
        <f t="shared" si="162"/>
        <v>1525.951</v>
      </c>
      <c r="AJ484" s="37">
        <f t="shared" si="163"/>
        <v>1294.4274</v>
      </c>
      <c r="AK484" s="37">
        <f t="shared" si="164"/>
        <v>1989.8401040000001</v>
      </c>
      <c r="AL484" s="23">
        <v>140.04</v>
      </c>
      <c r="AM484" s="23">
        <f t="shared" si="154"/>
        <v>140.04</v>
      </c>
      <c r="AN484" s="22">
        <v>79.2</v>
      </c>
      <c r="AO484" s="22">
        <f t="shared" si="150"/>
        <v>79.2</v>
      </c>
      <c r="AP484" s="23">
        <v>25452.57</v>
      </c>
      <c r="AQ484" s="23">
        <f t="shared" si="151"/>
        <v>26474.490685500001</v>
      </c>
      <c r="AR484" s="23">
        <f t="shared" si="155"/>
        <v>26474.490685500001</v>
      </c>
      <c r="AS484" s="23">
        <f t="shared" si="158"/>
        <v>26693.730685500002</v>
      </c>
      <c r="AU484" s="20">
        <f t="shared" si="156"/>
        <v>0</v>
      </c>
      <c r="AV484" s="37">
        <f t="shared" si="152"/>
        <v>49310.218789500002</v>
      </c>
      <c r="AW484" s="37">
        <f t="shared" si="159"/>
        <v>154548.21878950001</v>
      </c>
      <c r="BA484" s="20" t="str">
        <f t="shared" si="165"/>
        <v>1 - ENG_INS - Waddy, Ron T</v>
      </c>
    </row>
    <row r="485" spans="1:53" ht="12.75" customHeight="1" x14ac:dyDescent="0.25">
      <c r="A485" s="20">
        <v>469</v>
      </c>
      <c r="B485" s="78" t="s">
        <v>7338</v>
      </c>
      <c r="C485" s="20" t="s">
        <v>7561</v>
      </c>
      <c r="D485" s="20" t="s">
        <v>7562</v>
      </c>
      <c r="E485" s="82">
        <v>100</v>
      </c>
      <c r="F485" s="34">
        <v>44378</v>
      </c>
      <c r="G485" s="20" t="s">
        <v>6741</v>
      </c>
      <c r="H485" s="20">
        <v>13</v>
      </c>
      <c r="K485" s="23">
        <v>106918</v>
      </c>
      <c r="L485" s="23">
        <f t="shared" si="160"/>
        <v>106918</v>
      </c>
      <c r="N485" s="82"/>
      <c r="V485" s="23">
        <f t="shared" si="149"/>
        <v>106918</v>
      </c>
      <c r="W485" s="25">
        <v>1</v>
      </c>
      <c r="X485" s="23">
        <f t="shared" si="161"/>
        <v>106918</v>
      </c>
      <c r="Y485" s="20" t="s">
        <v>2400</v>
      </c>
      <c r="Z485" s="55" t="s">
        <v>6758</v>
      </c>
      <c r="AA485" s="35" t="s">
        <v>6742</v>
      </c>
      <c r="AB485" s="55" t="s">
        <v>6974</v>
      </c>
      <c r="AC485" s="55" t="s">
        <v>7563</v>
      </c>
      <c r="AD485" s="35" t="s">
        <v>7342</v>
      </c>
      <c r="AE485" s="37" t="str">
        <f t="shared" si="153"/>
        <v>51</v>
      </c>
      <c r="AF485" s="37">
        <f t="shared" si="166"/>
        <v>18090.525599999997</v>
      </c>
      <c r="AI485" s="37">
        <f t="shared" si="162"/>
        <v>1550.3110000000001</v>
      </c>
      <c r="AJ485" s="37">
        <f t="shared" si="163"/>
        <v>1315.0914</v>
      </c>
      <c r="AK485" s="37">
        <f t="shared" si="164"/>
        <v>2021.6055440000002</v>
      </c>
      <c r="AL485" s="23">
        <v>140.04</v>
      </c>
      <c r="AM485" s="23">
        <f t="shared" si="154"/>
        <v>140.04</v>
      </c>
      <c r="AN485" s="22">
        <v>79.2</v>
      </c>
      <c r="AO485" s="22">
        <f t="shared" si="150"/>
        <v>79.2</v>
      </c>
      <c r="AP485" s="23">
        <v>0</v>
      </c>
      <c r="AQ485" s="23">
        <f t="shared" si="151"/>
        <v>0</v>
      </c>
      <c r="AR485" s="23">
        <f t="shared" si="155"/>
        <v>0</v>
      </c>
      <c r="AS485" s="23">
        <f t="shared" si="158"/>
        <v>219.24</v>
      </c>
      <c r="AT485" s="37">
        <v>2400</v>
      </c>
      <c r="AU485" s="20">
        <f t="shared" si="156"/>
        <v>2400</v>
      </c>
      <c r="AV485" s="37">
        <f t="shared" si="152"/>
        <v>25596.773544000003</v>
      </c>
      <c r="AW485" s="37">
        <f t="shared" si="159"/>
        <v>132514.773544</v>
      </c>
      <c r="BA485" s="20" t="str">
        <f t="shared" si="165"/>
        <v>1 - SUSDES_INS - Ward, Robert B</v>
      </c>
    </row>
    <row r="486" spans="1:53" s="56" customFormat="1" ht="12.75" customHeight="1" x14ac:dyDescent="0.25">
      <c r="B486" s="85" t="s">
        <v>7338</v>
      </c>
      <c r="C486" s="38" t="s">
        <v>7564</v>
      </c>
      <c r="D486" s="56" t="s">
        <v>7398</v>
      </c>
      <c r="E486" s="86">
        <v>100</v>
      </c>
      <c r="F486" s="58">
        <v>44378</v>
      </c>
      <c r="G486" s="56" t="s">
        <v>6729</v>
      </c>
      <c r="H486" s="56">
        <v>6</v>
      </c>
      <c r="I486" s="60"/>
      <c r="K486" s="61">
        <v>83528</v>
      </c>
      <c r="L486" s="61">
        <f t="shared" si="160"/>
        <v>83528</v>
      </c>
      <c r="M486" s="61"/>
      <c r="N486" s="86"/>
      <c r="O486" s="62"/>
      <c r="P486" s="61"/>
      <c r="Q486" s="63"/>
      <c r="R486" s="61"/>
      <c r="S486" s="63"/>
      <c r="T486" s="61"/>
      <c r="U486" s="61"/>
      <c r="V486" s="61">
        <f t="shared" si="149"/>
        <v>83528</v>
      </c>
      <c r="W486" s="62">
        <v>0</v>
      </c>
      <c r="X486" s="61">
        <f t="shared" si="161"/>
        <v>0</v>
      </c>
      <c r="Y486" s="56" t="s">
        <v>1433</v>
      </c>
      <c r="Z486" s="87" t="s">
        <v>6758</v>
      </c>
      <c r="AA486" s="59" t="s">
        <v>6941</v>
      </c>
      <c r="AB486" s="87" t="s">
        <v>6733</v>
      </c>
      <c r="AC486" s="87" t="s">
        <v>7368</v>
      </c>
      <c r="AD486" s="59" t="s">
        <v>7342</v>
      </c>
      <c r="AE486" s="37" t="str">
        <f t="shared" si="153"/>
        <v>51</v>
      </c>
      <c r="AF486" s="65">
        <f t="shared" si="166"/>
        <v>0</v>
      </c>
      <c r="AI486" s="65">
        <f t="shared" si="162"/>
        <v>0</v>
      </c>
      <c r="AJ486" s="65">
        <f t="shared" si="163"/>
        <v>0</v>
      </c>
      <c r="AK486" s="65">
        <f t="shared" si="164"/>
        <v>0</v>
      </c>
      <c r="AL486" s="61">
        <v>140.04</v>
      </c>
      <c r="AM486" s="23">
        <f t="shared" si="154"/>
        <v>0</v>
      </c>
      <c r="AN486" s="60">
        <v>79.2</v>
      </c>
      <c r="AO486" s="22">
        <f t="shared" si="150"/>
        <v>0</v>
      </c>
      <c r="AP486" s="61">
        <v>25452.6</v>
      </c>
      <c r="AQ486" s="23">
        <f t="shared" si="151"/>
        <v>26474.521889999996</v>
      </c>
      <c r="AR486" s="23">
        <f t="shared" si="155"/>
        <v>0</v>
      </c>
      <c r="AS486" s="61">
        <f t="shared" si="158"/>
        <v>0</v>
      </c>
      <c r="AT486" s="65">
        <v>2400</v>
      </c>
      <c r="AU486" s="20">
        <f t="shared" si="156"/>
        <v>0</v>
      </c>
      <c r="AV486" s="37">
        <f t="shared" si="152"/>
        <v>0</v>
      </c>
      <c r="AW486" s="225">
        <f t="shared" si="159"/>
        <v>0</v>
      </c>
      <c r="BA486" s="56" t="str">
        <f t="shared" si="165"/>
        <v>0 - COACH - VACANT (WATT)</v>
      </c>
    </row>
    <row r="487" spans="1:53" s="56" customFormat="1" ht="12.75" customHeight="1" x14ac:dyDescent="0.25">
      <c r="B487" s="85" t="s">
        <v>7338</v>
      </c>
      <c r="C487" s="38" t="s">
        <v>7564</v>
      </c>
      <c r="D487" s="56" t="s">
        <v>7398</v>
      </c>
      <c r="E487" s="86">
        <v>100</v>
      </c>
      <c r="F487" s="58">
        <v>44378</v>
      </c>
      <c r="G487" s="56" t="s">
        <v>6729</v>
      </c>
      <c r="H487" s="56">
        <v>6</v>
      </c>
      <c r="I487" s="60"/>
      <c r="K487" s="61">
        <v>83528</v>
      </c>
      <c r="L487" s="61">
        <f t="shared" si="160"/>
        <v>83528</v>
      </c>
      <c r="M487" s="61"/>
      <c r="N487" s="86"/>
      <c r="O487" s="62"/>
      <c r="P487" s="61"/>
      <c r="Q487" s="63"/>
      <c r="R487" s="61"/>
      <c r="S487" s="63"/>
      <c r="T487" s="61"/>
      <c r="U487" s="61"/>
      <c r="V487" s="61">
        <f t="shared" si="149"/>
        <v>83528</v>
      </c>
      <c r="W487" s="62">
        <v>0</v>
      </c>
      <c r="X487" s="61">
        <f t="shared" si="161"/>
        <v>0</v>
      </c>
      <c r="Y487" s="56" t="s">
        <v>1503</v>
      </c>
      <c r="Z487" s="87" t="s">
        <v>6758</v>
      </c>
      <c r="AA487" s="59" t="s">
        <v>6941</v>
      </c>
      <c r="AB487" s="87" t="s">
        <v>6733</v>
      </c>
      <c r="AC487" s="87" t="s">
        <v>7369</v>
      </c>
      <c r="AD487" s="59" t="s">
        <v>7342</v>
      </c>
      <c r="AE487" s="37" t="str">
        <f t="shared" si="153"/>
        <v>51</v>
      </c>
      <c r="AF487" s="65">
        <f t="shared" si="166"/>
        <v>0</v>
      </c>
      <c r="AI487" s="65">
        <f t="shared" si="162"/>
        <v>0</v>
      </c>
      <c r="AJ487" s="65">
        <f t="shared" si="163"/>
        <v>0</v>
      </c>
      <c r="AK487" s="65">
        <f t="shared" si="164"/>
        <v>0</v>
      </c>
      <c r="AL487" s="61">
        <v>140.04</v>
      </c>
      <c r="AM487" s="23">
        <f t="shared" si="154"/>
        <v>0</v>
      </c>
      <c r="AN487" s="60">
        <v>79.2</v>
      </c>
      <c r="AO487" s="22">
        <f t="shared" si="150"/>
        <v>0</v>
      </c>
      <c r="AP487" s="61">
        <v>25452.6</v>
      </c>
      <c r="AQ487" s="23">
        <f t="shared" si="151"/>
        <v>26474.521889999996</v>
      </c>
      <c r="AR487" s="23">
        <f t="shared" si="155"/>
        <v>0</v>
      </c>
      <c r="AS487" s="61">
        <f t="shared" si="158"/>
        <v>0</v>
      </c>
      <c r="AT487" s="65">
        <v>2400</v>
      </c>
      <c r="AU487" s="20">
        <f t="shared" si="156"/>
        <v>0</v>
      </c>
      <c r="AV487" s="37">
        <f t="shared" si="152"/>
        <v>0</v>
      </c>
      <c r="AW487" s="225">
        <f t="shared" si="159"/>
        <v>0</v>
      </c>
      <c r="BA487" s="56" t="str">
        <f t="shared" si="165"/>
        <v>0 - COACH - VACANT (WATT)</v>
      </c>
    </row>
    <row r="488" spans="1:53" ht="12.75" customHeight="1" x14ac:dyDescent="0.25">
      <c r="A488" s="20">
        <v>470</v>
      </c>
      <c r="B488" s="78" t="s">
        <v>7338</v>
      </c>
      <c r="C488" s="20" t="s">
        <v>7565</v>
      </c>
      <c r="D488" s="20" t="s">
        <v>7454</v>
      </c>
      <c r="E488" s="82">
        <v>100</v>
      </c>
      <c r="F488" s="34">
        <v>44378</v>
      </c>
      <c r="G488" s="20" t="s">
        <v>6783</v>
      </c>
      <c r="H488" s="20">
        <v>15</v>
      </c>
      <c r="K488" s="23">
        <v>102672</v>
      </c>
      <c r="L488" s="23">
        <f t="shared" si="160"/>
        <v>102672</v>
      </c>
      <c r="N488" s="82"/>
      <c r="V488" s="23">
        <f t="shared" si="149"/>
        <v>102672</v>
      </c>
      <c r="W488" s="25">
        <v>1</v>
      </c>
      <c r="X488" s="23">
        <f t="shared" si="161"/>
        <v>102672</v>
      </c>
      <c r="Y488" s="20" t="s">
        <v>2753</v>
      </c>
      <c r="Z488" s="35" t="s">
        <v>6758</v>
      </c>
      <c r="AA488" s="35" t="s">
        <v>7362</v>
      </c>
      <c r="AB488" s="35" t="s">
        <v>6733</v>
      </c>
      <c r="AC488" s="35" t="s">
        <v>7455</v>
      </c>
      <c r="AD488" s="35" t="s">
        <v>7342</v>
      </c>
      <c r="AE488" s="37" t="str">
        <f t="shared" si="153"/>
        <v>51</v>
      </c>
      <c r="AF488" s="37">
        <f t="shared" si="166"/>
        <v>17372.1024</v>
      </c>
      <c r="AI488" s="37">
        <f t="shared" si="162"/>
        <v>1488.7440000000001</v>
      </c>
      <c r="AJ488" s="37">
        <f t="shared" si="163"/>
        <v>1262.8656000000001</v>
      </c>
      <c r="AK488" s="37">
        <f t="shared" si="164"/>
        <v>1941.3221760000001</v>
      </c>
      <c r="AL488" s="23">
        <v>140.04</v>
      </c>
      <c r="AM488" s="23">
        <f t="shared" si="154"/>
        <v>140.04</v>
      </c>
      <c r="AN488" s="22">
        <v>79.2</v>
      </c>
      <c r="AO488" s="22">
        <f t="shared" si="150"/>
        <v>79.2</v>
      </c>
      <c r="AP488" s="23">
        <v>23232</v>
      </c>
      <c r="AQ488" s="23">
        <f t="shared" si="151"/>
        <v>24164.764800000001</v>
      </c>
      <c r="AR488" s="23">
        <f t="shared" si="155"/>
        <v>24164.764800000001</v>
      </c>
      <c r="AS488" s="23">
        <f t="shared" si="158"/>
        <v>24384.004800000002</v>
      </c>
      <c r="AT488" s="37">
        <v>2400</v>
      </c>
      <c r="AU488" s="20">
        <f t="shared" si="156"/>
        <v>2400</v>
      </c>
      <c r="AV488" s="37">
        <f t="shared" si="152"/>
        <v>48849.038976000003</v>
      </c>
      <c r="AW488" s="37">
        <f t="shared" si="159"/>
        <v>151521.03897600001</v>
      </c>
      <c r="BA488" s="20" t="str">
        <f t="shared" si="165"/>
        <v>1 - ENG_INS - Watson, Maya</v>
      </c>
    </row>
    <row r="489" spans="1:53" ht="12.75" customHeight="1" x14ac:dyDescent="0.25">
      <c r="A489" s="20">
        <v>471</v>
      </c>
      <c r="B489" s="78" t="s">
        <v>7338</v>
      </c>
      <c r="C489" s="20" t="s">
        <v>7566</v>
      </c>
      <c r="D489" s="20" t="s">
        <v>7384</v>
      </c>
      <c r="E489" s="82">
        <v>100</v>
      </c>
      <c r="F489" s="34">
        <v>44378</v>
      </c>
      <c r="G489" s="20" t="s">
        <v>6729</v>
      </c>
      <c r="H489" s="20">
        <v>20</v>
      </c>
      <c r="K489" s="23">
        <v>112110</v>
      </c>
      <c r="L489" s="23">
        <f t="shared" si="160"/>
        <v>112110</v>
      </c>
      <c r="N489" s="82"/>
      <c r="V489" s="23">
        <f t="shared" si="149"/>
        <v>112110</v>
      </c>
      <c r="W489" s="25">
        <v>1</v>
      </c>
      <c r="X489" s="23">
        <f t="shared" si="161"/>
        <v>112110</v>
      </c>
      <c r="Y489" s="20" t="s">
        <v>1697</v>
      </c>
      <c r="Z489" s="35" t="s">
        <v>6758</v>
      </c>
      <c r="AA489" s="35" t="s">
        <v>6772</v>
      </c>
      <c r="AB489" s="35" t="s">
        <v>6733</v>
      </c>
      <c r="AC489" s="35" t="s">
        <v>7385</v>
      </c>
      <c r="AD489" s="35" t="s">
        <v>7342</v>
      </c>
      <c r="AE489" s="37" t="str">
        <f t="shared" si="153"/>
        <v>51</v>
      </c>
      <c r="AF489" s="37">
        <f t="shared" si="166"/>
        <v>18969.011999999999</v>
      </c>
      <c r="AI489" s="37">
        <f t="shared" si="162"/>
        <v>1625.595</v>
      </c>
      <c r="AJ489" s="37">
        <f t="shared" si="163"/>
        <v>1378.953</v>
      </c>
      <c r="AK489" s="37">
        <f t="shared" si="164"/>
        <v>2119.7758800000001</v>
      </c>
      <c r="AL489" s="23">
        <v>140.04</v>
      </c>
      <c r="AM489" s="23">
        <f t="shared" si="154"/>
        <v>140.04</v>
      </c>
      <c r="AN489" s="22">
        <v>79.2</v>
      </c>
      <c r="AO489" s="22">
        <f t="shared" si="150"/>
        <v>79.2</v>
      </c>
      <c r="AP489" s="23">
        <v>13152.04</v>
      </c>
      <c r="AQ489" s="23">
        <f t="shared" si="151"/>
        <v>13680.094406</v>
      </c>
      <c r="AR489" s="23">
        <f t="shared" si="155"/>
        <v>13680.094406</v>
      </c>
      <c r="AS489" s="23">
        <f t="shared" si="158"/>
        <v>13899.334406</v>
      </c>
      <c r="AU489" s="20">
        <f t="shared" si="156"/>
        <v>0</v>
      </c>
      <c r="AV489" s="37">
        <f t="shared" si="152"/>
        <v>37992.670286000008</v>
      </c>
      <c r="AW489" s="37">
        <f t="shared" si="159"/>
        <v>150102.67028600001</v>
      </c>
      <c r="BA489" s="20" t="str">
        <f t="shared" si="165"/>
        <v>1 - MATH_INS - Weber, Mark F</v>
      </c>
    </row>
    <row r="490" spans="1:53" ht="12.75" hidden="1" customHeight="1" x14ac:dyDescent="0.25">
      <c r="A490" s="20">
        <v>472</v>
      </c>
      <c r="B490" s="78" t="s">
        <v>7338</v>
      </c>
      <c r="C490" s="20" t="s">
        <v>7567</v>
      </c>
      <c r="D490" s="20" t="s">
        <v>7531</v>
      </c>
      <c r="E490" s="82">
        <v>100</v>
      </c>
      <c r="F490" s="34">
        <v>44378</v>
      </c>
      <c r="G490" s="20" t="s">
        <v>6729</v>
      </c>
      <c r="H490" s="20">
        <v>7</v>
      </c>
      <c r="K490" s="23">
        <v>86709</v>
      </c>
      <c r="L490" s="23">
        <f t="shared" si="160"/>
        <v>86709</v>
      </c>
      <c r="N490" s="82"/>
      <c r="V490" s="23">
        <f t="shared" si="149"/>
        <v>86709</v>
      </c>
      <c r="W490" s="25">
        <v>1</v>
      </c>
      <c r="X490" s="23">
        <f t="shared" si="161"/>
        <v>86709</v>
      </c>
      <c r="Y490" s="20" t="s">
        <v>5394</v>
      </c>
      <c r="Z490" s="35" t="s">
        <v>6731</v>
      </c>
      <c r="AA490" s="35" t="s">
        <v>6752</v>
      </c>
      <c r="AB490" s="35" t="s">
        <v>6733</v>
      </c>
      <c r="AC490" s="35" t="s">
        <v>6753</v>
      </c>
      <c r="AD490" s="35" t="s">
        <v>7348</v>
      </c>
      <c r="AE490" s="37" t="str">
        <f t="shared" si="153"/>
        <v>51</v>
      </c>
      <c r="AF490" s="37">
        <f t="shared" si="166"/>
        <v>14671.162799999998</v>
      </c>
      <c r="AI490" s="37">
        <f t="shared" si="162"/>
        <v>1257.2805000000001</v>
      </c>
      <c r="AJ490" s="37">
        <f t="shared" si="163"/>
        <v>1066.5207</v>
      </c>
      <c r="AK490" s="37">
        <f t="shared" si="164"/>
        <v>1639.493772</v>
      </c>
      <c r="AL490" s="23">
        <v>140.04</v>
      </c>
      <c r="AM490" s="23">
        <f t="shared" si="154"/>
        <v>140.04</v>
      </c>
      <c r="AN490" s="22">
        <v>79.2</v>
      </c>
      <c r="AO490" s="22">
        <f t="shared" si="150"/>
        <v>79.2</v>
      </c>
      <c r="AP490" s="23">
        <v>33443.96</v>
      </c>
      <c r="AQ490" s="23">
        <f t="shared" si="151"/>
        <v>34786.734993999999</v>
      </c>
      <c r="AR490" s="23">
        <f t="shared" si="155"/>
        <v>34786.734993999999</v>
      </c>
      <c r="AS490" s="23">
        <f t="shared" si="158"/>
        <v>35005.974993999997</v>
      </c>
      <c r="AU490" s="20">
        <f t="shared" si="156"/>
        <v>0</v>
      </c>
      <c r="AV490" s="37">
        <f t="shared" si="152"/>
        <v>53640.432765999998</v>
      </c>
      <c r="AW490" s="37">
        <f t="shared" si="159"/>
        <v>140349.43276599998</v>
      </c>
      <c r="AX490" s="20" t="s">
        <v>6754</v>
      </c>
      <c r="AY490" s="20" t="s">
        <v>6680</v>
      </c>
      <c r="AZ490" s="20" t="s">
        <v>6755</v>
      </c>
      <c r="BA490" s="20" t="str">
        <f t="shared" si="165"/>
        <v>1 - COU_SSSP - Wenger, Violeta M</v>
      </c>
    </row>
    <row r="491" spans="1:53" ht="12.75" customHeight="1" x14ac:dyDescent="0.25">
      <c r="A491" s="20">
        <v>473</v>
      </c>
      <c r="B491" s="78" t="s">
        <v>7338</v>
      </c>
      <c r="C491" s="20" t="s">
        <v>7568</v>
      </c>
      <c r="D491" s="20" t="s">
        <v>7416</v>
      </c>
      <c r="E491" s="82">
        <v>100</v>
      </c>
      <c r="F491" s="34">
        <v>44378</v>
      </c>
      <c r="G491" s="20" t="s">
        <v>6729</v>
      </c>
      <c r="H491" s="20">
        <v>14</v>
      </c>
      <c r="K491" s="23">
        <v>103084</v>
      </c>
      <c r="L491" s="23">
        <f t="shared" si="160"/>
        <v>103084</v>
      </c>
      <c r="N491" s="82"/>
      <c r="V491" s="23">
        <f t="shared" si="149"/>
        <v>103084</v>
      </c>
      <c r="W491" s="25">
        <v>1</v>
      </c>
      <c r="X491" s="23">
        <f t="shared" si="161"/>
        <v>103084</v>
      </c>
      <c r="Y491" s="20" t="s">
        <v>1619</v>
      </c>
      <c r="Z491" s="35" t="s">
        <v>6758</v>
      </c>
      <c r="AA491" s="35" t="s">
        <v>6772</v>
      </c>
      <c r="AB491" s="35" t="s">
        <v>6733</v>
      </c>
      <c r="AC491" s="35" t="s">
        <v>6773</v>
      </c>
      <c r="AD491" s="35" t="s">
        <v>7342</v>
      </c>
      <c r="AE491" s="37" t="str">
        <f t="shared" si="153"/>
        <v>51</v>
      </c>
      <c r="AF491" s="37">
        <f t="shared" si="166"/>
        <v>17441.8128</v>
      </c>
      <c r="AI491" s="37">
        <f t="shared" si="162"/>
        <v>1494.7180000000001</v>
      </c>
      <c r="AJ491" s="37">
        <f t="shared" si="163"/>
        <v>1267.9331999999999</v>
      </c>
      <c r="AK491" s="37">
        <f t="shared" si="164"/>
        <v>1949.1122720000001</v>
      </c>
      <c r="AL491" s="23">
        <v>140.04</v>
      </c>
      <c r="AM491" s="23">
        <f t="shared" si="154"/>
        <v>140.04</v>
      </c>
      <c r="AN491" s="22">
        <v>79.2</v>
      </c>
      <c r="AO491" s="22">
        <f t="shared" si="150"/>
        <v>79.2</v>
      </c>
      <c r="AP491" s="23">
        <v>23232</v>
      </c>
      <c r="AQ491" s="23">
        <f t="shared" si="151"/>
        <v>24164.764800000001</v>
      </c>
      <c r="AR491" s="23">
        <f t="shared" si="155"/>
        <v>24164.764800000001</v>
      </c>
      <c r="AS491" s="23">
        <f t="shared" si="158"/>
        <v>24384.004800000002</v>
      </c>
      <c r="AT491" s="37">
        <v>2400</v>
      </c>
      <c r="AU491" s="20">
        <f t="shared" si="156"/>
        <v>2400</v>
      </c>
      <c r="AV491" s="37">
        <f t="shared" si="152"/>
        <v>48937.581072000001</v>
      </c>
      <c r="AW491" s="37">
        <f t="shared" si="159"/>
        <v>152021.581072</v>
      </c>
      <c r="BA491" s="20" t="str">
        <f t="shared" si="165"/>
        <v>1 - BIO_INS - Wheat, Nancy C</v>
      </c>
    </row>
    <row r="492" spans="1:53" ht="12.75" customHeight="1" x14ac:dyDescent="0.25">
      <c r="A492" s="20">
        <v>474</v>
      </c>
      <c r="B492" s="78" t="s">
        <v>7338</v>
      </c>
      <c r="C492" s="20" t="s">
        <v>7569</v>
      </c>
      <c r="D492" s="20" t="s">
        <v>7381</v>
      </c>
      <c r="E492" s="82">
        <v>100</v>
      </c>
      <c r="F492" s="34">
        <v>44378</v>
      </c>
      <c r="G492" s="20" t="s">
        <v>6741</v>
      </c>
      <c r="H492" s="20">
        <v>20</v>
      </c>
      <c r="K492" s="23">
        <v>135900</v>
      </c>
      <c r="L492" s="23">
        <f t="shared" si="160"/>
        <v>135900</v>
      </c>
      <c r="N492" s="82"/>
      <c r="V492" s="23">
        <f t="shared" si="149"/>
        <v>135900</v>
      </c>
      <c r="W492" s="25">
        <v>1</v>
      </c>
      <c r="X492" s="23">
        <f t="shared" si="161"/>
        <v>135900</v>
      </c>
      <c r="Y492" s="20" t="s">
        <v>1916</v>
      </c>
      <c r="Z492" s="35" t="s">
        <v>6758</v>
      </c>
      <c r="AA492" s="35" t="s">
        <v>6901</v>
      </c>
      <c r="AB492" s="35" t="s">
        <v>6733</v>
      </c>
      <c r="AC492" s="35" t="s">
        <v>7396</v>
      </c>
      <c r="AD492" s="35" t="s">
        <v>7342</v>
      </c>
      <c r="AE492" s="37" t="str">
        <f t="shared" si="153"/>
        <v>51</v>
      </c>
      <c r="AF492" s="37">
        <f t="shared" si="166"/>
        <v>22994.28</v>
      </c>
      <c r="AI492" s="37">
        <f t="shared" si="162"/>
        <v>1970.5500000000002</v>
      </c>
      <c r="AJ492" s="37">
        <f t="shared" si="163"/>
        <v>1671.57</v>
      </c>
      <c r="AK492" s="37">
        <f t="shared" si="164"/>
        <v>2569.5972000000002</v>
      </c>
      <c r="AL492" s="23">
        <v>140.04</v>
      </c>
      <c r="AM492" s="23">
        <f t="shared" si="154"/>
        <v>140.04</v>
      </c>
      <c r="AN492" s="22">
        <v>79.2</v>
      </c>
      <c r="AO492" s="22">
        <f t="shared" si="150"/>
        <v>79.2</v>
      </c>
      <c r="AP492" s="23">
        <v>25452.57</v>
      </c>
      <c r="AQ492" s="23">
        <f t="shared" si="151"/>
        <v>26474.490685500001</v>
      </c>
      <c r="AR492" s="23">
        <f t="shared" si="155"/>
        <v>26474.490685500001</v>
      </c>
      <c r="AS492" s="23">
        <f t="shared" si="158"/>
        <v>26693.730685500002</v>
      </c>
      <c r="AU492" s="20">
        <f t="shared" si="156"/>
        <v>0</v>
      </c>
      <c r="AV492" s="37">
        <f t="shared" si="152"/>
        <v>55899.727885500004</v>
      </c>
      <c r="AW492" s="37">
        <f t="shared" si="159"/>
        <v>191799.7278855</v>
      </c>
      <c r="BA492" s="20" t="str">
        <f t="shared" si="165"/>
        <v>1 - NRS_INS - Whitmore, Janeen M</v>
      </c>
    </row>
    <row r="493" spans="1:53" ht="12.75" customHeight="1" x14ac:dyDescent="0.25">
      <c r="A493" s="20">
        <v>475</v>
      </c>
      <c r="B493" s="78" t="s">
        <v>7338</v>
      </c>
      <c r="C493" s="20" t="s">
        <v>7570</v>
      </c>
      <c r="D493" s="20" t="s">
        <v>7387</v>
      </c>
      <c r="E493" s="82">
        <v>100</v>
      </c>
      <c r="F493" s="34">
        <v>44378</v>
      </c>
      <c r="G493" s="20" t="s">
        <v>6730</v>
      </c>
      <c r="H493" s="20">
        <v>8</v>
      </c>
      <c r="K493" s="23">
        <v>88452</v>
      </c>
      <c r="L493" s="23">
        <f t="shared" si="160"/>
        <v>88452</v>
      </c>
      <c r="N493" s="82"/>
      <c r="V493" s="23">
        <f t="shared" si="149"/>
        <v>88452</v>
      </c>
      <c r="W493" s="25">
        <v>1</v>
      </c>
      <c r="X493" s="23">
        <f t="shared" si="161"/>
        <v>88452</v>
      </c>
      <c r="Y493" s="20" t="s">
        <v>2113</v>
      </c>
      <c r="Z493" s="35" t="s">
        <v>6758</v>
      </c>
      <c r="AA493" s="35" t="s">
        <v>6742</v>
      </c>
      <c r="AB493" s="35" t="s">
        <v>6733</v>
      </c>
      <c r="AC493" s="35" t="s">
        <v>7388</v>
      </c>
      <c r="AD493" s="35" t="s">
        <v>7342</v>
      </c>
      <c r="AE493" s="37" t="str">
        <f t="shared" si="153"/>
        <v>51</v>
      </c>
      <c r="AF493" s="37">
        <f t="shared" si="166"/>
        <v>14966.078399999999</v>
      </c>
      <c r="AI493" s="37">
        <f t="shared" si="162"/>
        <v>1282.5540000000001</v>
      </c>
      <c r="AJ493" s="37">
        <f t="shared" si="163"/>
        <v>1087.9595999999999</v>
      </c>
      <c r="AK493" s="37">
        <f t="shared" si="164"/>
        <v>1672.4504160000001</v>
      </c>
      <c r="AL493" s="23">
        <v>140.04</v>
      </c>
      <c r="AM493" s="23">
        <f t="shared" si="154"/>
        <v>140.04</v>
      </c>
      <c r="AN493" s="22">
        <v>79.2</v>
      </c>
      <c r="AO493" s="22">
        <f t="shared" si="150"/>
        <v>79.2</v>
      </c>
      <c r="AP493" s="23">
        <v>16199.92</v>
      </c>
      <c r="AQ493" s="23">
        <f t="shared" si="151"/>
        <v>16850.346787999999</v>
      </c>
      <c r="AR493" s="23">
        <f t="shared" si="155"/>
        <v>16850.346787999999</v>
      </c>
      <c r="AS493" s="23">
        <f t="shared" si="158"/>
        <v>17069.586788000001</v>
      </c>
      <c r="AT493" s="37">
        <v>2400</v>
      </c>
      <c r="AU493" s="20">
        <f t="shared" si="156"/>
        <v>2400</v>
      </c>
      <c r="AV493" s="37">
        <f t="shared" si="152"/>
        <v>38478.629203999997</v>
      </c>
      <c r="AW493" s="37">
        <f t="shared" si="159"/>
        <v>126930.629204</v>
      </c>
      <c r="BA493" s="20" t="str">
        <f t="shared" si="165"/>
        <v>1 - BUS_INS - Williams, Travis J</v>
      </c>
    </row>
    <row r="494" spans="1:53" ht="12.75" customHeight="1" x14ac:dyDescent="0.25">
      <c r="A494" s="20">
        <v>476</v>
      </c>
      <c r="B494" s="78" t="s">
        <v>7338</v>
      </c>
      <c r="C494" s="20" t="s">
        <v>7571</v>
      </c>
      <c r="D494" s="20" t="s">
        <v>7454</v>
      </c>
      <c r="E494" s="82">
        <v>100</v>
      </c>
      <c r="F494" s="34">
        <v>44378</v>
      </c>
      <c r="G494" s="20" t="s">
        <v>6783</v>
      </c>
      <c r="H494" s="20">
        <v>10</v>
      </c>
      <c r="K494" s="23">
        <v>87626</v>
      </c>
      <c r="L494" s="23">
        <f t="shared" si="160"/>
        <v>87626</v>
      </c>
      <c r="N494" s="82"/>
      <c r="V494" s="23">
        <f t="shared" si="149"/>
        <v>87626</v>
      </c>
      <c r="W494" s="25">
        <v>1</v>
      </c>
      <c r="X494" s="23">
        <f t="shared" si="161"/>
        <v>87626</v>
      </c>
      <c r="Y494" s="20" t="s">
        <v>2753</v>
      </c>
      <c r="Z494" s="35" t="s">
        <v>6758</v>
      </c>
      <c r="AA494" s="35" t="s">
        <v>7362</v>
      </c>
      <c r="AB494" s="35" t="s">
        <v>6733</v>
      </c>
      <c r="AC494" s="35" t="s">
        <v>7455</v>
      </c>
      <c r="AD494" s="35" t="s">
        <v>7342</v>
      </c>
      <c r="AE494" s="37" t="str">
        <f t="shared" si="153"/>
        <v>51</v>
      </c>
      <c r="AF494" s="37">
        <f t="shared" si="166"/>
        <v>14826.3192</v>
      </c>
      <c r="AI494" s="37">
        <f t="shared" si="162"/>
        <v>1270.577</v>
      </c>
      <c r="AJ494" s="37">
        <f t="shared" si="163"/>
        <v>1077.7998</v>
      </c>
      <c r="AK494" s="37">
        <f t="shared" si="164"/>
        <v>1656.8324080000002</v>
      </c>
      <c r="AL494" s="23">
        <v>140.04</v>
      </c>
      <c r="AM494" s="23">
        <f t="shared" si="154"/>
        <v>140.04</v>
      </c>
      <c r="AN494" s="22">
        <v>79.2</v>
      </c>
      <c r="AO494" s="22">
        <f t="shared" si="150"/>
        <v>79.2</v>
      </c>
      <c r="AP494" s="23">
        <v>13152.04</v>
      </c>
      <c r="AQ494" s="23">
        <f t="shared" si="151"/>
        <v>13680.094406</v>
      </c>
      <c r="AR494" s="23">
        <f t="shared" si="155"/>
        <v>13680.094406</v>
      </c>
      <c r="AS494" s="23">
        <f t="shared" si="158"/>
        <v>13899.334406</v>
      </c>
      <c r="AU494" s="20">
        <f t="shared" si="156"/>
        <v>0</v>
      </c>
      <c r="AV494" s="37">
        <f t="shared" si="152"/>
        <v>32730.862814</v>
      </c>
      <c r="AW494" s="37">
        <f t="shared" si="159"/>
        <v>120356.86281399999</v>
      </c>
      <c r="BA494" s="20" t="str">
        <f t="shared" si="165"/>
        <v>1 - ENG_INS - Wilson, Molly R</v>
      </c>
    </row>
    <row r="495" spans="1:53" ht="12.75" customHeight="1" x14ac:dyDescent="0.25">
      <c r="A495" s="20">
        <v>477</v>
      </c>
      <c r="B495" s="78" t="s">
        <v>7338</v>
      </c>
      <c r="C495" s="20" t="s">
        <v>7572</v>
      </c>
      <c r="D495" s="20" t="s">
        <v>7416</v>
      </c>
      <c r="E495" s="82">
        <v>100</v>
      </c>
      <c r="F495" s="34">
        <v>44378</v>
      </c>
      <c r="G495" s="20" t="s">
        <v>6741</v>
      </c>
      <c r="H495" s="20">
        <v>20</v>
      </c>
      <c r="K495" s="23">
        <v>121962</v>
      </c>
      <c r="L495" s="23">
        <f t="shared" si="160"/>
        <v>121962</v>
      </c>
      <c r="N495" s="82"/>
      <c r="V495" s="23">
        <f t="shared" si="149"/>
        <v>121962</v>
      </c>
      <c r="W495" s="25">
        <v>0.5</v>
      </c>
      <c r="X495" s="23">
        <f t="shared" si="161"/>
        <v>60981</v>
      </c>
      <c r="Y495" s="20" t="s">
        <v>1619</v>
      </c>
      <c r="Z495" s="35" t="s">
        <v>6758</v>
      </c>
      <c r="AA495" s="35" t="s">
        <v>6772</v>
      </c>
      <c r="AB495" s="35" t="s">
        <v>6733</v>
      </c>
      <c r="AC495" s="35" t="s">
        <v>6773</v>
      </c>
      <c r="AD495" s="35" t="s">
        <v>7342</v>
      </c>
      <c r="AE495" s="37" t="str">
        <f t="shared" si="153"/>
        <v>51</v>
      </c>
      <c r="AF495" s="37">
        <f t="shared" si="166"/>
        <v>10317.985199999999</v>
      </c>
      <c r="AI495" s="37">
        <f t="shared" si="162"/>
        <v>884.22450000000003</v>
      </c>
      <c r="AJ495" s="37">
        <f t="shared" si="163"/>
        <v>750.06629999999996</v>
      </c>
      <c r="AK495" s="37">
        <f t="shared" si="164"/>
        <v>1153.0287480000002</v>
      </c>
      <c r="AL495" s="23">
        <v>140.04</v>
      </c>
      <c r="AM495" s="23">
        <f t="shared" si="154"/>
        <v>70.02</v>
      </c>
      <c r="AN495" s="22">
        <v>79.2</v>
      </c>
      <c r="AO495" s="22">
        <f t="shared" si="150"/>
        <v>39.6</v>
      </c>
      <c r="AP495" s="23">
        <v>25452.57</v>
      </c>
      <c r="AQ495" s="23">
        <f t="shared" si="151"/>
        <v>26474.490685500001</v>
      </c>
      <c r="AR495" s="23">
        <f t="shared" si="155"/>
        <v>13237.24534275</v>
      </c>
      <c r="AS495" s="23">
        <f t="shared" si="158"/>
        <v>13346.865342750001</v>
      </c>
      <c r="AU495" s="20">
        <f t="shared" si="156"/>
        <v>0</v>
      </c>
      <c r="AV495" s="37">
        <f t="shared" si="152"/>
        <v>26452.170090750002</v>
      </c>
      <c r="AW495" s="37">
        <f t="shared" si="159"/>
        <v>87433.170090750005</v>
      </c>
      <c r="BA495" s="20" t="str">
        <f t="shared" si="165"/>
        <v>0.5 - BIO_INS - Wright, Ann E</v>
      </c>
    </row>
    <row r="496" spans="1:53" ht="12.75" customHeight="1" x14ac:dyDescent="0.25">
      <c r="A496" s="20">
        <v>478</v>
      </c>
      <c r="B496" s="78" t="s">
        <v>7338</v>
      </c>
      <c r="C496" s="52" t="s">
        <v>7573</v>
      </c>
      <c r="D496" s="20" t="s">
        <v>7384</v>
      </c>
      <c r="E496" s="82">
        <v>100</v>
      </c>
      <c r="F496" s="34">
        <v>44378</v>
      </c>
      <c r="G496" s="51" t="s">
        <v>6729</v>
      </c>
      <c r="H496" s="20">
        <v>6</v>
      </c>
      <c r="K496" s="23">
        <v>79012</v>
      </c>
      <c r="L496" s="23">
        <f t="shared" si="160"/>
        <v>79012</v>
      </c>
      <c r="N496" s="82"/>
      <c r="V496" s="23">
        <f t="shared" si="149"/>
        <v>79012</v>
      </c>
      <c r="W496" s="25">
        <v>1</v>
      </c>
      <c r="X496" s="23">
        <f t="shared" si="161"/>
        <v>79012</v>
      </c>
      <c r="Y496" s="20" t="s">
        <v>1697</v>
      </c>
      <c r="Z496" s="35" t="s">
        <v>6758</v>
      </c>
      <c r="AA496" s="35" t="s">
        <v>6772</v>
      </c>
      <c r="AB496" s="35" t="s">
        <v>6733</v>
      </c>
      <c r="AC496" s="35" t="s">
        <v>7385</v>
      </c>
      <c r="AD496" s="35" t="s">
        <v>7342</v>
      </c>
      <c r="AE496" s="37" t="str">
        <f t="shared" si="153"/>
        <v>51</v>
      </c>
      <c r="AF496" s="37">
        <f t="shared" si="166"/>
        <v>13368.830399999999</v>
      </c>
      <c r="AI496" s="37">
        <f t="shared" si="162"/>
        <v>1145.674</v>
      </c>
      <c r="AJ496" s="37">
        <f t="shared" si="163"/>
        <v>971.84760000000006</v>
      </c>
      <c r="AK496" s="37">
        <f t="shared" si="164"/>
        <v>1493.9588960000001</v>
      </c>
      <c r="AL496" s="23">
        <v>140.04</v>
      </c>
      <c r="AM496" s="23">
        <f t="shared" si="154"/>
        <v>140.04</v>
      </c>
      <c r="AN496" s="22">
        <v>79.2</v>
      </c>
      <c r="AO496" s="22">
        <f t="shared" si="150"/>
        <v>79.2</v>
      </c>
      <c r="AP496" s="23">
        <v>25452.6</v>
      </c>
      <c r="AQ496" s="23">
        <f t="shared" si="151"/>
        <v>26474.521889999996</v>
      </c>
      <c r="AR496" s="23">
        <f t="shared" si="155"/>
        <v>26474.521889999996</v>
      </c>
      <c r="AS496" s="23">
        <f t="shared" si="158"/>
        <v>26693.761889999998</v>
      </c>
      <c r="AT496" s="37"/>
      <c r="AU496" s="20">
        <f t="shared" si="156"/>
        <v>0</v>
      </c>
      <c r="AV496" s="37">
        <f t="shared" si="152"/>
        <v>43674.072785999997</v>
      </c>
      <c r="AW496" s="225">
        <f t="shared" si="159"/>
        <v>122686.072786</v>
      </c>
      <c r="BA496" s="20" t="str">
        <f t="shared" si="165"/>
        <v>1 - MATH_INS - VACANT (Yahdi)</v>
      </c>
    </row>
    <row r="497" spans="1:53" ht="12.75" customHeight="1" x14ac:dyDescent="0.25">
      <c r="A497" s="20">
        <v>479</v>
      </c>
      <c r="B497" s="78" t="s">
        <v>7338</v>
      </c>
      <c r="C497" s="20" t="s">
        <v>7574</v>
      </c>
      <c r="D497" s="20" t="s">
        <v>7475</v>
      </c>
      <c r="E497" s="82">
        <v>100</v>
      </c>
      <c r="F497" s="34">
        <v>44378</v>
      </c>
      <c r="G497" s="20" t="s">
        <v>6730</v>
      </c>
      <c r="H497" s="20">
        <v>20</v>
      </c>
      <c r="K497" s="23">
        <v>118541</v>
      </c>
      <c r="L497" s="23">
        <f t="shared" si="160"/>
        <v>118541</v>
      </c>
      <c r="N497" s="82"/>
      <c r="V497" s="23">
        <f t="shared" si="149"/>
        <v>118541</v>
      </c>
      <c r="W497" s="25">
        <v>1</v>
      </c>
      <c r="X497" s="23">
        <f t="shared" si="161"/>
        <v>118541</v>
      </c>
      <c r="Y497" s="20" t="s">
        <v>1759</v>
      </c>
      <c r="Z497" s="35" t="s">
        <v>6758</v>
      </c>
      <c r="AA497" s="35" t="s">
        <v>6772</v>
      </c>
      <c r="AB497" s="35" t="s">
        <v>6733</v>
      </c>
      <c r="AC497" s="35" t="s">
        <v>6815</v>
      </c>
      <c r="AD497" s="35" t="s">
        <v>7342</v>
      </c>
      <c r="AE497" s="37" t="str">
        <f t="shared" si="153"/>
        <v>51</v>
      </c>
      <c r="AF497" s="37">
        <f t="shared" si="166"/>
        <v>20057.137199999997</v>
      </c>
      <c r="AI497" s="37">
        <f t="shared" si="162"/>
        <v>1718.8445000000002</v>
      </c>
      <c r="AJ497" s="37">
        <f t="shared" si="163"/>
        <v>1458.0543</v>
      </c>
      <c r="AK497" s="37">
        <f t="shared" si="164"/>
        <v>2241.3732279999999</v>
      </c>
      <c r="AL497" s="23">
        <v>140.04</v>
      </c>
      <c r="AM497" s="23">
        <f t="shared" si="154"/>
        <v>140.04</v>
      </c>
      <c r="AN497" s="22">
        <v>79.2</v>
      </c>
      <c r="AO497" s="22">
        <f t="shared" si="150"/>
        <v>79.2</v>
      </c>
      <c r="AP497" s="23">
        <v>13152.04</v>
      </c>
      <c r="AQ497" s="23">
        <f t="shared" si="151"/>
        <v>13680.094406</v>
      </c>
      <c r="AR497" s="23">
        <f t="shared" si="155"/>
        <v>13680.094406</v>
      </c>
      <c r="AS497" s="23">
        <f t="shared" si="158"/>
        <v>13899.334406</v>
      </c>
      <c r="AU497" s="20">
        <f t="shared" si="156"/>
        <v>0</v>
      </c>
      <c r="AV497" s="37">
        <f t="shared" si="152"/>
        <v>39374.743633999999</v>
      </c>
      <c r="AW497" s="37">
        <f t="shared" si="159"/>
        <v>157915.74363400001</v>
      </c>
      <c r="BA497" s="20" t="str">
        <f t="shared" si="165"/>
        <v>1 - CHEM_INS - Yee, Lawrence J</v>
      </c>
    </row>
    <row r="498" spans="1:53" ht="12.75" customHeight="1" x14ac:dyDescent="0.25">
      <c r="A498" s="20">
        <v>480</v>
      </c>
      <c r="B498" s="78" t="s">
        <v>7338</v>
      </c>
      <c r="C498" s="20" t="s">
        <v>7575</v>
      </c>
      <c r="D498" s="20" t="s">
        <v>7576</v>
      </c>
      <c r="E498" s="82">
        <v>100</v>
      </c>
      <c r="F498" s="34">
        <v>44378</v>
      </c>
      <c r="G498" s="20" t="s">
        <v>6741</v>
      </c>
      <c r="H498" s="20">
        <v>19</v>
      </c>
      <c r="K498" s="23">
        <v>121962</v>
      </c>
      <c r="L498" s="23">
        <f t="shared" si="160"/>
        <v>121962</v>
      </c>
      <c r="N498" s="82"/>
      <c r="V498" s="23">
        <f t="shared" si="149"/>
        <v>121962</v>
      </c>
      <c r="W498" s="25">
        <v>1</v>
      </c>
      <c r="X498" s="23">
        <f t="shared" si="161"/>
        <v>121962</v>
      </c>
      <c r="Y498" s="20" t="s">
        <v>2753</v>
      </c>
      <c r="Z498" s="35" t="s">
        <v>6758</v>
      </c>
      <c r="AA498" s="35" t="s">
        <v>7362</v>
      </c>
      <c r="AB498" s="35" t="s">
        <v>6733</v>
      </c>
      <c r="AC498" s="35" t="s">
        <v>7455</v>
      </c>
      <c r="AD498" s="35" t="s">
        <v>7342</v>
      </c>
      <c r="AE498" s="37" t="str">
        <f t="shared" si="153"/>
        <v>51</v>
      </c>
      <c r="AF498" s="37">
        <f t="shared" si="166"/>
        <v>20635.970399999998</v>
      </c>
      <c r="AI498" s="37">
        <f t="shared" si="162"/>
        <v>1768.4490000000001</v>
      </c>
      <c r="AJ498" s="37">
        <f t="shared" si="163"/>
        <v>1500.1325999999999</v>
      </c>
      <c r="AK498" s="37">
        <f t="shared" si="164"/>
        <v>2306.0574960000004</v>
      </c>
      <c r="AL498" s="23">
        <v>140.04</v>
      </c>
      <c r="AM498" s="23">
        <f t="shared" si="154"/>
        <v>140.04</v>
      </c>
      <c r="AN498" s="22">
        <v>79.2</v>
      </c>
      <c r="AO498" s="22">
        <f t="shared" si="150"/>
        <v>79.2</v>
      </c>
      <c r="AP498" s="23">
        <v>33443.96</v>
      </c>
      <c r="AQ498" s="23">
        <f t="shared" si="151"/>
        <v>34786.734993999999</v>
      </c>
      <c r="AR498" s="23">
        <f t="shared" si="155"/>
        <v>34786.734993999999</v>
      </c>
      <c r="AS498" s="23">
        <f t="shared" si="158"/>
        <v>35005.974993999997</v>
      </c>
      <c r="AU498" s="20">
        <f t="shared" si="156"/>
        <v>0</v>
      </c>
      <c r="AV498" s="37">
        <f t="shared" si="152"/>
        <v>61216.584490000001</v>
      </c>
      <c r="AW498" s="37">
        <f t="shared" si="159"/>
        <v>183178.58449000001</v>
      </c>
      <c r="AX498" s="20" t="s">
        <v>6675</v>
      </c>
      <c r="BA498" s="20" t="str">
        <f t="shared" si="165"/>
        <v>1 - GD_PTH_COR - Yelland, Hetty L</v>
      </c>
    </row>
    <row r="499" spans="1:53" ht="12.75" customHeight="1" x14ac:dyDescent="0.25">
      <c r="A499" s="20">
        <v>481</v>
      </c>
      <c r="B499" s="78" t="s">
        <v>7338</v>
      </c>
      <c r="C499" s="20" t="s">
        <v>7577</v>
      </c>
      <c r="D499" s="20" t="s">
        <v>7350</v>
      </c>
      <c r="E499" s="82">
        <v>100</v>
      </c>
      <c r="F499" s="34">
        <v>44378</v>
      </c>
      <c r="G499" s="20" t="s">
        <v>6783</v>
      </c>
      <c r="H499" s="20">
        <v>20</v>
      </c>
      <c r="K499" s="23">
        <v>105238</v>
      </c>
      <c r="L499" s="23">
        <f t="shared" si="160"/>
        <v>105238</v>
      </c>
      <c r="N499" s="82"/>
      <c r="V499" s="23">
        <f t="shared" si="149"/>
        <v>105238</v>
      </c>
      <c r="W499" s="25">
        <v>1</v>
      </c>
      <c r="X499" s="23">
        <f t="shared" si="161"/>
        <v>105238</v>
      </c>
      <c r="Y499" s="20" t="s">
        <v>2134</v>
      </c>
      <c r="Z499" s="35" t="s">
        <v>6758</v>
      </c>
      <c r="AA499" s="35" t="s">
        <v>6742</v>
      </c>
      <c r="AB499" s="35" t="s">
        <v>6733</v>
      </c>
      <c r="AC499" s="35" t="s">
        <v>6898</v>
      </c>
      <c r="AD499" s="35" t="s">
        <v>7342</v>
      </c>
      <c r="AE499" s="37" t="str">
        <f t="shared" si="153"/>
        <v>51</v>
      </c>
      <c r="AF499" s="37">
        <f t="shared" si="166"/>
        <v>17806.2696</v>
      </c>
      <c r="AI499" s="37">
        <f t="shared" si="162"/>
        <v>1525.951</v>
      </c>
      <c r="AJ499" s="37">
        <f t="shared" si="163"/>
        <v>1294.4274</v>
      </c>
      <c r="AK499" s="37">
        <f t="shared" si="164"/>
        <v>1989.8401040000001</v>
      </c>
      <c r="AL499" s="23">
        <v>140.04</v>
      </c>
      <c r="AM499" s="23">
        <f t="shared" si="154"/>
        <v>140.04</v>
      </c>
      <c r="AN499" s="22">
        <v>79.2</v>
      </c>
      <c r="AO499" s="22">
        <f t="shared" si="150"/>
        <v>79.2</v>
      </c>
      <c r="AP499" s="23">
        <v>13152.04</v>
      </c>
      <c r="AQ499" s="23">
        <f t="shared" si="151"/>
        <v>13680.094406</v>
      </c>
      <c r="AR499" s="23">
        <f t="shared" si="155"/>
        <v>13680.094406</v>
      </c>
      <c r="AS499" s="23">
        <f t="shared" si="158"/>
        <v>13899.334406</v>
      </c>
      <c r="AU499" s="20">
        <f t="shared" si="156"/>
        <v>0</v>
      </c>
      <c r="AV499" s="37">
        <f t="shared" si="152"/>
        <v>36515.822509999998</v>
      </c>
      <c r="AW499" s="37">
        <f t="shared" si="159"/>
        <v>141753.82251</v>
      </c>
      <c r="BA499" s="20" t="str">
        <f t="shared" si="165"/>
        <v>1 - ECE_INS - Zarate-McCoy, Andrea J</v>
      </c>
    </row>
    <row r="500" spans="1:53" ht="12.75" customHeight="1" x14ac:dyDescent="0.25">
      <c r="A500" s="20">
        <v>482</v>
      </c>
      <c r="B500" s="78" t="s">
        <v>7338</v>
      </c>
      <c r="C500" s="20" t="s">
        <v>7578</v>
      </c>
      <c r="D500" s="20" t="s">
        <v>7579</v>
      </c>
      <c r="E500" s="82">
        <v>100</v>
      </c>
      <c r="F500" s="34">
        <v>44378</v>
      </c>
      <c r="G500" s="20" t="s">
        <v>6783</v>
      </c>
      <c r="H500" s="20">
        <v>14</v>
      </c>
      <c r="K500" s="23">
        <v>111053</v>
      </c>
      <c r="L500" s="23">
        <f t="shared" si="160"/>
        <v>111053</v>
      </c>
      <c r="N500" s="82"/>
      <c r="V500" s="23">
        <f t="shared" si="149"/>
        <v>111053</v>
      </c>
      <c r="W500" s="25">
        <v>0.55000000000000004</v>
      </c>
      <c r="X500" s="23">
        <f t="shared" si="161"/>
        <v>61079.15</v>
      </c>
      <c r="Y500" s="20" t="s">
        <v>1433</v>
      </c>
      <c r="Z500" s="35" t="s">
        <v>6758</v>
      </c>
      <c r="AA500" s="35" t="s">
        <v>6941</v>
      </c>
      <c r="AB500" s="35" t="s">
        <v>6733</v>
      </c>
      <c r="AC500" s="35" t="s">
        <v>7368</v>
      </c>
      <c r="AD500" s="35" t="s">
        <v>7342</v>
      </c>
      <c r="AE500" s="37" t="str">
        <f t="shared" si="153"/>
        <v>51</v>
      </c>
      <c r="AF500" s="37">
        <f t="shared" si="166"/>
        <v>10334.59218</v>
      </c>
      <c r="AI500" s="37">
        <f t="shared" si="162"/>
        <v>885.64767500000005</v>
      </c>
      <c r="AJ500" s="37">
        <f t="shared" si="163"/>
        <v>751.27354500000001</v>
      </c>
      <c r="AK500" s="37">
        <f t="shared" si="164"/>
        <v>1154.8845682000001</v>
      </c>
      <c r="AL500" s="23">
        <v>140.04</v>
      </c>
      <c r="AM500" s="23">
        <f t="shared" si="154"/>
        <v>77.022000000000006</v>
      </c>
      <c r="AN500" s="22">
        <v>79.2</v>
      </c>
      <c r="AO500" s="22">
        <f t="shared" si="150"/>
        <v>43.56</v>
      </c>
      <c r="AP500" s="23">
        <v>13756.16</v>
      </c>
      <c r="AQ500" s="23">
        <f t="shared" si="151"/>
        <v>14308.469824</v>
      </c>
      <c r="AR500" s="23">
        <f t="shared" si="155"/>
        <v>7869.6584032000001</v>
      </c>
      <c r="AS500" s="23">
        <f t="shared" si="158"/>
        <v>7990.2404032000004</v>
      </c>
      <c r="AU500" s="20">
        <f t="shared" si="156"/>
        <v>0</v>
      </c>
      <c r="AV500" s="37">
        <f t="shared" si="152"/>
        <v>21116.6383714</v>
      </c>
      <c r="AW500" s="37">
        <f t="shared" si="159"/>
        <v>82195.788371400005</v>
      </c>
      <c r="BA500" s="20" t="str">
        <f t="shared" si="165"/>
        <v>0.55 - INS_COACH - Zepeda, Christopher L</v>
      </c>
    </row>
    <row r="501" spans="1:53" ht="12.75" customHeight="1" x14ac:dyDescent="0.25">
      <c r="A501" s="20">
        <v>483</v>
      </c>
      <c r="B501" s="78" t="s">
        <v>7338</v>
      </c>
      <c r="C501" s="20" t="s">
        <v>7578</v>
      </c>
      <c r="D501" s="20" t="s">
        <v>7579</v>
      </c>
      <c r="E501" s="82">
        <v>100</v>
      </c>
      <c r="F501" s="34">
        <v>44378</v>
      </c>
      <c r="G501" s="20" t="s">
        <v>6783</v>
      </c>
      <c r="H501" s="20">
        <v>14</v>
      </c>
      <c r="K501" s="23">
        <v>111053</v>
      </c>
      <c r="L501" s="23">
        <f t="shared" si="160"/>
        <v>111053</v>
      </c>
      <c r="N501" s="82"/>
      <c r="V501" s="23">
        <f t="shared" si="149"/>
        <v>111053</v>
      </c>
      <c r="W501" s="25">
        <v>0.45</v>
      </c>
      <c r="X501" s="23">
        <f t="shared" si="161"/>
        <v>49973.85</v>
      </c>
      <c r="Y501" s="20" t="s">
        <v>1503</v>
      </c>
      <c r="Z501" s="35" t="s">
        <v>6758</v>
      </c>
      <c r="AA501" s="35" t="s">
        <v>6941</v>
      </c>
      <c r="AB501" s="35" t="s">
        <v>6733</v>
      </c>
      <c r="AC501" s="35" t="s">
        <v>7369</v>
      </c>
      <c r="AD501" s="35" t="s">
        <v>7342</v>
      </c>
      <c r="AE501" s="37" t="str">
        <f t="shared" si="153"/>
        <v>51</v>
      </c>
      <c r="AF501" s="37">
        <f t="shared" si="166"/>
        <v>8455.5754199999992</v>
      </c>
      <c r="AI501" s="37">
        <f t="shared" si="162"/>
        <v>724.62082499999997</v>
      </c>
      <c r="AJ501" s="37">
        <f t="shared" si="163"/>
        <v>614.67835500000001</v>
      </c>
      <c r="AK501" s="37">
        <f t="shared" si="164"/>
        <v>944.9055558</v>
      </c>
      <c r="AL501" s="23">
        <v>140.04</v>
      </c>
      <c r="AM501" s="23">
        <f t="shared" si="154"/>
        <v>63.018000000000001</v>
      </c>
      <c r="AN501" s="22">
        <v>79.2</v>
      </c>
      <c r="AO501" s="22">
        <f t="shared" si="150"/>
        <v>35.64</v>
      </c>
      <c r="AP501" s="23">
        <v>13756.16</v>
      </c>
      <c r="AQ501" s="23">
        <f t="shared" si="151"/>
        <v>14308.469824</v>
      </c>
      <c r="AR501" s="23">
        <f t="shared" si="155"/>
        <v>6438.8114207999997</v>
      </c>
      <c r="AS501" s="23">
        <f t="shared" si="158"/>
        <v>6537.4694208000001</v>
      </c>
      <c r="AU501" s="20">
        <f t="shared" si="156"/>
        <v>0</v>
      </c>
      <c r="AV501" s="37">
        <f t="shared" si="152"/>
        <v>17277.249576599999</v>
      </c>
      <c r="AW501" s="37">
        <f t="shared" si="159"/>
        <v>67251.099576599998</v>
      </c>
      <c r="BA501" s="20" t="str">
        <f t="shared" si="165"/>
        <v>0.45 - INS_COACH - Zepeda, Christopher L</v>
      </c>
    </row>
    <row r="502" spans="1:53" ht="12.75" customHeight="1" x14ac:dyDescent="0.25">
      <c r="A502" s="20">
        <v>484</v>
      </c>
      <c r="B502" s="78" t="s">
        <v>7580</v>
      </c>
      <c r="C502" s="20" t="s">
        <v>7581</v>
      </c>
      <c r="D502" s="20" t="s">
        <v>7582</v>
      </c>
      <c r="E502" s="82">
        <v>100</v>
      </c>
      <c r="L502" s="23">
        <v>2880</v>
      </c>
      <c r="V502" s="23">
        <f t="shared" ref="V502:V508" si="184">L502+N502</f>
        <v>2880</v>
      </c>
      <c r="W502" s="36">
        <v>1</v>
      </c>
      <c r="X502" s="23">
        <f t="shared" si="161"/>
        <v>2880</v>
      </c>
      <c r="Y502" s="20" t="s">
        <v>106</v>
      </c>
      <c r="Z502" s="35" t="s">
        <v>6758</v>
      </c>
      <c r="AA502" s="35">
        <v>100</v>
      </c>
      <c r="AB502" s="35" t="s">
        <v>6733</v>
      </c>
      <c r="AC502" s="35">
        <v>662000</v>
      </c>
      <c r="AD502" s="35" t="s">
        <v>7224</v>
      </c>
      <c r="AE502" s="37" t="str">
        <f t="shared" si="153"/>
        <v>52</v>
      </c>
      <c r="AF502" s="37"/>
      <c r="AH502" s="37">
        <f t="shared" ref="AH502:AH511" si="185">X502*$AH$1</f>
        <v>178.56</v>
      </c>
      <c r="AI502" s="37">
        <f t="shared" si="162"/>
        <v>41.760000000000005</v>
      </c>
      <c r="AJ502" s="37">
        <f t="shared" si="163"/>
        <v>35.423999999999999</v>
      </c>
      <c r="AK502" s="37">
        <f t="shared" si="164"/>
        <v>54.455040000000004</v>
      </c>
      <c r="AM502" s="23">
        <f t="shared" si="154"/>
        <v>0</v>
      </c>
      <c r="AO502" s="22">
        <f t="shared" si="150"/>
        <v>0</v>
      </c>
      <c r="AP502" s="23">
        <v>13152</v>
      </c>
      <c r="AQ502" s="23">
        <f t="shared" si="151"/>
        <v>13680.052799999999</v>
      </c>
      <c r="AR502" s="23">
        <f t="shared" si="155"/>
        <v>13680.052799999999</v>
      </c>
      <c r="AS502" s="23">
        <f t="shared" si="158"/>
        <v>13680.052799999999</v>
      </c>
      <c r="AU502" s="20">
        <f t="shared" si="156"/>
        <v>0</v>
      </c>
      <c r="AV502" s="37">
        <f t="shared" si="152"/>
        <v>13990.251839999999</v>
      </c>
      <c r="AW502" s="37">
        <f t="shared" si="159"/>
        <v>16870.251839999997</v>
      </c>
      <c r="BA502" s="20" t="str">
        <f t="shared" si="165"/>
        <v>1 - BOARD OF TRUSTEE - DePauw, Candice S</v>
      </c>
    </row>
    <row r="503" spans="1:53" ht="12.75" customHeight="1" x14ac:dyDescent="0.25">
      <c r="A503" s="20">
        <v>485</v>
      </c>
      <c r="B503" s="78" t="s">
        <v>7580</v>
      </c>
      <c r="C503" s="20" t="s">
        <v>7583</v>
      </c>
      <c r="D503" s="20" t="s">
        <v>7582</v>
      </c>
      <c r="E503" s="82">
        <v>100</v>
      </c>
      <c r="L503" s="23">
        <v>2880</v>
      </c>
      <c r="V503" s="23">
        <f t="shared" si="184"/>
        <v>2880</v>
      </c>
      <c r="W503" s="36">
        <v>1</v>
      </c>
      <c r="X503" s="23">
        <f t="shared" si="161"/>
        <v>2880</v>
      </c>
      <c r="Y503" s="20" t="s">
        <v>106</v>
      </c>
      <c r="Z503" s="35" t="s">
        <v>6758</v>
      </c>
      <c r="AA503" s="35">
        <v>100</v>
      </c>
      <c r="AB503" s="35" t="s">
        <v>6733</v>
      </c>
      <c r="AC503" s="35">
        <v>662000</v>
      </c>
      <c r="AD503" s="35" t="s">
        <v>7224</v>
      </c>
      <c r="AE503" s="37" t="str">
        <f t="shared" si="153"/>
        <v>52</v>
      </c>
      <c r="AH503" s="37">
        <f t="shared" si="185"/>
        <v>178.56</v>
      </c>
      <c r="AI503" s="37">
        <f t="shared" si="162"/>
        <v>41.760000000000005</v>
      </c>
      <c r="AJ503" s="37">
        <f t="shared" si="163"/>
        <v>35.423999999999999</v>
      </c>
      <c r="AK503" s="37">
        <f t="shared" si="164"/>
        <v>54.455040000000004</v>
      </c>
      <c r="AM503" s="23">
        <f t="shared" si="154"/>
        <v>0</v>
      </c>
      <c r="AO503" s="22">
        <f t="shared" si="150"/>
        <v>0</v>
      </c>
      <c r="AP503" s="61"/>
      <c r="AQ503" s="23">
        <f t="shared" si="151"/>
        <v>0</v>
      </c>
      <c r="AR503" s="23">
        <f t="shared" si="155"/>
        <v>0</v>
      </c>
      <c r="AS503" s="23">
        <f t="shared" si="158"/>
        <v>0</v>
      </c>
      <c r="AU503" s="20">
        <f t="shared" si="156"/>
        <v>0</v>
      </c>
      <c r="AV503" s="37">
        <f t="shared" si="152"/>
        <v>310.19904000000002</v>
      </c>
      <c r="AW503" s="37">
        <f t="shared" si="159"/>
        <v>3190.19904</v>
      </c>
      <c r="BA503" s="20" t="str">
        <f t="shared" si="165"/>
        <v>1 - BOARD OF TRUSTEE - DiArrigo, Margaret</v>
      </c>
    </row>
    <row r="504" spans="1:53" ht="12.75" customHeight="1" x14ac:dyDescent="0.25">
      <c r="A504" s="20">
        <v>486</v>
      </c>
      <c r="B504" s="78" t="s">
        <v>7580</v>
      </c>
      <c r="C504" s="20" t="s">
        <v>7584</v>
      </c>
      <c r="D504" s="20" t="s">
        <v>7582</v>
      </c>
      <c r="E504" s="82">
        <v>100</v>
      </c>
      <c r="L504" s="23">
        <v>2880</v>
      </c>
      <c r="V504" s="23">
        <f t="shared" si="184"/>
        <v>2880</v>
      </c>
      <c r="W504" s="36">
        <v>1</v>
      </c>
      <c r="X504" s="23">
        <f t="shared" si="161"/>
        <v>2880</v>
      </c>
      <c r="Y504" s="20" t="s">
        <v>106</v>
      </c>
      <c r="Z504" s="35" t="s">
        <v>6758</v>
      </c>
      <c r="AA504" s="35">
        <v>100</v>
      </c>
      <c r="AB504" s="35" t="s">
        <v>6733</v>
      </c>
      <c r="AC504" s="35">
        <v>662000</v>
      </c>
      <c r="AD504" s="35" t="s">
        <v>7224</v>
      </c>
      <c r="AE504" s="37" t="str">
        <f t="shared" si="153"/>
        <v>52</v>
      </c>
      <c r="AH504" s="37">
        <f t="shared" si="185"/>
        <v>178.56</v>
      </c>
      <c r="AI504" s="37">
        <f t="shared" si="162"/>
        <v>41.760000000000005</v>
      </c>
      <c r="AJ504" s="37">
        <f t="shared" si="163"/>
        <v>35.423999999999999</v>
      </c>
      <c r="AK504" s="37">
        <f t="shared" si="164"/>
        <v>54.455040000000004</v>
      </c>
      <c r="AM504" s="23">
        <f t="shared" si="154"/>
        <v>0</v>
      </c>
      <c r="AO504" s="22">
        <f t="shared" si="150"/>
        <v>0</v>
      </c>
      <c r="AP504" s="23">
        <v>13152</v>
      </c>
      <c r="AQ504" s="23">
        <f t="shared" si="151"/>
        <v>13680.052799999999</v>
      </c>
      <c r="AR504" s="23">
        <f t="shared" si="155"/>
        <v>13680.052799999999</v>
      </c>
      <c r="AS504" s="23">
        <f t="shared" si="158"/>
        <v>13680.052799999999</v>
      </c>
      <c r="AU504" s="20">
        <f t="shared" si="156"/>
        <v>0</v>
      </c>
      <c r="AV504" s="37">
        <f t="shared" si="152"/>
        <v>13990.251839999999</v>
      </c>
      <c r="AW504" s="37">
        <f t="shared" si="159"/>
        <v>16870.251839999997</v>
      </c>
      <c r="BA504" s="20" t="str">
        <f t="shared" si="165"/>
        <v>1 - BOARD OF TRUSTEE - Lopez, Irma C</v>
      </c>
    </row>
    <row r="505" spans="1:53" ht="12.75" customHeight="1" x14ac:dyDescent="0.25">
      <c r="A505" s="20">
        <v>487</v>
      </c>
      <c r="B505" s="78" t="s">
        <v>7580</v>
      </c>
      <c r="C505" s="20" t="s">
        <v>7585</v>
      </c>
      <c r="D505" s="20" t="s">
        <v>7582</v>
      </c>
      <c r="E505" s="82">
        <v>100</v>
      </c>
      <c r="L505" s="23">
        <v>2880</v>
      </c>
      <c r="V505" s="23">
        <f t="shared" si="184"/>
        <v>2880</v>
      </c>
      <c r="W505" s="36">
        <v>1</v>
      </c>
      <c r="X505" s="23">
        <f t="shared" si="161"/>
        <v>2880</v>
      </c>
      <c r="Y505" s="20" t="s">
        <v>106</v>
      </c>
      <c r="Z505" s="35" t="s">
        <v>6758</v>
      </c>
      <c r="AA505" s="35">
        <v>100</v>
      </c>
      <c r="AB505" s="35" t="s">
        <v>6733</v>
      </c>
      <c r="AC505" s="35">
        <v>662000</v>
      </c>
      <c r="AD505" s="35" t="s">
        <v>7224</v>
      </c>
      <c r="AE505" s="37" t="str">
        <f t="shared" si="153"/>
        <v>52</v>
      </c>
      <c r="AH505" s="37">
        <f t="shared" si="185"/>
        <v>178.56</v>
      </c>
      <c r="AI505" s="37">
        <f t="shared" si="162"/>
        <v>41.760000000000005</v>
      </c>
      <c r="AJ505" s="37">
        <f t="shared" si="163"/>
        <v>35.423999999999999</v>
      </c>
      <c r="AK505" s="37">
        <f t="shared" si="164"/>
        <v>54.455040000000004</v>
      </c>
      <c r="AM505" s="23">
        <f t="shared" si="154"/>
        <v>0</v>
      </c>
      <c r="AO505" s="22">
        <f t="shared" si="150"/>
        <v>0</v>
      </c>
      <c r="AP505" s="23">
        <v>25452.6</v>
      </c>
      <c r="AQ505" s="23">
        <f t="shared" si="151"/>
        <v>26474.521889999996</v>
      </c>
      <c r="AR505" s="23">
        <f t="shared" si="155"/>
        <v>26474.521889999996</v>
      </c>
      <c r="AS505" s="23">
        <f t="shared" si="158"/>
        <v>26474.521889999996</v>
      </c>
      <c r="AU505" s="20">
        <f t="shared" si="156"/>
        <v>0</v>
      </c>
      <c r="AV505" s="37">
        <f t="shared" si="152"/>
        <v>26784.720929999996</v>
      </c>
      <c r="AW505" s="37">
        <f t="shared" si="159"/>
        <v>29664.720929999996</v>
      </c>
      <c r="BA505" s="20" t="str">
        <f t="shared" si="165"/>
        <v>1 - BOARD OF TRUSTEE - Montemayor, Raymond M</v>
      </c>
    </row>
    <row r="506" spans="1:53" ht="12.75" customHeight="1" x14ac:dyDescent="0.25">
      <c r="A506" s="20">
        <v>488</v>
      </c>
      <c r="B506" s="78" t="s">
        <v>7580</v>
      </c>
      <c r="C506" s="20" t="s">
        <v>7586</v>
      </c>
      <c r="D506" s="20" t="s">
        <v>7582</v>
      </c>
      <c r="E506" s="82">
        <v>100</v>
      </c>
      <c r="L506" s="23">
        <v>2880</v>
      </c>
      <c r="V506" s="23">
        <f t="shared" si="184"/>
        <v>2880</v>
      </c>
      <c r="W506" s="36">
        <v>1</v>
      </c>
      <c r="X506" s="23">
        <f t="shared" si="161"/>
        <v>2880</v>
      </c>
      <c r="Y506" s="20" t="s">
        <v>106</v>
      </c>
      <c r="Z506" s="35" t="s">
        <v>6758</v>
      </c>
      <c r="AA506" s="35">
        <v>100</v>
      </c>
      <c r="AB506" s="35" t="s">
        <v>6733</v>
      </c>
      <c r="AC506" s="35">
        <v>662000</v>
      </c>
      <c r="AD506" s="35" t="s">
        <v>7224</v>
      </c>
      <c r="AE506" s="37" t="str">
        <f t="shared" si="153"/>
        <v>52</v>
      </c>
      <c r="AH506" s="37">
        <f t="shared" si="185"/>
        <v>178.56</v>
      </c>
      <c r="AI506" s="37">
        <f t="shared" si="162"/>
        <v>41.760000000000005</v>
      </c>
      <c r="AJ506" s="37">
        <f t="shared" si="163"/>
        <v>35.423999999999999</v>
      </c>
      <c r="AK506" s="37">
        <f t="shared" si="164"/>
        <v>54.455040000000004</v>
      </c>
      <c r="AM506" s="23">
        <f t="shared" si="154"/>
        <v>0</v>
      </c>
      <c r="AO506" s="22">
        <f t="shared" si="150"/>
        <v>0</v>
      </c>
      <c r="AP506" s="23">
        <v>33444</v>
      </c>
      <c r="AQ506" s="23">
        <f t="shared" si="151"/>
        <v>34786.776599999997</v>
      </c>
      <c r="AR506" s="23">
        <f t="shared" si="155"/>
        <v>34786.776599999997</v>
      </c>
      <c r="AS506" s="23">
        <f t="shared" si="158"/>
        <v>34786.776599999997</v>
      </c>
      <c r="AU506" s="20">
        <f t="shared" si="156"/>
        <v>0</v>
      </c>
      <c r="AV506" s="37">
        <f t="shared" si="152"/>
        <v>35096.975639999997</v>
      </c>
      <c r="AW506" s="37">
        <f t="shared" si="159"/>
        <v>37976.975639999997</v>
      </c>
      <c r="BA506" s="20" t="str">
        <f t="shared" si="165"/>
        <v>1 - BOARD OF TRUSTEE - Padilla-Chavez, Erica</v>
      </c>
    </row>
    <row r="507" spans="1:53" ht="12.75" customHeight="1" x14ac:dyDescent="0.25">
      <c r="A507" s="20">
        <v>489</v>
      </c>
      <c r="B507" s="78" t="s">
        <v>7580</v>
      </c>
      <c r="C507" s="20" t="s">
        <v>7587</v>
      </c>
      <c r="D507" s="20" t="s">
        <v>7582</v>
      </c>
      <c r="E507" s="82">
        <v>100</v>
      </c>
      <c r="L507" s="23">
        <v>2880</v>
      </c>
      <c r="V507" s="23">
        <f t="shared" si="184"/>
        <v>2880</v>
      </c>
      <c r="W507" s="36">
        <v>1</v>
      </c>
      <c r="X507" s="23">
        <f t="shared" si="161"/>
        <v>2880</v>
      </c>
      <c r="Y507" s="20" t="s">
        <v>106</v>
      </c>
      <c r="Z507" s="35" t="s">
        <v>6758</v>
      </c>
      <c r="AA507" s="35">
        <v>100</v>
      </c>
      <c r="AB507" s="35" t="s">
        <v>6733</v>
      </c>
      <c r="AC507" s="35">
        <v>662000</v>
      </c>
      <c r="AD507" s="35" t="s">
        <v>7224</v>
      </c>
      <c r="AE507" s="37" t="str">
        <f t="shared" si="153"/>
        <v>52</v>
      </c>
      <c r="AH507" s="37">
        <f t="shared" si="185"/>
        <v>178.56</v>
      </c>
      <c r="AI507" s="37">
        <f t="shared" si="162"/>
        <v>41.760000000000005</v>
      </c>
      <c r="AJ507" s="37">
        <f t="shared" si="163"/>
        <v>35.423999999999999</v>
      </c>
      <c r="AK507" s="37">
        <f t="shared" si="164"/>
        <v>54.455040000000004</v>
      </c>
      <c r="AM507" s="23">
        <f t="shared" si="154"/>
        <v>0</v>
      </c>
      <c r="AO507" s="22">
        <f t="shared" si="150"/>
        <v>0</v>
      </c>
      <c r="AP507" s="23">
        <v>33444</v>
      </c>
      <c r="AQ507" s="23">
        <f t="shared" si="151"/>
        <v>34786.776599999997</v>
      </c>
      <c r="AR507" s="23">
        <f t="shared" si="155"/>
        <v>34786.776599999997</v>
      </c>
      <c r="AS507" s="23">
        <f t="shared" si="158"/>
        <v>34786.776599999997</v>
      </c>
      <c r="AU507" s="20">
        <f t="shared" si="156"/>
        <v>0</v>
      </c>
      <c r="AV507" s="37">
        <f t="shared" si="152"/>
        <v>35096.975639999997</v>
      </c>
      <c r="AW507" s="37">
        <f t="shared" si="159"/>
        <v>37976.975639999997</v>
      </c>
      <c r="BA507" s="20" t="str">
        <f t="shared" si="165"/>
        <v>1 - BOARD OF TRUSTEE - Salazar, Aurelio</v>
      </c>
    </row>
    <row r="508" spans="1:53" ht="12.75" customHeight="1" x14ac:dyDescent="0.25">
      <c r="A508" s="20">
        <v>490</v>
      </c>
      <c r="B508" s="78" t="s">
        <v>7580</v>
      </c>
      <c r="C508" s="20" t="s">
        <v>7588</v>
      </c>
      <c r="D508" s="20" t="s">
        <v>7582</v>
      </c>
      <c r="E508" s="82">
        <v>100</v>
      </c>
      <c r="L508" s="23">
        <v>2880</v>
      </c>
      <c r="V508" s="23">
        <f t="shared" si="184"/>
        <v>2880</v>
      </c>
      <c r="W508" s="36">
        <v>1</v>
      </c>
      <c r="X508" s="23">
        <f t="shared" si="161"/>
        <v>2880</v>
      </c>
      <c r="Y508" s="20" t="s">
        <v>106</v>
      </c>
      <c r="Z508" s="35" t="s">
        <v>6758</v>
      </c>
      <c r="AA508" s="35">
        <v>100</v>
      </c>
      <c r="AB508" s="35" t="s">
        <v>6733</v>
      </c>
      <c r="AC508" s="35">
        <v>662000</v>
      </c>
      <c r="AD508" s="35" t="s">
        <v>7224</v>
      </c>
      <c r="AE508" s="37" t="str">
        <f t="shared" si="153"/>
        <v>52</v>
      </c>
      <c r="AH508" s="37">
        <f t="shared" si="185"/>
        <v>178.56</v>
      </c>
      <c r="AI508" s="37">
        <f t="shared" si="162"/>
        <v>41.760000000000005</v>
      </c>
      <c r="AJ508" s="37">
        <f t="shared" si="163"/>
        <v>35.423999999999999</v>
      </c>
      <c r="AK508" s="37">
        <f t="shared" si="164"/>
        <v>54.455040000000004</v>
      </c>
      <c r="AM508" s="23">
        <f t="shared" si="154"/>
        <v>0</v>
      </c>
      <c r="AO508" s="22">
        <f t="shared" si="150"/>
        <v>0</v>
      </c>
      <c r="AP508" s="61">
        <v>13152</v>
      </c>
      <c r="AQ508" s="23">
        <f>AP508/2+(((AP508/2)*$AQ$1)+AP508/2)</f>
        <v>13680.052799999999</v>
      </c>
      <c r="AR508" s="23">
        <f>AQ508*W508</f>
        <v>13680.052799999999</v>
      </c>
      <c r="AS508" s="23">
        <f>+AM508+AO508+AR508</f>
        <v>13680.052799999999</v>
      </c>
      <c r="AU508" s="20">
        <f t="shared" si="156"/>
        <v>0</v>
      </c>
      <c r="AV508" s="37">
        <f t="shared" si="152"/>
        <v>13990.251839999999</v>
      </c>
      <c r="AW508" s="37">
        <f t="shared" si="159"/>
        <v>16870.251839999997</v>
      </c>
      <c r="BA508" s="20" t="str">
        <f t="shared" si="165"/>
        <v>1 - BOARD OF TRUSTEE - Gonzalez, Alejandra</v>
      </c>
    </row>
    <row r="509" spans="1:53" s="39" customFormat="1" ht="12.75" hidden="1" customHeight="1" x14ac:dyDescent="0.25">
      <c r="B509" s="43" t="s">
        <v>7216</v>
      </c>
      <c r="C509" s="40" t="s">
        <v>7612</v>
      </c>
      <c r="D509" s="40" t="s">
        <v>7589</v>
      </c>
      <c r="E509" s="41">
        <v>1</v>
      </c>
      <c r="G509" s="88" t="s">
        <v>6731</v>
      </c>
      <c r="H509" s="88" t="s">
        <v>6729</v>
      </c>
      <c r="I509" s="44"/>
      <c r="J509" s="43"/>
      <c r="K509" s="45">
        <v>85583</v>
      </c>
      <c r="L509" s="45">
        <f t="shared" ref="L509:L514" si="186">I509+K509</f>
        <v>85583</v>
      </c>
      <c r="M509" s="45"/>
      <c r="N509" s="45"/>
      <c r="O509" s="46"/>
      <c r="P509" s="45"/>
      <c r="Q509" s="47"/>
      <c r="R509" s="45"/>
      <c r="S509" s="47"/>
      <c r="T509" s="45"/>
      <c r="U509" s="81"/>
      <c r="V509" s="45">
        <f t="shared" ref="V509:V514" si="187">L509+N509+P509+R509+T509+U509</f>
        <v>85583</v>
      </c>
      <c r="W509" s="46">
        <v>0.5</v>
      </c>
      <c r="X509" s="45">
        <f t="shared" si="161"/>
        <v>42791.5</v>
      </c>
      <c r="Y509" s="40" t="s">
        <v>7590</v>
      </c>
      <c r="Z509" s="43" t="s">
        <v>6731</v>
      </c>
      <c r="AA509" s="43" t="s">
        <v>7199</v>
      </c>
      <c r="AB509" s="43" t="s">
        <v>6733</v>
      </c>
      <c r="AC509" s="88" t="s">
        <v>7591</v>
      </c>
      <c r="AD509" s="43" t="s">
        <v>7224</v>
      </c>
      <c r="AE509" s="37" t="str">
        <f t="shared" si="153"/>
        <v>52</v>
      </c>
      <c r="AG509" s="49">
        <f>X509*$AG$1</f>
        <v>9803.5326499999992</v>
      </c>
      <c r="AH509" s="49">
        <f t="shared" si="185"/>
        <v>2653.0729999999999</v>
      </c>
      <c r="AI509" s="49">
        <f t="shared" si="162"/>
        <v>620.47675000000004</v>
      </c>
      <c r="AJ509" s="49">
        <f t="shared" si="163"/>
        <v>526.33545000000004</v>
      </c>
      <c r="AK509" s="49">
        <f t="shared" si="164"/>
        <v>809.1016820000001</v>
      </c>
      <c r="AL509" s="45">
        <v>140.04</v>
      </c>
      <c r="AM509" s="23">
        <f t="shared" si="154"/>
        <v>70.02</v>
      </c>
      <c r="AN509" s="44">
        <v>79.2</v>
      </c>
      <c r="AO509" s="22">
        <f t="shared" si="150"/>
        <v>39.6</v>
      </c>
      <c r="AP509" s="45">
        <v>33444</v>
      </c>
      <c r="AQ509" s="23">
        <f t="shared" si="151"/>
        <v>34786.776599999997</v>
      </c>
      <c r="AR509" s="23">
        <f t="shared" si="155"/>
        <v>17393.388299999999</v>
      </c>
      <c r="AS509" s="45">
        <f t="shared" si="158"/>
        <v>17503.008299999998</v>
      </c>
      <c r="AU509" s="20">
        <f t="shared" si="156"/>
        <v>0</v>
      </c>
      <c r="AV509" s="37">
        <f t="shared" si="152"/>
        <v>31915.527832</v>
      </c>
      <c r="AW509" s="49">
        <f t="shared" si="159"/>
        <v>74707.027831999992</v>
      </c>
      <c r="BA509" s="39" t="str">
        <f t="shared" si="165"/>
        <v>0.5 - Director of Job and Internship Placement - To be hired - VACANT (Director of Job and Internship Placement)</v>
      </c>
    </row>
    <row r="510" spans="1:53" s="39" customFormat="1" ht="12.75" hidden="1" customHeight="1" x14ac:dyDescent="0.25">
      <c r="B510" s="43" t="s">
        <v>7216</v>
      </c>
      <c r="C510" s="40" t="s">
        <v>7612</v>
      </c>
      <c r="D510" s="40" t="s">
        <v>7589</v>
      </c>
      <c r="E510" s="41">
        <v>1</v>
      </c>
      <c r="G510" s="88" t="s">
        <v>6731</v>
      </c>
      <c r="H510" s="88" t="s">
        <v>6729</v>
      </c>
      <c r="I510" s="44"/>
      <c r="J510" s="43"/>
      <c r="K510" s="45">
        <v>85583</v>
      </c>
      <c r="L510" s="45">
        <f t="shared" si="186"/>
        <v>85583</v>
      </c>
      <c r="M510" s="45"/>
      <c r="N510" s="45"/>
      <c r="O510" s="46"/>
      <c r="P510" s="45"/>
      <c r="Q510" s="47"/>
      <c r="R510" s="45"/>
      <c r="S510" s="47"/>
      <c r="T510" s="45"/>
      <c r="U510" s="81"/>
      <c r="V510" s="45">
        <f t="shared" si="187"/>
        <v>85583</v>
      </c>
      <c r="W510" s="46">
        <v>0.5</v>
      </c>
      <c r="X510" s="45">
        <f t="shared" si="161"/>
        <v>42791.5</v>
      </c>
      <c r="Y510" s="40" t="s">
        <v>7592</v>
      </c>
      <c r="Z510" s="43" t="s">
        <v>6731</v>
      </c>
      <c r="AA510" s="88" t="s">
        <v>6742</v>
      </c>
      <c r="AB510" s="43" t="s">
        <v>6733</v>
      </c>
      <c r="AC510" s="88" t="s">
        <v>6747</v>
      </c>
      <c r="AD510" s="43" t="s">
        <v>7224</v>
      </c>
      <c r="AE510" s="37" t="str">
        <f t="shared" si="153"/>
        <v>52</v>
      </c>
      <c r="AG510" s="49">
        <f>X510*$AG$1</f>
        <v>9803.5326499999992</v>
      </c>
      <c r="AH510" s="49">
        <f t="shared" si="185"/>
        <v>2653.0729999999999</v>
      </c>
      <c r="AI510" s="49">
        <f t="shared" si="162"/>
        <v>620.47675000000004</v>
      </c>
      <c r="AJ510" s="49">
        <f t="shared" si="163"/>
        <v>526.33545000000004</v>
      </c>
      <c r="AK510" s="49">
        <f t="shared" si="164"/>
        <v>809.1016820000001</v>
      </c>
      <c r="AL510" s="45">
        <v>140.04</v>
      </c>
      <c r="AM510" s="23">
        <f t="shared" si="154"/>
        <v>70.02</v>
      </c>
      <c r="AN510" s="44">
        <v>79.2</v>
      </c>
      <c r="AO510" s="22">
        <f t="shared" si="150"/>
        <v>39.6</v>
      </c>
      <c r="AP510" s="45">
        <v>33444</v>
      </c>
      <c r="AQ510" s="23">
        <f t="shared" si="151"/>
        <v>34786.776599999997</v>
      </c>
      <c r="AR510" s="23">
        <f t="shared" si="155"/>
        <v>17393.388299999999</v>
      </c>
      <c r="AS510" s="45">
        <f t="shared" si="158"/>
        <v>17503.008299999998</v>
      </c>
      <c r="AU510" s="20">
        <f t="shared" si="156"/>
        <v>0</v>
      </c>
      <c r="AV510" s="37">
        <f t="shared" si="152"/>
        <v>31915.527832</v>
      </c>
      <c r="AW510" s="49">
        <f t="shared" si="159"/>
        <v>74707.027831999992</v>
      </c>
      <c r="BA510" s="39" t="str">
        <f t="shared" si="165"/>
        <v>0.5 - Director of Job and Internship Placement - To be hired - VACANT (Director of Job and Internship Placement)</v>
      </c>
    </row>
    <row r="511" spans="1:53" s="39" customFormat="1" ht="12.75" customHeight="1" x14ac:dyDescent="0.25">
      <c r="B511" s="43" t="s">
        <v>7216</v>
      </c>
      <c r="C511" s="40" t="s">
        <v>7611</v>
      </c>
      <c r="D511" s="40" t="s">
        <v>7593</v>
      </c>
      <c r="E511" s="41">
        <v>1</v>
      </c>
      <c r="G511" s="43">
        <v>5</v>
      </c>
      <c r="H511" s="88" t="s">
        <v>6729</v>
      </c>
      <c r="I511" s="44"/>
      <c r="J511" s="43"/>
      <c r="K511" s="45">
        <v>128482</v>
      </c>
      <c r="L511" s="45">
        <f t="shared" si="186"/>
        <v>128482</v>
      </c>
      <c r="M511" s="45"/>
      <c r="N511" s="45"/>
      <c r="O511" s="46"/>
      <c r="P511" s="45"/>
      <c r="Q511" s="47"/>
      <c r="R511" s="45"/>
      <c r="S511" s="47"/>
      <c r="T511" s="45"/>
      <c r="U511" s="81"/>
      <c r="V511" s="45">
        <f t="shared" si="187"/>
        <v>128482</v>
      </c>
      <c r="W511" s="46">
        <v>1</v>
      </c>
      <c r="X511" s="45">
        <f t="shared" si="161"/>
        <v>128482</v>
      </c>
      <c r="Y511" s="39" t="s">
        <v>564</v>
      </c>
      <c r="Z511" s="43" t="s">
        <v>6758</v>
      </c>
      <c r="AA511" s="43" t="s">
        <v>7199</v>
      </c>
      <c r="AB511" s="43" t="s">
        <v>6733</v>
      </c>
      <c r="AC511" s="43" t="s">
        <v>7200</v>
      </c>
      <c r="AD511" s="43" t="s">
        <v>7224</v>
      </c>
      <c r="AE511" s="37" t="str">
        <f t="shared" si="153"/>
        <v>52</v>
      </c>
      <c r="AG511" s="49">
        <f>X511*$AG$1</f>
        <v>29435.226200000001</v>
      </c>
      <c r="AH511" s="49">
        <f t="shared" si="185"/>
        <v>7965.884</v>
      </c>
      <c r="AI511" s="49">
        <f t="shared" si="162"/>
        <v>1862.989</v>
      </c>
      <c r="AJ511" s="49">
        <f t="shared" si="163"/>
        <v>1580.3286000000001</v>
      </c>
      <c r="AK511" s="49">
        <f t="shared" si="164"/>
        <v>2429.3376560000002</v>
      </c>
      <c r="AL511" s="45">
        <v>140.04</v>
      </c>
      <c r="AM511" s="23">
        <f t="shared" si="154"/>
        <v>140.04</v>
      </c>
      <c r="AN511" s="44">
        <v>79.2</v>
      </c>
      <c r="AO511" s="22">
        <f t="shared" si="150"/>
        <v>79.2</v>
      </c>
      <c r="AP511" s="45">
        <v>33444</v>
      </c>
      <c r="AQ511" s="23">
        <f t="shared" si="151"/>
        <v>34786.776599999997</v>
      </c>
      <c r="AR511" s="23">
        <f t="shared" si="155"/>
        <v>34786.776599999997</v>
      </c>
      <c r="AS511" s="45">
        <f>+AM511+AO511+AR511</f>
        <v>35006.016599999995</v>
      </c>
      <c r="AU511" s="20">
        <f t="shared" si="156"/>
        <v>0</v>
      </c>
      <c r="AV511" s="37">
        <f t="shared" si="152"/>
        <v>78279.782055999996</v>
      </c>
      <c r="AW511" s="49">
        <f t="shared" si="159"/>
        <v>206761.782056</v>
      </c>
      <c r="BA511" s="39" t="str">
        <f t="shared" si="165"/>
        <v>1 - DIR_PHIL - To be hired - VACANT (Director of Philanthropy)</v>
      </c>
    </row>
    <row r="512" spans="1:53" s="39" customFormat="1" ht="12.75" customHeight="1" x14ac:dyDescent="0.25">
      <c r="A512" s="39" t="s">
        <v>7594</v>
      </c>
      <c r="B512" s="43" t="s">
        <v>7216</v>
      </c>
      <c r="C512" s="40" t="s">
        <v>7595</v>
      </c>
      <c r="D512" s="40" t="s">
        <v>7312</v>
      </c>
      <c r="E512" s="46">
        <v>1</v>
      </c>
      <c r="G512" s="88" t="s">
        <v>7255</v>
      </c>
      <c r="H512" s="43" t="s">
        <v>6741</v>
      </c>
      <c r="I512" s="44"/>
      <c r="J512" s="43"/>
      <c r="K512" s="45">
        <v>112132</v>
      </c>
      <c r="L512" s="45">
        <f t="shared" si="186"/>
        <v>112132</v>
      </c>
      <c r="M512" s="45"/>
      <c r="N512" s="45"/>
      <c r="O512" s="46"/>
      <c r="P512" s="45"/>
      <c r="Q512" s="47"/>
      <c r="R512" s="45"/>
      <c r="S512" s="47"/>
      <c r="T512" s="45"/>
      <c r="U512" s="81"/>
      <c r="V512" s="45">
        <f t="shared" si="187"/>
        <v>112132</v>
      </c>
      <c r="W512" s="46">
        <v>0.5</v>
      </c>
      <c r="X512" s="45">
        <f t="shared" si="161"/>
        <v>56066</v>
      </c>
      <c r="Y512" s="39" t="s">
        <v>2069</v>
      </c>
      <c r="Z512" s="43" t="s">
        <v>6758</v>
      </c>
      <c r="AA512" s="43" t="s">
        <v>7288</v>
      </c>
      <c r="AB512" s="43" t="s">
        <v>6733</v>
      </c>
      <c r="AC512" s="43" t="s">
        <v>7289</v>
      </c>
      <c r="AD512" s="43" t="s">
        <v>7219</v>
      </c>
      <c r="AE512" s="37" t="str">
        <f t="shared" si="153"/>
        <v>51</v>
      </c>
      <c r="AF512" s="49">
        <f>X512*$AF$1</f>
        <v>9486.3671999999988</v>
      </c>
      <c r="AI512" s="49">
        <f t="shared" si="162"/>
        <v>812.95699999999999</v>
      </c>
      <c r="AJ512" s="49">
        <f t="shared" si="163"/>
        <v>689.61180000000002</v>
      </c>
      <c r="AK512" s="49">
        <f t="shared" si="164"/>
        <v>1060.095928</v>
      </c>
      <c r="AL512" s="45">
        <v>140.04</v>
      </c>
      <c r="AM512" s="23">
        <f t="shared" si="154"/>
        <v>70.02</v>
      </c>
      <c r="AN512" s="44">
        <v>79.2</v>
      </c>
      <c r="AO512" s="22">
        <f t="shared" si="150"/>
        <v>39.6</v>
      </c>
      <c r="AP512" s="45">
        <v>25452.6</v>
      </c>
      <c r="AQ512" s="23">
        <f t="shared" si="151"/>
        <v>26474.521889999996</v>
      </c>
      <c r="AR512" s="23">
        <f t="shared" si="155"/>
        <v>13237.260944999998</v>
      </c>
      <c r="AS512" s="45">
        <f>+AM512+AO512+AR512</f>
        <v>13346.880944999999</v>
      </c>
      <c r="AU512" s="20">
        <f t="shared" si="156"/>
        <v>0</v>
      </c>
      <c r="AV512" s="37">
        <f t="shared" si="152"/>
        <v>25395.912873000001</v>
      </c>
      <c r="AW512" s="49">
        <f t="shared" si="159"/>
        <v>81461.912872999994</v>
      </c>
      <c r="BA512" s="39" t="str">
        <f t="shared" si="165"/>
        <v>0.5 - DIR_TWS - Parker, Melissa (thru 12/31/21)</v>
      </c>
    </row>
    <row r="513" spans="1:53" s="39" customFormat="1" ht="12.75" hidden="1" customHeight="1" x14ac:dyDescent="0.25">
      <c r="A513" s="40"/>
      <c r="B513" s="39" t="s">
        <v>6725</v>
      </c>
      <c r="C513" s="40" t="s">
        <v>7609</v>
      </c>
      <c r="D513" s="40" t="s">
        <v>7596</v>
      </c>
      <c r="E513" s="41">
        <v>1</v>
      </c>
      <c r="F513" s="42"/>
      <c r="G513" s="88" t="s">
        <v>7597</v>
      </c>
      <c r="H513" s="40" t="s">
        <v>6729</v>
      </c>
      <c r="I513" s="44"/>
      <c r="K513" s="45">
        <v>75639</v>
      </c>
      <c r="L513" s="45">
        <f t="shared" si="186"/>
        <v>75639</v>
      </c>
      <c r="M513" s="45"/>
      <c r="N513" s="45"/>
      <c r="O513" s="46"/>
      <c r="P513" s="45"/>
      <c r="Q513" s="47">
        <v>0</v>
      </c>
      <c r="R513" s="45">
        <f>L513*Q513</f>
        <v>0</v>
      </c>
      <c r="S513" s="47"/>
      <c r="T513" s="45">
        <f>M513*S513/12*1</f>
        <v>0</v>
      </c>
      <c r="U513" s="45">
        <v>1200</v>
      </c>
      <c r="V513" s="45">
        <f t="shared" si="187"/>
        <v>76839</v>
      </c>
      <c r="W513" s="48">
        <v>1</v>
      </c>
      <c r="X513" s="45">
        <f t="shared" si="161"/>
        <v>76839</v>
      </c>
      <c r="Y513" s="40" t="s">
        <v>4473</v>
      </c>
      <c r="Z513" s="43" t="s">
        <v>6731</v>
      </c>
      <c r="AA513" s="88" t="s">
        <v>6742</v>
      </c>
      <c r="AB513" s="43" t="s">
        <v>6733</v>
      </c>
      <c r="AC513" s="88" t="s">
        <v>7382</v>
      </c>
      <c r="AD513" s="43" t="s">
        <v>6744</v>
      </c>
      <c r="AE513" s="37" t="str">
        <f t="shared" si="153"/>
        <v>52</v>
      </c>
      <c r="AG513" s="49">
        <f>X513*$AG$1</f>
        <v>17603.814900000001</v>
      </c>
      <c r="AH513" s="49">
        <f>X513*$AH$1</f>
        <v>4764.018</v>
      </c>
      <c r="AI513" s="49">
        <f t="shared" si="162"/>
        <v>1114.1655000000001</v>
      </c>
      <c r="AJ513" s="49">
        <f t="shared" si="163"/>
        <v>945.11969999999997</v>
      </c>
      <c r="AK513" s="49">
        <f t="shared" si="164"/>
        <v>1452.8718120000001</v>
      </c>
      <c r="AL513" s="45">
        <v>140.04</v>
      </c>
      <c r="AM513" s="23">
        <f t="shared" si="154"/>
        <v>140.04</v>
      </c>
      <c r="AN513" s="44">
        <v>79.2</v>
      </c>
      <c r="AO513" s="22">
        <f t="shared" si="150"/>
        <v>79.2</v>
      </c>
      <c r="AP513" s="45">
        <v>33444</v>
      </c>
      <c r="AQ513" s="23">
        <f t="shared" si="151"/>
        <v>34786.776599999997</v>
      </c>
      <c r="AR513" s="23">
        <f t="shared" si="155"/>
        <v>34786.776599999997</v>
      </c>
      <c r="AS513" s="45">
        <f>+AM513+AO513+AR513</f>
        <v>35006.016599999995</v>
      </c>
      <c r="AU513" s="20">
        <f t="shared" si="156"/>
        <v>0</v>
      </c>
      <c r="AV513" s="37">
        <f t="shared" si="152"/>
        <v>60886.006512</v>
      </c>
      <c r="AW513" s="49">
        <f t="shared" si="159"/>
        <v>137725.00651199999</v>
      </c>
      <c r="AX513" s="39" t="s">
        <v>6675</v>
      </c>
      <c r="AY513" s="39" t="s">
        <v>6677</v>
      </c>
      <c r="AZ513" s="39" t="s">
        <v>7079</v>
      </c>
      <c r="BA513" s="39" t="str">
        <f t="shared" si="165"/>
        <v>1 - CLIN_OPS_SPEC - To be hired - VACANT (Morales)</v>
      </c>
    </row>
    <row r="514" spans="1:53" s="39" customFormat="1" ht="12.75" customHeight="1" x14ac:dyDescent="0.25">
      <c r="B514" s="39" t="s">
        <v>6725</v>
      </c>
      <c r="C514" s="40" t="s">
        <v>7598</v>
      </c>
      <c r="D514" s="39" t="s">
        <v>6795</v>
      </c>
      <c r="E514" s="41">
        <v>0.5</v>
      </c>
      <c r="G514" s="43" t="s">
        <v>6796</v>
      </c>
      <c r="H514" s="39" t="s">
        <v>6782</v>
      </c>
      <c r="I514" s="44"/>
      <c r="K514" s="45">
        <f>ROUND((3943*12)*50%,0)</f>
        <v>23658</v>
      </c>
      <c r="L514" s="45">
        <f t="shared" si="186"/>
        <v>23658</v>
      </c>
      <c r="M514" s="45"/>
      <c r="N514" s="45"/>
      <c r="O514" s="46"/>
      <c r="P514" s="45"/>
      <c r="Q514" s="47"/>
      <c r="R514" s="45"/>
      <c r="S514" s="47"/>
      <c r="T514" s="45"/>
      <c r="U514" s="45"/>
      <c r="V514" s="45">
        <f t="shared" si="187"/>
        <v>23658</v>
      </c>
      <c r="W514" s="48">
        <v>1</v>
      </c>
      <c r="X514" s="45">
        <f t="shared" si="161"/>
        <v>23658</v>
      </c>
      <c r="Y514" s="39" t="s">
        <v>3056</v>
      </c>
      <c r="Z514" s="43" t="s">
        <v>6758</v>
      </c>
      <c r="AA514" s="43" t="s">
        <v>6759</v>
      </c>
      <c r="AB514" s="43" t="s">
        <v>6733</v>
      </c>
      <c r="AC514" s="43" t="s">
        <v>6760</v>
      </c>
      <c r="AD514" s="43" t="s">
        <v>6744</v>
      </c>
      <c r="AE514" s="37" t="str">
        <f t="shared" si="153"/>
        <v>52</v>
      </c>
      <c r="AG514" s="49">
        <f>X514*$AG$1</f>
        <v>5420.0478000000003</v>
      </c>
      <c r="AH514" s="49">
        <f>X514*$AH$1</f>
        <v>1466.796</v>
      </c>
      <c r="AI514" s="49">
        <f t="shared" si="162"/>
        <v>343.041</v>
      </c>
      <c r="AJ514" s="49">
        <f t="shared" si="163"/>
        <v>290.99340000000001</v>
      </c>
      <c r="AK514" s="49">
        <f t="shared" si="164"/>
        <v>447.32546400000001</v>
      </c>
      <c r="AL514" s="45">
        <v>140.04</v>
      </c>
      <c r="AM514" s="23">
        <f t="shared" si="154"/>
        <v>140.04</v>
      </c>
      <c r="AN514" s="44">
        <v>79.2</v>
      </c>
      <c r="AO514" s="22">
        <f t="shared" si="150"/>
        <v>79.2</v>
      </c>
      <c r="AP514" s="45"/>
      <c r="AQ514" s="23">
        <f t="shared" si="151"/>
        <v>0</v>
      </c>
      <c r="AR514" s="23">
        <f t="shared" si="155"/>
        <v>0</v>
      </c>
      <c r="AS514" s="45">
        <f>+AM514+AO514+AR514</f>
        <v>219.24</v>
      </c>
      <c r="AU514" s="20">
        <f t="shared" si="156"/>
        <v>0</v>
      </c>
      <c r="AV514" s="37">
        <f t="shared" si="152"/>
        <v>8187.4436640000004</v>
      </c>
      <c r="AW514" s="225">
        <f t="shared" si="159"/>
        <v>31845.443663999999</v>
      </c>
      <c r="BA514" s="39" t="str">
        <f t="shared" si="165"/>
        <v>1 - AR_TECH - VACANT (Navarro)</v>
      </c>
    </row>
    <row r="515" spans="1:53" s="39" customFormat="1" ht="12.75" customHeight="1" x14ac:dyDescent="0.25">
      <c r="B515" s="83" t="s">
        <v>6725</v>
      </c>
      <c r="C515" s="216" t="s">
        <v>9968</v>
      </c>
      <c r="D515" s="40" t="s">
        <v>7599</v>
      </c>
      <c r="E515" s="41">
        <v>1</v>
      </c>
      <c r="I515" s="45"/>
      <c r="K515" s="45"/>
      <c r="L515" s="45">
        <v>56243</v>
      </c>
      <c r="M515" s="45"/>
      <c r="N515" s="45"/>
      <c r="O515" s="45"/>
      <c r="P515" s="46"/>
      <c r="Q515" s="45"/>
      <c r="R515" s="47"/>
      <c r="S515" s="45"/>
      <c r="T515" s="47"/>
      <c r="U515" s="45"/>
      <c r="V515" s="45">
        <v>56243</v>
      </c>
      <c r="W515" s="48">
        <v>1</v>
      </c>
      <c r="X515" s="45">
        <v>56243</v>
      </c>
      <c r="Y515" s="39" t="s">
        <v>7600</v>
      </c>
      <c r="Z515" s="43" t="s">
        <v>6758</v>
      </c>
      <c r="AA515" s="43" t="s">
        <v>7008</v>
      </c>
      <c r="AB515" s="43" t="s">
        <v>6733</v>
      </c>
      <c r="AC515" s="43">
        <v>682100</v>
      </c>
      <c r="AD515" s="43">
        <v>52105</v>
      </c>
      <c r="AE515" s="37" t="str">
        <f t="shared" si="153"/>
        <v>52</v>
      </c>
      <c r="AG515" s="49">
        <f>X515*$AG$1</f>
        <v>12885.2713</v>
      </c>
      <c r="AH515" s="49">
        <f>X515*$AH$1</f>
        <v>3487.0659999999998</v>
      </c>
      <c r="AI515" s="49">
        <f t="shared" si="162"/>
        <v>815.52350000000001</v>
      </c>
      <c r="AJ515" s="49">
        <f t="shared" si="163"/>
        <v>691.78890000000001</v>
      </c>
      <c r="AK515" s="49">
        <f t="shared" si="164"/>
        <v>1063.442644</v>
      </c>
      <c r="AL515" s="45">
        <v>140.04</v>
      </c>
      <c r="AM515" s="23">
        <f t="shared" si="154"/>
        <v>140.04</v>
      </c>
      <c r="AN515" s="44">
        <v>79.2</v>
      </c>
      <c r="AO515" s="22">
        <f t="shared" si="150"/>
        <v>79.2</v>
      </c>
      <c r="AP515" s="45">
        <v>33444</v>
      </c>
      <c r="AQ515" s="23">
        <f t="shared" si="151"/>
        <v>34786.776599999997</v>
      </c>
      <c r="AR515" s="23">
        <f t="shared" si="155"/>
        <v>34786.776599999997</v>
      </c>
      <c r="AS515" s="45">
        <f>+AM515+AO515+AR515</f>
        <v>35006.016599999995</v>
      </c>
      <c r="AT515" s="49"/>
      <c r="AU515" s="20">
        <f t="shared" si="156"/>
        <v>0</v>
      </c>
      <c r="AV515" s="37">
        <f t="shared" si="152"/>
        <v>53949.108943999992</v>
      </c>
      <c r="AW515" s="226">
        <f t="shared" si="159"/>
        <v>110192.10894399999</v>
      </c>
    </row>
    <row r="517" spans="1:53" ht="12.75" customHeight="1" x14ac:dyDescent="0.25">
      <c r="X517" s="23">
        <f>SUBTOTAL(9,X2:X516)</f>
        <v>25488857.373182841</v>
      </c>
      <c r="AF517" s="23">
        <f t="shared" ref="AF517:AK517" si="188">SUBTOTAL(9,AF2:AF516)</f>
        <v>2324804.7540672002</v>
      </c>
      <c r="AG517" s="23">
        <f t="shared" si="188"/>
        <v>2687048.9632505872</v>
      </c>
      <c r="AH517" s="23">
        <f t="shared" si="188"/>
        <v>728430.34654533595</v>
      </c>
      <c r="AI517" s="23">
        <f t="shared" si="188"/>
        <v>369588.43191115139</v>
      </c>
      <c r="AJ517" s="23">
        <f t="shared" si="188"/>
        <v>313512.94569014863</v>
      </c>
      <c r="AK517" s="23">
        <f t="shared" si="188"/>
        <v>481943.31521214114</v>
      </c>
      <c r="AM517" s="23">
        <f>SUBTOTAL(9,AM2:AM516)</f>
        <v>39583.496340000165</v>
      </c>
      <c r="AO517" s="23">
        <f>SUBTOTAL(9,AO2:AO516)</f>
        <v>22228.153200000095</v>
      </c>
      <c r="AR517" s="23">
        <f>SUBTOTAL(9,AR2:AR516)</f>
        <v>7066298.4001070932</v>
      </c>
      <c r="AU517" s="23">
        <f>SUBTOTAL(9,AU2:AU516)</f>
        <v>130374</v>
      </c>
      <c r="AV517" s="23">
        <f>SUBTOTAL(9,AV2:AV516)</f>
        <v>14163812.806323642</v>
      </c>
      <c r="AW517" s="23">
        <f>SUBTOTAL(9,AW2:AW516)</f>
        <v>39652670.179506481</v>
      </c>
    </row>
    <row r="518" spans="1:53" ht="12.75" customHeight="1" x14ac:dyDescent="0.25">
      <c r="C518" s="56"/>
    </row>
    <row r="519" spans="1:53" ht="12.75" customHeight="1" x14ac:dyDescent="0.25">
      <c r="AT519" s="37"/>
      <c r="AV519" s="37"/>
    </row>
    <row r="520" spans="1:53" ht="12.75" customHeight="1" x14ac:dyDescent="0.25">
      <c r="AQ520" s="89"/>
      <c r="AT520" s="37"/>
      <c r="AV520" s="37"/>
    </row>
    <row r="521" spans="1:53" ht="12.75" customHeight="1" x14ac:dyDescent="0.25">
      <c r="AT521" s="37"/>
      <c r="AV521" s="37"/>
    </row>
    <row r="524" spans="1:53" ht="12.75" customHeight="1" x14ac:dyDescent="0.25">
      <c r="AV524" s="37"/>
    </row>
  </sheetData>
  <autoFilter ref="A1:BA515">
    <filterColumn colId="25">
      <filters>
        <filter val="11"/>
      </filters>
    </filterColumn>
  </autoFilter>
  <pageMargins left="0" right="0" top="0" bottom="0" header="0" footer="0"/>
  <pageSetup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Tentative Budget Summary</vt:lpstr>
      <vt:lpstr>Actions to reduce $1.7M deficit</vt:lpstr>
      <vt:lpstr>Fund 11 Revenue</vt:lpstr>
      <vt:lpstr>Vacancies Budgeted (F11)</vt:lpstr>
      <vt:lpstr>Vacancies Not Budgeted (F11)</vt:lpstr>
      <vt:lpstr>Total FT Payroll</vt:lpstr>
      <vt:lpstr>Total PT-Hourly Budgets</vt:lpstr>
      <vt:lpstr>Total Discretionary Budgets</vt:lpstr>
      <vt:lpstr>21-22 Position Control Data</vt:lpstr>
      <vt:lpstr>GL Listing</vt:lpstr>
      <vt:lpstr>GLBR-5-5-21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Techaira</dc:creator>
  <cp:lastModifiedBy>David Techaira</cp:lastModifiedBy>
  <dcterms:created xsi:type="dcterms:W3CDTF">2021-04-07T08:25:53Z</dcterms:created>
  <dcterms:modified xsi:type="dcterms:W3CDTF">2021-05-17T21:29:40Z</dcterms:modified>
</cp:coreProperties>
</file>